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324"/>
  <workbookPr/>
  <mc:AlternateContent xmlns:mc="http://schemas.openxmlformats.org/markup-compatibility/2006">
    <mc:Choice Requires="x15">
      <x15ac:absPath xmlns:x15ac="http://schemas.microsoft.com/office/spreadsheetml/2010/11/ac" url="J:\14.Darts\SDA\Championnat\2024-25\Matchblatt\"/>
    </mc:Choice>
  </mc:AlternateContent>
  <xr:revisionPtr revIDLastSave="0" documentId="13_ncr:1_{1AA4186E-1CB0-4EAC-82B0-154118279F89}" xr6:coauthVersionLast="47" xr6:coauthVersionMax="47" xr10:uidLastSave="{00000000-0000-0000-0000-000000000000}"/>
  <bookViews>
    <workbookView xWindow="-120" yWindow="-120" windowWidth="29040" windowHeight="16440" tabRatio="687" activeTab="1" xr2:uid="{7D58E13E-13DF-4A1D-9E42-EE56ED21E847}"/>
  </bookViews>
  <sheets>
    <sheet name="Chema" sheetId="5" state="hidden" r:id="rId1"/>
    <sheet name="Start" sheetId="1" r:id="rId2"/>
    <sheet name="Sprache" sheetId="3" state="hidden" r:id="rId3"/>
    <sheet name="Steuerung" sheetId="2" state="hidden" r:id="rId4"/>
    <sheet name="Heimmannschaft MAISON" sheetId="9" r:id="rId5"/>
    <sheet name="Gastmannschaft EXTERIEUR" sheetId="11" r:id="rId6"/>
    <sheet name="Matchblatt  FEUILLE DE MATCH" sheetId="13" r:id="rId7"/>
    <sheet name="Average" sheetId="16" r:id="rId8"/>
    <sheet name="Druck für Spiele" sheetId="19" r:id="rId9"/>
    <sheet name="RESULTS" sheetId="17" state="hidden" r:id="rId10"/>
    <sheet name="Licenses" sheetId="4" r:id="rId11"/>
    <sheet name="Spielplan" sheetId="20" r:id="rId12"/>
  </sheets>
  <definedNames>
    <definedName name="_xlnm.Print_Area" localSheetId="8">'Druck für Spiele'!$A$5:$M$194</definedName>
    <definedName name="_xlnm.Print_Area" localSheetId="6">'Matchblatt  FEUILLE DE MATCH'!$B$1:$V$162</definedName>
    <definedName name="_xlnm.Print_Area" localSheetId="11">Spielplan!$A$1:$AA$77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60" i="2" l="1"/>
  <c r="A59" i="2"/>
  <c r="A58" i="2"/>
  <c r="A57" i="2"/>
  <c r="A56" i="2"/>
  <c r="A55" i="2"/>
  <c r="A54" i="2"/>
  <c r="A53" i="2"/>
  <c r="A39" i="2"/>
  <c r="A40" i="2"/>
  <c r="A41" i="2"/>
  <c r="A42" i="2"/>
  <c r="A43" i="2"/>
  <c r="A44" i="2"/>
  <c r="A45" i="2"/>
  <c r="A46" i="2"/>
  <c r="F22" i="1"/>
  <c r="U115" i="11"/>
  <c r="U115" i="9"/>
  <c r="U113" i="11"/>
  <c r="U113" i="9"/>
  <c r="D22" i="1"/>
  <c r="H22" i="1"/>
  <c r="AA45" i="20"/>
  <c r="W45" i="20"/>
  <c r="S45" i="20"/>
  <c r="O45" i="20"/>
  <c r="K45" i="20"/>
  <c r="G45" i="20"/>
  <c r="C45" i="20"/>
  <c r="AA11" i="20"/>
  <c r="W11" i="20"/>
  <c r="S11" i="20"/>
  <c r="O11" i="20"/>
  <c r="K11" i="20"/>
  <c r="G11" i="20"/>
  <c r="C11" i="20"/>
  <c r="C9" i="20"/>
  <c r="I43" i="20"/>
  <c r="M43" i="20" s="1"/>
  <c r="Q43" i="20" s="1"/>
  <c r="U43" i="20" s="1"/>
  <c r="I42" i="20"/>
  <c r="M42" i="20" s="1"/>
  <c r="Q42" i="20" s="1"/>
  <c r="U42" i="20" s="1"/>
  <c r="I41" i="20"/>
  <c r="M41" i="20" s="1"/>
  <c r="Q41" i="20" s="1"/>
  <c r="U41" i="20" s="1"/>
  <c r="I40" i="20"/>
  <c r="M40" i="20" s="1"/>
  <c r="Q40" i="20" s="1"/>
  <c r="U40" i="20" s="1"/>
  <c r="I39" i="20"/>
  <c r="M39" i="20" s="1"/>
  <c r="Q39" i="20" s="1"/>
  <c r="U39" i="20" s="1"/>
  <c r="I38" i="20"/>
  <c r="M38" i="20" s="1"/>
  <c r="Q38" i="20" s="1"/>
  <c r="U38" i="20" s="1"/>
  <c r="I37" i="20"/>
  <c r="M37" i="20" s="1"/>
  <c r="Q37" i="20" s="1"/>
  <c r="U37" i="20" s="1"/>
  <c r="I36" i="20"/>
  <c r="M36" i="20" s="1"/>
  <c r="Q36" i="20" s="1"/>
  <c r="U36" i="20" s="1"/>
  <c r="I35" i="20"/>
  <c r="M35" i="20" s="1"/>
  <c r="Q35" i="20" s="1"/>
  <c r="U35" i="20" s="1"/>
  <c r="I34" i="20"/>
  <c r="M34" i="20" s="1"/>
  <c r="Q34" i="20" s="1"/>
  <c r="U34" i="20" s="1"/>
  <c r="I33" i="20"/>
  <c r="M33" i="20" s="1"/>
  <c r="Q33" i="20" s="1"/>
  <c r="U33" i="20" s="1"/>
  <c r="I32" i="20"/>
  <c r="M32" i="20" s="1"/>
  <c r="Q32" i="20" s="1"/>
  <c r="U32" i="20" s="1"/>
  <c r="I31" i="20"/>
  <c r="M31" i="20" s="1"/>
  <c r="Q31" i="20" s="1"/>
  <c r="U31" i="20" s="1"/>
  <c r="I30" i="20"/>
  <c r="M30" i="20" s="1"/>
  <c r="Q30" i="20" s="1"/>
  <c r="U30" i="20" s="1"/>
  <c r="I29" i="20"/>
  <c r="M29" i="20" s="1"/>
  <c r="Q29" i="20" s="1"/>
  <c r="U29" i="20" s="1"/>
  <c r="I28" i="20"/>
  <c r="M28" i="20" s="1"/>
  <c r="Q28" i="20" s="1"/>
  <c r="U28" i="20" s="1"/>
  <c r="I27" i="20"/>
  <c r="M27" i="20" s="1"/>
  <c r="Q27" i="20" s="1"/>
  <c r="U27" i="20" s="1"/>
  <c r="I26" i="20"/>
  <c r="M26" i="20" s="1"/>
  <c r="Q26" i="20" s="1"/>
  <c r="U26" i="20" s="1"/>
  <c r="I25" i="20"/>
  <c r="M25" i="20" s="1"/>
  <c r="Q25" i="20" s="1"/>
  <c r="U25" i="20" s="1"/>
  <c r="I24" i="20"/>
  <c r="M24" i="20" s="1"/>
  <c r="Q24" i="20" s="1"/>
  <c r="U24" i="20" s="1"/>
  <c r="I23" i="20"/>
  <c r="M23" i="20" s="1"/>
  <c r="Q23" i="20" s="1"/>
  <c r="U23" i="20" s="1"/>
  <c r="I22" i="20"/>
  <c r="M22" i="20" s="1"/>
  <c r="Q22" i="20" s="1"/>
  <c r="U22" i="20" s="1"/>
  <c r="I21" i="20"/>
  <c r="M21" i="20" s="1"/>
  <c r="Q21" i="20" s="1"/>
  <c r="U21" i="20" s="1"/>
  <c r="I20" i="20"/>
  <c r="M20" i="20" s="1"/>
  <c r="Q20" i="20" s="1"/>
  <c r="U20" i="20" s="1"/>
  <c r="I19" i="20"/>
  <c r="M19" i="20" s="1"/>
  <c r="Q19" i="20" s="1"/>
  <c r="U19" i="20" s="1"/>
  <c r="I18" i="20"/>
  <c r="M18" i="20" s="1"/>
  <c r="Q18" i="20" s="1"/>
  <c r="U18" i="20" s="1"/>
  <c r="I17" i="20"/>
  <c r="M17" i="20" s="1"/>
  <c r="Q17" i="20" s="1"/>
  <c r="U17" i="20" s="1"/>
  <c r="I16" i="20"/>
  <c r="M16" i="20" s="1"/>
  <c r="Q16" i="20" s="1"/>
  <c r="U16" i="20" s="1"/>
  <c r="I15" i="20"/>
  <c r="M15" i="20" s="1"/>
  <c r="Q15" i="20" s="1"/>
  <c r="U15" i="20" s="1"/>
  <c r="I14" i="20"/>
  <c r="M14" i="20" s="1"/>
  <c r="Q14" i="20" s="1"/>
  <c r="U14" i="20" s="1"/>
  <c r="I13" i="20"/>
  <c r="M13" i="20" s="1"/>
  <c r="Q13" i="20" s="1"/>
  <c r="U13" i="20" s="1"/>
  <c r="I12" i="20"/>
  <c r="M12" i="20" s="1"/>
  <c r="Q12" i="20" s="1"/>
  <c r="U12" i="20" s="1"/>
  <c r="E13" i="20"/>
  <c r="E14" i="20"/>
  <c r="E15" i="20"/>
  <c r="E16" i="20"/>
  <c r="E17" i="20"/>
  <c r="E18" i="20"/>
  <c r="E19" i="20"/>
  <c r="E20" i="20"/>
  <c r="E21" i="20"/>
  <c r="E22" i="20"/>
  <c r="E23" i="20"/>
  <c r="E24" i="20"/>
  <c r="E25" i="20"/>
  <c r="E26" i="20"/>
  <c r="E27" i="20"/>
  <c r="E28" i="20"/>
  <c r="E29" i="20"/>
  <c r="E30" i="20"/>
  <c r="E31" i="20"/>
  <c r="E32" i="20"/>
  <c r="E33" i="20"/>
  <c r="E34" i="20"/>
  <c r="E35" i="20"/>
  <c r="E36" i="20"/>
  <c r="E37" i="20"/>
  <c r="E38" i="20"/>
  <c r="E39" i="20"/>
  <c r="E40" i="20"/>
  <c r="E41" i="20"/>
  <c r="E42" i="20"/>
  <c r="E43" i="20"/>
  <c r="E12" i="20"/>
  <c r="A13" i="20"/>
  <c r="A14" i="20"/>
  <c r="A15" i="20"/>
  <c r="A16" i="20"/>
  <c r="A17" i="20"/>
  <c r="A18" i="20"/>
  <c r="A19" i="20"/>
  <c r="A20" i="20"/>
  <c r="A21" i="20"/>
  <c r="A22" i="20"/>
  <c r="A23" i="20"/>
  <c r="A24" i="20"/>
  <c r="A25" i="20"/>
  <c r="A26" i="20"/>
  <c r="A27" i="20"/>
  <c r="A28" i="20"/>
  <c r="A29" i="20"/>
  <c r="A30" i="20"/>
  <c r="A31" i="20"/>
  <c r="A32" i="20"/>
  <c r="A33" i="20"/>
  <c r="A34" i="20"/>
  <c r="A35" i="20"/>
  <c r="A36" i="20"/>
  <c r="A37" i="20"/>
  <c r="A38" i="20"/>
  <c r="A39" i="20"/>
  <c r="A40" i="20"/>
  <c r="A41" i="20"/>
  <c r="A42" i="20"/>
  <c r="A43" i="20"/>
  <c r="A12" i="20"/>
  <c r="Y12" i="20" l="1"/>
  <c r="A46" i="20"/>
  <c r="E46" i="20" s="1"/>
  <c r="I46" i="20" s="1"/>
  <c r="M46" i="20" s="1"/>
  <c r="Q46" i="20" s="1"/>
  <c r="U46" i="20" s="1"/>
  <c r="Y46" i="20" s="1"/>
  <c r="Y20" i="20"/>
  <c r="A54" i="20"/>
  <c r="E54" i="20" s="1"/>
  <c r="I54" i="20" s="1"/>
  <c r="M54" i="20" s="1"/>
  <c r="Q54" i="20" s="1"/>
  <c r="U54" i="20" s="1"/>
  <c r="Y54" i="20" s="1"/>
  <c r="Y28" i="20"/>
  <c r="A62" i="20"/>
  <c r="E62" i="20" s="1"/>
  <c r="I62" i="20" s="1"/>
  <c r="M62" i="20" s="1"/>
  <c r="Q62" i="20" s="1"/>
  <c r="U62" i="20" s="1"/>
  <c r="Y62" i="20" s="1"/>
  <c r="Y36" i="20"/>
  <c r="A70" i="20"/>
  <c r="E70" i="20" s="1"/>
  <c r="I70" i="20" s="1"/>
  <c r="M70" i="20" s="1"/>
  <c r="Q70" i="20" s="1"/>
  <c r="U70" i="20" s="1"/>
  <c r="Y70" i="20" s="1"/>
  <c r="Y13" i="20"/>
  <c r="A47" i="20"/>
  <c r="E47" i="20" s="1"/>
  <c r="I47" i="20" s="1"/>
  <c r="M47" i="20" s="1"/>
  <c r="Q47" i="20" s="1"/>
  <c r="U47" i="20" s="1"/>
  <c r="Y47" i="20" s="1"/>
  <c r="Y21" i="20"/>
  <c r="A55" i="20"/>
  <c r="E55" i="20" s="1"/>
  <c r="I55" i="20" s="1"/>
  <c r="M55" i="20" s="1"/>
  <c r="Q55" i="20" s="1"/>
  <c r="U55" i="20" s="1"/>
  <c r="Y55" i="20" s="1"/>
  <c r="Y29" i="20"/>
  <c r="A63" i="20"/>
  <c r="E63" i="20" s="1"/>
  <c r="I63" i="20" s="1"/>
  <c r="M63" i="20" s="1"/>
  <c r="Q63" i="20" s="1"/>
  <c r="U63" i="20" s="1"/>
  <c r="Y63" i="20" s="1"/>
  <c r="Y37" i="20"/>
  <c r="A71" i="20"/>
  <c r="E71" i="20" s="1"/>
  <c r="I71" i="20" s="1"/>
  <c r="M71" i="20" s="1"/>
  <c r="Q71" i="20" s="1"/>
  <c r="U71" i="20" s="1"/>
  <c r="Y71" i="20" s="1"/>
  <c r="Y22" i="20"/>
  <c r="A56" i="20"/>
  <c r="E56" i="20" s="1"/>
  <c r="I56" i="20" s="1"/>
  <c r="M56" i="20" s="1"/>
  <c r="Q56" i="20" s="1"/>
  <c r="U56" i="20" s="1"/>
  <c r="Y56" i="20" s="1"/>
  <c r="Y15" i="20"/>
  <c r="A49" i="20"/>
  <c r="E49" i="20" s="1"/>
  <c r="I49" i="20" s="1"/>
  <c r="M49" i="20" s="1"/>
  <c r="Q49" i="20" s="1"/>
  <c r="U49" i="20" s="1"/>
  <c r="Y49" i="20" s="1"/>
  <c r="Y23" i="20"/>
  <c r="A57" i="20"/>
  <c r="E57" i="20" s="1"/>
  <c r="I57" i="20" s="1"/>
  <c r="M57" i="20" s="1"/>
  <c r="Q57" i="20" s="1"/>
  <c r="U57" i="20" s="1"/>
  <c r="Y57" i="20" s="1"/>
  <c r="Y31" i="20"/>
  <c r="A65" i="20"/>
  <c r="E65" i="20" s="1"/>
  <c r="I65" i="20" s="1"/>
  <c r="M65" i="20" s="1"/>
  <c r="Q65" i="20" s="1"/>
  <c r="U65" i="20" s="1"/>
  <c r="Y65" i="20" s="1"/>
  <c r="Y39" i="20"/>
  <c r="A73" i="20"/>
  <c r="E73" i="20" s="1"/>
  <c r="I73" i="20" s="1"/>
  <c r="M73" i="20" s="1"/>
  <c r="Q73" i="20" s="1"/>
  <c r="U73" i="20" s="1"/>
  <c r="Y73" i="20" s="1"/>
  <c r="Y16" i="20"/>
  <c r="A50" i="20"/>
  <c r="E50" i="20" s="1"/>
  <c r="I50" i="20" s="1"/>
  <c r="M50" i="20" s="1"/>
  <c r="Q50" i="20" s="1"/>
  <c r="U50" i="20" s="1"/>
  <c r="Y50" i="20" s="1"/>
  <c r="Y24" i="20"/>
  <c r="A58" i="20"/>
  <c r="E58" i="20" s="1"/>
  <c r="I58" i="20" s="1"/>
  <c r="M58" i="20" s="1"/>
  <c r="Q58" i="20" s="1"/>
  <c r="U58" i="20" s="1"/>
  <c r="Y58" i="20" s="1"/>
  <c r="Y32" i="20"/>
  <c r="A66" i="20"/>
  <c r="E66" i="20" s="1"/>
  <c r="I66" i="20" s="1"/>
  <c r="M66" i="20" s="1"/>
  <c r="Q66" i="20" s="1"/>
  <c r="U66" i="20" s="1"/>
  <c r="Y66" i="20" s="1"/>
  <c r="Y40" i="20"/>
  <c r="A74" i="20"/>
  <c r="E74" i="20" s="1"/>
  <c r="I74" i="20" s="1"/>
  <c r="M74" i="20" s="1"/>
  <c r="Q74" i="20" s="1"/>
  <c r="U74" i="20" s="1"/>
  <c r="Y74" i="20" s="1"/>
  <c r="Y38" i="20"/>
  <c r="A72" i="20"/>
  <c r="E72" i="20" s="1"/>
  <c r="I72" i="20" s="1"/>
  <c r="M72" i="20" s="1"/>
  <c r="Q72" i="20" s="1"/>
  <c r="U72" i="20" s="1"/>
  <c r="Y72" i="20" s="1"/>
  <c r="Y17" i="20"/>
  <c r="A51" i="20"/>
  <c r="E51" i="20" s="1"/>
  <c r="I51" i="20" s="1"/>
  <c r="M51" i="20" s="1"/>
  <c r="Q51" i="20" s="1"/>
  <c r="U51" i="20" s="1"/>
  <c r="Y51" i="20" s="1"/>
  <c r="Y25" i="20"/>
  <c r="A59" i="20"/>
  <c r="E59" i="20" s="1"/>
  <c r="I59" i="20" s="1"/>
  <c r="M59" i="20" s="1"/>
  <c r="Q59" i="20" s="1"/>
  <c r="U59" i="20" s="1"/>
  <c r="Y59" i="20" s="1"/>
  <c r="Y33" i="20"/>
  <c r="A67" i="20"/>
  <c r="E67" i="20" s="1"/>
  <c r="I67" i="20" s="1"/>
  <c r="M67" i="20" s="1"/>
  <c r="Q67" i="20" s="1"/>
  <c r="U67" i="20" s="1"/>
  <c r="Y67" i="20" s="1"/>
  <c r="Y41" i="20"/>
  <c r="A75" i="20"/>
  <c r="E75" i="20" s="1"/>
  <c r="I75" i="20" s="1"/>
  <c r="M75" i="20" s="1"/>
  <c r="Q75" i="20" s="1"/>
  <c r="U75" i="20" s="1"/>
  <c r="Y75" i="20" s="1"/>
  <c r="Y14" i="20"/>
  <c r="A48" i="20"/>
  <c r="E48" i="20" s="1"/>
  <c r="I48" i="20" s="1"/>
  <c r="M48" i="20" s="1"/>
  <c r="Q48" i="20" s="1"/>
  <c r="U48" i="20" s="1"/>
  <c r="Y48" i="20" s="1"/>
  <c r="Y18" i="20"/>
  <c r="A52" i="20"/>
  <c r="E52" i="20" s="1"/>
  <c r="I52" i="20" s="1"/>
  <c r="M52" i="20" s="1"/>
  <c r="Q52" i="20" s="1"/>
  <c r="U52" i="20" s="1"/>
  <c r="Y52" i="20" s="1"/>
  <c r="A60" i="20"/>
  <c r="E60" i="20" s="1"/>
  <c r="I60" i="20" s="1"/>
  <c r="M60" i="20" s="1"/>
  <c r="Q60" i="20" s="1"/>
  <c r="U60" i="20" s="1"/>
  <c r="Y60" i="20" s="1"/>
  <c r="Y26" i="20"/>
  <c r="Y34" i="20"/>
  <c r="A68" i="20"/>
  <c r="E68" i="20" s="1"/>
  <c r="I68" i="20" s="1"/>
  <c r="M68" i="20" s="1"/>
  <c r="Q68" i="20" s="1"/>
  <c r="U68" i="20" s="1"/>
  <c r="Y68" i="20" s="1"/>
  <c r="A76" i="20"/>
  <c r="E76" i="20" s="1"/>
  <c r="I76" i="20" s="1"/>
  <c r="M76" i="20" s="1"/>
  <c r="Q76" i="20" s="1"/>
  <c r="U76" i="20" s="1"/>
  <c r="Y76" i="20" s="1"/>
  <c r="Y42" i="20"/>
  <c r="Y30" i="20"/>
  <c r="A64" i="20"/>
  <c r="E64" i="20" s="1"/>
  <c r="I64" i="20" s="1"/>
  <c r="M64" i="20" s="1"/>
  <c r="Q64" i="20" s="1"/>
  <c r="U64" i="20" s="1"/>
  <c r="Y64" i="20" s="1"/>
  <c r="Y19" i="20"/>
  <c r="A53" i="20"/>
  <c r="E53" i="20" s="1"/>
  <c r="I53" i="20" s="1"/>
  <c r="M53" i="20" s="1"/>
  <c r="Q53" i="20" s="1"/>
  <c r="U53" i="20" s="1"/>
  <c r="Y53" i="20" s="1"/>
  <c r="Y27" i="20"/>
  <c r="A61" i="20"/>
  <c r="E61" i="20" s="1"/>
  <c r="I61" i="20" s="1"/>
  <c r="M61" i="20" s="1"/>
  <c r="Q61" i="20" s="1"/>
  <c r="U61" i="20" s="1"/>
  <c r="Y61" i="20" s="1"/>
  <c r="Y35" i="20"/>
  <c r="A69" i="20"/>
  <c r="E69" i="20" s="1"/>
  <c r="I69" i="20" s="1"/>
  <c r="M69" i="20" s="1"/>
  <c r="Q69" i="20" s="1"/>
  <c r="U69" i="20" s="1"/>
  <c r="Y69" i="20" s="1"/>
  <c r="Y43" i="20"/>
  <c r="A77" i="20"/>
  <c r="E77" i="20" s="1"/>
  <c r="I77" i="20" s="1"/>
  <c r="M77" i="20" s="1"/>
  <c r="Q77" i="20" s="1"/>
  <c r="U77" i="20" s="1"/>
  <c r="Y77" i="20" s="1"/>
  <c r="BL465" i="16" l="1"/>
  <c r="BK465" i="16"/>
  <c r="BL464" i="16"/>
  <c r="BK464" i="16"/>
  <c r="BL451" i="16"/>
  <c r="BK451" i="16"/>
  <c r="BL450" i="16"/>
  <c r="BK450" i="16"/>
  <c r="BL437" i="16"/>
  <c r="BK437" i="16"/>
  <c r="BL436" i="16"/>
  <c r="BK436" i="16"/>
  <c r="BL423" i="16"/>
  <c r="BK423" i="16"/>
  <c r="BL422" i="16"/>
  <c r="BK422" i="16"/>
  <c r="BL409" i="16"/>
  <c r="BK409" i="16"/>
  <c r="BL408" i="16"/>
  <c r="BK408" i="16"/>
  <c r="BL395" i="16"/>
  <c r="BK395" i="16"/>
  <c r="BL394" i="16"/>
  <c r="BK394" i="16"/>
  <c r="BL381" i="16"/>
  <c r="BK381" i="16"/>
  <c r="BL380" i="16"/>
  <c r="BK380" i="16"/>
  <c r="BL367" i="16"/>
  <c r="BK367" i="16"/>
  <c r="BL366" i="16"/>
  <c r="BK366" i="16"/>
  <c r="BL353" i="16"/>
  <c r="BK353" i="16"/>
  <c r="BL352" i="16"/>
  <c r="BK352" i="16"/>
  <c r="BL339" i="16"/>
  <c r="BK339" i="16"/>
  <c r="BL338" i="16"/>
  <c r="BK338" i="16"/>
  <c r="BL324" i="16"/>
  <c r="BL311" i="16"/>
  <c r="BK311" i="16"/>
  <c r="BL310" i="16"/>
  <c r="BK310" i="16"/>
  <c r="BL297" i="16"/>
  <c r="BK297" i="16"/>
  <c r="BL296" i="16"/>
  <c r="BK296" i="16"/>
  <c r="BL283" i="16"/>
  <c r="BK283" i="16"/>
  <c r="BL282" i="16"/>
  <c r="BK282" i="16"/>
  <c r="BL269" i="16"/>
  <c r="BK269" i="16"/>
  <c r="BL268" i="16"/>
  <c r="BK268" i="16"/>
  <c r="BL255" i="16"/>
  <c r="BK255" i="16"/>
  <c r="BL254" i="16"/>
  <c r="BK254" i="16"/>
  <c r="BL241" i="16"/>
  <c r="BK241" i="16"/>
  <c r="BL240" i="16"/>
  <c r="BK240" i="16"/>
  <c r="BL227" i="16"/>
  <c r="BK227" i="16"/>
  <c r="BL226" i="16"/>
  <c r="BK226" i="16"/>
  <c r="BL213" i="16"/>
  <c r="BK213" i="16"/>
  <c r="BL212" i="16"/>
  <c r="BK212" i="16"/>
  <c r="BL199" i="16"/>
  <c r="BK199" i="16"/>
  <c r="BL198" i="16"/>
  <c r="BK198" i="16"/>
  <c r="BL185" i="16"/>
  <c r="BK185" i="16"/>
  <c r="BL184" i="16"/>
  <c r="BK184" i="16"/>
  <c r="BL171" i="16"/>
  <c r="BK171" i="16"/>
  <c r="BL170" i="16"/>
  <c r="BK170" i="16"/>
  <c r="BL157" i="16"/>
  <c r="BK157" i="16"/>
  <c r="BL156" i="16"/>
  <c r="BK156" i="16"/>
  <c r="BL143" i="16"/>
  <c r="BK143" i="16"/>
  <c r="BL142" i="16"/>
  <c r="BK142" i="16"/>
  <c r="BL129" i="16"/>
  <c r="BK129" i="16"/>
  <c r="BL128" i="16"/>
  <c r="BK128" i="16"/>
  <c r="BL115" i="16"/>
  <c r="BK115" i="16"/>
  <c r="BL114" i="16"/>
  <c r="BK114" i="16"/>
  <c r="CY466" i="16"/>
  <c r="CY452" i="16"/>
  <c r="CY438" i="16"/>
  <c r="CY424" i="16"/>
  <c r="CY410" i="16"/>
  <c r="CY396" i="16"/>
  <c r="CY382" i="16"/>
  <c r="CY368" i="16"/>
  <c r="CY354" i="16"/>
  <c r="CY340" i="16"/>
  <c r="CY326" i="16"/>
  <c r="CY312" i="16"/>
  <c r="CY298" i="16"/>
  <c r="CY284" i="16"/>
  <c r="CY270" i="16"/>
  <c r="CY256" i="16"/>
  <c r="CY242" i="16"/>
  <c r="CY228" i="16"/>
  <c r="CY214" i="16"/>
  <c r="CY200" i="16"/>
  <c r="CY186" i="16"/>
  <c r="CY172" i="16"/>
  <c r="CY158" i="16"/>
  <c r="CY144" i="16"/>
  <c r="CY130" i="16"/>
  <c r="CY116" i="16"/>
  <c r="CY102" i="16"/>
  <c r="CY88" i="16"/>
  <c r="CY74" i="16"/>
  <c r="CY18" i="16"/>
  <c r="CY32" i="16"/>
  <c r="CY46" i="16"/>
  <c r="CY60" i="16"/>
  <c r="U95" i="11"/>
  <c r="BM16" i="13"/>
  <c r="BI16" i="13"/>
  <c r="AE1" i="17"/>
  <c r="AD1" i="17"/>
  <c r="AC1" i="17"/>
  <c r="Y1" i="17"/>
  <c r="K1" i="17"/>
  <c r="AI463" i="16"/>
  <c r="AH463" i="16"/>
  <c r="AI449" i="16"/>
  <c r="AH449" i="16"/>
  <c r="AI435" i="16"/>
  <c r="AH435" i="16"/>
  <c r="EP469" i="16"/>
  <c r="FK468" i="16"/>
  <c r="FM468" i="16" s="1"/>
  <c r="EP468" i="16"/>
  <c r="ER468" i="16" s="1"/>
  <c r="DW468" i="16"/>
  <c r="DU468" i="16"/>
  <c r="DT468" i="16"/>
  <c r="DV468" i="16" s="1"/>
  <c r="DK468" i="16"/>
  <c r="DN468" i="16" s="1"/>
  <c r="D468" i="16" s="1"/>
  <c r="DH468" i="16"/>
  <c r="CR468" i="16"/>
  <c r="CQ468" i="16"/>
  <c r="CP468" i="16"/>
  <c r="CO468" i="16"/>
  <c r="CN468" i="16"/>
  <c r="CM468" i="16"/>
  <c r="CL468" i="16"/>
  <c r="AU468" i="16"/>
  <c r="AT468" i="16"/>
  <c r="AS468" i="16"/>
  <c r="AG468" i="16"/>
  <c r="AF468" i="16"/>
  <c r="AE468" i="16"/>
  <c r="FK467" i="16"/>
  <c r="FM467" i="16" s="1"/>
  <c r="EP467" i="16"/>
  <c r="ER467" i="16" s="1"/>
  <c r="DW467" i="16"/>
  <c r="DU467" i="16"/>
  <c r="DT467" i="16"/>
  <c r="DV467" i="16" s="1"/>
  <c r="DK467" i="16"/>
  <c r="DN467" i="16" s="1"/>
  <c r="D467" i="16" s="1"/>
  <c r="DH467" i="16"/>
  <c r="CR467" i="16"/>
  <c r="CQ467" i="16"/>
  <c r="CP467" i="16"/>
  <c r="CO467" i="16"/>
  <c r="CN467" i="16"/>
  <c r="CM467" i="16"/>
  <c r="CL467" i="16"/>
  <c r="AU467" i="16"/>
  <c r="AT467" i="16"/>
  <c r="AS467" i="16"/>
  <c r="AG467" i="16"/>
  <c r="AF467" i="16"/>
  <c r="AE467" i="16"/>
  <c r="FK466" i="16"/>
  <c r="FM466" i="16" s="1"/>
  <c r="EP466" i="16"/>
  <c r="ER466" i="16" s="1"/>
  <c r="DW466" i="16"/>
  <c r="DU466" i="16"/>
  <c r="DT466" i="16"/>
  <c r="DV466" i="16" s="1"/>
  <c r="DL466" i="16"/>
  <c r="DO466" i="16" s="1"/>
  <c r="S466" i="16" s="1"/>
  <c r="DK466" i="16"/>
  <c r="DN466" i="16" s="1"/>
  <c r="D466" i="16" s="1"/>
  <c r="DH466" i="16"/>
  <c r="DG466" i="16"/>
  <c r="DY466" i="16" s="1"/>
  <c r="CR466" i="16"/>
  <c r="CQ466" i="16"/>
  <c r="CP466" i="16"/>
  <c r="CO466" i="16"/>
  <c r="CN466" i="16"/>
  <c r="CM466" i="16"/>
  <c r="CL466" i="16"/>
  <c r="CD466" i="16"/>
  <c r="CE466" i="16" s="1"/>
  <c r="CF466" i="16" s="1"/>
  <c r="CG466" i="16" s="1"/>
  <c r="BU466" i="16"/>
  <c r="BV466" i="16" s="1"/>
  <c r="BW466" i="16" s="1"/>
  <c r="BX466" i="16" s="1"/>
  <c r="AZ466" i="16"/>
  <c r="AY466" i="16"/>
  <c r="AX466" i="16"/>
  <c r="GO467" i="16" s="1"/>
  <c r="AW466" i="16"/>
  <c r="CV466" i="16" s="1"/>
  <c r="AU466" i="16"/>
  <c r="AT466" i="16"/>
  <c r="AS466" i="16"/>
  <c r="AL466" i="16"/>
  <c r="AK466" i="16"/>
  <c r="AJ466" i="16"/>
  <c r="EO466" i="16" s="1"/>
  <c r="AI466" i="16"/>
  <c r="CU466" i="16" s="1"/>
  <c r="AG466" i="16"/>
  <c r="AF466" i="16"/>
  <c r="AE466" i="16"/>
  <c r="FK465" i="16"/>
  <c r="FM465" i="16" s="1"/>
  <c r="EP465" i="16"/>
  <c r="ER465" i="16" s="1"/>
  <c r="DW465" i="16"/>
  <c r="DU465" i="16"/>
  <c r="DT465" i="16"/>
  <c r="DV465" i="16" s="1"/>
  <c r="DL465" i="16"/>
  <c r="DK465" i="16"/>
  <c r="DR465" i="16" s="1"/>
  <c r="DH465" i="16"/>
  <c r="DG465" i="16"/>
  <c r="EB465" i="16" s="1"/>
  <c r="CR465" i="16"/>
  <c r="CQ465" i="16"/>
  <c r="CP465" i="16"/>
  <c r="CO465" i="16"/>
  <c r="CN465" i="16"/>
  <c r="CM465" i="16"/>
  <c r="CL465" i="16"/>
  <c r="CD465" i="16"/>
  <c r="CE465" i="16" s="1"/>
  <c r="CF465" i="16" s="1"/>
  <c r="CG465" i="16" s="1"/>
  <c r="BU465" i="16"/>
  <c r="BV465" i="16" s="1"/>
  <c r="BW465" i="16" s="1"/>
  <c r="BX465" i="16" s="1"/>
  <c r="AZ465" i="16"/>
  <c r="GM467" i="16" s="1"/>
  <c r="AY465" i="16"/>
  <c r="AX465" i="16"/>
  <c r="GK467" i="16" s="1"/>
  <c r="AW465" i="16"/>
  <c r="CV465" i="16" s="1"/>
  <c r="AU465" i="16"/>
  <c r="AT465" i="16"/>
  <c r="AS465" i="16"/>
  <c r="AL465" i="16"/>
  <c r="GM465" i="16" s="1"/>
  <c r="AK465" i="16"/>
  <c r="AJ465" i="16"/>
  <c r="AI465" i="16"/>
  <c r="AG465" i="16"/>
  <c r="AF465" i="16"/>
  <c r="AE465" i="16"/>
  <c r="FK464" i="16"/>
  <c r="FM464" i="16" s="1"/>
  <c r="EP464" i="16"/>
  <c r="ER464" i="16" s="1"/>
  <c r="DL464" i="16"/>
  <c r="HT466" i="16" s="1"/>
  <c r="DK464" i="16"/>
  <c r="HS466" i="16" s="1"/>
  <c r="DH464" i="16"/>
  <c r="DG464" i="16"/>
  <c r="DI464" i="16" s="1"/>
  <c r="DJ464" i="16" s="1"/>
  <c r="CR464" i="16"/>
  <c r="CQ464" i="16"/>
  <c r="CP464" i="16"/>
  <c r="CO464" i="16"/>
  <c r="CN464" i="16"/>
  <c r="CM464" i="16"/>
  <c r="CL464" i="16"/>
  <c r="CD464" i="16"/>
  <c r="CE464" i="16" s="1"/>
  <c r="CF464" i="16" s="1"/>
  <c r="CG464" i="16" s="1"/>
  <c r="BU464" i="16"/>
  <c r="BV464" i="16" s="1"/>
  <c r="BW464" i="16" s="1"/>
  <c r="BX464" i="16" s="1"/>
  <c r="AZ464" i="16"/>
  <c r="AY464" i="16"/>
  <c r="AB464" i="16" s="1"/>
  <c r="AX464" i="16"/>
  <c r="GG467" i="16" s="1"/>
  <c r="AW464" i="16"/>
  <c r="AU464" i="16"/>
  <c r="AT464" i="16"/>
  <c r="AS464" i="16"/>
  <c r="AL464" i="16"/>
  <c r="GI465" i="16" s="1"/>
  <c r="AK464" i="16"/>
  <c r="EA464" i="16" s="1"/>
  <c r="AJ464" i="16"/>
  <c r="BS464" i="16" s="1"/>
  <c r="AI464" i="16"/>
  <c r="CU464" i="16" s="1"/>
  <c r="AG464" i="16"/>
  <c r="AF464" i="16"/>
  <c r="AE464" i="16"/>
  <c r="BA463" i="16"/>
  <c r="AW463" i="16"/>
  <c r="AV463" i="16"/>
  <c r="AM463" i="16"/>
  <c r="EP455" i="16"/>
  <c r="FK454" i="16"/>
  <c r="FM454" i="16" s="1"/>
  <c r="EP454" i="16"/>
  <c r="ER454" i="16" s="1"/>
  <c r="DW454" i="16"/>
  <c r="DU454" i="16"/>
  <c r="DT454" i="16"/>
  <c r="DV454" i="16" s="1"/>
  <c r="DK454" i="16"/>
  <c r="DN454" i="16" s="1"/>
  <c r="D454" i="16" s="1"/>
  <c r="DH454" i="16"/>
  <c r="CR454" i="16"/>
  <c r="CQ454" i="16"/>
  <c r="CP454" i="16"/>
  <c r="CO454" i="16"/>
  <c r="CN454" i="16"/>
  <c r="CM454" i="16"/>
  <c r="CL454" i="16"/>
  <c r="AU454" i="16"/>
  <c r="AT454" i="16"/>
  <c r="AS454" i="16"/>
  <c r="AG454" i="16"/>
  <c r="AF454" i="16"/>
  <c r="AE454" i="16"/>
  <c r="FK453" i="16"/>
  <c r="FM453" i="16" s="1"/>
  <c r="EP453" i="16"/>
  <c r="ER453" i="16" s="1"/>
  <c r="DW453" i="16"/>
  <c r="DU453" i="16"/>
  <c r="DT453" i="16"/>
  <c r="DV453" i="16" s="1"/>
  <c r="DK453" i="16"/>
  <c r="DR453" i="16" s="1"/>
  <c r="DH453" i="16"/>
  <c r="CR453" i="16"/>
  <c r="CQ453" i="16"/>
  <c r="CP453" i="16"/>
  <c r="CO453" i="16"/>
  <c r="CN453" i="16"/>
  <c r="CM453" i="16"/>
  <c r="CL453" i="16"/>
  <c r="AU453" i="16"/>
  <c r="AT453" i="16"/>
  <c r="AS453" i="16"/>
  <c r="AG453" i="16"/>
  <c r="AF453" i="16"/>
  <c r="AE453" i="16"/>
  <c r="FK452" i="16"/>
  <c r="FM452" i="16" s="1"/>
  <c r="EP452" i="16"/>
  <c r="ER452" i="16" s="1"/>
  <c r="DW452" i="16"/>
  <c r="DU452" i="16"/>
  <c r="DT452" i="16"/>
  <c r="DV452" i="16" s="1"/>
  <c r="DL452" i="16"/>
  <c r="DS452" i="16" s="1"/>
  <c r="DK452" i="16"/>
  <c r="DN452" i="16" s="1"/>
  <c r="D452" i="16" s="1"/>
  <c r="DH452" i="16"/>
  <c r="DG452" i="16"/>
  <c r="DY452" i="16" s="1"/>
  <c r="CR452" i="16"/>
  <c r="CQ452" i="16"/>
  <c r="CP452" i="16"/>
  <c r="CO452" i="16"/>
  <c r="CN452" i="16"/>
  <c r="CM452" i="16"/>
  <c r="CL452" i="16"/>
  <c r="CD452" i="16"/>
  <c r="CE452" i="16" s="1"/>
  <c r="CF452" i="16" s="1"/>
  <c r="CG452" i="16" s="1"/>
  <c r="BU452" i="16"/>
  <c r="BV452" i="16" s="1"/>
  <c r="BW452" i="16" s="1"/>
  <c r="BX452" i="16" s="1"/>
  <c r="AZ452" i="16"/>
  <c r="AY452" i="16"/>
  <c r="AX452" i="16"/>
  <c r="AW452" i="16"/>
  <c r="CV452" i="16" s="1"/>
  <c r="AU452" i="16"/>
  <c r="AT452" i="16"/>
  <c r="AS452" i="16"/>
  <c r="AL452" i="16"/>
  <c r="AK452" i="16"/>
  <c r="DX452" i="16" s="1"/>
  <c r="AJ452" i="16"/>
  <c r="EO452" i="16" s="1"/>
  <c r="AI452" i="16"/>
  <c r="CU452" i="16" s="1"/>
  <c r="AG452" i="16"/>
  <c r="AF452" i="16"/>
  <c r="AE452" i="16"/>
  <c r="FK451" i="16"/>
  <c r="FM451" i="16" s="1"/>
  <c r="EP451" i="16"/>
  <c r="ER451" i="16" s="1"/>
  <c r="DW451" i="16"/>
  <c r="DU451" i="16"/>
  <c r="DT451" i="16"/>
  <c r="DV451" i="16" s="1"/>
  <c r="DL451" i="16"/>
  <c r="DS451" i="16" s="1"/>
  <c r="DK451" i="16"/>
  <c r="DR451" i="16" s="1"/>
  <c r="DH451" i="16"/>
  <c r="DG451" i="16"/>
  <c r="EB451" i="16" s="1"/>
  <c r="CR451" i="16"/>
  <c r="CQ451" i="16"/>
  <c r="CP451" i="16"/>
  <c r="CO451" i="16"/>
  <c r="CN451" i="16"/>
  <c r="CM451" i="16"/>
  <c r="CL451" i="16"/>
  <c r="CD451" i="16"/>
  <c r="CE451" i="16" s="1"/>
  <c r="CF451" i="16" s="1"/>
  <c r="CG451" i="16" s="1"/>
  <c r="BU451" i="16"/>
  <c r="BV451" i="16" s="1"/>
  <c r="BW451" i="16" s="1"/>
  <c r="BX451" i="16" s="1"/>
  <c r="AZ451" i="16"/>
  <c r="BR451" i="16" s="1"/>
  <c r="AY451" i="16"/>
  <c r="GL453" i="16" s="1"/>
  <c r="GL454" i="16" s="1"/>
  <c r="HJ453" i="16" s="1"/>
  <c r="AX451" i="16"/>
  <c r="BT451" i="16" s="1"/>
  <c r="AW451" i="16"/>
  <c r="AU451" i="16"/>
  <c r="AT451" i="16"/>
  <c r="AS451" i="16"/>
  <c r="AL451" i="16"/>
  <c r="AK451" i="16"/>
  <c r="GL451" i="16" s="1"/>
  <c r="GL452" i="16" s="1"/>
  <c r="HJ451" i="16" s="1"/>
  <c r="AJ451" i="16"/>
  <c r="GK451" i="16" s="1"/>
  <c r="AI451" i="16"/>
  <c r="CU451" i="16" s="1"/>
  <c r="AG451" i="16"/>
  <c r="AF451" i="16"/>
  <c r="AE451" i="16"/>
  <c r="FK450" i="16"/>
  <c r="FM450" i="16" s="1"/>
  <c r="EP450" i="16"/>
  <c r="ER450" i="16" s="1"/>
  <c r="DL450" i="16"/>
  <c r="HT452" i="16" s="1"/>
  <c r="DK450" i="16"/>
  <c r="DH450" i="16"/>
  <c r="DG450" i="16"/>
  <c r="CR450" i="16"/>
  <c r="CQ450" i="16"/>
  <c r="CP450" i="16"/>
  <c r="CO450" i="16"/>
  <c r="CN450" i="16"/>
  <c r="CM450" i="16"/>
  <c r="CL450" i="16"/>
  <c r="CD450" i="16"/>
  <c r="CE450" i="16" s="1"/>
  <c r="CF450" i="16" s="1"/>
  <c r="CG450" i="16" s="1"/>
  <c r="BU450" i="16"/>
  <c r="BV450" i="16" s="1"/>
  <c r="BW450" i="16" s="1"/>
  <c r="BX450" i="16" s="1"/>
  <c r="AZ450" i="16"/>
  <c r="AY450" i="16"/>
  <c r="AX450" i="16"/>
  <c r="GG453" i="16" s="1"/>
  <c r="AW450" i="16"/>
  <c r="AU450" i="16"/>
  <c r="AT450" i="16"/>
  <c r="AS450" i="16"/>
  <c r="AL450" i="16"/>
  <c r="GI451" i="16" s="1"/>
  <c r="AK450" i="16"/>
  <c r="AJ450" i="16"/>
  <c r="BS450" i="16" s="1"/>
  <c r="AI450" i="16"/>
  <c r="CU450" i="16" s="1"/>
  <c r="AG450" i="16"/>
  <c r="AF450" i="16"/>
  <c r="AE450" i="16"/>
  <c r="BA449" i="16"/>
  <c r="AW449" i="16"/>
  <c r="AV449" i="16"/>
  <c r="AM449" i="16"/>
  <c r="EP441" i="16"/>
  <c r="FK440" i="16"/>
  <c r="FM440" i="16" s="1"/>
  <c r="EP440" i="16"/>
  <c r="ER440" i="16" s="1"/>
  <c r="DW440" i="16"/>
  <c r="DU440" i="16"/>
  <c r="DT440" i="16"/>
  <c r="DV440" i="16" s="1"/>
  <c r="DK440" i="16"/>
  <c r="DR440" i="16" s="1"/>
  <c r="DH440" i="16"/>
  <c r="CR440" i="16"/>
  <c r="CQ440" i="16"/>
  <c r="CP440" i="16"/>
  <c r="CO440" i="16"/>
  <c r="CN440" i="16"/>
  <c r="CM440" i="16"/>
  <c r="CL440" i="16"/>
  <c r="AU440" i="16"/>
  <c r="AT440" i="16"/>
  <c r="AS440" i="16"/>
  <c r="AG440" i="16"/>
  <c r="AF440" i="16"/>
  <c r="AE440" i="16"/>
  <c r="FK439" i="16"/>
  <c r="FM439" i="16" s="1"/>
  <c r="EP439" i="16"/>
  <c r="ER439" i="16" s="1"/>
  <c r="DW439" i="16"/>
  <c r="DU439" i="16"/>
  <c r="DT439" i="16"/>
  <c r="DV439" i="16" s="1"/>
  <c r="DK439" i="16"/>
  <c r="DR439" i="16" s="1"/>
  <c r="DH439" i="16"/>
  <c r="CR439" i="16"/>
  <c r="CQ439" i="16"/>
  <c r="CP439" i="16"/>
  <c r="CO439" i="16"/>
  <c r="CN439" i="16"/>
  <c r="CM439" i="16"/>
  <c r="CL439" i="16"/>
  <c r="AU439" i="16"/>
  <c r="AT439" i="16"/>
  <c r="AS439" i="16"/>
  <c r="AG439" i="16"/>
  <c r="AF439" i="16"/>
  <c r="AE439" i="16"/>
  <c r="FK438" i="16"/>
  <c r="FM438" i="16" s="1"/>
  <c r="EP438" i="16"/>
  <c r="ER438" i="16" s="1"/>
  <c r="DW438" i="16"/>
  <c r="DU438" i="16"/>
  <c r="DT438" i="16"/>
  <c r="DV438" i="16" s="1"/>
  <c r="DL438" i="16"/>
  <c r="DS438" i="16" s="1"/>
  <c r="DK438" i="16"/>
  <c r="DN438" i="16" s="1"/>
  <c r="D438" i="16" s="1"/>
  <c r="DH438" i="16"/>
  <c r="DG438" i="16"/>
  <c r="CR438" i="16"/>
  <c r="CQ438" i="16"/>
  <c r="CP438" i="16"/>
  <c r="CO438" i="16"/>
  <c r="CN438" i="16"/>
  <c r="CM438" i="16"/>
  <c r="CL438" i="16"/>
  <c r="CD438" i="16"/>
  <c r="CE438" i="16" s="1"/>
  <c r="CF438" i="16" s="1"/>
  <c r="CG438" i="16" s="1"/>
  <c r="BU438" i="16"/>
  <c r="BV438" i="16" s="1"/>
  <c r="BW438" i="16" s="1"/>
  <c r="BX438" i="16" s="1"/>
  <c r="AZ438" i="16"/>
  <c r="AY438" i="16"/>
  <c r="AX438" i="16"/>
  <c r="GA438" i="16" s="1"/>
  <c r="AW438" i="16"/>
  <c r="AU438" i="16"/>
  <c r="AT438" i="16"/>
  <c r="AS438" i="16"/>
  <c r="AL438" i="16"/>
  <c r="AK438" i="16"/>
  <c r="AJ438" i="16"/>
  <c r="GO437" i="16" s="1"/>
  <c r="AI438" i="16"/>
  <c r="CU438" i="16" s="1"/>
  <c r="AG438" i="16"/>
  <c r="AF438" i="16"/>
  <c r="AE438" i="16"/>
  <c r="FK437" i="16"/>
  <c r="FM437" i="16" s="1"/>
  <c r="EP437" i="16"/>
  <c r="ER437" i="16" s="1"/>
  <c r="DW437" i="16"/>
  <c r="DU437" i="16"/>
  <c r="DT437" i="16"/>
  <c r="DV437" i="16" s="1"/>
  <c r="DL437" i="16"/>
  <c r="DS437" i="16" s="1"/>
  <c r="DK437" i="16"/>
  <c r="DN437" i="16" s="1"/>
  <c r="D437" i="16" s="1"/>
  <c r="DH437" i="16"/>
  <c r="DG437" i="16"/>
  <c r="EB437" i="16" s="1"/>
  <c r="CR437" i="16"/>
  <c r="CQ437" i="16"/>
  <c r="CP437" i="16"/>
  <c r="CO437" i="16"/>
  <c r="CN437" i="16"/>
  <c r="CM437" i="16"/>
  <c r="CL437" i="16"/>
  <c r="CD437" i="16"/>
  <c r="CE437" i="16" s="1"/>
  <c r="CF437" i="16" s="1"/>
  <c r="CG437" i="16" s="1"/>
  <c r="BU437" i="16"/>
  <c r="BV437" i="16" s="1"/>
  <c r="BW437" i="16" s="1"/>
  <c r="BX437" i="16" s="1"/>
  <c r="AZ437" i="16"/>
  <c r="AY437" i="16"/>
  <c r="GL439" i="16" s="1"/>
  <c r="GL440" i="16" s="1"/>
  <c r="HJ439" i="16" s="1"/>
  <c r="AX437" i="16"/>
  <c r="BT437" i="16" s="1"/>
  <c r="AW437" i="16"/>
  <c r="CV437" i="16" s="1"/>
  <c r="AU437" i="16"/>
  <c r="AT437" i="16"/>
  <c r="AS437" i="16"/>
  <c r="AL437" i="16"/>
  <c r="AK437" i="16"/>
  <c r="GL437" i="16" s="1"/>
  <c r="GL438" i="16" s="1"/>
  <c r="HJ437" i="16" s="1"/>
  <c r="AJ437" i="16"/>
  <c r="AI437" i="16"/>
  <c r="CU437" i="16" s="1"/>
  <c r="AG437" i="16"/>
  <c r="AF437" i="16"/>
  <c r="AE437" i="16"/>
  <c r="FK436" i="16"/>
  <c r="FM436" i="16" s="1"/>
  <c r="EP436" i="16"/>
  <c r="ER436" i="16" s="1"/>
  <c r="DL436" i="16"/>
  <c r="HT438" i="16" s="1"/>
  <c r="DK436" i="16"/>
  <c r="HS438" i="16" s="1"/>
  <c r="DH436" i="16"/>
  <c r="DG436" i="16"/>
  <c r="DY436" i="16" s="1"/>
  <c r="CR436" i="16"/>
  <c r="CQ436" i="16"/>
  <c r="CP436" i="16"/>
  <c r="CO436" i="16"/>
  <c r="CN436" i="16"/>
  <c r="CM436" i="16"/>
  <c r="CL436" i="16"/>
  <c r="CD436" i="16"/>
  <c r="CE436" i="16" s="1"/>
  <c r="CF436" i="16" s="1"/>
  <c r="CG436" i="16" s="1"/>
  <c r="BU436" i="16"/>
  <c r="BV436" i="16" s="1"/>
  <c r="BW436" i="16" s="1"/>
  <c r="BX436" i="16" s="1"/>
  <c r="AZ436" i="16"/>
  <c r="AY436" i="16"/>
  <c r="GH439" i="16" s="1"/>
  <c r="GH440" i="16" s="1"/>
  <c r="HI439" i="16" s="1"/>
  <c r="AX436" i="16"/>
  <c r="AW436" i="16"/>
  <c r="AU436" i="16"/>
  <c r="AT436" i="16"/>
  <c r="AS436" i="16"/>
  <c r="AL436" i="16"/>
  <c r="GI437" i="16" s="1"/>
  <c r="AK436" i="16"/>
  <c r="GH437" i="16" s="1"/>
  <c r="GH438" i="16" s="1"/>
  <c r="HI437" i="16" s="1"/>
  <c r="AJ436" i="16"/>
  <c r="DD436" i="16" s="1"/>
  <c r="AI436" i="16"/>
  <c r="AG436" i="16"/>
  <c r="AF436" i="16"/>
  <c r="AE436" i="16"/>
  <c r="BA435" i="16"/>
  <c r="AW435" i="16"/>
  <c r="AV435" i="16"/>
  <c r="AM435" i="16"/>
  <c r="EP427" i="16"/>
  <c r="FK426" i="16"/>
  <c r="FM426" i="16" s="1"/>
  <c r="EP426" i="16"/>
  <c r="ER426" i="16" s="1"/>
  <c r="DW426" i="16"/>
  <c r="DU426" i="16"/>
  <c r="DT426" i="16"/>
  <c r="DV426" i="16" s="1"/>
  <c r="DK426" i="16"/>
  <c r="DH426" i="16"/>
  <c r="CR426" i="16"/>
  <c r="CQ426" i="16"/>
  <c r="CP426" i="16"/>
  <c r="CO426" i="16"/>
  <c r="CN426" i="16"/>
  <c r="CM426" i="16"/>
  <c r="CL426" i="16"/>
  <c r="AU426" i="16"/>
  <c r="AT426" i="16"/>
  <c r="AS426" i="16"/>
  <c r="AG426" i="16"/>
  <c r="AF426" i="16"/>
  <c r="AE426" i="16"/>
  <c r="FK425" i="16"/>
  <c r="FM425" i="16" s="1"/>
  <c r="EP425" i="16"/>
  <c r="ER425" i="16" s="1"/>
  <c r="DW425" i="16"/>
  <c r="DU425" i="16"/>
  <c r="DT425" i="16"/>
  <c r="DV425" i="16" s="1"/>
  <c r="DK425" i="16"/>
  <c r="DR425" i="16" s="1"/>
  <c r="DH425" i="16"/>
  <c r="CR425" i="16"/>
  <c r="CQ425" i="16"/>
  <c r="CP425" i="16"/>
  <c r="CO425" i="16"/>
  <c r="CN425" i="16"/>
  <c r="CM425" i="16"/>
  <c r="CL425" i="16"/>
  <c r="AU425" i="16"/>
  <c r="AT425" i="16"/>
  <c r="AS425" i="16"/>
  <c r="AG425" i="16"/>
  <c r="AF425" i="16"/>
  <c r="AE425" i="16"/>
  <c r="FK424" i="16"/>
  <c r="FM424" i="16" s="1"/>
  <c r="EP424" i="16"/>
  <c r="ER424" i="16" s="1"/>
  <c r="DW424" i="16"/>
  <c r="DU424" i="16"/>
  <c r="DT424" i="16"/>
  <c r="DV424" i="16" s="1"/>
  <c r="DL424" i="16"/>
  <c r="DK424" i="16"/>
  <c r="DR424" i="16" s="1"/>
  <c r="DH424" i="16"/>
  <c r="DG424" i="16"/>
  <c r="DY424" i="16" s="1"/>
  <c r="CR424" i="16"/>
  <c r="CQ424" i="16"/>
  <c r="CP424" i="16"/>
  <c r="CO424" i="16"/>
  <c r="CN424" i="16"/>
  <c r="CM424" i="16"/>
  <c r="CL424" i="16"/>
  <c r="CD424" i="16"/>
  <c r="CE424" i="16" s="1"/>
  <c r="CF424" i="16" s="1"/>
  <c r="CG424" i="16" s="1"/>
  <c r="BU424" i="16"/>
  <c r="BV424" i="16" s="1"/>
  <c r="BW424" i="16" s="1"/>
  <c r="BX424" i="16" s="1"/>
  <c r="AZ424" i="16"/>
  <c r="AY424" i="16"/>
  <c r="GP425" i="16" s="1"/>
  <c r="GP426" i="16" s="1"/>
  <c r="HK425" i="16" s="1"/>
  <c r="AX424" i="16"/>
  <c r="GO425" i="16" s="1"/>
  <c r="AW424" i="16"/>
  <c r="CV424" i="16" s="1"/>
  <c r="AU424" i="16"/>
  <c r="AT424" i="16"/>
  <c r="AS424" i="16"/>
  <c r="AL424" i="16"/>
  <c r="GQ423" i="16" s="1"/>
  <c r="AK424" i="16"/>
  <c r="EA424" i="16" s="1"/>
  <c r="AJ424" i="16"/>
  <c r="DD424" i="16" s="1"/>
  <c r="AI424" i="16"/>
  <c r="AG424" i="16"/>
  <c r="AF424" i="16"/>
  <c r="AE424" i="16"/>
  <c r="FK423" i="16"/>
  <c r="FM423" i="16" s="1"/>
  <c r="EP423" i="16"/>
  <c r="ER423" i="16" s="1"/>
  <c r="DW423" i="16"/>
  <c r="DU423" i="16"/>
  <c r="DT423" i="16"/>
  <c r="DV423" i="16" s="1"/>
  <c r="DL423" i="16"/>
  <c r="DS423" i="16" s="1"/>
  <c r="DK423" i="16"/>
  <c r="DR423" i="16" s="1"/>
  <c r="DH423" i="16"/>
  <c r="DG423" i="16"/>
  <c r="EB423" i="16" s="1"/>
  <c r="CR423" i="16"/>
  <c r="CQ423" i="16"/>
  <c r="CP423" i="16"/>
  <c r="CO423" i="16"/>
  <c r="CN423" i="16"/>
  <c r="CM423" i="16"/>
  <c r="CL423" i="16"/>
  <c r="CD423" i="16"/>
  <c r="CE423" i="16" s="1"/>
  <c r="CF423" i="16" s="1"/>
  <c r="CG423" i="16" s="1"/>
  <c r="BU423" i="16"/>
  <c r="BV423" i="16" s="1"/>
  <c r="BW423" i="16" s="1"/>
  <c r="BX423" i="16" s="1"/>
  <c r="AZ423" i="16"/>
  <c r="AY423" i="16"/>
  <c r="AX423" i="16"/>
  <c r="GK425" i="16" s="1"/>
  <c r="AW423" i="16"/>
  <c r="AU423" i="16"/>
  <c r="AT423" i="16"/>
  <c r="AS423" i="16"/>
  <c r="AL423" i="16"/>
  <c r="AK423" i="16"/>
  <c r="AJ423" i="16"/>
  <c r="DE423" i="16" s="1"/>
  <c r="AI423" i="16"/>
  <c r="AG423" i="16"/>
  <c r="AF423" i="16"/>
  <c r="AE423" i="16"/>
  <c r="FK422" i="16"/>
  <c r="FM422" i="16" s="1"/>
  <c r="EP422" i="16"/>
  <c r="ER422" i="16" s="1"/>
  <c r="DL422" i="16"/>
  <c r="HT424" i="16" s="1"/>
  <c r="DK422" i="16"/>
  <c r="DN422" i="16" s="1"/>
  <c r="D422" i="16" s="1"/>
  <c r="DH422" i="16"/>
  <c r="DG422" i="16"/>
  <c r="DI422" i="16" s="1"/>
  <c r="DJ422" i="16" s="1"/>
  <c r="CR422" i="16"/>
  <c r="CQ422" i="16"/>
  <c r="CP422" i="16"/>
  <c r="CO422" i="16"/>
  <c r="CN422" i="16"/>
  <c r="CM422" i="16"/>
  <c r="CL422" i="16"/>
  <c r="CD422" i="16"/>
  <c r="CE422" i="16" s="1"/>
  <c r="CF422" i="16" s="1"/>
  <c r="CG422" i="16" s="1"/>
  <c r="BU422" i="16"/>
  <c r="BV422" i="16" s="1"/>
  <c r="BW422" i="16" s="1"/>
  <c r="BX422" i="16" s="1"/>
  <c r="AZ422" i="16"/>
  <c r="AY422" i="16"/>
  <c r="AX422" i="16"/>
  <c r="GG425" i="16" s="1"/>
  <c r="AW422" i="16"/>
  <c r="AU422" i="16"/>
  <c r="AT422" i="16"/>
  <c r="AS422" i="16"/>
  <c r="AL422" i="16"/>
  <c r="GI423" i="16" s="1"/>
  <c r="AK422" i="16"/>
  <c r="AJ422" i="16"/>
  <c r="AI422" i="16"/>
  <c r="AG422" i="16"/>
  <c r="AF422" i="16"/>
  <c r="AE422" i="16"/>
  <c r="BA421" i="16"/>
  <c r="AW421" i="16"/>
  <c r="AV421" i="16"/>
  <c r="AM421" i="16"/>
  <c r="AI421" i="16"/>
  <c r="AH421" i="16"/>
  <c r="EP413" i="16"/>
  <c r="FK412" i="16"/>
  <c r="FM412" i="16" s="1"/>
  <c r="EP412" i="16"/>
  <c r="ER412" i="16" s="1"/>
  <c r="DW412" i="16"/>
  <c r="DU412" i="16"/>
  <c r="DT412" i="16"/>
  <c r="DV412" i="16" s="1"/>
  <c r="DK412" i="16"/>
  <c r="DR412" i="16" s="1"/>
  <c r="DH412" i="16"/>
  <c r="CR412" i="16"/>
  <c r="CQ412" i="16"/>
  <c r="CP412" i="16"/>
  <c r="CO412" i="16"/>
  <c r="CN412" i="16"/>
  <c r="CM412" i="16"/>
  <c r="CL412" i="16"/>
  <c r="AU412" i="16"/>
  <c r="AT412" i="16"/>
  <c r="AS412" i="16"/>
  <c r="AG412" i="16"/>
  <c r="AF412" i="16"/>
  <c r="AE412" i="16"/>
  <c r="FK411" i="16"/>
  <c r="FM411" i="16" s="1"/>
  <c r="EP411" i="16"/>
  <c r="ER411" i="16" s="1"/>
  <c r="DW411" i="16"/>
  <c r="DU411" i="16"/>
  <c r="DT411" i="16"/>
  <c r="DV411" i="16" s="1"/>
  <c r="DK411" i="16"/>
  <c r="DN411" i="16" s="1"/>
  <c r="D411" i="16" s="1"/>
  <c r="DH411" i="16"/>
  <c r="CR411" i="16"/>
  <c r="CQ411" i="16"/>
  <c r="CP411" i="16"/>
  <c r="CO411" i="16"/>
  <c r="CN411" i="16"/>
  <c r="CM411" i="16"/>
  <c r="CL411" i="16"/>
  <c r="AU411" i="16"/>
  <c r="AT411" i="16"/>
  <c r="AS411" i="16"/>
  <c r="AG411" i="16"/>
  <c r="AF411" i="16"/>
  <c r="AE411" i="16"/>
  <c r="FK410" i="16"/>
  <c r="FM410" i="16" s="1"/>
  <c r="EP410" i="16"/>
  <c r="ER410" i="16" s="1"/>
  <c r="DW410" i="16"/>
  <c r="DU410" i="16"/>
  <c r="DT410" i="16"/>
  <c r="DV410" i="16" s="1"/>
  <c r="DL410" i="16"/>
  <c r="DS410" i="16" s="1"/>
  <c r="DK410" i="16"/>
  <c r="DN410" i="16" s="1"/>
  <c r="D410" i="16" s="1"/>
  <c r="DH410" i="16"/>
  <c r="DG410" i="16"/>
  <c r="DY410" i="16" s="1"/>
  <c r="CR410" i="16"/>
  <c r="CQ410" i="16"/>
  <c r="CP410" i="16"/>
  <c r="CO410" i="16"/>
  <c r="CN410" i="16"/>
  <c r="CM410" i="16"/>
  <c r="CL410" i="16"/>
  <c r="CD410" i="16"/>
  <c r="CE410" i="16" s="1"/>
  <c r="CF410" i="16" s="1"/>
  <c r="CG410" i="16" s="1"/>
  <c r="BU410" i="16"/>
  <c r="BV410" i="16" s="1"/>
  <c r="BW410" i="16" s="1"/>
  <c r="BX410" i="16" s="1"/>
  <c r="AZ410" i="16"/>
  <c r="GQ411" i="16" s="1"/>
  <c r="AY410" i="16"/>
  <c r="BO410" i="16" s="1"/>
  <c r="AX410" i="16"/>
  <c r="GA410" i="16" s="1"/>
  <c r="AW410" i="16"/>
  <c r="AU410" i="16"/>
  <c r="AT410" i="16"/>
  <c r="AS410" i="16"/>
  <c r="AL410" i="16"/>
  <c r="GQ409" i="16" s="1"/>
  <c r="AK410" i="16"/>
  <c r="EA410" i="16" s="1"/>
  <c r="AJ410" i="16"/>
  <c r="DE410" i="16" s="1"/>
  <c r="AI410" i="16"/>
  <c r="AG410" i="16"/>
  <c r="AF410" i="16"/>
  <c r="AE410" i="16"/>
  <c r="FK409" i="16"/>
  <c r="FM409" i="16" s="1"/>
  <c r="EP409" i="16"/>
  <c r="ER409" i="16" s="1"/>
  <c r="DW409" i="16"/>
  <c r="DU409" i="16"/>
  <c r="DT409" i="16"/>
  <c r="DV409" i="16" s="1"/>
  <c r="DL409" i="16"/>
  <c r="DS409" i="16" s="1"/>
  <c r="DK409" i="16"/>
  <c r="DR409" i="16" s="1"/>
  <c r="DH409" i="16"/>
  <c r="DG409" i="16"/>
  <c r="EB409" i="16" s="1"/>
  <c r="CR409" i="16"/>
  <c r="CQ409" i="16"/>
  <c r="CP409" i="16"/>
  <c r="CO409" i="16"/>
  <c r="CN409" i="16"/>
  <c r="CM409" i="16"/>
  <c r="CL409" i="16"/>
  <c r="CD409" i="16"/>
  <c r="CE409" i="16" s="1"/>
  <c r="CF409" i="16" s="1"/>
  <c r="CG409" i="16" s="1"/>
  <c r="BU409" i="16"/>
  <c r="BV409" i="16" s="1"/>
  <c r="BW409" i="16" s="1"/>
  <c r="BX409" i="16" s="1"/>
  <c r="AZ409" i="16"/>
  <c r="GM411" i="16" s="1"/>
  <c r="AY409" i="16"/>
  <c r="AX409" i="16"/>
  <c r="AW409" i="16"/>
  <c r="AU409" i="16"/>
  <c r="AT409" i="16"/>
  <c r="AS409" i="16"/>
  <c r="AL409" i="16"/>
  <c r="AK409" i="16"/>
  <c r="AJ409" i="16"/>
  <c r="DD409" i="16" s="1"/>
  <c r="AI409" i="16"/>
  <c r="AG409" i="16"/>
  <c r="AF409" i="16"/>
  <c r="AE409" i="16"/>
  <c r="FK408" i="16"/>
  <c r="FM408" i="16" s="1"/>
  <c r="EP408" i="16"/>
  <c r="ER408" i="16" s="1"/>
  <c r="DL408" i="16"/>
  <c r="HT410" i="16" s="1"/>
  <c r="DK408" i="16"/>
  <c r="DP408" i="16" s="1"/>
  <c r="DH408" i="16"/>
  <c r="DG408" i="16"/>
  <c r="CR408" i="16"/>
  <c r="CQ408" i="16"/>
  <c r="CP408" i="16"/>
  <c r="CO408" i="16"/>
  <c r="CN408" i="16"/>
  <c r="CM408" i="16"/>
  <c r="CL408" i="16"/>
  <c r="CD408" i="16"/>
  <c r="CE408" i="16" s="1"/>
  <c r="CF408" i="16" s="1"/>
  <c r="CG408" i="16" s="1"/>
  <c r="BU408" i="16"/>
  <c r="BV408" i="16" s="1"/>
  <c r="BW408" i="16" s="1"/>
  <c r="BX408" i="16" s="1"/>
  <c r="AZ408" i="16"/>
  <c r="AY408" i="16"/>
  <c r="AX408" i="16"/>
  <c r="GG411" i="16" s="1"/>
  <c r="AW408" i="16"/>
  <c r="CV408" i="16" s="1"/>
  <c r="AU408" i="16"/>
  <c r="AT408" i="16"/>
  <c r="AS408" i="16"/>
  <c r="AL408" i="16"/>
  <c r="AK408" i="16"/>
  <c r="EM408" i="16" s="1"/>
  <c r="AJ408" i="16"/>
  <c r="AI408" i="16"/>
  <c r="AG408" i="16"/>
  <c r="AF408" i="16"/>
  <c r="AE408" i="16"/>
  <c r="BA407" i="16"/>
  <c r="AW407" i="16"/>
  <c r="AV407" i="16"/>
  <c r="AM407" i="16"/>
  <c r="AI407" i="16"/>
  <c r="AH407" i="16"/>
  <c r="EP399" i="16"/>
  <c r="FK398" i="16"/>
  <c r="FM398" i="16" s="1"/>
  <c r="EP398" i="16"/>
  <c r="ER398" i="16" s="1"/>
  <c r="DW398" i="16"/>
  <c r="DU398" i="16"/>
  <c r="DT398" i="16"/>
  <c r="DV398" i="16" s="1"/>
  <c r="DK398" i="16"/>
  <c r="DN398" i="16" s="1"/>
  <c r="D398" i="16" s="1"/>
  <c r="DH398" i="16"/>
  <c r="CR398" i="16"/>
  <c r="CQ398" i="16"/>
  <c r="CP398" i="16"/>
  <c r="CO398" i="16"/>
  <c r="CN398" i="16"/>
  <c r="CM398" i="16"/>
  <c r="CL398" i="16"/>
  <c r="AU398" i="16"/>
  <c r="AT398" i="16"/>
  <c r="AS398" i="16"/>
  <c r="AG398" i="16"/>
  <c r="AF398" i="16"/>
  <c r="AE398" i="16"/>
  <c r="FK397" i="16"/>
  <c r="FM397" i="16" s="1"/>
  <c r="EP397" i="16"/>
  <c r="ER397" i="16" s="1"/>
  <c r="DW397" i="16"/>
  <c r="DU397" i="16"/>
  <c r="DT397" i="16"/>
  <c r="DV397" i="16" s="1"/>
  <c r="DK397" i="16"/>
  <c r="DN397" i="16" s="1"/>
  <c r="D397" i="16" s="1"/>
  <c r="DH397" i="16"/>
  <c r="CR397" i="16"/>
  <c r="CQ397" i="16"/>
  <c r="CP397" i="16"/>
  <c r="CO397" i="16"/>
  <c r="CN397" i="16"/>
  <c r="CM397" i="16"/>
  <c r="CL397" i="16"/>
  <c r="AU397" i="16"/>
  <c r="AT397" i="16"/>
  <c r="AS397" i="16"/>
  <c r="AG397" i="16"/>
  <c r="AF397" i="16"/>
  <c r="AE397" i="16"/>
  <c r="FK396" i="16"/>
  <c r="FM396" i="16" s="1"/>
  <c r="EP396" i="16"/>
  <c r="ER396" i="16" s="1"/>
  <c r="DW396" i="16"/>
  <c r="DU396" i="16"/>
  <c r="DT396" i="16"/>
  <c r="DV396" i="16" s="1"/>
  <c r="DL396" i="16"/>
  <c r="DK396" i="16"/>
  <c r="DN396" i="16" s="1"/>
  <c r="D396" i="16" s="1"/>
  <c r="DH396" i="16"/>
  <c r="DG396" i="16"/>
  <c r="DY396" i="16" s="1"/>
  <c r="CR396" i="16"/>
  <c r="CQ396" i="16"/>
  <c r="CP396" i="16"/>
  <c r="CO396" i="16"/>
  <c r="CN396" i="16"/>
  <c r="CM396" i="16"/>
  <c r="CL396" i="16"/>
  <c r="CD396" i="16"/>
  <c r="CE396" i="16" s="1"/>
  <c r="CF396" i="16" s="1"/>
  <c r="CG396" i="16" s="1"/>
  <c r="BU396" i="16"/>
  <c r="BV396" i="16" s="1"/>
  <c r="BW396" i="16" s="1"/>
  <c r="BX396" i="16" s="1"/>
  <c r="AZ396" i="16"/>
  <c r="AY396" i="16"/>
  <c r="AB396" i="16" s="1"/>
  <c r="AX396" i="16"/>
  <c r="AW396" i="16"/>
  <c r="AU396" i="16"/>
  <c r="AT396" i="16"/>
  <c r="AS396" i="16"/>
  <c r="AL396" i="16"/>
  <c r="GQ395" i="16" s="1"/>
  <c r="AK396" i="16"/>
  <c r="GP395" i="16" s="1"/>
  <c r="GP396" i="16" s="1"/>
  <c r="HK395" i="16" s="1"/>
  <c r="AJ396" i="16"/>
  <c r="AI396" i="16"/>
  <c r="CU396" i="16" s="1"/>
  <c r="AG396" i="16"/>
  <c r="AF396" i="16"/>
  <c r="AE396" i="16"/>
  <c r="FK395" i="16"/>
  <c r="FM395" i="16" s="1"/>
  <c r="EP395" i="16"/>
  <c r="ER395" i="16" s="1"/>
  <c r="DW395" i="16"/>
  <c r="DU395" i="16"/>
  <c r="DT395" i="16"/>
  <c r="DV395" i="16" s="1"/>
  <c r="DL395" i="16"/>
  <c r="DK395" i="16"/>
  <c r="DR395" i="16" s="1"/>
  <c r="DH395" i="16"/>
  <c r="DG395" i="16"/>
  <c r="DY395" i="16" s="1"/>
  <c r="CR395" i="16"/>
  <c r="CQ395" i="16"/>
  <c r="CP395" i="16"/>
  <c r="CO395" i="16"/>
  <c r="CN395" i="16"/>
  <c r="CM395" i="16"/>
  <c r="CL395" i="16"/>
  <c r="CD395" i="16"/>
  <c r="CE395" i="16" s="1"/>
  <c r="CF395" i="16" s="1"/>
  <c r="CG395" i="16" s="1"/>
  <c r="BU395" i="16"/>
  <c r="BV395" i="16" s="1"/>
  <c r="BW395" i="16" s="1"/>
  <c r="BX395" i="16" s="1"/>
  <c r="AZ395" i="16"/>
  <c r="AY395" i="16"/>
  <c r="AX395" i="16"/>
  <c r="BT395" i="16" s="1"/>
  <c r="AW395" i="16"/>
  <c r="CV395" i="16" s="1"/>
  <c r="AU395" i="16"/>
  <c r="AT395" i="16"/>
  <c r="AS395" i="16"/>
  <c r="AL395" i="16"/>
  <c r="AK395" i="16"/>
  <c r="AJ395" i="16"/>
  <c r="AI395" i="16"/>
  <c r="CU395" i="16" s="1"/>
  <c r="AG395" i="16"/>
  <c r="AF395" i="16"/>
  <c r="AE395" i="16"/>
  <c r="FK394" i="16"/>
  <c r="FM394" i="16" s="1"/>
  <c r="EP394" i="16"/>
  <c r="ER394" i="16" s="1"/>
  <c r="DL394" i="16"/>
  <c r="HT396" i="16" s="1"/>
  <c r="DK394" i="16"/>
  <c r="HS396" i="16" s="1"/>
  <c r="DH394" i="16"/>
  <c r="DG394" i="16"/>
  <c r="CR394" i="16"/>
  <c r="CQ394" i="16"/>
  <c r="CP394" i="16"/>
  <c r="CO394" i="16"/>
  <c r="CN394" i="16"/>
  <c r="CM394" i="16"/>
  <c r="CL394" i="16"/>
  <c r="CD394" i="16"/>
  <c r="CE394" i="16" s="1"/>
  <c r="CF394" i="16" s="1"/>
  <c r="CG394" i="16" s="1"/>
  <c r="BU394" i="16"/>
  <c r="BV394" i="16" s="1"/>
  <c r="BW394" i="16" s="1"/>
  <c r="BX394" i="16" s="1"/>
  <c r="AZ394" i="16"/>
  <c r="AY394" i="16"/>
  <c r="GH397" i="16" s="1"/>
  <c r="GH398" i="16" s="1"/>
  <c r="HI397" i="16" s="1"/>
  <c r="AX394" i="16"/>
  <c r="AW394" i="16"/>
  <c r="CV394" i="16" s="1"/>
  <c r="AU394" i="16"/>
  <c r="AT394" i="16"/>
  <c r="AS394" i="16"/>
  <c r="AL394" i="16"/>
  <c r="AK394" i="16"/>
  <c r="AJ394" i="16"/>
  <c r="AI394" i="16"/>
  <c r="AG394" i="16"/>
  <c r="AF394" i="16"/>
  <c r="AE394" i="16"/>
  <c r="BA393" i="16"/>
  <c r="AW393" i="16"/>
  <c r="AV393" i="16"/>
  <c r="AM393" i="16"/>
  <c r="AI393" i="16"/>
  <c r="AH393" i="16"/>
  <c r="EP385" i="16"/>
  <c r="FK384" i="16"/>
  <c r="FM384" i="16" s="1"/>
  <c r="EP384" i="16"/>
  <c r="ER384" i="16" s="1"/>
  <c r="DW384" i="16"/>
  <c r="DU384" i="16"/>
  <c r="DT384" i="16"/>
  <c r="DV384" i="16" s="1"/>
  <c r="DK384" i="16"/>
  <c r="DH384" i="16"/>
  <c r="CR384" i="16"/>
  <c r="CQ384" i="16"/>
  <c r="CP384" i="16"/>
  <c r="CO384" i="16"/>
  <c r="CN384" i="16"/>
  <c r="CM384" i="16"/>
  <c r="CL384" i="16"/>
  <c r="AU384" i="16"/>
  <c r="AT384" i="16"/>
  <c r="AS384" i="16"/>
  <c r="AG384" i="16"/>
  <c r="AF384" i="16"/>
  <c r="AE384" i="16"/>
  <c r="FK383" i="16"/>
  <c r="FM383" i="16" s="1"/>
  <c r="EP383" i="16"/>
  <c r="ER383" i="16" s="1"/>
  <c r="DW383" i="16"/>
  <c r="DU383" i="16"/>
  <c r="DT383" i="16"/>
  <c r="DV383" i="16" s="1"/>
  <c r="DK383" i="16"/>
  <c r="DR383" i="16" s="1"/>
  <c r="DH383" i="16"/>
  <c r="CR383" i="16"/>
  <c r="CQ383" i="16"/>
  <c r="CP383" i="16"/>
  <c r="CO383" i="16"/>
  <c r="CN383" i="16"/>
  <c r="CM383" i="16"/>
  <c r="CL383" i="16"/>
  <c r="AU383" i="16"/>
  <c r="AT383" i="16"/>
  <c r="AS383" i="16"/>
  <c r="AG383" i="16"/>
  <c r="AF383" i="16"/>
  <c r="AE383" i="16"/>
  <c r="FK382" i="16"/>
  <c r="FM382" i="16" s="1"/>
  <c r="EP382" i="16"/>
  <c r="ER382" i="16" s="1"/>
  <c r="DW382" i="16"/>
  <c r="DU382" i="16"/>
  <c r="DT382" i="16"/>
  <c r="DV382" i="16" s="1"/>
  <c r="DL382" i="16"/>
  <c r="DO382" i="16" s="1"/>
  <c r="S382" i="16" s="1"/>
  <c r="DK382" i="16"/>
  <c r="DN382" i="16" s="1"/>
  <c r="D382" i="16" s="1"/>
  <c r="DH382" i="16"/>
  <c r="DG382" i="16"/>
  <c r="DY382" i="16" s="1"/>
  <c r="CR382" i="16"/>
  <c r="CQ382" i="16"/>
  <c r="CP382" i="16"/>
  <c r="CO382" i="16"/>
  <c r="CN382" i="16"/>
  <c r="CM382" i="16"/>
  <c r="CL382" i="16"/>
  <c r="CD382" i="16"/>
  <c r="CE382" i="16" s="1"/>
  <c r="CF382" i="16" s="1"/>
  <c r="CG382" i="16" s="1"/>
  <c r="BU382" i="16"/>
  <c r="BV382" i="16" s="1"/>
  <c r="BW382" i="16" s="1"/>
  <c r="BX382" i="16" s="1"/>
  <c r="AZ382" i="16"/>
  <c r="AY382" i="16"/>
  <c r="AX382" i="16"/>
  <c r="BT382" i="16" s="1"/>
  <c r="AW382" i="16"/>
  <c r="AU382" i="16"/>
  <c r="AT382" i="16"/>
  <c r="AS382" i="16"/>
  <c r="AL382" i="16"/>
  <c r="AK382" i="16"/>
  <c r="GP381" i="16" s="1"/>
  <c r="GP382" i="16" s="1"/>
  <c r="HK381" i="16" s="1"/>
  <c r="AJ382" i="16"/>
  <c r="AI382" i="16"/>
  <c r="CU382" i="16" s="1"/>
  <c r="AG382" i="16"/>
  <c r="AF382" i="16"/>
  <c r="AE382" i="16"/>
  <c r="FK381" i="16"/>
  <c r="FM381" i="16" s="1"/>
  <c r="EP381" i="16"/>
  <c r="ER381" i="16" s="1"/>
  <c r="DW381" i="16"/>
  <c r="DU381" i="16"/>
  <c r="DT381" i="16"/>
  <c r="DV381" i="16" s="1"/>
  <c r="DL381" i="16"/>
  <c r="DO381" i="16" s="1"/>
  <c r="S381" i="16" s="1"/>
  <c r="DK381" i="16"/>
  <c r="DH381" i="16"/>
  <c r="DG381" i="16"/>
  <c r="EB381" i="16" s="1"/>
  <c r="CR381" i="16"/>
  <c r="CQ381" i="16"/>
  <c r="CP381" i="16"/>
  <c r="CO381" i="16"/>
  <c r="CN381" i="16"/>
  <c r="CM381" i="16"/>
  <c r="CL381" i="16"/>
  <c r="CD381" i="16"/>
  <c r="CE381" i="16" s="1"/>
  <c r="CF381" i="16" s="1"/>
  <c r="CG381" i="16" s="1"/>
  <c r="BU381" i="16"/>
  <c r="BV381" i="16" s="1"/>
  <c r="BW381" i="16" s="1"/>
  <c r="BX381" i="16" s="1"/>
  <c r="AZ381" i="16"/>
  <c r="AY381" i="16"/>
  <c r="AX381" i="16"/>
  <c r="GK383" i="16" s="1"/>
  <c r="AW381" i="16"/>
  <c r="CV381" i="16" s="1"/>
  <c r="AU381" i="16"/>
  <c r="AT381" i="16"/>
  <c r="AS381" i="16"/>
  <c r="AL381" i="16"/>
  <c r="AK381" i="16"/>
  <c r="GL381" i="16" s="1"/>
  <c r="GL382" i="16" s="1"/>
  <c r="HJ381" i="16" s="1"/>
  <c r="AJ381" i="16"/>
  <c r="AI381" i="16"/>
  <c r="CU381" i="16" s="1"/>
  <c r="AG381" i="16"/>
  <c r="AF381" i="16"/>
  <c r="AE381" i="16"/>
  <c r="FK380" i="16"/>
  <c r="FM380" i="16" s="1"/>
  <c r="EP380" i="16"/>
  <c r="ER380" i="16" s="1"/>
  <c r="DL380" i="16"/>
  <c r="HT382" i="16" s="1"/>
  <c r="DK380" i="16"/>
  <c r="HS382" i="16" s="1"/>
  <c r="DH380" i="16"/>
  <c r="DG380" i="16"/>
  <c r="CR380" i="16"/>
  <c r="CQ380" i="16"/>
  <c r="CP380" i="16"/>
  <c r="CO380" i="16"/>
  <c r="CN380" i="16"/>
  <c r="CM380" i="16"/>
  <c r="CL380" i="16"/>
  <c r="CD380" i="16"/>
  <c r="CE380" i="16" s="1"/>
  <c r="CF380" i="16" s="1"/>
  <c r="CG380" i="16" s="1"/>
  <c r="BU380" i="16"/>
  <c r="BV380" i="16" s="1"/>
  <c r="BW380" i="16" s="1"/>
  <c r="BX380" i="16" s="1"/>
  <c r="AZ380" i="16"/>
  <c r="AY380" i="16"/>
  <c r="GH383" i="16" s="1"/>
  <c r="GH384" i="16" s="1"/>
  <c r="HI383" i="16" s="1"/>
  <c r="AX380" i="16"/>
  <c r="AW380" i="16"/>
  <c r="AU380" i="16"/>
  <c r="AT380" i="16"/>
  <c r="AS380" i="16"/>
  <c r="AL380" i="16"/>
  <c r="GI381" i="16" s="1"/>
  <c r="AK380" i="16"/>
  <c r="GH381" i="16" s="1"/>
  <c r="GH382" i="16" s="1"/>
  <c r="HI381" i="16" s="1"/>
  <c r="AJ380" i="16"/>
  <c r="FF380" i="16" s="1"/>
  <c r="AI380" i="16"/>
  <c r="CU380" i="16" s="1"/>
  <c r="AG380" i="16"/>
  <c r="AF380" i="16"/>
  <c r="AE380" i="16"/>
  <c r="BA379" i="16"/>
  <c r="AW379" i="16"/>
  <c r="AV379" i="16"/>
  <c r="AM379" i="16"/>
  <c r="AI379" i="16"/>
  <c r="AH379" i="16"/>
  <c r="EP371" i="16"/>
  <c r="FK370" i="16"/>
  <c r="FM370" i="16" s="1"/>
  <c r="EP370" i="16"/>
  <c r="ER370" i="16" s="1"/>
  <c r="DW370" i="16"/>
  <c r="DU370" i="16"/>
  <c r="DT370" i="16"/>
  <c r="DV370" i="16" s="1"/>
  <c r="DK370" i="16"/>
  <c r="DR370" i="16" s="1"/>
  <c r="DH370" i="16"/>
  <c r="CR370" i="16"/>
  <c r="CQ370" i="16"/>
  <c r="CP370" i="16"/>
  <c r="CO370" i="16"/>
  <c r="CN370" i="16"/>
  <c r="CM370" i="16"/>
  <c r="CL370" i="16"/>
  <c r="AU370" i="16"/>
  <c r="AT370" i="16"/>
  <c r="AS370" i="16"/>
  <c r="AG370" i="16"/>
  <c r="AF370" i="16"/>
  <c r="AE370" i="16"/>
  <c r="FK369" i="16"/>
  <c r="FM369" i="16" s="1"/>
  <c r="EP369" i="16"/>
  <c r="ER369" i="16" s="1"/>
  <c r="DW369" i="16"/>
  <c r="DU369" i="16"/>
  <c r="DT369" i="16"/>
  <c r="DV369" i="16" s="1"/>
  <c r="DK369" i="16"/>
  <c r="DR369" i="16" s="1"/>
  <c r="DH369" i="16"/>
  <c r="CR369" i="16"/>
  <c r="CQ369" i="16"/>
  <c r="CP369" i="16"/>
  <c r="CO369" i="16"/>
  <c r="CN369" i="16"/>
  <c r="CM369" i="16"/>
  <c r="CL369" i="16"/>
  <c r="AU369" i="16"/>
  <c r="AT369" i="16"/>
  <c r="AS369" i="16"/>
  <c r="AG369" i="16"/>
  <c r="AF369" i="16"/>
  <c r="AE369" i="16"/>
  <c r="FK368" i="16"/>
  <c r="FM368" i="16" s="1"/>
  <c r="EP368" i="16"/>
  <c r="ER368" i="16" s="1"/>
  <c r="DW368" i="16"/>
  <c r="DU368" i="16"/>
  <c r="DT368" i="16"/>
  <c r="DV368" i="16" s="1"/>
  <c r="DL368" i="16"/>
  <c r="DK368" i="16"/>
  <c r="DH368" i="16"/>
  <c r="DG368" i="16"/>
  <c r="CR368" i="16"/>
  <c r="CQ368" i="16"/>
  <c r="CP368" i="16"/>
  <c r="CO368" i="16"/>
  <c r="CN368" i="16"/>
  <c r="CM368" i="16"/>
  <c r="CL368" i="16"/>
  <c r="CD368" i="16"/>
  <c r="CE368" i="16" s="1"/>
  <c r="CF368" i="16" s="1"/>
  <c r="CG368" i="16" s="1"/>
  <c r="BU368" i="16"/>
  <c r="BV368" i="16" s="1"/>
  <c r="BW368" i="16" s="1"/>
  <c r="BX368" i="16" s="1"/>
  <c r="AZ368" i="16"/>
  <c r="AY368" i="16"/>
  <c r="GP369" i="16" s="1"/>
  <c r="GP370" i="16" s="1"/>
  <c r="HK369" i="16" s="1"/>
  <c r="AX368" i="16"/>
  <c r="AW368" i="16"/>
  <c r="CV368" i="16" s="1"/>
  <c r="AU368" i="16"/>
  <c r="AT368" i="16"/>
  <c r="AS368" i="16"/>
  <c r="AL368" i="16"/>
  <c r="AK368" i="16"/>
  <c r="GP367" i="16" s="1"/>
  <c r="GP368" i="16" s="1"/>
  <c r="HK367" i="16" s="1"/>
  <c r="AJ368" i="16"/>
  <c r="AI368" i="16"/>
  <c r="CU368" i="16" s="1"/>
  <c r="AG368" i="16"/>
  <c r="AF368" i="16"/>
  <c r="AE368" i="16"/>
  <c r="FK367" i="16"/>
  <c r="FM367" i="16" s="1"/>
  <c r="EP367" i="16"/>
  <c r="ER367" i="16" s="1"/>
  <c r="DW367" i="16"/>
  <c r="DU367" i="16"/>
  <c r="DT367" i="16"/>
  <c r="DV367" i="16" s="1"/>
  <c r="DL367" i="16"/>
  <c r="DK367" i="16"/>
  <c r="DR367" i="16" s="1"/>
  <c r="DH367" i="16"/>
  <c r="DG367" i="16"/>
  <c r="EB367" i="16" s="1"/>
  <c r="CR367" i="16"/>
  <c r="CQ367" i="16"/>
  <c r="CP367" i="16"/>
  <c r="CO367" i="16"/>
  <c r="CN367" i="16"/>
  <c r="CM367" i="16"/>
  <c r="CL367" i="16"/>
  <c r="CD367" i="16"/>
  <c r="CE367" i="16" s="1"/>
  <c r="CF367" i="16" s="1"/>
  <c r="CG367" i="16" s="1"/>
  <c r="BU367" i="16"/>
  <c r="BV367" i="16" s="1"/>
  <c r="BW367" i="16" s="1"/>
  <c r="BX367" i="16" s="1"/>
  <c r="AZ367" i="16"/>
  <c r="AY367" i="16"/>
  <c r="AX367" i="16"/>
  <c r="AW367" i="16"/>
  <c r="CV367" i="16" s="1"/>
  <c r="AU367" i="16"/>
  <c r="AT367" i="16"/>
  <c r="AS367" i="16"/>
  <c r="AL367" i="16"/>
  <c r="GM367" i="16" s="1"/>
  <c r="AK367" i="16"/>
  <c r="EA367" i="16" s="1"/>
  <c r="AJ367" i="16"/>
  <c r="FF367" i="16" s="1"/>
  <c r="AI367" i="16"/>
  <c r="CU367" i="16" s="1"/>
  <c r="AG367" i="16"/>
  <c r="AF367" i="16"/>
  <c r="AE367" i="16"/>
  <c r="FK366" i="16"/>
  <c r="FM366" i="16" s="1"/>
  <c r="EP366" i="16"/>
  <c r="ER366" i="16" s="1"/>
  <c r="DL366" i="16"/>
  <c r="HT368" i="16" s="1"/>
  <c r="DK366" i="16"/>
  <c r="HS368" i="16" s="1"/>
  <c r="DH366" i="16"/>
  <c r="DG366" i="16"/>
  <c r="DY366" i="16" s="1"/>
  <c r="CR366" i="16"/>
  <c r="CQ366" i="16"/>
  <c r="CP366" i="16"/>
  <c r="CO366" i="16"/>
  <c r="CN366" i="16"/>
  <c r="CM366" i="16"/>
  <c r="CL366" i="16"/>
  <c r="CD366" i="16"/>
  <c r="CE366" i="16" s="1"/>
  <c r="CF366" i="16" s="1"/>
  <c r="CG366" i="16" s="1"/>
  <c r="BU366" i="16"/>
  <c r="BV366" i="16" s="1"/>
  <c r="BW366" i="16" s="1"/>
  <c r="BX366" i="16" s="1"/>
  <c r="AZ366" i="16"/>
  <c r="AY366" i="16"/>
  <c r="BO366" i="16" s="1"/>
  <c r="AX366" i="16"/>
  <c r="GG369" i="16" s="1"/>
  <c r="AW366" i="16"/>
  <c r="CV366" i="16" s="1"/>
  <c r="AU366" i="16"/>
  <c r="AT366" i="16"/>
  <c r="AS366" i="16"/>
  <c r="AL366" i="16"/>
  <c r="AK366" i="16"/>
  <c r="EA366" i="16" s="1"/>
  <c r="AJ366" i="16"/>
  <c r="AI366" i="16"/>
  <c r="CU366" i="16" s="1"/>
  <c r="AG366" i="16"/>
  <c r="AF366" i="16"/>
  <c r="AE366" i="16"/>
  <c r="BA365" i="16"/>
  <c r="AW365" i="16"/>
  <c r="AV365" i="16"/>
  <c r="AM365" i="16"/>
  <c r="AI365" i="16"/>
  <c r="AH365" i="16"/>
  <c r="EP357" i="16"/>
  <c r="FK356" i="16"/>
  <c r="FM356" i="16" s="1"/>
  <c r="EP356" i="16"/>
  <c r="ER356" i="16" s="1"/>
  <c r="DW356" i="16"/>
  <c r="DU356" i="16"/>
  <c r="DT356" i="16"/>
  <c r="DV356" i="16" s="1"/>
  <c r="DK356" i="16"/>
  <c r="DR356" i="16" s="1"/>
  <c r="DH356" i="16"/>
  <c r="CR356" i="16"/>
  <c r="CQ356" i="16"/>
  <c r="CP356" i="16"/>
  <c r="CO356" i="16"/>
  <c r="CN356" i="16"/>
  <c r="CM356" i="16"/>
  <c r="CL356" i="16"/>
  <c r="AU356" i="16"/>
  <c r="AT356" i="16"/>
  <c r="AS356" i="16"/>
  <c r="AG356" i="16"/>
  <c r="AF356" i="16"/>
  <c r="AE356" i="16"/>
  <c r="FK355" i="16"/>
  <c r="FM355" i="16" s="1"/>
  <c r="EP355" i="16"/>
  <c r="ER355" i="16" s="1"/>
  <c r="DW355" i="16"/>
  <c r="DU355" i="16"/>
  <c r="DT355" i="16"/>
  <c r="DV355" i="16" s="1"/>
  <c r="DK355" i="16"/>
  <c r="DN355" i="16" s="1"/>
  <c r="D355" i="16" s="1"/>
  <c r="DH355" i="16"/>
  <c r="CR355" i="16"/>
  <c r="CQ355" i="16"/>
  <c r="CP355" i="16"/>
  <c r="CO355" i="16"/>
  <c r="CN355" i="16"/>
  <c r="CM355" i="16"/>
  <c r="CL355" i="16"/>
  <c r="AU355" i="16"/>
  <c r="AT355" i="16"/>
  <c r="AS355" i="16"/>
  <c r="AG355" i="16"/>
  <c r="AF355" i="16"/>
  <c r="AE355" i="16"/>
  <c r="FK354" i="16"/>
  <c r="FM354" i="16" s="1"/>
  <c r="EP354" i="16"/>
  <c r="ER354" i="16" s="1"/>
  <c r="DW354" i="16"/>
  <c r="DU354" i="16"/>
  <c r="DT354" i="16"/>
  <c r="DV354" i="16" s="1"/>
  <c r="DL354" i="16"/>
  <c r="DO354" i="16" s="1"/>
  <c r="S354" i="16" s="1"/>
  <c r="DK354" i="16"/>
  <c r="DH354" i="16"/>
  <c r="DG354" i="16"/>
  <c r="CR354" i="16"/>
  <c r="CQ354" i="16"/>
  <c r="CP354" i="16"/>
  <c r="CO354" i="16"/>
  <c r="CN354" i="16"/>
  <c r="CM354" i="16"/>
  <c r="CL354" i="16"/>
  <c r="CD354" i="16"/>
  <c r="CE354" i="16" s="1"/>
  <c r="CF354" i="16" s="1"/>
  <c r="CG354" i="16" s="1"/>
  <c r="BU354" i="16"/>
  <c r="BV354" i="16" s="1"/>
  <c r="BW354" i="16" s="1"/>
  <c r="BX354" i="16" s="1"/>
  <c r="AZ354" i="16"/>
  <c r="AY354" i="16"/>
  <c r="AX354" i="16"/>
  <c r="BT354" i="16" s="1"/>
  <c r="AW354" i="16"/>
  <c r="CV354" i="16" s="1"/>
  <c r="AU354" i="16"/>
  <c r="AT354" i="16"/>
  <c r="AS354" i="16"/>
  <c r="AL354" i="16"/>
  <c r="GQ353" i="16" s="1"/>
  <c r="AK354" i="16"/>
  <c r="AJ354" i="16"/>
  <c r="AI354" i="16"/>
  <c r="AG354" i="16"/>
  <c r="AF354" i="16"/>
  <c r="AE354" i="16"/>
  <c r="FK353" i="16"/>
  <c r="EP353" i="16"/>
  <c r="ER353" i="16" s="1"/>
  <c r="DW353" i="16"/>
  <c r="DU353" i="16"/>
  <c r="DT353" i="16"/>
  <c r="DV353" i="16" s="1"/>
  <c r="DL353" i="16"/>
  <c r="DK353" i="16"/>
  <c r="DR353" i="16" s="1"/>
  <c r="DH353" i="16"/>
  <c r="DG353" i="16"/>
  <c r="EB353" i="16" s="1"/>
  <c r="CR353" i="16"/>
  <c r="CQ353" i="16"/>
  <c r="CP353" i="16"/>
  <c r="CO353" i="16"/>
  <c r="CN353" i="16"/>
  <c r="CM353" i="16"/>
  <c r="CL353" i="16"/>
  <c r="CD353" i="16"/>
  <c r="CE353" i="16" s="1"/>
  <c r="CF353" i="16" s="1"/>
  <c r="CG353" i="16" s="1"/>
  <c r="BU353" i="16"/>
  <c r="BV353" i="16" s="1"/>
  <c r="BW353" i="16" s="1"/>
  <c r="BX353" i="16" s="1"/>
  <c r="AZ353" i="16"/>
  <c r="AY353" i="16"/>
  <c r="AX353" i="16"/>
  <c r="AW353" i="16"/>
  <c r="CV353" i="16" s="1"/>
  <c r="AU353" i="16"/>
  <c r="AT353" i="16"/>
  <c r="AS353" i="16"/>
  <c r="AL353" i="16"/>
  <c r="AK353" i="16"/>
  <c r="AJ353" i="16"/>
  <c r="AI353" i="16"/>
  <c r="AG353" i="16"/>
  <c r="AF353" i="16"/>
  <c r="AE353" i="16"/>
  <c r="FK352" i="16"/>
  <c r="FM352" i="16" s="1"/>
  <c r="EP352" i="16"/>
  <c r="ER352" i="16" s="1"/>
  <c r="DL352" i="16"/>
  <c r="HT354" i="16" s="1"/>
  <c r="DK352" i="16"/>
  <c r="HS354" i="16" s="1"/>
  <c r="DH352" i="16"/>
  <c r="DG352" i="16"/>
  <c r="CR352" i="16"/>
  <c r="CQ352" i="16"/>
  <c r="CP352" i="16"/>
  <c r="CO352" i="16"/>
  <c r="CN352" i="16"/>
  <c r="CM352" i="16"/>
  <c r="CL352" i="16"/>
  <c r="CD352" i="16"/>
  <c r="CE352" i="16" s="1"/>
  <c r="CF352" i="16" s="1"/>
  <c r="CG352" i="16" s="1"/>
  <c r="BU352" i="16"/>
  <c r="BV352" i="16" s="1"/>
  <c r="BW352" i="16" s="1"/>
  <c r="BX352" i="16" s="1"/>
  <c r="AZ352" i="16"/>
  <c r="AY352" i="16"/>
  <c r="AX352" i="16"/>
  <c r="GG355" i="16" s="1"/>
  <c r="AW352" i="16"/>
  <c r="AU352" i="16"/>
  <c r="AT352" i="16"/>
  <c r="AS352" i="16"/>
  <c r="AL352" i="16"/>
  <c r="AK352" i="16"/>
  <c r="AJ352" i="16"/>
  <c r="AI352" i="16"/>
  <c r="AG352" i="16"/>
  <c r="AF352" i="16"/>
  <c r="AE352" i="16"/>
  <c r="BA351" i="16"/>
  <c r="AW351" i="16"/>
  <c r="AV351" i="16"/>
  <c r="AM351" i="16"/>
  <c r="AI351" i="16"/>
  <c r="AH351" i="16"/>
  <c r="N349" i="16"/>
  <c r="HN354" i="16" s="1"/>
  <c r="EP343" i="16"/>
  <c r="FK342" i="16"/>
  <c r="FM342" i="16" s="1"/>
  <c r="EP342" i="16"/>
  <c r="ER342" i="16" s="1"/>
  <c r="DW342" i="16"/>
  <c r="DU342" i="16"/>
  <c r="DT342" i="16"/>
  <c r="DV342" i="16" s="1"/>
  <c r="DK342" i="16"/>
  <c r="DR342" i="16" s="1"/>
  <c r="DH342" i="16"/>
  <c r="CR342" i="16"/>
  <c r="CQ342" i="16"/>
  <c r="CP342" i="16"/>
  <c r="CO342" i="16"/>
  <c r="CN342" i="16"/>
  <c r="CM342" i="16"/>
  <c r="CL342" i="16"/>
  <c r="AU342" i="16"/>
  <c r="AT342" i="16"/>
  <c r="AS342" i="16"/>
  <c r="AG342" i="16"/>
  <c r="AF342" i="16"/>
  <c r="AE342" i="16"/>
  <c r="FK341" i="16"/>
  <c r="FM341" i="16" s="1"/>
  <c r="EP341" i="16"/>
  <c r="ER341" i="16" s="1"/>
  <c r="DW341" i="16"/>
  <c r="DU341" i="16"/>
  <c r="DT341" i="16"/>
  <c r="DV341" i="16" s="1"/>
  <c r="DK341" i="16"/>
  <c r="DR341" i="16" s="1"/>
  <c r="DH341" i="16"/>
  <c r="CR341" i="16"/>
  <c r="CQ341" i="16"/>
  <c r="CP341" i="16"/>
  <c r="CO341" i="16"/>
  <c r="CN341" i="16"/>
  <c r="CM341" i="16"/>
  <c r="CL341" i="16"/>
  <c r="AU341" i="16"/>
  <c r="AT341" i="16"/>
  <c r="AS341" i="16"/>
  <c r="AG341" i="16"/>
  <c r="AF341" i="16"/>
  <c r="AE341" i="16"/>
  <c r="FK340" i="16"/>
  <c r="FM340" i="16" s="1"/>
  <c r="EP340" i="16"/>
  <c r="ER340" i="16" s="1"/>
  <c r="DW340" i="16"/>
  <c r="DU340" i="16"/>
  <c r="DT340" i="16"/>
  <c r="DV340" i="16" s="1"/>
  <c r="DL340" i="16"/>
  <c r="DK340" i="16"/>
  <c r="DH340" i="16"/>
  <c r="DG340" i="16"/>
  <c r="DY340" i="16" s="1"/>
  <c r="CR340" i="16"/>
  <c r="CQ340" i="16"/>
  <c r="CP340" i="16"/>
  <c r="CO340" i="16"/>
  <c r="CN340" i="16"/>
  <c r="CM340" i="16"/>
  <c r="CL340" i="16"/>
  <c r="CD340" i="16"/>
  <c r="CE340" i="16" s="1"/>
  <c r="CF340" i="16" s="1"/>
  <c r="CG340" i="16" s="1"/>
  <c r="BU340" i="16"/>
  <c r="BV340" i="16" s="1"/>
  <c r="BW340" i="16" s="1"/>
  <c r="BX340" i="16" s="1"/>
  <c r="AZ340" i="16"/>
  <c r="AY340" i="16"/>
  <c r="AX340" i="16"/>
  <c r="AW340" i="16"/>
  <c r="AU340" i="16"/>
  <c r="AT340" i="16"/>
  <c r="AS340" i="16"/>
  <c r="AL340" i="16"/>
  <c r="AK340" i="16"/>
  <c r="GP339" i="16" s="1"/>
  <c r="GP340" i="16" s="1"/>
  <c r="HK339" i="16" s="1"/>
  <c r="AJ340" i="16"/>
  <c r="AI340" i="16"/>
  <c r="AG340" i="16"/>
  <c r="AF340" i="16"/>
  <c r="AE340" i="16"/>
  <c r="FK339" i="16"/>
  <c r="FM339" i="16" s="1"/>
  <c r="EP339" i="16"/>
  <c r="ER339" i="16" s="1"/>
  <c r="DW339" i="16"/>
  <c r="DU339" i="16"/>
  <c r="DT339" i="16"/>
  <c r="DV339" i="16" s="1"/>
  <c r="DL339" i="16"/>
  <c r="DK339" i="16"/>
  <c r="DN339" i="16" s="1"/>
  <c r="D339" i="16" s="1"/>
  <c r="DH339" i="16"/>
  <c r="DG339" i="16"/>
  <c r="EB339" i="16" s="1"/>
  <c r="CR339" i="16"/>
  <c r="CQ339" i="16"/>
  <c r="CP339" i="16"/>
  <c r="CO339" i="16"/>
  <c r="CN339" i="16"/>
  <c r="CM339" i="16"/>
  <c r="CL339" i="16"/>
  <c r="CD339" i="16"/>
  <c r="CE339" i="16" s="1"/>
  <c r="CF339" i="16" s="1"/>
  <c r="CG339" i="16" s="1"/>
  <c r="BU339" i="16"/>
  <c r="BV339" i="16" s="1"/>
  <c r="BW339" i="16" s="1"/>
  <c r="BX339" i="16" s="1"/>
  <c r="AZ339" i="16"/>
  <c r="GM341" i="16" s="1"/>
  <c r="AY339" i="16"/>
  <c r="AX339" i="16"/>
  <c r="GK341" i="16" s="1"/>
  <c r="AW339" i="16"/>
  <c r="CV339" i="16" s="1"/>
  <c r="AU339" i="16"/>
  <c r="AT339" i="16"/>
  <c r="AS339" i="16"/>
  <c r="AL339" i="16"/>
  <c r="AK339" i="16"/>
  <c r="GL339" i="16" s="1"/>
  <c r="AJ339" i="16"/>
  <c r="AI339" i="16"/>
  <c r="AG339" i="16"/>
  <c r="AF339" i="16"/>
  <c r="AE339" i="16"/>
  <c r="FK338" i="16"/>
  <c r="EP338" i="16"/>
  <c r="ER338" i="16" s="1"/>
  <c r="DL338" i="16"/>
  <c r="HT340" i="16" s="1"/>
  <c r="DK338" i="16"/>
  <c r="HS340" i="16" s="1"/>
  <c r="DH338" i="16"/>
  <c r="DG338" i="16"/>
  <c r="CR338" i="16"/>
  <c r="CQ338" i="16"/>
  <c r="CP338" i="16"/>
  <c r="CO338" i="16"/>
  <c r="CN338" i="16"/>
  <c r="CM338" i="16"/>
  <c r="CL338" i="16"/>
  <c r="CD338" i="16"/>
  <c r="CE338" i="16" s="1"/>
  <c r="CF338" i="16" s="1"/>
  <c r="CG338" i="16" s="1"/>
  <c r="BU338" i="16"/>
  <c r="BV338" i="16" s="1"/>
  <c r="BW338" i="16" s="1"/>
  <c r="BX338" i="16" s="1"/>
  <c r="AZ338" i="16"/>
  <c r="AY338" i="16"/>
  <c r="AB338" i="16" s="1"/>
  <c r="AX338" i="16"/>
  <c r="BT338" i="16" s="1"/>
  <c r="AW338" i="16"/>
  <c r="CV338" i="16" s="1"/>
  <c r="AU338" i="16"/>
  <c r="AT338" i="16"/>
  <c r="AS338" i="16"/>
  <c r="AL338" i="16"/>
  <c r="GI339" i="16" s="1"/>
  <c r="AK338" i="16"/>
  <c r="AJ338" i="16"/>
  <c r="AI338" i="16"/>
  <c r="AG338" i="16"/>
  <c r="AF338" i="16"/>
  <c r="AE338" i="16"/>
  <c r="BA337" i="16"/>
  <c r="AW337" i="16"/>
  <c r="AV337" i="16"/>
  <c r="AM337" i="16"/>
  <c r="AI337" i="16"/>
  <c r="AH337" i="16"/>
  <c r="N335" i="16"/>
  <c r="HN340" i="16" s="1"/>
  <c r="EP329" i="16"/>
  <c r="FK328" i="16"/>
  <c r="FM328" i="16" s="1"/>
  <c r="EP328" i="16"/>
  <c r="ER328" i="16" s="1"/>
  <c r="DW328" i="16"/>
  <c r="DU328" i="16"/>
  <c r="DT328" i="16"/>
  <c r="DV328" i="16" s="1"/>
  <c r="DK328" i="16"/>
  <c r="DR328" i="16" s="1"/>
  <c r="DH328" i="16"/>
  <c r="CR328" i="16"/>
  <c r="CQ328" i="16"/>
  <c r="CP328" i="16"/>
  <c r="CO328" i="16"/>
  <c r="CN328" i="16"/>
  <c r="CM328" i="16"/>
  <c r="CL328" i="16"/>
  <c r="AU328" i="16"/>
  <c r="AT328" i="16"/>
  <c r="AS328" i="16"/>
  <c r="AG328" i="16"/>
  <c r="AF328" i="16"/>
  <c r="AE328" i="16"/>
  <c r="FK327" i="16"/>
  <c r="FM327" i="16" s="1"/>
  <c r="EP327" i="16"/>
  <c r="ER327" i="16" s="1"/>
  <c r="DW327" i="16"/>
  <c r="DU327" i="16"/>
  <c r="DT327" i="16"/>
  <c r="DV327" i="16" s="1"/>
  <c r="DK327" i="16"/>
  <c r="DN327" i="16" s="1"/>
  <c r="D327" i="16" s="1"/>
  <c r="DH327" i="16"/>
  <c r="CR327" i="16"/>
  <c r="CQ327" i="16"/>
  <c r="CP327" i="16"/>
  <c r="CO327" i="16"/>
  <c r="CN327" i="16"/>
  <c r="CM327" i="16"/>
  <c r="CL327" i="16"/>
  <c r="AU327" i="16"/>
  <c r="AT327" i="16"/>
  <c r="AS327" i="16"/>
  <c r="AG327" i="16"/>
  <c r="AF327" i="16"/>
  <c r="AE327" i="16"/>
  <c r="FK326" i="16"/>
  <c r="FM326" i="16" s="1"/>
  <c r="EP326" i="16"/>
  <c r="ER326" i="16" s="1"/>
  <c r="DW326" i="16"/>
  <c r="DU326" i="16"/>
  <c r="DT326" i="16"/>
  <c r="DV326" i="16" s="1"/>
  <c r="DL326" i="16"/>
  <c r="DS326" i="16" s="1"/>
  <c r="DK326" i="16"/>
  <c r="DH326" i="16"/>
  <c r="DG326" i="16"/>
  <c r="DY326" i="16" s="1"/>
  <c r="CR326" i="16"/>
  <c r="CQ326" i="16"/>
  <c r="CP326" i="16"/>
  <c r="CO326" i="16"/>
  <c r="CN326" i="16"/>
  <c r="CM326" i="16"/>
  <c r="CL326" i="16"/>
  <c r="CD326" i="16"/>
  <c r="CE326" i="16" s="1"/>
  <c r="CF326" i="16" s="1"/>
  <c r="CG326" i="16" s="1"/>
  <c r="BU326" i="16"/>
  <c r="BV326" i="16" s="1"/>
  <c r="BW326" i="16" s="1"/>
  <c r="BX326" i="16" s="1"/>
  <c r="AZ326" i="16"/>
  <c r="GQ327" i="16" s="1"/>
  <c r="AY326" i="16"/>
  <c r="GP327" i="16" s="1"/>
  <c r="GP328" i="16" s="1"/>
  <c r="HK327" i="16" s="1"/>
  <c r="AX326" i="16"/>
  <c r="GO327" i="16" s="1"/>
  <c r="AW326" i="16"/>
  <c r="CV326" i="16" s="1"/>
  <c r="AU326" i="16"/>
  <c r="AT326" i="16"/>
  <c r="AS326" i="16"/>
  <c r="AL326" i="16"/>
  <c r="AK326" i="16"/>
  <c r="AJ326" i="16"/>
  <c r="GO325" i="16" s="1"/>
  <c r="AI326" i="16"/>
  <c r="AG326" i="16"/>
  <c r="AF326" i="16"/>
  <c r="AE326" i="16"/>
  <c r="FK325" i="16"/>
  <c r="FM325" i="16" s="1"/>
  <c r="EP325" i="16"/>
  <c r="ER325" i="16" s="1"/>
  <c r="DW325" i="16"/>
  <c r="BL325" i="16" s="1"/>
  <c r="DU325" i="16"/>
  <c r="DT325" i="16"/>
  <c r="DV325" i="16" s="1"/>
  <c r="BK325" i="16" s="1"/>
  <c r="DL325" i="16"/>
  <c r="DK325" i="16"/>
  <c r="DH325" i="16"/>
  <c r="DG325" i="16"/>
  <c r="EB325" i="16" s="1"/>
  <c r="CR325" i="16"/>
  <c r="CQ325" i="16"/>
  <c r="CP325" i="16"/>
  <c r="CO325" i="16"/>
  <c r="CN325" i="16"/>
  <c r="CM325" i="16"/>
  <c r="CL325" i="16"/>
  <c r="CD325" i="16"/>
  <c r="CE325" i="16" s="1"/>
  <c r="CF325" i="16" s="1"/>
  <c r="CG325" i="16" s="1"/>
  <c r="BU325" i="16"/>
  <c r="BV325" i="16" s="1"/>
  <c r="BW325" i="16" s="1"/>
  <c r="BX325" i="16" s="1"/>
  <c r="AZ325" i="16"/>
  <c r="GM327" i="16" s="1"/>
  <c r="AY325" i="16"/>
  <c r="AX325" i="16"/>
  <c r="GK327" i="16" s="1"/>
  <c r="AW325" i="16"/>
  <c r="CV325" i="16" s="1"/>
  <c r="AU325" i="16"/>
  <c r="AT325" i="16"/>
  <c r="AS325" i="16"/>
  <c r="AL325" i="16"/>
  <c r="AK325" i="16"/>
  <c r="GL325" i="16" s="1"/>
  <c r="GL326" i="16" s="1"/>
  <c r="HJ325" i="16" s="1"/>
  <c r="AJ325" i="16"/>
  <c r="GK325" i="16" s="1"/>
  <c r="AI325" i="16"/>
  <c r="AG325" i="16"/>
  <c r="AF325" i="16"/>
  <c r="AE325" i="16"/>
  <c r="FK324" i="16"/>
  <c r="FM324" i="16" s="1"/>
  <c r="EP324" i="16"/>
  <c r="ER324" i="16" s="1"/>
  <c r="DL324" i="16"/>
  <c r="HT326" i="16" s="1"/>
  <c r="DK324" i="16"/>
  <c r="HS326" i="16" s="1"/>
  <c r="DH324" i="16"/>
  <c r="DG324" i="16"/>
  <c r="DY324" i="16" s="1"/>
  <c r="CR324" i="16"/>
  <c r="CQ324" i="16"/>
  <c r="CP324" i="16"/>
  <c r="CO324" i="16"/>
  <c r="CN324" i="16"/>
  <c r="CM324" i="16"/>
  <c r="CL324" i="16"/>
  <c r="CD324" i="16"/>
  <c r="CE324" i="16" s="1"/>
  <c r="CF324" i="16" s="1"/>
  <c r="CG324" i="16" s="1"/>
  <c r="BU324" i="16"/>
  <c r="BV324" i="16" s="1"/>
  <c r="BW324" i="16" s="1"/>
  <c r="BX324" i="16" s="1"/>
  <c r="AZ324" i="16"/>
  <c r="GI327" i="16" s="1"/>
  <c r="AY324" i="16"/>
  <c r="FI324" i="16" s="1"/>
  <c r="AX324" i="16"/>
  <c r="GG327" i="16" s="1"/>
  <c r="AW324" i="16"/>
  <c r="AU324" i="16"/>
  <c r="AT324" i="16"/>
  <c r="AS324" i="16"/>
  <c r="AL324" i="16"/>
  <c r="AK324" i="16"/>
  <c r="AJ324" i="16"/>
  <c r="AI324" i="16"/>
  <c r="AG324" i="16"/>
  <c r="AF324" i="16"/>
  <c r="AE324" i="16"/>
  <c r="BA323" i="16"/>
  <c r="AW323" i="16"/>
  <c r="AV323" i="16"/>
  <c r="AM323" i="16"/>
  <c r="AI323" i="16"/>
  <c r="AH323" i="16"/>
  <c r="N321" i="16"/>
  <c r="HN326" i="16" s="1"/>
  <c r="EP315" i="16"/>
  <c r="FK314" i="16"/>
  <c r="FM314" i="16" s="1"/>
  <c r="EP314" i="16"/>
  <c r="ER314" i="16" s="1"/>
  <c r="DW314" i="16"/>
  <c r="DU314" i="16"/>
  <c r="DT314" i="16"/>
  <c r="DV314" i="16" s="1"/>
  <c r="DK314" i="16"/>
  <c r="DR314" i="16" s="1"/>
  <c r="DH314" i="16"/>
  <c r="CR314" i="16"/>
  <c r="CQ314" i="16"/>
  <c r="CP314" i="16"/>
  <c r="CO314" i="16"/>
  <c r="CN314" i="16"/>
  <c r="CM314" i="16"/>
  <c r="CL314" i="16"/>
  <c r="AU314" i="16"/>
  <c r="AT314" i="16"/>
  <c r="AS314" i="16"/>
  <c r="AG314" i="16"/>
  <c r="AF314" i="16"/>
  <c r="AE314" i="16"/>
  <c r="FK313" i="16"/>
  <c r="FM313" i="16" s="1"/>
  <c r="EP313" i="16"/>
  <c r="ER313" i="16" s="1"/>
  <c r="DW313" i="16"/>
  <c r="DU313" i="16"/>
  <c r="DT313" i="16"/>
  <c r="DV313" i="16" s="1"/>
  <c r="DK313" i="16"/>
  <c r="DN313" i="16" s="1"/>
  <c r="D313" i="16" s="1"/>
  <c r="DH313" i="16"/>
  <c r="CR313" i="16"/>
  <c r="CQ313" i="16"/>
  <c r="CP313" i="16"/>
  <c r="CO313" i="16"/>
  <c r="CN313" i="16"/>
  <c r="CM313" i="16"/>
  <c r="CL313" i="16"/>
  <c r="AU313" i="16"/>
  <c r="AT313" i="16"/>
  <c r="AS313" i="16"/>
  <c r="AG313" i="16"/>
  <c r="AF313" i="16"/>
  <c r="AE313" i="16"/>
  <c r="FK312" i="16"/>
  <c r="FM312" i="16" s="1"/>
  <c r="EP312" i="16"/>
  <c r="ER312" i="16" s="1"/>
  <c r="DW312" i="16"/>
  <c r="DU312" i="16"/>
  <c r="DT312" i="16"/>
  <c r="DV312" i="16" s="1"/>
  <c r="DL312" i="16"/>
  <c r="DS312" i="16" s="1"/>
  <c r="DK312" i="16"/>
  <c r="DH312" i="16"/>
  <c r="DG312" i="16"/>
  <c r="EB312" i="16" s="1"/>
  <c r="CR312" i="16"/>
  <c r="CQ312" i="16"/>
  <c r="CP312" i="16"/>
  <c r="CO312" i="16"/>
  <c r="CN312" i="16"/>
  <c r="CM312" i="16"/>
  <c r="CL312" i="16"/>
  <c r="CD312" i="16"/>
  <c r="CE312" i="16" s="1"/>
  <c r="CF312" i="16" s="1"/>
  <c r="CG312" i="16" s="1"/>
  <c r="BU312" i="16"/>
  <c r="BV312" i="16" s="1"/>
  <c r="BW312" i="16" s="1"/>
  <c r="BX312" i="16" s="1"/>
  <c r="AZ312" i="16"/>
  <c r="AY312" i="16"/>
  <c r="AX312" i="16"/>
  <c r="AW312" i="16"/>
  <c r="AU312" i="16"/>
  <c r="AT312" i="16"/>
  <c r="AS312" i="16"/>
  <c r="AL312" i="16"/>
  <c r="GQ311" i="16" s="1"/>
  <c r="AK312" i="16"/>
  <c r="AJ312" i="16"/>
  <c r="BS312" i="16" s="1"/>
  <c r="AI312" i="16"/>
  <c r="AG312" i="16"/>
  <c r="AF312" i="16"/>
  <c r="AE312" i="16"/>
  <c r="FK311" i="16"/>
  <c r="FM311" i="16" s="1"/>
  <c r="EP311" i="16"/>
  <c r="ER311" i="16" s="1"/>
  <c r="DW311" i="16"/>
  <c r="DU311" i="16"/>
  <c r="DT311" i="16"/>
  <c r="DV311" i="16" s="1"/>
  <c r="DL311" i="16"/>
  <c r="DS311" i="16" s="1"/>
  <c r="DK311" i="16"/>
  <c r="DR311" i="16" s="1"/>
  <c r="DH311" i="16"/>
  <c r="DG311" i="16"/>
  <c r="CR311" i="16"/>
  <c r="CQ311" i="16"/>
  <c r="CP311" i="16"/>
  <c r="CO311" i="16"/>
  <c r="CN311" i="16"/>
  <c r="CM311" i="16"/>
  <c r="CL311" i="16"/>
  <c r="CD311" i="16"/>
  <c r="CE311" i="16" s="1"/>
  <c r="CF311" i="16" s="1"/>
  <c r="CG311" i="16" s="1"/>
  <c r="BU311" i="16"/>
  <c r="BV311" i="16" s="1"/>
  <c r="BW311" i="16" s="1"/>
  <c r="BX311" i="16" s="1"/>
  <c r="AZ311" i="16"/>
  <c r="AY311" i="16"/>
  <c r="AX311" i="16"/>
  <c r="AW311" i="16"/>
  <c r="AU311" i="16"/>
  <c r="AT311" i="16"/>
  <c r="AS311" i="16"/>
  <c r="AL311" i="16"/>
  <c r="AK311" i="16"/>
  <c r="AJ311" i="16"/>
  <c r="FF311" i="16" s="1"/>
  <c r="AI311" i="16"/>
  <c r="AG311" i="16"/>
  <c r="AF311" i="16"/>
  <c r="AE311" i="16"/>
  <c r="FK310" i="16"/>
  <c r="FM310" i="16" s="1"/>
  <c r="EP310" i="16"/>
  <c r="ER310" i="16" s="1"/>
  <c r="DL310" i="16"/>
  <c r="HT312" i="16" s="1"/>
  <c r="DK310" i="16"/>
  <c r="HS312" i="16" s="1"/>
  <c r="DH310" i="16"/>
  <c r="DG310" i="16"/>
  <c r="DI310" i="16" s="1"/>
  <c r="DJ310" i="16" s="1"/>
  <c r="CR310" i="16"/>
  <c r="CQ310" i="16"/>
  <c r="CP310" i="16"/>
  <c r="CO310" i="16"/>
  <c r="CN310" i="16"/>
  <c r="CM310" i="16"/>
  <c r="CL310" i="16"/>
  <c r="CD310" i="16"/>
  <c r="CE310" i="16" s="1"/>
  <c r="CF310" i="16" s="1"/>
  <c r="CG310" i="16" s="1"/>
  <c r="BU310" i="16"/>
  <c r="BV310" i="16" s="1"/>
  <c r="BW310" i="16" s="1"/>
  <c r="BX310" i="16" s="1"/>
  <c r="AZ310" i="16"/>
  <c r="AY310" i="16"/>
  <c r="FI310" i="16" s="1"/>
  <c r="FV310" i="16" s="1"/>
  <c r="AX310" i="16"/>
  <c r="GG313" i="16" s="1"/>
  <c r="AW310" i="16"/>
  <c r="AU310" i="16"/>
  <c r="AT310" i="16"/>
  <c r="AS310" i="16"/>
  <c r="AL310" i="16"/>
  <c r="AK310" i="16"/>
  <c r="AJ310" i="16"/>
  <c r="GG311" i="16" s="1"/>
  <c r="AI310" i="16"/>
  <c r="AG310" i="16"/>
  <c r="AF310" i="16"/>
  <c r="AE310" i="16"/>
  <c r="BA309" i="16"/>
  <c r="AW309" i="16"/>
  <c r="AV309" i="16"/>
  <c r="AM309" i="16"/>
  <c r="AI309" i="16"/>
  <c r="AH309" i="16"/>
  <c r="N307" i="16"/>
  <c r="HN312" i="16" s="1"/>
  <c r="EP301" i="16"/>
  <c r="FK300" i="16"/>
  <c r="FM300" i="16" s="1"/>
  <c r="EP300" i="16"/>
  <c r="ER300" i="16" s="1"/>
  <c r="DW300" i="16"/>
  <c r="DU300" i="16"/>
  <c r="DT300" i="16"/>
  <c r="DV300" i="16" s="1"/>
  <c r="DK300" i="16"/>
  <c r="DN300" i="16" s="1"/>
  <c r="D300" i="16" s="1"/>
  <c r="DH300" i="16"/>
  <c r="CR300" i="16"/>
  <c r="CQ300" i="16"/>
  <c r="CP300" i="16"/>
  <c r="CO300" i="16"/>
  <c r="CN300" i="16"/>
  <c r="CM300" i="16"/>
  <c r="CL300" i="16"/>
  <c r="AU300" i="16"/>
  <c r="AT300" i="16"/>
  <c r="AS300" i="16"/>
  <c r="AG300" i="16"/>
  <c r="AF300" i="16"/>
  <c r="AE300" i="16"/>
  <c r="FK299" i="16"/>
  <c r="FM299" i="16" s="1"/>
  <c r="EP299" i="16"/>
  <c r="ER299" i="16" s="1"/>
  <c r="DW299" i="16"/>
  <c r="DU299" i="16"/>
  <c r="DT299" i="16"/>
  <c r="DV299" i="16" s="1"/>
  <c r="DK299" i="16"/>
  <c r="DH299" i="16"/>
  <c r="CR299" i="16"/>
  <c r="CQ299" i="16"/>
  <c r="CP299" i="16"/>
  <c r="CO299" i="16"/>
  <c r="CN299" i="16"/>
  <c r="CM299" i="16"/>
  <c r="CL299" i="16"/>
  <c r="AU299" i="16"/>
  <c r="AT299" i="16"/>
  <c r="AS299" i="16"/>
  <c r="AG299" i="16"/>
  <c r="AF299" i="16"/>
  <c r="AE299" i="16"/>
  <c r="FK298" i="16"/>
  <c r="FM298" i="16" s="1"/>
  <c r="EP298" i="16"/>
  <c r="ER298" i="16" s="1"/>
  <c r="DW298" i="16"/>
  <c r="DU298" i="16"/>
  <c r="DT298" i="16"/>
  <c r="DV298" i="16" s="1"/>
  <c r="DL298" i="16"/>
  <c r="DO298" i="16" s="1"/>
  <c r="S298" i="16" s="1"/>
  <c r="DK298" i="16"/>
  <c r="DR298" i="16" s="1"/>
  <c r="DH298" i="16"/>
  <c r="DG298" i="16"/>
  <c r="CR298" i="16"/>
  <c r="CQ298" i="16"/>
  <c r="CP298" i="16"/>
  <c r="CO298" i="16"/>
  <c r="CN298" i="16"/>
  <c r="CM298" i="16"/>
  <c r="CL298" i="16"/>
  <c r="CD298" i="16"/>
  <c r="CE298" i="16" s="1"/>
  <c r="CF298" i="16" s="1"/>
  <c r="CG298" i="16" s="1"/>
  <c r="BU298" i="16"/>
  <c r="BV298" i="16" s="1"/>
  <c r="BW298" i="16" s="1"/>
  <c r="BX298" i="16" s="1"/>
  <c r="AZ298" i="16"/>
  <c r="AY298" i="16"/>
  <c r="AB298" i="16" s="1"/>
  <c r="AX298" i="16"/>
  <c r="AW298" i="16"/>
  <c r="CV298" i="16" s="1"/>
  <c r="AU298" i="16"/>
  <c r="AT298" i="16"/>
  <c r="AS298" i="16"/>
  <c r="AL298" i="16"/>
  <c r="AK298" i="16"/>
  <c r="AJ298" i="16"/>
  <c r="DC298" i="16" s="1"/>
  <c r="AI298" i="16"/>
  <c r="AG298" i="16"/>
  <c r="AF298" i="16"/>
  <c r="AE298" i="16"/>
  <c r="FK297" i="16"/>
  <c r="FM297" i="16" s="1"/>
  <c r="EP297" i="16"/>
  <c r="ER297" i="16" s="1"/>
  <c r="DW297" i="16"/>
  <c r="DU297" i="16"/>
  <c r="DT297" i="16"/>
  <c r="DV297" i="16" s="1"/>
  <c r="DL297" i="16"/>
  <c r="DK297" i="16"/>
  <c r="DN297" i="16" s="1"/>
  <c r="D297" i="16" s="1"/>
  <c r="DH297" i="16"/>
  <c r="DG297" i="16"/>
  <c r="CR297" i="16"/>
  <c r="CQ297" i="16"/>
  <c r="CP297" i="16"/>
  <c r="CO297" i="16"/>
  <c r="CN297" i="16"/>
  <c r="CM297" i="16"/>
  <c r="CL297" i="16"/>
  <c r="CD297" i="16"/>
  <c r="CE297" i="16" s="1"/>
  <c r="CF297" i="16" s="1"/>
  <c r="CG297" i="16" s="1"/>
  <c r="BU297" i="16"/>
  <c r="BV297" i="16" s="1"/>
  <c r="BW297" i="16" s="1"/>
  <c r="BX297" i="16" s="1"/>
  <c r="AZ297" i="16"/>
  <c r="GM299" i="16" s="1"/>
  <c r="AY297" i="16"/>
  <c r="GL299" i="16" s="1"/>
  <c r="GL300" i="16" s="1"/>
  <c r="HJ299" i="16" s="1"/>
  <c r="AX297" i="16"/>
  <c r="GK299" i="16" s="1"/>
  <c r="AW297" i="16"/>
  <c r="CV297" i="16" s="1"/>
  <c r="AU297" i="16"/>
  <c r="AT297" i="16"/>
  <c r="AS297" i="16"/>
  <c r="AL297" i="16"/>
  <c r="AK297" i="16"/>
  <c r="AJ297" i="16"/>
  <c r="GK297" i="16" s="1"/>
  <c r="AI297" i="16"/>
  <c r="CU297" i="16" s="1"/>
  <c r="AG297" i="16"/>
  <c r="AF297" i="16"/>
  <c r="AE297" i="16"/>
  <c r="FK296" i="16"/>
  <c r="FM296" i="16" s="1"/>
  <c r="EP296" i="16"/>
  <c r="ER296" i="16" s="1"/>
  <c r="DL296" i="16"/>
  <c r="DO296" i="16" s="1"/>
  <c r="S296" i="16" s="1"/>
  <c r="DK296" i="16"/>
  <c r="HS298" i="16" s="1"/>
  <c r="DH296" i="16"/>
  <c r="DG296" i="16"/>
  <c r="CR296" i="16"/>
  <c r="CQ296" i="16"/>
  <c r="CP296" i="16"/>
  <c r="CO296" i="16"/>
  <c r="CN296" i="16"/>
  <c r="CM296" i="16"/>
  <c r="CL296" i="16"/>
  <c r="CD296" i="16"/>
  <c r="CE296" i="16" s="1"/>
  <c r="CF296" i="16" s="1"/>
  <c r="CG296" i="16" s="1"/>
  <c r="BU296" i="16"/>
  <c r="BV296" i="16" s="1"/>
  <c r="BW296" i="16" s="1"/>
  <c r="BX296" i="16" s="1"/>
  <c r="AZ296" i="16"/>
  <c r="GI299" i="16" s="1"/>
  <c r="AY296" i="16"/>
  <c r="AX296" i="16"/>
  <c r="FJ296" i="16" s="1"/>
  <c r="AW296" i="16"/>
  <c r="AU296" i="16"/>
  <c r="AT296" i="16"/>
  <c r="AS296" i="16"/>
  <c r="AL296" i="16"/>
  <c r="AK296" i="16"/>
  <c r="AJ296" i="16"/>
  <c r="AI296" i="16"/>
  <c r="AG296" i="16"/>
  <c r="AF296" i="16"/>
  <c r="AE296" i="16"/>
  <c r="BA295" i="16"/>
  <c r="AW295" i="16"/>
  <c r="AV295" i="16"/>
  <c r="AM295" i="16"/>
  <c r="AI295" i="16"/>
  <c r="AH295" i="16"/>
  <c r="N293" i="16"/>
  <c r="HN298" i="16" s="1"/>
  <c r="EP287" i="16"/>
  <c r="FK286" i="16"/>
  <c r="FM286" i="16" s="1"/>
  <c r="EP286" i="16"/>
  <c r="ER286" i="16" s="1"/>
  <c r="DW286" i="16"/>
  <c r="DU286" i="16"/>
  <c r="DT286" i="16"/>
  <c r="DV286" i="16" s="1"/>
  <c r="DK286" i="16"/>
  <c r="DN286" i="16" s="1"/>
  <c r="D286" i="16" s="1"/>
  <c r="DH286" i="16"/>
  <c r="CR286" i="16"/>
  <c r="CQ286" i="16"/>
  <c r="CP286" i="16"/>
  <c r="CO286" i="16"/>
  <c r="CN286" i="16"/>
  <c r="CM286" i="16"/>
  <c r="CL286" i="16"/>
  <c r="AU286" i="16"/>
  <c r="AT286" i="16"/>
  <c r="AS286" i="16"/>
  <c r="AG286" i="16"/>
  <c r="AF286" i="16"/>
  <c r="AE286" i="16"/>
  <c r="FK285" i="16"/>
  <c r="FM285" i="16" s="1"/>
  <c r="EP285" i="16"/>
  <c r="ER285" i="16" s="1"/>
  <c r="DW285" i="16"/>
  <c r="DU285" i="16"/>
  <c r="DT285" i="16"/>
  <c r="DV285" i="16" s="1"/>
  <c r="DK285" i="16"/>
  <c r="DH285" i="16"/>
  <c r="CR285" i="16"/>
  <c r="CQ285" i="16"/>
  <c r="CP285" i="16"/>
  <c r="CO285" i="16"/>
  <c r="CN285" i="16"/>
  <c r="CM285" i="16"/>
  <c r="CL285" i="16"/>
  <c r="AU285" i="16"/>
  <c r="AT285" i="16"/>
  <c r="AS285" i="16"/>
  <c r="AG285" i="16"/>
  <c r="AF285" i="16"/>
  <c r="AE285" i="16"/>
  <c r="FK284" i="16"/>
  <c r="FM284" i="16" s="1"/>
  <c r="EP284" i="16"/>
  <c r="ER284" i="16" s="1"/>
  <c r="DW284" i="16"/>
  <c r="DU284" i="16"/>
  <c r="DT284" i="16"/>
  <c r="DV284" i="16" s="1"/>
  <c r="DL284" i="16"/>
  <c r="DK284" i="16"/>
  <c r="DR284" i="16" s="1"/>
  <c r="DH284" i="16"/>
  <c r="DG284" i="16"/>
  <c r="DY284" i="16" s="1"/>
  <c r="CR284" i="16"/>
  <c r="CQ284" i="16"/>
  <c r="CP284" i="16"/>
  <c r="CO284" i="16"/>
  <c r="CN284" i="16"/>
  <c r="CM284" i="16"/>
  <c r="CL284" i="16"/>
  <c r="CD284" i="16"/>
  <c r="CE284" i="16" s="1"/>
  <c r="CF284" i="16" s="1"/>
  <c r="CG284" i="16" s="1"/>
  <c r="BU284" i="16"/>
  <c r="BV284" i="16" s="1"/>
  <c r="BW284" i="16" s="1"/>
  <c r="BX284" i="16" s="1"/>
  <c r="AZ284" i="16"/>
  <c r="GQ285" i="16" s="1"/>
  <c r="AY284" i="16"/>
  <c r="AX284" i="16"/>
  <c r="GO285" i="16" s="1"/>
  <c r="AW284" i="16"/>
  <c r="AU284" i="16"/>
  <c r="AT284" i="16"/>
  <c r="AS284" i="16"/>
  <c r="AL284" i="16"/>
  <c r="AK284" i="16"/>
  <c r="EA284" i="16" s="1"/>
  <c r="AJ284" i="16"/>
  <c r="AI284" i="16"/>
  <c r="AG284" i="16"/>
  <c r="AF284" i="16"/>
  <c r="AE284" i="16"/>
  <c r="FK283" i="16"/>
  <c r="EP283" i="16"/>
  <c r="ER283" i="16" s="1"/>
  <c r="DW283" i="16"/>
  <c r="DU283" i="16"/>
  <c r="DT283" i="16"/>
  <c r="DV283" i="16" s="1"/>
  <c r="DL283" i="16"/>
  <c r="DK283" i="16"/>
  <c r="DR283" i="16" s="1"/>
  <c r="DH283" i="16"/>
  <c r="DG283" i="16"/>
  <c r="DY283" i="16" s="1"/>
  <c r="CR283" i="16"/>
  <c r="CQ283" i="16"/>
  <c r="CP283" i="16"/>
  <c r="CO283" i="16"/>
  <c r="CN283" i="16"/>
  <c r="CM283" i="16"/>
  <c r="CL283" i="16"/>
  <c r="CD283" i="16"/>
  <c r="CE283" i="16" s="1"/>
  <c r="CF283" i="16" s="1"/>
  <c r="CG283" i="16" s="1"/>
  <c r="BU283" i="16"/>
  <c r="BV283" i="16" s="1"/>
  <c r="BW283" i="16" s="1"/>
  <c r="BX283" i="16" s="1"/>
  <c r="AZ283" i="16"/>
  <c r="AY283" i="16"/>
  <c r="AX283" i="16"/>
  <c r="GK285" i="16" s="1"/>
  <c r="AW283" i="16"/>
  <c r="AU283" i="16"/>
  <c r="AT283" i="16"/>
  <c r="AS283" i="16"/>
  <c r="AL283" i="16"/>
  <c r="AK283" i="16"/>
  <c r="GL283" i="16" s="1"/>
  <c r="GL284" i="16" s="1"/>
  <c r="HJ283" i="16" s="1"/>
  <c r="AJ283" i="16"/>
  <c r="GK283" i="16" s="1"/>
  <c r="AI283" i="16"/>
  <c r="AG283" i="16"/>
  <c r="AF283" i="16"/>
  <c r="AE283" i="16"/>
  <c r="FK282" i="16"/>
  <c r="FM282" i="16" s="1"/>
  <c r="EP282" i="16"/>
  <c r="ER282" i="16" s="1"/>
  <c r="DL282" i="16"/>
  <c r="HT284" i="16" s="1"/>
  <c r="DK282" i="16"/>
  <c r="HS284" i="16" s="1"/>
  <c r="DH282" i="16"/>
  <c r="DG282" i="16"/>
  <c r="EB282" i="16" s="1"/>
  <c r="CR282" i="16"/>
  <c r="CQ282" i="16"/>
  <c r="CP282" i="16"/>
  <c r="CO282" i="16"/>
  <c r="CN282" i="16"/>
  <c r="CM282" i="16"/>
  <c r="CL282" i="16"/>
  <c r="CD282" i="16"/>
  <c r="CE282" i="16" s="1"/>
  <c r="CF282" i="16" s="1"/>
  <c r="CG282" i="16" s="1"/>
  <c r="BU282" i="16"/>
  <c r="BV282" i="16" s="1"/>
  <c r="BW282" i="16" s="1"/>
  <c r="BX282" i="16" s="1"/>
  <c r="AZ282" i="16"/>
  <c r="GI285" i="16" s="1"/>
  <c r="AY282" i="16"/>
  <c r="GH285" i="16" s="1"/>
  <c r="GH286" i="16" s="1"/>
  <c r="HI285" i="16" s="1"/>
  <c r="AX282" i="16"/>
  <c r="AW282" i="16"/>
  <c r="AU282" i="16"/>
  <c r="AT282" i="16"/>
  <c r="AS282" i="16"/>
  <c r="AL282" i="16"/>
  <c r="AK282" i="16"/>
  <c r="EM282" i="16" s="1"/>
  <c r="AJ282" i="16"/>
  <c r="BS282" i="16" s="1"/>
  <c r="AI282" i="16"/>
  <c r="AG282" i="16"/>
  <c r="AF282" i="16"/>
  <c r="AE282" i="16"/>
  <c r="BA281" i="16"/>
  <c r="AW281" i="16"/>
  <c r="AV281" i="16"/>
  <c r="AM281" i="16"/>
  <c r="AI281" i="16"/>
  <c r="AH281" i="16"/>
  <c r="N279" i="16"/>
  <c r="HN284" i="16" s="1"/>
  <c r="EP273" i="16"/>
  <c r="FK272" i="16"/>
  <c r="FM272" i="16" s="1"/>
  <c r="EP272" i="16"/>
  <c r="ER272" i="16" s="1"/>
  <c r="DW272" i="16"/>
  <c r="DU272" i="16"/>
  <c r="DT272" i="16"/>
  <c r="DV272" i="16" s="1"/>
  <c r="DK272" i="16"/>
  <c r="DR272" i="16" s="1"/>
  <c r="DH272" i="16"/>
  <c r="CR272" i="16"/>
  <c r="CQ272" i="16"/>
  <c r="CP272" i="16"/>
  <c r="CO272" i="16"/>
  <c r="CN272" i="16"/>
  <c r="CM272" i="16"/>
  <c r="CL272" i="16"/>
  <c r="AU272" i="16"/>
  <c r="AT272" i="16"/>
  <c r="AS272" i="16"/>
  <c r="AG272" i="16"/>
  <c r="AF272" i="16"/>
  <c r="AE272" i="16"/>
  <c r="FK271" i="16"/>
  <c r="FM271" i="16" s="1"/>
  <c r="EP271" i="16"/>
  <c r="ER271" i="16" s="1"/>
  <c r="DW271" i="16"/>
  <c r="DU271" i="16"/>
  <c r="DT271" i="16"/>
  <c r="DV271" i="16" s="1"/>
  <c r="DK271" i="16"/>
  <c r="DR271" i="16" s="1"/>
  <c r="DH271" i="16"/>
  <c r="CR271" i="16"/>
  <c r="CQ271" i="16"/>
  <c r="CP271" i="16"/>
  <c r="CO271" i="16"/>
  <c r="CN271" i="16"/>
  <c r="CM271" i="16"/>
  <c r="CL271" i="16"/>
  <c r="AU271" i="16"/>
  <c r="AT271" i="16"/>
  <c r="AS271" i="16"/>
  <c r="AG271" i="16"/>
  <c r="AF271" i="16"/>
  <c r="AE271" i="16"/>
  <c r="FK270" i="16"/>
  <c r="FM270" i="16" s="1"/>
  <c r="EP270" i="16"/>
  <c r="ER270" i="16" s="1"/>
  <c r="DW270" i="16"/>
  <c r="DU270" i="16"/>
  <c r="DT270" i="16"/>
  <c r="DV270" i="16" s="1"/>
  <c r="DL270" i="16"/>
  <c r="DO270" i="16" s="1"/>
  <c r="S270" i="16" s="1"/>
  <c r="DK270" i="16"/>
  <c r="DN270" i="16" s="1"/>
  <c r="D270" i="16" s="1"/>
  <c r="DH270" i="16"/>
  <c r="DG270" i="16"/>
  <c r="DY270" i="16" s="1"/>
  <c r="CR270" i="16"/>
  <c r="CQ270" i="16"/>
  <c r="CP270" i="16"/>
  <c r="CO270" i="16"/>
  <c r="CN270" i="16"/>
  <c r="CM270" i="16"/>
  <c r="CL270" i="16"/>
  <c r="CD270" i="16"/>
  <c r="CE270" i="16" s="1"/>
  <c r="CF270" i="16" s="1"/>
  <c r="CG270" i="16" s="1"/>
  <c r="BU270" i="16"/>
  <c r="BV270" i="16" s="1"/>
  <c r="BW270" i="16" s="1"/>
  <c r="BX270" i="16" s="1"/>
  <c r="AZ270" i="16"/>
  <c r="AY270" i="16"/>
  <c r="AX270" i="16"/>
  <c r="GO271" i="16" s="1"/>
  <c r="AW270" i="16"/>
  <c r="CV270" i="16" s="1"/>
  <c r="AU270" i="16"/>
  <c r="AT270" i="16"/>
  <c r="AS270" i="16"/>
  <c r="AL270" i="16"/>
  <c r="AK270" i="16"/>
  <c r="AJ270" i="16"/>
  <c r="AI270" i="16"/>
  <c r="AG270" i="16"/>
  <c r="AF270" i="16"/>
  <c r="AE270" i="16"/>
  <c r="FK269" i="16"/>
  <c r="FM269" i="16" s="1"/>
  <c r="EP269" i="16"/>
  <c r="ER269" i="16" s="1"/>
  <c r="DW269" i="16"/>
  <c r="DU269" i="16"/>
  <c r="DT269" i="16"/>
  <c r="DV269" i="16" s="1"/>
  <c r="DL269" i="16"/>
  <c r="DO269" i="16" s="1"/>
  <c r="S269" i="16" s="1"/>
  <c r="DK269" i="16"/>
  <c r="DR269" i="16" s="1"/>
  <c r="DH269" i="16"/>
  <c r="DG269" i="16"/>
  <c r="DY269" i="16" s="1"/>
  <c r="CR269" i="16"/>
  <c r="CQ269" i="16"/>
  <c r="CP269" i="16"/>
  <c r="CO269" i="16"/>
  <c r="CN269" i="16"/>
  <c r="CM269" i="16"/>
  <c r="CL269" i="16"/>
  <c r="CD269" i="16"/>
  <c r="CE269" i="16" s="1"/>
  <c r="CF269" i="16" s="1"/>
  <c r="CG269" i="16" s="1"/>
  <c r="BU269" i="16"/>
  <c r="BV269" i="16" s="1"/>
  <c r="BW269" i="16" s="1"/>
  <c r="BX269" i="16" s="1"/>
  <c r="AZ269" i="16"/>
  <c r="AY269" i="16"/>
  <c r="AX269" i="16"/>
  <c r="AW269" i="16"/>
  <c r="AU269" i="16"/>
  <c r="AT269" i="16"/>
  <c r="AS269" i="16"/>
  <c r="AL269" i="16"/>
  <c r="AK269" i="16"/>
  <c r="GL269" i="16" s="1"/>
  <c r="GL270" i="16" s="1"/>
  <c r="HJ269" i="16" s="1"/>
  <c r="AJ269" i="16"/>
  <c r="AI269" i="16"/>
  <c r="CU269" i="16" s="1"/>
  <c r="AG269" i="16"/>
  <c r="AF269" i="16"/>
  <c r="AE269" i="16"/>
  <c r="FK268" i="16"/>
  <c r="FM268" i="16" s="1"/>
  <c r="EP268" i="16"/>
  <c r="ER268" i="16" s="1"/>
  <c r="DL268" i="16"/>
  <c r="HT270" i="16" s="1"/>
  <c r="DK268" i="16"/>
  <c r="DN268" i="16" s="1"/>
  <c r="D268" i="16" s="1"/>
  <c r="DH268" i="16"/>
  <c r="DG268" i="16"/>
  <c r="DI268" i="16" s="1"/>
  <c r="DJ268" i="16" s="1"/>
  <c r="CR268" i="16"/>
  <c r="CQ268" i="16"/>
  <c r="CP268" i="16"/>
  <c r="CO268" i="16"/>
  <c r="CN268" i="16"/>
  <c r="CM268" i="16"/>
  <c r="CL268" i="16"/>
  <c r="CD268" i="16"/>
  <c r="CE268" i="16" s="1"/>
  <c r="CF268" i="16" s="1"/>
  <c r="CG268" i="16" s="1"/>
  <c r="BU268" i="16"/>
  <c r="BV268" i="16" s="1"/>
  <c r="BW268" i="16" s="1"/>
  <c r="BX268" i="16" s="1"/>
  <c r="AZ268" i="16"/>
  <c r="AY268" i="16"/>
  <c r="GH271" i="16" s="1"/>
  <c r="GH272" i="16" s="1"/>
  <c r="HI271" i="16" s="1"/>
  <c r="AX268" i="16"/>
  <c r="GG271" i="16" s="1"/>
  <c r="AW268" i="16"/>
  <c r="AU268" i="16"/>
  <c r="AT268" i="16"/>
  <c r="AS268" i="16"/>
  <c r="AL268" i="16"/>
  <c r="AK268" i="16"/>
  <c r="BN268" i="16" s="1"/>
  <c r="AJ268" i="16"/>
  <c r="GG269" i="16" s="1"/>
  <c r="AI268" i="16"/>
  <c r="AG268" i="16"/>
  <c r="AF268" i="16"/>
  <c r="AE268" i="16"/>
  <c r="BA267" i="16"/>
  <c r="AW267" i="16"/>
  <c r="AV267" i="16"/>
  <c r="AM267" i="16"/>
  <c r="AI267" i="16"/>
  <c r="AH267" i="16"/>
  <c r="N265" i="16"/>
  <c r="HN270" i="16" s="1"/>
  <c r="EP259" i="16"/>
  <c r="FK258" i="16"/>
  <c r="FM258" i="16" s="1"/>
  <c r="EP258" i="16"/>
  <c r="ER258" i="16" s="1"/>
  <c r="DW258" i="16"/>
  <c r="DU258" i="16"/>
  <c r="DT258" i="16"/>
  <c r="DV258" i="16" s="1"/>
  <c r="DK258" i="16"/>
  <c r="DN258" i="16" s="1"/>
  <c r="D258" i="16" s="1"/>
  <c r="DH258" i="16"/>
  <c r="CR258" i="16"/>
  <c r="CQ258" i="16"/>
  <c r="CP258" i="16"/>
  <c r="CO258" i="16"/>
  <c r="CN258" i="16"/>
  <c r="CM258" i="16"/>
  <c r="CL258" i="16"/>
  <c r="AU258" i="16"/>
  <c r="AT258" i="16"/>
  <c r="AS258" i="16"/>
  <c r="AG258" i="16"/>
  <c r="AF258" i="16"/>
  <c r="AE258" i="16"/>
  <c r="FK257" i="16"/>
  <c r="FM257" i="16" s="1"/>
  <c r="EP257" i="16"/>
  <c r="ER257" i="16" s="1"/>
  <c r="DW257" i="16"/>
  <c r="DU257" i="16"/>
  <c r="DT257" i="16"/>
  <c r="DV257" i="16" s="1"/>
  <c r="DK257" i="16"/>
  <c r="DH257" i="16"/>
  <c r="CR257" i="16"/>
  <c r="CQ257" i="16"/>
  <c r="CP257" i="16"/>
  <c r="CO257" i="16"/>
  <c r="CN257" i="16"/>
  <c r="CM257" i="16"/>
  <c r="CL257" i="16"/>
  <c r="AU257" i="16"/>
  <c r="AT257" i="16"/>
  <c r="AS257" i="16"/>
  <c r="AG257" i="16"/>
  <c r="AF257" i="16"/>
  <c r="AE257" i="16"/>
  <c r="FK256" i="16"/>
  <c r="FM256" i="16" s="1"/>
  <c r="EP256" i="16"/>
  <c r="ER256" i="16" s="1"/>
  <c r="DW256" i="16"/>
  <c r="DU256" i="16"/>
  <c r="DT256" i="16"/>
  <c r="DV256" i="16" s="1"/>
  <c r="DL256" i="16"/>
  <c r="DK256" i="16"/>
  <c r="DH256" i="16"/>
  <c r="DG256" i="16"/>
  <c r="CR256" i="16"/>
  <c r="CQ256" i="16"/>
  <c r="CP256" i="16"/>
  <c r="CO256" i="16"/>
  <c r="CN256" i="16"/>
  <c r="CM256" i="16"/>
  <c r="CL256" i="16"/>
  <c r="CD256" i="16"/>
  <c r="CE256" i="16" s="1"/>
  <c r="CF256" i="16" s="1"/>
  <c r="CG256" i="16" s="1"/>
  <c r="BU256" i="16"/>
  <c r="BV256" i="16" s="1"/>
  <c r="BW256" i="16" s="1"/>
  <c r="BX256" i="16" s="1"/>
  <c r="AZ256" i="16"/>
  <c r="AY256" i="16"/>
  <c r="GP257" i="16" s="1"/>
  <c r="GP258" i="16" s="1"/>
  <c r="HK257" i="16" s="1"/>
  <c r="AX256" i="16"/>
  <c r="AW256" i="16"/>
  <c r="CV256" i="16" s="1"/>
  <c r="AU256" i="16"/>
  <c r="AT256" i="16"/>
  <c r="AS256" i="16"/>
  <c r="AL256" i="16"/>
  <c r="GQ255" i="16" s="1"/>
  <c r="AK256" i="16"/>
  <c r="GP255" i="16" s="1"/>
  <c r="GP256" i="16" s="1"/>
  <c r="HK255" i="16" s="1"/>
  <c r="AJ256" i="16"/>
  <c r="GO255" i="16" s="1"/>
  <c r="AI256" i="16"/>
  <c r="CU256" i="16" s="1"/>
  <c r="AG256" i="16"/>
  <c r="AF256" i="16"/>
  <c r="AE256" i="16"/>
  <c r="FK255" i="16"/>
  <c r="FM255" i="16" s="1"/>
  <c r="EP255" i="16"/>
  <c r="ER255" i="16" s="1"/>
  <c r="DW255" i="16"/>
  <c r="DU255" i="16"/>
  <c r="DT255" i="16"/>
  <c r="DV255" i="16" s="1"/>
  <c r="DL255" i="16"/>
  <c r="DK255" i="16"/>
  <c r="DR255" i="16" s="1"/>
  <c r="DH255" i="16"/>
  <c r="DG255" i="16"/>
  <c r="CR255" i="16"/>
  <c r="CQ255" i="16"/>
  <c r="CP255" i="16"/>
  <c r="CO255" i="16"/>
  <c r="CN255" i="16"/>
  <c r="CM255" i="16"/>
  <c r="CL255" i="16"/>
  <c r="CD255" i="16"/>
  <c r="CE255" i="16" s="1"/>
  <c r="CF255" i="16" s="1"/>
  <c r="CG255" i="16" s="1"/>
  <c r="BU255" i="16"/>
  <c r="BV255" i="16" s="1"/>
  <c r="BW255" i="16" s="1"/>
  <c r="BX255" i="16" s="1"/>
  <c r="AZ255" i="16"/>
  <c r="GM257" i="16" s="1"/>
  <c r="AY255" i="16"/>
  <c r="AX255" i="16"/>
  <c r="AW255" i="16"/>
  <c r="AU255" i="16"/>
  <c r="AT255" i="16"/>
  <c r="AS255" i="16"/>
  <c r="AL255" i="16"/>
  <c r="AK255" i="16"/>
  <c r="AJ255" i="16"/>
  <c r="AI255" i="16"/>
  <c r="CU255" i="16" s="1"/>
  <c r="AG255" i="16"/>
  <c r="AF255" i="16"/>
  <c r="AE255" i="16"/>
  <c r="FK254" i="16"/>
  <c r="FM254" i="16" s="1"/>
  <c r="EP254" i="16"/>
  <c r="ER254" i="16" s="1"/>
  <c r="DL254" i="16"/>
  <c r="HT256" i="16" s="1"/>
  <c r="DK254" i="16"/>
  <c r="HS256" i="16" s="1"/>
  <c r="DH254" i="16"/>
  <c r="DG254" i="16"/>
  <c r="EB254" i="16" s="1"/>
  <c r="CR254" i="16"/>
  <c r="CQ254" i="16"/>
  <c r="CP254" i="16"/>
  <c r="CO254" i="16"/>
  <c r="CN254" i="16"/>
  <c r="CM254" i="16"/>
  <c r="CL254" i="16"/>
  <c r="CD254" i="16"/>
  <c r="CE254" i="16" s="1"/>
  <c r="CF254" i="16" s="1"/>
  <c r="CG254" i="16" s="1"/>
  <c r="BU254" i="16"/>
  <c r="BV254" i="16" s="1"/>
  <c r="BW254" i="16" s="1"/>
  <c r="BX254" i="16" s="1"/>
  <c r="AZ254" i="16"/>
  <c r="AY254" i="16"/>
  <c r="AX254" i="16"/>
  <c r="AW254" i="16"/>
  <c r="CV254" i="16" s="1"/>
  <c r="AU254" i="16"/>
  <c r="AT254" i="16"/>
  <c r="AS254" i="16"/>
  <c r="AL254" i="16"/>
  <c r="AK254" i="16"/>
  <c r="AJ254" i="16"/>
  <c r="GG255" i="16" s="1"/>
  <c r="AI254" i="16"/>
  <c r="CU254" i="16" s="1"/>
  <c r="AG254" i="16"/>
  <c r="AF254" i="16"/>
  <c r="AE254" i="16"/>
  <c r="BA253" i="16"/>
  <c r="AW253" i="16"/>
  <c r="AV253" i="16"/>
  <c r="AM253" i="16"/>
  <c r="AI253" i="16"/>
  <c r="AH253" i="16"/>
  <c r="N251" i="16"/>
  <c r="HN256" i="16" s="1"/>
  <c r="EP245" i="16"/>
  <c r="FK244" i="16"/>
  <c r="FM244" i="16" s="1"/>
  <c r="EP244" i="16"/>
  <c r="ER244" i="16" s="1"/>
  <c r="DW244" i="16"/>
  <c r="DU244" i="16"/>
  <c r="DT244" i="16"/>
  <c r="DV244" i="16" s="1"/>
  <c r="DK244" i="16"/>
  <c r="DR244" i="16" s="1"/>
  <c r="DH244" i="16"/>
  <c r="CR244" i="16"/>
  <c r="CQ244" i="16"/>
  <c r="CP244" i="16"/>
  <c r="CO244" i="16"/>
  <c r="CN244" i="16"/>
  <c r="CM244" i="16"/>
  <c r="CL244" i="16"/>
  <c r="AU244" i="16"/>
  <c r="AT244" i="16"/>
  <c r="AS244" i="16"/>
  <c r="AG244" i="16"/>
  <c r="AF244" i="16"/>
  <c r="AE244" i="16"/>
  <c r="FK243" i="16"/>
  <c r="FM243" i="16" s="1"/>
  <c r="EP243" i="16"/>
  <c r="ER243" i="16" s="1"/>
  <c r="DW243" i="16"/>
  <c r="DU243" i="16"/>
  <c r="DT243" i="16"/>
  <c r="DV243" i="16" s="1"/>
  <c r="DK243" i="16"/>
  <c r="DN243" i="16" s="1"/>
  <c r="D243" i="16" s="1"/>
  <c r="DH243" i="16"/>
  <c r="CR243" i="16"/>
  <c r="CQ243" i="16"/>
  <c r="CP243" i="16"/>
  <c r="CO243" i="16"/>
  <c r="CN243" i="16"/>
  <c r="CM243" i="16"/>
  <c r="CL243" i="16"/>
  <c r="AU243" i="16"/>
  <c r="AT243" i="16"/>
  <c r="AS243" i="16"/>
  <c r="AG243" i="16"/>
  <c r="AF243" i="16"/>
  <c r="AE243" i="16"/>
  <c r="FK242" i="16"/>
  <c r="FM242" i="16" s="1"/>
  <c r="EP242" i="16"/>
  <c r="ER242" i="16" s="1"/>
  <c r="DW242" i="16"/>
  <c r="DU242" i="16"/>
  <c r="DT242" i="16"/>
  <c r="DV242" i="16" s="1"/>
  <c r="DL242" i="16"/>
  <c r="DO242" i="16" s="1"/>
  <c r="S242" i="16" s="1"/>
  <c r="DK242" i="16"/>
  <c r="DR242" i="16" s="1"/>
  <c r="DH242" i="16"/>
  <c r="DG242" i="16"/>
  <c r="EB242" i="16" s="1"/>
  <c r="CR242" i="16"/>
  <c r="CQ242" i="16"/>
  <c r="CP242" i="16"/>
  <c r="CO242" i="16"/>
  <c r="CN242" i="16"/>
  <c r="CM242" i="16"/>
  <c r="CL242" i="16"/>
  <c r="CD242" i="16"/>
  <c r="CE242" i="16" s="1"/>
  <c r="CF242" i="16" s="1"/>
  <c r="CG242" i="16" s="1"/>
  <c r="BU242" i="16"/>
  <c r="BV242" i="16" s="1"/>
  <c r="BW242" i="16" s="1"/>
  <c r="BX242" i="16" s="1"/>
  <c r="AZ242" i="16"/>
  <c r="AY242" i="16"/>
  <c r="BO242" i="16" s="1"/>
  <c r="AX242" i="16"/>
  <c r="AW242" i="16"/>
  <c r="CV242" i="16" s="1"/>
  <c r="AU242" i="16"/>
  <c r="AT242" i="16"/>
  <c r="AS242" i="16"/>
  <c r="AL242" i="16"/>
  <c r="GQ241" i="16" s="1"/>
  <c r="AK242" i="16"/>
  <c r="AJ242" i="16"/>
  <c r="GO241" i="16" s="1"/>
  <c r="AI242" i="16"/>
  <c r="CU242" i="16" s="1"/>
  <c r="AG242" i="16"/>
  <c r="AF242" i="16"/>
  <c r="AE242" i="16"/>
  <c r="FK241" i="16"/>
  <c r="FM241" i="16" s="1"/>
  <c r="EP241" i="16"/>
  <c r="ER241" i="16" s="1"/>
  <c r="DW241" i="16"/>
  <c r="DU241" i="16"/>
  <c r="DT241" i="16"/>
  <c r="DV241" i="16" s="1"/>
  <c r="DL241" i="16"/>
  <c r="DS241" i="16" s="1"/>
  <c r="DK241" i="16"/>
  <c r="DR241" i="16" s="1"/>
  <c r="DH241" i="16"/>
  <c r="DG241" i="16"/>
  <c r="EB241" i="16" s="1"/>
  <c r="CR241" i="16"/>
  <c r="CQ241" i="16"/>
  <c r="CP241" i="16"/>
  <c r="CO241" i="16"/>
  <c r="CN241" i="16"/>
  <c r="CM241" i="16"/>
  <c r="CL241" i="16"/>
  <c r="CD241" i="16"/>
  <c r="CE241" i="16" s="1"/>
  <c r="CF241" i="16" s="1"/>
  <c r="CG241" i="16" s="1"/>
  <c r="BU241" i="16"/>
  <c r="BV241" i="16" s="1"/>
  <c r="BW241" i="16" s="1"/>
  <c r="BX241" i="16" s="1"/>
  <c r="AZ241" i="16"/>
  <c r="AY241" i="16"/>
  <c r="AX241" i="16"/>
  <c r="GK243" i="16" s="1"/>
  <c r="AW241" i="16"/>
  <c r="AU241" i="16"/>
  <c r="AT241" i="16"/>
  <c r="AS241" i="16"/>
  <c r="AL241" i="16"/>
  <c r="AK241" i="16"/>
  <c r="GL241" i="16" s="1"/>
  <c r="AJ241" i="16"/>
  <c r="DD241" i="16" s="1"/>
  <c r="AI241" i="16"/>
  <c r="AG241" i="16"/>
  <c r="AF241" i="16"/>
  <c r="AE241" i="16"/>
  <c r="FK240" i="16"/>
  <c r="FM240" i="16" s="1"/>
  <c r="EP240" i="16"/>
  <c r="ER240" i="16" s="1"/>
  <c r="DL240" i="16"/>
  <c r="HT242" i="16" s="1"/>
  <c r="DK240" i="16"/>
  <c r="HS242" i="16" s="1"/>
  <c r="DH240" i="16"/>
  <c r="DG240" i="16"/>
  <c r="DI240" i="16" s="1"/>
  <c r="DJ240" i="16" s="1"/>
  <c r="CR240" i="16"/>
  <c r="CQ240" i="16"/>
  <c r="CP240" i="16"/>
  <c r="CO240" i="16"/>
  <c r="CN240" i="16"/>
  <c r="CM240" i="16"/>
  <c r="CL240" i="16"/>
  <c r="CD240" i="16"/>
  <c r="CE240" i="16" s="1"/>
  <c r="CF240" i="16" s="1"/>
  <c r="CG240" i="16" s="1"/>
  <c r="BU240" i="16"/>
  <c r="BV240" i="16" s="1"/>
  <c r="BW240" i="16" s="1"/>
  <c r="BX240" i="16" s="1"/>
  <c r="AZ240" i="16"/>
  <c r="AY240" i="16"/>
  <c r="GH243" i="16" s="1"/>
  <c r="GH244" i="16" s="1"/>
  <c r="HI243" i="16" s="1"/>
  <c r="AX240" i="16"/>
  <c r="BT240" i="16" s="1"/>
  <c r="AW240" i="16"/>
  <c r="AU240" i="16"/>
  <c r="AT240" i="16"/>
  <c r="AS240" i="16"/>
  <c r="AL240" i="16"/>
  <c r="GI241" i="16" s="1"/>
  <c r="AK240" i="16"/>
  <c r="EN240" i="16" s="1"/>
  <c r="AJ240" i="16"/>
  <c r="GG241" i="16" s="1"/>
  <c r="AI240" i="16"/>
  <c r="CU240" i="16" s="1"/>
  <c r="AG240" i="16"/>
  <c r="AF240" i="16"/>
  <c r="AE240" i="16"/>
  <c r="BA239" i="16"/>
  <c r="AW239" i="16"/>
  <c r="AV239" i="16"/>
  <c r="AM239" i="16"/>
  <c r="AI239" i="16"/>
  <c r="AH239" i="16"/>
  <c r="N237" i="16"/>
  <c r="HN242" i="16" s="1"/>
  <c r="EP231" i="16"/>
  <c r="FK230" i="16"/>
  <c r="FM230" i="16" s="1"/>
  <c r="EP230" i="16"/>
  <c r="ER230" i="16" s="1"/>
  <c r="DW230" i="16"/>
  <c r="DU230" i="16"/>
  <c r="DT230" i="16"/>
  <c r="DV230" i="16" s="1"/>
  <c r="DK230" i="16"/>
  <c r="DH230" i="16"/>
  <c r="CR230" i="16"/>
  <c r="CQ230" i="16"/>
  <c r="CP230" i="16"/>
  <c r="CO230" i="16"/>
  <c r="CN230" i="16"/>
  <c r="CM230" i="16"/>
  <c r="CL230" i="16"/>
  <c r="AU230" i="16"/>
  <c r="AT230" i="16"/>
  <c r="AS230" i="16"/>
  <c r="AG230" i="16"/>
  <c r="AF230" i="16"/>
  <c r="AE230" i="16"/>
  <c r="FK229" i="16"/>
  <c r="FM229" i="16" s="1"/>
  <c r="EP229" i="16"/>
  <c r="ER229" i="16" s="1"/>
  <c r="DW229" i="16"/>
  <c r="DU229" i="16"/>
  <c r="DT229" i="16"/>
  <c r="DV229" i="16" s="1"/>
  <c r="DK229" i="16"/>
  <c r="DR229" i="16" s="1"/>
  <c r="DH229" i="16"/>
  <c r="CR229" i="16"/>
  <c r="CQ229" i="16"/>
  <c r="CP229" i="16"/>
  <c r="CO229" i="16"/>
  <c r="CN229" i="16"/>
  <c r="CM229" i="16"/>
  <c r="CL229" i="16"/>
  <c r="AU229" i="16"/>
  <c r="AT229" i="16"/>
  <c r="AS229" i="16"/>
  <c r="AG229" i="16"/>
  <c r="AF229" i="16"/>
  <c r="AE229" i="16"/>
  <c r="FK228" i="16"/>
  <c r="FM228" i="16" s="1"/>
  <c r="EP228" i="16"/>
  <c r="ER228" i="16" s="1"/>
  <c r="DW228" i="16"/>
  <c r="DU228" i="16"/>
  <c r="DT228" i="16"/>
  <c r="DV228" i="16" s="1"/>
  <c r="DL228" i="16"/>
  <c r="DK228" i="16"/>
  <c r="DH228" i="16"/>
  <c r="DG228" i="16"/>
  <c r="DY228" i="16" s="1"/>
  <c r="CR228" i="16"/>
  <c r="CQ228" i="16"/>
  <c r="CP228" i="16"/>
  <c r="CO228" i="16"/>
  <c r="CN228" i="16"/>
  <c r="CM228" i="16"/>
  <c r="CL228" i="16"/>
  <c r="CD228" i="16"/>
  <c r="CE228" i="16" s="1"/>
  <c r="CF228" i="16" s="1"/>
  <c r="CG228" i="16" s="1"/>
  <c r="BU228" i="16"/>
  <c r="BV228" i="16" s="1"/>
  <c r="BW228" i="16" s="1"/>
  <c r="BX228" i="16" s="1"/>
  <c r="AZ228" i="16"/>
  <c r="AY228" i="16"/>
  <c r="FH228" i="16" s="1"/>
  <c r="AX228" i="16"/>
  <c r="AW228" i="16"/>
  <c r="CV228" i="16" s="1"/>
  <c r="AU228" i="16"/>
  <c r="AT228" i="16"/>
  <c r="AS228" i="16"/>
  <c r="AL228" i="16"/>
  <c r="AK228" i="16"/>
  <c r="DX228" i="16" s="1"/>
  <c r="AJ228" i="16"/>
  <c r="GO227" i="16" s="1"/>
  <c r="AI228" i="16"/>
  <c r="CU228" i="16" s="1"/>
  <c r="AG228" i="16"/>
  <c r="AF228" i="16"/>
  <c r="AE228" i="16"/>
  <c r="FK227" i="16"/>
  <c r="FM227" i="16" s="1"/>
  <c r="EP227" i="16"/>
  <c r="ER227" i="16" s="1"/>
  <c r="DW227" i="16"/>
  <c r="DU227" i="16"/>
  <c r="DT227" i="16"/>
  <c r="DV227" i="16" s="1"/>
  <c r="DL227" i="16"/>
  <c r="DS227" i="16" s="1"/>
  <c r="DK227" i="16"/>
  <c r="DH227" i="16"/>
  <c r="DG227" i="16"/>
  <c r="CR227" i="16"/>
  <c r="CQ227" i="16"/>
  <c r="CP227" i="16"/>
  <c r="CO227" i="16"/>
  <c r="CN227" i="16"/>
  <c r="CM227" i="16"/>
  <c r="CL227" i="16"/>
  <c r="CD227" i="16"/>
  <c r="CE227" i="16" s="1"/>
  <c r="CF227" i="16" s="1"/>
  <c r="CG227" i="16" s="1"/>
  <c r="BU227" i="16"/>
  <c r="BV227" i="16" s="1"/>
  <c r="BW227" i="16" s="1"/>
  <c r="BX227" i="16" s="1"/>
  <c r="AZ227" i="16"/>
  <c r="AY227" i="16"/>
  <c r="AX227" i="16"/>
  <c r="GK229" i="16" s="1"/>
  <c r="AW227" i="16"/>
  <c r="AU227" i="16"/>
  <c r="AT227" i="16"/>
  <c r="AS227" i="16"/>
  <c r="AL227" i="16"/>
  <c r="GM227" i="16" s="1"/>
  <c r="AK227" i="16"/>
  <c r="DX227" i="16" s="1"/>
  <c r="AJ227" i="16"/>
  <c r="GK227" i="16" s="1"/>
  <c r="AI227" i="16"/>
  <c r="AG227" i="16"/>
  <c r="AF227" i="16"/>
  <c r="AE227" i="16"/>
  <c r="FK226" i="16"/>
  <c r="FM226" i="16" s="1"/>
  <c r="EP226" i="16"/>
  <c r="ER226" i="16" s="1"/>
  <c r="DL226" i="16"/>
  <c r="HT228" i="16" s="1"/>
  <c r="DK226" i="16"/>
  <c r="HS228" i="16" s="1"/>
  <c r="DH226" i="16"/>
  <c r="DG226" i="16"/>
  <c r="CR226" i="16"/>
  <c r="CQ226" i="16"/>
  <c r="CP226" i="16"/>
  <c r="CO226" i="16"/>
  <c r="CN226" i="16"/>
  <c r="CM226" i="16"/>
  <c r="CL226" i="16"/>
  <c r="CD226" i="16"/>
  <c r="CE226" i="16" s="1"/>
  <c r="CF226" i="16" s="1"/>
  <c r="CG226" i="16" s="1"/>
  <c r="BU226" i="16"/>
  <c r="BV226" i="16" s="1"/>
  <c r="BW226" i="16" s="1"/>
  <c r="BX226" i="16" s="1"/>
  <c r="AZ226" i="16"/>
  <c r="GI229" i="16" s="1"/>
  <c r="AY226" i="16"/>
  <c r="AX226" i="16"/>
  <c r="FJ226" i="16" s="1"/>
  <c r="AW226" i="16"/>
  <c r="CV226" i="16" s="1"/>
  <c r="AU226" i="16"/>
  <c r="AT226" i="16"/>
  <c r="AS226" i="16"/>
  <c r="AL226" i="16"/>
  <c r="GI227" i="16" s="1"/>
  <c r="AK226" i="16"/>
  <c r="AJ226" i="16"/>
  <c r="BS226" i="16" s="1"/>
  <c r="AI226" i="16"/>
  <c r="AG226" i="16"/>
  <c r="AF226" i="16"/>
  <c r="AE226" i="16"/>
  <c r="BA225" i="16"/>
  <c r="AW225" i="16"/>
  <c r="AV225" i="16"/>
  <c r="AM225" i="16"/>
  <c r="AI225" i="16"/>
  <c r="AH225" i="16"/>
  <c r="N223" i="16"/>
  <c r="HN228" i="16" s="1"/>
  <c r="EP217" i="16"/>
  <c r="FK216" i="16"/>
  <c r="FM216" i="16" s="1"/>
  <c r="EP216" i="16"/>
  <c r="ER216" i="16" s="1"/>
  <c r="DW216" i="16"/>
  <c r="DU216" i="16"/>
  <c r="DT216" i="16"/>
  <c r="DV216" i="16" s="1"/>
  <c r="DK216" i="16"/>
  <c r="DR216" i="16" s="1"/>
  <c r="DH216" i="16"/>
  <c r="CR216" i="16"/>
  <c r="CQ216" i="16"/>
  <c r="CP216" i="16"/>
  <c r="CO216" i="16"/>
  <c r="CN216" i="16"/>
  <c r="CM216" i="16"/>
  <c r="CL216" i="16"/>
  <c r="AU216" i="16"/>
  <c r="AT216" i="16"/>
  <c r="AS216" i="16"/>
  <c r="AG216" i="16"/>
  <c r="AF216" i="16"/>
  <c r="AE216" i="16"/>
  <c r="FK215" i="16"/>
  <c r="FM215" i="16" s="1"/>
  <c r="EP215" i="16"/>
  <c r="ER215" i="16" s="1"/>
  <c r="DW215" i="16"/>
  <c r="DU215" i="16"/>
  <c r="DT215" i="16"/>
  <c r="DV215" i="16" s="1"/>
  <c r="DK215" i="16"/>
  <c r="DR215" i="16" s="1"/>
  <c r="DH215" i="16"/>
  <c r="CR215" i="16"/>
  <c r="CQ215" i="16"/>
  <c r="CP215" i="16"/>
  <c r="CO215" i="16"/>
  <c r="CN215" i="16"/>
  <c r="CM215" i="16"/>
  <c r="CL215" i="16"/>
  <c r="AU215" i="16"/>
  <c r="AT215" i="16"/>
  <c r="AS215" i="16"/>
  <c r="AG215" i="16"/>
  <c r="AF215" i="16"/>
  <c r="AE215" i="16"/>
  <c r="FK214" i="16"/>
  <c r="FM214" i="16" s="1"/>
  <c r="EP214" i="16"/>
  <c r="ER214" i="16" s="1"/>
  <c r="DW214" i="16"/>
  <c r="DU214" i="16"/>
  <c r="DT214" i="16"/>
  <c r="DV214" i="16" s="1"/>
  <c r="DL214" i="16"/>
  <c r="DO214" i="16" s="1"/>
  <c r="S214" i="16" s="1"/>
  <c r="DK214" i="16"/>
  <c r="DR214" i="16" s="1"/>
  <c r="DH214" i="16"/>
  <c r="DG214" i="16"/>
  <c r="CR214" i="16"/>
  <c r="CQ214" i="16"/>
  <c r="CP214" i="16"/>
  <c r="CO214" i="16"/>
  <c r="CN214" i="16"/>
  <c r="CM214" i="16"/>
  <c r="CL214" i="16"/>
  <c r="CD214" i="16"/>
  <c r="CE214" i="16" s="1"/>
  <c r="CF214" i="16" s="1"/>
  <c r="CG214" i="16" s="1"/>
  <c r="BU214" i="16"/>
  <c r="BV214" i="16" s="1"/>
  <c r="BW214" i="16" s="1"/>
  <c r="BX214" i="16" s="1"/>
  <c r="AZ214" i="16"/>
  <c r="AY214" i="16"/>
  <c r="AX214" i="16"/>
  <c r="GO215" i="16" s="1"/>
  <c r="AW214" i="16"/>
  <c r="AU214" i="16"/>
  <c r="AT214" i="16"/>
  <c r="AS214" i="16"/>
  <c r="AL214" i="16"/>
  <c r="AK214" i="16"/>
  <c r="AJ214" i="16"/>
  <c r="GO213" i="16" s="1"/>
  <c r="AI214" i="16"/>
  <c r="AG214" i="16"/>
  <c r="AF214" i="16"/>
  <c r="AE214" i="16"/>
  <c r="FK213" i="16"/>
  <c r="FM213" i="16" s="1"/>
  <c r="EP213" i="16"/>
  <c r="ER213" i="16" s="1"/>
  <c r="DW213" i="16"/>
  <c r="DU213" i="16"/>
  <c r="DT213" i="16"/>
  <c r="DV213" i="16" s="1"/>
  <c r="DL213" i="16"/>
  <c r="DO213" i="16" s="1"/>
  <c r="S213" i="16" s="1"/>
  <c r="DK213" i="16"/>
  <c r="DR213" i="16" s="1"/>
  <c r="DH213" i="16"/>
  <c r="DG213" i="16"/>
  <c r="CR213" i="16"/>
  <c r="CQ213" i="16"/>
  <c r="CP213" i="16"/>
  <c r="CO213" i="16"/>
  <c r="CN213" i="16"/>
  <c r="CM213" i="16"/>
  <c r="CL213" i="16"/>
  <c r="CD213" i="16"/>
  <c r="CE213" i="16" s="1"/>
  <c r="CF213" i="16" s="1"/>
  <c r="CG213" i="16" s="1"/>
  <c r="BU213" i="16"/>
  <c r="BV213" i="16" s="1"/>
  <c r="BW213" i="16" s="1"/>
  <c r="BX213" i="16" s="1"/>
  <c r="AZ213" i="16"/>
  <c r="AY213" i="16"/>
  <c r="AB213" i="16" s="1"/>
  <c r="AX213" i="16"/>
  <c r="AW213" i="16"/>
  <c r="CV213" i="16" s="1"/>
  <c r="AU213" i="16"/>
  <c r="AT213" i="16"/>
  <c r="AS213" i="16"/>
  <c r="AL213" i="16"/>
  <c r="AK213" i="16"/>
  <c r="AJ213" i="16"/>
  <c r="BS213" i="16" s="1"/>
  <c r="AI213" i="16"/>
  <c r="CU213" i="16" s="1"/>
  <c r="AG213" i="16"/>
  <c r="AF213" i="16"/>
  <c r="AE213" i="16"/>
  <c r="FK212" i="16"/>
  <c r="FM212" i="16" s="1"/>
  <c r="EP212" i="16"/>
  <c r="ER212" i="16" s="1"/>
  <c r="DL212" i="16"/>
  <c r="HT214" i="16" s="1"/>
  <c r="DK212" i="16"/>
  <c r="HS214" i="16" s="1"/>
  <c r="DH212" i="16"/>
  <c r="DG212" i="16"/>
  <c r="DY212" i="16" s="1"/>
  <c r="CR212" i="16"/>
  <c r="CQ212" i="16"/>
  <c r="CP212" i="16"/>
  <c r="CO212" i="16"/>
  <c r="CN212" i="16"/>
  <c r="CM212" i="16"/>
  <c r="CL212" i="16"/>
  <c r="CD212" i="16"/>
  <c r="CE212" i="16" s="1"/>
  <c r="CF212" i="16" s="1"/>
  <c r="CG212" i="16" s="1"/>
  <c r="BU212" i="16"/>
  <c r="BV212" i="16" s="1"/>
  <c r="BW212" i="16" s="1"/>
  <c r="BX212" i="16" s="1"/>
  <c r="AZ212" i="16"/>
  <c r="GI215" i="16" s="1"/>
  <c r="AY212" i="16"/>
  <c r="AB212" i="16" s="1"/>
  <c r="AX212" i="16"/>
  <c r="AW212" i="16"/>
  <c r="CV212" i="16" s="1"/>
  <c r="AU212" i="16"/>
  <c r="AT212" i="16"/>
  <c r="AS212" i="16"/>
  <c r="AL212" i="16"/>
  <c r="AK212" i="16"/>
  <c r="AJ212" i="16"/>
  <c r="DD212" i="16" s="1"/>
  <c r="AI212" i="16"/>
  <c r="CU212" i="16" s="1"/>
  <c r="AG212" i="16"/>
  <c r="AF212" i="16"/>
  <c r="AE212" i="16"/>
  <c r="BA211" i="16"/>
  <c r="AW211" i="16"/>
  <c r="AV211" i="16"/>
  <c r="AM211" i="16"/>
  <c r="AI211" i="16"/>
  <c r="AH211" i="16"/>
  <c r="N209" i="16"/>
  <c r="HN214" i="16" s="1"/>
  <c r="EP203" i="16"/>
  <c r="FK202" i="16"/>
  <c r="FM202" i="16" s="1"/>
  <c r="EP202" i="16"/>
  <c r="ER202" i="16" s="1"/>
  <c r="DW202" i="16"/>
  <c r="DU202" i="16"/>
  <c r="DT202" i="16"/>
  <c r="DV202" i="16" s="1"/>
  <c r="DK202" i="16"/>
  <c r="DR202" i="16" s="1"/>
  <c r="DH202" i="16"/>
  <c r="CR202" i="16"/>
  <c r="CQ202" i="16"/>
  <c r="CP202" i="16"/>
  <c r="CO202" i="16"/>
  <c r="CN202" i="16"/>
  <c r="CM202" i="16"/>
  <c r="CL202" i="16"/>
  <c r="AU202" i="16"/>
  <c r="AT202" i="16"/>
  <c r="AS202" i="16"/>
  <c r="AG202" i="16"/>
  <c r="AF202" i="16"/>
  <c r="AE202" i="16"/>
  <c r="FK201" i="16"/>
  <c r="FM201" i="16" s="1"/>
  <c r="EP201" i="16"/>
  <c r="ER201" i="16" s="1"/>
  <c r="DW201" i="16"/>
  <c r="DU201" i="16"/>
  <c r="DT201" i="16"/>
  <c r="DV201" i="16" s="1"/>
  <c r="DK201" i="16"/>
  <c r="DR201" i="16" s="1"/>
  <c r="DH201" i="16"/>
  <c r="CR201" i="16"/>
  <c r="CQ201" i="16"/>
  <c r="CP201" i="16"/>
  <c r="CO201" i="16"/>
  <c r="CN201" i="16"/>
  <c r="CM201" i="16"/>
  <c r="CL201" i="16"/>
  <c r="AU201" i="16"/>
  <c r="AT201" i="16"/>
  <c r="AS201" i="16"/>
  <c r="AG201" i="16"/>
  <c r="AF201" i="16"/>
  <c r="AE201" i="16"/>
  <c r="FK200" i="16"/>
  <c r="FM200" i="16" s="1"/>
  <c r="EP200" i="16"/>
  <c r="ER200" i="16" s="1"/>
  <c r="DW200" i="16"/>
  <c r="DU200" i="16"/>
  <c r="DT200" i="16"/>
  <c r="DV200" i="16" s="1"/>
  <c r="DL200" i="16"/>
  <c r="DS200" i="16" s="1"/>
  <c r="DK200" i="16"/>
  <c r="DH200" i="16"/>
  <c r="DG200" i="16"/>
  <c r="DY200" i="16" s="1"/>
  <c r="CR200" i="16"/>
  <c r="CQ200" i="16"/>
  <c r="CP200" i="16"/>
  <c r="CO200" i="16"/>
  <c r="CN200" i="16"/>
  <c r="CM200" i="16"/>
  <c r="CL200" i="16"/>
  <c r="CD200" i="16"/>
  <c r="CE200" i="16" s="1"/>
  <c r="CF200" i="16" s="1"/>
  <c r="CG200" i="16" s="1"/>
  <c r="BU200" i="16"/>
  <c r="BV200" i="16" s="1"/>
  <c r="BW200" i="16" s="1"/>
  <c r="BX200" i="16" s="1"/>
  <c r="AZ200" i="16"/>
  <c r="AY200" i="16"/>
  <c r="GP201" i="16" s="1"/>
  <c r="GP202" i="16" s="1"/>
  <c r="HK201" i="16" s="1"/>
  <c r="AX200" i="16"/>
  <c r="AW200" i="16"/>
  <c r="CV200" i="16" s="1"/>
  <c r="AU200" i="16"/>
  <c r="AT200" i="16"/>
  <c r="AS200" i="16"/>
  <c r="AL200" i="16"/>
  <c r="GQ199" i="16" s="1"/>
  <c r="AK200" i="16"/>
  <c r="AJ200" i="16"/>
  <c r="AI200" i="16"/>
  <c r="AG200" i="16"/>
  <c r="AF200" i="16"/>
  <c r="AE200" i="16"/>
  <c r="FK199" i="16"/>
  <c r="FM199" i="16" s="1"/>
  <c r="EP199" i="16"/>
  <c r="ER199" i="16" s="1"/>
  <c r="DW199" i="16"/>
  <c r="DU199" i="16"/>
  <c r="DT199" i="16"/>
  <c r="DV199" i="16" s="1"/>
  <c r="DL199" i="16"/>
  <c r="DS199" i="16" s="1"/>
  <c r="DK199" i="16"/>
  <c r="DR199" i="16" s="1"/>
  <c r="DH199" i="16"/>
  <c r="DG199" i="16"/>
  <c r="DY199" i="16" s="1"/>
  <c r="CR199" i="16"/>
  <c r="CQ199" i="16"/>
  <c r="CP199" i="16"/>
  <c r="CO199" i="16"/>
  <c r="CN199" i="16"/>
  <c r="CM199" i="16"/>
  <c r="CL199" i="16"/>
  <c r="CD199" i="16"/>
  <c r="CE199" i="16" s="1"/>
  <c r="CF199" i="16" s="1"/>
  <c r="CG199" i="16" s="1"/>
  <c r="BU199" i="16"/>
  <c r="BV199" i="16" s="1"/>
  <c r="BW199" i="16" s="1"/>
  <c r="BX199" i="16" s="1"/>
  <c r="AZ199" i="16"/>
  <c r="AY199" i="16"/>
  <c r="AX199" i="16"/>
  <c r="AW199" i="16"/>
  <c r="CV199" i="16" s="1"/>
  <c r="AU199" i="16"/>
  <c r="AT199" i="16"/>
  <c r="AS199" i="16"/>
  <c r="AL199" i="16"/>
  <c r="GM199" i="16" s="1"/>
  <c r="AK199" i="16"/>
  <c r="AJ199" i="16"/>
  <c r="AI199" i="16"/>
  <c r="CU199" i="16" s="1"/>
  <c r="AG199" i="16"/>
  <c r="AF199" i="16"/>
  <c r="AE199" i="16"/>
  <c r="AB199" i="16"/>
  <c r="FK198" i="16"/>
  <c r="FM198" i="16" s="1"/>
  <c r="EP198" i="16"/>
  <c r="ER198" i="16" s="1"/>
  <c r="DL198" i="16"/>
  <c r="HT200" i="16" s="1"/>
  <c r="DK198" i="16"/>
  <c r="HS200" i="16" s="1"/>
  <c r="DH198" i="16"/>
  <c r="DG198" i="16"/>
  <c r="EB198" i="16" s="1"/>
  <c r="CR198" i="16"/>
  <c r="CQ198" i="16"/>
  <c r="CP198" i="16"/>
  <c r="CO198" i="16"/>
  <c r="CN198" i="16"/>
  <c r="CM198" i="16"/>
  <c r="CL198" i="16"/>
  <c r="CD198" i="16"/>
  <c r="CE198" i="16" s="1"/>
  <c r="CF198" i="16" s="1"/>
  <c r="CG198" i="16" s="1"/>
  <c r="BU198" i="16"/>
  <c r="BV198" i="16" s="1"/>
  <c r="BW198" i="16" s="1"/>
  <c r="BX198" i="16" s="1"/>
  <c r="AZ198" i="16"/>
  <c r="GI201" i="16" s="1"/>
  <c r="AY198" i="16"/>
  <c r="AX198" i="16"/>
  <c r="GG201" i="16" s="1"/>
  <c r="AW198" i="16"/>
  <c r="AU198" i="16"/>
  <c r="AT198" i="16"/>
  <c r="AS198" i="16"/>
  <c r="AL198" i="16"/>
  <c r="AK198" i="16"/>
  <c r="GH199" i="16" s="1"/>
  <c r="GH200" i="16" s="1"/>
  <c r="HI199" i="16" s="1"/>
  <c r="AJ198" i="16"/>
  <c r="AI198" i="16"/>
  <c r="AG198" i="16"/>
  <c r="AF198" i="16"/>
  <c r="AE198" i="16"/>
  <c r="BA197" i="16"/>
  <c r="AW197" i="16"/>
  <c r="AV197" i="16"/>
  <c r="AM197" i="16"/>
  <c r="AI197" i="16"/>
  <c r="AH197" i="16"/>
  <c r="N195" i="16"/>
  <c r="HN200" i="16" s="1"/>
  <c r="EP189" i="16"/>
  <c r="FK188" i="16"/>
  <c r="FM188" i="16" s="1"/>
  <c r="EP188" i="16"/>
  <c r="ER188" i="16" s="1"/>
  <c r="DW188" i="16"/>
  <c r="DU188" i="16"/>
  <c r="DT188" i="16"/>
  <c r="DV188" i="16" s="1"/>
  <c r="DK188" i="16"/>
  <c r="DR188" i="16" s="1"/>
  <c r="DH188" i="16"/>
  <c r="CR188" i="16"/>
  <c r="CQ188" i="16"/>
  <c r="CP188" i="16"/>
  <c r="CO188" i="16"/>
  <c r="CN188" i="16"/>
  <c r="CM188" i="16"/>
  <c r="CL188" i="16"/>
  <c r="AU188" i="16"/>
  <c r="AT188" i="16"/>
  <c r="AS188" i="16"/>
  <c r="AG188" i="16"/>
  <c r="AF188" i="16"/>
  <c r="AE188" i="16"/>
  <c r="FK187" i="16"/>
  <c r="FM187" i="16" s="1"/>
  <c r="EP187" i="16"/>
  <c r="ER187" i="16" s="1"/>
  <c r="DW187" i="16"/>
  <c r="DU187" i="16"/>
  <c r="DT187" i="16"/>
  <c r="DV187" i="16" s="1"/>
  <c r="DK187" i="16"/>
  <c r="DN187" i="16" s="1"/>
  <c r="D187" i="16" s="1"/>
  <c r="DH187" i="16"/>
  <c r="CR187" i="16"/>
  <c r="CQ187" i="16"/>
  <c r="CP187" i="16"/>
  <c r="CO187" i="16"/>
  <c r="CN187" i="16"/>
  <c r="CM187" i="16"/>
  <c r="CL187" i="16"/>
  <c r="AU187" i="16"/>
  <c r="AT187" i="16"/>
  <c r="AS187" i="16"/>
  <c r="AG187" i="16"/>
  <c r="AF187" i="16"/>
  <c r="AE187" i="16"/>
  <c r="FK186" i="16"/>
  <c r="FM186" i="16" s="1"/>
  <c r="EP186" i="16"/>
  <c r="ER186" i="16" s="1"/>
  <c r="DW186" i="16"/>
  <c r="DU186" i="16"/>
  <c r="DT186" i="16"/>
  <c r="DV186" i="16" s="1"/>
  <c r="DL186" i="16"/>
  <c r="DS186" i="16" s="1"/>
  <c r="DK186" i="16"/>
  <c r="DN186" i="16" s="1"/>
  <c r="D186" i="16" s="1"/>
  <c r="DH186" i="16"/>
  <c r="DG186" i="16"/>
  <c r="CR186" i="16"/>
  <c r="CQ186" i="16"/>
  <c r="CP186" i="16"/>
  <c r="CO186" i="16"/>
  <c r="CN186" i="16"/>
  <c r="CM186" i="16"/>
  <c r="CL186" i="16"/>
  <c r="CD186" i="16"/>
  <c r="CE186" i="16" s="1"/>
  <c r="CF186" i="16" s="1"/>
  <c r="CG186" i="16" s="1"/>
  <c r="BU186" i="16"/>
  <c r="BV186" i="16" s="1"/>
  <c r="BW186" i="16" s="1"/>
  <c r="BX186" i="16" s="1"/>
  <c r="AZ186" i="16"/>
  <c r="AY186" i="16"/>
  <c r="AX186" i="16"/>
  <c r="GO187" i="16" s="1"/>
  <c r="AW186" i="16"/>
  <c r="AU186" i="16"/>
  <c r="AT186" i="16"/>
  <c r="AS186" i="16"/>
  <c r="AL186" i="16"/>
  <c r="AK186" i="16"/>
  <c r="GP185" i="16" s="1"/>
  <c r="GP186" i="16" s="1"/>
  <c r="HK185" i="16" s="1"/>
  <c r="AJ186" i="16"/>
  <c r="FF186" i="16" s="1"/>
  <c r="AI186" i="16"/>
  <c r="AG186" i="16"/>
  <c r="AF186" i="16"/>
  <c r="AE186" i="16"/>
  <c r="FK185" i="16"/>
  <c r="FM185" i="16" s="1"/>
  <c r="EP185" i="16"/>
  <c r="ER185" i="16" s="1"/>
  <c r="DW185" i="16"/>
  <c r="DU185" i="16"/>
  <c r="DT185" i="16"/>
  <c r="DV185" i="16" s="1"/>
  <c r="DL185" i="16"/>
  <c r="DK185" i="16"/>
  <c r="DN185" i="16" s="1"/>
  <c r="D185" i="16" s="1"/>
  <c r="DH185" i="16"/>
  <c r="DG185" i="16"/>
  <c r="EB185" i="16" s="1"/>
  <c r="CR185" i="16"/>
  <c r="CQ185" i="16"/>
  <c r="CP185" i="16"/>
  <c r="CO185" i="16"/>
  <c r="CN185" i="16"/>
  <c r="CM185" i="16"/>
  <c r="CL185" i="16"/>
  <c r="CD185" i="16"/>
  <c r="CE185" i="16" s="1"/>
  <c r="CF185" i="16" s="1"/>
  <c r="CG185" i="16" s="1"/>
  <c r="BU185" i="16"/>
  <c r="BV185" i="16" s="1"/>
  <c r="BW185" i="16" s="1"/>
  <c r="BX185" i="16" s="1"/>
  <c r="AZ185" i="16"/>
  <c r="BR185" i="16" s="1"/>
  <c r="AY185" i="16"/>
  <c r="AX185" i="16"/>
  <c r="AW185" i="16"/>
  <c r="AU185" i="16"/>
  <c r="AT185" i="16"/>
  <c r="AS185" i="16"/>
  <c r="AL185" i="16"/>
  <c r="AK185" i="16"/>
  <c r="EA185" i="16" s="1"/>
  <c r="AJ185" i="16"/>
  <c r="AI185" i="16"/>
  <c r="AG185" i="16"/>
  <c r="AF185" i="16"/>
  <c r="AE185" i="16"/>
  <c r="FK184" i="16"/>
  <c r="FM184" i="16" s="1"/>
  <c r="EP184" i="16"/>
  <c r="ER184" i="16" s="1"/>
  <c r="DL184" i="16"/>
  <c r="HT186" i="16" s="1"/>
  <c r="DK184" i="16"/>
  <c r="HS186" i="16" s="1"/>
  <c r="DH184" i="16"/>
  <c r="DG184" i="16"/>
  <c r="EB184" i="16" s="1"/>
  <c r="CR184" i="16"/>
  <c r="CQ184" i="16"/>
  <c r="CP184" i="16"/>
  <c r="CO184" i="16"/>
  <c r="CN184" i="16"/>
  <c r="CM184" i="16"/>
  <c r="CL184" i="16"/>
  <c r="CD184" i="16"/>
  <c r="CE184" i="16" s="1"/>
  <c r="CF184" i="16" s="1"/>
  <c r="CG184" i="16" s="1"/>
  <c r="BU184" i="16"/>
  <c r="BV184" i="16" s="1"/>
  <c r="BW184" i="16" s="1"/>
  <c r="BX184" i="16" s="1"/>
  <c r="AZ184" i="16"/>
  <c r="AY184" i="16"/>
  <c r="AX184" i="16"/>
  <c r="GG187" i="16" s="1"/>
  <c r="AW184" i="16"/>
  <c r="AU184" i="16"/>
  <c r="AT184" i="16"/>
  <c r="AS184" i="16"/>
  <c r="AL184" i="16"/>
  <c r="GI185" i="16" s="1"/>
  <c r="AK184" i="16"/>
  <c r="GH185" i="16" s="1"/>
  <c r="GH186" i="16" s="1"/>
  <c r="HI185" i="16" s="1"/>
  <c r="AJ184" i="16"/>
  <c r="AI184" i="16"/>
  <c r="AG184" i="16"/>
  <c r="AF184" i="16"/>
  <c r="AE184" i="16"/>
  <c r="BA183" i="16"/>
  <c r="AW183" i="16"/>
  <c r="AV183" i="16"/>
  <c r="AM183" i="16"/>
  <c r="AI183" i="16"/>
  <c r="AH183" i="16"/>
  <c r="N181" i="16"/>
  <c r="HN186" i="16" s="1"/>
  <c r="EP175" i="16"/>
  <c r="FK174" i="16"/>
  <c r="FM174" i="16" s="1"/>
  <c r="EP174" i="16"/>
  <c r="ER174" i="16" s="1"/>
  <c r="DW174" i="16"/>
  <c r="DU174" i="16"/>
  <c r="DT174" i="16"/>
  <c r="DV174" i="16" s="1"/>
  <c r="DK174" i="16"/>
  <c r="DN174" i="16" s="1"/>
  <c r="D174" i="16" s="1"/>
  <c r="DH174" i="16"/>
  <c r="CR174" i="16"/>
  <c r="CQ174" i="16"/>
  <c r="CP174" i="16"/>
  <c r="CO174" i="16"/>
  <c r="CN174" i="16"/>
  <c r="CM174" i="16"/>
  <c r="CL174" i="16"/>
  <c r="AU174" i="16"/>
  <c r="AT174" i="16"/>
  <c r="AS174" i="16"/>
  <c r="AG174" i="16"/>
  <c r="AF174" i="16"/>
  <c r="AE174" i="16"/>
  <c r="FK173" i="16"/>
  <c r="FM173" i="16" s="1"/>
  <c r="EP173" i="16"/>
  <c r="ER173" i="16" s="1"/>
  <c r="DW173" i="16"/>
  <c r="DU173" i="16"/>
  <c r="DT173" i="16"/>
  <c r="DV173" i="16" s="1"/>
  <c r="DK173" i="16"/>
  <c r="DN173" i="16" s="1"/>
  <c r="D173" i="16" s="1"/>
  <c r="DH173" i="16"/>
  <c r="CR173" i="16"/>
  <c r="CQ173" i="16"/>
  <c r="CP173" i="16"/>
  <c r="CO173" i="16"/>
  <c r="CN173" i="16"/>
  <c r="CM173" i="16"/>
  <c r="CL173" i="16"/>
  <c r="AU173" i="16"/>
  <c r="AT173" i="16"/>
  <c r="AS173" i="16"/>
  <c r="AG173" i="16"/>
  <c r="AF173" i="16"/>
  <c r="AE173" i="16"/>
  <c r="FK172" i="16"/>
  <c r="FM172" i="16" s="1"/>
  <c r="EP172" i="16"/>
  <c r="ER172" i="16" s="1"/>
  <c r="DW172" i="16"/>
  <c r="DU172" i="16"/>
  <c r="DT172" i="16"/>
  <c r="DV172" i="16" s="1"/>
  <c r="DL172" i="16"/>
  <c r="DK172" i="16"/>
  <c r="DR172" i="16" s="1"/>
  <c r="DH172" i="16"/>
  <c r="DG172" i="16"/>
  <c r="CR172" i="16"/>
  <c r="CQ172" i="16"/>
  <c r="CP172" i="16"/>
  <c r="CO172" i="16"/>
  <c r="CN172" i="16"/>
  <c r="CM172" i="16"/>
  <c r="CL172" i="16"/>
  <c r="CD172" i="16"/>
  <c r="CE172" i="16" s="1"/>
  <c r="CF172" i="16" s="1"/>
  <c r="CG172" i="16" s="1"/>
  <c r="BU172" i="16"/>
  <c r="BV172" i="16" s="1"/>
  <c r="BW172" i="16" s="1"/>
  <c r="BX172" i="16" s="1"/>
  <c r="AZ172" i="16"/>
  <c r="AY172" i="16"/>
  <c r="AX172" i="16"/>
  <c r="GO173" i="16" s="1"/>
  <c r="AW172" i="16"/>
  <c r="AU172" i="16"/>
  <c r="AT172" i="16"/>
  <c r="AS172" i="16"/>
  <c r="AL172" i="16"/>
  <c r="AK172" i="16"/>
  <c r="EN172" i="16" s="1"/>
  <c r="AJ172" i="16"/>
  <c r="GO171" i="16" s="1"/>
  <c r="AI172" i="16"/>
  <c r="AG172" i="16"/>
  <c r="AF172" i="16"/>
  <c r="AE172" i="16"/>
  <c r="FK171" i="16"/>
  <c r="FM171" i="16" s="1"/>
  <c r="EP171" i="16"/>
  <c r="ER171" i="16" s="1"/>
  <c r="DW171" i="16"/>
  <c r="DU171" i="16"/>
  <c r="DT171" i="16"/>
  <c r="DV171" i="16" s="1"/>
  <c r="DL171" i="16"/>
  <c r="DS171" i="16" s="1"/>
  <c r="DK171" i="16"/>
  <c r="DH171" i="16"/>
  <c r="DG171" i="16"/>
  <c r="EB171" i="16" s="1"/>
  <c r="CR171" i="16"/>
  <c r="CQ171" i="16"/>
  <c r="CP171" i="16"/>
  <c r="CO171" i="16"/>
  <c r="CN171" i="16"/>
  <c r="CM171" i="16"/>
  <c r="CL171" i="16"/>
  <c r="CD171" i="16"/>
  <c r="CE171" i="16" s="1"/>
  <c r="CF171" i="16" s="1"/>
  <c r="CG171" i="16" s="1"/>
  <c r="BU171" i="16"/>
  <c r="BV171" i="16" s="1"/>
  <c r="BW171" i="16" s="1"/>
  <c r="BX171" i="16" s="1"/>
  <c r="AZ171" i="16"/>
  <c r="GM173" i="16" s="1"/>
  <c r="AY171" i="16"/>
  <c r="AX171" i="16"/>
  <c r="GK173" i="16" s="1"/>
  <c r="AW171" i="16"/>
  <c r="CV171" i="16" s="1"/>
  <c r="AU171" i="16"/>
  <c r="AT171" i="16"/>
  <c r="AS171" i="16"/>
  <c r="AL171" i="16"/>
  <c r="GM171" i="16" s="1"/>
  <c r="AK171" i="16"/>
  <c r="DX171" i="16" s="1"/>
  <c r="AJ171" i="16"/>
  <c r="AI171" i="16"/>
  <c r="AG171" i="16"/>
  <c r="AF171" i="16"/>
  <c r="AE171" i="16"/>
  <c r="FK170" i="16"/>
  <c r="FM170" i="16" s="1"/>
  <c r="EP170" i="16"/>
  <c r="ER170" i="16" s="1"/>
  <c r="DL170" i="16"/>
  <c r="HT172" i="16" s="1"/>
  <c r="DK170" i="16"/>
  <c r="HS172" i="16" s="1"/>
  <c r="DH170" i="16"/>
  <c r="DG170" i="16"/>
  <c r="EB170" i="16" s="1"/>
  <c r="CR170" i="16"/>
  <c r="CQ170" i="16"/>
  <c r="CP170" i="16"/>
  <c r="CO170" i="16"/>
  <c r="CN170" i="16"/>
  <c r="CM170" i="16"/>
  <c r="CL170" i="16"/>
  <c r="CD170" i="16"/>
  <c r="CE170" i="16" s="1"/>
  <c r="CF170" i="16" s="1"/>
  <c r="CG170" i="16" s="1"/>
  <c r="BU170" i="16"/>
  <c r="BV170" i="16" s="1"/>
  <c r="BW170" i="16" s="1"/>
  <c r="BX170" i="16" s="1"/>
  <c r="AZ170" i="16"/>
  <c r="AY170" i="16"/>
  <c r="GH173" i="16" s="1"/>
  <c r="GH174" i="16" s="1"/>
  <c r="HI173" i="16" s="1"/>
  <c r="AX170" i="16"/>
  <c r="AW170" i="16"/>
  <c r="CV170" i="16" s="1"/>
  <c r="AU170" i="16"/>
  <c r="AT170" i="16"/>
  <c r="AS170" i="16"/>
  <c r="AL170" i="16"/>
  <c r="GI171" i="16" s="1"/>
  <c r="AK170" i="16"/>
  <c r="GH171" i="16" s="1"/>
  <c r="GH172" i="16" s="1"/>
  <c r="HI171" i="16" s="1"/>
  <c r="AJ170" i="16"/>
  <c r="AI170" i="16"/>
  <c r="AG170" i="16"/>
  <c r="AF170" i="16"/>
  <c r="AE170" i="16"/>
  <c r="BA169" i="16"/>
  <c r="AW169" i="16"/>
  <c r="AV169" i="16"/>
  <c r="AM169" i="16"/>
  <c r="AI169" i="16"/>
  <c r="AH169" i="16"/>
  <c r="N167" i="16"/>
  <c r="HN172" i="16" s="1"/>
  <c r="EP161" i="16"/>
  <c r="FK160" i="16"/>
  <c r="FM160" i="16" s="1"/>
  <c r="EP160" i="16"/>
  <c r="ER160" i="16" s="1"/>
  <c r="DW160" i="16"/>
  <c r="DU160" i="16"/>
  <c r="DT160" i="16"/>
  <c r="DV160" i="16" s="1"/>
  <c r="DK160" i="16"/>
  <c r="DR160" i="16" s="1"/>
  <c r="DH160" i="16"/>
  <c r="CR160" i="16"/>
  <c r="CQ160" i="16"/>
  <c r="CP160" i="16"/>
  <c r="CO160" i="16"/>
  <c r="CN160" i="16"/>
  <c r="CM160" i="16"/>
  <c r="CL160" i="16"/>
  <c r="AU160" i="16"/>
  <c r="AT160" i="16"/>
  <c r="AS160" i="16"/>
  <c r="AG160" i="16"/>
  <c r="AF160" i="16"/>
  <c r="AE160" i="16"/>
  <c r="FK159" i="16"/>
  <c r="FM159" i="16" s="1"/>
  <c r="EP159" i="16"/>
  <c r="ER159" i="16" s="1"/>
  <c r="DW159" i="16"/>
  <c r="DU159" i="16"/>
  <c r="DT159" i="16"/>
  <c r="DV159" i="16" s="1"/>
  <c r="DK159" i="16"/>
  <c r="DR159" i="16" s="1"/>
  <c r="DH159" i="16"/>
  <c r="CR159" i="16"/>
  <c r="CQ159" i="16"/>
  <c r="CP159" i="16"/>
  <c r="CO159" i="16"/>
  <c r="CN159" i="16"/>
  <c r="CM159" i="16"/>
  <c r="CL159" i="16"/>
  <c r="AU159" i="16"/>
  <c r="AT159" i="16"/>
  <c r="AS159" i="16"/>
  <c r="AG159" i="16"/>
  <c r="AF159" i="16"/>
  <c r="AE159" i="16"/>
  <c r="FK158" i="16"/>
  <c r="FM158" i="16" s="1"/>
  <c r="EP158" i="16"/>
  <c r="ER158" i="16" s="1"/>
  <c r="DW158" i="16"/>
  <c r="DU158" i="16"/>
  <c r="DT158" i="16"/>
  <c r="DV158" i="16" s="1"/>
  <c r="DL158" i="16"/>
  <c r="DO158" i="16" s="1"/>
  <c r="S158" i="16" s="1"/>
  <c r="DK158" i="16"/>
  <c r="DH158" i="16"/>
  <c r="DG158" i="16"/>
  <c r="CR158" i="16"/>
  <c r="CQ158" i="16"/>
  <c r="CP158" i="16"/>
  <c r="CO158" i="16"/>
  <c r="CN158" i="16"/>
  <c r="CM158" i="16"/>
  <c r="CL158" i="16"/>
  <c r="CD158" i="16"/>
  <c r="CE158" i="16" s="1"/>
  <c r="CF158" i="16" s="1"/>
  <c r="CG158" i="16" s="1"/>
  <c r="BU158" i="16"/>
  <c r="BV158" i="16" s="1"/>
  <c r="BW158" i="16" s="1"/>
  <c r="BX158" i="16" s="1"/>
  <c r="AZ158" i="16"/>
  <c r="AY158" i="16"/>
  <c r="AB158" i="16" s="1"/>
  <c r="AX158" i="16"/>
  <c r="AW158" i="16"/>
  <c r="CV158" i="16" s="1"/>
  <c r="AU158" i="16"/>
  <c r="AT158" i="16"/>
  <c r="AS158" i="16"/>
  <c r="AL158" i="16"/>
  <c r="AK158" i="16"/>
  <c r="AJ158" i="16"/>
  <c r="FF158" i="16" s="1"/>
  <c r="AI158" i="16"/>
  <c r="AG158" i="16"/>
  <c r="AF158" i="16"/>
  <c r="AE158" i="16"/>
  <c r="FK157" i="16"/>
  <c r="FM157" i="16" s="1"/>
  <c r="EP157" i="16"/>
  <c r="ER157" i="16" s="1"/>
  <c r="DW157" i="16"/>
  <c r="DU157" i="16"/>
  <c r="DT157" i="16"/>
  <c r="DV157" i="16" s="1"/>
  <c r="DL157" i="16"/>
  <c r="DO157" i="16" s="1"/>
  <c r="S157" i="16" s="1"/>
  <c r="DK157" i="16"/>
  <c r="DN157" i="16" s="1"/>
  <c r="D157" i="16" s="1"/>
  <c r="DH157" i="16"/>
  <c r="DG157" i="16"/>
  <c r="DY157" i="16" s="1"/>
  <c r="CR157" i="16"/>
  <c r="CQ157" i="16"/>
  <c r="CP157" i="16"/>
  <c r="CO157" i="16"/>
  <c r="CN157" i="16"/>
  <c r="CM157" i="16"/>
  <c r="CL157" i="16"/>
  <c r="CD157" i="16"/>
  <c r="CE157" i="16" s="1"/>
  <c r="CF157" i="16" s="1"/>
  <c r="CG157" i="16" s="1"/>
  <c r="BU157" i="16"/>
  <c r="BV157" i="16" s="1"/>
  <c r="BW157" i="16" s="1"/>
  <c r="BX157" i="16" s="1"/>
  <c r="AZ157" i="16"/>
  <c r="AY157" i="16"/>
  <c r="GL159" i="16" s="1"/>
  <c r="GL160" i="16" s="1"/>
  <c r="HJ159" i="16" s="1"/>
  <c r="AX157" i="16"/>
  <c r="GK159" i="16" s="1"/>
  <c r="AW157" i="16"/>
  <c r="AU157" i="16"/>
  <c r="AT157" i="16"/>
  <c r="AS157" i="16"/>
  <c r="AL157" i="16"/>
  <c r="AK157" i="16"/>
  <c r="AJ157" i="16"/>
  <c r="GK157" i="16" s="1"/>
  <c r="AI157" i="16"/>
  <c r="AG157" i="16"/>
  <c r="AF157" i="16"/>
  <c r="AE157" i="16"/>
  <c r="FK156" i="16"/>
  <c r="FM156" i="16" s="1"/>
  <c r="EP156" i="16"/>
  <c r="ER156" i="16" s="1"/>
  <c r="DL156" i="16"/>
  <c r="HT158" i="16" s="1"/>
  <c r="DK156" i="16"/>
  <c r="DN156" i="16" s="1"/>
  <c r="D156" i="16" s="1"/>
  <c r="DH156" i="16"/>
  <c r="DG156" i="16"/>
  <c r="CR156" i="16"/>
  <c r="CQ156" i="16"/>
  <c r="CP156" i="16"/>
  <c r="CO156" i="16"/>
  <c r="CN156" i="16"/>
  <c r="CM156" i="16"/>
  <c r="CL156" i="16"/>
  <c r="CD156" i="16"/>
  <c r="CE156" i="16" s="1"/>
  <c r="CF156" i="16" s="1"/>
  <c r="CG156" i="16" s="1"/>
  <c r="BU156" i="16"/>
  <c r="BV156" i="16" s="1"/>
  <c r="BW156" i="16" s="1"/>
  <c r="BX156" i="16" s="1"/>
  <c r="AZ156" i="16"/>
  <c r="AY156" i="16"/>
  <c r="GH159" i="16" s="1"/>
  <c r="GH160" i="16" s="1"/>
  <c r="HI159" i="16" s="1"/>
  <c r="AX156" i="16"/>
  <c r="BT156" i="16" s="1"/>
  <c r="AW156" i="16"/>
  <c r="AU156" i="16"/>
  <c r="AT156" i="16"/>
  <c r="AS156" i="16"/>
  <c r="AL156" i="16"/>
  <c r="GI157" i="16" s="1"/>
  <c r="AK156" i="16"/>
  <c r="GH157" i="16" s="1"/>
  <c r="GH158" i="16" s="1"/>
  <c r="HI157" i="16" s="1"/>
  <c r="AJ156" i="16"/>
  <c r="GG157" i="16" s="1"/>
  <c r="AI156" i="16"/>
  <c r="CU156" i="16" s="1"/>
  <c r="AG156" i="16"/>
  <c r="AF156" i="16"/>
  <c r="AE156" i="16"/>
  <c r="BA155" i="16"/>
  <c r="AW155" i="16"/>
  <c r="AV155" i="16"/>
  <c r="AM155" i="16"/>
  <c r="AI155" i="16"/>
  <c r="AH155" i="16"/>
  <c r="N153" i="16"/>
  <c r="HN158" i="16" s="1"/>
  <c r="EP147" i="16"/>
  <c r="FK146" i="16"/>
  <c r="FM146" i="16" s="1"/>
  <c r="EP146" i="16"/>
  <c r="ER146" i="16" s="1"/>
  <c r="DW146" i="16"/>
  <c r="DU146" i="16"/>
  <c r="DT146" i="16"/>
  <c r="DV146" i="16" s="1"/>
  <c r="DK146" i="16"/>
  <c r="DR146" i="16" s="1"/>
  <c r="DH146" i="16"/>
  <c r="CR146" i="16"/>
  <c r="CQ146" i="16"/>
  <c r="CP146" i="16"/>
  <c r="CO146" i="16"/>
  <c r="CN146" i="16"/>
  <c r="CM146" i="16"/>
  <c r="CL146" i="16"/>
  <c r="AU146" i="16"/>
  <c r="AT146" i="16"/>
  <c r="AS146" i="16"/>
  <c r="AG146" i="16"/>
  <c r="AF146" i="16"/>
  <c r="AE146" i="16"/>
  <c r="FK145" i="16"/>
  <c r="FM145" i="16" s="1"/>
  <c r="EP145" i="16"/>
  <c r="ER145" i="16" s="1"/>
  <c r="DW145" i="16"/>
  <c r="DU145" i="16"/>
  <c r="DT145" i="16"/>
  <c r="DV145" i="16" s="1"/>
  <c r="DK145" i="16"/>
  <c r="DH145" i="16"/>
  <c r="CR145" i="16"/>
  <c r="CQ145" i="16"/>
  <c r="CP145" i="16"/>
  <c r="CO145" i="16"/>
  <c r="CN145" i="16"/>
  <c r="CM145" i="16"/>
  <c r="CL145" i="16"/>
  <c r="AU145" i="16"/>
  <c r="AT145" i="16"/>
  <c r="AS145" i="16"/>
  <c r="AG145" i="16"/>
  <c r="AF145" i="16"/>
  <c r="AE145" i="16"/>
  <c r="FK144" i="16"/>
  <c r="FM144" i="16" s="1"/>
  <c r="EP144" i="16"/>
  <c r="ER144" i="16" s="1"/>
  <c r="DW144" i="16"/>
  <c r="DU144" i="16"/>
  <c r="DT144" i="16"/>
  <c r="DV144" i="16" s="1"/>
  <c r="DL144" i="16"/>
  <c r="DO144" i="16" s="1"/>
  <c r="S144" i="16" s="1"/>
  <c r="DK144" i="16"/>
  <c r="DN144" i="16" s="1"/>
  <c r="D144" i="16" s="1"/>
  <c r="DH144" i="16"/>
  <c r="DG144" i="16"/>
  <c r="EB144" i="16" s="1"/>
  <c r="CR144" i="16"/>
  <c r="CQ144" i="16"/>
  <c r="CP144" i="16"/>
  <c r="CO144" i="16"/>
  <c r="CN144" i="16"/>
  <c r="CM144" i="16"/>
  <c r="CL144" i="16"/>
  <c r="CD144" i="16"/>
  <c r="CE144" i="16" s="1"/>
  <c r="CF144" i="16" s="1"/>
  <c r="CG144" i="16" s="1"/>
  <c r="BU144" i="16"/>
  <c r="BV144" i="16" s="1"/>
  <c r="BW144" i="16" s="1"/>
  <c r="BX144" i="16" s="1"/>
  <c r="AZ144" i="16"/>
  <c r="AY144" i="16"/>
  <c r="AX144" i="16"/>
  <c r="GO145" i="16" s="1"/>
  <c r="AW144" i="16"/>
  <c r="CV144" i="16" s="1"/>
  <c r="AU144" i="16"/>
  <c r="AT144" i="16"/>
  <c r="AS144" i="16"/>
  <c r="AL144" i="16"/>
  <c r="AK144" i="16"/>
  <c r="GP143" i="16" s="1"/>
  <c r="GP144" i="16" s="1"/>
  <c r="HK143" i="16" s="1"/>
  <c r="AJ144" i="16"/>
  <c r="GO143" i="16" s="1"/>
  <c r="AI144" i="16"/>
  <c r="CU144" i="16" s="1"/>
  <c r="AG144" i="16"/>
  <c r="AF144" i="16"/>
  <c r="AE144" i="16"/>
  <c r="FK143" i="16"/>
  <c r="FM143" i="16" s="1"/>
  <c r="EP143" i="16"/>
  <c r="ER143" i="16" s="1"/>
  <c r="DW143" i="16"/>
  <c r="DU143" i="16"/>
  <c r="DT143" i="16"/>
  <c r="DV143" i="16" s="1"/>
  <c r="DL143" i="16"/>
  <c r="DO143" i="16" s="1"/>
  <c r="S143" i="16" s="1"/>
  <c r="DK143" i="16"/>
  <c r="DR143" i="16" s="1"/>
  <c r="DH143" i="16"/>
  <c r="DG143" i="16"/>
  <c r="CR143" i="16"/>
  <c r="CQ143" i="16"/>
  <c r="CP143" i="16"/>
  <c r="CO143" i="16"/>
  <c r="CN143" i="16"/>
  <c r="CM143" i="16"/>
  <c r="CL143" i="16"/>
  <c r="CD143" i="16"/>
  <c r="CE143" i="16" s="1"/>
  <c r="CF143" i="16" s="1"/>
  <c r="CG143" i="16" s="1"/>
  <c r="BU143" i="16"/>
  <c r="BV143" i="16" s="1"/>
  <c r="BW143" i="16" s="1"/>
  <c r="BX143" i="16" s="1"/>
  <c r="AZ143" i="16"/>
  <c r="GM145" i="16" s="1"/>
  <c r="AY143" i="16"/>
  <c r="AX143" i="16"/>
  <c r="GK145" i="16" s="1"/>
  <c r="AW143" i="16"/>
  <c r="CV143" i="16" s="1"/>
  <c r="AU143" i="16"/>
  <c r="AT143" i="16"/>
  <c r="AS143" i="16"/>
  <c r="AL143" i="16"/>
  <c r="AK143" i="16"/>
  <c r="EA143" i="16" s="1"/>
  <c r="AJ143" i="16"/>
  <c r="AI143" i="16"/>
  <c r="AG143" i="16"/>
  <c r="AF143" i="16"/>
  <c r="AE143" i="16"/>
  <c r="FK142" i="16"/>
  <c r="FM142" i="16" s="1"/>
  <c r="EP142" i="16"/>
  <c r="ER142" i="16" s="1"/>
  <c r="DL142" i="16"/>
  <c r="HT144" i="16" s="1"/>
  <c r="DK142" i="16"/>
  <c r="HS144" i="16" s="1"/>
  <c r="DH142" i="16"/>
  <c r="DG142" i="16"/>
  <c r="EB142" i="16" s="1"/>
  <c r="CR142" i="16"/>
  <c r="CQ142" i="16"/>
  <c r="CP142" i="16"/>
  <c r="CO142" i="16"/>
  <c r="CN142" i="16"/>
  <c r="CM142" i="16"/>
  <c r="CL142" i="16"/>
  <c r="CD142" i="16"/>
  <c r="CE142" i="16" s="1"/>
  <c r="CF142" i="16" s="1"/>
  <c r="CG142" i="16" s="1"/>
  <c r="BU142" i="16"/>
  <c r="BV142" i="16" s="1"/>
  <c r="BW142" i="16" s="1"/>
  <c r="BX142" i="16" s="1"/>
  <c r="AZ142" i="16"/>
  <c r="GI145" i="16" s="1"/>
  <c r="AY142" i="16"/>
  <c r="GH145" i="16" s="1"/>
  <c r="GH146" i="16" s="1"/>
  <c r="HI145" i="16" s="1"/>
  <c r="AX142" i="16"/>
  <c r="GG145" i="16" s="1"/>
  <c r="AW142" i="16"/>
  <c r="AU142" i="16"/>
  <c r="AT142" i="16"/>
  <c r="AS142" i="16"/>
  <c r="AL142" i="16"/>
  <c r="GI143" i="16" s="1"/>
  <c r="AK142" i="16"/>
  <c r="EM142" i="16" s="1"/>
  <c r="AJ142" i="16"/>
  <c r="AI142" i="16"/>
  <c r="CU142" i="16" s="1"/>
  <c r="AG142" i="16"/>
  <c r="AF142" i="16"/>
  <c r="AE142" i="16"/>
  <c r="BA141" i="16"/>
  <c r="AW141" i="16"/>
  <c r="AV141" i="16"/>
  <c r="AM141" i="16"/>
  <c r="AI141" i="16"/>
  <c r="AH141" i="16"/>
  <c r="N139" i="16"/>
  <c r="HN144" i="16" s="1"/>
  <c r="EP133" i="16"/>
  <c r="FK132" i="16"/>
  <c r="FM132" i="16" s="1"/>
  <c r="EP132" i="16"/>
  <c r="ER132" i="16" s="1"/>
  <c r="DW132" i="16"/>
  <c r="DU132" i="16"/>
  <c r="DT132" i="16"/>
  <c r="DV132" i="16" s="1"/>
  <c r="DK132" i="16"/>
  <c r="DR132" i="16" s="1"/>
  <c r="DH132" i="16"/>
  <c r="CR132" i="16"/>
  <c r="CQ132" i="16"/>
  <c r="CP132" i="16"/>
  <c r="CO132" i="16"/>
  <c r="CN132" i="16"/>
  <c r="CM132" i="16"/>
  <c r="CL132" i="16"/>
  <c r="AU132" i="16"/>
  <c r="AT132" i="16"/>
  <c r="AS132" i="16"/>
  <c r="AG132" i="16"/>
  <c r="AF132" i="16"/>
  <c r="AE132" i="16"/>
  <c r="FK131" i="16"/>
  <c r="FM131" i="16" s="1"/>
  <c r="EP131" i="16"/>
  <c r="ER131" i="16" s="1"/>
  <c r="DW131" i="16"/>
  <c r="DU131" i="16"/>
  <c r="DT131" i="16"/>
  <c r="DV131" i="16" s="1"/>
  <c r="DK131" i="16"/>
  <c r="DN131" i="16" s="1"/>
  <c r="D131" i="16" s="1"/>
  <c r="DH131" i="16"/>
  <c r="CR131" i="16"/>
  <c r="CQ131" i="16"/>
  <c r="CP131" i="16"/>
  <c r="CO131" i="16"/>
  <c r="CN131" i="16"/>
  <c r="CM131" i="16"/>
  <c r="CL131" i="16"/>
  <c r="AU131" i="16"/>
  <c r="AT131" i="16"/>
  <c r="AS131" i="16"/>
  <c r="AG131" i="16"/>
  <c r="AF131" i="16"/>
  <c r="AE131" i="16"/>
  <c r="FK130" i="16"/>
  <c r="FM130" i="16" s="1"/>
  <c r="EP130" i="16"/>
  <c r="ER130" i="16" s="1"/>
  <c r="DW130" i="16"/>
  <c r="DU130" i="16"/>
  <c r="DT130" i="16"/>
  <c r="DV130" i="16" s="1"/>
  <c r="DL130" i="16"/>
  <c r="DK130" i="16"/>
  <c r="DH130" i="16"/>
  <c r="DG130" i="16"/>
  <c r="CR130" i="16"/>
  <c r="CQ130" i="16"/>
  <c r="CP130" i="16"/>
  <c r="CO130" i="16"/>
  <c r="CN130" i="16"/>
  <c r="CM130" i="16"/>
  <c r="CL130" i="16"/>
  <c r="CD130" i="16"/>
  <c r="CE130" i="16" s="1"/>
  <c r="CF130" i="16" s="1"/>
  <c r="CG130" i="16" s="1"/>
  <c r="BU130" i="16"/>
  <c r="BV130" i="16" s="1"/>
  <c r="BW130" i="16" s="1"/>
  <c r="BX130" i="16" s="1"/>
  <c r="AZ130" i="16"/>
  <c r="AY130" i="16"/>
  <c r="GP131" i="16" s="1"/>
  <c r="GP132" i="16" s="1"/>
  <c r="HK131" i="16" s="1"/>
  <c r="AX130" i="16"/>
  <c r="GO131" i="16" s="1"/>
  <c r="AW130" i="16"/>
  <c r="CV130" i="16" s="1"/>
  <c r="AU130" i="16"/>
  <c r="AT130" i="16"/>
  <c r="AS130" i="16"/>
  <c r="AL130" i="16"/>
  <c r="AK130" i="16"/>
  <c r="GP129" i="16" s="1"/>
  <c r="GP130" i="16" s="1"/>
  <c r="HK129" i="16" s="1"/>
  <c r="AJ130" i="16"/>
  <c r="AI130" i="16"/>
  <c r="AG130" i="16"/>
  <c r="AF130" i="16"/>
  <c r="AE130" i="16"/>
  <c r="FK129" i="16"/>
  <c r="FM129" i="16" s="1"/>
  <c r="EP129" i="16"/>
  <c r="ER129" i="16" s="1"/>
  <c r="DW129" i="16"/>
  <c r="DU129" i="16"/>
  <c r="DT129" i="16"/>
  <c r="DV129" i="16" s="1"/>
  <c r="DL129" i="16"/>
  <c r="DO129" i="16" s="1"/>
  <c r="S129" i="16" s="1"/>
  <c r="DK129" i="16"/>
  <c r="DH129" i="16"/>
  <c r="DG129" i="16"/>
  <c r="CR129" i="16"/>
  <c r="CQ129" i="16"/>
  <c r="CP129" i="16"/>
  <c r="CO129" i="16"/>
  <c r="CN129" i="16"/>
  <c r="CM129" i="16"/>
  <c r="CL129" i="16"/>
  <c r="CD129" i="16"/>
  <c r="CE129" i="16" s="1"/>
  <c r="CF129" i="16" s="1"/>
  <c r="CG129" i="16" s="1"/>
  <c r="BU129" i="16"/>
  <c r="BV129" i="16" s="1"/>
  <c r="BW129" i="16" s="1"/>
  <c r="BX129" i="16" s="1"/>
  <c r="AZ129" i="16"/>
  <c r="AY129" i="16"/>
  <c r="AX129" i="16"/>
  <c r="AW129" i="16"/>
  <c r="CV129" i="16" s="1"/>
  <c r="AU129" i="16"/>
  <c r="AT129" i="16"/>
  <c r="AS129" i="16"/>
  <c r="AL129" i="16"/>
  <c r="AK129" i="16"/>
  <c r="AJ129" i="16"/>
  <c r="AI129" i="16"/>
  <c r="CU129" i="16" s="1"/>
  <c r="AG129" i="16"/>
  <c r="AF129" i="16"/>
  <c r="AE129" i="16"/>
  <c r="FK128" i="16"/>
  <c r="FM128" i="16" s="1"/>
  <c r="EP128" i="16"/>
  <c r="ER128" i="16" s="1"/>
  <c r="DL128" i="16"/>
  <c r="HT130" i="16" s="1"/>
  <c r="DK128" i="16"/>
  <c r="HS130" i="16" s="1"/>
  <c r="DH128" i="16"/>
  <c r="DG128" i="16"/>
  <c r="DY128" i="16" s="1"/>
  <c r="CR128" i="16"/>
  <c r="CQ128" i="16"/>
  <c r="CP128" i="16"/>
  <c r="CO128" i="16"/>
  <c r="CN128" i="16"/>
  <c r="CM128" i="16"/>
  <c r="CL128" i="16"/>
  <c r="CD128" i="16"/>
  <c r="CE128" i="16" s="1"/>
  <c r="CF128" i="16" s="1"/>
  <c r="CG128" i="16" s="1"/>
  <c r="BU128" i="16"/>
  <c r="BV128" i="16" s="1"/>
  <c r="BW128" i="16" s="1"/>
  <c r="BX128" i="16" s="1"/>
  <c r="AZ128" i="16"/>
  <c r="AY128" i="16"/>
  <c r="GH131" i="16" s="1"/>
  <c r="GH132" i="16" s="1"/>
  <c r="HI131" i="16" s="1"/>
  <c r="AX128" i="16"/>
  <c r="FJ128" i="16" s="1"/>
  <c r="AW128" i="16"/>
  <c r="AU128" i="16"/>
  <c r="AT128" i="16"/>
  <c r="AS128" i="16"/>
  <c r="AL128" i="16"/>
  <c r="AK128" i="16"/>
  <c r="GH129" i="16" s="1"/>
  <c r="GH130" i="16" s="1"/>
  <c r="HI129" i="16" s="1"/>
  <c r="AJ128" i="16"/>
  <c r="AI128" i="16"/>
  <c r="AG128" i="16"/>
  <c r="AF128" i="16"/>
  <c r="AE128" i="16"/>
  <c r="BA127" i="16"/>
  <c r="AW127" i="16"/>
  <c r="AV127" i="16"/>
  <c r="AM127" i="16"/>
  <c r="AI127" i="16"/>
  <c r="AH127" i="16"/>
  <c r="N125" i="16"/>
  <c r="HN130" i="16" s="1"/>
  <c r="EP119" i="16"/>
  <c r="FK118" i="16"/>
  <c r="FM118" i="16" s="1"/>
  <c r="EP118" i="16"/>
  <c r="ER118" i="16" s="1"/>
  <c r="DW118" i="16"/>
  <c r="DU118" i="16"/>
  <c r="DT118" i="16"/>
  <c r="DV118" i="16" s="1"/>
  <c r="DK118" i="16"/>
  <c r="DN118" i="16" s="1"/>
  <c r="D118" i="16" s="1"/>
  <c r="DH118" i="16"/>
  <c r="CR118" i="16"/>
  <c r="CQ118" i="16"/>
  <c r="CP118" i="16"/>
  <c r="CO118" i="16"/>
  <c r="CN118" i="16"/>
  <c r="CM118" i="16"/>
  <c r="CL118" i="16"/>
  <c r="AU118" i="16"/>
  <c r="AT118" i="16"/>
  <c r="AS118" i="16"/>
  <c r="AG118" i="16"/>
  <c r="AF118" i="16"/>
  <c r="AE118" i="16"/>
  <c r="FK117" i="16"/>
  <c r="FM117" i="16" s="1"/>
  <c r="EP117" i="16"/>
  <c r="ER117" i="16" s="1"/>
  <c r="DW117" i="16"/>
  <c r="DU117" i="16"/>
  <c r="DT117" i="16"/>
  <c r="DV117" i="16" s="1"/>
  <c r="DK117" i="16"/>
  <c r="DN117" i="16" s="1"/>
  <c r="D117" i="16" s="1"/>
  <c r="DH117" i="16"/>
  <c r="CR117" i="16"/>
  <c r="CQ117" i="16"/>
  <c r="CP117" i="16"/>
  <c r="CO117" i="16"/>
  <c r="CN117" i="16"/>
  <c r="CM117" i="16"/>
  <c r="CL117" i="16"/>
  <c r="AU117" i="16"/>
  <c r="AT117" i="16"/>
  <c r="AS117" i="16"/>
  <c r="AG117" i="16"/>
  <c r="AF117" i="16"/>
  <c r="AE117" i="16"/>
  <c r="FK116" i="16"/>
  <c r="FM116" i="16" s="1"/>
  <c r="EP116" i="16"/>
  <c r="ER116" i="16" s="1"/>
  <c r="DW116" i="16"/>
  <c r="DU116" i="16"/>
  <c r="DT116" i="16"/>
  <c r="DV116" i="16" s="1"/>
  <c r="DL116" i="16"/>
  <c r="DO116" i="16" s="1"/>
  <c r="S116" i="16" s="1"/>
  <c r="DK116" i="16"/>
  <c r="DN116" i="16" s="1"/>
  <c r="D116" i="16" s="1"/>
  <c r="DH116" i="16"/>
  <c r="DG116" i="16"/>
  <c r="EB116" i="16" s="1"/>
  <c r="CR116" i="16"/>
  <c r="CQ116" i="16"/>
  <c r="CP116" i="16"/>
  <c r="CO116" i="16"/>
  <c r="CN116" i="16"/>
  <c r="CM116" i="16"/>
  <c r="CL116" i="16"/>
  <c r="CD116" i="16"/>
  <c r="CE116" i="16" s="1"/>
  <c r="CF116" i="16" s="1"/>
  <c r="CG116" i="16" s="1"/>
  <c r="BU116" i="16"/>
  <c r="BV116" i="16" s="1"/>
  <c r="BW116" i="16" s="1"/>
  <c r="BX116" i="16" s="1"/>
  <c r="AZ116" i="16"/>
  <c r="GQ117" i="16" s="1"/>
  <c r="AY116" i="16"/>
  <c r="AX116" i="16"/>
  <c r="AW116" i="16"/>
  <c r="CV116" i="16" s="1"/>
  <c r="AU116" i="16"/>
  <c r="AT116" i="16"/>
  <c r="AS116" i="16"/>
  <c r="AL116" i="16"/>
  <c r="AK116" i="16"/>
  <c r="GP115" i="16" s="1"/>
  <c r="GP116" i="16" s="1"/>
  <c r="HK115" i="16" s="1"/>
  <c r="AJ116" i="16"/>
  <c r="GO115" i="16" s="1"/>
  <c r="AI116" i="16"/>
  <c r="CU116" i="16" s="1"/>
  <c r="AG116" i="16"/>
  <c r="AF116" i="16"/>
  <c r="AE116" i="16"/>
  <c r="FK115" i="16"/>
  <c r="FM115" i="16" s="1"/>
  <c r="EP115" i="16"/>
  <c r="ER115" i="16" s="1"/>
  <c r="DW115" i="16"/>
  <c r="DU115" i="16"/>
  <c r="DT115" i="16"/>
  <c r="DV115" i="16" s="1"/>
  <c r="DL115" i="16"/>
  <c r="DS115" i="16" s="1"/>
  <c r="DK115" i="16"/>
  <c r="DH115" i="16"/>
  <c r="DG115" i="16"/>
  <c r="EB115" i="16" s="1"/>
  <c r="CR115" i="16"/>
  <c r="CQ115" i="16"/>
  <c r="CP115" i="16"/>
  <c r="CO115" i="16"/>
  <c r="CN115" i="16"/>
  <c r="CM115" i="16"/>
  <c r="CL115" i="16"/>
  <c r="CD115" i="16"/>
  <c r="CE115" i="16" s="1"/>
  <c r="CF115" i="16" s="1"/>
  <c r="CG115" i="16" s="1"/>
  <c r="BU115" i="16"/>
  <c r="BV115" i="16" s="1"/>
  <c r="BW115" i="16" s="1"/>
  <c r="BX115" i="16" s="1"/>
  <c r="AZ115" i="16"/>
  <c r="AY115" i="16"/>
  <c r="GL117" i="16" s="1"/>
  <c r="GL118" i="16" s="1"/>
  <c r="HJ117" i="16" s="1"/>
  <c r="AX115" i="16"/>
  <c r="GK117" i="16" s="1"/>
  <c r="AW115" i="16"/>
  <c r="AU115" i="16"/>
  <c r="AT115" i="16"/>
  <c r="AS115" i="16"/>
  <c r="AL115" i="16"/>
  <c r="AK115" i="16"/>
  <c r="AJ115" i="16"/>
  <c r="AI115" i="16"/>
  <c r="AG115" i="16"/>
  <c r="AF115" i="16"/>
  <c r="AE115" i="16"/>
  <c r="FK114" i="16"/>
  <c r="FM114" i="16" s="1"/>
  <c r="EP114" i="16"/>
  <c r="ER114" i="16" s="1"/>
  <c r="DL114" i="16"/>
  <c r="HT116" i="16" s="1"/>
  <c r="DK114" i="16"/>
  <c r="HS116" i="16" s="1"/>
  <c r="DH114" i="16"/>
  <c r="DG114" i="16"/>
  <c r="CR114" i="16"/>
  <c r="CQ114" i="16"/>
  <c r="CP114" i="16"/>
  <c r="CO114" i="16"/>
  <c r="CN114" i="16"/>
  <c r="CM114" i="16"/>
  <c r="CL114" i="16"/>
  <c r="CD114" i="16"/>
  <c r="CE114" i="16" s="1"/>
  <c r="CF114" i="16" s="1"/>
  <c r="CG114" i="16" s="1"/>
  <c r="BU114" i="16"/>
  <c r="BV114" i="16" s="1"/>
  <c r="BW114" i="16" s="1"/>
  <c r="BX114" i="16" s="1"/>
  <c r="AZ114" i="16"/>
  <c r="AY114" i="16"/>
  <c r="AX114" i="16"/>
  <c r="GG117" i="16" s="1"/>
  <c r="AW114" i="16"/>
  <c r="CV114" i="16" s="1"/>
  <c r="AU114" i="16"/>
  <c r="AT114" i="16"/>
  <c r="AS114" i="16"/>
  <c r="AL114" i="16"/>
  <c r="GI115" i="16" s="1"/>
  <c r="AK114" i="16"/>
  <c r="DX114" i="16" s="1"/>
  <c r="AJ114" i="16"/>
  <c r="DC114" i="16" s="1"/>
  <c r="AI114" i="16"/>
  <c r="AG114" i="16"/>
  <c r="AF114" i="16"/>
  <c r="AE114" i="16"/>
  <c r="BA113" i="16"/>
  <c r="AW113" i="16"/>
  <c r="AV113" i="16"/>
  <c r="AM113" i="16"/>
  <c r="AI113" i="16"/>
  <c r="AH113" i="16"/>
  <c r="N111" i="16"/>
  <c r="HN116" i="16" s="1"/>
  <c r="EP105" i="16"/>
  <c r="FK104" i="16"/>
  <c r="FM104" i="16" s="1"/>
  <c r="EP104" i="16"/>
  <c r="ER104" i="16" s="1"/>
  <c r="DT104" i="16"/>
  <c r="DV104" i="16" s="1"/>
  <c r="DH104" i="16"/>
  <c r="CR104" i="16"/>
  <c r="CQ104" i="16"/>
  <c r="CP104" i="16"/>
  <c r="CO104" i="16"/>
  <c r="CN104" i="16"/>
  <c r="CM104" i="16"/>
  <c r="CL104" i="16"/>
  <c r="AU104" i="16"/>
  <c r="AT104" i="16"/>
  <c r="AS104" i="16"/>
  <c r="AG104" i="16"/>
  <c r="AF104" i="16"/>
  <c r="AE104" i="16"/>
  <c r="FK103" i="16"/>
  <c r="FM103" i="16" s="1"/>
  <c r="EP103" i="16"/>
  <c r="ER103" i="16" s="1"/>
  <c r="DT103" i="16"/>
  <c r="DV103" i="16" s="1"/>
  <c r="DH103" i="16"/>
  <c r="CR103" i="16"/>
  <c r="CQ103" i="16"/>
  <c r="CP103" i="16"/>
  <c r="CO103" i="16"/>
  <c r="CN103" i="16"/>
  <c r="CM103" i="16"/>
  <c r="CL103" i="16"/>
  <c r="AU103" i="16"/>
  <c r="AT103" i="16"/>
  <c r="AS103" i="16"/>
  <c r="AG103" i="16"/>
  <c r="AF103" i="16"/>
  <c r="AE103" i="16"/>
  <c r="FK102" i="16"/>
  <c r="FM102" i="16" s="1"/>
  <c r="EP102" i="16"/>
  <c r="ER102" i="16" s="1"/>
  <c r="DT102" i="16"/>
  <c r="DV102" i="16" s="1"/>
  <c r="DH102" i="16"/>
  <c r="DG102" i="16"/>
  <c r="CR102" i="16"/>
  <c r="CQ102" i="16"/>
  <c r="CP102" i="16"/>
  <c r="CO102" i="16"/>
  <c r="CN102" i="16"/>
  <c r="CM102" i="16"/>
  <c r="CL102" i="16"/>
  <c r="CD102" i="16"/>
  <c r="CE102" i="16" s="1"/>
  <c r="CF102" i="16" s="1"/>
  <c r="CG102" i="16" s="1"/>
  <c r="BU102" i="16"/>
  <c r="BV102" i="16" s="1"/>
  <c r="BW102" i="16" s="1"/>
  <c r="BX102" i="16" s="1"/>
  <c r="AZ102" i="16"/>
  <c r="BR102" i="16" s="1"/>
  <c r="AY102" i="16"/>
  <c r="AX102" i="16"/>
  <c r="AW102" i="16"/>
  <c r="CV102" i="16" s="1"/>
  <c r="AU102" i="16"/>
  <c r="AT102" i="16"/>
  <c r="AS102" i="16"/>
  <c r="AL102" i="16"/>
  <c r="AK102" i="16"/>
  <c r="EN102" i="16" s="1"/>
  <c r="AJ102" i="16"/>
  <c r="AI102" i="16"/>
  <c r="CU102" i="16" s="1"/>
  <c r="AG102" i="16"/>
  <c r="AF102" i="16"/>
  <c r="AE102" i="16"/>
  <c r="FK101" i="16"/>
  <c r="FM101" i="16" s="1"/>
  <c r="EP101" i="16"/>
  <c r="ER101" i="16" s="1"/>
  <c r="DT101" i="16"/>
  <c r="DV101" i="16" s="1"/>
  <c r="DH101" i="16"/>
  <c r="DG101" i="16"/>
  <c r="CR101" i="16"/>
  <c r="CQ101" i="16"/>
  <c r="CP101" i="16"/>
  <c r="CO101" i="16"/>
  <c r="CN101" i="16"/>
  <c r="CM101" i="16"/>
  <c r="CL101" i="16"/>
  <c r="CD101" i="16"/>
  <c r="BU101" i="16"/>
  <c r="BV101" i="16" s="1"/>
  <c r="BW101" i="16" s="1"/>
  <c r="BX101" i="16" s="1"/>
  <c r="AZ101" i="16"/>
  <c r="GM103" i="16" s="1"/>
  <c r="AY101" i="16"/>
  <c r="GL103" i="16" s="1"/>
  <c r="GL104" i="16" s="1"/>
  <c r="AX101" i="16"/>
  <c r="GK103" i="16" s="1"/>
  <c r="AW101" i="16"/>
  <c r="CV101" i="16" s="1"/>
  <c r="AU101" i="16"/>
  <c r="AT101" i="16"/>
  <c r="AS101" i="16"/>
  <c r="AL101" i="16"/>
  <c r="AK101" i="16"/>
  <c r="AJ101" i="16"/>
  <c r="AI101" i="16"/>
  <c r="AG101" i="16"/>
  <c r="AF101" i="16"/>
  <c r="AE101" i="16"/>
  <c r="FK100" i="16"/>
  <c r="FM100" i="16" s="1"/>
  <c r="EP100" i="16"/>
  <c r="ER100" i="16" s="1"/>
  <c r="DH100" i="16"/>
  <c r="DG100" i="16"/>
  <c r="CR100" i="16"/>
  <c r="CQ100" i="16"/>
  <c r="CP100" i="16"/>
  <c r="CO100" i="16"/>
  <c r="CN100" i="16"/>
  <c r="CM100" i="16"/>
  <c r="CL100" i="16"/>
  <c r="CD100" i="16"/>
  <c r="BU100" i="16"/>
  <c r="BV100" i="16" s="1"/>
  <c r="BW100" i="16" s="1"/>
  <c r="BX100" i="16" s="1"/>
  <c r="AZ100" i="16"/>
  <c r="BR100" i="16" s="1"/>
  <c r="AY100" i="16"/>
  <c r="BO100" i="16" s="1"/>
  <c r="AX100" i="16"/>
  <c r="AW100" i="16"/>
  <c r="AU100" i="16"/>
  <c r="AT100" i="16"/>
  <c r="AS100" i="16"/>
  <c r="AL100" i="16"/>
  <c r="GI101" i="16" s="1"/>
  <c r="AK100" i="16"/>
  <c r="AJ100" i="16"/>
  <c r="AI100" i="16"/>
  <c r="AG100" i="16"/>
  <c r="AF100" i="16"/>
  <c r="AE100" i="16"/>
  <c r="BA99" i="16"/>
  <c r="AW99" i="16"/>
  <c r="AV99" i="16"/>
  <c r="AM99" i="16"/>
  <c r="AI99" i="16"/>
  <c r="AH99" i="16"/>
  <c r="N97" i="16"/>
  <c r="HN102" i="16" s="1"/>
  <c r="EP91" i="16"/>
  <c r="FK90" i="16"/>
  <c r="FM90" i="16" s="1"/>
  <c r="EP90" i="16"/>
  <c r="ER90" i="16" s="1"/>
  <c r="DW90" i="16"/>
  <c r="DU90" i="16"/>
  <c r="DT90" i="16"/>
  <c r="DV90" i="16" s="1"/>
  <c r="DK90" i="16"/>
  <c r="DN90" i="16" s="1"/>
  <c r="D90" i="16" s="1"/>
  <c r="DH90" i="16"/>
  <c r="CR90" i="16"/>
  <c r="CQ90" i="16"/>
  <c r="CP90" i="16"/>
  <c r="CO90" i="16"/>
  <c r="CN90" i="16"/>
  <c r="CM90" i="16"/>
  <c r="CL90" i="16"/>
  <c r="AU90" i="16"/>
  <c r="AT90" i="16"/>
  <c r="AS90" i="16"/>
  <c r="AG90" i="16"/>
  <c r="AF90" i="16"/>
  <c r="AE90" i="16"/>
  <c r="FK89" i="16"/>
  <c r="FM89" i="16" s="1"/>
  <c r="EP89" i="16"/>
  <c r="ER89" i="16" s="1"/>
  <c r="DW89" i="16"/>
  <c r="DU89" i="16"/>
  <c r="DT89" i="16"/>
  <c r="DV89" i="16" s="1"/>
  <c r="DK89" i="16"/>
  <c r="DN89" i="16" s="1"/>
  <c r="D89" i="16" s="1"/>
  <c r="DH89" i="16"/>
  <c r="CR89" i="16"/>
  <c r="CQ89" i="16"/>
  <c r="CP89" i="16"/>
  <c r="CO89" i="16"/>
  <c r="CN89" i="16"/>
  <c r="CM89" i="16"/>
  <c r="CL89" i="16"/>
  <c r="AU89" i="16"/>
  <c r="AT89" i="16"/>
  <c r="AS89" i="16"/>
  <c r="AG89" i="16"/>
  <c r="AF89" i="16"/>
  <c r="AE89" i="16"/>
  <c r="FK88" i="16"/>
  <c r="FM88" i="16" s="1"/>
  <c r="EP88" i="16"/>
  <c r="ER88" i="16" s="1"/>
  <c r="DT88" i="16"/>
  <c r="DV88" i="16" s="1"/>
  <c r="DH88" i="16"/>
  <c r="DG88" i="16"/>
  <c r="DY88" i="16" s="1"/>
  <c r="CR88" i="16"/>
  <c r="CQ88" i="16"/>
  <c r="CP88" i="16"/>
  <c r="CO88" i="16"/>
  <c r="CN88" i="16"/>
  <c r="CM88" i="16"/>
  <c r="CL88" i="16"/>
  <c r="CD88" i="16"/>
  <c r="CE88" i="16" s="1"/>
  <c r="CF88" i="16" s="1"/>
  <c r="CG88" i="16" s="1"/>
  <c r="BU88" i="16"/>
  <c r="BV88" i="16" s="1"/>
  <c r="BW88" i="16" s="1"/>
  <c r="BX88" i="16" s="1"/>
  <c r="AZ88" i="16"/>
  <c r="AY88" i="16"/>
  <c r="AX88" i="16"/>
  <c r="AW88" i="16"/>
  <c r="CV88" i="16" s="1"/>
  <c r="AU88" i="16"/>
  <c r="AT88" i="16"/>
  <c r="AS88" i="16"/>
  <c r="AL88" i="16"/>
  <c r="AK88" i="16"/>
  <c r="EA88" i="16" s="1"/>
  <c r="AJ88" i="16"/>
  <c r="EO88" i="16" s="1"/>
  <c r="AI88" i="16"/>
  <c r="CU88" i="16" s="1"/>
  <c r="AG88" i="16"/>
  <c r="AF88" i="16"/>
  <c r="AE88" i="16"/>
  <c r="FK87" i="16"/>
  <c r="FM87" i="16" s="1"/>
  <c r="EP87" i="16"/>
  <c r="ER87" i="16" s="1"/>
  <c r="DT87" i="16"/>
  <c r="DV87" i="16" s="1"/>
  <c r="DH87" i="16"/>
  <c r="DG87" i="16"/>
  <c r="EB87" i="16" s="1"/>
  <c r="CR87" i="16"/>
  <c r="CQ87" i="16"/>
  <c r="CP87" i="16"/>
  <c r="CO87" i="16"/>
  <c r="CN87" i="16"/>
  <c r="CM87" i="16"/>
  <c r="CL87" i="16"/>
  <c r="CD87" i="16"/>
  <c r="CE87" i="16" s="1"/>
  <c r="CF87" i="16" s="1"/>
  <c r="CG87" i="16" s="1"/>
  <c r="BU87" i="16"/>
  <c r="AZ87" i="16"/>
  <c r="AY87" i="16"/>
  <c r="GL89" i="16" s="1"/>
  <c r="GL90" i="16" s="1"/>
  <c r="HJ89" i="16" s="1"/>
  <c r="AX87" i="16"/>
  <c r="GK89" i="16" s="1"/>
  <c r="AW87" i="16"/>
  <c r="CV87" i="16" s="1"/>
  <c r="AU87" i="16"/>
  <c r="AT87" i="16"/>
  <c r="AS87" i="16"/>
  <c r="AL87" i="16"/>
  <c r="AK87" i="16"/>
  <c r="AJ87" i="16"/>
  <c r="AI87" i="16"/>
  <c r="AG87" i="16"/>
  <c r="AF87" i="16"/>
  <c r="AE87" i="16"/>
  <c r="FK86" i="16"/>
  <c r="FM86" i="16" s="1"/>
  <c r="EP86" i="16"/>
  <c r="ER86" i="16" s="1"/>
  <c r="DH86" i="16"/>
  <c r="DG86" i="16"/>
  <c r="CR86" i="16"/>
  <c r="CQ86" i="16"/>
  <c r="CP86" i="16"/>
  <c r="CO86" i="16"/>
  <c r="CN86" i="16"/>
  <c r="CM86" i="16"/>
  <c r="CL86" i="16"/>
  <c r="CD86" i="16"/>
  <c r="CE86" i="16" s="1"/>
  <c r="CF86" i="16" s="1"/>
  <c r="CG86" i="16" s="1"/>
  <c r="BU86" i="16"/>
  <c r="AZ86" i="16"/>
  <c r="GI89" i="16" s="1"/>
  <c r="AY86" i="16"/>
  <c r="FI86" i="16" s="1"/>
  <c r="AX86" i="16"/>
  <c r="GG89" i="16" s="1"/>
  <c r="AW86" i="16"/>
  <c r="AU86" i="16"/>
  <c r="AT86" i="16"/>
  <c r="AS86" i="16"/>
  <c r="AL86" i="16"/>
  <c r="GI87" i="16" s="1"/>
  <c r="AK86" i="16"/>
  <c r="EM86" i="16" s="1"/>
  <c r="AJ86" i="16"/>
  <c r="GG87" i="16" s="1"/>
  <c r="AI86" i="16"/>
  <c r="AG86" i="16"/>
  <c r="AF86" i="16"/>
  <c r="AE86" i="16"/>
  <c r="BA85" i="16"/>
  <c r="AW85" i="16"/>
  <c r="AV85" i="16"/>
  <c r="AM85" i="16"/>
  <c r="AI85" i="16"/>
  <c r="AH85" i="16"/>
  <c r="N83" i="16"/>
  <c r="HN88" i="16" s="1"/>
  <c r="EP77" i="16"/>
  <c r="FK76" i="16"/>
  <c r="FM76" i="16" s="1"/>
  <c r="EP76" i="16"/>
  <c r="ER76" i="16" s="1"/>
  <c r="DW76" i="16"/>
  <c r="DU76" i="16"/>
  <c r="DT76" i="16"/>
  <c r="DV76" i="16" s="1"/>
  <c r="DK76" i="16"/>
  <c r="DR76" i="16" s="1"/>
  <c r="DH76" i="16"/>
  <c r="CR76" i="16"/>
  <c r="CQ76" i="16"/>
  <c r="CP76" i="16"/>
  <c r="CO76" i="16"/>
  <c r="CN76" i="16"/>
  <c r="CM76" i="16"/>
  <c r="CL76" i="16"/>
  <c r="AU76" i="16"/>
  <c r="AT76" i="16"/>
  <c r="AS76" i="16"/>
  <c r="AG76" i="16"/>
  <c r="AF76" i="16"/>
  <c r="AE76" i="16"/>
  <c r="FK75" i="16"/>
  <c r="FM75" i="16" s="1"/>
  <c r="EP75" i="16"/>
  <c r="ER75" i="16" s="1"/>
  <c r="DW75" i="16"/>
  <c r="DU75" i="16"/>
  <c r="DT75" i="16"/>
  <c r="DV75" i="16" s="1"/>
  <c r="DK75" i="16"/>
  <c r="DR75" i="16" s="1"/>
  <c r="DH75" i="16"/>
  <c r="CR75" i="16"/>
  <c r="CQ75" i="16"/>
  <c r="CP75" i="16"/>
  <c r="CO75" i="16"/>
  <c r="CN75" i="16"/>
  <c r="CM75" i="16"/>
  <c r="CL75" i="16"/>
  <c r="AU75" i="16"/>
  <c r="AT75" i="16"/>
  <c r="AS75" i="16"/>
  <c r="AG75" i="16"/>
  <c r="AF75" i="16"/>
  <c r="AE75" i="16"/>
  <c r="FK74" i="16"/>
  <c r="FM74" i="16" s="1"/>
  <c r="EP74" i="16"/>
  <c r="ER74" i="16" s="1"/>
  <c r="DT74" i="16"/>
  <c r="DV74" i="16" s="1"/>
  <c r="DL74" i="16"/>
  <c r="DK74" i="16"/>
  <c r="DH74" i="16"/>
  <c r="DG74" i="16"/>
  <c r="DY74" i="16" s="1"/>
  <c r="CR74" i="16"/>
  <c r="CQ74" i="16"/>
  <c r="CP74" i="16"/>
  <c r="CO74" i="16"/>
  <c r="CN74" i="16"/>
  <c r="CM74" i="16"/>
  <c r="CL74" i="16"/>
  <c r="CD74" i="16"/>
  <c r="CE74" i="16" s="1"/>
  <c r="CF74" i="16" s="1"/>
  <c r="CG74" i="16" s="1"/>
  <c r="BU74" i="16"/>
  <c r="BV74" i="16" s="1"/>
  <c r="BW74" i="16" s="1"/>
  <c r="BX74" i="16" s="1"/>
  <c r="AZ74" i="16"/>
  <c r="GQ75" i="16" s="1"/>
  <c r="AY74" i="16"/>
  <c r="AX74" i="16"/>
  <c r="AW74" i="16"/>
  <c r="AU74" i="16"/>
  <c r="AT74" i="16"/>
  <c r="AS74" i="16"/>
  <c r="AL74" i="16"/>
  <c r="AK74" i="16"/>
  <c r="DX74" i="16" s="1"/>
  <c r="AJ74" i="16"/>
  <c r="EO74" i="16" s="1"/>
  <c r="AI74" i="16"/>
  <c r="CU74" i="16" s="1"/>
  <c r="AG74" i="16"/>
  <c r="AF74" i="16"/>
  <c r="AE74" i="16"/>
  <c r="FK73" i="16"/>
  <c r="FM73" i="16" s="1"/>
  <c r="EP73" i="16"/>
  <c r="ER73" i="16" s="1"/>
  <c r="DT73" i="16"/>
  <c r="DV73" i="16" s="1"/>
  <c r="DH73" i="16"/>
  <c r="DG73" i="16"/>
  <c r="EB73" i="16" s="1"/>
  <c r="CR73" i="16"/>
  <c r="CQ73" i="16"/>
  <c r="CP73" i="16"/>
  <c r="CO73" i="16"/>
  <c r="CN73" i="16"/>
  <c r="CM73" i="16"/>
  <c r="CL73" i="16"/>
  <c r="CD73" i="16"/>
  <c r="CE73" i="16" s="1"/>
  <c r="CF73" i="16" s="1"/>
  <c r="CG73" i="16" s="1"/>
  <c r="BU73" i="16"/>
  <c r="AZ73" i="16"/>
  <c r="BR73" i="16" s="1"/>
  <c r="AY73" i="16"/>
  <c r="AX73" i="16"/>
  <c r="GK75" i="16" s="1"/>
  <c r="AW73" i="16"/>
  <c r="CV73" i="16" s="1"/>
  <c r="AU73" i="16"/>
  <c r="AT73" i="16"/>
  <c r="AS73" i="16"/>
  <c r="AL73" i="16"/>
  <c r="GM73" i="16" s="1"/>
  <c r="AK73" i="16"/>
  <c r="AJ73" i="16"/>
  <c r="AI73" i="16"/>
  <c r="AG73" i="16"/>
  <c r="AF73" i="16"/>
  <c r="AE73" i="16"/>
  <c r="FK72" i="16"/>
  <c r="FM72" i="16" s="1"/>
  <c r="EP72" i="16"/>
  <c r="ER72" i="16" s="1"/>
  <c r="DH72" i="16"/>
  <c r="DG72" i="16"/>
  <c r="CR72" i="16"/>
  <c r="CQ72" i="16"/>
  <c r="CP72" i="16"/>
  <c r="CO72" i="16"/>
  <c r="CN72" i="16"/>
  <c r="CM72" i="16"/>
  <c r="CL72" i="16"/>
  <c r="CD72" i="16"/>
  <c r="CE72" i="16" s="1"/>
  <c r="CF72" i="16" s="1"/>
  <c r="CG72" i="16" s="1"/>
  <c r="BU72" i="16"/>
  <c r="AZ72" i="16"/>
  <c r="AY72" i="16"/>
  <c r="AX72" i="16"/>
  <c r="AW72" i="16"/>
  <c r="AU72" i="16"/>
  <c r="AT72" i="16"/>
  <c r="AS72" i="16"/>
  <c r="AL72" i="16"/>
  <c r="GI73" i="16" s="1"/>
  <c r="AK72" i="16"/>
  <c r="BN72" i="16" s="1"/>
  <c r="AJ72" i="16"/>
  <c r="AI72" i="16"/>
  <c r="AG72" i="16"/>
  <c r="AF72" i="16"/>
  <c r="AE72" i="16"/>
  <c r="BA71" i="16"/>
  <c r="AW71" i="16"/>
  <c r="AV71" i="16"/>
  <c r="AM71" i="16"/>
  <c r="AI71" i="16"/>
  <c r="AH71" i="16"/>
  <c r="N69" i="16"/>
  <c r="HN74" i="16" s="1"/>
  <c r="EP63" i="16"/>
  <c r="FK62" i="16"/>
  <c r="FM62" i="16" s="1"/>
  <c r="EP62" i="16"/>
  <c r="ER62" i="16" s="1"/>
  <c r="DW62" i="16"/>
  <c r="DU62" i="16"/>
  <c r="DT62" i="16"/>
  <c r="DV62" i="16" s="1"/>
  <c r="DK62" i="16"/>
  <c r="DR62" i="16" s="1"/>
  <c r="DH62" i="16"/>
  <c r="CR62" i="16"/>
  <c r="CQ62" i="16"/>
  <c r="CP62" i="16"/>
  <c r="CO62" i="16"/>
  <c r="CN62" i="16"/>
  <c r="CM62" i="16"/>
  <c r="CL62" i="16"/>
  <c r="AU62" i="16"/>
  <c r="AT62" i="16"/>
  <c r="AS62" i="16"/>
  <c r="AG62" i="16"/>
  <c r="AF62" i="16"/>
  <c r="AE62" i="16"/>
  <c r="FK61" i="16"/>
  <c r="FM61" i="16" s="1"/>
  <c r="EP61" i="16"/>
  <c r="ER61" i="16" s="1"/>
  <c r="DW61" i="16"/>
  <c r="DU61" i="16"/>
  <c r="DT61" i="16"/>
  <c r="DV61" i="16" s="1"/>
  <c r="DK61" i="16"/>
  <c r="DN61" i="16" s="1"/>
  <c r="D61" i="16" s="1"/>
  <c r="DH61" i="16"/>
  <c r="CR61" i="16"/>
  <c r="CQ61" i="16"/>
  <c r="CP61" i="16"/>
  <c r="CO61" i="16"/>
  <c r="CN61" i="16"/>
  <c r="CM61" i="16"/>
  <c r="CL61" i="16"/>
  <c r="AU61" i="16"/>
  <c r="AT61" i="16"/>
  <c r="AS61" i="16"/>
  <c r="AG61" i="16"/>
  <c r="AF61" i="16"/>
  <c r="AE61" i="16"/>
  <c r="FK60" i="16"/>
  <c r="FM60" i="16" s="1"/>
  <c r="EP60" i="16"/>
  <c r="ER60" i="16" s="1"/>
  <c r="DT60" i="16"/>
  <c r="DV60" i="16" s="1"/>
  <c r="DH60" i="16"/>
  <c r="DG60" i="16"/>
  <c r="CR60" i="16"/>
  <c r="CQ60" i="16"/>
  <c r="CP60" i="16"/>
  <c r="CO60" i="16"/>
  <c r="CN60" i="16"/>
  <c r="CM60" i="16"/>
  <c r="CL60" i="16"/>
  <c r="CD60" i="16"/>
  <c r="CE60" i="16" s="1"/>
  <c r="CF60" i="16" s="1"/>
  <c r="CG60" i="16" s="1"/>
  <c r="BU60" i="16"/>
  <c r="AZ60" i="16"/>
  <c r="GQ61" i="16" s="1"/>
  <c r="AY60" i="16"/>
  <c r="AX60" i="16"/>
  <c r="AW60" i="16"/>
  <c r="AU60" i="16"/>
  <c r="AT60" i="16"/>
  <c r="AS60" i="16"/>
  <c r="AL60" i="16"/>
  <c r="AK60" i="16"/>
  <c r="BN60" i="16" s="1"/>
  <c r="BP58" i="16" s="1"/>
  <c r="AJ60" i="16"/>
  <c r="DC60" i="16" s="1"/>
  <c r="AI60" i="16"/>
  <c r="CU60" i="16" s="1"/>
  <c r="AG60" i="16"/>
  <c r="AF60" i="16"/>
  <c r="AE60" i="16"/>
  <c r="FK59" i="16"/>
  <c r="FM59" i="16" s="1"/>
  <c r="EP59" i="16"/>
  <c r="ER59" i="16" s="1"/>
  <c r="DT59" i="16"/>
  <c r="DV59" i="16" s="1"/>
  <c r="DH59" i="16"/>
  <c r="DG59" i="16"/>
  <c r="DY59" i="16" s="1"/>
  <c r="CR59" i="16"/>
  <c r="CQ59" i="16"/>
  <c r="CP59" i="16"/>
  <c r="CO59" i="16"/>
  <c r="CN59" i="16"/>
  <c r="CM59" i="16"/>
  <c r="CL59" i="16"/>
  <c r="CD59" i="16"/>
  <c r="CE59" i="16" s="1"/>
  <c r="CF59" i="16" s="1"/>
  <c r="CG59" i="16" s="1"/>
  <c r="BU59" i="16"/>
  <c r="AZ59" i="16"/>
  <c r="AY59" i="16"/>
  <c r="AX59" i="16"/>
  <c r="AW59" i="16"/>
  <c r="CV59" i="16" s="1"/>
  <c r="AU59" i="16"/>
  <c r="AT59" i="16"/>
  <c r="AS59" i="16"/>
  <c r="AL59" i="16"/>
  <c r="GM59" i="16" s="1"/>
  <c r="AK59" i="16"/>
  <c r="AJ59" i="16"/>
  <c r="AI59" i="16"/>
  <c r="AG59" i="16"/>
  <c r="AF59" i="16"/>
  <c r="AE59" i="16"/>
  <c r="FK58" i="16"/>
  <c r="FM58" i="16" s="1"/>
  <c r="EP58" i="16"/>
  <c r="ER58" i="16" s="1"/>
  <c r="DH58" i="16"/>
  <c r="DG58" i="16"/>
  <c r="EB58" i="16" s="1"/>
  <c r="CR58" i="16"/>
  <c r="CQ58" i="16"/>
  <c r="CP58" i="16"/>
  <c r="CO58" i="16"/>
  <c r="CN58" i="16"/>
  <c r="CM58" i="16"/>
  <c r="CL58" i="16"/>
  <c r="CD58" i="16"/>
  <c r="CE58" i="16" s="1"/>
  <c r="CF58" i="16" s="1"/>
  <c r="CG58" i="16" s="1"/>
  <c r="BU58" i="16"/>
  <c r="AZ58" i="16"/>
  <c r="AY58" i="16"/>
  <c r="AX58" i="16"/>
  <c r="GG61" i="16" s="1"/>
  <c r="AW58" i="16"/>
  <c r="AU58" i="16"/>
  <c r="AT58" i="16"/>
  <c r="AS58" i="16"/>
  <c r="AL58" i="16"/>
  <c r="GI59" i="16" s="1"/>
  <c r="AK58" i="16"/>
  <c r="BN58" i="16" s="1"/>
  <c r="AJ58" i="16"/>
  <c r="AI58" i="16"/>
  <c r="CU58" i="16" s="1"/>
  <c r="AG58" i="16"/>
  <c r="AF58" i="16"/>
  <c r="AE58" i="16"/>
  <c r="BA57" i="16"/>
  <c r="AW57" i="16"/>
  <c r="AV57" i="16"/>
  <c r="AM57" i="16"/>
  <c r="AI57" i="16"/>
  <c r="AH57" i="16"/>
  <c r="N55" i="16"/>
  <c r="HN60" i="16" s="1"/>
  <c r="EP49" i="16"/>
  <c r="FK48" i="16"/>
  <c r="FM48" i="16" s="1"/>
  <c r="EP48" i="16"/>
  <c r="ER48" i="16" s="1"/>
  <c r="DW48" i="16"/>
  <c r="DU48" i="16"/>
  <c r="DT48" i="16"/>
  <c r="DV48" i="16" s="1"/>
  <c r="DK48" i="16"/>
  <c r="DN48" i="16" s="1"/>
  <c r="D48" i="16" s="1"/>
  <c r="DH48" i="16"/>
  <c r="CR48" i="16"/>
  <c r="CQ48" i="16"/>
  <c r="CP48" i="16"/>
  <c r="CO48" i="16"/>
  <c r="CN48" i="16"/>
  <c r="CM48" i="16"/>
  <c r="CL48" i="16"/>
  <c r="AU48" i="16"/>
  <c r="AT48" i="16"/>
  <c r="AS48" i="16"/>
  <c r="AG48" i="16"/>
  <c r="AF48" i="16"/>
  <c r="AE48" i="16"/>
  <c r="FK47" i="16"/>
  <c r="FM47" i="16" s="1"/>
  <c r="EP47" i="16"/>
  <c r="ER47" i="16" s="1"/>
  <c r="DW47" i="16"/>
  <c r="DU47" i="16"/>
  <c r="DT47" i="16"/>
  <c r="DV47" i="16" s="1"/>
  <c r="DK47" i="16"/>
  <c r="DN47" i="16" s="1"/>
  <c r="D47" i="16" s="1"/>
  <c r="DH47" i="16"/>
  <c r="CR47" i="16"/>
  <c r="CQ47" i="16"/>
  <c r="CP47" i="16"/>
  <c r="CO47" i="16"/>
  <c r="CN47" i="16"/>
  <c r="CM47" i="16"/>
  <c r="CL47" i="16"/>
  <c r="AU47" i="16"/>
  <c r="AT47" i="16"/>
  <c r="AS47" i="16"/>
  <c r="AG47" i="16"/>
  <c r="AF47" i="16"/>
  <c r="AE47" i="16"/>
  <c r="FK46" i="16"/>
  <c r="FM46" i="16" s="1"/>
  <c r="EP46" i="16"/>
  <c r="DT46" i="16"/>
  <c r="DV46" i="16" s="1"/>
  <c r="DH46" i="16"/>
  <c r="DG46" i="16"/>
  <c r="DY46" i="16" s="1"/>
  <c r="CR46" i="16"/>
  <c r="CQ46" i="16"/>
  <c r="CP46" i="16"/>
  <c r="CO46" i="16"/>
  <c r="CN46" i="16"/>
  <c r="CM46" i="16"/>
  <c r="CL46" i="16"/>
  <c r="CD46" i="16"/>
  <c r="CE46" i="16" s="1"/>
  <c r="CF46" i="16" s="1"/>
  <c r="CG46" i="16" s="1"/>
  <c r="BU46" i="16"/>
  <c r="AZ46" i="16"/>
  <c r="AY46" i="16"/>
  <c r="AX46" i="16"/>
  <c r="AW46" i="16"/>
  <c r="AU46" i="16"/>
  <c r="AT46" i="16"/>
  <c r="AS46" i="16"/>
  <c r="AL46" i="16"/>
  <c r="AK46" i="16"/>
  <c r="GP45" i="16" s="1"/>
  <c r="GP46" i="16" s="1"/>
  <c r="AJ46" i="16"/>
  <c r="GO45" i="16" s="1"/>
  <c r="AI46" i="16"/>
  <c r="CU46" i="16" s="1"/>
  <c r="AG46" i="16"/>
  <c r="AF46" i="16"/>
  <c r="AE46" i="16"/>
  <c r="FK45" i="16"/>
  <c r="FM45" i="16" s="1"/>
  <c r="EP45" i="16"/>
  <c r="ER45" i="16" s="1"/>
  <c r="DT45" i="16"/>
  <c r="DV45" i="16" s="1"/>
  <c r="DH45" i="16"/>
  <c r="DG45" i="16"/>
  <c r="EB45" i="16" s="1"/>
  <c r="CR45" i="16"/>
  <c r="CQ45" i="16"/>
  <c r="CP45" i="16"/>
  <c r="CO45" i="16"/>
  <c r="CN45" i="16"/>
  <c r="CM45" i="16"/>
  <c r="CL45" i="16"/>
  <c r="CD45" i="16"/>
  <c r="CE45" i="16" s="1"/>
  <c r="CF45" i="16" s="1"/>
  <c r="CG45" i="16" s="1"/>
  <c r="BU45" i="16"/>
  <c r="AZ45" i="16"/>
  <c r="AY45" i="16"/>
  <c r="GL47" i="16" s="1"/>
  <c r="GL48" i="16" s="1"/>
  <c r="HJ47" i="16" s="1"/>
  <c r="AX45" i="16"/>
  <c r="FJ45" i="16" s="1"/>
  <c r="FL45" i="16" s="1"/>
  <c r="AW45" i="16"/>
  <c r="CV45" i="16" s="1"/>
  <c r="AU45" i="16"/>
  <c r="AT45" i="16"/>
  <c r="AS45" i="16"/>
  <c r="AL45" i="16"/>
  <c r="GM45" i="16" s="1"/>
  <c r="AK45" i="16"/>
  <c r="AJ45" i="16"/>
  <c r="AI45" i="16"/>
  <c r="AG45" i="16"/>
  <c r="AF45" i="16"/>
  <c r="AE45" i="16"/>
  <c r="FK44" i="16"/>
  <c r="FM44" i="16" s="1"/>
  <c r="EP44" i="16"/>
  <c r="ER44" i="16" s="1"/>
  <c r="DH44" i="16"/>
  <c r="DG44" i="16"/>
  <c r="EB44" i="16" s="1"/>
  <c r="CR44" i="16"/>
  <c r="CQ44" i="16"/>
  <c r="CP44" i="16"/>
  <c r="CO44" i="16"/>
  <c r="CN44" i="16"/>
  <c r="CM44" i="16"/>
  <c r="CL44" i="16"/>
  <c r="CD44" i="16"/>
  <c r="CE44" i="16" s="1"/>
  <c r="CF44" i="16" s="1"/>
  <c r="CG44" i="16" s="1"/>
  <c r="BU44" i="16"/>
  <c r="AZ44" i="16"/>
  <c r="AY44" i="16"/>
  <c r="AX44" i="16"/>
  <c r="GG47" i="16" s="1"/>
  <c r="AW44" i="16"/>
  <c r="AU44" i="16"/>
  <c r="AT44" i="16"/>
  <c r="AS44" i="16"/>
  <c r="AL44" i="16"/>
  <c r="GI45" i="16" s="1"/>
  <c r="AK44" i="16"/>
  <c r="EN44" i="16" s="1"/>
  <c r="AJ44" i="16"/>
  <c r="AI44" i="16"/>
  <c r="AG44" i="16"/>
  <c r="AF44" i="16"/>
  <c r="AE44" i="16"/>
  <c r="BA43" i="16"/>
  <c r="AW43" i="16"/>
  <c r="AV43" i="16"/>
  <c r="AM43" i="16"/>
  <c r="AI43" i="16"/>
  <c r="AH43" i="16"/>
  <c r="N41" i="16"/>
  <c r="HN46" i="16" s="1"/>
  <c r="EP35" i="16"/>
  <c r="FK34" i="16"/>
  <c r="FM34" i="16" s="1"/>
  <c r="EP34" i="16"/>
  <c r="ER34" i="16" s="1"/>
  <c r="DW34" i="16"/>
  <c r="DU34" i="16"/>
  <c r="DT34" i="16"/>
  <c r="DV34" i="16" s="1"/>
  <c r="DK34" i="16"/>
  <c r="DR34" i="16" s="1"/>
  <c r="DH34" i="16"/>
  <c r="CR34" i="16"/>
  <c r="CQ34" i="16"/>
  <c r="CP34" i="16"/>
  <c r="CO34" i="16"/>
  <c r="CN34" i="16"/>
  <c r="CM34" i="16"/>
  <c r="CL34" i="16"/>
  <c r="AU34" i="16"/>
  <c r="AT34" i="16"/>
  <c r="AS34" i="16"/>
  <c r="AG34" i="16"/>
  <c r="AF34" i="16"/>
  <c r="AE34" i="16"/>
  <c r="FK33" i="16"/>
  <c r="FM33" i="16" s="1"/>
  <c r="EP33" i="16"/>
  <c r="ER33" i="16" s="1"/>
  <c r="DT33" i="16"/>
  <c r="DV33" i="16" s="1"/>
  <c r="DH33" i="16"/>
  <c r="CR33" i="16"/>
  <c r="CQ33" i="16"/>
  <c r="CP33" i="16"/>
  <c r="CO33" i="16"/>
  <c r="CN33" i="16"/>
  <c r="CM33" i="16"/>
  <c r="CL33" i="16"/>
  <c r="AU33" i="16"/>
  <c r="AT33" i="16"/>
  <c r="AS33" i="16"/>
  <c r="AG33" i="16"/>
  <c r="AF33" i="16"/>
  <c r="AE33" i="16"/>
  <c r="FK32" i="16"/>
  <c r="FM32" i="16" s="1"/>
  <c r="EP32" i="16"/>
  <c r="ER32" i="16" s="1"/>
  <c r="DT32" i="16"/>
  <c r="DV32" i="16" s="1"/>
  <c r="DH32" i="16"/>
  <c r="DG32" i="16"/>
  <c r="EB32" i="16" s="1"/>
  <c r="CR32" i="16"/>
  <c r="CQ32" i="16"/>
  <c r="CP32" i="16"/>
  <c r="CO32" i="16"/>
  <c r="CN32" i="16"/>
  <c r="CM32" i="16"/>
  <c r="CL32" i="16"/>
  <c r="CD32" i="16"/>
  <c r="BU32" i="16"/>
  <c r="AZ32" i="16"/>
  <c r="AY32" i="16"/>
  <c r="AB32" i="16" s="1"/>
  <c r="AX32" i="16"/>
  <c r="FJ32" i="16" s="1"/>
  <c r="FL32" i="16" s="1"/>
  <c r="AW32" i="16"/>
  <c r="AU32" i="16"/>
  <c r="AT32" i="16"/>
  <c r="AS32" i="16"/>
  <c r="AL32" i="16"/>
  <c r="AK32" i="16"/>
  <c r="AJ32" i="16"/>
  <c r="BS32" i="16" s="1"/>
  <c r="AI32" i="16"/>
  <c r="CU32" i="16" s="1"/>
  <c r="AG32" i="16"/>
  <c r="AF32" i="16"/>
  <c r="AE32" i="16"/>
  <c r="FK31" i="16"/>
  <c r="FM31" i="16" s="1"/>
  <c r="EP31" i="16"/>
  <c r="ER31" i="16" s="1"/>
  <c r="DT31" i="16"/>
  <c r="DV31" i="16" s="1"/>
  <c r="DH31" i="16"/>
  <c r="DG31" i="16"/>
  <c r="EB31" i="16" s="1"/>
  <c r="CR31" i="16"/>
  <c r="CQ31" i="16"/>
  <c r="CP31" i="16"/>
  <c r="CO31" i="16"/>
  <c r="CN31" i="16"/>
  <c r="CM31" i="16"/>
  <c r="CL31" i="16"/>
  <c r="CD31" i="16"/>
  <c r="BU31" i="16"/>
  <c r="AZ31" i="16"/>
  <c r="GM33" i="16" s="1"/>
  <c r="AY31" i="16"/>
  <c r="AX31" i="16"/>
  <c r="BT31" i="16" s="1"/>
  <c r="AW31" i="16"/>
  <c r="CV31" i="16" s="1"/>
  <c r="AU31" i="16"/>
  <c r="AT31" i="16"/>
  <c r="AS31" i="16"/>
  <c r="AL31" i="16"/>
  <c r="AK31" i="16"/>
  <c r="AJ31" i="16"/>
  <c r="BS31" i="16" s="1"/>
  <c r="AI31" i="16"/>
  <c r="AG31" i="16"/>
  <c r="AF31" i="16"/>
  <c r="AE31" i="16"/>
  <c r="FK30" i="16"/>
  <c r="FM30" i="16" s="1"/>
  <c r="EP30" i="16"/>
  <c r="ER30" i="16" s="1"/>
  <c r="DH30" i="16"/>
  <c r="DG30" i="16"/>
  <c r="EB30" i="16" s="1"/>
  <c r="CR30" i="16"/>
  <c r="CQ30" i="16"/>
  <c r="CP30" i="16"/>
  <c r="CO30" i="16"/>
  <c r="CN30" i="16"/>
  <c r="CM30" i="16"/>
  <c r="CL30" i="16"/>
  <c r="CD30" i="16"/>
  <c r="BU30" i="16"/>
  <c r="AZ30" i="16"/>
  <c r="GI33" i="16" s="1"/>
  <c r="AY30" i="16"/>
  <c r="FI30" i="16" s="1"/>
  <c r="AX30" i="16"/>
  <c r="BT30" i="16" s="1"/>
  <c r="AW30" i="16"/>
  <c r="AU30" i="16"/>
  <c r="AT30" i="16"/>
  <c r="AS30" i="16"/>
  <c r="AL30" i="16"/>
  <c r="GI31" i="16" s="1"/>
  <c r="AK30" i="16"/>
  <c r="BN30" i="16" s="1"/>
  <c r="AJ30" i="16"/>
  <c r="BS30" i="16" s="1"/>
  <c r="AI30" i="16"/>
  <c r="CU30" i="16" s="1"/>
  <c r="AG30" i="16"/>
  <c r="AF30" i="16"/>
  <c r="AE30" i="16"/>
  <c r="BA29" i="16"/>
  <c r="AW29" i="16"/>
  <c r="AV29" i="16"/>
  <c r="AM29" i="16"/>
  <c r="AI29" i="16"/>
  <c r="AH29" i="16"/>
  <c r="N27" i="16"/>
  <c r="HN32" i="16" s="1"/>
  <c r="AJ17" i="16"/>
  <c r="GK17" i="16" s="1"/>
  <c r="AS16" i="16"/>
  <c r="AT16" i="16"/>
  <c r="AS17" i="16"/>
  <c r="AT17" i="16"/>
  <c r="AS18" i="16"/>
  <c r="AT18" i="16"/>
  <c r="AS19" i="16"/>
  <c r="AT19" i="16"/>
  <c r="AS20" i="16"/>
  <c r="AT20" i="16"/>
  <c r="AU17" i="16"/>
  <c r="AU18" i="16"/>
  <c r="AU19" i="16"/>
  <c r="AU20" i="16"/>
  <c r="AU16" i="16"/>
  <c r="AE17" i="16"/>
  <c r="AF17" i="16"/>
  <c r="AG17" i="16"/>
  <c r="AE18" i="16"/>
  <c r="AF18" i="16"/>
  <c r="AG18" i="16"/>
  <c r="AE19" i="16"/>
  <c r="AF19" i="16"/>
  <c r="AG19" i="16"/>
  <c r="AE20" i="16"/>
  <c r="AF20" i="16"/>
  <c r="AG20" i="16"/>
  <c r="AE16" i="16"/>
  <c r="AF16" i="16"/>
  <c r="AG16" i="16"/>
  <c r="AZ16" i="16"/>
  <c r="N13" i="16"/>
  <c r="HN18" i="16" s="1"/>
  <c r="AU122" i="13"/>
  <c r="DT18" i="16"/>
  <c r="DV18" i="16" s="1"/>
  <c r="DT19" i="16"/>
  <c r="DV19" i="16" s="1"/>
  <c r="DT20" i="16"/>
  <c r="DV20" i="16" s="1"/>
  <c r="DT17" i="16"/>
  <c r="DV17" i="16" s="1"/>
  <c r="AY16" i="16"/>
  <c r="AW16" i="16"/>
  <c r="CV16" i="16" s="1"/>
  <c r="AK16" i="16"/>
  <c r="AI16" i="16"/>
  <c r="DG16" i="16"/>
  <c r="DY16" i="16" s="1"/>
  <c r="DG17" i="16"/>
  <c r="DH17" i="16"/>
  <c r="DG18" i="16"/>
  <c r="DH18" i="16"/>
  <c r="DH19" i="16"/>
  <c r="DH20" i="16"/>
  <c r="DH16" i="16"/>
  <c r="EP21" i="16"/>
  <c r="FK20" i="16"/>
  <c r="FM20" i="16" s="1"/>
  <c r="EP20" i="16"/>
  <c r="ER20" i="16" s="1"/>
  <c r="CR20" i="16"/>
  <c r="CQ20" i="16"/>
  <c r="CP20" i="16"/>
  <c r="CO20" i="16"/>
  <c r="CN20" i="16"/>
  <c r="CM20" i="16"/>
  <c r="CL20" i="16"/>
  <c r="FK19" i="16"/>
  <c r="FM19" i="16" s="1"/>
  <c r="EP19" i="16"/>
  <c r="ER19" i="16" s="1"/>
  <c r="CR19" i="16"/>
  <c r="CQ19" i="16"/>
  <c r="CP19" i="16"/>
  <c r="CO19" i="16"/>
  <c r="CN19" i="16"/>
  <c r="CM19" i="16"/>
  <c r="CL19" i="16"/>
  <c r="FK18" i="16"/>
  <c r="FM18" i="16" s="1"/>
  <c r="EP18" i="16"/>
  <c r="ER18" i="16" s="1"/>
  <c r="CR18" i="16"/>
  <c r="CQ18" i="16"/>
  <c r="CP18" i="16"/>
  <c r="CO18" i="16"/>
  <c r="CN18" i="16"/>
  <c r="CM18" i="16"/>
  <c r="CL18" i="16"/>
  <c r="CD18" i="16"/>
  <c r="BU18" i="16"/>
  <c r="AZ18" i="16"/>
  <c r="AY18" i="16"/>
  <c r="AX18" i="16"/>
  <c r="GO19" i="16" s="1"/>
  <c r="AW18" i="16"/>
  <c r="CV18" i="16" s="1"/>
  <c r="AL18" i="16"/>
  <c r="GQ17" i="16" s="1"/>
  <c r="AK18" i="16"/>
  <c r="GP17" i="16" s="1"/>
  <c r="GP18" i="16" s="1"/>
  <c r="AJ18" i="16"/>
  <c r="GO17" i="16" s="1"/>
  <c r="AI18" i="16"/>
  <c r="CU18" i="16" s="1"/>
  <c r="FK17" i="16"/>
  <c r="FM17" i="16" s="1"/>
  <c r="EP17" i="16"/>
  <c r="CR17" i="16"/>
  <c r="CQ17" i="16"/>
  <c r="CP17" i="16"/>
  <c r="CO17" i="16"/>
  <c r="CN17" i="16"/>
  <c r="CM17" i="16"/>
  <c r="CL17" i="16"/>
  <c r="CD17" i="16"/>
  <c r="BU17" i="16"/>
  <c r="BV17" i="16" s="1"/>
  <c r="BW17" i="16" s="1"/>
  <c r="BX17" i="16" s="1"/>
  <c r="AZ17" i="16"/>
  <c r="AY17" i="16"/>
  <c r="FH17" i="16" s="1"/>
  <c r="AX17" i="16"/>
  <c r="FJ17" i="16" s="1"/>
  <c r="AW17" i="16"/>
  <c r="AL17" i="16"/>
  <c r="GM17" i="16" s="1"/>
  <c r="AK17" i="16"/>
  <c r="AI17" i="16"/>
  <c r="CU17" i="16" s="1"/>
  <c r="FK16" i="16"/>
  <c r="FM16" i="16" s="1"/>
  <c r="EP16" i="16"/>
  <c r="ER16" i="16" s="1"/>
  <c r="CR16" i="16"/>
  <c r="CQ16" i="16"/>
  <c r="CP16" i="16"/>
  <c r="CO16" i="16"/>
  <c r="CN16" i="16"/>
  <c r="CM16" i="16"/>
  <c r="CL16" i="16"/>
  <c r="CD16" i="16"/>
  <c r="BU16" i="16"/>
  <c r="AX16" i="16"/>
  <c r="AL16" i="16"/>
  <c r="GI17" i="16" s="1"/>
  <c r="AJ16" i="16"/>
  <c r="BA15" i="16"/>
  <c r="AW15" i="16"/>
  <c r="AV15" i="16"/>
  <c r="AM15" i="16"/>
  <c r="AI15" i="16"/>
  <c r="AH15" i="16"/>
  <c r="U103" i="9"/>
  <c r="U101" i="9"/>
  <c r="U99" i="9"/>
  <c r="U97" i="9"/>
  <c r="U103" i="11"/>
  <c r="U101" i="11"/>
  <c r="U99" i="11"/>
  <c r="U97" i="11"/>
  <c r="BA115" i="11"/>
  <c r="E115" i="11"/>
  <c r="D115" i="11"/>
  <c r="BA113" i="11"/>
  <c r="BA83" i="11"/>
  <c r="AZ83" i="11"/>
  <c r="BA81" i="11"/>
  <c r="AZ81" i="11"/>
  <c r="BA79" i="11"/>
  <c r="AZ79" i="11"/>
  <c r="BA77" i="11"/>
  <c r="AZ77" i="11"/>
  <c r="BA75" i="11"/>
  <c r="AZ75" i="11"/>
  <c r="BA73" i="11"/>
  <c r="AZ73" i="11"/>
  <c r="BA63" i="11"/>
  <c r="AZ63" i="11"/>
  <c r="BA61" i="11"/>
  <c r="AZ61" i="11"/>
  <c r="BA59" i="11"/>
  <c r="AZ59" i="11"/>
  <c r="BA57" i="11"/>
  <c r="AZ57" i="11"/>
  <c r="BA55" i="11"/>
  <c r="AZ55" i="11"/>
  <c r="BA53" i="11"/>
  <c r="AZ53" i="11"/>
  <c r="BA43" i="11"/>
  <c r="AZ43" i="11"/>
  <c r="BA41" i="11"/>
  <c r="AZ41" i="11"/>
  <c r="BA39" i="11"/>
  <c r="AZ39" i="11"/>
  <c r="BA37" i="11"/>
  <c r="AZ37" i="11"/>
  <c r="BA35" i="11"/>
  <c r="AZ35" i="11"/>
  <c r="BA33" i="11"/>
  <c r="AZ33" i="11"/>
  <c r="BA23" i="11"/>
  <c r="AZ23" i="11"/>
  <c r="BA21" i="11"/>
  <c r="AZ21" i="11"/>
  <c r="BA19" i="11"/>
  <c r="AZ19" i="11"/>
  <c r="BA17" i="11"/>
  <c r="AZ17" i="11"/>
  <c r="BA15" i="11"/>
  <c r="AZ15" i="11"/>
  <c r="BA13" i="11"/>
  <c r="AZ13" i="11"/>
  <c r="CE31" i="16" l="1"/>
  <c r="CF31" i="16" s="1"/>
  <c r="CG31" i="16" s="1"/>
  <c r="AR464" i="16"/>
  <c r="AQ464" i="16" s="1"/>
  <c r="CH199" i="16"/>
  <c r="CI199" i="16" s="1"/>
  <c r="CH312" i="16"/>
  <c r="HJ103" i="16"/>
  <c r="BV72" i="16"/>
  <c r="BW72" i="16" s="1"/>
  <c r="BX72" i="16" s="1"/>
  <c r="BY72" i="16" s="1"/>
  <c r="AH185" i="16"/>
  <c r="GJ185" i="16" s="1"/>
  <c r="AR47" i="16"/>
  <c r="BV87" i="16"/>
  <c r="BW87" i="16" s="1"/>
  <c r="BX87" i="16" s="1"/>
  <c r="BY87" i="16" s="1"/>
  <c r="CA87" i="16" s="1"/>
  <c r="CE101" i="16"/>
  <c r="CF101" i="16" s="1"/>
  <c r="CG101" i="16" s="1"/>
  <c r="B423" i="16"/>
  <c r="FF424" i="16"/>
  <c r="CX227" i="16"/>
  <c r="B464" i="16"/>
  <c r="EQ466" i="16"/>
  <c r="DE60" i="16"/>
  <c r="AD271" i="16"/>
  <c r="EN464" i="16"/>
  <c r="EZ464" i="16" s="1"/>
  <c r="BV46" i="16"/>
  <c r="BW46" i="16" s="1"/>
  <c r="BX46" i="16" s="1"/>
  <c r="CE100" i="16"/>
  <c r="CF100" i="16" s="1"/>
  <c r="CG100" i="16" s="1"/>
  <c r="BV86" i="16"/>
  <c r="BW86" i="16" s="1"/>
  <c r="BX86" i="16" s="1"/>
  <c r="BY86" i="16" s="1"/>
  <c r="BV73" i="16"/>
  <c r="BW73" i="16" s="1"/>
  <c r="BX73" i="16" s="1"/>
  <c r="BY73" i="16" s="1"/>
  <c r="AV88" i="16"/>
  <c r="T88" i="16" s="1"/>
  <c r="DE157" i="16"/>
  <c r="EB157" i="16"/>
  <c r="CX269" i="16"/>
  <c r="CJ312" i="16"/>
  <c r="HS270" i="16"/>
  <c r="AH255" i="16"/>
  <c r="E255" i="16" s="1"/>
  <c r="AH143" i="16"/>
  <c r="E143" i="16" s="1"/>
  <c r="HK45" i="16"/>
  <c r="CW114" i="16"/>
  <c r="BY185" i="16"/>
  <c r="CA185" i="16" s="1"/>
  <c r="DI466" i="16"/>
  <c r="DJ466" i="16" s="1"/>
  <c r="BV32" i="16"/>
  <c r="BW32" i="16" s="1"/>
  <c r="BX32" i="16" s="1"/>
  <c r="BY32" i="16" s="1"/>
  <c r="BV44" i="16"/>
  <c r="BW44" i="16" s="1"/>
  <c r="BX44" i="16" s="1"/>
  <c r="BY44" i="16" s="1"/>
  <c r="AR226" i="16"/>
  <c r="AQ226" i="16" s="1"/>
  <c r="DN367" i="16"/>
  <c r="D367" i="16" s="1"/>
  <c r="FH396" i="16"/>
  <c r="AD186" i="16"/>
  <c r="AC186" i="16" s="1"/>
  <c r="BV30" i="16"/>
  <c r="BW30" i="16" s="1"/>
  <c r="BX30" i="16" s="1"/>
  <c r="BY30" i="16" s="1"/>
  <c r="B44" i="16"/>
  <c r="CH102" i="16"/>
  <c r="CJ102" i="16" s="1"/>
  <c r="CH158" i="16"/>
  <c r="AD226" i="16"/>
  <c r="AC226" i="16" s="1"/>
  <c r="AB240" i="16"/>
  <c r="DN338" i="16"/>
  <c r="D338" i="16" s="1"/>
  <c r="BY409" i="16"/>
  <c r="CA409" i="16" s="1"/>
  <c r="DR466" i="16"/>
  <c r="BV59" i="16"/>
  <c r="BW59" i="16" s="1"/>
  <c r="BX59" i="16" s="1"/>
  <c r="BY59" i="16" s="1"/>
  <c r="BZ59" i="16" s="1"/>
  <c r="AB156" i="16"/>
  <c r="FI213" i="16"/>
  <c r="FY213" i="16" s="1"/>
  <c r="AR285" i="16"/>
  <c r="CH409" i="16"/>
  <c r="CI409" i="16" s="1"/>
  <c r="DC409" i="16"/>
  <c r="GH269" i="16"/>
  <c r="GH270" i="16" s="1"/>
  <c r="HI269" i="16" s="1"/>
  <c r="BV45" i="16"/>
  <c r="BW45" i="16" s="1"/>
  <c r="BX45" i="16" s="1"/>
  <c r="BY45" i="16" s="1"/>
  <c r="CA45" i="16" s="1"/>
  <c r="BR143" i="16"/>
  <c r="AR45" i="16"/>
  <c r="AQ45" i="16" s="1"/>
  <c r="CX255" i="16"/>
  <c r="DC452" i="16"/>
  <c r="CW101" i="16"/>
  <c r="AV156" i="16"/>
  <c r="GF159" i="16" s="1"/>
  <c r="AH240" i="16"/>
  <c r="GF241" i="16" s="1"/>
  <c r="AD354" i="16"/>
  <c r="AC354" i="16" s="1"/>
  <c r="DE452" i="16"/>
  <c r="HS158" i="16"/>
  <c r="CH59" i="16"/>
  <c r="B59" i="16"/>
  <c r="BV60" i="16"/>
  <c r="BW60" i="16" s="1"/>
  <c r="BX60" i="16" s="1"/>
  <c r="BY60" i="16" s="1"/>
  <c r="BV58" i="16"/>
  <c r="BW58" i="16" s="1"/>
  <c r="BX58" i="16" s="1"/>
  <c r="BY58" i="16" s="1"/>
  <c r="FF60" i="16"/>
  <c r="AR256" i="16"/>
  <c r="AQ256" i="16" s="1"/>
  <c r="DP114" i="16"/>
  <c r="DI157" i="16"/>
  <c r="DJ157" i="16" s="1"/>
  <c r="AR159" i="16"/>
  <c r="AD170" i="16"/>
  <c r="AC170" i="16" s="1"/>
  <c r="AD188" i="16"/>
  <c r="EN282" i="16"/>
  <c r="FC282" i="16" s="1"/>
  <c r="AR314" i="16"/>
  <c r="AH324" i="16"/>
  <c r="E324" i="16" s="1"/>
  <c r="DR339" i="16"/>
  <c r="DS466" i="16"/>
  <c r="DS382" i="16"/>
  <c r="BV31" i="16"/>
  <c r="BW31" i="16" s="1"/>
  <c r="BX31" i="16" s="1"/>
  <c r="BY31" i="16" s="1"/>
  <c r="CA31" i="16" s="1"/>
  <c r="AH44" i="16"/>
  <c r="GF45" i="16" s="1"/>
  <c r="DI58" i="16"/>
  <c r="DJ58" i="16" s="1"/>
  <c r="AD61" i="16"/>
  <c r="AD102" i="16"/>
  <c r="AC102" i="16" s="1"/>
  <c r="AD103" i="16"/>
  <c r="DN212" i="16"/>
  <c r="D212" i="16" s="1"/>
  <c r="BN282" i="16"/>
  <c r="DO366" i="16"/>
  <c r="S366" i="16" s="1"/>
  <c r="EC367" i="16"/>
  <c r="ED367" i="16" s="1"/>
  <c r="DI452" i="16"/>
  <c r="DJ452" i="16" s="1"/>
  <c r="FJ464" i="16"/>
  <c r="FL464" i="16" s="1"/>
  <c r="FH158" i="16"/>
  <c r="DP156" i="16"/>
  <c r="DQ157" i="16" s="1"/>
  <c r="DS157" i="16"/>
  <c r="EB228" i="16"/>
  <c r="BO240" i="16"/>
  <c r="AR268" i="16"/>
  <c r="AQ268" i="16" s="1"/>
  <c r="CV269" i="16"/>
  <c r="FH410" i="16"/>
  <c r="EQ452" i="16"/>
  <c r="BR142" i="16"/>
  <c r="CH284" i="16"/>
  <c r="CJ284" i="16" s="1"/>
  <c r="AH59" i="16"/>
  <c r="E59" i="16" s="1"/>
  <c r="DI129" i="16"/>
  <c r="DJ129" i="16" s="1"/>
  <c r="BY157" i="16"/>
  <c r="BZ157" i="16" s="1"/>
  <c r="AR171" i="16"/>
  <c r="AQ171" i="16" s="1"/>
  <c r="B212" i="16"/>
  <c r="B213" i="16"/>
  <c r="BO213" i="16"/>
  <c r="AD216" i="16"/>
  <c r="AR284" i="16"/>
  <c r="AQ284" i="16" s="1"/>
  <c r="BO298" i="16"/>
  <c r="DX340" i="16"/>
  <c r="DZ340" i="16" s="1"/>
  <c r="EE340" i="16" s="1"/>
  <c r="BO396" i="16"/>
  <c r="EN451" i="16"/>
  <c r="EV451" i="16" s="1"/>
  <c r="DZ452" i="16"/>
  <c r="EE452" i="16" s="1"/>
  <c r="CH465" i="16"/>
  <c r="CW73" i="16"/>
  <c r="CX100" i="16"/>
  <c r="DD157" i="16"/>
  <c r="DS158" i="16"/>
  <c r="AD255" i="16"/>
  <c r="AC255" i="16" s="1"/>
  <c r="AR255" i="16"/>
  <c r="AQ255" i="16" s="1"/>
  <c r="CX283" i="16"/>
  <c r="AR298" i="16"/>
  <c r="AQ298" i="16" s="1"/>
  <c r="CW354" i="16"/>
  <c r="AD398" i="16"/>
  <c r="GK171" i="16"/>
  <c r="DE171" i="16"/>
  <c r="DO410" i="16"/>
  <c r="S410" i="16" s="1"/>
  <c r="DI74" i="16"/>
  <c r="DJ74" i="16" s="1"/>
  <c r="AD75" i="16"/>
  <c r="BO87" i="16"/>
  <c r="AD128" i="16"/>
  <c r="AC128" i="16" s="1"/>
  <c r="BY143" i="16"/>
  <c r="CA143" i="16" s="1"/>
  <c r="AD174" i="16"/>
  <c r="DI198" i="16"/>
  <c r="DJ198" i="16" s="1"/>
  <c r="AR199" i="16"/>
  <c r="AQ199" i="16" s="1"/>
  <c r="EO255" i="16"/>
  <c r="EQ255" i="16" s="1"/>
  <c r="DD255" i="16"/>
  <c r="EM283" i="16"/>
  <c r="AD355" i="16"/>
  <c r="FH214" i="16"/>
  <c r="AB214" i="16"/>
  <c r="BT58" i="16"/>
  <c r="BR60" i="16"/>
  <c r="EQ74" i="16"/>
  <c r="AV74" i="16"/>
  <c r="T74" i="16" s="1"/>
  <c r="BR86" i="16"/>
  <c r="EQ88" i="16"/>
  <c r="BO101" i="16"/>
  <c r="BO214" i="16"/>
  <c r="BR284" i="16"/>
  <c r="AH395" i="16"/>
  <c r="E395" i="16" s="1"/>
  <c r="DI424" i="16"/>
  <c r="DJ424" i="16" s="1"/>
  <c r="BY436" i="16"/>
  <c r="BZ436" i="16" s="1"/>
  <c r="DE143" i="16"/>
  <c r="DD143" i="16"/>
  <c r="HS452" i="16"/>
  <c r="DN450" i="16"/>
  <c r="D450" i="16" s="1"/>
  <c r="DO255" i="16"/>
  <c r="S255" i="16" s="1"/>
  <c r="DS255" i="16"/>
  <c r="GH369" i="16"/>
  <c r="GH370" i="16" s="1"/>
  <c r="HI369" i="16" s="1"/>
  <c r="AB366" i="16"/>
  <c r="BQ45" i="16"/>
  <c r="B73" i="16"/>
  <c r="DZ74" i="16"/>
  <c r="EE74" i="16" s="1"/>
  <c r="DY87" i="16"/>
  <c r="AB101" i="16"/>
  <c r="FL128" i="16"/>
  <c r="BY129" i="16"/>
  <c r="BZ129" i="16" s="1"/>
  <c r="GA143" i="16"/>
  <c r="DI156" i="16"/>
  <c r="DJ156" i="16" s="1"/>
  <c r="DY156" i="16"/>
  <c r="AD213" i="16"/>
  <c r="AC213" i="16" s="1"/>
  <c r="AR271" i="16"/>
  <c r="AR312" i="16"/>
  <c r="AQ312" i="16" s="1"/>
  <c r="DN324" i="16"/>
  <c r="D324" i="16" s="1"/>
  <c r="BQ465" i="16"/>
  <c r="GP171" i="16"/>
  <c r="GP172" i="16" s="1"/>
  <c r="HK171" i="16" s="1"/>
  <c r="EA172" i="16"/>
  <c r="AR32" i="16"/>
  <c r="AQ32" i="16" s="1"/>
  <c r="DY58" i="16"/>
  <c r="CW59" i="16"/>
  <c r="BR74" i="16"/>
  <c r="DY129" i="16"/>
  <c r="EB129" i="16"/>
  <c r="DY198" i="16"/>
  <c r="AR299" i="16"/>
  <c r="AV311" i="16"/>
  <c r="GJ313" i="16" s="1"/>
  <c r="HS424" i="16"/>
  <c r="DP422" i="16"/>
  <c r="DP424" i="16" s="1"/>
  <c r="GA451" i="16"/>
  <c r="DS130" i="16"/>
  <c r="DO130" i="16"/>
  <c r="S130" i="16" s="1"/>
  <c r="EO367" i="16"/>
  <c r="ES367" i="16" s="1"/>
  <c r="FB367" i="16" s="1"/>
  <c r="DD367" i="16"/>
  <c r="EA114" i="16"/>
  <c r="DR157" i="16"/>
  <c r="AR30" i="16"/>
  <c r="AQ30" i="16" s="1"/>
  <c r="CX115" i="16"/>
  <c r="AD130" i="16"/>
  <c r="AC130" i="16" s="1"/>
  <c r="AR170" i="16"/>
  <c r="AQ170" i="16" s="1"/>
  <c r="AR201" i="16"/>
  <c r="BS212" i="16"/>
  <c r="DQ212" i="16"/>
  <c r="GK215" i="16"/>
  <c r="BT213" i="16"/>
  <c r="CX340" i="16"/>
  <c r="BQ396" i="16"/>
  <c r="AD412" i="16"/>
  <c r="DN451" i="16"/>
  <c r="D451" i="16" s="1"/>
  <c r="AD187" i="16"/>
  <c r="AR200" i="16"/>
  <c r="AQ200" i="16" s="1"/>
  <c r="AR258" i="16"/>
  <c r="AD341" i="16"/>
  <c r="BY366" i="16"/>
  <c r="CA366" i="16" s="1"/>
  <c r="BY367" i="16"/>
  <c r="BZ367" i="16" s="1"/>
  <c r="EA396" i="16"/>
  <c r="AD425" i="16"/>
  <c r="AD438" i="16"/>
  <c r="AC438" i="16" s="1"/>
  <c r="AR438" i="16"/>
  <c r="AQ438" i="16" s="1"/>
  <c r="AV464" i="16"/>
  <c r="T464" i="16" s="1"/>
  <c r="HT298" i="16"/>
  <c r="BQ171" i="16"/>
  <c r="AD212" i="16"/>
  <c r="AC212" i="16" s="1"/>
  <c r="AH213" i="16"/>
  <c r="E213" i="16" s="1"/>
  <c r="DI214" i="16"/>
  <c r="DJ214" i="16" s="1"/>
  <c r="BR255" i="16"/>
  <c r="AD257" i="16"/>
  <c r="AD270" i="16"/>
  <c r="AC270" i="16" s="1"/>
  <c r="BY311" i="16"/>
  <c r="BZ311" i="16" s="1"/>
  <c r="AR339" i="16"/>
  <c r="AQ339" i="16" s="1"/>
  <c r="AR341" i="16"/>
  <c r="AD353" i="16"/>
  <c r="AC353" i="16" s="1"/>
  <c r="AR354" i="16"/>
  <c r="AQ354" i="16" s="1"/>
  <c r="AD356" i="16"/>
  <c r="CH367" i="16"/>
  <c r="DI409" i="16"/>
  <c r="DJ409" i="16" s="1"/>
  <c r="CH143" i="16"/>
  <c r="CJ143" i="16" s="1"/>
  <c r="AD146" i="16"/>
  <c r="BO158" i="16"/>
  <c r="AR185" i="16"/>
  <c r="AQ185" i="16" s="1"/>
  <c r="AR187" i="16"/>
  <c r="AH227" i="16"/>
  <c r="GJ227" i="16" s="1"/>
  <c r="AR243" i="16"/>
  <c r="CH255" i="16"/>
  <c r="CI255" i="16" s="1"/>
  <c r="AV270" i="16"/>
  <c r="CT270" i="16" s="1"/>
  <c r="AH283" i="16"/>
  <c r="E283" i="16" s="1"/>
  <c r="AH296" i="16"/>
  <c r="E296" i="16" s="1"/>
  <c r="BY312" i="16"/>
  <c r="BZ312" i="16" s="1"/>
  <c r="AD314" i="16"/>
  <c r="BR326" i="16"/>
  <c r="AD338" i="16"/>
  <c r="AC338" i="16" s="1"/>
  <c r="EA340" i="16"/>
  <c r="AD352" i="16"/>
  <c r="AC352" i="16" s="1"/>
  <c r="DI367" i="16"/>
  <c r="DJ367" i="16" s="1"/>
  <c r="AD410" i="16"/>
  <c r="AC410" i="16" s="1"/>
  <c r="CH423" i="16"/>
  <c r="CJ423" i="16" s="1"/>
  <c r="BS424" i="16"/>
  <c r="DR438" i="16"/>
  <c r="HS410" i="16"/>
  <c r="AR130" i="16"/>
  <c r="AQ130" i="16" s="1"/>
  <c r="BQ199" i="16"/>
  <c r="CW214" i="16"/>
  <c r="FL226" i="16"/>
  <c r="BQ240" i="16"/>
  <c r="BQ256" i="16"/>
  <c r="AR325" i="16"/>
  <c r="AQ325" i="16" s="1"/>
  <c r="AR326" i="16"/>
  <c r="AQ326" i="16" s="1"/>
  <c r="DN353" i="16"/>
  <c r="D353" i="16" s="1"/>
  <c r="AR369" i="16"/>
  <c r="AR394" i="16"/>
  <c r="AQ394" i="16" s="1"/>
  <c r="DR396" i="16"/>
  <c r="DN409" i="16"/>
  <c r="D409" i="16" s="1"/>
  <c r="DI423" i="16"/>
  <c r="DJ423" i="16" s="1"/>
  <c r="EO424" i="16"/>
  <c r="EQ424" i="16" s="1"/>
  <c r="DR452" i="16"/>
  <c r="BN464" i="16"/>
  <c r="ET464" i="16"/>
  <c r="EU464" i="16" s="1"/>
  <c r="DI18" i="16"/>
  <c r="DJ18" i="16" s="1"/>
  <c r="DL18" i="16" s="1"/>
  <c r="DS18" i="16" s="1"/>
  <c r="BR30" i="16"/>
  <c r="EN30" i="16"/>
  <c r="ET30" i="16" s="1"/>
  <c r="EU30" i="16" s="1"/>
  <c r="BR16" i="13"/>
  <c r="CE32" i="16"/>
  <c r="CF32" i="16" s="1"/>
  <c r="CG32" i="16" s="1"/>
  <c r="CH32" i="16" s="1"/>
  <c r="CJ32" i="16" s="1"/>
  <c r="EA44" i="16"/>
  <c r="EC44" i="16" s="1"/>
  <c r="ED44" i="16" s="1"/>
  <c r="GH45" i="16"/>
  <c r="GH46" i="16" s="1"/>
  <c r="BR44" i="16"/>
  <c r="GI47" i="16"/>
  <c r="AB46" i="16"/>
  <c r="GP47" i="16"/>
  <c r="GP48" i="16" s="1"/>
  <c r="HK47" i="16" s="1"/>
  <c r="EB59" i="16"/>
  <c r="EN100" i="16"/>
  <c r="BN100" i="16"/>
  <c r="GH101" i="16"/>
  <c r="GH102" i="16" s="1"/>
  <c r="CX200" i="16"/>
  <c r="GO201" i="16"/>
  <c r="BR241" i="16"/>
  <c r="GM243" i="16"/>
  <c r="EA312" i="16"/>
  <c r="GP311" i="16"/>
  <c r="GP312" i="16" s="1"/>
  <c r="HK311" i="16" s="1"/>
  <c r="EN312" i="16"/>
  <c r="FA312" i="16" s="1"/>
  <c r="BQ324" i="16"/>
  <c r="GI325" i="16"/>
  <c r="BQ339" i="16"/>
  <c r="GM339" i="16"/>
  <c r="FI18" i="16"/>
  <c r="GP19" i="16"/>
  <c r="GP20" i="16" s="1"/>
  <c r="HK19" i="16" s="1"/>
  <c r="EA31" i="16"/>
  <c r="EC31" i="16" s="1"/>
  <c r="ED31" i="16" s="1"/>
  <c r="GL31" i="16"/>
  <c r="GL32" i="16" s="1"/>
  <c r="DI45" i="16"/>
  <c r="DJ45" i="16" s="1"/>
  <c r="FI45" i="16"/>
  <c r="FO45" i="16" s="1"/>
  <c r="FP45" i="16" s="1"/>
  <c r="BR46" i="16"/>
  <c r="GQ47" i="16"/>
  <c r="GG59" i="16"/>
  <c r="FI58" i="16"/>
  <c r="GH61" i="16"/>
  <c r="GH62" i="16" s="1"/>
  <c r="HI61" i="16" s="1"/>
  <c r="BT59" i="16"/>
  <c r="GK61" i="16"/>
  <c r="DI59" i="16"/>
  <c r="DJ59" i="16" s="1"/>
  <c r="BT60" i="16"/>
  <c r="GO61" i="16"/>
  <c r="BS72" i="16"/>
  <c r="EN88" i="16"/>
  <c r="GP87" i="16"/>
  <c r="GP88" i="16" s="1"/>
  <c r="HK87" i="16" s="1"/>
  <c r="AB88" i="16"/>
  <c r="GP89" i="16"/>
  <c r="GP90" i="16" s="1"/>
  <c r="HK89" i="16" s="1"/>
  <c r="BQ101" i="16"/>
  <c r="GM101" i="16"/>
  <c r="GO101" i="16"/>
  <c r="AB102" i="16"/>
  <c r="GP103" i="16"/>
  <c r="GP104" i="16" s="1"/>
  <c r="HK103" i="16" s="1"/>
  <c r="DY172" i="16"/>
  <c r="DI172" i="16"/>
  <c r="DJ172" i="16" s="1"/>
  <c r="EB172" i="16"/>
  <c r="BS200" i="16"/>
  <c r="GO199" i="16"/>
  <c r="B199" i="16"/>
  <c r="DC200" i="16"/>
  <c r="DN226" i="16"/>
  <c r="D226" i="16" s="1"/>
  <c r="BT228" i="16"/>
  <c r="GO229" i="16"/>
  <c r="EA310" i="16"/>
  <c r="GH311" i="16"/>
  <c r="GH312" i="16" s="1"/>
  <c r="HI311" i="16" s="1"/>
  <c r="BN310" i="16"/>
  <c r="BR310" i="16"/>
  <c r="GI313" i="16"/>
  <c r="GI103" i="16"/>
  <c r="FI31" i="16"/>
  <c r="FO31" i="16" s="1"/>
  <c r="FP31" i="16" s="1"/>
  <c r="GL33" i="16"/>
  <c r="GL34" i="16" s="1"/>
  <c r="BR18" i="16"/>
  <c r="GQ19" i="16"/>
  <c r="EA30" i="16"/>
  <c r="EC30" i="16" s="1"/>
  <c r="ED30" i="16" s="1"/>
  <c r="GH31" i="16"/>
  <c r="GH32" i="16" s="1"/>
  <c r="BQ31" i="16"/>
  <c r="GM31" i="16"/>
  <c r="BR31" i="16"/>
  <c r="AR33" i="16"/>
  <c r="AD34" i="16"/>
  <c r="CU44" i="16"/>
  <c r="CW45" i="16"/>
  <c r="BQ46" i="16"/>
  <c r="GQ45" i="16"/>
  <c r="AD47" i="16"/>
  <c r="EM58" i="16"/>
  <c r="GH59" i="16"/>
  <c r="GH60" i="16" s="1"/>
  <c r="BR58" i="16"/>
  <c r="GI61" i="16"/>
  <c r="GK59" i="16"/>
  <c r="FI59" i="16"/>
  <c r="FY59" i="16" s="1"/>
  <c r="GL61" i="16"/>
  <c r="GL62" i="16" s="1"/>
  <c r="BS60" i="16"/>
  <c r="GO59" i="16"/>
  <c r="AB60" i="16"/>
  <c r="GP61" i="16"/>
  <c r="GP62" i="16" s="1"/>
  <c r="HK61" i="16" s="1"/>
  <c r="AD62" i="16"/>
  <c r="GK73" i="16"/>
  <c r="GL75" i="16"/>
  <c r="GL76" i="16" s="1"/>
  <c r="HJ75" i="16" s="1"/>
  <c r="BO73" i="16"/>
  <c r="AD86" i="16"/>
  <c r="AC86" i="16" s="1"/>
  <c r="AR100" i="16"/>
  <c r="AQ100" i="16" s="1"/>
  <c r="AD114" i="16"/>
  <c r="AC114" i="16" s="1"/>
  <c r="DY116" i="16"/>
  <c r="DI116" i="16"/>
  <c r="DJ116" i="16" s="1"/>
  <c r="AB129" i="16"/>
  <c r="GL131" i="16"/>
  <c r="GL132" i="16" s="1"/>
  <c r="HJ131" i="16" s="1"/>
  <c r="AV129" i="16"/>
  <c r="GH227" i="16"/>
  <c r="GH228" i="16" s="1"/>
  <c r="HI227" i="16" s="1"/>
  <c r="DX226" i="16"/>
  <c r="GH229" i="16"/>
  <c r="GH230" i="16" s="1"/>
  <c r="HI229" i="16" s="1"/>
  <c r="AB226" i="16"/>
  <c r="BQ269" i="16"/>
  <c r="GM269" i="16"/>
  <c r="DC296" i="16"/>
  <c r="GG297" i="16"/>
  <c r="FI296" i="16"/>
  <c r="FV296" i="16" s="1"/>
  <c r="GH299" i="16"/>
  <c r="GH300" i="16" s="1"/>
  <c r="HI299" i="16" s="1"/>
  <c r="BO296" i="16"/>
  <c r="AB16" i="16"/>
  <c r="GH19" i="16"/>
  <c r="GH20" i="16" s="1"/>
  <c r="AR20" i="16"/>
  <c r="CW44" i="16"/>
  <c r="EM44" i="16"/>
  <c r="FF45" i="16"/>
  <c r="GK45" i="16"/>
  <c r="BT45" i="16"/>
  <c r="GK47" i="16"/>
  <c r="EA59" i="16"/>
  <c r="GL59" i="16"/>
  <c r="GL60" i="16" s="1"/>
  <c r="BR59" i="16"/>
  <c r="GM61" i="16"/>
  <c r="DX60" i="16"/>
  <c r="GP59" i="16"/>
  <c r="GP60" i="16" s="1"/>
  <c r="AD72" i="16"/>
  <c r="AC72" i="16" s="1"/>
  <c r="EA73" i="16"/>
  <c r="EC73" i="16" s="1"/>
  <c r="ED73" i="16" s="1"/>
  <c r="GL73" i="16"/>
  <c r="GL74" i="16" s="1"/>
  <c r="BN88" i="16"/>
  <c r="BP86" i="16" s="1"/>
  <c r="AD90" i="16"/>
  <c r="AD116" i="16"/>
  <c r="AC116" i="16" s="1"/>
  <c r="EN129" i="16"/>
  <c r="FD129" i="16" s="1"/>
  <c r="GL129" i="16"/>
  <c r="GL130" i="16" s="1"/>
  <c r="HJ129" i="16" s="1"/>
  <c r="DD142" i="16"/>
  <c r="GG143" i="16"/>
  <c r="DE142" i="16"/>
  <c r="AD157" i="16"/>
  <c r="AC157" i="16" s="1"/>
  <c r="DP254" i="16"/>
  <c r="DP256" i="16" s="1"/>
  <c r="GO283" i="16"/>
  <c r="DD284" i="16"/>
  <c r="DC284" i="16"/>
  <c r="FF284" i="16"/>
  <c r="FI284" i="16"/>
  <c r="FX284" i="16" s="1"/>
  <c r="GP285" i="16"/>
  <c r="GP286" i="16" s="1"/>
  <c r="HK285" i="16" s="1"/>
  <c r="FH284" i="16"/>
  <c r="AB284" i="16"/>
  <c r="EM312" i="16"/>
  <c r="EA45" i="16"/>
  <c r="EC45" i="16" s="1"/>
  <c r="ED45" i="16" s="1"/>
  <c r="GL45" i="16"/>
  <c r="GL46" i="16" s="1"/>
  <c r="HJ45" i="16" s="1"/>
  <c r="BQ59" i="16"/>
  <c r="BQ60" i="16"/>
  <c r="GQ59" i="16"/>
  <c r="BQ73" i="16"/>
  <c r="DY102" i="16"/>
  <c r="EB102" i="16"/>
  <c r="DI102" i="16"/>
  <c r="DJ102" i="16" s="1"/>
  <c r="FF128" i="16"/>
  <c r="GG129" i="16"/>
  <c r="FH128" i="16"/>
  <c r="GA311" i="16"/>
  <c r="GK313" i="16"/>
  <c r="FJ311" i="16"/>
  <c r="FL311" i="16" s="1"/>
  <c r="GK355" i="16"/>
  <c r="BT16" i="16"/>
  <c r="GG19" i="16"/>
  <c r="HK17" i="16"/>
  <c r="AD33" i="16"/>
  <c r="BR45" i="16"/>
  <c r="GM47" i="16"/>
  <c r="AD48" i="16"/>
  <c r="AR59" i="16"/>
  <c r="AQ59" i="16" s="1"/>
  <c r="AR60" i="16"/>
  <c r="AQ60" i="16" s="1"/>
  <c r="FJ72" i="16"/>
  <c r="FL72" i="16" s="1"/>
  <c r="GG75" i="16"/>
  <c r="BS74" i="16"/>
  <c r="GO73" i="16"/>
  <c r="DE74" i="16"/>
  <c r="FF74" i="16"/>
  <c r="BT74" i="16"/>
  <c r="GO75" i="16"/>
  <c r="CW170" i="16"/>
  <c r="CU170" i="16"/>
  <c r="DE184" i="16"/>
  <c r="GG185" i="16"/>
  <c r="FF184" i="16"/>
  <c r="DC184" i="16"/>
  <c r="GH187" i="16"/>
  <c r="GH188" i="16" s="1"/>
  <c r="HI187" i="16" s="1"/>
  <c r="FH184" i="16"/>
  <c r="AB184" i="16"/>
  <c r="BR16" i="16"/>
  <c r="GI19" i="16"/>
  <c r="BR32" i="16"/>
  <c r="GQ33" i="16"/>
  <c r="GG73" i="16"/>
  <c r="FI72" i="16"/>
  <c r="FY72" i="16" s="1"/>
  <c r="GH75" i="16"/>
  <c r="GH76" i="16" s="1"/>
  <c r="HI75" i="16" s="1"/>
  <c r="EN74" i="16"/>
  <c r="ET74" i="16" s="1"/>
  <c r="EU74" i="16" s="1"/>
  <c r="GP73" i="16"/>
  <c r="GP74" i="16" s="1"/>
  <c r="HK73" i="16" s="1"/>
  <c r="AB74" i="16"/>
  <c r="GP75" i="16"/>
  <c r="GP76" i="16" s="1"/>
  <c r="HK75" i="16" s="1"/>
  <c r="EA87" i="16"/>
  <c r="EC87" i="16" s="1"/>
  <c r="ED87" i="16" s="1"/>
  <c r="GL87" i="16"/>
  <c r="GL88" i="16" s="1"/>
  <c r="GM89" i="16"/>
  <c r="BR87" i="16"/>
  <c r="BQ128" i="16"/>
  <c r="GI129" i="16"/>
  <c r="BR130" i="16"/>
  <c r="GQ131" i="16"/>
  <c r="CH200" i="16"/>
  <c r="CI200" i="16" s="1"/>
  <c r="FI466" i="16"/>
  <c r="FX466" i="16" s="1"/>
  <c r="GP467" i="16"/>
  <c r="GP468" i="16" s="1"/>
  <c r="HK467" i="16" s="1"/>
  <c r="AV466" i="16"/>
  <c r="FH466" i="16"/>
  <c r="AB466" i="16"/>
  <c r="EN32" i="16"/>
  <c r="FC32" i="16" s="1"/>
  <c r="GP31" i="16"/>
  <c r="GP32" i="16" s="1"/>
  <c r="DI44" i="16"/>
  <c r="DJ44" i="16" s="1"/>
  <c r="BR17" i="16"/>
  <c r="GM19" i="16"/>
  <c r="CE30" i="16"/>
  <c r="CF30" i="16" s="1"/>
  <c r="CG30" i="16" s="1"/>
  <c r="CH30" i="16" s="1"/>
  <c r="CJ30" i="16" s="1"/>
  <c r="BQ32" i="16"/>
  <c r="GQ31" i="16"/>
  <c r="GG45" i="16"/>
  <c r="FI44" i="16"/>
  <c r="FU44" i="16" s="1"/>
  <c r="GH47" i="16"/>
  <c r="GH48" i="16" s="1"/>
  <c r="HI47" i="16" s="1"/>
  <c r="DY45" i="16"/>
  <c r="BT46" i="16"/>
  <c r="GO47" i="16"/>
  <c r="DI46" i="16"/>
  <c r="DJ46" i="16" s="1"/>
  <c r="EN58" i="16"/>
  <c r="ET58" i="16" s="1"/>
  <c r="EU58" i="16" s="1"/>
  <c r="EN72" i="16"/>
  <c r="EV72" i="16" s="1"/>
  <c r="GH73" i="16"/>
  <c r="GH74" i="16" s="1"/>
  <c r="HI73" i="16" s="1"/>
  <c r="BR72" i="16"/>
  <c r="GI75" i="16"/>
  <c r="EA86" i="16"/>
  <c r="GH87" i="16"/>
  <c r="GH88" i="16" s="1"/>
  <c r="HI87" i="16" s="1"/>
  <c r="EN86" i="16"/>
  <c r="EV86" i="16" s="1"/>
  <c r="BQ87" i="16"/>
  <c r="GM87" i="16"/>
  <c r="GK115" i="16"/>
  <c r="B114" i="16"/>
  <c r="DC115" i="16"/>
  <c r="BQ158" i="16"/>
  <c r="GQ157" i="16"/>
  <c r="DY185" i="16"/>
  <c r="BQ213" i="16"/>
  <c r="GM213" i="16"/>
  <c r="DR228" i="16"/>
  <c r="DN228" i="16"/>
  <c r="D228" i="16" s="1"/>
  <c r="DN296" i="16"/>
  <c r="D296" i="16" s="1"/>
  <c r="DP296" i="16"/>
  <c r="DQ297" i="16" s="1"/>
  <c r="GP313" i="16"/>
  <c r="GP314" i="16" s="1"/>
  <c r="HK313" i="16" s="1"/>
  <c r="FI312" i="16"/>
  <c r="FX312" i="16" s="1"/>
  <c r="FH312" i="16"/>
  <c r="BO312" i="16"/>
  <c r="DN380" i="16"/>
  <c r="D380" i="16" s="1"/>
  <c r="BQ74" i="16"/>
  <c r="GQ73" i="16"/>
  <c r="AR75" i="16"/>
  <c r="B87" i="16"/>
  <c r="CH88" i="16"/>
  <c r="CJ88" i="16" s="1"/>
  <c r="BR101" i="16"/>
  <c r="BT102" i="16"/>
  <c r="GO103" i="16"/>
  <c r="BR128" i="16"/>
  <c r="GI131" i="16"/>
  <c r="BQ129" i="16"/>
  <c r="GM129" i="16"/>
  <c r="BR129" i="16"/>
  <c r="GM131" i="16"/>
  <c r="AB130" i="16"/>
  <c r="BQ130" i="16"/>
  <c r="GQ129" i="16"/>
  <c r="BO130" i="16"/>
  <c r="DX142" i="16"/>
  <c r="GH143" i="16"/>
  <c r="GH144" i="16" s="1"/>
  <c r="HI143" i="16" s="1"/>
  <c r="AD144" i="16"/>
  <c r="AC144" i="16" s="1"/>
  <c r="CX144" i="16"/>
  <c r="AD156" i="16"/>
  <c r="AC156" i="16" s="1"/>
  <c r="CX157" i="16"/>
  <c r="DD170" i="16"/>
  <c r="GG171" i="16"/>
  <c r="FJ170" i="16"/>
  <c r="FL170" i="16" s="1"/>
  <c r="GG173" i="16"/>
  <c r="CW171" i="16"/>
  <c r="BR184" i="16"/>
  <c r="GI187" i="16"/>
  <c r="AD185" i="16"/>
  <c r="AC185" i="16" s="1"/>
  <c r="DI185" i="16"/>
  <c r="DJ185" i="16" s="1"/>
  <c r="BQ198" i="16"/>
  <c r="GI199" i="16"/>
  <c r="EN200" i="16"/>
  <c r="FD200" i="16" s="1"/>
  <c r="GP199" i="16"/>
  <c r="GP200" i="16" s="1"/>
  <c r="HK199" i="16" s="1"/>
  <c r="EA200" i="16"/>
  <c r="DO212" i="16"/>
  <c r="S212" i="16" s="1"/>
  <c r="AR213" i="16"/>
  <c r="AQ213" i="16" s="1"/>
  <c r="AH214" i="16"/>
  <c r="CS214" i="16" s="1"/>
  <c r="CX214" i="16"/>
  <c r="DO226" i="16"/>
  <c r="S226" i="16" s="1"/>
  <c r="EN228" i="16"/>
  <c r="FA228" i="16" s="1"/>
  <c r="GP227" i="16"/>
  <c r="GP228" i="16" s="1"/>
  <c r="HK227" i="16" s="1"/>
  <c r="FI228" i="16"/>
  <c r="FV228" i="16" s="1"/>
  <c r="GP229" i="16"/>
  <c r="GP230" i="16" s="1"/>
  <c r="HK229" i="16" s="1"/>
  <c r="EA228" i="16"/>
  <c r="BQ241" i="16"/>
  <c r="GM241" i="16"/>
  <c r="GA254" i="16"/>
  <c r="GG257" i="16"/>
  <c r="BT255" i="16"/>
  <c r="GK257" i="16"/>
  <c r="DI255" i="16"/>
  <c r="DJ255" i="16" s="1"/>
  <c r="BS270" i="16"/>
  <c r="GO269" i="16"/>
  <c r="FI270" i="16"/>
  <c r="FY270" i="16" s="1"/>
  <c r="GP271" i="16"/>
  <c r="GP272" i="16" s="1"/>
  <c r="HK271" i="16" s="1"/>
  <c r="DI270" i="16"/>
  <c r="DJ270" i="16" s="1"/>
  <c r="AD272" i="16"/>
  <c r="AR282" i="16"/>
  <c r="AQ282" i="16" s="1"/>
  <c r="DN283" i="16"/>
  <c r="D283" i="16" s="1"/>
  <c r="EN284" i="16"/>
  <c r="EZ284" i="16" s="1"/>
  <c r="GP283" i="16"/>
  <c r="GP284" i="16" s="1"/>
  <c r="HK283" i="16" s="1"/>
  <c r="DI284" i="16"/>
  <c r="DJ284" i="16" s="1"/>
  <c r="EB284" i="16"/>
  <c r="EC284" i="16" s="1"/>
  <c r="ED284" i="16" s="1"/>
  <c r="BN296" i="16"/>
  <c r="GH297" i="16"/>
  <c r="GH298" i="16" s="1"/>
  <c r="HI297" i="16" s="1"/>
  <c r="DQ296" i="16"/>
  <c r="GA298" i="16"/>
  <c r="GO299" i="16"/>
  <c r="BQ310" i="16"/>
  <c r="GI311" i="16"/>
  <c r="DD311" i="16"/>
  <c r="GK311" i="16"/>
  <c r="AB311" i="16"/>
  <c r="GL313" i="16"/>
  <c r="GL314" i="16" s="1"/>
  <c r="HJ313" i="16" s="1"/>
  <c r="BR312" i="16"/>
  <c r="GQ313" i="16"/>
  <c r="AR313" i="16"/>
  <c r="AR324" i="16"/>
  <c r="AQ324" i="16" s="1"/>
  <c r="FI325" i="16"/>
  <c r="FV325" i="16" s="1"/>
  <c r="GL327" i="16"/>
  <c r="GL328" i="16" s="1"/>
  <c r="HJ327" i="16" s="1"/>
  <c r="DO352" i="16"/>
  <c r="S352" i="16" s="1"/>
  <c r="BS353" i="16"/>
  <c r="GK353" i="16"/>
  <c r="FI353" i="16"/>
  <c r="FQ353" i="16" s="1"/>
  <c r="GL355" i="16"/>
  <c r="GL356" i="16" s="1"/>
  <c r="HJ355" i="16" s="1"/>
  <c r="AV353" i="16"/>
  <c r="GA380" i="16"/>
  <c r="GG383" i="16"/>
  <c r="FJ380" i="16"/>
  <c r="FL380" i="16" s="1"/>
  <c r="CH380" i="16"/>
  <c r="BT380" i="16"/>
  <c r="DO450" i="16"/>
  <c r="S450" i="16" s="1"/>
  <c r="EN466" i="16"/>
  <c r="EV466" i="16" s="1"/>
  <c r="GP465" i="16"/>
  <c r="GP466" i="16" s="1"/>
  <c r="HK465" i="16" s="1"/>
  <c r="BN466" i="16"/>
  <c r="BP464" i="16" s="1"/>
  <c r="EM466" i="16"/>
  <c r="GQ103" i="16"/>
  <c r="DN142" i="16"/>
  <c r="D142" i="16" s="1"/>
  <c r="DQ170" i="16"/>
  <c r="DQ174" i="16" s="1"/>
  <c r="FI171" i="16"/>
  <c r="FV171" i="16" s="1"/>
  <c r="GL173" i="16"/>
  <c r="GL174" i="16" s="1"/>
  <c r="HJ173" i="16" s="1"/>
  <c r="E185" i="16"/>
  <c r="DE199" i="16"/>
  <c r="GK199" i="16"/>
  <c r="FJ199" i="16"/>
  <c r="FL199" i="16" s="1"/>
  <c r="GK201" i="16"/>
  <c r="BR200" i="16"/>
  <c r="GQ201" i="16"/>
  <c r="EB200" i="16"/>
  <c r="FI227" i="16"/>
  <c r="FY227" i="16" s="1"/>
  <c r="GL229" i="16"/>
  <c r="GL230" i="16" s="1"/>
  <c r="HJ229" i="16" s="1"/>
  <c r="BQ228" i="16"/>
  <c r="GQ227" i="16"/>
  <c r="BR228" i="16"/>
  <c r="GQ229" i="16"/>
  <c r="FJ242" i="16"/>
  <c r="FL242" i="16" s="1"/>
  <c r="GO243" i="16"/>
  <c r="FI254" i="16"/>
  <c r="FO254" i="16" s="1"/>
  <c r="FP254" i="16" s="1"/>
  <c r="GH257" i="16"/>
  <c r="GH258" i="16" s="1"/>
  <c r="HI257" i="16" s="1"/>
  <c r="DC255" i="16"/>
  <c r="GK255" i="16"/>
  <c r="FI255" i="16"/>
  <c r="FQ255" i="16" s="1"/>
  <c r="GL257" i="16"/>
  <c r="GL258" i="16" s="1"/>
  <c r="HJ257" i="16" s="1"/>
  <c r="GA256" i="16"/>
  <c r="GO257" i="16"/>
  <c r="EN270" i="16"/>
  <c r="FC270" i="16" s="1"/>
  <c r="GP269" i="16"/>
  <c r="GP270" i="16" s="1"/>
  <c r="HK269" i="16" s="1"/>
  <c r="BR270" i="16"/>
  <c r="GQ271" i="16"/>
  <c r="FI283" i="16"/>
  <c r="FO283" i="16" s="1"/>
  <c r="FP283" i="16" s="1"/>
  <c r="GL285" i="16"/>
  <c r="GL286" i="16" s="1"/>
  <c r="HJ285" i="16" s="1"/>
  <c r="BQ284" i="16"/>
  <c r="GQ283" i="16"/>
  <c r="BQ296" i="16"/>
  <c r="GI297" i="16"/>
  <c r="AD297" i="16"/>
  <c r="AC297" i="16" s="1"/>
  <c r="BS298" i="16"/>
  <c r="GO297" i="16"/>
  <c r="FH298" i="16"/>
  <c r="GP299" i="16"/>
  <c r="GP300" i="16" s="1"/>
  <c r="HK299" i="16" s="1"/>
  <c r="DE298" i="16"/>
  <c r="BN311" i="16"/>
  <c r="GL311" i="16"/>
  <c r="GL312" i="16" s="1"/>
  <c r="HJ311" i="16" s="1"/>
  <c r="BR311" i="16"/>
  <c r="GM313" i="16"/>
  <c r="BQ325" i="16"/>
  <c r="GM325" i="16"/>
  <c r="BS352" i="16"/>
  <c r="GG353" i="16"/>
  <c r="BO352" i="16"/>
  <c r="GH355" i="16"/>
  <c r="GH356" i="16" s="1"/>
  <c r="HI355" i="16" s="1"/>
  <c r="EA353" i="16"/>
  <c r="EC353" i="16" s="1"/>
  <c r="ED353" i="16" s="1"/>
  <c r="GL353" i="16"/>
  <c r="GL354" i="16" s="1"/>
  <c r="HJ353" i="16" s="1"/>
  <c r="DX353" i="16"/>
  <c r="BR381" i="16"/>
  <c r="GM383" i="16"/>
  <c r="GH89" i="16"/>
  <c r="GH90" i="16" s="1"/>
  <c r="HI89" i="16" s="1"/>
  <c r="AD87" i="16"/>
  <c r="AC87" i="16" s="1"/>
  <c r="CW100" i="16"/>
  <c r="FJ100" i="16"/>
  <c r="FL100" i="16" s="1"/>
  <c r="GG103" i="16"/>
  <c r="DI101" i="16"/>
  <c r="DJ101" i="16" s="1"/>
  <c r="FH101" i="16"/>
  <c r="AH114" i="16"/>
  <c r="GF115" i="16" s="1"/>
  <c r="EA115" i="16"/>
  <c r="EC115" i="16" s="1"/>
  <c r="ED115" i="16" s="1"/>
  <c r="GL115" i="16"/>
  <c r="GL116" i="16" s="1"/>
  <c r="HJ115" i="16" s="1"/>
  <c r="BR115" i="16"/>
  <c r="GM117" i="16"/>
  <c r="BT116" i="16"/>
  <c r="GO117" i="16"/>
  <c r="AR128" i="16"/>
  <c r="AQ128" i="16" s="1"/>
  <c r="CH128" i="16"/>
  <c r="CI128" i="16" s="1"/>
  <c r="AD129" i="16"/>
  <c r="AC129" i="16" s="1"/>
  <c r="DI130" i="16"/>
  <c r="DJ130" i="16" s="1"/>
  <c r="B142" i="16"/>
  <c r="BT142" i="16"/>
  <c r="DO142" i="16"/>
  <c r="S142" i="16" s="1"/>
  <c r="DX143" i="16"/>
  <c r="DI144" i="16"/>
  <c r="DJ144" i="16" s="1"/>
  <c r="BR170" i="16"/>
  <c r="GI173" i="16"/>
  <c r="DO170" i="16"/>
  <c r="S170" i="16" s="1"/>
  <c r="EN171" i="16"/>
  <c r="GL171" i="16"/>
  <c r="GL172" i="16" s="1"/>
  <c r="HJ171" i="16" s="1"/>
  <c r="BT185" i="16"/>
  <c r="GK187" i="16"/>
  <c r="AR198" i="16"/>
  <c r="AQ198" i="16" s="1"/>
  <c r="EM199" i="16"/>
  <c r="GL199" i="16"/>
  <c r="GL200" i="16" s="1"/>
  <c r="HJ199" i="16" s="1"/>
  <c r="FI199" i="16"/>
  <c r="FX199" i="16" s="1"/>
  <c r="GL201" i="16"/>
  <c r="GL202" i="16" s="1"/>
  <c r="HJ201" i="16" s="1"/>
  <c r="BN200" i="16"/>
  <c r="BP198" i="16" s="1"/>
  <c r="FJ212" i="16"/>
  <c r="FL212" i="16" s="1"/>
  <c r="GG215" i="16"/>
  <c r="DS213" i="16"/>
  <c r="FJ213" i="16"/>
  <c r="FI214" i="16"/>
  <c r="FU214" i="16" s="1"/>
  <c r="GP215" i="16"/>
  <c r="GP216" i="16" s="1"/>
  <c r="HK215" i="16" s="1"/>
  <c r="AR216" i="16"/>
  <c r="EA227" i="16"/>
  <c r="GL227" i="16"/>
  <c r="GL228" i="16" s="1"/>
  <c r="HJ227" i="16" s="1"/>
  <c r="BR227" i="16"/>
  <c r="GM229" i="16"/>
  <c r="AB228" i="16"/>
  <c r="BO228" i="16"/>
  <c r="FJ240" i="16"/>
  <c r="FL240" i="16" s="1"/>
  <c r="GG243" i="16"/>
  <c r="AR241" i="16"/>
  <c r="AQ241" i="16" s="1"/>
  <c r="FH242" i="16"/>
  <c r="GP243" i="16"/>
  <c r="GP244" i="16" s="1"/>
  <c r="HK243" i="16" s="1"/>
  <c r="EN254" i="16"/>
  <c r="FC254" i="16" s="1"/>
  <c r="GH255" i="16"/>
  <c r="GH256" i="16" s="1"/>
  <c r="HI255" i="16" s="1"/>
  <c r="BR254" i="16"/>
  <c r="GI257" i="16"/>
  <c r="EN255" i="16"/>
  <c r="GL255" i="16"/>
  <c r="GL256" i="16" s="1"/>
  <c r="HJ255" i="16" s="1"/>
  <c r="DP268" i="16"/>
  <c r="DQ269" i="16" s="1"/>
  <c r="BQ270" i="16"/>
  <c r="GQ269" i="16"/>
  <c r="BO270" i="16"/>
  <c r="BR283" i="16"/>
  <c r="GM285" i="16"/>
  <c r="EN298" i="16"/>
  <c r="GP297" i="16"/>
  <c r="GP298" i="16" s="1"/>
  <c r="HK297" i="16" s="1"/>
  <c r="BR298" i="16"/>
  <c r="GQ299" i="16"/>
  <c r="AD300" i="16"/>
  <c r="BQ311" i="16"/>
  <c r="GM311" i="16"/>
  <c r="AD312" i="16"/>
  <c r="AC312" i="16" s="1"/>
  <c r="BQ312" i="16"/>
  <c r="BR325" i="16"/>
  <c r="BQ340" i="16"/>
  <c r="GQ339" i="16"/>
  <c r="DX352" i="16"/>
  <c r="GH353" i="16"/>
  <c r="GH354" i="16" s="1"/>
  <c r="HI353" i="16" s="1"/>
  <c r="AH352" i="16"/>
  <c r="GF353" i="16" s="1"/>
  <c r="BR352" i="16"/>
  <c r="GI355" i="16"/>
  <c r="DS368" i="16"/>
  <c r="DO368" i="16"/>
  <c r="S368" i="16" s="1"/>
  <c r="BR380" i="16"/>
  <c r="GI383" i="16"/>
  <c r="DO464" i="16"/>
  <c r="S464" i="16" s="1"/>
  <c r="BS88" i="16"/>
  <c r="GO87" i="16"/>
  <c r="BT88" i="16"/>
  <c r="GO89" i="16"/>
  <c r="GG101" i="16"/>
  <c r="FI100" i="16"/>
  <c r="FX100" i="16" s="1"/>
  <c r="GH103" i="16"/>
  <c r="GH104" i="16" s="1"/>
  <c r="HI103" i="16" s="1"/>
  <c r="BQ102" i="16"/>
  <c r="GQ101" i="16"/>
  <c r="DE114" i="16"/>
  <c r="GG115" i="16"/>
  <c r="FI114" i="16"/>
  <c r="GH117" i="16"/>
  <c r="GH118" i="16" s="1"/>
  <c r="HI117" i="16" s="1"/>
  <c r="FJ114" i="16"/>
  <c r="FL114" i="16" s="1"/>
  <c r="BQ115" i="16"/>
  <c r="GM115" i="16"/>
  <c r="AB116" i="16"/>
  <c r="GP117" i="16"/>
  <c r="GP118" i="16" s="1"/>
  <c r="HK117" i="16" s="1"/>
  <c r="DQ142" i="16"/>
  <c r="DQ144" i="16" s="1"/>
  <c r="B157" i="16"/>
  <c r="EA157" i="16"/>
  <c r="GL157" i="16"/>
  <c r="GL158" i="16" s="1"/>
  <c r="HJ157" i="16" s="1"/>
  <c r="BR157" i="16"/>
  <c r="GM159" i="16"/>
  <c r="AD160" i="16"/>
  <c r="BN171" i="16"/>
  <c r="AB172" i="16"/>
  <c r="GP173" i="16"/>
  <c r="GP174" i="16" s="1"/>
  <c r="HK173" i="16" s="1"/>
  <c r="AD184" i="16"/>
  <c r="AC184" i="16" s="1"/>
  <c r="BS185" i="16"/>
  <c r="GK185" i="16"/>
  <c r="AB185" i="16"/>
  <c r="GL187" i="16"/>
  <c r="GL188" i="16" s="1"/>
  <c r="HJ187" i="16" s="1"/>
  <c r="GA186" i="16"/>
  <c r="BR199" i="16"/>
  <c r="GM201" i="16"/>
  <c r="DO199" i="16"/>
  <c r="S199" i="16" s="1"/>
  <c r="BQ200" i="16"/>
  <c r="DE212" i="16"/>
  <c r="GG213" i="16"/>
  <c r="FI212" i="16"/>
  <c r="FU212" i="16" s="1"/>
  <c r="GH215" i="16"/>
  <c r="GH216" i="16" s="1"/>
  <c r="HI215" i="16" s="1"/>
  <c r="FH212" i="16"/>
  <c r="EA214" i="16"/>
  <c r="GP213" i="16"/>
  <c r="GP214" i="16" s="1"/>
  <c r="HK213" i="16" s="1"/>
  <c r="BR214" i="16"/>
  <c r="GQ215" i="16"/>
  <c r="DS214" i="16"/>
  <c r="AD215" i="16"/>
  <c r="BQ227" i="16"/>
  <c r="AR228" i="16"/>
  <c r="AQ228" i="16" s="1"/>
  <c r="DP240" i="16"/>
  <c r="FJ241" i="16"/>
  <c r="FL241" i="16" s="1"/>
  <c r="EN242" i="16"/>
  <c r="FC242" i="16" s="1"/>
  <c r="GP241" i="16"/>
  <c r="GP242" i="16" s="1"/>
  <c r="HK241" i="16" s="1"/>
  <c r="BR242" i="16"/>
  <c r="GQ243" i="16"/>
  <c r="AD243" i="16"/>
  <c r="BQ254" i="16"/>
  <c r="GI255" i="16"/>
  <c r="BQ255" i="16"/>
  <c r="GM255" i="16"/>
  <c r="BN255" i="16"/>
  <c r="FJ255" i="16"/>
  <c r="FN255" i="16" s="1"/>
  <c r="BR256" i="16"/>
  <c r="GQ257" i="16"/>
  <c r="DQ268" i="16"/>
  <c r="DP271" i="16" s="1"/>
  <c r="AB270" i="16"/>
  <c r="DS270" i="16"/>
  <c r="FJ282" i="16"/>
  <c r="FN282" i="16" s="1"/>
  <c r="FW282" i="16" s="1"/>
  <c r="GG285" i="16"/>
  <c r="DI282" i="16"/>
  <c r="DJ282" i="16" s="1"/>
  <c r="GA282" i="16"/>
  <c r="BQ283" i="16"/>
  <c r="GM283" i="16"/>
  <c r="AD284" i="16"/>
  <c r="AC284" i="16" s="1"/>
  <c r="BY284" i="16"/>
  <c r="CA284" i="16" s="1"/>
  <c r="DN284" i="16"/>
  <c r="D284" i="16" s="1"/>
  <c r="DR297" i="16"/>
  <c r="BQ298" i="16"/>
  <c r="GQ297" i="16"/>
  <c r="BN298" i="16"/>
  <c r="BP296" i="16" s="1"/>
  <c r="CH310" i="16"/>
  <c r="CJ310" i="16" s="1"/>
  <c r="B311" i="16"/>
  <c r="CW326" i="16"/>
  <c r="DP338" i="16"/>
  <c r="DP342" i="16" s="1"/>
  <c r="AB353" i="16"/>
  <c r="BQ382" i="16"/>
  <c r="GQ381" i="16"/>
  <c r="DY394" i="16"/>
  <c r="EB394" i="16"/>
  <c r="DI394" i="16"/>
  <c r="DJ394" i="16" s="1"/>
  <c r="DS396" i="16"/>
  <c r="DO396" i="16"/>
  <c r="S396" i="16" s="1"/>
  <c r="DO408" i="16"/>
  <c r="S408" i="16" s="1"/>
  <c r="DQ408" i="16"/>
  <c r="DQ410" i="16" s="1"/>
  <c r="EN114" i="16"/>
  <c r="EZ114" i="16" s="1"/>
  <c r="GH115" i="16"/>
  <c r="GH116" i="16" s="1"/>
  <c r="HI115" i="16" s="1"/>
  <c r="BR114" i="16"/>
  <c r="GI117" i="16"/>
  <c r="EO143" i="16"/>
  <c r="EQ143" i="16" s="1"/>
  <c r="GK143" i="16"/>
  <c r="FI143" i="16"/>
  <c r="FU143" i="16" s="1"/>
  <c r="GL145" i="16"/>
  <c r="GL146" i="16" s="1"/>
  <c r="HJ145" i="16" s="1"/>
  <c r="BO144" i="16"/>
  <c r="GP145" i="16"/>
  <c r="GP146" i="16" s="1"/>
  <c r="HK145" i="16" s="1"/>
  <c r="GA156" i="16"/>
  <c r="GG159" i="16"/>
  <c r="BQ157" i="16"/>
  <c r="GM157" i="16"/>
  <c r="FJ158" i="16"/>
  <c r="FL158" i="16" s="1"/>
  <c r="GO159" i="16"/>
  <c r="BR172" i="16"/>
  <c r="GQ173" i="16"/>
  <c r="BN185" i="16"/>
  <c r="GL185" i="16"/>
  <c r="GL186" i="16" s="1"/>
  <c r="HJ185" i="16" s="1"/>
  <c r="DE186" i="16"/>
  <c r="GO185" i="16"/>
  <c r="FI186" i="16"/>
  <c r="FU186" i="16" s="1"/>
  <c r="GP187" i="16"/>
  <c r="GP188" i="16" s="1"/>
  <c r="HK187" i="16" s="1"/>
  <c r="BY200" i="16"/>
  <c r="CA200" i="16" s="1"/>
  <c r="EM212" i="16"/>
  <c r="GH213" i="16"/>
  <c r="GH214" i="16" s="1"/>
  <c r="HI213" i="16" s="1"/>
  <c r="BQ214" i="16"/>
  <c r="GQ213" i="16"/>
  <c r="EM240" i="16"/>
  <c r="GH241" i="16"/>
  <c r="GH242" i="16" s="1"/>
  <c r="HI241" i="16" s="1"/>
  <c r="BR240" i="16"/>
  <c r="GI243" i="16"/>
  <c r="BR268" i="16"/>
  <c r="GI271" i="16"/>
  <c r="FJ269" i="16"/>
  <c r="FN269" i="16" s="1"/>
  <c r="FW269" i="16" s="1"/>
  <c r="GK271" i="16"/>
  <c r="DC282" i="16"/>
  <c r="GG283" i="16"/>
  <c r="AB283" i="16"/>
  <c r="EN297" i="16"/>
  <c r="FC297" i="16" s="1"/>
  <c r="GL297" i="16"/>
  <c r="GL298" i="16" s="1"/>
  <c r="HJ297" i="16" s="1"/>
  <c r="FJ338" i="16"/>
  <c r="FL338" i="16" s="1"/>
  <c r="GG341" i="16"/>
  <c r="DQ338" i="16"/>
  <c r="DQ342" i="16" s="1"/>
  <c r="BR354" i="16"/>
  <c r="GQ355" i="16"/>
  <c r="GO367" i="16"/>
  <c r="FF368" i="16"/>
  <c r="FF408" i="16"/>
  <c r="GG409" i="16"/>
  <c r="AV408" i="16"/>
  <c r="GF411" i="16" s="1"/>
  <c r="GH411" i="16"/>
  <c r="GH412" i="16" s="1"/>
  <c r="HI411" i="16" s="1"/>
  <c r="EN436" i="16"/>
  <c r="FD436" i="16" s="1"/>
  <c r="FF465" i="16"/>
  <c r="GK465" i="16"/>
  <c r="DD465" i="16"/>
  <c r="B465" i="16"/>
  <c r="GL467" i="16"/>
  <c r="GL468" i="16" s="1"/>
  <c r="HJ467" i="16" s="1"/>
  <c r="BO465" i="16"/>
  <c r="GM75" i="16"/>
  <c r="GM187" i="16"/>
  <c r="CX74" i="16"/>
  <c r="FF87" i="16"/>
  <c r="GK87" i="16"/>
  <c r="BQ88" i="16"/>
  <c r="GQ87" i="16"/>
  <c r="BR88" i="16"/>
  <c r="GQ89" i="16"/>
  <c r="EO100" i="16"/>
  <c r="EQ100" i="16" s="1"/>
  <c r="GK101" i="16"/>
  <c r="AR102" i="16"/>
  <c r="AQ102" i="16" s="1"/>
  <c r="BN114" i="16"/>
  <c r="DN114" i="16"/>
  <c r="D114" i="16" s="1"/>
  <c r="BQ116" i="16"/>
  <c r="GQ115" i="16"/>
  <c r="BR116" i="16"/>
  <c r="AD117" i="16"/>
  <c r="CX128" i="16"/>
  <c r="DQ128" i="16"/>
  <c r="DQ130" i="16" s="1"/>
  <c r="AR132" i="16"/>
  <c r="CW142" i="16"/>
  <c r="EN143" i="16"/>
  <c r="EZ143" i="16" s="1"/>
  <c r="GL143" i="16"/>
  <c r="GL144" i="16" s="1"/>
  <c r="HJ143" i="16" s="1"/>
  <c r="FJ143" i="16"/>
  <c r="FL143" i="16" s="1"/>
  <c r="BR144" i="16"/>
  <c r="GQ145" i="16"/>
  <c r="AR157" i="16"/>
  <c r="AQ157" i="16" s="1"/>
  <c r="DC157" i="16"/>
  <c r="EO157" i="16"/>
  <c r="EQ157" i="16" s="1"/>
  <c r="DE158" i="16"/>
  <c r="GO157" i="16"/>
  <c r="FI158" i="16"/>
  <c r="FX158" i="16" s="1"/>
  <c r="GP159" i="16"/>
  <c r="GP160" i="16" s="1"/>
  <c r="HK159" i="16" s="1"/>
  <c r="AD171" i="16"/>
  <c r="AC171" i="16" s="1"/>
  <c r="BR171" i="16"/>
  <c r="BQ172" i="16"/>
  <c r="GQ171" i="16"/>
  <c r="BQ185" i="16"/>
  <c r="GM185" i="16"/>
  <c r="BR186" i="16"/>
  <c r="GQ187" i="16"/>
  <c r="AR188" i="16"/>
  <c r="CW198" i="16"/>
  <c r="AD199" i="16"/>
  <c r="AC199" i="16" s="1"/>
  <c r="BT199" i="16"/>
  <c r="BQ212" i="16"/>
  <c r="GI213" i="16"/>
  <c r="BO212" i="16"/>
  <c r="DP212" i="16"/>
  <c r="DP214" i="16" s="1"/>
  <c r="DC213" i="16"/>
  <c r="GK213" i="16"/>
  <c r="FH213" i="16"/>
  <c r="GL215" i="16"/>
  <c r="GL216" i="16" s="1"/>
  <c r="HJ215" i="16" s="1"/>
  <c r="BT214" i="16"/>
  <c r="AR227" i="16"/>
  <c r="AQ227" i="16" s="1"/>
  <c r="AD228" i="16"/>
  <c r="AC228" i="16" s="1"/>
  <c r="AV228" i="16"/>
  <c r="CT228" i="16" s="1"/>
  <c r="DX240" i="16"/>
  <c r="AB242" i="16"/>
  <c r="BQ242" i="16"/>
  <c r="BS255" i="16"/>
  <c r="AD258" i="16"/>
  <c r="BQ268" i="16"/>
  <c r="GI269" i="16"/>
  <c r="CW269" i="16"/>
  <c r="GK269" i="16"/>
  <c r="FH269" i="16"/>
  <c r="GL271" i="16"/>
  <c r="GL272" i="16" s="1"/>
  <c r="HJ271" i="16" s="1"/>
  <c r="DD270" i="16"/>
  <c r="EA282" i="16"/>
  <c r="EC282" i="16" s="1"/>
  <c r="ED282" i="16" s="1"/>
  <c r="GH283" i="16"/>
  <c r="GH284" i="16" s="1"/>
  <c r="HI283" i="16" s="1"/>
  <c r="DO282" i="16"/>
  <c r="S282" i="16" s="1"/>
  <c r="AR283" i="16"/>
  <c r="AQ283" i="16" s="1"/>
  <c r="DI283" i="16"/>
  <c r="DJ283" i="16" s="1"/>
  <c r="EB283" i="16"/>
  <c r="AV284" i="16"/>
  <c r="GN285" i="16" s="1"/>
  <c r="BQ297" i="16"/>
  <c r="GM297" i="16"/>
  <c r="BR297" i="16"/>
  <c r="DE311" i="16"/>
  <c r="CW312" i="16"/>
  <c r="BY324" i="16"/>
  <c r="CA324" i="16" s="1"/>
  <c r="GG325" i="16"/>
  <c r="FH324" i="16"/>
  <c r="GH327" i="16"/>
  <c r="GH328" i="16" s="1"/>
  <c r="HI327" i="16" s="1"/>
  <c r="DP324" i="16"/>
  <c r="DQ327" i="16" s="1"/>
  <c r="AV325" i="16"/>
  <c r="EN325" i="16"/>
  <c r="FA325" i="16" s="1"/>
  <c r="EN326" i="16"/>
  <c r="FD326" i="16" s="1"/>
  <c r="GP325" i="16"/>
  <c r="GP326" i="16" s="1"/>
  <c r="HK325" i="16" s="1"/>
  <c r="FF338" i="16"/>
  <c r="GG339" i="16"/>
  <c r="FI338" i="16"/>
  <c r="GH341" i="16"/>
  <c r="GH342" i="16" s="1"/>
  <c r="HI341" i="16" s="1"/>
  <c r="BY339" i="16"/>
  <c r="CA339" i="16" s="1"/>
  <c r="GK339" i="16"/>
  <c r="FH339" i="16"/>
  <c r="GL341" i="16"/>
  <c r="GL342" i="16" s="1"/>
  <c r="HJ341" i="16" s="1"/>
  <c r="BQ354" i="16"/>
  <c r="FI367" i="16"/>
  <c r="FX367" i="16" s="1"/>
  <c r="GL369" i="16"/>
  <c r="GL370" i="16" s="1"/>
  <c r="HJ369" i="16" s="1"/>
  <c r="AV367" i="16"/>
  <c r="CT367" i="16" s="1"/>
  <c r="CW395" i="16"/>
  <c r="GP101" i="16"/>
  <c r="GP102" i="16" s="1"/>
  <c r="EA101" i="16"/>
  <c r="GL101" i="16"/>
  <c r="GL102" i="16" s="1"/>
  <c r="HJ101" i="16" s="1"/>
  <c r="AR103" i="16"/>
  <c r="AR114" i="16"/>
  <c r="AQ114" i="16" s="1"/>
  <c r="DO114" i="16"/>
  <c r="S114" i="16" s="1"/>
  <c r="CW128" i="16"/>
  <c r="GA128" i="16"/>
  <c r="GG131" i="16"/>
  <c r="BS129" i="16"/>
  <c r="GK129" i="16"/>
  <c r="BT129" i="16"/>
  <c r="GK131" i="16"/>
  <c r="DE130" i="16"/>
  <c r="GO129" i="16"/>
  <c r="AD131" i="16"/>
  <c r="BQ143" i="16"/>
  <c r="GM143" i="16"/>
  <c r="BQ144" i="16"/>
  <c r="GQ143" i="16"/>
  <c r="BR156" i="16"/>
  <c r="GI159" i="16"/>
  <c r="BN158" i="16"/>
  <c r="BP156" i="16" s="1"/>
  <c r="GP157" i="16"/>
  <c r="GP158" i="16" s="1"/>
  <c r="HK157" i="16" s="1"/>
  <c r="BR158" i="16"/>
  <c r="GQ159" i="16"/>
  <c r="CW184" i="16"/>
  <c r="DI184" i="16"/>
  <c r="DJ184" i="16" s="1"/>
  <c r="AB186" i="16"/>
  <c r="BQ186" i="16"/>
  <c r="GQ185" i="16"/>
  <c r="BO186" i="16"/>
  <c r="EO198" i="16"/>
  <c r="EQ198" i="16" s="1"/>
  <c r="GG199" i="16"/>
  <c r="BO198" i="16"/>
  <c r="GH201" i="16"/>
  <c r="GH202" i="16" s="1"/>
  <c r="HI201" i="16" s="1"/>
  <c r="EA213" i="16"/>
  <c r="GL213" i="16"/>
  <c r="GL214" i="16" s="1"/>
  <c r="HJ213" i="16" s="1"/>
  <c r="BR213" i="16"/>
  <c r="GM215" i="16"/>
  <c r="DE226" i="16"/>
  <c r="GG227" i="16"/>
  <c r="CX226" i="16"/>
  <c r="GG229" i="16"/>
  <c r="AD227" i="16"/>
  <c r="AC227" i="16" s="1"/>
  <c r="FH227" i="16"/>
  <c r="DI228" i="16"/>
  <c r="DJ228" i="16" s="1"/>
  <c r="EB240" i="16"/>
  <c r="FF241" i="16"/>
  <c r="GK241" i="16"/>
  <c r="FH241" i="16"/>
  <c r="GL243" i="16"/>
  <c r="GL244" i="16" s="1"/>
  <c r="HJ243" i="16" s="1"/>
  <c r="AR242" i="16"/>
  <c r="AQ242" i="16" s="1"/>
  <c r="BR269" i="16"/>
  <c r="GM271" i="16"/>
  <c r="BQ282" i="16"/>
  <c r="GI283" i="16"/>
  <c r="AD283" i="16"/>
  <c r="AC283" i="16" s="1"/>
  <c r="GA296" i="16"/>
  <c r="GG299" i="16"/>
  <c r="AR297" i="16"/>
  <c r="AQ297" i="16" s="1"/>
  <c r="BO310" i="16"/>
  <c r="GH313" i="16"/>
  <c r="GH314" i="16" s="1"/>
  <c r="HI313" i="16" s="1"/>
  <c r="DQ310" i="16"/>
  <c r="DP313" i="16" s="1"/>
  <c r="FF312" i="16"/>
  <c r="GO311" i="16"/>
  <c r="GA312" i="16"/>
  <c r="GO313" i="16"/>
  <c r="EM324" i="16"/>
  <c r="GH325" i="16"/>
  <c r="GH326" i="16" s="1"/>
  <c r="HI325" i="16" s="1"/>
  <c r="BQ326" i="16"/>
  <c r="GQ325" i="16"/>
  <c r="AR327" i="16"/>
  <c r="EN338" i="16"/>
  <c r="ET338" i="16" s="1"/>
  <c r="EU338" i="16" s="1"/>
  <c r="GH339" i="16"/>
  <c r="GH340" i="16" s="1"/>
  <c r="HI339" i="16" s="1"/>
  <c r="BR338" i="16"/>
  <c r="GI341" i="16"/>
  <c r="DX367" i="16"/>
  <c r="GL367" i="16"/>
  <c r="GL368" i="16" s="1"/>
  <c r="HJ367" i="16" s="1"/>
  <c r="AH367" i="16"/>
  <c r="CS367" i="16" s="1"/>
  <c r="BQ368" i="16"/>
  <c r="GQ367" i="16"/>
  <c r="BY395" i="16"/>
  <c r="BZ395" i="16" s="1"/>
  <c r="GK395" i="16"/>
  <c r="B394" i="16"/>
  <c r="BS395" i="16"/>
  <c r="FH395" i="16"/>
  <c r="GL397" i="16"/>
  <c r="GL398" i="16" s="1"/>
  <c r="HJ397" i="16" s="1"/>
  <c r="BR436" i="16"/>
  <c r="GI439" i="16"/>
  <c r="CX451" i="16"/>
  <c r="CV451" i="16"/>
  <c r="GA340" i="16"/>
  <c r="GO341" i="16"/>
  <c r="CX354" i="16"/>
  <c r="BS366" i="16"/>
  <c r="GG367" i="16"/>
  <c r="BR367" i="16"/>
  <c r="GM369" i="16"/>
  <c r="BY382" i="16"/>
  <c r="BZ382" i="16" s="1"/>
  <c r="CW394" i="16"/>
  <c r="GA394" i="16"/>
  <c r="GG397" i="16"/>
  <c r="EM395" i="16"/>
  <c r="GL395" i="16"/>
  <c r="GL396" i="16" s="1"/>
  <c r="HJ395" i="16" s="1"/>
  <c r="BR395" i="16"/>
  <c r="GM397" i="16"/>
  <c r="AV396" i="16"/>
  <c r="CT396" i="16" s="1"/>
  <c r="EB396" i="16"/>
  <c r="AR397" i="16"/>
  <c r="EN408" i="16"/>
  <c r="FA408" i="16" s="1"/>
  <c r="GH409" i="16"/>
  <c r="GH410" i="16" s="1"/>
  <c r="HI409" i="16" s="1"/>
  <c r="BR408" i="16"/>
  <c r="GI411" i="16"/>
  <c r="DN408" i="16"/>
  <c r="D408" i="16" s="1"/>
  <c r="AD423" i="16"/>
  <c r="AC423" i="16" s="1"/>
  <c r="BQ436" i="16"/>
  <c r="EO436" i="16"/>
  <c r="EQ436" i="16" s="1"/>
  <c r="GA437" i="16"/>
  <c r="GK439" i="16"/>
  <c r="DE450" i="16"/>
  <c r="GG451" i="16"/>
  <c r="AV450" i="16"/>
  <c r="GF453" i="16" s="1"/>
  <c r="GH453" i="16"/>
  <c r="GH454" i="16" s="1"/>
  <c r="HI453" i="16" s="1"/>
  <c r="FJ451" i="16"/>
  <c r="FL451" i="16" s="1"/>
  <c r="GK453" i="16"/>
  <c r="EO451" i="16"/>
  <c r="EQ451" i="16" s="1"/>
  <c r="GA452" i="16"/>
  <c r="GO453" i="16"/>
  <c r="DN464" i="16"/>
  <c r="D464" i="16" s="1"/>
  <c r="EA465" i="16"/>
  <c r="EC465" i="16" s="1"/>
  <c r="ED465" i="16" s="1"/>
  <c r="GL465" i="16"/>
  <c r="GL466" i="16" s="1"/>
  <c r="HJ465" i="16" s="1"/>
  <c r="BQ466" i="16"/>
  <c r="GQ465" i="16"/>
  <c r="BR466" i="16"/>
  <c r="GQ467" i="16"/>
  <c r="GO411" i="16"/>
  <c r="FF340" i="16"/>
  <c r="GO339" i="16"/>
  <c r="FI340" i="16"/>
  <c r="FO340" i="16" s="1"/>
  <c r="FP340" i="16" s="1"/>
  <c r="GP341" i="16"/>
  <c r="GP342" i="16" s="1"/>
  <c r="HK341" i="16" s="1"/>
  <c r="AR342" i="16"/>
  <c r="DD354" i="16"/>
  <c r="GO353" i="16"/>
  <c r="GA354" i="16"/>
  <c r="GO355" i="16"/>
  <c r="AR355" i="16"/>
  <c r="DX366" i="16"/>
  <c r="DZ366" i="16" s="1"/>
  <c r="EE366" i="16" s="1"/>
  <c r="GH367" i="16"/>
  <c r="GH368" i="16" s="1"/>
  <c r="HI367" i="16" s="1"/>
  <c r="BR366" i="16"/>
  <c r="GI369" i="16"/>
  <c r="DP366" i="16"/>
  <c r="DP368" i="16" s="1"/>
  <c r="AD367" i="16"/>
  <c r="AC367" i="16" s="1"/>
  <c r="BQ367" i="16"/>
  <c r="DO380" i="16"/>
  <c r="S380" i="16" s="1"/>
  <c r="BY394" i="16"/>
  <c r="CA394" i="16" s="1"/>
  <c r="GG395" i="16"/>
  <c r="BQ395" i="16"/>
  <c r="GM395" i="16"/>
  <c r="FJ396" i="16"/>
  <c r="FN396" i="16" s="1"/>
  <c r="GO397" i="16"/>
  <c r="EN396" i="16"/>
  <c r="FC396" i="16" s="1"/>
  <c r="BQ408" i="16"/>
  <c r="GI409" i="16"/>
  <c r="CX409" i="16"/>
  <c r="DY409" i="16"/>
  <c r="DC410" i="16"/>
  <c r="AD422" i="16"/>
  <c r="AC422" i="16" s="1"/>
  <c r="AV422" i="16"/>
  <c r="GF425" i="16" s="1"/>
  <c r="DY423" i="16"/>
  <c r="DC437" i="16"/>
  <c r="GK437" i="16"/>
  <c r="EN450" i="16"/>
  <c r="FC450" i="16" s="1"/>
  <c r="GH451" i="16"/>
  <c r="GH452" i="16" s="1"/>
  <c r="HI451" i="16" s="1"/>
  <c r="BR450" i="16"/>
  <c r="GI453" i="16"/>
  <c r="DX450" i="16"/>
  <c r="BS452" i="16"/>
  <c r="GO451" i="16"/>
  <c r="AB452" i="16"/>
  <c r="GP453" i="16"/>
  <c r="GP454" i="16" s="1"/>
  <c r="HK453" i="16" s="1"/>
  <c r="BT464" i="16"/>
  <c r="DP464" i="16"/>
  <c r="DP466" i="16" s="1"/>
  <c r="GA464" i="16"/>
  <c r="AR466" i="16"/>
  <c r="AQ466" i="16" s="1"/>
  <c r="AD339" i="16"/>
  <c r="AC339" i="16" s="1"/>
  <c r="DI339" i="16"/>
  <c r="DJ339" i="16" s="1"/>
  <c r="BR340" i="16"/>
  <c r="GQ341" i="16"/>
  <c r="CX352" i="16"/>
  <c r="EA354" i="16"/>
  <c r="GP353" i="16"/>
  <c r="GP354" i="16" s="1"/>
  <c r="HK353" i="16" s="1"/>
  <c r="FI354" i="16"/>
  <c r="FX354" i="16" s="1"/>
  <c r="GP355" i="16"/>
  <c r="GP356" i="16" s="1"/>
  <c r="HK355" i="16" s="1"/>
  <c r="B366" i="16"/>
  <c r="BQ366" i="16"/>
  <c r="GI367" i="16"/>
  <c r="DQ366" i="16"/>
  <c r="DP369" i="16" s="1"/>
  <c r="BT368" i="16"/>
  <c r="GO369" i="16"/>
  <c r="DQ380" i="16"/>
  <c r="DP383" i="16" s="1"/>
  <c r="DX394" i="16"/>
  <c r="GH395" i="16"/>
  <c r="GH396" i="16" s="1"/>
  <c r="HI395" i="16" s="1"/>
  <c r="BR394" i="16"/>
  <c r="GI397" i="16"/>
  <c r="AR395" i="16"/>
  <c r="AQ395" i="16" s="1"/>
  <c r="BS396" i="16"/>
  <c r="GO395" i="16"/>
  <c r="FI396" i="16"/>
  <c r="FX396" i="16" s="1"/>
  <c r="GP397" i="16"/>
  <c r="GP398" i="16" s="1"/>
  <c r="HK397" i="16" s="1"/>
  <c r="DE396" i="16"/>
  <c r="CW409" i="16"/>
  <c r="GA409" i="16"/>
  <c r="GK411" i="16"/>
  <c r="DO422" i="16"/>
  <c r="S422" i="16" s="1"/>
  <c r="CX423" i="16"/>
  <c r="DE424" i="16"/>
  <c r="GO423" i="16"/>
  <c r="BR437" i="16"/>
  <c r="GM439" i="16"/>
  <c r="BT438" i="16"/>
  <c r="GO439" i="16"/>
  <c r="EN452" i="16"/>
  <c r="EZ452" i="16" s="1"/>
  <c r="GP451" i="16"/>
  <c r="GP452" i="16" s="1"/>
  <c r="HK451" i="16" s="1"/>
  <c r="BR452" i="16"/>
  <c r="GQ453" i="16"/>
  <c r="AR465" i="16"/>
  <c r="AQ465" i="16" s="1"/>
  <c r="GM453" i="16"/>
  <c r="BQ394" i="16"/>
  <c r="GI395" i="16"/>
  <c r="DQ394" i="16"/>
  <c r="DQ396" i="16" s="1"/>
  <c r="BR396" i="16"/>
  <c r="GQ397" i="16"/>
  <c r="FF409" i="16"/>
  <c r="GK409" i="16"/>
  <c r="FH409" i="16"/>
  <c r="GL411" i="16"/>
  <c r="GL412" i="16" s="1"/>
  <c r="HJ411" i="16" s="1"/>
  <c r="BS410" i="16"/>
  <c r="GO409" i="16"/>
  <c r="FI410" i="16"/>
  <c r="FV410" i="16" s="1"/>
  <c r="GP411" i="16"/>
  <c r="GP412" i="16" s="1"/>
  <c r="HK411" i="16" s="1"/>
  <c r="DD422" i="16"/>
  <c r="GG423" i="16"/>
  <c r="FI422" i="16"/>
  <c r="FU422" i="16" s="1"/>
  <c r="GH425" i="16"/>
  <c r="GH426" i="16" s="1"/>
  <c r="HI425" i="16" s="1"/>
  <c r="FJ423" i="16"/>
  <c r="FL423" i="16" s="1"/>
  <c r="EN424" i="16"/>
  <c r="ET424" i="16" s="1"/>
  <c r="EU424" i="16" s="1"/>
  <c r="GP423" i="16"/>
  <c r="GP424" i="16" s="1"/>
  <c r="HK423" i="16" s="1"/>
  <c r="BR424" i="16"/>
  <c r="GQ425" i="16"/>
  <c r="BQ437" i="16"/>
  <c r="GM437" i="16"/>
  <c r="AB438" i="16"/>
  <c r="GP439" i="16"/>
  <c r="GP440" i="16" s="1"/>
  <c r="HK439" i="16" s="1"/>
  <c r="BQ451" i="16"/>
  <c r="GM451" i="16"/>
  <c r="BQ452" i="16"/>
  <c r="GQ451" i="16"/>
  <c r="BR368" i="16"/>
  <c r="GQ369" i="16"/>
  <c r="EO381" i="16"/>
  <c r="EQ381" i="16" s="1"/>
  <c r="GK381" i="16"/>
  <c r="BO381" i="16"/>
  <c r="GL383" i="16"/>
  <c r="GL384" i="16" s="1"/>
  <c r="HJ383" i="16" s="1"/>
  <c r="GA382" i="16"/>
  <c r="GO383" i="16"/>
  <c r="FJ382" i="16"/>
  <c r="FN382" i="16" s="1"/>
  <c r="DO394" i="16"/>
  <c r="S394" i="16" s="1"/>
  <c r="DI396" i="16"/>
  <c r="DJ396" i="16" s="1"/>
  <c r="AH409" i="16"/>
  <c r="GL409" i="16"/>
  <c r="GL410" i="16" s="1"/>
  <c r="HJ409" i="16" s="1"/>
  <c r="EN410" i="16"/>
  <c r="EV410" i="16" s="1"/>
  <c r="GP409" i="16"/>
  <c r="GP410" i="16" s="1"/>
  <c r="HK409" i="16" s="1"/>
  <c r="EM422" i="16"/>
  <c r="GH423" i="16"/>
  <c r="GH424" i="16" s="1"/>
  <c r="HI423" i="16" s="1"/>
  <c r="BR422" i="16"/>
  <c r="GI425" i="16"/>
  <c r="BS423" i="16"/>
  <c r="GK423" i="16"/>
  <c r="AB423" i="16"/>
  <c r="GL425" i="16"/>
  <c r="GL426" i="16" s="1"/>
  <c r="HJ425" i="16" s="1"/>
  <c r="BQ424" i="16"/>
  <c r="AD426" i="16"/>
  <c r="EA438" i="16"/>
  <c r="GP437" i="16"/>
  <c r="GP438" i="16" s="1"/>
  <c r="HK437" i="16" s="1"/>
  <c r="BR438" i="16"/>
  <c r="GQ439" i="16"/>
  <c r="AD468" i="16"/>
  <c r="DC382" i="16"/>
  <c r="GO381" i="16"/>
  <c r="FI382" i="16"/>
  <c r="FX382" i="16" s="1"/>
  <c r="GP383" i="16"/>
  <c r="GP384" i="16" s="1"/>
  <c r="HK383" i="16" s="1"/>
  <c r="DN395" i="16"/>
  <c r="D395" i="16" s="1"/>
  <c r="AR396" i="16"/>
  <c r="AQ396" i="16" s="1"/>
  <c r="BQ409" i="16"/>
  <c r="GM409" i="16"/>
  <c r="EN423" i="16"/>
  <c r="ET423" i="16" s="1"/>
  <c r="EU423" i="16" s="1"/>
  <c r="GL423" i="16"/>
  <c r="GL424" i="16" s="1"/>
  <c r="HJ423" i="16" s="1"/>
  <c r="BR423" i="16"/>
  <c r="GM425" i="16"/>
  <c r="FJ436" i="16"/>
  <c r="FL436" i="16" s="1"/>
  <c r="GG439" i="16"/>
  <c r="DP436" i="16"/>
  <c r="DQ437" i="16" s="1"/>
  <c r="AD437" i="16"/>
  <c r="AC437" i="16" s="1"/>
  <c r="BQ438" i="16"/>
  <c r="GQ437" i="16"/>
  <c r="AR439" i="16"/>
  <c r="DE464" i="16"/>
  <c r="GG465" i="16"/>
  <c r="FI464" i="16"/>
  <c r="FY464" i="16" s="1"/>
  <c r="GH467" i="16"/>
  <c r="GH468" i="16" s="1"/>
  <c r="HI467" i="16" s="1"/>
  <c r="CW466" i="16"/>
  <c r="BQ352" i="16"/>
  <c r="GI353" i="16"/>
  <c r="BQ353" i="16"/>
  <c r="GM353" i="16"/>
  <c r="BR353" i="16"/>
  <c r="GM355" i="16"/>
  <c r="DC366" i="16"/>
  <c r="DC367" i="16"/>
  <c r="GK367" i="16"/>
  <c r="FJ367" i="16"/>
  <c r="FL367" i="16" s="1"/>
  <c r="GK369" i="16"/>
  <c r="GA367" i="16"/>
  <c r="AR368" i="16"/>
  <c r="AQ368" i="16" s="1"/>
  <c r="AR370" i="16"/>
  <c r="DD380" i="16"/>
  <c r="GG381" i="16"/>
  <c r="BQ381" i="16"/>
  <c r="GM381" i="16"/>
  <c r="BR382" i="16"/>
  <c r="GQ383" i="16"/>
  <c r="AD383" i="16"/>
  <c r="AR384" i="16"/>
  <c r="DD394" i="16"/>
  <c r="EO394" i="16"/>
  <c r="EQ394" i="16" s="1"/>
  <c r="FJ395" i="16"/>
  <c r="FL395" i="16" s="1"/>
  <c r="GK397" i="16"/>
  <c r="BT396" i="16"/>
  <c r="AR409" i="16"/>
  <c r="AQ409" i="16" s="1"/>
  <c r="AB410" i="16"/>
  <c r="BR410" i="16"/>
  <c r="AB422" i="16"/>
  <c r="BQ423" i="16"/>
  <c r="GM423" i="16"/>
  <c r="BT423" i="16"/>
  <c r="BY424" i="16"/>
  <c r="CA424" i="16" s="1"/>
  <c r="DC436" i="16"/>
  <c r="GG437" i="16"/>
  <c r="DQ436" i="16"/>
  <c r="DQ440" i="16" s="1"/>
  <c r="DP450" i="16"/>
  <c r="DP452" i="16" s="1"/>
  <c r="AD451" i="16"/>
  <c r="AC451" i="16" s="1"/>
  <c r="EM464" i="16"/>
  <c r="GH465" i="16"/>
  <c r="GH466" i="16" s="1"/>
  <c r="HI465" i="16" s="1"/>
  <c r="BR464" i="16"/>
  <c r="GI467" i="16"/>
  <c r="CW465" i="16"/>
  <c r="DY465" i="16"/>
  <c r="BS466" i="16"/>
  <c r="GO465" i="16"/>
  <c r="GK33" i="16"/>
  <c r="GP33" i="16"/>
  <c r="GP34" i="16" s="1"/>
  <c r="GO33" i="16"/>
  <c r="EO32" i="16"/>
  <c r="EQ32" i="16" s="1"/>
  <c r="DI32" i="16"/>
  <c r="DJ32" i="16" s="1"/>
  <c r="CW32" i="16"/>
  <c r="GO31" i="16"/>
  <c r="GH33" i="16"/>
  <c r="AR31" i="16"/>
  <c r="AQ31" i="16" s="1"/>
  <c r="GG33" i="16"/>
  <c r="GK31" i="16"/>
  <c r="B31" i="16"/>
  <c r="AD31" i="16"/>
  <c r="AC31" i="16" s="1"/>
  <c r="AD30" i="16"/>
  <c r="AC30" i="16" s="1"/>
  <c r="GG31" i="16"/>
  <c r="GL340" i="16"/>
  <c r="HJ339" i="16" s="1"/>
  <c r="GL242" i="16"/>
  <c r="HJ241" i="16" s="1"/>
  <c r="AR17" i="16"/>
  <c r="AQ17" i="16" s="1"/>
  <c r="BS17" i="16"/>
  <c r="BY17" i="16"/>
  <c r="CA17" i="16" s="1"/>
  <c r="CE17" i="16"/>
  <c r="CF17" i="16" s="1"/>
  <c r="CG17" i="16" s="1"/>
  <c r="CH17" i="16" s="1"/>
  <c r="CJ17" i="16" s="1"/>
  <c r="GL19" i="16"/>
  <c r="GL20" i="16" s="1"/>
  <c r="GK19" i="16"/>
  <c r="BS46" i="16"/>
  <c r="FF46" i="16"/>
  <c r="DR200" i="16"/>
  <c r="DN200" i="16"/>
  <c r="D200" i="16" s="1"/>
  <c r="EZ44" i="16"/>
  <c r="FC44" i="16"/>
  <c r="ET44" i="16"/>
  <c r="EU44" i="16" s="1"/>
  <c r="EN46" i="16"/>
  <c r="EV46" i="16" s="1"/>
  <c r="EA46" i="16"/>
  <c r="DX46" i="16"/>
  <c r="DZ46" i="16" s="1"/>
  <c r="EE46" i="16" s="1"/>
  <c r="AR90" i="16"/>
  <c r="DQ117" i="16"/>
  <c r="DP118" i="16"/>
  <c r="AH130" i="16"/>
  <c r="CS130" i="16" s="1"/>
  <c r="EM130" i="16"/>
  <c r="DX130" i="16"/>
  <c r="BN32" i="16"/>
  <c r="BP30" i="16" s="1"/>
  <c r="AR34" i="16"/>
  <c r="BN46" i="16"/>
  <c r="BP44" i="16" s="1"/>
  <c r="EM46" i="16"/>
  <c r="DN74" i="16"/>
  <c r="D74" i="16" s="1"/>
  <c r="DR74" i="16"/>
  <c r="DI87" i="16"/>
  <c r="DJ87" i="16" s="1"/>
  <c r="EZ100" i="16"/>
  <c r="FA100" i="16"/>
  <c r="EA17" i="16"/>
  <c r="GL17" i="16"/>
  <c r="GL18" i="16" s="1"/>
  <c r="HJ17" i="16" s="1"/>
  <c r="EO17" i="16"/>
  <c r="EQ17" i="16" s="1"/>
  <c r="CH44" i="16"/>
  <c r="CJ44" i="16" s="1"/>
  <c r="BT44" i="16"/>
  <c r="FN45" i="16"/>
  <c r="FW45" i="16" s="1"/>
  <c r="EO46" i="16"/>
  <c r="EQ46" i="16" s="1"/>
  <c r="DY60" i="16"/>
  <c r="EB60" i="16"/>
  <c r="DS74" i="16"/>
  <c r="DU74" i="16" s="1"/>
  <c r="DW74" i="16" s="1"/>
  <c r="DO74" i="16"/>
  <c r="S74" i="16" s="1"/>
  <c r="FF115" i="16"/>
  <c r="EO115" i="16"/>
  <c r="EQ115" i="16" s="1"/>
  <c r="DE115" i="16"/>
  <c r="DD115" i="16"/>
  <c r="AV115" i="16"/>
  <c r="CT115" i="16" s="1"/>
  <c r="FH115" i="16"/>
  <c r="BO115" i="16"/>
  <c r="BS16" i="16"/>
  <c r="GG17" i="16"/>
  <c r="B45" i="16"/>
  <c r="AD58" i="16"/>
  <c r="AC58" i="16" s="1"/>
  <c r="EN60" i="16"/>
  <c r="FD60" i="16" s="1"/>
  <c r="EM60" i="16"/>
  <c r="EA60" i="16"/>
  <c r="CX86" i="16"/>
  <c r="CV86" i="16"/>
  <c r="DP184" i="16"/>
  <c r="DP188" i="16" s="1"/>
  <c r="DN184" i="16"/>
  <c r="D184" i="16" s="1"/>
  <c r="EM198" i="16"/>
  <c r="EA198" i="16"/>
  <c r="EC198" i="16" s="1"/>
  <c r="ED198" i="16" s="1"/>
  <c r="AH198" i="16"/>
  <c r="GF199" i="16" s="1"/>
  <c r="DX198" i="16"/>
  <c r="BN198" i="16"/>
  <c r="EN198" i="16"/>
  <c r="BS228" i="16"/>
  <c r="EO228" i="16"/>
  <c r="EQ228" i="16" s="1"/>
  <c r="DD228" i="16"/>
  <c r="FA240" i="16"/>
  <c r="FC240" i="16"/>
  <c r="ET240" i="16"/>
  <c r="EU240" i="16" s="1"/>
  <c r="EN16" i="16"/>
  <c r="ET16" i="16" s="1"/>
  <c r="EU16" i="16" s="1"/>
  <c r="GH17" i="16"/>
  <c r="GH18" i="16" s="1"/>
  <c r="FJ30" i="16"/>
  <c r="FN30" i="16" s="1"/>
  <c r="FS30" i="16" s="1"/>
  <c r="FA30" i="16"/>
  <c r="DY31" i="16"/>
  <c r="EA32" i="16"/>
  <c r="EC32" i="16" s="1"/>
  <c r="ED32" i="16" s="1"/>
  <c r="AD59" i="16"/>
  <c r="AC59" i="16" s="1"/>
  <c r="AD73" i="16"/>
  <c r="AC73" i="16" s="1"/>
  <c r="AD74" i="16"/>
  <c r="AC74" i="16" s="1"/>
  <c r="CW86" i="16"/>
  <c r="FJ86" i="16"/>
  <c r="FL86" i="16" s="1"/>
  <c r="AD88" i="16"/>
  <c r="AC88" i="16" s="1"/>
  <c r="AD100" i="16"/>
  <c r="AC100" i="16" s="1"/>
  <c r="BS102" i="16"/>
  <c r="EO102" i="16"/>
  <c r="ES102" i="16" s="1"/>
  <c r="EX102" i="16" s="1"/>
  <c r="CW46" i="16"/>
  <c r="AR72" i="16"/>
  <c r="AQ72" i="16" s="1"/>
  <c r="BS86" i="16"/>
  <c r="B86" i="16"/>
  <c r="BS144" i="16"/>
  <c r="B143" i="16"/>
  <c r="FF144" i="16"/>
  <c r="EO144" i="16"/>
  <c r="EQ144" i="16" s="1"/>
  <c r="DC144" i="16"/>
  <c r="CW144" i="16"/>
  <c r="AH172" i="16"/>
  <c r="CS172" i="16" s="1"/>
  <c r="CW172" i="16"/>
  <c r="CU172" i="16"/>
  <c r="AD101" i="16"/>
  <c r="AC101" i="16" s="1"/>
  <c r="BS116" i="16"/>
  <c r="EO116" i="16"/>
  <c r="EQ116" i="16" s="1"/>
  <c r="DE116" i="16"/>
  <c r="DC116" i="16"/>
  <c r="BN144" i="16"/>
  <c r="BP142" i="16" s="1"/>
  <c r="EA144" i="16"/>
  <c r="EC144" i="16" s="1"/>
  <c r="ED144" i="16" s="1"/>
  <c r="BS172" i="16"/>
  <c r="DD172" i="16"/>
  <c r="EO172" i="16"/>
  <c r="EQ172" i="16" s="1"/>
  <c r="DC172" i="16"/>
  <c r="DS228" i="16"/>
  <c r="DO228" i="16"/>
  <c r="S228" i="16" s="1"/>
  <c r="DQ254" i="16"/>
  <c r="DP257" i="16" s="1"/>
  <c r="DO254" i="16"/>
  <c r="S254" i="16" s="1"/>
  <c r="EM269" i="16"/>
  <c r="DX269" i="16"/>
  <c r="DZ269" i="16" s="1"/>
  <c r="EE269" i="16" s="1"/>
  <c r="BN269" i="16"/>
  <c r="CU284" i="16"/>
  <c r="AH284" i="16"/>
  <c r="CS284" i="16" s="1"/>
  <c r="DO324" i="16"/>
  <c r="S324" i="16" s="1"/>
  <c r="DQ324" i="16"/>
  <c r="DQ328" i="16" s="1"/>
  <c r="AD76" i="16"/>
  <c r="EN116" i="16"/>
  <c r="FA116" i="16" s="1"/>
  <c r="DX116" i="16"/>
  <c r="FA172" i="16"/>
  <c r="EV172" i="16"/>
  <c r="EN186" i="16"/>
  <c r="EV186" i="16" s="1"/>
  <c r="EM186" i="16"/>
  <c r="EA186" i="16"/>
  <c r="DX186" i="16"/>
  <c r="DI31" i="16"/>
  <c r="DJ31" i="16" s="1"/>
  <c r="AD32" i="16"/>
  <c r="AC32" i="16" s="1"/>
  <c r="BT32" i="16"/>
  <c r="GA45" i="16"/>
  <c r="AR46" i="16"/>
  <c r="AQ46" i="16" s="1"/>
  <c r="AH58" i="16"/>
  <c r="GF59" i="16" s="1"/>
  <c r="CH58" i="16"/>
  <c r="CJ58" i="16" s="1"/>
  <c r="CW58" i="16"/>
  <c r="EO59" i="16"/>
  <c r="EQ59" i="16" s="1"/>
  <c r="AD60" i="16"/>
  <c r="AC60" i="16" s="1"/>
  <c r="AR62" i="16"/>
  <c r="AV72" i="16"/>
  <c r="GF75" i="16" s="1"/>
  <c r="AV73" i="16"/>
  <c r="FH73" i="16"/>
  <c r="CV74" i="16"/>
  <c r="EA74" i="16"/>
  <c r="CW87" i="16"/>
  <c r="AR89" i="16"/>
  <c r="AH100" i="16"/>
  <c r="GF101" i="16" s="1"/>
  <c r="CV100" i="16"/>
  <c r="FF100" i="16"/>
  <c r="CX101" i="16"/>
  <c r="DX101" i="16"/>
  <c r="AR104" i="16"/>
  <c r="BS114" i="16"/>
  <c r="EM114" i="16"/>
  <c r="B115" i="16"/>
  <c r="AR115" i="16"/>
  <c r="AQ115" i="16" s="1"/>
  <c r="DY115" i="16"/>
  <c r="DP128" i="16"/>
  <c r="DQ131" i="16" s="1"/>
  <c r="DN128" i="16"/>
  <c r="D128" i="16" s="1"/>
  <c r="AR129" i="16"/>
  <c r="AQ129" i="16" s="1"/>
  <c r="AR131" i="16"/>
  <c r="AR143" i="16"/>
  <c r="AQ143" i="16" s="1"/>
  <c r="DS144" i="16"/>
  <c r="AR146" i="16"/>
  <c r="FJ157" i="16"/>
  <c r="FN157" i="16" s="1"/>
  <c r="FW157" i="16" s="1"/>
  <c r="BT157" i="16"/>
  <c r="EN170" i="16"/>
  <c r="FC170" i="16" s="1"/>
  <c r="EM170" i="16"/>
  <c r="AH170" i="16"/>
  <c r="GF171" i="16" s="1"/>
  <c r="BN170" i="16"/>
  <c r="AV170" i="16"/>
  <c r="CT170" i="16" s="1"/>
  <c r="BO170" i="16"/>
  <c r="FI170" i="16"/>
  <c r="DN170" i="16"/>
  <c r="D170" i="16" s="1"/>
  <c r="DP170" i="16"/>
  <c r="CV185" i="16"/>
  <c r="CX185" i="16"/>
  <c r="BN186" i="16"/>
  <c r="BP184" i="16" s="1"/>
  <c r="BY214" i="16"/>
  <c r="BZ214" i="16" s="1"/>
  <c r="AH226" i="16"/>
  <c r="EN226" i="16"/>
  <c r="FD226" i="16" s="1"/>
  <c r="EM226" i="16"/>
  <c r="BN226" i="16"/>
  <c r="EA226" i="16"/>
  <c r="FI226" i="16"/>
  <c r="FV226" i="16" s="1"/>
  <c r="AV226" i="16"/>
  <c r="GF229" i="16" s="1"/>
  <c r="BO226" i="16"/>
  <c r="EO242" i="16"/>
  <c r="EQ242" i="16" s="1"/>
  <c r="DD242" i="16"/>
  <c r="CW242" i="16"/>
  <c r="B241" i="16"/>
  <c r="CH268" i="16"/>
  <c r="BT268" i="16"/>
  <c r="FJ268" i="16"/>
  <c r="FN268" i="16" s="1"/>
  <c r="FW268" i="16" s="1"/>
  <c r="GA268" i="16"/>
  <c r="CW31" i="16"/>
  <c r="EO31" i="16"/>
  <c r="EQ31" i="16" s="1"/>
  <c r="DX44" i="16"/>
  <c r="AH45" i="16"/>
  <c r="CH45" i="16"/>
  <c r="CJ45" i="16" s="1"/>
  <c r="EO45" i="16"/>
  <c r="EQ45" i="16" s="1"/>
  <c r="AD46" i="16"/>
  <c r="AC46" i="16" s="1"/>
  <c r="DX58" i="16"/>
  <c r="AR61" i="16"/>
  <c r="AH72" i="16"/>
  <c r="GF73" i="16" s="1"/>
  <c r="CX72" i="16"/>
  <c r="DX72" i="16"/>
  <c r="DC74" i="16"/>
  <c r="EB74" i="16"/>
  <c r="AR76" i="16"/>
  <c r="AR86" i="16"/>
  <c r="AQ86" i="16" s="1"/>
  <c r="BN86" i="16"/>
  <c r="AV87" i="16"/>
  <c r="CT87" i="16" s="1"/>
  <c r="CX87" i="16"/>
  <c r="FH87" i="16"/>
  <c r="FF88" i="16"/>
  <c r="AV100" i="16"/>
  <c r="GF103" i="16" s="1"/>
  <c r="BS100" i="16"/>
  <c r="DX100" i="16"/>
  <c r="AV101" i="16"/>
  <c r="CT101" i="16" s="1"/>
  <c r="EB101" i="16"/>
  <c r="BN102" i="16"/>
  <c r="BP100" i="16" s="1"/>
  <c r="AV114" i="16"/>
  <c r="DI115" i="16"/>
  <c r="DJ115" i="16" s="1"/>
  <c r="AR116" i="16"/>
  <c r="AQ116" i="16" s="1"/>
  <c r="BN116" i="16"/>
  <c r="BP114" i="16" s="1"/>
  <c r="EA116" i="16"/>
  <c r="EC116" i="16" s="1"/>
  <c r="ED116" i="16" s="1"/>
  <c r="CH144" i="16"/>
  <c r="CI144" i="16" s="1"/>
  <c r="BS157" i="16"/>
  <c r="FF157" i="16"/>
  <c r="AV157" i="16"/>
  <c r="GA157" i="16"/>
  <c r="AR172" i="16"/>
  <c r="AQ172" i="16" s="1"/>
  <c r="DN172" i="16"/>
  <c r="D172" i="16" s="1"/>
  <c r="EZ172" i="16"/>
  <c r="CW185" i="16"/>
  <c r="CU185" i="16"/>
  <c r="CH198" i="16"/>
  <c r="CJ198" i="16" s="1"/>
  <c r="AR202" i="16"/>
  <c r="CU227" i="16"/>
  <c r="BY228" i="16"/>
  <c r="CA228" i="16" s="1"/>
  <c r="DE268" i="16"/>
  <c r="EO268" i="16"/>
  <c r="EQ268" i="16" s="1"/>
  <c r="FI268" i="16"/>
  <c r="FQ268" i="16" s="1"/>
  <c r="FH268" i="16"/>
  <c r="BO268" i="16"/>
  <c r="AB268" i="16"/>
  <c r="B282" i="16"/>
  <c r="DC283" i="16"/>
  <c r="EO283" i="16"/>
  <c r="EQ283" i="16" s="1"/>
  <c r="B283" i="16"/>
  <c r="FM338" i="16"/>
  <c r="FN32" i="16"/>
  <c r="FW32" i="16" s="1"/>
  <c r="BN44" i="16"/>
  <c r="DY44" i="16"/>
  <c r="FF44" i="16"/>
  <c r="CH72" i="16"/>
  <c r="CJ72" i="16" s="1"/>
  <c r="EA72" i="16"/>
  <c r="DY73" i="16"/>
  <c r="EM74" i="16"/>
  <c r="EA100" i="16"/>
  <c r="EM101" i="16"/>
  <c r="BY102" i="16"/>
  <c r="CA102" i="16" s="1"/>
  <c r="FJ102" i="16"/>
  <c r="FL102" i="16" s="1"/>
  <c r="CX114" i="16"/>
  <c r="AD115" i="16"/>
  <c r="AC115" i="16" s="1"/>
  <c r="BY115" i="16"/>
  <c r="CA115" i="16" s="1"/>
  <c r="BO128" i="16"/>
  <c r="AV128" i="16"/>
  <c r="GF131" i="16" s="1"/>
  <c r="DN130" i="16"/>
  <c r="D130" i="16" s="1"/>
  <c r="DR130" i="16"/>
  <c r="AD159" i="16"/>
  <c r="AR160" i="16"/>
  <c r="FD172" i="16"/>
  <c r="CH184" i="16"/>
  <c r="CJ184" i="16" s="1"/>
  <c r="CX198" i="16"/>
  <c r="AV227" i="16"/>
  <c r="CT227" i="16" s="1"/>
  <c r="CV227" i="16"/>
  <c r="DO240" i="16"/>
  <c r="S240" i="16" s="1"/>
  <c r="DQ240" i="16"/>
  <c r="DQ244" i="16" s="1"/>
  <c r="EB352" i="16"/>
  <c r="DI352" i="16"/>
  <c r="DJ352" i="16" s="1"/>
  <c r="DY352" i="16"/>
  <c r="CH31" i="16"/>
  <c r="CJ31" i="16" s="1"/>
  <c r="CU31" i="16"/>
  <c r="GA32" i="16"/>
  <c r="AR44" i="16"/>
  <c r="AQ44" i="16" s="1"/>
  <c r="BS44" i="16"/>
  <c r="EA58" i="16"/>
  <c r="EC58" i="16" s="1"/>
  <c r="ED58" i="16" s="1"/>
  <c r="EM72" i="16"/>
  <c r="AR73" i="16"/>
  <c r="AQ73" i="16" s="1"/>
  <c r="DX86" i="16"/>
  <c r="AR88" i="16"/>
  <c r="AQ88" i="16" s="1"/>
  <c r="AD89" i="16"/>
  <c r="CH100" i="16"/>
  <c r="CJ100" i="16" s="1"/>
  <c r="EM100" i="16"/>
  <c r="AH102" i="16"/>
  <c r="CS102" i="16" s="1"/>
  <c r="EA102" i="16"/>
  <c r="CH114" i="16"/>
  <c r="CV115" i="16"/>
  <c r="EM116" i="16"/>
  <c r="AH128" i="16"/>
  <c r="EA128" i="16"/>
  <c r="FF172" i="16"/>
  <c r="GA326" i="16"/>
  <c r="CX326" i="16"/>
  <c r="DY32" i="16"/>
  <c r="AD44" i="16"/>
  <c r="AC44" i="16" s="1"/>
  <c r="EB46" i="16"/>
  <c r="B58" i="16"/>
  <c r="AR58" i="16"/>
  <c r="AQ58" i="16" s="1"/>
  <c r="BS58" i="16"/>
  <c r="FJ59" i="16"/>
  <c r="FL59" i="16" s="1"/>
  <c r="CW60" i="16"/>
  <c r="B72" i="16"/>
  <c r="DI73" i="16"/>
  <c r="DJ73" i="16" s="1"/>
  <c r="EO73" i="16"/>
  <c r="EQ73" i="16" s="1"/>
  <c r="AR74" i="16"/>
  <c r="AQ74" i="16" s="1"/>
  <c r="BN74" i="16"/>
  <c r="BP72" i="16" s="1"/>
  <c r="ES74" i="16"/>
  <c r="FB74" i="16" s="1"/>
  <c r="AV86" i="16"/>
  <c r="AR87" i="16"/>
  <c r="AQ87" i="16" s="1"/>
  <c r="DI88" i="16"/>
  <c r="DJ88" i="16" s="1"/>
  <c r="EB88" i="16"/>
  <c r="EC88" i="16" s="1"/>
  <c r="ED88" i="16" s="1"/>
  <c r="AR101" i="16"/>
  <c r="AQ101" i="16" s="1"/>
  <c r="AV102" i="16"/>
  <c r="AD104" i="16"/>
  <c r="FF114" i="16"/>
  <c r="CW115" i="16"/>
  <c r="DO115" i="16"/>
  <c r="S115" i="16" s="1"/>
  <c r="AV116" i="16"/>
  <c r="DR116" i="16"/>
  <c r="AD118" i="16"/>
  <c r="AB128" i="16"/>
  <c r="FI128" i="16"/>
  <c r="FQ128" i="16" s="1"/>
  <c r="DN129" i="16"/>
  <c r="D129" i="16" s="1"/>
  <c r="DR129" i="16"/>
  <c r="FH130" i="16"/>
  <c r="FI130" i="16"/>
  <c r="FU130" i="16" s="1"/>
  <c r="AV130" i="16"/>
  <c r="CU143" i="16"/>
  <c r="CW143" i="16"/>
  <c r="DI143" i="16"/>
  <c r="DJ143" i="16" s="1"/>
  <c r="EB143" i="16"/>
  <c r="EC143" i="16" s="1"/>
  <c r="ED143" i="16" s="1"/>
  <c r="DC198" i="16"/>
  <c r="BS198" i="16"/>
  <c r="FF198" i="16"/>
  <c r="B198" i="16"/>
  <c r="AD200" i="16"/>
  <c r="AC200" i="16" s="1"/>
  <c r="EB213" i="16"/>
  <c r="DI213" i="16"/>
  <c r="DJ213" i="16" s="1"/>
  <c r="AR240" i="16"/>
  <c r="AQ240" i="16" s="1"/>
  <c r="DE326" i="16"/>
  <c r="EO326" i="16"/>
  <c r="EQ326" i="16" s="1"/>
  <c r="BS326" i="16"/>
  <c r="FF326" i="16"/>
  <c r="DC326" i="16"/>
  <c r="EC185" i="16"/>
  <c r="ED185" i="16" s="1"/>
  <c r="FN226" i="16"/>
  <c r="FJ228" i="16"/>
  <c r="FL228" i="16" s="1"/>
  <c r="AR229" i="16"/>
  <c r="BT241" i="16"/>
  <c r="GA241" i="16"/>
  <c r="AR286" i="16"/>
  <c r="CW352" i="16"/>
  <c r="CU352" i="16"/>
  <c r="BO380" i="16"/>
  <c r="AB380" i="16"/>
  <c r="FI380" i="16"/>
  <c r="FX380" i="16" s="1"/>
  <c r="FH380" i="16"/>
  <c r="AV380" i="16"/>
  <c r="GF383" i="16" s="1"/>
  <c r="AR118" i="16"/>
  <c r="FN128" i="16"/>
  <c r="EO129" i="16"/>
  <c r="EQ129" i="16" s="1"/>
  <c r="AD142" i="16"/>
  <c r="AC142" i="16" s="1"/>
  <c r="BS142" i="16"/>
  <c r="CX156" i="16"/>
  <c r="CW156" i="16"/>
  <c r="EB156" i="16"/>
  <c r="AH171" i="16"/>
  <c r="CS171" i="16" s="1"/>
  <c r="EA171" i="16"/>
  <c r="EC171" i="16" s="1"/>
  <c r="ED171" i="16" s="1"/>
  <c r="FI172" i="16"/>
  <c r="B184" i="16"/>
  <c r="DD184" i="16"/>
  <c r="FF185" i="16"/>
  <c r="FH186" i="16"/>
  <c r="CV198" i="16"/>
  <c r="DD200" i="16"/>
  <c r="FF200" i="16"/>
  <c r="AR212" i="16"/>
  <c r="AQ212" i="16" s="1"/>
  <c r="AV213" i="16"/>
  <c r="DX213" i="16"/>
  <c r="DX214" i="16"/>
  <c r="EM227" i="16"/>
  <c r="DY268" i="16"/>
  <c r="FN296" i="16"/>
  <c r="AR328" i="16"/>
  <c r="DY354" i="16"/>
  <c r="EB354" i="16"/>
  <c r="DI354" i="16"/>
  <c r="DJ354" i="16" s="1"/>
  <c r="EA380" i="16"/>
  <c r="AH380" i="16"/>
  <c r="CW129" i="16"/>
  <c r="EM143" i="16"/>
  <c r="DY184" i="16"/>
  <c r="B185" i="16"/>
  <c r="EN185" i="16"/>
  <c r="ET185" i="16" s="1"/>
  <c r="EU185" i="16" s="1"/>
  <c r="FH185" i="16"/>
  <c r="BS186" i="16"/>
  <c r="DO186" i="16"/>
  <c r="S186" i="16" s="1"/>
  <c r="BY199" i="16"/>
  <c r="BZ199" i="16" s="1"/>
  <c r="DN199" i="16"/>
  <c r="D199" i="16" s="1"/>
  <c r="DE200" i="16"/>
  <c r="DO200" i="16"/>
  <c r="S200" i="16" s="1"/>
  <c r="EO200" i="16"/>
  <c r="AH212" i="16"/>
  <c r="GF213" i="16" s="1"/>
  <c r="AV212" i="16"/>
  <c r="EO213" i="16"/>
  <c r="EQ213" i="16" s="1"/>
  <c r="DN214" i="16"/>
  <c r="D214" i="16" s="1"/>
  <c r="EM214" i="16"/>
  <c r="DC226" i="16"/>
  <c r="AB227" i="16"/>
  <c r="DZ228" i="16"/>
  <c r="EE228" i="16" s="1"/>
  <c r="EM228" i="16"/>
  <c r="AD230" i="16"/>
  <c r="BS240" i="16"/>
  <c r="EO240" i="16"/>
  <c r="EQ240" i="16" s="1"/>
  <c r="DY240" i="16"/>
  <c r="EA241" i="16"/>
  <c r="EC241" i="16" s="1"/>
  <c r="ED241" i="16" s="1"/>
  <c r="EM241" i="16"/>
  <c r="AH241" i="16"/>
  <c r="GJ241" i="16" s="1"/>
  <c r="DX241" i="16"/>
  <c r="EB268" i="16"/>
  <c r="CV283" i="16"/>
  <c r="AR300" i="16"/>
  <c r="CW310" i="16"/>
  <c r="DO312" i="16"/>
  <c r="S312" i="16" s="1"/>
  <c r="AD370" i="16"/>
  <c r="DC129" i="16"/>
  <c r="DS129" i="16"/>
  <c r="FF129" i="16"/>
  <c r="AR142" i="16"/>
  <c r="AQ142" i="16" s="1"/>
  <c r="ES143" i="16"/>
  <c r="FB143" i="16" s="1"/>
  <c r="DY144" i="16"/>
  <c r="BS170" i="16"/>
  <c r="DE170" i="16"/>
  <c r="B170" i="16"/>
  <c r="DO171" i="16"/>
  <c r="S171" i="16" s="1"/>
  <c r="EM171" i="16"/>
  <c r="AD172" i="16"/>
  <c r="AC172" i="16" s="1"/>
  <c r="BO172" i="16"/>
  <c r="AR174" i="16"/>
  <c r="DC185" i="16"/>
  <c r="EO185" i="16"/>
  <c r="EQ185" i="16" s="1"/>
  <c r="FJ185" i="16"/>
  <c r="FL185" i="16" s="1"/>
  <c r="AV186" i="16"/>
  <c r="DR186" i="16"/>
  <c r="FO186" i="16"/>
  <c r="FP186" i="16" s="1"/>
  <c r="GA200" i="16"/>
  <c r="DN213" i="16"/>
  <c r="D213" i="16" s="1"/>
  <c r="BN214" i="16"/>
  <c r="BP212" i="16" s="1"/>
  <c r="CU214" i="16"/>
  <c r="EN214" i="16"/>
  <c r="EV214" i="16" s="1"/>
  <c r="EO226" i="16"/>
  <c r="EQ226" i="16" s="1"/>
  <c r="BO227" i="16"/>
  <c r="BN228" i="16"/>
  <c r="BP226" i="16" s="1"/>
  <c r="B240" i="16"/>
  <c r="EA240" i="16"/>
  <c r="GA240" i="16"/>
  <c r="BY242" i="16"/>
  <c r="CA242" i="16" s="1"/>
  <c r="BS256" i="16"/>
  <c r="DD256" i="16"/>
  <c r="BZ284" i="16"/>
  <c r="DS284" i="16"/>
  <c r="DO284" i="16"/>
  <c r="S284" i="16" s="1"/>
  <c r="DQ314" i="16"/>
  <c r="FX324" i="16"/>
  <c r="FU324" i="16"/>
  <c r="FO324" i="16"/>
  <c r="FP324" i="16" s="1"/>
  <c r="AV339" i="16"/>
  <c r="CT339" i="16" s="1"/>
  <c r="DS340" i="16"/>
  <c r="DO340" i="16"/>
  <c r="S340" i="16" s="1"/>
  <c r="AR117" i="16"/>
  <c r="CV128" i="16"/>
  <c r="EB128" i="16"/>
  <c r="DD129" i="16"/>
  <c r="FH129" i="16"/>
  <c r="CW130" i="16"/>
  <c r="BN143" i="16"/>
  <c r="AR144" i="16"/>
  <c r="AQ144" i="16" s="1"/>
  <c r="AD145" i="16"/>
  <c r="DD185" i="16"/>
  <c r="CW186" i="16"/>
  <c r="EO186" i="16"/>
  <c r="EQ186" i="16" s="1"/>
  <c r="CX199" i="16"/>
  <c r="CJ199" i="16"/>
  <c r="EN256" i="16"/>
  <c r="EZ256" i="16" s="1"/>
  <c r="EM256" i="16"/>
  <c r="DX256" i="16"/>
  <c r="BO256" i="16"/>
  <c r="AB256" i="16"/>
  <c r="FL269" i="16"/>
  <c r="CU311" i="16"/>
  <c r="CW311" i="16"/>
  <c r="CH326" i="16"/>
  <c r="CJ326" i="16" s="1"/>
  <c r="EZ338" i="16"/>
  <c r="CW339" i="16"/>
  <c r="CU339" i="16"/>
  <c r="EN340" i="16"/>
  <c r="FC340" i="16" s="1"/>
  <c r="EM340" i="16"/>
  <c r="AR352" i="16"/>
  <c r="AQ352" i="16" s="1"/>
  <c r="DS353" i="16"/>
  <c r="DO353" i="16"/>
  <c r="S353" i="16" s="1"/>
  <c r="EM437" i="16"/>
  <c r="EA437" i="16"/>
  <c r="EC437" i="16" s="1"/>
  <c r="ED437" i="16" s="1"/>
  <c r="BO129" i="16"/>
  <c r="CH130" i="16"/>
  <c r="CJ130" i="16" s="1"/>
  <c r="DP142" i="16"/>
  <c r="DQ145" i="16" s="1"/>
  <c r="DC143" i="16"/>
  <c r="FF143" i="16"/>
  <c r="CH157" i="16"/>
  <c r="EO170" i="16"/>
  <c r="EQ170" i="16" s="1"/>
  <c r="DC171" i="16"/>
  <c r="BY172" i="16"/>
  <c r="CA172" i="16" s="1"/>
  <c r="DD199" i="16"/>
  <c r="GA199" i="16"/>
  <c r="DI200" i="16"/>
  <c r="DJ200" i="16" s="1"/>
  <c r="CX212" i="16"/>
  <c r="CX213" i="16"/>
  <c r="FF213" i="16"/>
  <c r="AR214" i="16"/>
  <c r="AQ214" i="16" s="1"/>
  <c r="AH228" i="16"/>
  <c r="CS228" i="16" s="1"/>
  <c r="AR230" i="16"/>
  <c r="AD240" i="16"/>
  <c r="AC240" i="16" s="1"/>
  <c r="BN240" i="16"/>
  <c r="DC241" i="16"/>
  <c r="FL255" i="16"/>
  <c r="AD282" i="16"/>
  <c r="AC282" i="16" s="1"/>
  <c r="GA283" i="16"/>
  <c r="FJ283" i="16"/>
  <c r="BT283" i="16"/>
  <c r="AD296" i="16"/>
  <c r="AC296" i="16" s="1"/>
  <c r="FF324" i="16"/>
  <c r="DD324" i="16"/>
  <c r="AB324" i="16"/>
  <c r="BO324" i="16"/>
  <c r="FF339" i="16"/>
  <c r="DE339" i="16"/>
  <c r="DD339" i="16"/>
  <c r="EO339" i="16"/>
  <c r="EQ339" i="16" s="1"/>
  <c r="DC339" i="16"/>
  <c r="B339" i="16"/>
  <c r="BN340" i="16"/>
  <c r="BP338" i="16" s="1"/>
  <c r="BY254" i="16"/>
  <c r="CA254" i="16" s="1"/>
  <c r="GA255" i="16"/>
  <c r="FH270" i="16"/>
  <c r="CX282" i="16"/>
  <c r="BY282" i="16"/>
  <c r="BZ282" i="16" s="1"/>
  <c r="EO282" i="16"/>
  <c r="ES282" i="16" s="1"/>
  <c r="CW284" i="16"/>
  <c r="DE284" i="16"/>
  <c r="EM284" i="16"/>
  <c r="CH296" i="16"/>
  <c r="CU296" i="16"/>
  <c r="EA297" i="16"/>
  <c r="FF298" i="16"/>
  <c r="DY310" i="16"/>
  <c r="CU312" i="16"/>
  <c r="AV338" i="16"/>
  <c r="DY339" i="16"/>
  <c r="AB340" i="16"/>
  <c r="BO340" i="16"/>
  <c r="CV340" i="16"/>
  <c r="EA352" i="16"/>
  <c r="EM353" i="16"/>
  <c r="BS354" i="16"/>
  <c r="DO367" i="16"/>
  <c r="S367" i="16" s="1"/>
  <c r="DS367" i="16"/>
  <c r="CH422" i="16"/>
  <c r="CJ422" i="16" s="1"/>
  <c r="FF451" i="16"/>
  <c r="B450" i="16"/>
  <c r="DE451" i="16"/>
  <c r="B451" i="16"/>
  <c r="DD451" i="16"/>
  <c r="DC451" i="16"/>
  <c r="DX254" i="16"/>
  <c r="EO284" i="16"/>
  <c r="FO284" i="16"/>
  <c r="FP284" i="16" s="1"/>
  <c r="BT296" i="16"/>
  <c r="EN296" i="16"/>
  <c r="EV296" i="16" s="1"/>
  <c r="EM297" i="16"/>
  <c r="DX298" i="16"/>
  <c r="FI298" i="16"/>
  <c r="FQ298" i="16" s="1"/>
  <c r="DX311" i="16"/>
  <c r="AH312" i="16"/>
  <c r="GN311" i="16" s="1"/>
  <c r="DC312" i="16"/>
  <c r="DX324" i="16"/>
  <c r="DZ324" i="16" s="1"/>
  <c r="EE324" i="16" s="1"/>
  <c r="BN326" i="16"/>
  <c r="BP324" i="16" s="1"/>
  <c r="DX326" i="16"/>
  <c r="DZ326" i="16" s="1"/>
  <c r="EE326" i="16" s="1"/>
  <c r="DP328" i="16"/>
  <c r="DE340" i="16"/>
  <c r="EO340" i="16"/>
  <c r="ES340" i="16" s="1"/>
  <c r="FB340" i="16" s="1"/>
  <c r="AD342" i="16"/>
  <c r="CH353" i="16"/>
  <c r="CI353" i="16" s="1"/>
  <c r="DI366" i="16"/>
  <c r="DJ366" i="16" s="1"/>
  <c r="EB366" i="16"/>
  <c r="EC366" i="16" s="1"/>
  <c r="ED366" i="16" s="1"/>
  <c r="CX368" i="16"/>
  <c r="AD382" i="16"/>
  <c r="AC382" i="16" s="1"/>
  <c r="AV394" i="16"/>
  <c r="CT394" i="16" s="1"/>
  <c r="FI394" i="16"/>
  <c r="FV394" i="16" s="1"/>
  <c r="FH394" i="16"/>
  <c r="BO394" i="16"/>
  <c r="AB394" i="16"/>
  <c r="AD241" i="16"/>
  <c r="AC241" i="16" s="1"/>
  <c r="AD242" i="16"/>
  <c r="AC242" i="16" s="1"/>
  <c r="BN242" i="16"/>
  <c r="BP240" i="16" s="1"/>
  <c r="DX242" i="16"/>
  <c r="BN254" i="16"/>
  <c r="DY254" i="16"/>
  <c r="FH254" i="16"/>
  <c r="BT269" i="16"/>
  <c r="CV282" i="16"/>
  <c r="DQ282" i="16"/>
  <c r="DP283" i="16" s="1"/>
  <c r="BO283" i="16"/>
  <c r="BN297" i="16"/>
  <c r="EA298" i="16"/>
  <c r="EB310" i="16"/>
  <c r="CH311" i="16"/>
  <c r="CI311" i="16" s="1"/>
  <c r="DN311" i="16"/>
  <c r="D311" i="16" s="1"/>
  <c r="EN311" i="16"/>
  <c r="EV311" i="16" s="1"/>
  <c r="DE312" i="16"/>
  <c r="EA324" i="16"/>
  <c r="EC324" i="16" s="1"/>
  <c r="ED324" i="16" s="1"/>
  <c r="EA326" i="16"/>
  <c r="DD338" i="16"/>
  <c r="DX338" i="16"/>
  <c r="AD340" i="16"/>
  <c r="AC340" i="16" s="1"/>
  <c r="BS340" i="16"/>
  <c r="EM352" i="16"/>
  <c r="DE353" i="16"/>
  <c r="AH354" i="16"/>
  <c r="CS354" i="16" s="1"/>
  <c r="DE368" i="16"/>
  <c r="B367" i="16"/>
  <c r="DD368" i="16"/>
  <c r="FI368" i="16"/>
  <c r="FV368" i="16" s="1"/>
  <c r="FH368" i="16"/>
  <c r="AB368" i="16"/>
  <c r="DP394" i="16"/>
  <c r="DQ397" i="16" s="1"/>
  <c r="DN394" i="16"/>
  <c r="D394" i="16" s="1"/>
  <c r="BY241" i="16"/>
  <c r="CA241" i="16" s="1"/>
  <c r="EA242" i="16"/>
  <c r="EC242" i="16" s="1"/>
  <c r="ED242" i="16" s="1"/>
  <c r="AB254" i="16"/>
  <c r="BO254" i="16"/>
  <c r="DI254" i="16"/>
  <c r="DJ254" i="16" s="1"/>
  <c r="DX255" i="16"/>
  <c r="EZ255" i="16"/>
  <c r="EB270" i="16"/>
  <c r="DX282" i="16"/>
  <c r="BN284" i="16"/>
  <c r="BP282" i="16" s="1"/>
  <c r="EM298" i="16"/>
  <c r="DC311" i="16"/>
  <c r="DO311" i="16"/>
  <c r="S311" i="16" s="1"/>
  <c r="AD324" i="16"/>
  <c r="AC324" i="16" s="1"/>
  <c r="EB324" i="16"/>
  <c r="DY325" i="16"/>
  <c r="DI326" i="16"/>
  <c r="DJ326" i="16" s="1"/>
  <c r="EM326" i="16"/>
  <c r="EA338" i="16"/>
  <c r="BO339" i="16"/>
  <c r="CV352" i="16"/>
  <c r="EN352" i="16"/>
  <c r="FD352" i="16" s="1"/>
  <c r="FJ353" i="16"/>
  <c r="FL353" i="16" s="1"/>
  <c r="BY354" i="16"/>
  <c r="CA354" i="16" s="1"/>
  <c r="FF354" i="16"/>
  <c r="EN368" i="16"/>
  <c r="EV368" i="16" s="1"/>
  <c r="AH368" i="16"/>
  <c r="EA368" i="16"/>
  <c r="BN368" i="16"/>
  <c r="BP366" i="16" s="1"/>
  <c r="DX368" i="16"/>
  <c r="EM368" i="16"/>
  <c r="FJ422" i="16"/>
  <c r="FL422" i="16" s="1"/>
  <c r="BT422" i="16"/>
  <c r="CV423" i="16"/>
  <c r="AV423" i="16"/>
  <c r="AR426" i="16"/>
  <c r="CW241" i="16"/>
  <c r="DN241" i="16"/>
  <c r="D241" i="16" s="1"/>
  <c r="EM242" i="16"/>
  <c r="AR254" i="16"/>
  <c r="AQ254" i="16" s="1"/>
  <c r="EM254" i="16"/>
  <c r="CW255" i="16"/>
  <c r="DN255" i="16"/>
  <c r="D255" i="16" s="1"/>
  <c r="EA255" i="16"/>
  <c r="DO268" i="16"/>
  <c r="S268" i="16" s="1"/>
  <c r="DN269" i="16"/>
  <c r="D269" i="16" s="1"/>
  <c r="AR270" i="16"/>
  <c r="AQ270" i="16" s="1"/>
  <c r="DY282" i="16"/>
  <c r="FH283" i="16"/>
  <c r="BO284" i="16"/>
  <c r="DN298" i="16"/>
  <c r="D298" i="16" s="1"/>
  <c r="AD311" i="16"/>
  <c r="AC311" i="16" s="1"/>
  <c r="BT311" i="16"/>
  <c r="EC312" i="16"/>
  <c r="ED312" i="16" s="1"/>
  <c r="DI324" i="16"/>
  <c r="DJ324" i="16" s="1"/>
  <c r="AB325" i="16"/>
  <c r="DI325" i="16"/>
  <c r="DJ325" i="16" s="1"/>
  <c r="AD327" i="16"/>
  <c r="EM338" i="16"/>
  <c r="FH338" i="16"/>
  <c r="DI340" i="16"/>
  <c r="DJ340" i="16" s="1"/>
  <c r="BN352" i="16"/>
  <c r="DQ352" i="16"/>
  <c r="DQ354" i="16" s="1"/>
  <c r="EO352" i="16"/>
  <c r="EQ352" i="16" s="1"/>
  <c r="CU354" i="16"/>
  <c r="AR366" i="16"/>
  <c r="AQ366" i="16" s="1"/>
  <c r="BO368" i="16"/>
  <c r="DR368" i="16"/>
  <c r="DN368" i="16"/>
  <c r="D368" i="16" s="1"/>
  <c r="CX241" i="16"/>
  <c r="CH241" i="16"/>
  <c r="CI241" i="16" s="1"/>
  <c r="CV241" i="16"/>
  <c r="AH242" i="16"/>
  <c r="CS242" i="16" s="1"/>
  <c r="DS242" i="16"/>
  <c r="AR244" i="16"/>
  <c r="EM255" i="16"/>
  <c r="DS269" i="16"/>
  <c r="DX284" i="16"/>
  <c r="DZ284" i="16" s="1"/>
  <c r="EE284" i="16" s="1"/>
  <c r="AD286" i="16"/>
  <c r="AB296" i="16"/>
  <c r="DS298" i="16"/>
  <c r="EZ298" i="16"/>
  <c r="AD299" i="16"/>
  <c r="BN338" i="16"/>
  <c r="FH340" i="16"/>
  <c r="GA353" i="16"/>
  <c r="AR367" i="16"/>
  <c r="AQ367" i="16" s="1"/>
  <c r="BS367" i="16"/>
  <c r="DI382" i="16"/>
  <c r="DJ382" i="16" s="1"/>
  <c r="CU394" i="16"/>
  <c r="ES394" i="16"/>
  <c r="FB394" i="16" s="1"/>
  <c r="DC395" i="16"/>
  <c r="EO396" i="16"/>
  <c r="AR408" i="16"/>
  <c r="AQ408" i="16" s="1"/>
  <c r="BN408" i="16"/>
  <c r="DX408" i="16"/>
  <c r="DE409" i="16"/>
  <c r="EZ410" i="16"/>
  <c r="AR412" i="16"/>
  <c r="DC422" i="16"/>
  <c r="DQ422" i="16"/>
  <c r="DP423" i="16" s="1"/>
  <c r="DC423" i="16"/>
  <c r="EB424" i="16"/>
  <c r="AD436" i="16"/>
  <c r="AC436" i="16" s="1"/>
  <c r="AR436" i="16"/>
  <c r="AQ436" i="16" s="1"/>
  <c r="GA436" i="16"/>
  <c r="CH438" i="16"/>
  <c r="CJ438" i="16" s="1"/>
  <c r="AD450" i="16"/>
  <c r="AC450" i="16" s="1"/>
  <c r="FF450" i="16"/>
  <c r="AH451" i="16"/>
  <c r="GJ451" i="16" s="1"/>
  <c r="DO451" i="16"/>
  <c r="S451" i="16" s="1"/>
  <c r="AR452" i="16"/>
  <c r="AQ452" i="16" s="1"/>
  <c r="BN452" i="16"/>
  <c r="BP450" i="16" s="1"/>
  <c r="DQ464" i="16"/>
  <c r="DQ466" i="16" s="1"/>
  <c r="FA464" i="16"/>
  <c r="BY465" i="16"/>
  <c r="CA465" i="16" s="1"/>
  <c r="DI465" i="16"/>
  <c r="DJ465" i="16" s="1"/>
  <c r="BO466" i="16"/>
  <c r="AV366" i="16"/>
  <c r="BT367" i="16"/>
  <c r="FF381" i="16"/>
  <c r="AR383" i="16"/>
  <c r="DC394" i="16"/>
  <c r="FF394" i="16"/>
  <c r="B395" i="16"/>
  <c r="DD395" i="16"/>
  <c r="FF395" i="16"/>
  <c r="AD408" i="16"/>
  <c r="AC408" i="16" s="1"/>
  <c r="EA408" i="16"/>
  <c r="FJ409" i="16"/>
  <c r="FN409" i="16" s="1"/>
  <c r="FW409" i="16" s="1"/>
  <c r="DX410" i="16"/>
  <c r="DZ410" i="16" s="1"/>
  <c r="EE410" i="16" s="1"/>
  <c r="DY422" i="16"/>
  <c r="DD423" i="16"/>
  <c r="FF423" i="16"/>
  <c r="DC424" i="16"/>
  <c r="EM424" i="16"/>
  <c r="BT436" i="16"/>
  <c r="AR437" i="16"/>
  <c r="AQ437" i="16" s="1"/>
  <c r="BS437" i="16"/>
  <c r="FF437" i="16"/>
  <c r="AD439" i="16"/>
  <c r="AR440" i="16"/>
  <c r="DQ450" i="16"/>
  <c r="DQ454" i="16" s="1"/>
  <c r="BO452" i="16"/>
  <c r="DX464" i="16"/>
  <c r="FC464" i="16"/>
  <c r="AH465" i="16"/>
  <c r="GJ465" i="16" s="1"/>
  <c r="EO465" i="16"/>
  <c r="EQ465" i="16" s="1"/>
  <c r="AD466" i="16"/>
  <c r="AC466" i="16" s="1"/>
  <c r="FF466" i="16"/>
  <c r="EB382" i="16"/>
  <c r="DX395" i="16"/>
  <c r="DZ395" i="16" s="1"/>
  <c r="EE395" i="16" s="1"/>
  <c r="BY396" i="16"/>
  <c r="EB422" i="16"/>
  <c r="DC450" i="16"/>
  <c r="ES452" i="16"/>
  <c r="FB452" i="16" s="1"/>
  <c r="FF366" i="16"/>
  <c r="CX367" i="16"/>
  <c r="AD369" i="16"/>
  <c r="DC380" i="16"/>
  <c r="DE394" i="16"/>
  <c r="AH396" i="16"/>
  <c r="CS396" i="16" s="1"/>
  <c r="AR398" i="16"/>
  <c r="CU409" i="16"/>
  <c r="EB410" i="16"/>
  <c r="EC410" i="16" s="1"/>
  <c r="ED410" i="16" s="1"/>
  <c r="AR411" i="16"/>
  <c r="AR422" i="16"/>
  <c r="AQ422" i="16" s="1"/>
  <c r="AR423" i="16"/>
  <c r="AQ423" i="16" s="1"/>
  <c r="BN423" i="16"/>
  <c r="BN424" i="16"/>
  <c r="BP422" i="16" s="1"/>
  <c r="AH436" i="16"/>
  <c r="GF437" i="16" s="1"/>
  <c r="DO436" i="16"/>
  <c r="S436" i="16" s="1"/>
  <c r="FF436" i="16"/>
  <c r="DO437" i="16"/>
  <c r="S437" i="16" s="1"/>
  <c r="EM438" i="16"/>
  <c r="FI438" i="16"/>
  <c r="FU438" i="16" s="1"/>
  <c r="EA450" i="16"/>
  <c r="BY451" i="16"/>
  <c r="CA451" i="16" s="1"/>
  <c r="AD452" i="16"/>
  <c r="AC452" i="16" s="1"/>
  <c r="AV452" i="16"/>
  <c r="FF452" i="16"/>
  <c r="AR453" i="16"/>
  <c r="CX465" i="16"/>
  <c r="DC465" i="16"/>
  <c r="CX466" i="16"/>
  <c r="DX466" i="16"/>
  <c r="DZ466" i="16" s="1"/>
  <c r="EE466" i="16" s="1"/>
  <c r="AR356" i="16"/>
  <c r="AD366" i="16"/>
  <c r="AC366" i="16" s="1"/>
  <c r="FH366" i="16"/>
  <c r="AD380" i="16"/>
  <c r="AC380" i="16" s="1"/>
  <c r="AR380" i="16"/>
  <c r="AQ380" i="16" s="1"/>
  <c r="DE380" i="16"/>
  <c r="EO380" i="16"/>
  <c r="EQ380" i="16" s="1"/>
  <c r="CW381" i="16"/>
  <c r="AB382" i="16"/>
  <c r="BO382" i="16"/>
  <c r="CW382" i="16"/>
  <c r="FF382" i="16"/>
  <c r="EA395" i="16"/>
  <c r="CW396" i="16"/>
  <c r="FF396" i="16"/>
  <c r="CW408" i="16"/>
  <c r="CV409" i="16"/>
  <c r="EO409" i="16"/>
  <c r="EQ409" i="16" s="1"/>
  <c r="EM410" i="16"/>
  <c r="AR424" i="16"/>
  <c r="AQ424" i="16" s="1"/>
  <c r="EN438" i="16"/>
  <c r="FJ438" i="16"/>
  <c r="FL438" i="16" s="1"/>
  <c r="EM450" i="16"/>
  <c r="AR451" i="16"/>
  <c r="AQ451" i="16" s="1"/>
  <c r="DI451" i="16"/>
  <c r="DJ451" i="16" s="1"/>
  <c r="DY451" i="16"/>
  <c r="EA452" i="16"/>
  <c r="AD464" i="16"/>
  <c r="AC464" i="16" s="1"/>
  <c r="EA466" i="16"/>
  <c r="FI366" i="16"/>
  <c r="BS380" i="16"/>
  <c r="DC381" i="16"/>
  <c r="DY381" i="16"/>
  <c r="DE382" i="16"/>
  <c r="DR382" i="16"/>
  <c r="FH382" i="16"/>
  <c r="AD395" i="16"/>
  <c r="AC395" i="16" s="1"/>
  <c r="BN395" i="16"/>
  <c r="EN395" i="16"/>
  <c r="EZ395" i="16" s="1"/>
  <c r="CX396" i="16"/>
  <c r="BY408" i="16"/>
  <c r="BZ408" i="16" s="1"/>
  <c r="BN410" i="16"/>
  <c r="BP408" i="16" s="1"/>
  <c r="DR410" i="16"/>
  <c r="BY423" i="16"/>
  <c r="CA423" i="16" s="1"/>
  <c r="EO423" i="16"/>
  <c r="EQ423" i="16" s="1"/>
  <c r="DX424" i="16"/>
  <c r="DZ424" i="16" s="1"/>
  <c r="EE424" i="16" s="1"/>
  <c r="AR425" i="16"/>
  <c r="CH436" i="16"/>
  <c r="CI436" i="16" s="1"/>
  <c r="BN438" i="16"/>
  <c r="BP436" i="16" s="1"/>
  <c r="AR450" i="16"/>
  <c r="AQ450" i="16" s="1"/>
  <c r="BN450" i="16"/>
  <c r="CH451" i="16"/>
  <c r="CJ451" i="16" s="1"/>
  <c r="CX452" i="16"/>
  <c r="EB452" i="16"/>
  <c r="AD454" i="16"/>
  <c r="DE465" i="16"/>
  <c r="FJ465" i="16"/>
  <c r="FL465" i="16" s="1"/>
  <c r="EB466" i="16"/>
  <c r="AD396" i="16"/>
  <c r="AC396" i="16" s="1"/>
  <c r="DD396" i="16"/>
  <c r="CW451" i="16"/>
  <c r="EM452" i="16"/>
  <c r="AD453" i="16"/>
  <c r="AD467" i="16"/>
  <c r="AR16" i="16"/>
  <c r="AQ16" i="16" s="1"/>
  <c r="DR397" i="16"/>
  <c r="DN412" i="16"/>
  <c r="D412" i="16" s="1"/>
  <c r="DR327" i="16"/>
  <c r="DR468" i="16"/>
  <c r="DN229" i="16"/>
  <c r="D229" i="16" s="1"/>
  <c r="DR243" i="16"/>
  <c r="DN188" i="16"/>
  <c r="D188" i="16" s="1"/>
  <c r="DN271" i="16"/>
  <c r="D271" i="16" s="1"/>
  <c r="DN342" i="16"/>
  <c r="D342" i="16" s="1"/>
  <c r="DR187" i="16"/>
  <c r="DR411" i="16"/>
  <c r="DR454" i="16"/>
  <c r="DR48" i="16"/>
  <c r="DR355" i="16"/>
  <c r="DR467" i="16"/>
  <c r="CJ465" i="16"/>
  <c r="CI465" i="16"/>
  <c r="BQ464" i="16"/>
  <c r="CH464" i="16"/>
  <c r="EB464" i="16"/>
  <c r="EC464" i="16" s="1"/>
  <c r="ED464" i="16" s="1"/>
  <c r="DY464" i="16"/>
  <c r="DS465" i="16"/>
  <c r="DO465" i="16"/>
  <c r="S465" i="16" s="1"/>
  <c r="ES466" i="16"/>
  <c r="BT465" i="16"/>
  <c r="GA465" i="16"/>
  <c r="DN465" i="16"/>
  <c r="D465" i="16" s="1"/>
  <c r="AV465" i="16"/>
  <c r="AB465" i="16"/>
  <c r="FH465" i="16"/>
  <c r="AR467" i="16"/>
  <c r="AR468" i="16"/>
  <c r="CX464" i="16"/>
  <c r="CV464" i="16"/>
  <c r="BT466" i="16"/>
  <c r="CT466" i="16"/>
  <c r="GA466" i="16"/>
  <c r="FJ466" i="16"/>
  <c r="FL466" i="16" s="1"/>
  <c r="CH466" i="16"/>
  <c r="AD465" i="16"/>
  <c r="AC465" i="16" s="1"/>
  <c r="BR465" i="16"/>
  <c r="FI465" i="16"/>
  <c r="CW464" i="16"/>
  <c r="EV464" i="16"/>
  <c r="FD464" i="16"/>
  <c r="DC466" i="16"/>
  <c r="AH464" i="16"/>
  <c r="GF465" i="16" s="1"/>
  <c r="BO464" i="16"/>
  <c r="EO464" i="16"/>
  <c r="EQ464" i="16" s="1"/>
  <c r="BS465" i="16"/>
  <c r="DX465" i="16"/>
  <c r="EM465" i="16"/>
  <c r="AH466" i="16"/>
  <c r="BY466" i="16"/>
  <c r="DD466" i="16"/>
  <c r="DC464" i="16"/>
  <c r="FF464" i="16"/>
  <c r="CU465" i="16"/>
  <c r="EN465" i="16"/>
  <c r="DE466" i="16"/>
  <c r="BY464" i="16"/>
  <c r="DD464" i="16"/>
  <c r="FH464" i="16"/>
  <c r="BN465" i="16"/>
  <c r="DN453" i="16"/>
  <c r="D453" i="16" s="1"/>
  <c r="DN440" i="16"/>
  <c r="D440" i="16" s="1"/>
  <c r="DN439" i="16"/>
  <c r="D439" i="16" s="1"/>
  <c r="DN383" i="16"/>
  <c r="D383" i="16" s="1"/>
  <c r="DN369" i="16"/>
  <c r="D369" i="16" s="1"/>
  <c r="DN356" i="16"/>
  <c r="D356" i="16" s="1"/>
  <c r="DN341" i="16"/>
  <c r="D341" i="16" s="1"/>
  <c r="DN328" i="16"/>
  <c r="D328" i="16" s="1"/>
  <c r="DN314" i="16"/>
  <c r="D314" i="16" s="1"/>
  <c r="DR300" i="16"/>
  <c r="DR286" i="16"/>
  <c r="DN272" i="16"/>
  <c r="D272" i="16" s="1"/>
  <c r="DN215" i="16"/>
  <c r="D215" i="16" s="1"/>
  <c r="DN216" i="16"/>
  <c r="D216" i="16" s="1"/>
  <c r="DN202" i="16"/>
  <c r="D202" i="16" s="1"/>
  <c r="DR173" i="16"/>
  <c r="DN160" i="16"/>
  <c r="D160" i="16" s="1"/>
  <c r="DN159" i="16"/>
  <c r="D159" i="16" s="1"/>
  <c r="DN146" i="16"/>
  <c r="D146" i="16" s="1"/>
  <c r="DR131" i="16"/>
  <c r="DD353" i="16"/>
  <c r="BY353" i="16"/>
  <c r="B353" i="16"/>
  <c r="B352" i="16"/>
  <c r="DC353" i="16"/>
  <c r="FF353" i="16"/>
  <c r="EO353" i="16"/>
  <c r="AH353" i="16"/>
  <c r="CS353" i="16" s="1"/>
  <c r="CW353" i="16"/>
  <c r="CU353" i="16"/>
  <c r="DP352" i="16"/>
  <c r="DN352" i="16"/>
  <c r="D352" i="16" s="1"/>
  <c r="CX366" i="16"/>
  <c r="CI380" i="16"/>
  <c r="CJ380" i="16"/>
  <c r="DR354" i="16"/>
  <c r="DN354" i="16"/>
  <c r="D354" i="16" s="1"/>
  <c r="FJ366" i="16"/>
  <c r="CH366" i="16"/>
  <c r="BT366" i="16"/>
  <c r="GA366" i="16"/>
  <c r="AR353" i="16"/>
  <c r="AQ353" i="16" s="1"/>
  <c r="CJ367" i="16"/>
  <c r="CI367" i="16"/>
  <c r="FV354" i="16"/>
  <c r="AV352" i="16"/>
  <c r="FI352" i="16"/>
  <c r="FH352" i="16"/>
  <c r="AB352" i="16"/>
  <c r="EV352" i="16"/>
  <c r="FM353" i="16"/>
  <c r="CX382" i="16"/>
  <c r="CV382" i="16"/>
  <c r="AV382" i="16"/>
  <c r="CH352" i="16"/>
  <c r="DC352" i="16"/>
  <c r="FF352" i="16"/>
  <c r="BT353" i="16"/>
  <c r="DY353" i="16"/>
  <c r="DZ353" i="16" s="1"/>
  <c r="EE353" i="16" s="1"/>
  <c r="EN353" i="16"/>
  <c r="AB354" i="16"/>
  <c r="DE354" i="16"/>
  <c r="DC354" i="16"/>
  <c r="EM354" i="16"/>
  <c r="AB367" i="16"/>
  <c r="DE367" i="16"/>
  <c r="DI368" i="16"/>
  <c r="DJ368" i="16" s="1"/>
  <c r="DY368" i="16"/>
  <c r="EB368" i="16"/>
  <c r="FJ368" i="16"/>
  <c r="FL368" i="16" s="1"/>
  <c r="CW380" i="16"/>
  <c r="AB381" i="16"/>
  <c r="GA381" i="16"/>
  <c r="FJ381" i="16"/>
  <c r="FL381" i="16" s="1"/>
  <c r="BT381" i="16"/>
  <c r="CH381" i="16"/>
  <c r="FU396" i="16"/>
  <c r="EM381" i="16"/>
  <c r="DX381" i="16"/>
  <c r="AH381" i="16"/>
  <c r="CS381" i="16" s="1"/>
  <c r="EN382" i="16"/>
  <c r="DX382" i="16"/>
  <c r="DZ382" i="16" s="1"/>
  <c r="EE382" i="16" s="1"/>
  <c r="EM382" i="16"/>
  <c r="AH382" i="16"/>
  <c r="GN381" i="16" s="1"/>
  <c r="BY352" i="16"/>
  <c r="DD352" i="16"/>
  <c r="DI353" i="16"/>
  <c r="DJ353" i="16" s="1"/>
  <c r="DX354" i="16"/>
  <c r="EN354" i="16"/>
  <c r="DN366" i="16"/>
  <c r="D366" i="16" s="1"/>
  <c r="BN367" i="16"/>
  <c r="DC368" i="16"/>
  <c r="EO368" i="16"/>
  <c r="DN370" i="16"/>
  <c r="D370" i="16" s="1"/>
  <c r="AV381" i="16"/>
  <c r="GJ383" i="16" s="1"/>
  <c r="FJ394" i="16"/>
  <c r="FL394" i="16" s="1"/>
  <c r="CH394" i="16"/>
  <c r="BT394" i="16"/>
  <c r="CX394" i="16"/>
  <c r="DP370" i="16"/>
  <c r="DR381" i="16"/>
  <c r="DN381" i="16"/>
  <c r="D381" i="16" s="1"/>
  <c r="DE352" i="16"/>
  <c r="BN353" i="16"/>
  <c r="AV354" i="16"/>
  <c r="CT354" i="16" s="1"/>
  <c r="BN354" i="16"/>
  <c r="BP352" i="16" s="1"/>
  <c r="CH354" i="16"/>
  <c r="EO354" i="16"/>
  <c r="FH354" i="16"/>
  <c r="AH366" i="16"/>
  <c r="GF367" i="16" s="1"/>
  <c r="DD366" i="16"/>
  <c r="CW367" i="16"/>
  <c r="EM367" i="16"/>
  <c r="BY368" i="16"/>
  <c r="EN380" i="16"/>
  <c r="BN380" i="16"/>
  <c r="EM380" i="16"/>
  <c r="DX380" i="16"/>
  <c r="CV380" i="16"/>
  <c r="CX380" i="16"/>
  <c r="DP380" i="16"/>
  <c r="AD381" i="16"/>
  <c r="AC381" i="16" s="1"/>
  <c r="CX381" i="16"/>
  <c r="DS381" i="16"/>
  <c r="EN381" i="16"/>
  <c r="FH381" i="16"/>
  <c r="AR382" i="16"/>
  <c r="AQ382" i="16" s="1"/>
  <c r="AD394" i="16"/>
  <c r="AC394" i="16" s="1"/>
  <c r="AD397" i="16"/>
  <c r="FJ352" i="16"/>
  <c r="FL352" i="16" s="1"/>
  <c r="BO353" i="16"/>
  <c r="CX353" i="16"/>
  <c r="FH353" i="16"/>
  <c r="BO354" i="16"/>
  <c r="CW366" i="16"/>
  <c r="DE366" i="16"/>
  <c r="EM366" i="16"/>
  <c r="EN367" i="16"/>
  <c r="CH368" i="16"/>
  <c r="GA368" i="16"/>
  <c r="BQ380" i="16"/>
  <c r="FI381" i="16"/>
  <c r="BT352" i="16"/>
  <c r="GA352" i="16"/>
  <c r="DS354" i="16"/>
  <c r="FJ354" i="16"/>
  <c r="FL354" i="16" s="1"/>
  <c r="EO366" i="16"/>
  <c r="EQ366" i="16" s="1"/>
  <c r="FH367" i="16"/>
  <c r="BO367" i="16"/>
  <c r="EQ367" i="16"/>
  <c r="AD368" i="16"/>
  <c r="AC368" i="16" s="1"/>
  <c r="CW368" i="16"/>
  <c r="BN381" i="16"/>
  <c r="DI381" i="16"/>
  <c r="DJ381" i="16" s="1"/>
  <c r="BN382" i="16"/>
  <c r="BP380" i="16" s="1"/>
  <c r="AD384" i="16"/>
  <c r="GA395" i="16"/>
  <c r="CH395" i="16"/>
  <c r="CX395" i="16"/>
  <c r="EA381" i="16"/>
  <c r="EC381" i="16" s="1"/>
  <c r="ED381" i="16" s="1"/>
  <c r="EN366" i="16"/>
  <c r="BN366" i="16"/>
  <c r="DQ367" i="16"/>
  <c r="DY367" i="16"/>
  <c r="BS368" i="16"/>
  <c r="EB380" i="16"/>
  <c r="DY380" i="16"/>
  <c r="DI380" i="16"/>
  <c r="DJ380" i="16" s="1"/>
  <c r="AR381" i="16"/>
  <c r="AQ381" i="16" s="1"/>
  <c r="EA382" i="16"/>
  <c r="DR384" i="16"/>
  <c r="DN384" i="16"/>
  <c r="D384" i="16" s="1"/>
  <c r="FI395" i="16"/>
  <c r="BO395" i="16"/>
  <c r="AB395" i="16"/>
  <c r="AV395" i="16"/>
  <c r="CX422" i="16"/>
  <c r="CV422" i="16"/>
  <c r="DQ411" i="16"/>
  <c r="DQ409" i="16"/>
  <c r="B380" i="16"/>
  <c r="B381" i="16"/>
  <c r="BY381" i="16"/>
  <c r="DD381" i="16"/>
  <c r="AH394" i="16"/>
  <c r="GF395" i="16" s="1"/>
  <c r="DO395" i="16"/>
  <c r="S395" i="16" s="1"/>
  <c r="DS395" i="16"/>
  <c r="AB409" i="16"/>
  <c r="FI409" i="16"/>
  <c r="AV409" i="16"/>
  <c r="BO409" i="16"/>
  <c r="AV368" i="16"/>
  <c r="DE381" i="16"/>
  <c r="CH382" i="16"/>
  <c r="DD382" i="16"/>
  <c r="FU394" i="16"/>
  <c r="FN395" i="16"/>
  <c r="BR409" i="16"/>
  <c r="DP410" i="16"/>
  <c r="BT424" i="16"/>
  <c r="CH424" i="16"/>
  <c r="FJ424" i="16"/>
  <c r="GA424" i="16"/>
  <c r="CX424" i="16"/>
  <c r="BS381" i="16"/>
  <c r="AH408" i="16"/>
  <c r="GF409" i="16" s="1"/>
  <c r="CU408" i="16"/>
  <c r="EB408" i="16"/>
  <c r="DI408" i="16"/>
  <c r="DJ408" i="16" s="1"/>
  <c r="DY408" i="16"/>
  <c r="AD409" i="16"/>
  <c r="AC409" i="16" s="1"/>
  <c r="DP412" i="16"/>
  <c r="EN394" i="16"/>
  <c r="BN394" i="16"/>
  <c r="EA394" i="16"/>
  <c r="EM394" i="16"/>
  <c r="DQ395" i="16"/>
  <c r="FD395" i="16"/>
  <c r="FD396" i="16"/>
  <c r="DE408" i="16"/>
  <c r="EO408" i="16"/>
  <c r="EQ408" i="16" s="1"/>
  <c r="DC408" i="16"/>
  <c r="BS408" i="16"/>
  <c r="B408" i="16"/>
  <c r="DD408" i="16"/>
  <c r="GA408" i="16"/>
  <c r="CH408" i="16"/>
  <c r="BT408" i="16"/>
  <c r="FJ408" i="16"/>
  <c r="FL408" i="16" s="1"/>
  <c r="CX410" i="16"/>
  <c r="CV410" i="16"/>
  <c r="BY380" i="16"/>
  <c r="BS382" i="16"/>
  <c r="EO382" i="16"/>
  <c r="EQ382" i="16" s="1"/>
  <c r="CH396" i="16"/>
  <c r="GA396" i="16"/>
  <c r="CV396" i="16"/>
  <c r="FD408" i="16"/>
  <c r="DD410" i="16"/>
  <c r="BY410" i="16"/>
  <c r="EO410" i="16"/>
  <c r="EQ410" i="16" s="1"/>
  <c r="FF410" i="16"/>
  <c r="B409" i="16"/>
  <c r="BT410" i="16"/>
  <c r="FJ410" i="16"/>
  <c r="CH410" i="16"/>
  <c r="DP411" i="16"/>
  <c r="BQ410" i="16"/>
  <c r="AV410" i="16"/>
  <c r="EO422" i="16"/>
  <c r="B422" i="16"/>
  <c r="BY422" i="16"/>
  <c r="DE422" i="16"/>
  <c r="CW422" i="16"/>
  <c r="BS422" i="16"/>
  <c r="DO424" i="16"/>
  <c r="S424" i="16" s="1"/>
  <c r="DS424" i="16"/>
  <c r="E451" i="16"/>
  <c r="CU423" i="16"/>
  <c r="CW423" i="16"/>
  <c r="EB450" i="16"/>
  <c r="DY450" i="16"/>
  <c r="DI450" i="16"/>
  <c r="DJ450" i="16" s="1"/>
  <c r="BS394" i="16"/>
  <c r="EO395" i="16"/>
  <c r="EQ395" i="16" s="1"/>
  <c r="DE395" i="16"/>
  <c r="DI395" i="16"/>
  <c r="DJ395" i="16" s="1"/>
  <c r="EB395" i="16"/>
  <c r="FI408" i="16"/>
  <c r="BO408" i="16"/>
  <c r="FH408" i="16"/>
  <c r="AB408" i="16"/>
  <c r="DO409" i="16"/>
  <c r="S409" i="16" s="1"/>
  <c r="DI410" i="16"/>
  <c r="DJ410" i="16" s="1"/>
  <c r="DQ412" i="16"/>
  <c r="EA409" i="16"/>
  <c r="EC409" i="16" s="1"/>
  <c r="ED409" i="16" s="1"/>
  <c r="BN409" i="16"/>
  <c r="EM409" i="16"/>
  <c r="DX409" i="16"/>
  <c r="EN409" i="16"/>
  <c r="AR410" i="16"/>
  <c r="AQ410" i="16" s="1"/>
  <c r="EB438" i="16"/>
  <c r="DY438" i="16"/>
  <c r="DI438" i="16"/>
  <c r="DJ438" i="16" s="1"/>
  <c r="EM396" i="16"/>
  <c r="DX396" i="16"/>
  <c r="DZ396" i="16" s="1"/>
  <c r="EE396" i="16" s="1"/>
  <c r="BN396" i="16"/>
  <c r="BP394" i="16" s="1"/>
  <c r="DR398" i="16"/>
  <c r="BT409" i="16"/>
  <c r="CU410" i="16"/>
  <c r="AH410" i="16"/>
  <c r="CW410" i="16"/>
  <c r="FU410" i="16"/>
  <c r="FX410" i="16"/>
  <c r="AD411" i="16"/>
  <c r="CI422" i="16"/>
  <c r="FF422" i="16"/>
  <c r="AH422" i="16"/>
  <c r="EN422" i="16"/>
  <c r="DX422" i="16"/>
  <c r="BN422" i="16"/>
  <c r="BO424" i="16"/>
  <c r="AV424" i="16"/>
  <c r="AB424" i="16"/>
  <c r="FH424" i="16"/>
  <c r="FI424" i="16"/>
  <c r="BQ422" i="16"/>
  <c r="EA422" i="16"/>
  <c r="DC396" i="16"/>
  <c r="CX408" i="16"/>
  <c r="FD410" i="16"/>
  <c r="FA410" i="16"/>
  <c r="AV436" i="16"/>
  <c r="GF439" i="16" s="1"/>
  <c r="FI436" i="16"/>
  <c r="AB436" i="16"/>
  <c r="BO436" i="16"/>
  <c r="FH436" i="16"/>
  <c r="AD424" i="16"/>
  <c r="AC424" i="16" s="1"/>
  <c r="DN426" i="16"/>
  <c r="D426" i="16" s="1"/>
  <c r="DR426" i="16"/>
  <c r="CA436" i="16"/>
  <c r="DO452" i="16"/>
  <c r="S452" i="16" s="1"/>
  <c r="GA422" i="16"/>
  <c r="DN423" i="16"/>
  <c r="D423" i="16" s="1"/>
  <c r="FC423" i="16"/>
  <c r="CU424" i="16"/>
  <c r="CW424" i="16"/>
  <c r="AH424" i="16"/>
  <c r="GN423" i="16" s="1"/>
  <c r="EM423" i="16"/>
  <c r="DX423" i="16"/>
  <c r="CX438" i="16"/>
  <c r="CV438" i="16"/>
  <c r="B437" i="16"/>
  <c r="FF438" i="16"/>
  <c r="EO438" i="16"/>
  <c r="DE438" i="16"/>
  <c r="DD438" i="16"/>
  <c r="BS438" i="16"/>
  <c r="DC438" i="16"/>
  <c r="BY438" i="16"/>
  <c r="BS409" i="16"/>
  <c r="BO422" i="16"/>
  <c r="BO423" i="16"/>
  <c r="DO423" i="16"/>
  <c r="S423" i="16" s="1"/>
  <c r="FH423" i="16"/>
  <c r="DN424" i="16"/>
  <c r="D424" i="16" s="1"/>
  <c r="DI436" i="16"/>
  <c r="DJ436" i="16" s="1"/>
  <c r="EB436" i="16"/>
  <c r="FA436" i="16"/>
  <c r="EZ436" i="16"/>
  <c r="FI423" i="16"/>
  <c r="GA423" i="16"/>
  <c r="CW437" i="16"/>
  <c r="DR437" i="16"/>
  <c r="EA423" i="16"/>
  <c r="EC423" i="16" s="1"/>
  <c r="ED423" i="16" s="1"/>
  <c r="CW436" i="16"/>
  <c r="CU436" i="16"/>
  <c r="FX438" i="16"/>
  <c r="CU422" i="16"/>
  <c r="FH422" i="16"/>
  <c r="AH423" i="16"/>
  <c r="GJ423" i="16" s="1"/>
  <c r="EC424" i="16"/>
  <c r="ED424" i="16" s="1"/>
  <c r="DN425" i="16"/>
  <c r="D425" i="16" s="1"/>
  <c r="FI437" i="16"/>
  <c r="BO437" i="16"/>
  <c r="FH437" i="16"/>
  <c r="AV437" i="16"/>
  <c r="GJ439" i="16" s="1"/>
  <c r="AB437" i="16"/>
  <c r="AD440" i="16"/>
  <c r="BS436" i="16"/>
  <c r="DD437" i="16"/>
  <c r="BY437" i="16"/>
  <c r="B436" i="16"/>
  <c r="CX437" i="16"/>
  <c r="FH438" i="16"/>
  <c r="BO438" i="16"/>
  <c r="AV451" i="16"/>
  <c r="AB451" i="16"/>
  <c r="FI451" i="16"/>
  <c r="FH451" i="16"/>
  <c r="BO451" i="16"/>
  <c r="EM436" i="16"/>
  <c r="DX436" i="16"/>
  <c r="DZ436" i="16" s="1"/>
  <c r="EE436" i="16" s="1"/>
  <c r="EA436" i="16"/>
  <c r="AH437" i="16"/>
  <c r="GJ437" i="16" s="1"/>
  <c r="DX437" i="16"/>
  <c r="EN437" i="16"/>
  <c r="CV436" i="16"/>
  <c r="CX436" i="16"/>
  <c r="BN437" i="16"/>
  <c r="CH437" i="16"/>
  <c r="DE437" i="16"/>
  <c r="DY437" i="16"/>
  <c r="EO437" i="16"/>
  <c r="EQ437" i="16" s="1"/>
  <c r="AH438" i="16"/>
  <c r="DO438" i="16"/>
  <c r="S438" i="16" s="1"/>
  <c r="DX438" i="16"/>
  <c r="CX450" i="16"/>
  <c r="CV450" i="16"/>
  <c r="BN436" i="16"/>
  <c r="DN436" i="16"/>
  <c r="D436" i="16" s="1"/>
  <c r="FJ437" i="16"/>
  <c r="FL437" i="16" s="1"/>
  <c r="CW438" i="16"/>
  <c r="DQ453" i="16"/>
  <c r="DE436" i="16"/>
  <c r="DI437" i="16"/>
  <c r="DJ437" i="16" s="1"/>
  <c r="AV438" i="16"/>
  <c r="GN439" i="16" s="1"/>
  <c r="BQ450" i="16"/>
  <c r="BT452" i="16"/>
  <c r="CT452" i="16"/>
  <c r="FJ452" i="16"/>
  <c r="FH452" i="16"/>
  <c r="FI450" i="16"/>
  <c r="FH450" i="16"/>
  <c r="AB450" i="16"/>
  <c r="BO450" i="16"/>
  <c r="FI452" i="16"/>
  <c r="BT450" i="16"/>
  <c r="CH450" i="16"/>
  <c r="FJ450" i="16"/>
  <c r="FL450" i="16" s="1"/>
  <c r="CH452" i="16"/>
  <c r="AR454" i="16"/>
  <c r="AH450" i="16"/>
  <c r="GF451" i="16" s="1"/>
  <c r="EA451" i="16"/>
  <c r="EC451" i="16" s="1"/>
  <c r="ED451" i="16" s="1"/>
  <c r="BN451" i="16"/>
  <c r="EM451" i="16"/>
  <c r="DX451" i="16"/>
  <c r="CW450" i="16"/>
  <c r="GA450" i="16"/>
  <c r="CW452" i="16"/>
  <c r="EO450" i="16"/>
  <c r="EQ450" i="16" s="1"/>
  <c r="BS451" i="16"/>
  <c r="AH452" i="16"/>
  <c r="GN451" i="16" s="1"/>
  <c r="BY452" i="16"/>
  <c r="DD452" i="16"/>
  <c r="BY450" i="16"/>
  <c r="DD450" i="16"/>
  <c r="CJ255" i="16"/>
  <c r="DQ243" i="16"/>
  <c r="DP242" i="16"/>
  <c r="DP244" i="16"/>
  <c r="DQ241" i="16"/>
  <c r="CW240" i="16"/>
  <c r="EV240" i="16"/>
  <c r="FD240" i="16"/>
  <c r="DE241" i="16"/>
  <c r="DO241" i="16"/>
  <c r="S241" i="16" s="1"/>
  <c r="CH242" i="16"/>
  <c r="DC242" i="16"/>
  <c r="DN244" i="16"/>
  <c r="D244" i="16" s="1"/>
  <c r="FH255" i="16"/>
  <c r="BO255" i="16"/>
  <c r="AV255" i="16"/>
  <c r="GJ257" i="16" s="1"/>
  <c r="AB255" i="16"/>
  <c r="AD256" i="16"/>
  <c r="AC256" i="16" s="1"/>
  <c r="CX256" i="16"/>
  <c r="AR257" i="16"/>
  <c r="DN257" i="16"/>
  <c r="D257" i="16" s="1"/>
  <c r="DR257" i="16"/>
  <c r="AH268" i="16"/>
  <c r="GF269" i="16" s="1"/>
  <c r="CW268" i="16"/>
  <c r="CX240" i="16"/>
  <c r="AB241" i="16"/>
  <c r="BS241" i="16"/>
  <c r="DN242" i="16"/>
  <c r="D242" i="16" s="1"/>
  <c r="FF254" i="16"/>
  <c r="DC254" i="16"/>
  <c r="BS254" i="16"/>
  <c r="DD254" i="16"/>
  <c r="CW254" i="16"/>
  <c r="CX254" i="16"/>
  <c r="CV255" i="16"/>
  <c r="FH256" i="16"/>
  <c r="FI282" i="16"/>
  <c r="AB282" i="16"/>
  <c r="FH282" i="16"/>
  <c r="BO282" i="16"/>
  <c r="AV282" i="16"/>
  <c r="GF285" i="16" s="1"/>
  <c r="CV240" i="16"/>
  <c r="CH240" i="16"/>
  <c r="DC240" i="16"/>
  <c r="FF240" i="16"/>
  <c r="CU241" i="16"/>
  <c r="DY241" i="16"/>
  <c r="EN241" i="16"/>
  <c r="DE242" i="16"/>
  <c r="AD244" i="16"/>
  <c r="EA254" i="16"/>
  <c r="EC254" i="16" s="1"/>
  <c r="ED254" i="16" s="1"/>
  <c r="AH254" i="16"/>
  <c r="GF255" i="16" s="1"/>
  <c r="CH254" i="16"/>
  <c r="FJ254" i="16"/>
  <c r="FL254" i="16" s="1"/>
  <c r="BT254" i="16"/>
  <c r="DE254" i="16"/>
  <c r="DQ258" i="16"/>
  <c r="DQ256" i="16"/>
  <c r="EO254" i="16"/>
  <c r="EQ254" i="16" s="1"/>
  <c r="DI256" i="16"/>
  <c r="DJ256" i="16" s="1"/>
  <c r="DY256" i="16"/>
  <c r="FJ256" i="16"/>
  <c r="FL256" i="16" s="1"/>
  <c r="CH270" i="16"/>
  <c r="BT270" i="16"/>
  <c r="GA270" i="16"/>
  <c r="CX270" i="16"/>
  <c r="FJ270" i="16"/>
  <c r="CX242" i="16"/>
  <c r="BY240" i="16"/>
  <c r="DD240" i="16"/>
  <c r="DN240" i="16"/>
  <c r="D240" i="16" s="1"/>
  <c r="FH240" i="16"/>
  <c r="AV241" i="16"/>
  <c r="GJ243" i="16" s="1"/>
  <c r="DI241" i="16"/>
  <c r="DJ241" i="16" s="1"/>
  <c r="EO241" i="16"/>
  <c r="EQ241" i="16" s="1"/>
  <c r="BS242" i="16"/>
  <c r="FF242" i="16"/>
  <c r="DR258" i="16"/>
  <c r="FI241" i="16"/>
  <c r="FV255" i="16"/>
  <c r="DE269" i="16"/>
  <c r="DC269" i="16"/>
  <c r="BY269" i="16"/>
  <c r="B268" i="16"/>
  <c r="DD269" i="16"/>
  <c r="BS269" i="16"/>
  <c r="FF269" i="16"/>
  <c r="EO269" i="16"/>
  <c r="EQ269" i="16" s="1"/>
  <c r="FY255" i="16"/>
  <c r="FI269" i="16"/>
  <c r="BO269" i="16"/>
  <c r="AV269" i="16"/>
  <c r="AB269" i="16"/>
  <c r="DE240" i="16"/>
  <c r="EZ240" i="16"/>
  <c r="FI240" i="16"/>
  <c r="BN241" i="16"/>
  <c r="BT242" i="16"/>
  <c r="DY242" i="16"/>
  <c r="FI242" i="16"/>
  <c r="GA242" i="16"/>
  <c r="B254" i="16"/>
  <c r="DR256" i="16"/>
  <c r="DN256" i="16"/>
  <c r="D256" i="16" s="1"/>
  <c r="EB256" i="16"/>
  <c r="CU268" i="16"/>
  <c r="DI269" i="16"/>
  <c r="DJ269" i="16" s="1"/>
  <c r="EB269" i="16"/>
  <c r="AV256" i="16"/>
  <c r="FI256" i="16"/>
  <c r="AV240" i="16"/>
  <c r="GF243" i="16" s="1"/>
  <c r="BO241" i="16"/>
  <c r="AV242" i="16"/>
  <c r="DI242" i="16"/>
  <c r="DJ242" i="16" s="1"/>
  <c r="AD254" i="16"/>
  <c r="AC254" i="16" s="1"/>
  <c r="BY255" i="16"/>
  <c r="B255" i="16"/>
  <c r="DE255" i="16"/>
  <c r="DY255" i="16"/>
  <c r="EB255" i="16"/>
  <c r="FF255" i="16"/>
  <c r="EA256" i="16"/>
  <c r="BN256" i="16"/>
  <c r="BP254" i="16" s="1"/>
  <c r="AH256" i="16"/>
  <c r="BT256" i="16"/>
  <c r="CH256" i="16"/>
  <c r="DO256" i="16"/>
  <c r="S256" i="16" s="1"/>
  <c r="DS256" i="16"/>
  <c r="AD268" i="16"/>
  <c r="AC268" i="16" s="1"/>
  <c r="AV254" i="16"/>
  <c r="GF257" i="16" s="1"/>
  <c r="FF268" i="16"/>
  <c r="BY268" i="16"/>
  <c r="DC268" i="16"/>
  <c r="DD268" i="16"/>
  <c r="ES268" i="16"/>
  <c r="AD269" i="16"/>
  <c r="AC269" i="16" s="1"/>
  <c r="DR270" i="16"/>
  <c r="BR282" i="16"/>
  <c r="DR285" i="16"/>
  <c r="DN285" i="16"/>
  <c r="D285" i="16" s="1"/>
  <c r="DR325" i="16"/>
  <c r="DN325" i="16"/>
  <c r="D325" i="16" s="1"/>
  <c r="DN254" i="16"/>
  <c r="D254" i="16" s="1"/>
  <c r="FD255" i="16"/>
  <c r="EV255" i="16"/>
  <c r="FC255" i="16"/>
  <c r="DE256" i="16"/>
  <c r="FF256" i="16"/>
  <c r="CW256" i="16"/>
  <c r="EO256" i="16"/>
  <c r="BY256" i="16"/>
  <c r="DC256" i="16"/>
  <c r="AV268" i="16"/>
  <c r="GF271" i="16" s="1"/>
  <c r="BS268" i="16"/>
  <c r="CW270" i="16"/>
  <c r="CU270" i="16"/>
  <c r="DS283" i="16"/>
  <c r="DO283" i="16"/>
  <c r="S283" i="16" s="1"/>
  <c r="DC270" i="16"/>
  <c r="FF270" i="16"/>
  <c r="EO270" i="16"/>
  <c r="DE270" i="16"/>
  <c r="B269" i="16"/>
  <c r="BY270" i="16"/>
  <c r="CW282" i="16"/>
  <c r="AH282" i="16"/>
  <c r="CU282" i="16"/>
  <c r="CH269" i="16"/>
  <c r="EM268" i="16"/>
  <c r="DX268" i="16"/>
  <c r="EA268" i="16"/>
  <c r="EA269" i="16"/>
  <c r="AH269" i="16"/>
  <c r="EN269" i="16"/>
  <c r="DE282" i="16"/>
  <c r="DD282" i="16"/>
  <c r="DP282" i="16"/>
  <c r="DN282" i="16"/>
  <c r="D282" i="16" s="1"/>
  <c r="FF282" i="16"/>
  <c r="CV268" i="16"/>
  <c r="CX268" i="16"/>
  <c r="AR272" i="16"/>
  <c r="CW283" i="16"/>
  <c r="CU283" i="16"/>
  <c r="DO297" i="16"/>
  <c r="S297" i="16" s="1"/>
  <c r="DS297" i="16"/>
  <c r="GA269" i="16"/>
  <c r="CH282" i="16"/>
  <c r="FM283" i="16"/>
  <c r="FL283" i="16"/>
  <c r="CV284" i="16"/>
  <c r="CX284" i="16"/>
  <c r="GA297" i="16"/>
  <c r="FJ297" i="16"/>
  <c r="CH297" i="16"/>
  <c r="BT297" i="16"/>
  <c r="CX297" i="16"/>
  <c r="CI296" i="16"/>
  <c r="CJ296" i="16"/>
  <c r="DD297" i="16"/>
  <c r="BY297" i="16"/>
  <c r="B297" i="16"/>
  <c r="B296" i="16"/>
  <c r="DE297" i="16"/>
  <c r="DC297" i="16"/>
  <c r="EO297" i="16"/>
  <c r="EQ297" i="16" s="1"/>
  <c r="BS297" i="16"/>
  <c r="DI298" i="16"/>
  <c r="DJ298" i="16" s="1"/>
  <c r="DY298" i="16"/>
  <c r="EB298" i="16"/>
  <c r="EC298" i="16" s="1"/>
  <c r="ED298" i="16" s="1"/>
  <c r="FF297" i="16"/>
  <c r="EN268" i="16"/>
  <c r="AR269" i="16"/>
  <c r="AQ269" i="16" s="1"/>
  <c r="EA270" i="16"/>
  <c r="BN270" i="16"/>
  <c r="BP268" i="16" s="1"/>
  <c r="AH270" i="16"/>
  <c r="GN269" i="16" s="1"/>
  <c r="DX270" i="16"/>
  <c r="DZ270" i="16" s="1"/>
  <c r="EE270" i="16" s="1"/>
  <c r="EM270" i="16"/>
  <c r="FF283" i="16"/>
  <c r="BY283" i="16"/>
  <c r="DD283" i="16"/>
  <c r="BS283" i="16"/>
  <c r="AR296" i="16"/>
  <c r="AQ296" i="16" s="1"/>
  <c r="FF296" i="16"/>
  <c r="FH297" i="16"/>
  <c r="AV297" i="16"/>
  <c r="GJ299" i="16" s="1"/>
  <c r="AB297" i="16"/>
  <c r="FI297" i="16"/>
  <c r="BT298" i="16"/>
  <c r="FJ298" i="16"/>
  <c r="FL298" i="16" s="1"/>
  <c r="CX298" i="16"/>
  <c r="CH298" i="16"/>
  <c r="BY296" i="16"/>
  <c r="CJ311" i="16"/>
  <c r="EO296" i="16"/>
  <c r="EQ296" i="16" s="1"/>
  <c r="DE296" i="16"/>
  <c r="DD296" i="16"/>
  <c r="EB297" i="16"/>
  <c r="EC297" i="16" s="1"/>
  <c r="ED297" i="16" s="1"/>
  <c r="DY297" i="16"/>
  <c r="DI297" i="16"/>
  <c r="DJ297" i="16" s="1"/>
  <c r="DE283" i="16"/>
  <c r="BT284" i="16"/>
  <c r="GA284" i="16"/>
  <c r="FJ284" i="16"/>
  <c r="DI296" i="16"/>
  <c r="DJ296" i="16" s="1"/>
  <c r="EB296" i="16"/>
  <c r="DY296" i="16"/>
  <c r="DP299" i="16"/>
  <c r="DQ298" i="16"/>
  <c r="DQ300" i="16"/>
  <c r="DP297" i="16"/>
  <c r="AD298" i="16"/>
  <c r="AC298" i="16" s="1"/>
  <c r="DP310" i="16"/>
  <c r="DN310" i="16"/>
  <c r="D310" i="16" s="1"/>
  <c r="FD282" i="16"/>
  <c r="FA282" i="16"/>
  <c r="FU284" i="16"/>
  <c r="AD285" i="16"/>
  <c r="AV296" i="16"/>
  <c r="GF299" i="16" s="1"/>
  <c r="FH296" i="16"/>
  <c r="BS296" i="16"/>
  <c r="CW297" i="16"/>
  <c r="BO297" i="16"/>
  <c r="BT282" i="16"/>
  <c r="EA283" i="16"/>
  <c r="BN283" i="16"/>
  <c r="AV283" i="16"/>
  <c r="GJ285" i="16" s="1"/>
  <c r="CH283" i="16"/>
  <c r="DX283" i="16"/>
  <c r="DZ283" i="16" s="1"/>
  <c r="EE283" i="16" s="1"/>
  <c r="EN283" i="16"/>
  <c r="BR296" i="16"/>
  <c r="BS284" i="16"/>
  <c r="EM296" i="16"/>
  <c r="DX296" i="16"/>
  <c r="CW296" i="16"/>
  <c r="EA296" i="16"/>
  <c r="FL296" i="16"/>
  <c r="AH297" i="16"/>
  <c r="DX297" i="16"/>
  <c r="CU298" i="16"/>
  <c r="CW298" i="16"/>
  <c r="AH298" i="16"/>
  <c r="CS298" i="16" s="1"/>
  <c r="AD313" i="16"/>
  <c r="CV296" i="16"/>
  <c r="CX296" i="16"/>
  <c r="FF325" i="16"/>
  <c r="BS325" i="16"/>
  <c r="BY325" i="16"/>
  <c r="DE325" i="16"/>
  <c r="B325" i="16"/>
  <c r="DD325" i="16"/>
  <c r="DC325" i="16"/>
  <c r="EO325" i="16"/>
  <c r="B324" i="16"/>
  <c r="CV310" i="16"/>
  <c r="T311" i="16"/>
  <c r="CT311" i="16"/>
  <c r="EA325" i="16"/>
  <c r="EC325" i="16" s="1"/>
  <c r="ED325" i="16" s="1"/>
  <c r="BN325" i="16"/>
  <c r="EM325" i="16"/>
  <c r="DX325" i="16"/>
  <c r="AH325" i="16"/>
  <c r="FX325" i="16"/>
  <c r="CX310" i="16"/>
  <c r="E312" i="16"/>
  <c r="CS312" i="16"/>
  <c r="DR299" i="16"/>
  <c r="DN299" i="16"/>
  <c r="D299" i="16" s="1"/>
  <c r="BS310" i="16"/>
  <c r="EO310" i="16"/>
  <c r="EQ310" i="16" s="1"/>
  <c r="FF310" i="16"/>
  <c r="BY310" i="16"/>
  <c r="DE310" i="16"/>
  <c r="DC310" i="16"/>
  <c r="AV310" i="16"/>
  <c r="FH310" i="16"/>
  <c r="DD310" i="16"/>
  <c r="DR313" i="16"/>
  <c r="FQ310" i="16"/>
  <c r="FY310" i="16"/>
  <c r="FX310" i="16"/>
  <c r="FO310" i="16"/>
  <c r="FP310" i="16" s="1"/>
  <c r="FU310" i="16"/>
  <c r="EA311" i="16"/>
  <c r="AH311" i="16"/>
  <c r="GJ311" i="16" s="1"/>
  <c r="EM311" i="16"/>
  <c r="FJ324" i="16"/>
  <c r="GA324" i="16"/>
  <c r="CH324" i="16"/>
  <c r="BT324" i="16"/>
  <c r="EO298" i="16"/>
  <c r="EQ298" i="16" s="1"/>
  <c r="BY298" i="16"/>
  <c r="DD298" i="16"/>
  <c r="FJ312" i="16"/>
  <c r="FL312" i="16" s="1"/>
  <c r="BT312" i="16"/>
  <c r="CI312" i="16"/>
  <c r="FD298" i="16"/>
  <c r="EV298" i="16"/>
  <c r="AB310" i="16"/>
  <c r="AR310" i="16"/>
  <c r="AQ310" i="16" s="1"/>
  <c r="AR311" i="16"/>
  <c r="AQ311" i="16" s="1"/>
  <c r="CU310" i="16"/>
  <c r="DR312" i="16"/>
  <c r="DN312" i="16"/>
  <c r="D312" i="16" s="1"/>
  <c r="BR324" i="16"/>
  <c r="EN310" i="16"/>
  <c r="DX310" i="16"/>
  <c r="AH310" i="16"/>
  <c r="GF311" i="16" s="1"/>
  <c r="EM310" i="16"/>
  <c r="FJ310" i="16"/>
  <c r="GA310" i="16"/>
  <c r="DO310" i="16"/>
  <c r="S310" i="16" s="1"/>
  <c r="BS311" i="16"/>
  <c r="B310" i="16"/>
  <c r="EO311" i="16"/>
  <c r="CX311" i="16"/>
  <c r="CV311" i="16"/>
  <c r="EB311" i="16"/>
  <c r="DI311" i="16"/>
  <c r="DJ311" i="16" s="1"/>
  <c r="DY311" i="16"/>
  <c r="CV312" i="16"/>
  <c r="CX312" i="16"/>
  <c r="DS325" i="16"/>
  <c r="DO325" i="16"/>
  <c r="S325" i="16" s="1"/>
  <c r="DN326" i="16"/>
  <c r="D326" i="16" s="1"/>
  <c r="DR326" i="16"/>
  <c r="AD328" i="16"/>
  <c r="AV298" i="16"/>
  <c r="BT310" i="16"/>
  <c r="AV312" i="16"/>
  <c r="CT312" i="16" s="1"/>
  <c r="AB312" i="16"/>
  <c r="AD310" i="16"/>
  <c r="AC310" i="16" s="1"/>
  <c r="DI312" i="16"/>
  <c r="DJ312" i="16" s="1"/>
  <c r="DY312" i="16"/>
  <c r="BS324" i="16"/>
  <c r="DE324" i="16"/>
  <c r="EO324" i="16"/>
  <c r="EQ324" i="16" s="1"/>
  <c r="AV324" i="16"/>
  <c r="GF327" i="16" s="1"/>
  <c r="CX324" i="16"/>
  <c r="CV324" i="16"/>
  <c r="DC324" i="16"/>
  <c r="DP327" i="16"/>
  <c r="DQ326" i="16"/>
  <c r="DP325" i="16"/>
  <c r="DN340" i="16"/>
  <c r="D340" i="16" s="1"/>
  <c r="DR340" i="16"/>
  <c r="FH311" i="16"/>
  <c r="BO311" i="16"/>
  <c r="FI311" i="16"/>
  <c r="DX312" i="16"/>
  <c r="CU324" i="16"/>
  <c r="DP326" i="16"/>
  <c r="CT325" i="16"/>
  <c r="GA325" i="16"/>
  <c r="CH325" i="16"/>
  <c r="BT325" i="16"/>
  <c r="FI326" i="16"/>
  <c r="FH326" i="16"/>
  <c r="BO326" i="16"/>
  <c r="AB326" i="16"/>
  <c r="AV326" i="16"/>
  <c r="GN327" i="16" s="1"/>
  <c r="EO312" i="16"/>
  <c r="EQ312" i="16" s="1"/>
  <c r="DD312" i="16"/>
  <c r="FH325" i="16"/>
  <c r="BO325" i="16"/>
  <c r="CX325" i="16"/>
  <c r="FJ325" i="16"/>
  <c r="FL325" i="16" s="1"/>
  <c r="DO326" i="16"/>
  <c r="S326" i="16" s="1"/>
  <c r="BN312" i="16"/>
  <c r="BP310" i="16" s="1"/>
  <c r="CW324" i="16"/>
  <c r="AD325" i="16"/>
  <c r="AC325" i="16" s="1"/>
  <c r="AD326" i="16"/>
  <c r="AC326" i="16" s="1"/>
  <c r="FY324" i="16"/>
  <c r="FQ324" i="16"/>
  <c r="CU326" i="16"/>
  <c r="AH326" i="16"/>
  <c r="GN325" i="16" s="1"/>
  <c r="CW338" i="16"/>
  <c r="CU338" i="16"/>
  <c r="GA339" i="16"/>
  <c r="CX339" i="16"/>
  <c r="CH339" i="16"/>
  <c r="BT339" i="16"/>
  <c r="FJ339" i="16"/>
  <c r="FL339" i="16" s="1"/>
  <c r="CU340" i="16"/>
  <c r="AH340" i="16"/>
  <c r="GN339" i="16" s="1"/>
  <c r="CW340" i="16"/>
  <c r="BT340" i="16"/>
  <c r="FJ340" i="16"/>
  <c r="FL340" i="16" s="1"/>
  <c r="CH340" i="16"/>
  <c r="CW325" i="16"/>
  <c r="DD326" i="16"/>
  <c r="BY326" i="16"/>
  <c r="EB326" i="16"/>
  <c r="DE338" i="16"/>
  <c r="EO338" i="16"/>
  <c r="BS338" i="16"/>
  <c r="DC338" i="16"/>
  <c r="BY338" i="16"/>
  <c r="B338" i="16"/>
  <c r="BR339" i="16"/>
  <c r="EB340" i="16"/>
  <c r="DO338" i="16"/>
  <c r="S338" i="16" s="1"/>
  <c r="BN324" i="16"/>
  <c r="EN324" i="16"/>
  <c r="FV324" i="16"/>
  <c r="CU325" i="16"/>
  <c r="BT326" i="16"/>
  <c r="FJ326" i="16"/>
  <c r="AR340" i="16"/>
  <c r="AQ340" i="16" s="1"/>
  <c r="CH338" i="16"/>
  <c r="GA338" i="16"/>
  <c r="BQ338" i="16"/>
  <c r="EA339" i="16"/>
  <c r="EC339" i="16" s="1"/>
  <c r="ED339" i="16" s="1"/>
  <c r="BN339" i="16"/>
  <c r="EM339" i="16"/>
  <c r="DX339" i="16"/>
  <c r="AH339" i="16"/>
  <c r="GJ339" i="16" s="1"/>
  <c r="EN339" i="16"/>
  <c r="DY338" i="16"/>
  <c r="DZ338" i="16" s="1"/>
  <c r="EE338" i="16" s="1"/>
  <c r="EB338" i="16"/>
  <c r="DI338" i="16"/>
  <c r="DJ338" i="16" s="1"/>
  <c r="AB339" i="16"/>
  <c r="FI339" i="16"/>
  <c r="AH338" i="16"/>
  <c r="CX338" i="16"/>
  <c r="DD340" i="16"/>
  <c r="BY340" i="16"/>
  <c r="DC340" i="16"/>
  <c r="AV340" i="16"/>
  <c r="CT340" i="16" s="1"/>
  <c r="FA340" i="16"/>
  <c r="AR338" i="16"/>
  <c r="AQ338" i="16" s="1"/>
  <c r="DS339" i="16"/>
  <c r="DO339" i="16"/>
  <c r="S339" i="16" s="1"/>
  <c r="BO338" i="16"/>
  <c r="BS339" i="16"/>
  <c r="CJ128" i="16"/>
  <c r="FV143" i="16"/>
  <c r="CJ144" i="16"/>
  <c r="FW128" i="16"/>
  <c r="BY128" i="16"/>
  <c r="DD128" i="16"/>
  <c r="BQ142" i="16"/>
  <c r="CX142" i="16"/>
  <c r="CX143" i="16"/>
  <c r="AH156" i="16"/>
  <c r="GF157" i="16" s="1"/>
  <c r="DX156" i="16"/>
  <c r="DZ156" i="16" s="1"/>
  <c r="EE156" i="16" s="1"/>
  <c r="EN156" i="16"/>
  <c r="EM156" i="16"/>
  <c r="BN156" i="16"/>
  <c r="CA157" i="16"/>
  <c r="DE128" i="16"/>
  <c r="DO128" i="16"/>
  <c r="S128" i="16" s="1"/>
  <c r="BN129" i="16"/>
  <c r="EA129" i="16"/>
  <c r="BT130" i="16"/>
  <c r="CU130" i="16"/>
  <c r="DY130" i="16"/>
  <c r="EN130" i="16"/>
  <c r="AD132" i="16"/>
  <c r="CH142" i="16"/>
  <c r="BN142" i="16"/>
  <c r="EN142" i="16"/>
  <c r="GA142" i="16"/>
  <c r="AD143" i="16"/>
  <c r="AC143" i="16" s="1"/>
  <c r="BT143" i="16"/>
  <c r="DN143" i="16"/>
  <c r="D143" i="16" s="1"/>
  <c r="CW157" i="16"/>
  <c r="CU157" i="16"/>
  <c r="AH157" i="16"/>
  <c r="GJ157" i="16" s="1"/>
  <c r="BT128" i="16"/>
  <c r="CU128" i="16"/>
  <c r="CH129" i="16"/>
  <c r="FI129" i="16"/>
  <c r="BN130" i="16"/>
  <c r="BP128" i="16" s="1"/>
  <c r="EA130" i="16"/>
  <c r="GA130" i="16"/>
  <c r="DS143" i="16"/>
  <c r="DR144" i="16"/>
  <c r="CW158" i="16"/>
  <c r="CU158" i="16"/>
  <c r="BT171" i="16"/>
  <c r="GA171" i="16"/>
  <c r="FJ171" i="16"/>
  <c r="FL171" i="16" s="1"/>
  <c r="BZ172" i="16"/>
  <c r="AV143" i="16"/>
  <c r="AB143" i="16"/>
  <c r="B128" i="16"/>
  <c r="DI128" i="16"/>
  <c r="DJ128" i="16" s="1"/>
  <c r="DX128" i="16"/>
  <c r="DZ128" i="16" s="1"/>
  <c r="EE128" i="16" s="1"/>
  <c r="EM128" i="16"/>
  <c r="B129" i="16"/>
  <c r="AH129" i="16"/>
  <c r="CS129" i="16" s="1"/>
  <c r="FJ129" i="16"/>
  <c r="CX130" i="16"/>
  <c r="EB130" i="16"/>
  <c r="FJ130" i="16"/>
  <c r="DI142" i="16"/>
  <c r="DJ142" i="16" s="1"/>
  <c r="DY142" i="16"/>
  <c r="DZ142" i="16" s="1"/>
  <c r="EE142" i="16" s="1"/>
  <c r="EM144" i="16"/>
  <c r="DX144" i="16"/>
  <c r="AH144" i="16"/>
  <c r="AV144" i="16"/>
  <c r="CT144" i="16" s="1"/>
  <c r="EN144" i="16"/>
  <c r="DR171" i="16"/>
  <c r="DN171" i="16"/>
  <c r="D171" i="16" s="1"/>
  <c r="BS130" i="16"/>
  <c r="EO130" i="16"/>
  <c r="EQ130" i="16" s="1"/>
  <c r="FH142" i="16"/>
  <c r="AB142" i="16"/>
  <c r="BO142" i="16"/>
  <c r="BN128" i="16"/>
  <c r="EN128" i="16"/>
  <c r="DE129" i="16"/>
  <c r="GA129" i="16"/>
  <c r="DC130" i="16"/>
  <c r="DN132" i="16"/>
  <c r="D132" i="16" s="1"/>
  <c r="FI142" i="16"/>
  <c r="FN143" i="16"/>
  <c r="DO172" i="16"/>
  <c r="S172" i="16" s="1"/>
  <c r="DS172" i="16"/>
  <c r="BS128" i="16"/>
  <c r="CX129" i="16"/>
  <c r="FF130" i="16"/>
  <c r="FH143" i="16"/>
  <c r="T128" i="16"/>
  <c r="EO128" i="16"/>
  <c r="EQ128" i="16" s="1"/>
  <c r="DX129" i="16"/>
  <c r="EM129" i="16"/>
  <c r="BY130" i="16"/>
  <c r="DD130" i="16"/>
  <c r="FJ142" i="16"/>
  <c r="FL142" i="16" s="1"/>
  <c r="BO143" i="16"/>
  <c r="GA144" i="16"/>
  <c r="FJ144" i="16"/>
  <c r="BT144" i="16"/>
  <c r="DR145" i="16"/>
  <c r="DN145" i="16"/>
  <c r="D145" i="16" s="1"/>
  <c r="CH171" i="16"/>
  <c r="GA172" i="16"/>
  <c r="BT172" i="16"/>
  <c r="CH172" i="16"/>
  <c r="CX172" i="16"/>
  <c r="FJ172" i="16"/>
  <c r="DC128" i="16"/>
  <c r="EA142" i="16"/>
  <c r="EC142" i="16" s="1"/>
  <c r="ED142" i="16" s="1"/>
  <c r="AH142" i="16"/>
  <c r="GF143" i="16" s="1"/>
  <c r="AV142" i="16"/>
  <c r="GF145" i="16" s="1"/>
  <c r="CV142" i="16"/>
  <c r="FD143" i="16"/>
  <c r="AB144" i="16"/>
  <c r="FI144" i="16"/>
  <c r="FH144" i="16"/>
  <c r="AR145" i="16"/>
  <c r="EA156" i="16"/>
  <c r="CI158" i="16"/>
  <c r="CJ158" i="16"/>
  <c r="DI158" i="16"/>
  <c r="DJ158" i="16" s="1"/>
  <c r="DY158" i="16"/>
  <c r="EB158" i="16"/>
  <c r="EO156" i="16"/>
  <c r="EQ156" i="16" s="1"/>
  <c r="BS156" i="16"/>
  <c r="CV156" i="16"/>
  <c r="AR158" i="16"/>
  <c r="AQ158" i="16" s="1"/>
  <c r="GA158" i="16"/>
  <c r="FD170" i="16"/>
  <c r="ET170" i="16"/>
  <c r="EU170" i="16" s="1"/>
  <c r="EZ170" i="16"/>
  <c r="AV172" i="16"/>
  <c r="CT172" i="16" s="1"/>
  <c r="CV172" i="16"/>
  <c r="BQ184" i="16"/>
  <c r="DC156" i="16"/>
  <c r="DD158" i="16"/>
  <c r="BY158" i="16"/>
  <c r="EO158" i="16"/>
  <c r="EQ158" i="16" s="1"/>
  <c r="DP174" i="16"/>
  <c r="DQ173" i="16"/>
  <c r="DP172" i="16"/>
  <c r="DQ171" i="16"/>
  <c r="AV171" i="16"/>
  <c r="FH171" i="16"/>
  <c r="AB171" i="16"/>
  <c r="BO171" i="16"/>
  <c r="FJ156" i="16"/>
  <c r="FL156" i="16" s="1"/>
  <c r="CH156" i="16"/>
  <c r="DD156" i="16"/>
  <c r="FF156" i="16"/>
  <c r="EM157" i="16"/>
  <c r="DX157" i="16"/>
  <c r="DZ157" i="16" s="1"/>
  <c r="EE157" i="16" s="1"/>
  <c r="BN157" i="16"/>
  <c r="AH158" i="16"/>
  <c r="EM158" i="16"/>
  <c r="DQ172" i="16"/>
  <c r="BO156" i="16"/>
  <c r="DE156" i="16"/>
  <c r="DO156" i="16"/>
  <c r="S156" i="16" s="1"/>
  <c r="FH156" i="16"/>
  <c r="CV157" i="16"/>
  <c r="DN158" i="16"/>
  <c r="D158" i="16" s="1"/>
  <c r="DR158" i="16"/>
  <c r="EN158" i="16"/>
  <c r="FU158" i="16"/>
  <c r="BQ170" i="16"/>
  <c r="CX170" i="16"/>
  <c r="DY170" i="16"/>
  <c r="DD171" i="16"/>
  <c r="EO142" i="16"/>
  <c r="BS143" i="16"/>
  <c r="BY144" i="16"/>
  <c r="DD144" i="16"/>
  <c r="BY156" i="16"/>
  <c r="DP160" i="16"/>
  <c r="DQ159" i="16"/>
  <c r="FI156" i="16"/>
  <c r="CT157" i="16"/>
  <c r="AV158" i="16"/>
  <c r="GN159" i="16" s="1"/>
  <c r="DX158" i="16"/>
  <c r="CH170" i="16"/>
  <c r="GA170" i="16"/>
  <c r="DI170" i="16"/>
  <c r="DJ170" i="16" s="1"/>
  <c r="EV170" i="16"/>
  <c r="DC142" i="16"/>
  <c r="FF142" i="16"/>
  <c r="DY143" i="16"/>
  <c r="DE144" i="16"/>
  <c r="AR156" i="16"/>
  <c r="AQ156" i="16" s="1"/>
  <c r="BQ156" i="16"/>
  <c r="CT156" i="16"/>
  <c r="DQ156" i="16"/>
  <c r="AB157" i="16"/>
  <c r="FH157" i="16"/>
  <c r="BO157" i="16"/>
  <c r="FI157" i="16"/>
  <c r="AD158" i="16"/>
  <c r="AC158" i="16" s="1"/>
  <c r="BS158" i="16"/>
  <c r="CX158" i="16"/>
  <c r="BT170" i="16"/>
  <c r="CU171" i="16"/>
  <c r="AD173" i="16"/>
  <c r="AR173" i="16"/>
  <c r="BY142" i="16"/>
  <c r="B156" i="16"/>
  <c r="EN157" i="16"/>
  <c r="BT158" i="16"/>
  <c r="DC158" i="16"/>
  <c r="DP158" i="16"/>
  <c r="EA158" i="16"/>
  <c r="FY158" i="16"/>
  <c r="FA170" i="16"/>
  <c r="EO171" i="16"/>
  <c r="EQ171" i="16" s="1"/>
  <c r="BY171" i="16"/>
  <c r="B171" i="16"/>
  <c r="FF171" i="16"/>
  <c r="BS171" i="16"/>
  <c r="EA170" i="16"/>
  <c r="EC170" i="16" s="1"/>
  <c r="ED170" i="16" s="1"/>
  <c r="DX170" i="16"/>
  <c r="CX171" i="16"/>
  <c r="DQ184" i="16"/>
  <c r="DO184" i="16"/>
  <c r="S184" i="16" s="1"/>
  <c r="FH170" i="16"/>
  <c r="AB170" i="16"/>
  <c r="FD171" i="16"/>
  <c r="EV171" i="16"/>
  <c r="DI171" i="16"/>
  <c r="DJ171" i="16" s="1"/>
  <c r="DY171" i="16"/>
  <c r="DZ171" i="16" s="1"/>
  <c r="EE171" i="16" s="1"/>
  <c r="ET171" i="16"/>
  <c r="EU171" i="16" s="1"/>
  <c r="EM172" i="16"/>
  <c r="DX172" i="16"/>
  <c r="BN172" i="16"/>
  <c r="BP170" i="16" s="1"/>
  <c r="FH172" i="16"/>
  <c r="CX184" i="16"/>
  <c r="CV184" i="16"/>
  <c r="AV184" i="16"/>
  <c r="GF187" i="16" s="1"/>
  <c r="DO185" i="16"/>
  <c r="S185" i="16" s="1"/>
  <c r="DS185" i="16"/>
  <c r="FC172" i="16"/>
  <c r="ET172" i="16"/>
  <c r="EU172" i="16" s="1"/>
  <c r="DR174" i="16"/>
  <c r="GA184" i="16"/>
  <c r="FJ184" i="16"/>
  <c r="FL184" i="16" s="1"/>
  <c r="BT184" i="16"/>
  <c r="AH184" i="16"/>
  <c r="CX186" i="16"/>
  <c r="BR198" i="16"/>
  <c r="AV200" i="16"/>
  <c r="CT200" i="16" s="1"/>
  <c r="AB200" i="16"/>
  <c r="FI200" i="16"/>
  <c r="FH200" i="16"/>
  <c r="EB186" i="16"/>
  <c r="DI186" i="16"/>
  <c r="DJ186" i="16" s="1"/>
  <c r="DY186" i="16"/>
  <c r="FN199" i="16"/>
  <c r="BO184" i="16"/>
  <c r="BN184" i="16"/>
  <c r="EM184" i="16"/>
  <c r="FI184" i="16"/>
  <c r="DR185" i="16"/>
  <c r="FI185" i="16"/>
  <c r="DC170" i="16"/>
  <c r="FF170" i="16"/>
  <c r="DE172" i="16"/>
  <c r="BY184" i="16"/>
  <c r="EN184" i="16"/>
  <c r="BO185" i="16"/>
  <c r="AH186" i="16"/>
  <c r="GN185" i="16" s="1"/>
  <c r="FJ186" i="16"/>
  <c r="CH186" i="16"/>
  <c r="CT186" i="16"/>
  <c r="BT186" i="16"/>
  <c r="DQ198" i="16"/>
  <c r="DO198" i="16"/>
  <c r="S198" i="16" s="1"/>
  <c r="EB199" i="16"/>
  <c r="DI199" i="16"/>
  <c r="DJ199" i="16" s="1"/>
  <c r="CW200" i="16"/>
  <c r="CU200" i="16"/>
  <c r="AH200" i="16"/>
  <c r="GN199" i="16" s="1"/>
  <c r="BO200" i="16"/>
  <c r="BY170" i="16"/>
  <c r="AR184" i="16"/>
  <c r="AQ184" i="16" s="1"/>
  <c r="DX184" i="16"/>
  <c r="EM185" i="16"/>
  <c r="DX185" i="16"/>
  <c r="AV185" i="16"/>
  <c r="CU186" i="16"/>
  <c r="CU184" i="16"/>
  <c r="CV186" i="16"/>
  <c r="EO184" i="16"/>
  <c r="BS184" i="16"/>
  <c r="EA184" i="16"/>
  <c r="EC184" i="16" s="1"/>
  <c r="ED184" i="16" s="1"/>
  <c r="EA199" i="16"/>
  <c r="BN199" i="16"/>
  <c r="EN199" i="16"/>
  <c r="AH199" i="16"/>
  <c r="CS199" i="16" s="1"/>
  <c r="FQ199" i="16"/>
  <c r="DX199" i="16"/>
  <c r="DZ199" i="16" s="1"/>
  <c r="EE199" i="16" s="1"/>
  <c r="FN213" i="16"/>
  <c r="FL213" i="16"/>
  <c r="DQ213" i="16"/>
  <c r="GA185" i="16"/>
  <c r="AR186" i="16"/>
  <c r="AQ186" i="16" s="1"/>
  <c r="CU198" i="16"/>
  <c r="DN201" i="16"/>
  <c r="D201" i="16" s="1"/>
  <c r="AD202" i="16"/>
  <c r="CH185" i="16"/>
  <c r="DD186" i="16"/>
  <c r="BY186" i="16"/>
  <c r="DC186" i="16"/>
  <c r="GA198" i="16"/>
  <c r="BT198" i="16"/>
  <c r="FJ198" i="16"/>
  <c r="CW199" i="16"/>
  <c r="AD201" i="16"/>
  <c r="CH213" i="16"/>
  <c r="AD198" i="16"/>
  <c r="AC198" i="16" s="1"/>
  <c r="AV198" i="16"/>
  <c r="FI198" i="16"/>
  <c r="FH198" i="16"/>
  <c r="AB198" i="16"/>
  <c r="DP198" i="16"/>
  <c r="DN198" i="16"/>
  <c r="D198" i="16" s="1"/>
  <c r="DC199" i="16"/>
  <c r="FF199" i="16"/>
  <c r="EO199" i="16"/>
  <c r="BS199" i="16"/>
  <c r="BT200" i="16"/>
  <c r="FJ200" i="16"/>
  <c r="FL200" i="16" s="1"/>
  <c r="BR212" i="16"/>
  <c r="FU213" i="16"/>
  <c r="FX213" i="16"/>
  <c r="FO213" i="16"/>
  <c r="FP213" i="16" s="1"/>
  <c r="BT212" i="16"/>
  <c r="FF212" i="16"/>
  <c r="DC212" i="16"/>
  <c r="CW212" i="16"/>
  <c r="DQ216" i="16"/>
  <c r="DP215" i="16"/>
  <c r="DQ214" i="16"/>
  <c r="EO212" i="16"/>
  <c r="EQ212" i="16" s="1"/>
  <c r="FF227" i="16"/>
  <c r="EO227" i="16"/>
  <c r="DE227" i="16"/>
  <c r="DD227" i="16"/>
  <c r="BY227" i="16"/>
  <c r="B227" i="16"/>
  <c r="B226" i="16"/>
  <c r="DC227" i="16"/>
  <c r="BS227" i="16"/>
  <c r="DE185" i="16"/>
  <c r="BY198" i="16"/>
  <c r="DD198" i="16"/>
  <c r="AV199" i="16"/>
  <c r="GJ201" i="16" s="1"/>
  <c r="DX200" i="16"/>
  <c r="DZ200" i="16" s="1"/>
  <c r="EE200" i="16" s="1"/>
  <c r="EM200" i="16"/>
  <c r="EA212" i="16"/>
  <c r="EN212" i="16"/>
  <c r="BN212" i="16"/>
  <c r="DX212" i="16"/>
  <c r="DZ212" i="16" s="1"/>
  <c r="EE212" i="16" s="1"/>
  <c r="DP213" i="16"/>
  <c r="DY213" i="16"/>
  <c r="DE198" i="16"/>
  <c r="BY212" i="16"/>
  <c r="DI212" i="16"/>
  <c r="DJ212" i="16" s="1"/>
  <c r="DE213" i="16"/>
  <c r="CW213" i="16"/>
  <c r="BN213" i="16"/>
  <c r="BY213" i="16"/>
  <c r="DD213" i="16"/>
  <c r="BO199" i="16"/>
  <c r="FH199" i="16"/>
  <c r="CH212" i="16"/>
  <c r="EB212" i="16"/>
  <c r="GA212" i="16"/>
  <c r="EM213" i="16"/>
  <c r="GA213" i="16"/>
  <c r="EN213" i="16"/>
  <c r="FV213" i="16"/>
  <c r="AR215" i="16"/>
  <c r="EB226" i="16"/>
  <c r="EC226" i="16" s="1"/>
  <c r="ED226" i="16" s="1"/>
  <c r="DY226" i="16"/>
  <c r="DI226" i="16"/>
  <c r="DJ226" i="16" s="1"/>
  <c r="FU227" i="16"/>
  <c r="DI227" i="16"/>
  <c r="DJ227" i="16" s="1"/>
  <c r="DY227" i="16"/>
  <c r="DZ227" i="16" s="1"/>
  <c r="EE227" i="16" s="1"/>
  <c r="EB227" i="16"/>
  <c r="DE214" i="16"/>
  <c r="DC214" i="16"/>
  <c r="EO214" i="16"/>
  <c r="EQ214" i="16" s="1"/>
  <c r="DD214" i="16"/>
  <c r="DY214" i="16"/>
  <c r="FF214" i="16"/>
  <c r="CV214" i="16"/>
  <c r="AV214" i="16"/>
  <c r="GN215" i="16" s="1"/>
  <c r="BQ226" i="16"/>
  <c r="DR227" i="16"/>
  <c r="DN227" i="16"/>
  <c r="D227" i="16" s="1"/>
  <c r="GA214" i="16"/>
  <c r="CH214" i="16"/>
  <c r="BS214" i="16"/>
  <c r="EB214" i="16"/>
  <c r="EC214" i="16" s="1"/>
  <c r="ED214" i="16" s="1"/>
  <c r="FJ214" i="16"/>
  <c r="FL214" i="16" s="1"/>
  <c r="BR226" i="16"/>
  <c r="AD214" i="16"/>
  <c r="AC214" i="16" s="1"/>
  <c r="CW227" i="16"/>
  <c r="DN230" i="16"/>
  <c r="D230" i="16" s="1"/>
  <c r="DR230" i="16"/>
  <c r="BT227" i="16"/>
  <c r="GA227" i="16"/>
  <c r="FJ227" i="16"/>
  <c r="FL227" i="16" s="1"/>
  <c r="CH227" i="16"/>
  <c r="DP226" i="16"/>
  <c r="EV228" i="16"/>
  <c r="AD229" i="16"/>
  <c r="FU228" i="16"/>
  <c r="FY228" i="16"/>
  <c r="FQ228" i="16"/>
  <c r="FX228" i="16"/>
  <c r="FO228" i="16"/>
  <c r="FP228" i="16" s="1"/>
  <c r="CH226" i="16"/>
  <c r="BT226" i="16"/>
  <c r="CU226" i="16"/>
  <c r="DQ226" i="16"/>
  <c r="ET226" i="16"/>
  <c r="EU226" i="16" s="1"/>
  <c r="GA226" i="16"/>
  <c r="CW228" i="16"/>
  <c r="FF228" i="16"/>
  <c r="CX228" i="16"/>
  <c r="CW226" i="16"/>
  <c r="DO227" i="16"/>
  <c r="S227" i="16" s="1"/>
  <c r="CH228" i="16"/>
  <c r="DC228" i="16"/>
  <c r="FF226" i="16"/>
  <c r="EN227" i="16"/>
  <c r="DE228" i="16"/>
  <c r="GA228" i="16"/>
  <c r="BY226" i="16"/>
  <c r="DD226" i="16"/>
  <c r="FH226" i="16"/>
  <c r="BN227" i="16"/>
  <c r="DN76" i="16"/>
  <c r="D76" i="16" s="1"/>
  <c r="DR118" i="16"/>
  <c r="DR90" i="16"/>
  <c r="DN75" i="16"/>
  <c r="D75" i="16" s="1"/>
  <c r="DR61" i="16"/>
  <c r="DN62" i="16"/>
  <c r="D62" i="16" s="1"/>
  <c r="DR47" i="16"/>
  <c r="DN34" i="16"/>
  <c r="D34" i="16" s="1"/>
  <c r="BZ115" i="16"/>
  <c r="FY114" i="16"/>
  <c r="FQ114" i="16"/>
  <c r="FX114" i="16"/>
  <c r="FO114" i="16"/>
  <c r="FP114" i="16" s="1"/>
  <c r="FV114" i="16"/>
  <c r="FU114" i="16"/>
  <c r="BQ114" i="16"/>
  <c r="BT115" i="16"/>
  <c r="GA115" i="16"/>
  <c r="FJ115" i="16"/>
  <c r="FL115" i="16" s="1"/>
  <c r="CH115" i="16"/>
  <c r="DR115" i="16"/>
  <c r="DN115" i="16"/>
  <c r="D115" i="16" s="1"/>
  <c r="CJ114" i="16"/>
  <c r="CI114" i="16"/>
  <c r="EB114" i="16"/>
  <c r="EC114" i="16" s="1"/>
  <c r="ED114" i="16" s="1"/>
  <c r="DY114" i="16"/>
  <c r="DZ114" i="16" s="1"/>
  <c r="EE114" i="16" s="1"/>
  <c r="DI114" i="16"/>
  <c r="DJ114" i="16" s="1"/>
  <c r="DP116" i="16"/>
  <c r="DQ115" i="16"/>
  <c r="T114" i="16"/>
  <c r="E114" i="16"/>
  <c r="BT114" i="16"/>
  <c r="CU114" i="16"/>
  <c r="DQ114" i="16"/>
  <c r="GA114" i="16"/>
  <c r="FI115" i="16"/>
  <c r="CW116" i="16"/>
  <c r="DS116" i="16"/>
  <c r="FF116" i="16"/>
  <c r="DR117" i="16"/>
  <c r="AH115" i="16"/>
  <c r="GJ115" i="16" s="1"/>
  <c r="BO116" i="16"/>
  <c r="CX116" i="16"/>
  <c r="FH116" i="16"/>
  <c r="CH116" i="16"/>
  <c r="FI116" i="16"/>
  <c r="BO114" i="16"/>
  <c r="EO114" i="16"/>
  <c r="EQ114" i="16" s="1"/>
  <c r="AB115" i="16"/>
  <c r="BS115" i="16"/>
  <c r="DX115" i="16"/>
  <c r="EM115" i="16"/>
  <c r="AH116" i="16"/>
  <c r="GN115" i="16" s="1"/>
  <c r="BY116" i="16"/>
  <c r="DD116" i="16"/>
  <c r="FJ116" i="16"/>
  <c r="CU115" i="16"/>
  <c r="EN115" i="16"/>
  <c r="GA116" i="16"/>
  <c r="AB114" i="16"/>
  <c r="BY114" i="16"/>
  <c r="DD114" i="16"/>
  <c r="FH114" i="16"/>
  <c r="CS114" i="16"/>
  <c r="BN115" i="16"/>
  <c r="BQ100" i="16"/>
  <c r="FV100" i="16"/>
  <c r="FN100" i="16"/>
  <c r="FD102" i="16"/>
  <c r="EV102" i="16"/>
  <c r="FC102" i="16"/>
  <c r="ET102" i="16"/>
  <c r="EU102" i="16" s="1"/>
  <c r="FA102" i="16"/>
  <c r="EZ102" i="16"/>
  <c r="EB100" i="16"/>
  <c r="DY100" i="16"/>
  <c r="DI100" i="16"/>
  <c r="DJ100" i="16" s="1"/>
  <c r="BT101" i="16"/>
  <c r="FJ101" i="16"/>
  <c r="FL101" i="16" s="1"/>
  <c r="CH101" i="16"/>
  <c r="BT100" i="16"/>
  <c r="CU100" i="16"/>
  <c r="ET100" i="16"/>
  <c r="EU100" i="16" s="1"/>
  <c r="GA100" i="16"/>
  <c r="FI101" i="16"/>
  <c r="CW102" i="16"/>
  <c r="FF102" i="16"/>
  <c r="B100" i="16"/>
  <c r="FC100" i="16"/>
  <c r="B101" i="16"/>
  <c r="AH101" i="16"/>
  <c r="CS101" i="16" s="1"/>
  <c r="BY101" i="16"/>
  <c r="BO102" i="16"/>
  <c r="CX102" i="16"/>
  <c r="FH102" i="16"/>
  <c r="EV100" i="16"/>
  <c r="FD100" i="16"/>
  <c r="DE101" i="16"/>
  <c r="FI102" i="16"/>
  <c r="BS101" i="16"/>
  <c r="CU101" i="16"/>
  <c r="DY101" i="16"/>
  <c r="DZ101" i="16" s="1"/>
  <c r="EE101" i="16" s="1"/>
  <c r="EN101" i="16"/>
  <c r="GA102" i="16"/>
  <c r="AB100" i="16"/>
  <c r="BY100" i="16"/>
  <c r="FH100" i="16"/>
  <c r="EO101" i="16"/>
  <c r="FF101" i="16" s="1"/>
  <c r="CT102" i="16"/>
  <c r="DE102" i="16" s="1"/>
  <c r="DX102" i="16"/>
  <c r="EM102" i="16"/>
  <c r="BN101" i="16"/>
  <c r="CH86" i="16"/>
  <c r="FY86" i="16"/>
  <c r="FQ86" i="16"/>
  <c r="FX86" i="16"/>
  <c r="FO86" i="16"/>
  <c r="FP86" i="16" s="1"/>
  <c r="FV86" i="16"/>
  <c r="FU86" i="16"/>
  <c r="EB86" i="16"/>
  <c r="DY86" i="16"/>
  <c r="DI86" i="16"/>
  <c r="DJ86" i="16" s="1"/>
  <c r="BQ86" i="16"/>
  <c r="FD88" i="16"/>
  <c r="EV88" i="16"/>
  <c r="FC88" i="16"/>
  <c r="ET88" i="16"/>
  <c r="EU88" i="16" s="1"/>
  <c r="FA88" i="16"/>
  <c r="EZ88" i="16"/>
  <c r="BT87" i="16"/>
  <c r="FJ87" i="16"/>
  <c r="FL87" i="16" s="1"/>
  <c r="CH87" i="16"/>
  <c r="ES88" i="16"/>
  <c r="EX88" i="16" s="1"/>
  <c r="BT86" i="16"/>
  <c r="CU86" i="16"/>
  <c r="ET86" i="16"/>
  <c r="EU86" i="16" s="1"/>
  <c r="FI87" i="16"/>
  <c r="CW88" i="16"/>
  <c r="DR89" i="16"/>
  <c r="AH87" i="16"/>
  <c r="GJ87" i="16" s="1"/>
  <c r="BO88" i="16"/>
  <c r="CX88" i="16"/>
  <c r="FH88" i="16"/>
  <c r="FI88" i="16"/>
  <c r="AH86" i="16"/>
  <c r="GF87" i="16" s="1"/>
  <c r="BO86" i="16"/>
  <c r="EO86" i="16"/>
  <c r="EQ86" i="16" s="1"/>
  <c r="AB87" i="16"/>
  <c r="BS87" i="16"/>
  <c r="DX87" i="16"/>
  <c r="EM87" i="16"/>
  <c r="AH88" i="16"/>
  <c r="GN87" i="16" s="1"/>
  <c r="BY88" i="16"/>
  <c r="FJ88" i="16"/>
  <c r="FL88" i="16" s="1"/>
  <c r="CU87" i="16"/>
  <c r="EN87" i="16"/>
  <c r="GA88" i="16"/>
  <c r="AB86" i="16"/>
  <c r="FH86" i="16"/>
  <c r="EO87" i="16"/>
  <c r="DX88" i="16"/>
  <c r="DZ88" i="16" s="1"/>
  <c r="EE88" i="16" s="1"/>
  <c r="EM88" i="16"/>
  <c r="BN87" i="16"/>
  <c r="EB72" i="16"/>
  <c r="DY72" i="16"/>
  <c r="DI72" i="16"/>
  <c r="DJ72" i="16" s="1"/>
  <c r="BT73" i="16"/>
  <c r="CT73" i="16"/>
  <c r="FJ73" i="16"/>
  <c r="FL73" i="16" s="1"/>
  <c r="CH73" i="16"/>
  <c r="FC74" i="16"/>
  <c r="CX73" i="16"/>
  <c r="BQ72" i="16"/>
  <c r="BT72" i="16"/>
  <c r="CU72" i="16"/>
  <c r="FI73" i="16"/>
  <c r="CW74" i="16"/>
  <c r="CV72" i="16"/>
  <c r="AH73" i="16"/>
  <c r="GJ73" i="16" s="1"/>
  <c r="BO74" i="16"/>
  <c r="FH74" i="16"/>
  <c r="CW72" i="16"/>
  <c r="CH74" i="16"/>
  <c r="FI74" i="16"/>
  <c r="BO72" i="16"/>
  <c r="EO72" i="16"/>
  <c r="FF72" i="16" s="1"/>
  <c r="AB73" i="16"/>
  <c r="BS73" i="16"/>
  <c r="DX73" i="16"/>
  <c r="EM73" i="16"/>
  <c r="AH74" i="16"/>
  <c r="GN73" i="16" s="1"/>
  <c r="BY74" i="16"/>
  <c r="DD74" i="16"/>
  <c r="FJ74" i="16"/>
  <c r="GA74" i="16" s="1"/>
  <c r="CU73" i="16"/>
  <c r="EN73" i="16"/>
  <c r="AB72" i="16"/>
  <c r="FH72" i="16"/>
  <c r="BN73" i="16"/>
  <c r="CJ59" i="16"/>
  <c r="CI59" i="16"/>
  <c r="FY58" i="16"/>
  <c r="FQ58" i="16"/>
  <c r="FX58" i="16"/>
  <c r="FO58" i="16"/>
  <c r="FP58" i="16" s="1"/>
  <c r="FV58" i="16"/>
  <c r="FU58" i="16"/>
  <c r="CX58" i="16"/>
  <c r="CV58" i="16"/>
  <c r="CX60" i="16"/>
  <c r="CV60" i="16"/>
  <c r="AV59" i="16"/>
  <c r="CT59" i="16" s="1"/>
  <c r="AB59" i="16"/>
  <c r="FH59" i="16"/>
  <c r="BO59" i="16"/>
  <c r="AV58" i="16"/>
  <c r="FA58" i="16"/>
  <c r="FJ58" i="16"/>
  <c r="FL58" i="16" s="1"/>
  <c r="CX59" i="16"/>
  <c r="AV60" i="16"/>
  <c r="DI60" i="16"/>
  <c r="DJ60" i="16" s="1"/>
  <c r="EO60" i="16"/>
  <c r="EQ60" i="16" s="1"/>
  <c r="BO60" i="16"/>
  <c r="FH60" i="16"/>
  <c r="CS59" i="16"/>
  <c r="CH60" i="16"/>
  <c r="FI60" i="16"/>
  <c r="BO58" i="16"/>
  <c r="EO58" i="16"/>
  <c r="EQ58" i="16" s="1"/>
  <c r="BS59" i="16"/>
  <c r="DX59" i="16"/>
  <c r="DZ59" i="16" s="1"/>
  <c r="EE59" i="16" s="1"/>
  <c r="EM59" i="16"/>
  <c r="AH60" i="16"/>
  <c r="FJ60" i="16"/>
  <c r="FL60" i="16" s="1"/>
  <c r="CU59" i="16"/>
  <c r="EN59" i="16"/>
  <c r="AB58" i="16"/>
  <c r="BQ58" i="16"/>
  <c r="FH58" i="16"/>
  <c r="BN59" i="16"/>
  <c r="CX46" i="16"/>
  <c r="CV46" i="16"/>
  <c r="AR48" i="16"/>
  <c r="AV45" i="16"/>
  <c r="CT45" i="16" s="1"/>
  <c r="AB45" i="16"/>
  <c r="FH45" i="16"/>
  <c r="BO45" i="16"/>
  <c r="CX44" i="16"/>
  <c r="CV44" i="16"/>
  <c r="AD45" i="16"/>
  <c r="AC45" i="16" s="1"/>
  <c r="ER46" i="16"/>
  <c r="AV44" i="16"/>
  <c r="GF47" i="16" s="1"/>
  <c r="FA44" i="16"/>
  <c r="FJ44" i="16"/>
  <c r="FL44" i="16" s="1"/>
  <c r="CX45" i="16"/>
  <c r="AV46" i="16"/>
  <c r="BO46" i="16"/>
  <c r="FH46" i="16"/>
  <c r="EV44" i="16"/>
  <c r="FD44" i="16"/>
  <c r="CS45" i="16"/>
  <c r="CH46" i="16"/>
  <c r="FI46" i="16"/>
  <c r="BO44" i="16"/>
  <c r="EO44" i="16"/>
  <c r="EQ44" i="16" s="1"/>
  <c r="BS45" i="16"/>
  <c r="DX45" i="16"/>
  <c r="EM45" i="16"/>
  <c r="AH46" i="16"/>
  <c r="BY46" i="16"/>
  <c r="FJ46" i="16"/>
  <c r="FL46" i="16" s="1"/>
  <c r="CU45" i="16"/>
  <c r="EN45" i="16"/>
  <c r="AB44" i="16"/>
  <c r="BQ44" i="16"/>
  <c r="FH44" i="16"/>
  <c r="BN45" i="16"/>
  <c r="CI30" i="16"/>
  <c r="FY30" i="16"/>
  <c r="FQ30" i="16"/>
  <c r="FX30" i="16"/>
  <c r="FO30" i="16"/>
  <c r="FP30" i="16" s="1"/>
  <c r="FV30" i="16"/>
  <c r="FU30" i="16"/>
  <c r="CX32" i="16"/>
  <c r="CV32" i="16"/>
  <c r="AV32" i="16"/>
  <c r="GN33" i="16" s="1"/>
  <c r="CX30" i="16"/>
  <c r="CV30" i="16"/>
  <c r="AV30" i="16"/>
  <c r="GF33" i="16" s="1"/>
  <c r="AV31" i="16"/>
  <c r="AB31" i="16"/>
  <c r="FH31" i="16"/>
  <c r="BO31" i="16"/>
  <c r="CX31" i="16"/>
  <c r="B30" i="16"/>
  <c r="DI30" i="16"/>
  <c r="DJ30" i="16" s="1"/>
  <c r="DX30" i="16"/>
  <c r="EM30" i="16"/>
  <c r="AH31" i="16"/>
  <c r="GJ31" i="16" s="1"/>
  <c r="FJ31" i="16"/>
  <c r="FL31" i="16" s="1"/>
  <c r="BO32" i="16"/>
  <c r="FH32" i="16"/>
  <c r="CW30" i="16"/>
  <c r="DY30" i="16"/>
  <c r="FI32" i="16"/>
  <c r="AH30" i="16"/>
  <c r="GF31" i="16" s="1"/>
  <c r="BO30" i="16"/>
  <c r="EO30" i="16"/>
  <c r="EQ30" i="16" s="1"/>
  <c r="DX31" i="16"/>
  <c r="EM31" i="16"/>
  <c r="AH32" i="16"/>
  <c r="GN31" i="16" s="1"/>
  <c r="EN31" i="16"/>
  <c r="AB30" i="16"/>
  <c r="BQ30" i="16"/>
  <c r="FH30" i="16"/>
  <c r="DX32" i="16"/>
  <c r="EM32" i="16"/>
  <c r="BN31" i="16"/>
  <c r="AD20" i="16"/>
  <c r="AR19" i="16"/>
  <c r="AD19" i="16"/>
  <c r="AR18" i="16"/>
  <c r="AQ18" i="16" s="1"/>
  <c r="AD18" i="16"/>
  <c r="AC18" i="16" s="1"/>
  <c r="AD17" i="16"/>
  <c r="AC17" i="16" s="1"/>
  <c r="DI17" i="16"/>
  <c r="DJ17" i="16" s="1"/>
  <c r="DL17" i="16" s="1"/>
  <c r="DS17" i="16" s="1"/>
  <c r="AD16" i="16"/>
  <c r="AC16" i="16" s="1"/>
  <c r="CE18" i="16"/>
  <c r="CF18" i="16" s="1"/>
  <c r="CG18" i="16" s="1"/>
  <c r="CH18" i="16" s="1"/>
  <c r="EB18" i="16"/>
  <c r="AH17" i="16"/>
  <c r="DX17" i="16"/>
  <c r="FN17" i="16"/>
  <c r="BV18" i="16"/>
  <c r="BW18" i="16" s="1"/>
  <c r="BX18" i="16" s="1"/>
  <c r="BY18" i="16" s="1"/>
  <c r="BS18" i="16"/>
  <c r="B17" i="16"/>
  <c r="EO18" i="16"/>
  <c r="ES18" i="16" s="1"/>
  <c r="DY17" i="16"/>
  <c r="EB17" i="16"/>
  <c r="ER17" i="16"/>
  <c r="CX17" i="16"/>
  <c r="FL17" i="16"/>
  <c r="DI16" i="16"/>
  <c r="DJ16" i="16" s="1"/>
  <c r="BN17" i="16"/>
  <c r="EM17" i="16"/>
  <c r="BT17" i="16"/>
  <c r="EN17" i="16"/>
  <c r="EV17" i="16" s="1"/>
  <c r="FI17" i="16"/>
  <c r="FQ17" i="16" s="1"/>
  <c r="BO18" i="16"/>
  <c r="AV17" i="16"/>
  <c r="CV17" i="16"/>
  <c r="CE16" i="16"/>
  <c r="CF16" i="16" s="1"/>
  <c r="CG16" i="16" s="1"/>
  <c r="CH16" i="16" s="1"/>
  <c r="AH16" i="16"/>
  <c r="GF17" i="16" s="1"/>
  <c r="AV16" i="16"/>
  <c r="BV16" i="16"/>
  <c r="BW16" i="16" s="1"/>
  <c r="BX16" i="16" s="1"/>
  <c r="BY16" i="16" s="1"/>
  <c r="B16" i="16"/>
  <c r="EB16" i="16"/>
  <c r="EO16" i="16"/>
  <c r="EQ16" i="16" s="1"/>
  <c r="FJ18" i="16"/>
  <c r="FL18" i="16" s="1"/>
  <c r="BT18" i="16"/>
  <c r="FY18" i="16"/>
  <c r="FQ18" i="16"/>
  <c r="FX18" i="16"/>
  <c r="FO18" i="16"/>
  <c r="FP18" i="16" s="1"/>
  <c r="FV18" i="16"/>
  <c r="FU18" i="16"/>
  <c r="CW16" i="16"/>
  <c r="CX18" i="16"/>
  <c r="BN18" i="16"/>
  <c r="DX18" i="16"/>
  <c r="AH18" i="16"/>
  <c r="GN17" i="16" s="1"/>
  <c r="EA18" i="16"/>
  <c r="EN18" i="16"/>
  <c r="EM18" i="16"/>
  <c r="CU16" i="16"/>
  <c r="BN16" i="16"/>
  <c r="FH16" i="16"/>
  <c r="BO17" i="16"/>
  <c r="GA17" i="16"/>
  <c r="AB18" i="16"/>
  <c r="BQ18" i="16"/>
  <c r="DY18" i="16"/>
  <c r="BO16" i="16"/>
  <c r="CX16" i="16"/>
  <c r="FI16" i="16"/>
  <c r="CW17" i="16"/>
  <c r="DX16" i="16"/>
  <c r="DZ16" i="16" s="1"/>
  <c r="EE16" i="16" s="1"/>
  <c r="FJ16" i="16"/>
  <c r="GA16" i="16" s="1"/>
  <c r="BQ17" i="16"/>
  <c r="BQ16" i="16"/>
  <c r="AB17" i="16"/>
  <c r="FH18" i="16"/>
  <c r="EM16" i="16"/>
  <c r="AV18" i="16"/>
  <c r="GN19" i="16" s="1"/>
  <c r="EA16" i="16"/>
  <c r="CW18" i="16"/>
  <c r="BA115" i="9"/>
  <c r="E115" i="9"/>
  <c r="D115" i="9"/>
  <c r="BA113" i="9"/>
  <c r="BA83" i="9"/>
  <c r="AZ83" i="9"/>
  <c r="BA81" i="9"/>
  <c r="AZ81" i="9"/>
  <c r="BA79" i="9"/>
  <c r="AZ79" i="9"/>
  <c r="BA77" i="9"/>
  <c r="AZ77" i="9"/>
  <c r="BA75" i="9"/>
  <c r="AZ75" i="9"/>
  <c r="BA73" i="9"/>
  <c r="AZ73" i="9"/>
  <c r="BA63" i="9"/>
  <c r="AZ63" i="9"/>
  <c r="BA61" i="9"/>
  <c r="AZ61" i="9"/>
  <c r="BA59" i="9"/>
  <c r="AZ59" i="9"/>
  <c r="BA57" i="9"/>
  <c r="AZ57" i="9"/>
  <c r="BA55" i="9"/>
  <c r="AZ55" i="9"/>
  <c r="BA53" i="9"/>
  <c r="AZ53" i="9"/>
  <c r="BA43" i="9"/>
  <c r="AZ43" i="9"/>
  <c r="BA41" i="9"/>
  <c r="AZ41" i="9"/>
  <c r="BA39" i="9"/>
  <c r="AZ39" i="9"/>
  <c r="BA37" i="9"/>
  <c r="AZ37" i="9"/>
  <c r="BA35" i="9"/>
  <c r="AZ35" i="9"/>
  <c r="BA33" i="9"/>
  <c r="AZ33" i="9"/>
  <c r="BA23" i="9"/>
  <c r="AZ23" i="9"/>
  <c r="BA21" i="9"/>
  <c r="AZ21" i="9"/>
  <c r="BA19" i="9"/>
  <c r="AZ19" i="9"/>
  <c r="BA17" i="9"/>
  <c r="AZ17" i="9"/>
  <c r="BA15" i="9"/>
  <c r="AZ15" i="9"/>
  <c r="BA13" i="9"/>
  <c r="AZ13" i="9"/>
  <c r="BK324" i="16" l="1"/>
  <c r="HI19" i="16"/>
  <c r="HK101" i="16"/>
  <c r="DD102" i="16"/>
  <c r="DC102" i="16"/>
  <c r="GA101" i="16"/>
  <c r="FX59" i="16"/>
  <c r="FQ59" i="16"/>
  <c r="FU59" i="16"/>
  <c r="FV59" i="16"/>
  <c r="FO59" i="16"/>
  <c r="FP59" i="16" s="1"/>
  <c r="DZ102" i="16"/>
  <c r="EE102" i="16" s="1"/>
  <c r="CS100" i="16"/>
  <c r="DD100" i="16" s="1"/>
  <c r="DZ100" i="16"/>
  <c r="EE100" i="16" s="1"/>
  <c r="ES100" i="16"/>
  <c r="EX100" i="16" s="1"/>
  <c r="DL102" i="16"/>
  <c r="DK102" i="16"/>
  <c r="DL88" i="16"/>
  <c r="DK88" i="16"/>
  <c r="FF86" i="16"/>
  <c r="FD32" i="16"/>
  <c r="HJ33" i="16"/>
  <c r="FL30" i="16"/>
  <c r="HI101" i="16"/>
  <c r="DE87" i="16"/>
  <c r="FF73" i="16"/>
  <c r="FF59" i="16"/>
  <c r="GJ59" i="16"/>
  <c r="EC100" i="16"/>
  <c r="ED100" i="16" s="1"/>
  <c r="EQ102" i="16"/>
  <c r="HI59" i="16"/>
  <c r="HJ61" i="16"/>
  <c r="FF58" i="16"/>
  <c r="E58" i="16"/>
  <c r="CT88" i="16"/>
  <c r="DE88" i="16" s="1"/>
  <c r="BZ17" i="16"/>
  <c r="DZ214" i="16"/>
  <c r="EE214" i="16" s="1"/>
  <c r="DZ325" i="16"/>
  <c r="EE325" i="16" s="1"/>
  <c r="EZ282" i="16"/>
  <c r="DQ257" i="16"/>
  <c r="CJ241" i="16"/>
  <c r="CS451" i="16"/>
  <c r="DP396" i="16"/>
  <c r="EV297" i="16"/>
  <c r="DP398" i="16"/>
  <c r="E44" i="16"/>
  <c r="DP258" i="16"/>
  <c r="ES381" i="16"/>
  <c r="EX381" i="16" s="1"/>
  <c r="FN436" i="16"/>
  <c r="FW436" i="16" s="1"/>
  <c r="BZ254" i="16"/>
  <c r="FW30" i="16"/>
  <c r="CS185" i="16"/>
  <c r="T156" i="16"/>
  <c r="EC270" i="16"/>
  <c r="ED270" i="16" s="1"/>
  <c r="ET284" i="16"/>
  <c r="EU284" i="16" s="1"/>
  <c r="DQ255" i="16"/>
  <c r="DZ242" i="16"/>
  <c r="EE242" i="16" s="1"/>
  <c r="DP451" i="16"/>
  <c r="BZ409" i="16"/>
  <c r="EZ352" i="16"/>
  <c r="GA73" i="16"/>
  <c r="CJ200" i="16"/>
  <c r="ES228" i="16"/>
  <c r="FS143" i="16"/>
  <c r="DP131" i="16"/>
  <c r="EC326" i="16"/>
  <c r="ED326" i="16" s="1"/>
  <c r="DQ452" i="16"/>
  <c r="DP409" i="16"/>
  <c r="FO394" i="16"/>
  <c r="FP394" i="16" s="1"/>
  <c r="BZ354" i="16"/>
  <c r="GN89" i="16"/>
  <c r="CS395" i="16"/>
  <c r="EV282" i="16"/>
  <c r="DC101" i="16"/>
  <c r="FQ186" i="16"/>
  <c r="EQ340" i="16"/>
  <c r="DZ311" i="16"/>
  <c r="EE311" i="16" s="1"/>
  <c r="CS283" i="16"/>
  <c r="FA254" i="16"/>
  <c r="EC395" i="16"/>
  <c r="ED395" i="16" s="1"/>
  <c r="FV227" i="16"/>
  <c r="FY199" i="16"/>
  <c r="FY325" i="16"/>
  <c r="FU254" i="16"/>
  <c r="FD270" i="16"/>
  <c r="DQ438" i="16"/>
  <c r="FU464" i="16"/>
  <c r="FU325" i="16"/>
  <c r="FN170" i="16"/>
  <c r="FW170" i="16" s="1"/>
  <c r="FO227" i="16"/>
  <c r="FP227" i="16" s="1"/>
  <c r="FO325" i="16"/>
  <c r="FP325" i="16" s="1"/>
  <c r="DP298" i="16"/>
  <c r="ET270" i="16"/>
  <c r="EU270" i="16" s="1"/>
  <c r="DP439" i="16"/>
  <c r="FV464" i="16"/>
  <c r="GA30" i="16"/>
  <c r="DQ299" i="16"/>
  <c r="FA270" i="16"/>
  <c r="ES255" i="16"/>
  <c r="FV254" i="16"/>
  <c r="FX254" i="16"/>
  <c r="FN240" i="16"/>
  <c r="CS436" i="16"/>
  <c r="DP437" i="16"/>
  <c r="FO464" i="16"/>
  <c r="FP464" i="16" s="1"/>
  <c r="HJ87" i="16"/>
  <c r="GA72" i="16"/>
  <c r="DE73" i="16"/>
  <c r="FU199" i="16"/>
  <c r="DP300" i="16"/>
  <c r="EZ270" i="16"/>
  <c r="FY254" i="16"/>
  <c r="FX464" i="16"/>
  <c r="FX227" i="16"/>
  <c r="FV199" i="16"/>
  <c r="FS199" i="16"/>
  <c r="FQ254" i="16"/>
  <c r="CI423" i="16"/>
  <c r="FQ464" i="16"/>
  <c r="ES157" i="16"/>
  <c r="FB157" i="16" s="1"/>
  <c r="FQ227" i="16"/>
  <c r="FO199" i="16"/>
  <c r="FP199" i="16" s="1"/>
  <c r="FR199" i="16" s="1"/>
  <c r="DZ465" i="16"/>
  <c r="EE465" i="16" s="1"/>
  <c r="EV270" i="16"/>
  <c r="FS396" i="16"/>
  <c r="FY45" i="16"/>
  <c r="FQ325" i="16"/>
  <c r="DZ241" i="16"/>
  <c r="EE241" i="16" s="1"/>
  <c r="T422" i="16"/>
  <c r="FY354" i="16"/>
  <c r="FN158" i="16"/>
  <c r="FW158" i="16" s="1"/>
  <c r="DK18" i="16"/>
  <c r="DR18" i="16" s="1"/>
  <c r="DZ45" i="16"/>
  <c r="EE45" i="16" s="1"/>
  <c r="ES46" i="16"/>
  <c r="FB46" i="16" s="1"/>
  <c r="DQ143" i="16"/>
  <c r="FX298" i="16"/>
  <c r="FC284" i="16"/>
  <c r="FX268" i="16"/>
  <c r="DZ451" i="16"/>
  <c r="EE451" i="16" s="1"/>
  <c r="FC395" i="16"/>
  <c r="DQ369" i="16"/>
  <c r="FO396" i="16"/>
  <c r="FP396" i="16" s="1"/>
  <c r="FQ354" i="16"/>
  <c r="DP468" i="16"/>
  <c r="DZ352" i="16"/>
  <c r="EE352" i="16" s="1"/>
  <c r="FY186" i="16"/>
  <c r="CS324" i="16"/>
  <c r="CA109" i="16"/>
  <c r="BZ109" i="16" s="1"/>
  <c r="BZ339" i="16"/>
  <c r="FQ283" i="16"/>
  <c r="BZ366" i="16"/>
  <c r="EC157" i="16"/>
  <c r="ED157" i="16" s="1"/>
  <c r="GJ283" i="16"/>
  <c r="BZ185" i="16"/>
  <c r="FQ296" i="16"/>
  <c r="FC16" i="16"/>
  <c r="FO410" i="16"/>
  <c r="FP410" i="16" s="1"/>
  <c r="FV466" i="16"/>
  <c r="FY31" i="16"/>
  <c r="E72" i="16"/>
  <c r="DP171" i="16"/>
  <c r="DP173" i="16"/>
  <c r="FY143" i="16"/>
  <c r="DQ340" i="16"/>
  <c r="DZ312" i="16"/>
  <c r="EE312" i="16" s="1"/>
  <c r="BN333" i="16"/>
  <c r="BM333" i="16" s="1"/>
  <c r="DZ268" i="16"/>
  <c r="EE268" i="16" s="1"/>
  <c r="FU283" i="16"/>
  <c r="CS240" i="16"/>
  <c r="FX255" i="16"/>
  <c r="FZ255" i="16" s="1"/>
  <c r="FU268" i="16"/>
  <c r="E240" i="16"/>
  <c r="FS255" i="16"/>
  <c r="FY410" i="16"/>
  <c r="DZ450" i="16"/>
  <c r="EE450" i="16" s="1"/>
  <c r="CS408" i="16"/>
  <c r="DP425" i="16"/>
  <c r="DQ382" i="16"/>
  <c r="FQ396" i="16"/>
  <c r="FU354" i="16"/>
  <c r="FC352" i="16"/>
  <c r="FO466" i="16"/>
  <c r="FP466" i="16" s="1"/>
  <c r="FQ466" i="16"/>
  <c r="ET254" i="16"/>
  <c r="EU254" i="16" s="1"/>
  <c r="GF325" i="16"/>
  <c r="HJ59" i="16"/>
  <c r="FD254" i="16"/>
  <c r="ET395" i="16"/>
  <c r="EU395" i="16" s="1"/>
  <c r="FA352" i="16"/>
  <c r="DP339" i="16"/>
  <c r="FO255" i="16"/>
  <c r="FP255" i="16" s="1"/>
  <c r="FR255" i="16" s="1"/>
  <c r="FQ31" i="16"/>
  <c r="FR31" i="16" s="1"/>
  <c r="FU226" i="16"/>
  <c r="FO143" i="16"/>
  <c r="FP143" i="16" s="1"/>
  <c r="DP341" i="16"/>
  <c r="FY283" i="16"/>
  <c r="FD325" i="16"/>
  <c r="FU255" i="16"/>
  <c r="FV268" i="16"/>
  <c r="FA452" i="16"/>
  <c r="FQ410" i="16"/>
  <c r="FR410" i="16" s="1"/>
  <c r="FY396" i="16"/>
  <c r="FZ396" i="16" s="1"/>
  <c r="FT396" i="16" s="1"/>
  <c r="FO354" i="16"/>
  <c r="FP354" i="16" s="1"/>
  <c r="FY466" i="16"/>
  <c r="DQ312" i="16"/>
  <c r="EV254" i="16"/>
  <c r="ET312" i="16"/>
  <c r="EU312" i="16" s="1"/>
  <c r="EC200" i="16"/>
  <c r="ED200" i="16" s="1"/>
  <c r="FQ143" i="16"/>
  <c r="EZ254" i="16"/>
  <c r="DQ426" i="16"/>
  <c r="DP381" i="16"/>
  <c r="FV396" i="16"/>
  <c r="DZ172" i="16"/>
  <c r="EE172" i="16" s="1"/>
  <c r="FX143" i="16"/>
  <c r="FZ143" i="16" s="1"/>
  <c r="FU296" i="16"/>
  <c r="DZ255" i="16"/>
  <c r="EE255" i="16" s="1"/>
  <c r="DQ424" i="16"/>
  <c r="DQ384" i="16"/>
  <c r="ET352" i="16"/>
  <c r="EU352" i="16" s="1"/>
  <c r="E100" i="16"/>
  <c r="FU100" i="16"/>
  <c r="ES116" i="16"/>
  <c r="FB116" i="16" s="1"/>
  <c r="DZ184" i="16"/>
  <c r="EE184" i="16" s="1"/>
  <c r="EC186" i="16"/>
  <c r="ED186" i="16" s="1"/>
  <c r="DP311" i="16"/>
  <c r="EV325" i="16"/>
  <c r="FY268" i="16"/>
  <c r="FL396" i="16"/>
  <c r="ES380" i="16"/>
  <c r="FB380" i="16" s="1"/>
  <c r="DZ368" i="16"/>
  <c r="EE368" i="16" s="1"/>
  <c r="CT422" i="16"/>
  <c r="FU466" i="16"/>
  <c r="FN311" i="16"/>
  <c r="FW311" i="16" s="1"/>
  <c r="FD46" i="16"/>
  <c r="FO100" i="16"/>
  <c r="FP100" i="16" s="1"/>
  <c r="FQ100" i="16"/>
  <c r="FY100" i="16"/>
  <c r="DL100" i="16"/>
  <c r="DK100" i="16"/>
  <c r="DD101" i="16"/>
  <c r="DL101" i="16"/>
  <c r="DK101" i="16"/>
  <c r="FN86" i="16"/>
  <c r="FS86" i="16" s="1"/>
  <c r="GA87" i="16"/>
  <c r="GA86" i="16"/>
  <c r="DL86" i="16"/>
  <c r="DK86" i="16"/>
  <c r="DL87" i="16"/>
  <c r="DK87" i="16"/>
  <c r="DZ86" i="16"/>
  <c r="EE86" i="16" s="1"/>
  <c r="EC86" i="16"/>
  <c r="ED86" i="16" s="1"/>
  <c r="CA73" i="16"/>
  <c r="BZ73" i="16"/>
  <c r="HJ73" i="16"/>
  <c r="DK73" i="16"/>
  <c r="DL73" i="16"/>
  <c r="DL72" i="16"/>
  <c r="DK72" i="16"/>
  <c r="CJ409" i="16"/>
  <c r="FX45" i="16"/>
  <c r="FZ45" i="16" s="1"/>
  <c r="FV72" i="16"/>
  <c r="FC86" i="16"/>
  <c r="BZ102" i="16"/>
  <c r="EV226" i="16"/>
  <c r="EW226" i="16" s="1"/>
  <c r="CS198" i="16"/>
  <c r="FC200" i="16"/>
  <c r="EC156" i="16"/>
  <c r="ED156" i="16" s="1"/>
  <c r="DP144" i="16"/>
  <c r="EC129" i="16"/>
  <c r="ED129" i="16" s="1"/>
  <c r="CI310" i="16"/>
  <c r="EZ297" i="16"/>
  <c r="EV284" i="16"/>
  <c r="EW284" i="16" s="1"/>
  <c r="CS255" i="16"/>
  <c r="DQ270" i="16"/>
  <c r="FA396" i="16"/>
  <c r="FN438" i="16"/>
  <c r="FW438" i="16" s="1"/>
  <c r="EC172" i="16"/>
  <c r="ED172" i="16" s="1"/>
  <c r="FS45" i="16"/>
  <c r="CS72" i="16"/>
  <c r="FO72" i="16"/>
  <c r="FP72" i="16" s="1"/>
  <c r="FN72" i="16"/>
  <c r="FS72" i="16" s="1"/>
  <c r="FQ213" i="16"/>
  <c r="FR213" i="16" s="1"/>
  <c r="EV200" i="16"/>
  <c r="FS213" i="16"/>
  <c r="E198" i="16"/>
  <c r="FX171" i="16"/>
  <c r="CS143" i="16"/>
  <c r="BZ143" i="16"/>
  <c r="CI326" i="16"/>
  <c r="EC283" i="16"/>
  <c r="ED283" i="16" s="1"/>
  <c r="FO312" i="16"/>
  <c r="FP312" i="16" s="1"/>
  <c r="FY296" i="16"/>
  <c r="DP272" i="16"/>
  <c r="DQ272" i="16"/>
  <c r="DZ423" i="16"/>
  <c r="EE423" i="16" s="1"/>
  <c r="ET396" i="16"/>
  <c r="EU396" i="16" s="1"/>
  <c r="FU353" i="16"/>
  <c r="EV396" i="16"/>
  <c r="DZ240" i="16"/>
  <c r="EE240" i="16" s="1"/>
  <c r="FS296" i="16"/>
  <c r="EC102" i="16"/>
  <c r="ED102" i="16" s="1"/>
  <c r="EC228" i="16"/>
  <c r="ED228" i="16" s="1"/>
  <c r="FD228" i="16"/>
  <c r="FE228" i="16" s="1"/>
  <c r="CS227" i="16"/>
  <c r="ES59" i="16"/>
  <c r="FB59" i="16" s="1"/>
  <c r="DZ116" i="16"/>
  <c r="EE116" i="16" s="1"/>
  <c r="FV340" i="16"/>
  <c r="FA256" i="16"/>
  <c r="DP269" i="16"/>
  <c r="E227" i="16"/>
  <c r="FU45" i="16"/>
  <c r="CI72" i="16"/>
  <c r="FX72" i="16"/>
  <c r="EZ228" i="16"/>
  <c r="EC227" i="16"/>
  <c r="ED227" i="16" s="1"/>
  <c r="FY212" i="16"/>
  <c r="BZ200" i="16"/>
  <c r="DQ129" i="16"/>
  <c r="DP143" i="16"/>
  <c r="FO171" i="16"/>
  <c r="FP171" i="16" s="1"/>
  <c r="FD338" i="16"/>
  <c r="DZ298" i="16"/>
  <c r="EE298" i="16" s="1"/>
  <c r="EZ396" i="16"/>
  <c r="FD466" i="16"/>
  <c r="FU72" i="16"/>
  <c r="FV45" i="16"/>
  <c r="FQ72" i="16"/>
  <c r="FD114" i="16"/>
  <c r="ET116" i="16"/>
  <c r="EU116" i="16" s="1"/>
  <c r="ET228" i="16"/>
  <c r="EU228" i="16" s="1"/>
  <c r="EW228" i="16" s="1"/>
  <c r="DZ143" i="16"/>
  <c r="EE143" i="16" s="1"/>
  <c r="DP146" i="16"/>
  <c r="DP145" i="16"/>
  <c r="DQ132" i="16"/>
  <c r="EV338" i="16"/>
  <c r="EW338" i="16" s="1"/>
  <c r="BZ324" i="16"/>
  <c r="FO296" i="16"/>
  <c r="FP296" i="16" s="1"/>
  <c r="FX270" i="16"/>
  <c r="ES424" i="16"/>
  <c r="FA338" i="16"/>
  <c r="FV212" i="16"/>
  <c r="GJ255" i="16"/>
  <c r="CS44" i="16"/>
  <c r="DD44" i="16" s="1"/>
  <c r="DP129" i="16"/>
  <c r="EV32" i="16"/>
  <c r="FQ45" i="16"/>
  <c r="FR45" i="16" s="1"/>
  <c r="FC228" i="16"/>
  <c r="DZ226" i="16"/>
  <c r="EE226" i="16" s="1"/>
  <c r="FX212" i="16"/>
  <c r="CS156" i="16"/>
  <c r="DQ146" i="16"/>
  <c r="FX296" i="16"/>
  <c r="FV270" i="16"/>
  <c r="FL409" i="16"/>
  <c r="EC394" i="16"/>
  <c r="ED394" i="16" s="1"/>
  <c r="DZ354" i="16"/>
  <c r="EE354" i="16" s="1"/>
  <c r="FC338" i="16"/>
  <c r="DZ198" i="16"/>
  <c r="EE198" i="16" s="1"/>
  <c r="FO212" i="16"/>
  <c r="FP212" i="16" s="1"/>
  <c r="GJ143" i="16"/>
  <c r="DD45" i="16"/>
  <c r="DD59" i="16"/>
  <c r="DZ73" i="16"/>
  <c r="EE73" i="16" s="1"/>
  <c r="FO226" i="16"/>
  <c r="FP226" i="16" s="1"/>
  <c r="DQ325" i="16"/>
  <c r="FY298" i="16"/>
  <c r="FL282" i="16"/>
  <c r="FN450" i="16"/>
  <c r="DQ451" i="16"/>
  <c r="FC452" i="16"/>
  <c r="ET408" i="16"/>
  <c r="EU408" i="16" s="1"/>
  <c r="CA367" i="16"/>
  <c r="ES451" i="16"/>
  <c r="FB451" i="16" s="1"/>
  <c r="FS226" i="16"/>
  <c r="HI45" i="16"/>
  <c r="FX226" i="16"/>
  <c r="FZ226" i="16" s="1"/>
  <c r="FU298" i="16"/>
  <c r="CI284" i="16"/>
  <c r="DP454" i="16"/>
  <c r="DP438" i="16"/>
  <c r="EV452" i="16"/>
  <c r="FC408" i="16"/>
  <c r="DP395" i="16"/>
  <c r="DQ341" i="16"/>
  <c r="FN228" i="16"/>
  <c r="FS228" i="16" s="1"/>
  <c r="HI31" i="16"/>
  <c r="CI102" i="16"/>
  <c r="FQ226" i="16"/>
  <c r="CS170" i="16"/>
  <c r="ET143" i="16"/>
  <c r="EU143" i="16" s="1"/>
  <c r="EW143" i="16" s="1"/>
  <c r="FO298" i="16"/>
  <c r="FP298" i="16" s="1"/>
  <c r="FR298" i="16" s="1"/>
  <c r="FV298" i="16"/>
  <c r="ET242" i="16"/>
  <c r="EU242" i="16" s="1"/>
  <c r="DQ439" i="16"/>
  <c r="EZ424" i="16"/>
  <c r="FD452" i="16"/>
  <c r="EV408" i="16"/>
  <c r="EW408" i="16" s="1"/>
  <c r="T408" i="16"/>
  <c r="DQ398" i="16"/>
  <c r="EC354" i="16"/>
  <c r="ED354" i="16" s="1"/>
  <c r="HK31" i="16"/>
  <c r="CT74" i="16"/>
  <c r="FY226" i="16"/>
  <c r="DZ129" i="16"/>
  <c r="EE129" i="16" s="1"/>
  <c r="CS296" i="16"/>
  <c r="FC424" i="16"/>
  <c r="DP440" i="16"/>
  <c r="EV424" i="16"/>
  <c r="EW424" i="16" s="1"/>
  <c r="EZ408" i="16"/>
  <c r="CT408" i="16"/>
  <c r="FU368" i="16"/>
  <c r="DP397" i="16"/>
  <c r="EX424" i="16"/>
  <c r="GN75" i="16"/>
  <c r="FV214" i="16"/>
  <c r="FA143" i="16"/>
  <c r="FD424" i="16"/>
  <c r="DQ465" i="16"/>
  <c r="ES352" i="16"/>
  <c r="EX352" i="16" s="1"/>
  <c r="FC143" i="16"/>
  <c r="FE143" i="16" s="1"/>
  <c r="ET452" i="16"/>
  <c r="EU452" i="16" s="1"/>
  <c r="EW452" i="16" s="1"/>
  <c r="FN381" i="16"/>
  <c r="FW381" i="16" s="1"/>
  <c r="DQ467" i="16"/>
  <c r="FA186" i="16"/>
  <c r="EV143" i="16"/>
  <c r="FA424" i="16"/>
  <c r="DZ464" i="16"/>
  <c r="EE464" i="16" s="1"/>
  <c r="HJ31" i="16"/>
  <c r="DE59" i="16"/>
  <c r="DC59" i="16"/>
  <c r="GA60" i="16"/>
  <c r="FN60" i="16"/>
  <c r="FW60" i="16" s="1"/>
  <c r="EC59" i="16"/>
  <c r="ED59" i="16" s="1"/>
  <c r="GA58" i="16"/>
  <c r="GA59" i="16"/>
  <c r="CA59" i="16"/>
  <c r="FD58" i="16"/>
  <c r="DL60" i="16"/>
  <c r="DK60" i="16"/>
  <c r="FC58" i="16"/>
  <c r="DL58" i="16"/>
  <c r="DK58" i="16"/>
  <c r="DL59" i="16"/>
  <c r="DK59" i="16"/>
  <c r="EV58" i="16"/>
  <c r="EW58" i="16" s="1"/>
  <c r="HK59" i="16"/>
  <c r="DZ60" i="16"/>
  <c r="EE60" i="16" s="1"/>
  <c r="BQ74" i="13"/>
  <c r="BQ68" i="13"/>
  <c r="BQ52" i="13"/>
  <c r="BQ50" i="13"/>
  <c r="BQ54" i="13"/>
  <c r="BQ90" i="13"/>
  <c r="BQ34" i="13"/>
  <c r="BQ28" i="13"/>
  <c r="BQ94" i="13"/>
  <c r="BQ72" i="13"/>
  <c r="BQ32" i="13"/>
  <c r="GA46" i="16"/>
  <c r="DE45" i="16"/>
  <c r="GA44" i="16"/>
  <c r="CT44" i="16"/>
  <c r="DE44" i="16" s="1"/>
  <c r="DL46" i="16"/>
  <c r="DK46" i="16"/>
  <c r="DC45" i="16"/>
  <c r="DL45" i="16"/>
  <c r="DK45" i="16"/>
  <c r="DL44" i="16"/>
  <c r="DK44" i="16"/>
  <c r="FX31" i="16"/>
  <c r="FU31" i="16"/>
  <c r="FV31" i="16"/>
  <c r="FA32" i="16"/>
  <c r="DZ31" i="16"/>
  <c r="EE31" i="16" s="1"/>
  <c r="EZ32" i="16"/>
  <c r="ET32" i="16"/>
  <c r="EU32" i="16" s="1"/>
  <c r="FX338" i="16"/>
  <c r="EV312" i="16"/>
  <c r="EZ30" i="16"/>
  <c r="EZ60" i="16"/>
  <c r="FY214" i="16"/>
  <c r="FW226" i="16"/>
  <c r="E212" i="16"/>
  <c r="EZ185" i="16"/>
  <c r="EC158" i="16"/>
  <c r="ED158" i="16" s="1"/>
  <c r="FY128" i="16"/>
  <c r="CA129" i="16"/>
  <c r="EZ129" i="16"/>
  <c r="FO338" i="16"/>
  <c r="FP338" i="16" s="1"/>
  <c r="FQ340" i="16"/>
  <c r="FR340" i="16" s="1"/>
  <c r="FD312" i="16"/>
  <c r="FN312" i="16"/>
  <c r="FW312" i="16" s="1"/>
  <c r="FA451" i="16"/>
  <c r="CA459" i="16"/>
  <c r="BZ459" i="16" s="1"/>
  <c r="CA382" i="16"/>
  <c r="FO367" i="16"/>
  <c r="FP367" i="16" s="1"/>
  <c r="DP465" i="16"/>
  <c r="FO214" i="16"/>
  <c r="FP214" i="16" s="1"/>
  <c r="EC213" i="16"/>
  <c r="ED213" i="16" s="1"/>
  <c r="FA242" i="16"/>
  <c r="HK33" i="16"/>
  <c r="GF297" i="16"/>
  <c r="FC30" i="16"/>
  <c r="CI44" i="16"/>
  <c r="FA60" i="16"/>
  <c r="BZ87" i="16"/>
  <c r="CS213" i="16"/>
  <c r="BN221" i="16"/>
  <c r="BM221" i="16" s="1"/>
  <c r="FC185" i="16"/>
  <c r="FA129" i="16"/>
  <c r="FU338" i="16"/>
  <c r="FY340" i="16"/>
  <c r="EZ312" i="16"/>
  <c r="CT284" i="16"/>
  <c r="CT450" i="16"/>
  <c r="FD451" i="16"/>
  <c r="FO422" i="16"/>
  <c r="FP422" i="16" s="1"/>
  <c r="FQ367" i="16"/>
  <c r="CA395" i="16"/>
  <c r="FD242" i="16"/>
  <c r="CA312" i="16"/>
  <c r="FQ214" i="16"/>
  <c r="FR214" i="16" s="1"/>
  <c r="BZ394" i="16"/>
  <c r="FD30" i="16"/>
  <c r="EZ46" i="16"/>
  <c r="EV30" i="16"/>
  <c r="EW30" i="16" s="1"/>
  <c r="FA46" i="16"/>
  <c r="ET60" i="16"/>
  <c r="EU60" i="16" s="1"/>
  <c r="EW88" i="16"/>
  <c r="CA214" i="16"/>
  <c r="FA185" i="16"/>
  <c r="DZ186" i="16"/>
  <c r="EE186" i="16" s="1"/>
  <c r="ET129" i="16"/>
  <c r="EU129" i="16" s="1"/>
  <c r="FV338" i="16"/>
  <c r="FU340" i="16"/>
  <c r="FC312" i="16"/>
  <c r="T284" i="16"/>
  <c r="FN256" i="16"/>
  <c r="FW256" i="16" s="1"/>
  <c r="ET451" i="16"/>
  <c r="EU451" i="16" s="1"/>
  <c r="EW451" i="16" s="1"/>
  <c r="FX422" i="16"/>
  <c r="CS352" i="16"/>
  <c r="FN380" i="16"/>
  <c r="FW380" i="16" s="1"/>
  <c r="FU367" i="16"/>
  <c r="E352" i="16"/>
  <c r="FX214" i="16"/>
  <c r="ET282" i="16"/>
  <c r="EU282" i="16" s="1"/>
  <c r="FN241" i="16"/>
  <c r="FW241" i="16" s="1"/>
  <c r="EZ242" i="16"/>
  <c r="ES172" i="16"/>
  <c r="FB172" i="16" s="1"/>
  <c r="GJ213" i="16"/>
  <c r="EC340" i="16"/>
  <c r="ED340" i="16" s="1"/>
  <c r="FX340" i="16"/>
  <c r="DZ256" i="16"/>
  <c r="EE256" i="16" s="1"/>
  <c r="ET46" i="16"/>
  <c r="EU46" i="16" s="1"/>
  <c r="EW46" i="16" s="1"/>
  <c r="CI58" i="16"/>
  <c r="FC60" i="16"/>
  <c r="FC129" i="16"/>
  <c r="FQ338" i="16"/>
  <c r="EC255" i="16"/>
  <c r="ED255" i="16" s="1"/>
  <c r="EV242" i="16"/>
  <c r="FC451" i="16"/>
  <c r="FY422" i="16"/>
  <c r="EC408" i="16"/>
  <c r="ED408" i="16" s="1"/>
  <c r="FY367" i="16"/>
  <c r="FN464" i="16"/>
  <c r="FS464" i="16" s="1"/>
  <c r="BZ424" i="16"/>
  <c r="CA123" i="16"/>
  <c r="BZ123" i="16" s="1"/>
  <c r="CA137" i="16"/>
  <c r="BZ137" i="16" s="1"/>
  <c r="EC310" i="16"/>
  <c r="ED310" i="16" s="1"/>
  <c r="FC46" i="16"/>
  <c r="CS58" i="16"/>
  <c r="BN67" i="16"/>
  <c r="BM67" i="16" s="1"/>
  <c r="EV60" i="16"/>
  <c r="CS212" i="16"/>
  <c r="FR186" i="16"/>
  <c r="CI198" i="16"/>
  <c r="FN171" i="16"/>
  <c r="FS171" i="16" s="1"/>
  <c r="EV129" i="16"/>
  <c r="FY338" i="16"/>
  <c r="FQ422" i="16"/>
  <c r="FV367" i="16"/>
  <c r="FL382" i="16"/>
  <c r="DP340" i="16"/>
  <c r="EZ451" i="16"/>
  <c r="CT128" i="16"/>
  <c r="EC296" i="16"/>
  <c r="ED296" i="16" s="1"/>
  <c r="T450" i="16"/>
  <c r="CI438" i="16"/>
  <c r="FV422" i="16"/>
  <c r="DQ339" i="16"/>
  <c r="CA221" i="16"/>
  <c r="BZ221" i="16" s="1"/>
  <c r="FS128" i="16"/>
  <c r="FN338" i="16"/>
  <c r="FW338" i="16" s="1"/>
  <c r="EC396" i="16"/>
  <c r="ED396" i="16" s="1"/>
  <c r="E170" i="16"/>
  <c r="ES115" i="16"/>
  <c r="FB115" i="16" s="1"/>
  <c r="GN271" i="16"/>
  <c r="FV44" i="16"/>
  <c r="FD74" i="16"/>
  <c r="FE74" i="16" s="1"/>
  <c r="EV114" i="16"/>
  <c r="EV116" i="16"/>
  <c r="DQ215" i="16"/>
  <c r="DZ185" i="16"/>
  <c r="EE185" i="16" s="1"/>
  <c r="BN179" i="16"/>
  <c r="BM179" i="16" s="1"/>
  <c r="FO158" i="16"/>
  <c r="FP158" i="16" s="1"/>
  <c r="FY171" i="16"/>
  <c r="CI143" i="16"/>
  <c r="FA326" i="16"/>
  <c r="FC326" i="16"/>
  <c r="FD311" i="16"/>
  <c r="FV312" i="16"/>
  <c r="FD297" i="16"/>
  <c r="FN283" i="16"/>
  <c r="FS283" i="16" s="1"/>
  <c r="FU270" i="16"/>
  <c r="FA284" i="16"/>
  <c r="FC325" i="16"/>
  <c r="CA282" i="16"/>
  <c r="DP453" i="16"/>
  <c r="EV436" i="16"/>
  <c r="E436" i="16"/>
  <c r="EC438" i="16"/>
  <c r="ED438" i="16" s="1"/>
  <c r="EC380" i="16"/>
  <c r="ED380" i="16" s="1"/>
  <c r="FV353" i="16"/>
  <c r="CS464" i="16"/>
  <c r="DQ468" i="16"/>
  <c r="DP467" i="16"/>
  <c r="FO382" i="16"/>
  <c r="FP382" i="16" s="1"/>
  <c r="FQ212" i="16"/>
  <c r="FA86" i="16"/>
  <c r="GF467" i="16"/>
  <c r="T270" i="16"/>
  <c r="EV326" i="16"/>
  <c r="EZ311" i="16"/>
  <c r="EZ86" i="16"/>
  <c r="CT464" i="16"/>
  <c r="FC116" i="16"/>
  <c r="DP270" i="16"/>
  <c r="DP216" i="16"/>
  <c r="FA297" i="16"/>
  <c r="EQ282" i="16"/>
  <c r="FN451" i="16"/>
  <c r="FS451" i="16" s="1"/>
  <c r="FD450" i="16"/>
  <c r="FC436" i="16"/>
  <c r="DQ370" i="16"/>
  <c r="FO353" i="16"/>
  <c r="FP353" i="16" s="1"/>
  <c r="FR353" i="16" s="1"/>
  <c r="EZ466" i="16"/>
  <c r="FX44" i="16"/>
  <c r="FC72" i="16"/>
  <c r="EX74" i="16"/>
  <c r="DZ72" i="16"/>
  <c r="EE72" i="16" s="1"/>
  <c r="CS86" i="16"/>
  <c r="CT100" i="16"/>
  <c r="CT116" i="16"/>
  <c r="FN212" i="16"/>
  <c r="FW212" i="16" s="1"/>
  <c r="CT184" i="16"/>
  <c r="CT129" i="16"/>
  <c r="FQ171" i="16"/>
  <c r="FR171" i="16" s="1"/>
  <c r="FA311" i="16"/>
  <c r="ET297" i="16"/>
  <c r="EU297" i="16" s="1"/>
  <c r="FO270" i="16"/>
  <c r="FP270" i="16" s="1"/>
  <c r="FD284" i="16"/>
  <c r="DQ242" i="16"/>
  <c r="CS450" i="16"/>
  <c r="ET450" i="16"/>
  <c r="EU450" i="16" s="1"/>
  <c r="FD423" i="16"/>
  <c r="EC382" i="16"/>
  <c r="ED382" i="16" s="1"/>
  <c r="DZ367" i="16"/>
  <c r="EE367" i="16" s="1"/>
  <c r="DQ368" i="16"/>
  <c r="FX353" i="16"/>
  <c r="FA466" i="16"/>
  <c r="CS465" i="16"/>
  <c r="FV382" i="16"/>
  <c r="ES339" i="16"/>
  <c r="FB339" i="16" s="1"/>
  <c r="ES198" i="16"/>
  <c r="FB198" i="16" s="1"/>
  <c r="EV74" i="16"/>
  <c r="EW74" i="16" s="1"/>
  <c r="FB100" i="16"/>
  <c r="EC101" i="16"/>
  <c r="ED101" i="16" s="1"/>
  <c r="DZ58" i="16"/>
  <c r="EE58" i="16" s="1"/>
  <c r="FQ158" i="16"/>
  <c r="EV16" i="16"/>
  <c r="EW16" i="16" s="1"/>
  <c r="EW86" i="16"/>
  <c r="ET311" i="16"/>
  <c r="EU311" i="16" s="1"/>
  <c r="EW311" i="16" s="1"/>
  <c r="FY312" i="16"/>
  <c r="DP426" i="16"/>
  <c r="EW44" i="16"/>
  <c r="FO44" i="16"/>
  <c r="FP44" i="16" s="1"/>
  <c r="FD116" i="16"/>
  <c r="FQ44" i="16"/>
  <c r="EZ74" i="16"/>
  <c r="FD86" i="16"/>
  <c r="FE100" i="16"/>
  <c r="CA235" i="16"/>
  <c r="BZ235" i="16" s="1"/>
  <c r="FU171" i="16"/>
  <c r="FR324" i="16"/>
  <c r="FQ270" i="16"/>
  <c r="ET325" i="16"/>
  <c r="EU325" i="16" s="1"/>
  <c r="EW325" i="16" s="1"/>
  <c r="EV450" i="16"/>
  <c r="EV423" i="16"/>
  <c r="EW423" i="16" s="1"/>
  <c r="DZ409" i="16"/>
  <c r="EE409" i="16" s="1"/>
  <c r="ET466" i="16"/>
  <c r="EU466" i="16" s="1"/>
  <c r="EW466" i="16" s="1"/>
  <c r="FY44" i="16"/>
  <c r="CI45" i="16"/>
  <c r="FD72" i="16"/>
  <c r="CT72" i="16"/>
  <c r="DE72" i="16" s="1"/>
  <c r="FA74" i="16"/>
  <c r="T72" i="16"/>
  <c r="DZ87" i="16"/>
  <c r="EE87" i="16" s="1"/>
  <c r="CI88" i="16"/>
  <c r="ET114" i="16"/>
  <c r="EU114" i="16" s="1"/>
  <c r="EW114" i="16" s="1"/>
  <c r="EZ116" i="16"/>
  <c r="BZ228" i="16"/>
  <c r="DZ310" i="16"/>
  <c r="EE310" i="16" s="1"/>
  <c r="DZ296" i="16"/>
  <c r="EE296" i="16" s="1"/>
  <c r="FY284" i="16"/>
  <c r="FU312" i="16"/>
  <c r="CA311" i="16"/>
  <c r="EC268" i="16"/>
  <c r="ED268" i="16" s="1"/>
  <c r="EZ325" i="16"/>
  <c r="DQ271" i="16"/>
  <c r="DP241" i="16"/>
  <c r="CS241" i="16"/>
  <c r="FA450" i="16"/>
  <c r="ET436" i="16"/>
  <c r="EU436" i="16" s="1"/>
  <c r="EZ423" i="16"/>
  <c r="FN437" i="16"/>
  <c r="FW437" i="16" s="1"/>
  <c r="EC450" i="16"/>
  <c r="ED450" i="16" s="1"/>
  <c r="FN422" i="16"/>
  <c r="FQ382" i="16"/>
  <c r="FN353" i="16"/>
  <c r="FW353" i="16" s="1"/>
  <c r="FY353" i="16"/>
  <c r="EW464" i="16"/>
  <c r="FC466" i="16"/>
  <c r="CA473" i="16"/>
  <c r="BZ473" i="16" s="1"/>
  <c r="DQ425" i="16"/>
  <c r="FQ284" i="16"/>
  <c r="FN242" i="16"/>
  <c r="FW242" i="16" s="1"/>
  <c r="FS268" i="16"/>
  <c r="FV158" i="16"/>
  <c r="FA114" i="16"/>
  <c r="GJ395" i="16"/>
  <c r="ET72" i="16"/>
  <c r="EU72" i="16" s="1"/>
  <c r="EW72" i="16" s="1"/>
  <c r="ES436" i="16"/>
  <c r="EX436" i="16" s="1"/>
  <c r="CS30" i="16"/>
  <c r="DD30" i="16" s="1"/>
  <c r="EC72" i="16"/>
  <c r="ED72" i="16" s="1"/>
  <c r="FQ312" i="16"/>
  <c r="FR312" i="16" s="1"/>
  <c r="FW396" i="16"/>
  <c r="CJ353" i="16"/>
  <c r="ES423" i="16"/>
  <c r="FB423" i="16" s="1"/>
  <c r="FN423" i="16"/>
  <c r="FW423" i="16" s="1"/>
  <c r="ES326" i="16"/>
  <c r="CA81" i="16"/>
  <c r="BZ81" i="16" s="1"/>
  <c r="T100" i="16"/>
  <c r="FC114" i="16"/>
  <c r="FN200" i="16"/>
  <c r="FV284" i="16"/>
  <c r="FO268" i="16"/>
  <c r="FP268" i="16" s="1"/>
  <c r="FR268" i="16" s="1"/>
  <c r="E241" i="16"/>
  <c r="EZ450" i="16"/>
  <c r="CI451" i="16"/>
  <c r="DQ423" i="16"/>
  <c r="FA423" i="16"/>
  <c r="ES410" i="16"/>
  <c r="EX410" i="16" s="1"/>
  <c r="FY382" i="16"/>
  <c r="FZ382" i="16" s="1"/>
  <c r="DP367" i="16"/>
  <c r="FU382" i="16"/>
  <c r="FN367" i="16"/>
  <c r="FZ367" i="16" s="1"/>
  <c r="EC240" i="16"/>
  <c r="ED240" i="16" s="1"/>
  <c r="EZ58" i="16"/>
  <c r="HI17" i="16"/>
  <c r="V108" i="9"/>
  <c r="V108" i="11"/>
  <c r="FD16" i="16"/>
  <c r="EZ16" i="16"/>
  <c r="FA16" i="16"/>
  <c r="GA31" i="16"/>
  <c r="CI32" i="16"/>
  <c r="BZ31" i="16"/>
  <c r="ES17" i="16"/>
  <c r="EX17" i="16" s="1"/>
  <c r="EC17" i="16"/>
  <c r="ED17" i="16" s="1"/>
  <c r="CT352" i="16"/>
  <c r="GF355" i="16"/>
  <c r="BN53" i="16"/>
  <c r="BM53" i="16" s="1"/>
  <c r="GN45" i="16"/>
  <c r="BZ45" i="16"/>
  <c r="BN81" i="16"/>
  <c r="BM81" i="16" s="1"/>
  <c r="CT198" i="16"/>
  <c r="GF201" i="16"/>
  <c r="EC199" i="16"/>
  <c r="ED199" i="16" s="1"/>
  <c r="T200" i="16"/>
  <c r="GN201" i="16"/>
  <c r="E129" i="16"/>
  <c r="GJ129" i="16"/>
  <c r="T451" i="16"/>
  <c r="GJ453" i="16"/>
  <c r="FB424" i="16"/>
  <c r="E410" i="16"/>
  <c r="GN409" i="16"/>
  <c r="CA403" i="16"/>
  <c r="BZ403" i="16" s="1"/>
  <c r="GJ397" i="16"/>
  <c r="BZ465" i="16"/>
  <c r="T452" i="16"/>
  <c r="GN453" i="16"/>
  <c r="T423" i="16"/>
  <c r="GJ425" i="16"/>
  <c r="E368" i="16"/>
  <c r="GN367" i="16"/>
  <c r="EC338" i="16"/>
  <c r="ED338" i="16" s="1"/>
  <c r="T73" i="16"/>
  <c r="GJ75" i="16"/>
  <c r="E130" i="16"/>
  <c r="GN129" i="16"/>
  <c r="T46" i="16"/>
  <c r="GN47" i="16"/>
  <c r="T59" i="16"/>
  <c r="GJ61" i="16"/>
  <c r="E101" i="16"/>
  <c r="GJ101" i="16"/>
  <c r="FR228" i="16"/>
  <c r="ET186" i="16"/>
  <c r="EU186" i="16" s="1"/>
  <c r="EW186" i="16" s="1"/>
  <c r="T185" i="16"/>
  <c r="GJ187" i="16"/>
  <c r="EZ186" i="16"/>
  <c r="E158" i="16"/>
  <c r="GN157" i="16"/>
  <c r="FN298" i="16"/>
  <c r="CS268" i="16"/>
  <c r="CT240" i="16"/>
  <c r="EC436" i="16"/>
  <c r="ED436" i="16" s="1"/>
  <c r="EX452" i="16"/>
  <c r="T409" i="16"/>
  <c r="GJ411" i="16"/>
  <c r="EC368" i="16"/>
  <c r="ED368" i="16" s="1"/>
  <c r="CT58" i="16"/>
  <c r="DE58" i="16" s="1"/>
  <c r="GF61" i="16"/>
  <c r="E60" i="16"/>
  <c r="GN59" i="16"/>
  <c r="ES186" i="16"/>
  <c r="FB186" i="16" s="1"/>
  <c r="FC186" i="16"/>
  <c r="CS184" i="16"/>
  <c r="GF185" i="16"/>
  <c r="CS338" i="16"/>
  <c r="GF339" i="16"/>
  <c r="E325" i="16"/>
  <c r="GJ325" i="16"/>
  <c r="E297" i="16"/>
  <c r="GJ297" i="16"/>
  <c r="FR283" i="16"/>
  <c r="CT368" i="16"/>
  <c r="GN369" i="16"/>
  <c r="BZ423" i="16"/>
  <c r="E353" i="16"/>
  <c r="GJ353" i="16"/>
  <c r="E466" i="16"/>
  <c r="GN465" i="16"/>
  <c r="EW100" i="16"/>
  <c r="EW102" i="16"/>
  <c r="T171" i="16"/>
  <c r="GJ173" i="16"/>
  <c r="T312" i="16"/>
  <c r="GN313" i="16"/>
  <c r="ES324" i="16"/>
  <c r="EC311" i="16"/>
  <c r="ED311" i="16" s="1"/>
  <c r="EC256" i="16"/>
  <c r="ED256" i="16" s="1"/>
  <c r="T256" i="16"/>
  <c r="GN257" i="16"/>
  <c r="BZ451" i="16"/>
  <c r="DZ438" i="16"/>
  <c r="EE438" i="16" s="1"/>
  <c r="CS422" i="16"/>
  <c r="GF423" i="16"/>
  <c r="EQ200" i="16"/>
  <c r="ES200" i="16"/>
  <c r="CA95" i="16"/>
  <c r="BZ95" i="16" s="1"/>
  <c r="GF89" i="16"/>
  <c r="CT16" i="16"/>
  <c r="DE16" i="16" s="1"/>
  <c r="GF19" i="16"/>
  <c r="E199" i="16"/>
  <c r="GJ199" i="16"/>
  <c r="FD186" i="16"/>
  <c r="CT310" i="16"/>
  <c r="GF313" i="16"/>
  <c r="E269" i="16"/>
  <c r="GJ269" i="16"/>
  <c r="FZ268" i="16"/>
  <c r="T354" i="16"/>
  <c r="GN355" i="16"/>
  <c r="T382" i="16"/>
  <c r="GN383" i="16"/>
  <c r="T186" i="16"/>
  <c r="GN187" i="16"/>
  <c r="T60" i="16"/>
  <c r="GN61" i="16"/>
  <c r="T144" i="16"/>
  <c r="GN145" i="16"/>
  <c r="T340" i="16"/>
  <c r="GN341" i="16"/>
  <c r="T298" i="16"/>
  <c r="GN299" i="16"/>
  <c r="E438" i="16"/>
  <c r="GN437" i="16"/>
  <c r="T410" i="16"/>
  <c r="GN411" i="16"/>
  <c r="EW352" i="16"/>
  <c r="T465" i="16"/>
  <c r="GJ467" i="16"/>
  <c r="EC452" i="16"/>
  <c r="ED452" i="16" s="1"/>
  <c r="E256" i="16"/>
  <c r="GN255" i="16"/>
  <c r="T45" i="16"/>
  <c r="GJ47" i="16"/>
  <c r="T172" i="16"/>
  <c r="GN173" i="16"/>
  <c r="E144" i="16"/>
  <c r="GN143" i="16"/>
  <c r="T143" i="16"/>
  <c r="GJ145" i="16"/>
  <c r="E298" i="16"/>
  <c r="GN297" i="16"/>
  <c r="CS282" i="16"/>
  <c r="GF283" i="16"/>
  <c r="T242" i="16"/>
  <c r="GN243" i="16"/>
  <c r="T269" i="16"/>
  <c r="GJ271" i="16"/>
  <c r="T424" i="16"/>
  <c r="GN425" i="16"/>
  <c r="E381" i="16"/>
  <c r="GJ381" i="16"/>
  <c r="T338" i="16"/>
  <c r="GF341" i="16"/>
  <c r="E465" i="16"/>
  <c r="E396" i="16"/>
  <c r="GN395" i="16"/>
  <c r="E242" i="16"/>
  <c r="GN241" i="16"/>
  <c r="T339" i="16"/>
  <c r="GJ341" i="16"/>
  <c r="E102" i="16"/>
  <c r="GN101" i="16"/>
  <c r="T227" i="16"/>
  <c r="GJ229" i="16"/>
  <c r="T157" i="16"/>
  <c r="GJ159" i="16"/>
  <c r="CT114" i="16"/>
  <c r="GF117" i="16"/>
  <c r="FF32" i="16"/>
  <c r="ET298" i="16"/>
  <c r="EU298" i="16" s="1"/>
  <c r="EW298" i="16" s="1"/>
  <c r="FC298" i="16"/>
  <c r="FA298" i="16"/>
  <c r="T366" i="16"/>
  <c r="GF369" i="16"/>
  <c r="ES129" i="16"/>
  <c r="EX129" i="16" s="1"/>
  <c r="T213" i="16"/>
  <c r="GJ215" i="16"/>
  <c r="T102" i="16"/>
  <c r="GN103" i="16"/>
  <c r="E172" i="16"/>
  <c r="GN171" i="16"/>
  <c r="FC410" i="16"/>
  <c r="ET410" i="16"/>
  <c r="EU410" i="16" s="1"/>
  <c r="EW410" i="16" s="1"/>
  <c r="ET326" i="16"/>
  <c r="EU326" i="16" s="1"/>
  <c r="EZ326" i="16"/>
  <c r="FN114" i="16"/>
  <c r="BN235" i="16"/>
  <c r="BM235" i="16" s="1"/>
  <c r="GF227" i="16"/>
  <c r="EC60" i="16"/>
  <c r="ED60" i="16" s="1"/>
  <c r="FA255" i="16"/>
  <c r="ET255" i="16"/>
  <c r="EU255" i="16" s="1"/>
  <c r="EW255" i="16" s="1"/>
  <c r="FC171" i="16"/>
  <c r="FA171" i="16"/>
  <c r="EZ171" i="16"/>
  <c r="T353" i="16"/>
  <c r="GJ355" i="16"/>
  <c r="FA200" i="16"/>
  <c r="EZ200" i="16"/>
  <c r="ET200" i="16"/>
  <c r="EU200" i="16" s="1"/>
  <c r="EW200" i="16" s="1"/>
  <c r="T129" i="16"/>
  <c r="GJ131" i="16"/>
  <c r="T394" i="16"/>
  <c r="GF397" i="16"/>
  <c r="E228" i="16"/>
  <c r="GN227" i="16"/>
  <c r="CT212" i="16"/>
  <c r="GF215" i="16"/>
  <c r="E380" i="16"/>
  <c r="GF381" i="16"/>
  <c r="T130" i="16"/>
  <c r="GN131" i="16"/>
  <c r="E128" i="16"/>
  <c r="GF129" i="16"/>
  <c r="T101" i="16"/>
  <c r="GJ103" i="16"/>
  <c r="E284" i="16"/>
  <c r="GN283" i="16"/>
  <c r="CS409" i="16"/>
  <c r="GJ409" i="16"/>
  <c r="E409" i="16"/>
  <c r="E367" i="16"/>
  <c r="GJ367" i="16"/>
  <c r="T325" i="16"/>
  <c r="GJ327" i="16"/>
  <c r="CT353" i="16"/>
  <c r="E354" i="16"/>
  <c r="GN353" i="16"/>
  <c r="FN185" i="16"/>
  <c r="FW185" i="16" s="1"/>
  <c r="E171" i="16"/>
  <c r="GJ171" i="16"/>
  <c r="T116" i="16"/>
  <c r="GN117" i="16"/>
  <c r="T87" i="16"/>
  <c r="GJ89" i="16"/>
  <c r="T170" i="16"/>
  <c r="GF173" i="16"/>
  <c r="ES32" i="16"/>
  <c r="DZ394" i="16"/>
  <c r="EE394" i="16" s="1"/>
  <c r="T367" i="16"/>
  <c r="GJ369" i="16"/>
  <c r="GN229" i="16"/>
  <c r="T228" i="16"/>
  <c r="FX283" i="16"/>
  <c r="FV283" i="16"/>
  <c r="E214" i="16"/>
  <c r="GN213" i="16"/>
  <c r="T466" i="16"/>
  <c r="GN467" i="16"/>
  <c r="E45" i="16"/>
  <c r="GJ45" i="16"/>
  <c r="T115" i="16"/>
  <c r="GJ117" i="16"/>
  <c r="T396" i="16"/>
  <c r="GN397" i="16"/>
  <c r="FV186" i="16"/>
  <c r="FX186" i="16"/>
  <c r="EZ72" i="16"/>
  <c r="FA72" i="16"/>
  <c r="DZ32" i="16"/>
  <c r="EE32" i="16" s="1"/>
  <c r="DL32" i="16"/>
  <c r="DK32" i="16"/>
  <c r="CI31" i="16"/>
  <c r="T31" i="16"/>
  <c r="GJ33" i="16"/>
  <c r="GH34" i="16"/>
  <c r="HI33" i="16" s="1"/>
  <c r="ES31" i="16"/>
  <c r="FB31" i="16" s="1"/>
  <c r="FF31" i="16"/>
  <c r="DL31" i="16"/>
  <c r="DK31" i="16"/>
  <c r="FF30" i="16"/>
  <c r="DK30" i="16"/>
  <c r="HS32" i="16" s="1"/>
  <c r="DL30" i="16"/>
  <c r="HT32" i="16" s="1"/>
  <c r="HJ19" i="16"/>
  <c r="T17" i="16"/>
  <c r="GJ19" i="16"/>
  <c r="DK17" i="16"/>
  <c r="DR17" i="16" s="1"/>
  <c r="FB282" i="16"/>
  <c r="EX282" i="16"/>
  <c r="FD438" i="16"/>
  <c r="EZ438" i="16"/>
  <c r="EV438" i="16"/>
  <c r="ET438" i="16"/>
  <c r="EU438" i="16" s="1"/>
  <c r="FC198" i="16"/>
  <c r="EV198" i="16"/>
  <c r="FL157" i="16"/>
  <c r="DZ144" i="16"/>
  <c r="EE144" i="16" s="1"/>
  <c r="EV340" i="16"/>
  <c r="CS325" i="16"/>
  <c r="FA368" i="16"/>
  <c r="ET368" i="16"/>
  <c r="EU368" i="16" s="1"/>
  <c r="EW368" i="16" s="1"/>
  <c r="FC368" i="16"/>
  <c r="FO368" i="16"/>
  <c r="FP368" i="16" s="1"/>
  <c r="FX368" i="16"/>
  <c r="FD296" i="16"/>
  <c r="ET296" i="16"/>
  <c r="EU296" i="16" s="1"/>
  <c r="EW296" i="16" s="1"/>
  <c r="FV128" i="16"/>
  <c r="FX128" i="16"/>
  <c r="FZ128" i="16" s="1"/>
  <c r="FT128" i="16" s="1"/>
  <c r="FO128" i="16"/>
  <c r="FP128" i="16" s="1"/>
  <c r="FR128" i="16" s="1"/>
  <c r="ES86" i="16"/>
  <c r="EX86" i="16" s="1"/>
  <c r="FY170" i="16"/>
  <c r="ES44" i="16"/>
  <c r="EX44" i="16" s="1"/>
  <c r="ES242" i="16"/>
  <c r="FB242" i="16" s="1"/>
  <c r="FC438" i="16"/>
  <c r="DZ282" i="16"/>
  <c r="EE282" i="16" s="1"/>
  <c r="FA214" i="16"/>
  <c r="FD214" i="16"/>
  <c r="FC214" i="16"/>
  <c r="FQ172" i="16"/>
  <c r="FU172" i="16"/>
  <c r="FO172" i="16"/>
  <c r="FP172" i="16" s="1"/>
  <c r="FY172" i="16"/>
  <c r="FX172" i="16"/>
  <c r="FV172" i="16"/>
  <c r="CT226" i="16"/>
  <c r="T226" i="16"/>
  <c r="CT86" i="16"/>
  <c r="DE86" i="16" s="1"/>
  <c r="ES144" i="16"/>
  <c r="FB144" i="16" s="1"/>
  <c r="CI100" i="16"/>
  <c r="EZ214" i="16"/>
  <c r="FD198" i="16"/>
  <c r="FV170" i="16"/>
  <c r="FN156" i="16"/>
  <c r="FS156" i="16" s="1"/>
  <c r="FU128" i="16"/>
  <c r="EX143" i="16"/>
  <c r="DZ130" i="16"/>
  <c r="EE130" i="16" s="1"/>
  <c r="BN137" i="16"/>
  <c r="BM137" i="16" s="1"/>
  <c r="DZ339" i="16"/>
  <c r="EE339" i="16" s="1"/>
  <c r="EZ296" i="16"/>
  <c r="FW296" i="16"/>
  <c r="DP255" i="16"/>
  <c r="FQ438" i="16"/>
  <c r="EC422" i="16"/>
  <c r="ED422" i="16" s="1"/>
  <c r="DZ408" i="16"/>
  <c r="EE408" i="16" s="1"/>
  <c r="FQ368" i="16"/>
  <c r="FD368" i="16"/>
  <c r="FB352" i="16"/>
  <c r="FY380" i="16"/>
  <c r="FR466" i="16"/>
  <c r="CA396" i="16"/>
  <c r="BZ396" i="16"/>
  <c r="ES409" i="16"/>
  <c r="FB409" i="16" s="1"/>
  <c r="DP355" i="16"/>
  <c r="DQ356" i="16"/>
  <c r="DP353" i="16"/>
  <c r="FR284" i="16"/>
  <c r="ES283" i="16"/>
  <c r="FB283" i="16" s="1"/>
  <c r="ES240" i="16"/>
  <c r="FE240" i="16" s="1"/>
  <c r="EC46" i="16"/>
  <c r="ED46" i="16" s="1"/>
  <c r="CT298" i="16"/>
  <c r="FN87" i="16"/>
  <c r="FW87" i="16" s="1"/>
  <c r="FD340" i="16"/>
  <c r="FE340" i="16" s="1"/>
  <c r="CS17" i="16"/>
  <c r="DD17" i="16" s="1"/>
  <c r="GJ17" i="16"/>
  <c r="FR114" i="16"/>
  <c r="CS226" i="16"/>
  <c r="CT213" i="16"/>
  <c r="ET214" i="16"/>
  <c r="EU214" i="16" s="1"/>
  <c r="EW214" i="16" s="1"/>
  <c r="EZ198" i="16"/>
  <c r="FU170" i="16"/>
  <c r="CS158" i="16"/>
  <c r="CS128" i="16"/>
  <c r="CT338" i="16"/>
  <c r="DQ286" i="16"/>
  <c r="FE282" i="16"/>
  <c r="FA296" i="16"/>
  <c r="CT269" i="16"/>
  <c r="DP243" i="16"/>
  <c r="FC256" i="16"/>
  <c r="EW240" i="16"/>
  <c r="BZ241" i="16"/>
  <c r="CT423" i="16"/>
  <c r="DZ422" i="16"/>
  <c r="EE422" i="16" s="1"/>
  <c r="CS410" i="16"/>
  <c r="FY368" i="16"/>
  <c r="EZ368" i="16"/>
  <c r="DZ381" i="16"/>
  <c r="EE381" i="16" s="1"/>
  <c r="CT366" i="16"/>
  <c r="FO380" i="16"/>
  <c r="FP380" i="16" s="1"/>
  <c r="FN465" i="16"/>
  <c r="FS465" i="16" s="1"/>
  <c r="FA395" i="16"/>
  <c r="EV395" i="16"/>
  <c r="EW395" i="16" s="1"/>
  <c r="FX394" i="16"/>
  <c r="FQ394" i="16"/>
  <c r="FR394" i="16" s="1"/>
  <c r="FY394" i="16"/>
  <c r="ES284" i="16"/>
  <c r="EQ284" i="16"/>
  <c r="EC352" i="16"/>
  <c r="ED352" i="16" s="1"/>
  <c r="CJ157" i="16"/>
  <c r="CI157" i="16"/>
  <c r="BN249" i="16"/>
  <c r="BM249" i="16" s="1"/>
  <c r="FD185" i="16"/>
  <c r="EV185" i="16"/>
  <c r="EW185" i="16" s="1"/>
  <c r="ES185" i="16"/>
  <c r="FB185" i="16" s="1"/>
  <c r="CJ268" i="16"/>
  <c r="CI268" i="16"/>
  <c r="ES213" i="16"/>
  <c r="EX213" i="16" s="1"/>
  <c r="FA198" i="16"/>
  <c r="CA199" i="16"/>
  <c r="CI184" i="16"/>
  <c r="CA179" i="16"/>
  <c r="BZ179" i="16" s="1"/>
  <c r="FQ170" i="16"/>
  <c r="ES171" i="16"/>
  <c r="CI130" i="16"/>
  <c r="DQ284" i="16"/>
  <c r="FC296" i="16"/>
  <c r="ES298" i="16"/>
  <c r="EX298" i="16" s="1"/>
  <c r="EV256" i="16"/>
  <c r="FA438" i="16"/>
  <c r="FY438" i="16"/>
  <c r="CT409" i="16"/>
  <c r="CS380" i="16"/>
  <c r="CS368" i="16"/>
  <c r="FV380" i="16"/>
  <c r="FQ380" i="16"/>
  <c r="FU366" i="16"/>
  <c r="FY366" i="16"/>
  <c r="FV366" i="16"/>
  <c r="FQ366" i="16"/>
  <c r="FX366" i="16"/>
  <c r="FO366" i="16"/>
  <c r="FP366" i="16" s="1"/>
  <c r="EQ396" i="16"/>
  <c r="ES396" i="16"/>
  <c r="FX130" i="16"/>
  <c r="FY130" i="16"/>
  <c r="FV130" i="16"/>
  <c r="FQ130" i="16"/>
  <c r="FO130" i="16"/>
  <c r="FP130" i="16" s="1"/>
  <c r="DZ44" i="16"/>
  <c r="EE44" i="16" s="1"/>
  <c r="ES170" i="16"/>
  <c r="ES45" i="16"/>
  <c r="FB45" i="16" s="1"/>
  <c r="FN59" i="16"/>
  <c r="FZ59" i="16" s="1"/>
  <c r="ES226" i="16"/>
  <c r="ES214" i="16"/>
  <c r="DZ115" i="16"/>
  <c r="EE115" i="16" s="1"/>
  <c r="EX340" i="16"/>
  <c r="FN46" i="16"/>
  <c r="FS46" i="16" s="1"/>
  <c r="FR86" i="16"/>
  <c r="T86" i="16"/>
  <c r="BN109" i="16"/>
  <c r="BM109" i="16" s="1"/>
  <c r="E226" i="16"/>
  <c r="ET198" i="16"/>
  <c r="EU198" i="16" s="1"/>
  <c r="EW172" i="16"/>
  <c r="DZ158" i="16"/>
  <c r="EE158" i="16" s="1"/>
  <c r="FO170" i="16"/>
  <c r="FP170" i="16" s="1"/>
  <c r="ET340" i="16"/>
  <c r="EU340" i="16" s="1"/>
  <c r="DP285" i="16"/>
  <c r="EC269" i="16"/>
  <c r="ED269" i="16" s="1"/>
  <c r="EW270" i="16"/>
  <c r="FD256" i="16"/>
  <c r="BZ242" i="16"/>
  <c r="DZ437" i="16"/>
  <c r="EE437" i="16" s="1"/>
  <c r="FV438" i="16"/>
  <c r="CJ436" i="16"/>
  <c r="CT382" i="16"/>
  <c r="CA408" i="16"/>
  <c r="FU380" i="16"/>
  <c r="DZ254" i="16"/>
  <c r="EE254" i="16" s="1"/>
  <c r="ES465" i="16"/>
  <c r="FB465" i="16" s="1"/>
  <c r="CT380" i="16"/>
  <c r="T380" i="16"/>
  <c r="CT130" i="16"/>
  <c r="FN102" i="16"/>
  <c r="FW102" i="16" s="1"/>
  <c r="FZ30" i="16"/>
  <c r="ES60" i="16"/>
  <c r="EX60" i="16" s="1"/>
  <c r="ES58" i="16"/>
  <c r="EX58" i="16" s="1"/>
  <c r="FN101" i="16"/>
  <c r="FW101" i="16" s="1"/>
  <c r="DZ213" i="16"/>
  <c r="EE213" i="16" s="1"/>
  <c r="EC212" i="16"/>
  <c r="ED212" i="16" s="1"/>
  <c r="T212" i="16"/>
  <c r="CS144" i="16"/>
  <c r="FX170" i="16"/>
  <c r="EZ340" i="16"/>
  <c r="FC311" i="16"/>
  <c r="FL268" i="16"/>
  <c r="CS256" i="16"/>
  <c r="ET256" i="16"/>
  <c r="EU256" i="16" s="1"/>
  <c r="FO438" i="16"/>
  <c r="FP438" i="16" s="1"/>
  <c r="FR396" i="16"/>
  <c r="EC466" i="16"/>
  <c r="ED466" i="16" s="1"/>
  <c r="EC128" i="16"/>
  <c r="ED128" i="16" s="1"/>
  <c r="EZ226" i="16"/>
  <c r="FA226" i="16"/>
  <c r="FC226" i="16"/>
  <c r="DP132" i="16"/>
  <c r="DP130" i="16"/>
  <c r="EC74" i="16"/>
  <c r="ED74" i="16" s="1"/>
  <c r="DP186" i="16"/>
  <c r="DQ185" i="16"/>
  <c r="DQ187" i="16"/>
  <c r="ES73" i="16"/>
  <c r="FB73" i="16" s="1"/>
  <c r="FB466" i="16"/>
  <c r="FW464" i="16"/>
  <c r="FO465" i="16"/>
  <c r="FP465" i="16" s="1"/>
  <c r="FV465" i="16"/>
  <c r="FU465" i="16"/>
  <c r="FY465" i="16"/>
  <c r="FQ465" i="16"/>
  <c r="FX465" i="16"/>
  <c r="BN473" i="16"/>
  <c r="BM473" i="16" s="1"/>
  <c r="E464" i="16"/>
  <c r="CA466" i="16"/>
  <c r="BZ466" i="16"/>
  <c r="CJ466" i="16"/>
  <c r="CI466" i="16"/>
  <c r="CJ464" i="16"/>
  <c r="CI464" i="16"/>
  <c r="FD465" i="16"/>
  <c r="EV465" i="16"/>
  <c r="FC465" i="16"/>
  <c r="ET465" i="16"/>
  <c r="EU465" i="16" s="1"/>
  <c r="FA465" i="16"/>
  <c r="EZ465" i="16"/>
  <c r="CT465" i="16"/>
  <c r="FN466" i="16"/>
  <c r="BZ464" i="16"/>
  <c r="CA464" i="16"/>
  <c r="CS466" i="16"/>
  <c r="EX466" i="16"/>
  <c r="ES464" i="16"/>
  <c r="FB410" i="16"/>
  <c r="CA422" i="16"/>
  <c r="BZ422" i="16"/>
  <c r="CI396" i="16"/>
  <c r="CJ396" i="16"/>
  <c r="FD366" i="16"/>
  <c r="EV366" i="16"/>
  <c r="FA366" i="16"/>
  <c r="EZ366" i="16"/>
  <c r="FC366" i="16"/>
  <c r="ET366" i="16"/>
  <c r="EU366" i="16" s="1"/>
  <c r="CJ395" i="16"/>
  <c r="CI395" i="16"/>
  <c r="DP382" i="16"/>
  <c r="DP384" i="16"/>
  <c r="DQ383" i="16"/>
  <c r="DQ381" i="16"/>
  <c r="CA361" i="16"/>
  <c r="BZ361" i="16" s="1"/>
  <c r="T352" i="16"/>
  <c r="FD380" i="16"/>
  <c r="EV380" i="16"/>
  <c r="FC380" i="16"/>
  <c r="ET380" i="16"/>
  <c r="EU380" i="16" s="1"/>
  <c r="FA380" i="16"/>
  <c r="EZ380" i="16"/>
  <c r="FA353" i="16"/>
  <c r="FC353" i="16"/>
  <c r="EZ353" i="16"/>
  <c r="FD353" i="16"/>
  <c r="EV353" i="16"/>
  <c r="ET353" i="16"/>
  <c r="EU353" i="16" s="1"/>
  <c r="FU437" i="16"/>
  <c r="FQ437" i="16"/>
  <c r="FY437" i="16"/>
  <c r="FX437" i="16"/>
  <c r="FO437" i="16"/>
  <c r="FP437" i="16" s="1"/>
  <c r="FV437" i="16"/>
  <c r="FU423" i="16"/>
  <c r="FQ423" i="16"/>
  <c r="FX423" i="16"/>
  <c r="FO423" i="16"/>
  <c r="FP423" i="16" s="1"/>
  <c r="FY423" i="16"/>
  <c r="FV423" i="16"/>
  <c r="CS438" i="16"/>
  <c r="BN445" i="16"/>
  <c r="BM445" i="16" s="1"/>
  <c r="CT410" i="16"/>
  <c r="CJ408" i="16"/>
  <c r="CI408" i="16"/>
  <c r="FO409" i="16"/>
  <c r="FP409" i="16" s="1"/>
  <c r="FS409" i="16"/>
  <c r="FQ409" i="16"/>
  <c r="FX409" i="16"/>
  <c r="FY409" i="16"/>
  <c r="FV409" i="16"/>
  <c r="FU409" i="16"/>
  <c r="FV395" i="16"/>
  <c r="FS395" i="16"/>
  <c r="FY395" i="16"/>
  <c r="FO395" i="16"/>
  <c r="FP395" i="16" s="1"/>
  <c r="FU395" i="16"/>
  <c r="FQ395" i="16"/>
  <c r="FX395" i="16"/>
  <c r="CA368" i="16"/>
  <c r="BZ368" i="16"/>
  <c r="T381" i="16"/>
  <c r="DQ355" i="16"/>
  <c r="DP354" i="16"/>
  <c r="DQ353" i="16"/>
  <c r="DP356" i="16"/>
  <c r="CJ381" i="16"/>
  <c r="CI381" i="16"/>
  <c r="CI410" i="16"/>
  <c r="CJ410" i="16"/>
  <c r="E382" i="16"/>
  <c r="CS382" i="16"/>
  <c r="FY450" i="16"/>
  <c r="FQ450" i="16"/>
  <c r="FX450" i="16"/>
  <c r="FV450" i="16"/>
  <c r="FU450" i="16"/>
  <c r="FS450" i="16"/>
  <c r="FO450" i="16"/>
  <c r="FP450" i="16" s="1"/>
  <c r="FL452" i="16"/>
  <c r="FN452" i="16"/>
  <c r="FW450" i="16"/>
  <c r="EQ438" i="16"/>
  <c r="ES438" i="16"/>
  <c r="FY408" i="16"/>
  <c r="FQ408" i="16"/>
  <c r="FV408" i="16"/>
  <c r="FO408" i="16"/>
  <c r="FP408" i="16" s="1"/>
  <c r="FX408" i="16"/>
  <c r="FU408" i="16"/>
  <c r="FN410" i="16"/>
  <c r="FL410" i="16"/>
  <c r="CA375" i="16"/>
  <c r="BZ375" i="16" s="1"/>
  <c r="CS366" i="16"/>
  <c r="BN375" i="16"/>
  <c r="BM375" i="16" s="1"/>
  <c r="E366" i="16"/>
  <c r="ET354" i="16"/>
  <c r="EU354" i="16" s="1"/>
  <c r="FA354" i="16"/>
  <c r="EZ354" i="16"/>
  <c r="FD354" i="16"/>
  <c r="EV354" i="16"/>
  <c r="FC354" i="16"/>
  <c r="CA431" i="16"/>
  <c r="BZ431" i="16" s="1"/>
  <c r="ES382" i="16"/>
  <c r="EX382" i="16" s="1"/>
  <c r="CA437" i="16"/>
  <c r="BZ437" i="16"/>
  <c r="FL424" i="16"/>
  <c r="FN424" i="16"/>
  <c r="FS424" i="16" s="1"/>
  <c r="CJ354" i="16"/>
  <c r="CI354" i="16"/>
  <c r="CI452" i="16"/>
  <c r="CJ452" i="16"/>
  <c r="FU452" i="16"/>
  <c r="FO452" i="16"/>
  <c r="FP452" i="16" s="1"/>
  <c r="FY452" i="16"/>
  <c r="FX452" i="16"/>
  <c r="FV452" i="16"/>
  <c r="FQ452" i="16"/>
  <c r="FU424" i="16"/>
  <c r="FV424" i="16"/>
  <c r="FY424" i="16"/>
  <c r="FO424" i="16"/>
  <c r="FP424" i="16" s="1"/>
  <c r="FX424" i="16"/>
  <c r="FQ424" i="16"/>
  <c r="FD422" i="16"/>
  <c r="FC422" i="16"/>
  <c r="ET422" i="16"/>
  <c r="EU422" i="16" s="1"/>
  <c r="FA422" i="16"/>
  <c r="EZ422" i="16"/>
  <c r="EV422" i="16"/>
  <c r="FW422" i="16"/>
  <c r="FS422" i="16"/>
  <c r="ES422" i="16"/>
  <c r="EQ422" i="16"/>
  <c r="BN417" i="16"/>
  <c r="BM417" i="16" s="1"/>
  <c r="E408" i="16"/>
  <c r="CJ382" i="16"/>
  <c r="CI382" i="16"/>
  <c r="ES395" i="16"/>
  <c r="FD381" i="16"/>
  <c r="EV381" i="16"/>
  <c r="FC381" i="16"/>
  <c r="ET381" i="16"/>
  <c r="EU381" i="16" s="1"/>
  <c r="FA381" i="16"/>
  <c r="EZ381" i="16"/>
  <c r="CA389" i="16"/>
  <c r="BZ389" i="16" s="1"/>
  <c r="FN368" i="16"/>
  <c r="EZ382" i="16"/>
  <c r="EV382" i="16"/>
  <c r="FD382" i="16"/>
  <c r="FC382" i="16"/>
  <c r="ET382" i="16"/>
  <c r="EU382" i="16" s="1"/>
  <c r="FA382" i="16"/>
  <c r="CT381" i="16"/>
  <c r="CJ366" i="16"/>
  <c r="CI366" i="16"/>
  <c r="BN459" i="16"/>
  <c r="BM459" i="16" s="1"/>
  <c r="E450" i="16"/>
  <c r="CI437" i="16"/>
  <c r="CJ437" i="16"/>
  <c r="ES450" i="16"/>
  <c r="FA437" i="16"/>
  <c r="EV437" i="16"/>
  <c r="ET437" i="16"/>
  <c r="EU437" i="16" s="1"/>
  <c r="FD437" i="16"/>
  <c r="FC437" i="16"/>
  <c r="EZ437" i="16"/>
  <c r="FO451" i="16"/>
  <c r="FP451" i="16" s="1"/>
  <c r="FV451" i="16"/>
  <c r="FU451" i="16"/>
  <c r="FQ451" i="16"/>
  <c r="FY451" i="16"/>
  <c r="FX451" i="16"/>
  <c r="ES437" i="16"/>
  <c r="EX437" i="16" s="1"/>
  <c r="CA438" i="16"/>
  <c r="BZ438" i="16"/>
  <c r="ES408" i="16"/>
  <c r="CJ368" i="16"/>
  <c r="CI368" i="16"/>
  <c r="BN389" i="16"/>
  <c r="BM389" i="16" s="1"/>
  <c r="DZ380" i="16"/>
  <c r="EE380" i="16" s="1"/>
  <c r="ES366" i="16"/>
  <c r="BN361" i="16"/>
  <c r="BM361" i="16" s="1"/>
  <c r="FN354" i="16"/>
  <c r="E452" i="16"/>
  <c r="CS452" i="16"/>
  <c r="FC409" i="16"/>
  <c r="FD409" i="16"/>
  <c r="FA409" i="16"/>
  <c r="EZ409" i="16"/>
  <c r="ET409" i="16"/>
  <c r="EU409" i="16" s="1"/>
  <c r="EV409" i="16"/>
  <c r="FV381" i="16"/>
  <c r="FU381" i="16"/>
  <c r="FS381" i="16"/>
  <c r="FY381" i="16"/>
  <c r="FX381" i="16"/>
  <c r="FQ381" i="16"/>
  <c r="FO381" i="16"/>
  <c r="FP381" i="16" s="1"/>
  <c r="CI394" i="16"/>
  <c r="CJ394" i="16"/>
  <c r="ES353" i="16"/>
  <c r="EQ353" i="16"/>
  <c r="T368" i="16"/>
  <c r="CT451" i="16"/>
  <c r="BN431" i="16"/>
  <c r="BM431" i="16" s="1"/>
  <c r="E422" i="16"/>
  <c r="FN408" i="16"/>
  <c r="FS408" i="16" s="1"/>
  <c r="FN394" i="16"/>
  <c r="E394" i="16"/>
  <c r="BN403" i="16"/>
  <c r="BM403" i="16" s="1"/>
  <c r="CS394" i="16"/>
  <c r="CA381" i="16"/>
  <c r="BZ381" i="16"/>
  <c r="T395" i="16"/>
  <c r="CT395" i="16"/>
  <c r="ET367" i="16"/>
  <c r="EU367" i="16" s="1"/>
  <c r="FA367" i="16"/>
  <c r="EZ367" i="16"/>
  <c r="EX367" i="16"/>
  <c r="FD367" i="16"/>
  <c r="EV367" i="16"/>
  <c r="FC367" i="16"/>
  <c r="EQ354" i="16"/>
  <c r="ES354" i="16"/>
  <c r="EQ368" i="16"/>
  <c r="ES368" i="16"/>
  <c r="CJ352" i="16"/>
  <c r="CI352" i="16"/>
  <c r="CA353" i="16"/>
  <c r="BZ353" i="16"/>
  <c r="BZ450" i="16"/>
  <c r="CA450" i="16"/>
  <c r="CJ450" i="16"/>
  <c r="CI450" i="16"/>
  <c r="FX436" i="16"/>
  <c r="FO436" i="16"/>
  <c r="FP436" i="16" s="1"/>
  <c r="FV436" i="16"/>
  <c r="FU436" i="16"/>
  <c r="FY436" i="16"/>
  <c r="FQ436" i="16"/>
  <c r="CA445" i="16"/>
  <c r="BZ445" i="16" s="1"/>
  <c r="T436" i="16"/>
  <c r="CT436" i="16"/>
  <c r="BZ410" i="16"/>
  <c r="CA410" i="16"/>
  <c r="CI424" i="16"/>
  <c r="CJ424" i="16"/>
  <c r="CA452" i="16"/>
  <c r="BZ452" i="16"/>
  <c r="T438" i="16"/>
  <c r="CT438" i="16"/>
  <c r="CS437" i="16"/>
  <c r="E437" i="16"/>
  <c r="T437" i="16"/>
  <c r="CT437" i="16"/>
  <c r="CS423" i="16"/>
  <c r="E423" i="16"/>
  <c r="E424" i="16"/>
  <c r="CS424" i="16"/>
  <c r="CA380" i="16"/>
  <c r="BZ380" i="16"/>
  <c r="FD394" i="16"/>
  <c r="EV394" i="16"/>
  <c r="FC394" i="16"/>
  <c r="ET394" i="16"/>
  <c r="EU394" i="16" s="1"/>
  <c r="EZ394" i="16"/>
  <c r="FA394" i="16"/>
  <c r="EX394" i="16"/>
  <c r="CT424" i="16"/>
  <c r="CA417" i="16"/>
  <c r="BZ417" i="16" s="1"/>
  <c r="FW395" i="16"/>
  <c r="CA352" i="16"/>
  <c r="BZ352" i="16"/>
  <c r="FW382" i="16"/>
  <c r="FS382" i="16"/>
  <c r="FY352" i="16"/>
  <c r="FQ352" i="16"/>
  <c r="FX352" i="16"/>
  <c r="FO352" i="16"/>
  <c r="FP352" i="16" s="1"/>
  <c r="FV352" i="16"/>
  <c r="FU352" i="16"/>
  <c r="FL366" i="16"/>
  <c r="FN366" i="16"/>
  <c r="FN352" i="16"/>
  <c r="FS352" i="16" s="1"/>
  <c r="FD324" i="16"/>
  <c r="EV324" i="16"/>
  <c r="FA324" i="16"/>
  <c r="EZ324" i="16"/>
  <c r="EX324" i="16"/>
  <c r="ET324" i="16"/>
  <c r="EU324" i="16" s="1"/>
  <c r="FC324" i="16"/>
  <c r="BZ270" i="16"/>
  <c r="CA270" i="16"/>
  <c r="FX242" i="16"/>
  <c r="FU242" i="16"/>
  <c r="FQ242" i="16"/>
  <c r="FY242" i="16"/>
  <c r="FO242" i="16"/>
  <c r="FP242" i="16" s="1"/>
  <c r="FV242" i="16"/>
  <c r="CT256" i="16"/>
  <c r="FR254" i="16"/>
  <c r="CI254" i="16"/>
  <c r="CJ254" i="16"/>
  <c r="BN347" i="16"/>
  <c r="BM347" i="16" s="1"/>
  <c r="E338" i="16"/>
  <c r="CI340" i="16"/>
  <c r="CJ340" i="16"/>
  <c r="CJ339" i="16"/>
  <c r="CI339" i="16"/>
  <c r="CS326" i="16"/>
  <c r="E326" i="16"/>
  <c r="ES312" i="16"/>
  <c r="T326" i="16"/>
  <c r="CT326" i="16"/>
  <c r="EQ311" i="16"/>
  <c r="ES311" i="16"/>
  <c r="CS311" i="16"/>
  <c r="E311" i="16"/>
  <c r="DZ297" i="16"/>
  <c r="EE297" i="16" s="1"/>
  <c r="CJ283" i="16"/>
  <c r="CI283" i="16"/>
  <c r="ES310" i="16"/>
  <c r="EX310" i="16" s="1"/>
  <c r="FC268" i="16"/>
  <c r="FA268" i="16"/>
  <c r="EZ268" i="16"/>
  <c r="FD268" i="16"/>
  <c r="EX268" i="16"/>
  <c r="EV268" i="16"/>
  <c r="ET268" i="16"/>
  <c r="EU268" i="16" s="1"/>
  <c r="CA263" i="16"/>
  <c r="BZ263" i="16" s="1"/>
  <c r="T254" i="16"/>
  <c r="CA255" i="16"/>
  <c r="BZ255" i="16"/>
  <c r="T241" i="16"/>
  <c r="CT241" i="16"/>
  <c r="FL270" i="16"/>
  <c r="FN270" i="16"/>
  <c r="E254" i="16"/>
  <c r="BN263" i="16"/>
  <c r="BM263" i="16" s="1"/>
  <c r="CS254" i="16"/>
  <c r="ET269" i="16"/>
  <c r="EU269" i="16" s="1"/>
  <c r="EZ269" i="16"/>
  <c r="FD269" i="16"/>
  <c r="FC269" i="16"/>
  <c r="FA269" i="16"/>
  <c r="EV269" i="16"/>
  <c r="BZ268" i="16"/>
  <c r="CA268" i="16"/>
  <c r="CJ256" i="16"/>
  <c r="CI256" i="16"/>
  <c r="BN319" i="16"/>
  <c r="BM319" i="16" s="1"/>
  <c r="E310" i="16"/>
  <c r="CT283" i="16"/>
  <c r="T283" i="16"/>
  <c r="T297" i="16"/>
  <c r="CT297" i="16"/>
  <c r="ES296" i="16"/>
  <c r="FE255" i="16"/>
  <c r="FB255" i="16"/>
  <c r="EX255" i="16"/>
  <c r="FX241" i="16"/>
  <c r="FQ241" i="16"/>
  <c r="FO241" i="16"/>
  <c r="FP241" i="16" s="1"/>
  <c r="FY241" i="16"/>
  <c r="FV241" i="16"/>
  <c r="FU241" i="16"/>
  <c r="CJ240" i="16"/>
  <c r="CI240" i="16"/>
  <c r="ES338" i="16"/>
  <c r="EQ338" i="16"/>
  <c r="FL310" i="16"/>
  <c r="FN310" i="16"/>
  <c r="CA319" i="16"/>
  <c r="BZ319" i="16" s="1"/>
  <c r="T310" i="16"/>
  <c r="ES325" i="16"/>
  <c r="EQ325" i="16"/>
  <c r="FX297" i="16"/>
  <c r="FQ297" i="16"/>
  <c r="FO297" i="16"/>
  <c r="FP297" i="16" s="1"/>
  <c r="FY297" i="16"/>
  <c r="FV297" i="16"/>
  <c r="FU297" i="16"/>
  <c r="BZ283" i="16"/>
  <c r="CA283" i="16"/>
  <c r="E282" i="16"/>
  <c r="BN291" i="16"/>
  <c r="BM291" i="16" s="1"/>
  <c r="FC339" i="16"/>
  <c r="ET339" i="16"/>
  <c r="EU339" i="16" s="1"/>
  <c r="FD339" i="16"/>
  <c r="FA339" i="16"/>
  <c r="EZ339" i="16"/>
  <c r="EV339" i="16"/>
  <c r="CS339" i="16"/>
  <c r="E339" i="16"/>
  <c r="CJ338" i="16"/>
  <c r="CI338" i="16"/>
  <c r="CA347" i="16"/>
  <c r="BZ347" i="16" s="1"/>
  <c r="FN325" i="16"/>
  <c r="CJ324" i="16"/>
  <c r="CI324" i="16"/>
  <c r="CA310" i="16"/>
  <c r="BZ310" i="16"/>
  <c r="BZ296" i="16"/>
  <c r="CA296" i="16"/>
  <c r="CI297" i="16"/>
  <c r="CJ297" i="16"/>
  <c r="CJ269" i="16"/>
  <c r="CI269" i="16"/>
  <c r="ES270" i="16"/>
  <c r="EQ270" i="16"/>
  <c r="BZ256" i="16"/>
  <c r="CA256" i="16"/>
  <c r="CA249" i="16"/>
  <c r="BZ249" i="16" s="1"/>
  <c r="T240" i="16"/>
  <c r="EZ241" i="16"/>
  <c r="FA241" i="16"/>
  <c r="FD241" i="16"/>
  <c r="EV241" i="16"/>
  <c r="FC241" i="16"/>
  <c r="ET241" i="16"/>
  <c r="EU241" i="16" s="1"/>
  <c r="ES241" i="16"/>
  <c r="FO256" i="16"/>
  <c r="FP256" i="16" s="1"/>
  <c r="FV256" i="16"/>
  <c r="FQ256" i="16"/>
  <c r="FY256" i="16"/>
  <c r="FX256" i="16"/>
  <c r="FU256" i="16"/>
  <c r="FS269" i="16"/>
  <c r="FY269" i="16"/>
  <c r="FQ269" i="16"/>
  <c r="FX269" i="16"/>
  <c r="FV269" i="16"/>
  <c r="FO269" i="16"/>
  <c r="FP269" i="16" s="1"/>
  <c r="FU269" i="16"/>
  <c r="CA291" i="16"/>
  <c r="BZ291" i="16" s="1"/>
  <c r="T282" i="16"/>
  <c r="CT282" i="16"/>
  <c r="FN326" i="16"/>
  <c r="FS326" i="16" s="1"/>
  <c r="FL326" i="16"/>
  <c r="FN340" i="16"/>
  <c r="CA333" i="16"/>
  <c r="BZ333" i="16" s="1"/>
  <c r="T324" i="16"/>
  <c r="FA310" i="16"/>
  <c r="EV310" i="16"/>
  <c r="ET310" i="16"/>
  <c r="EU310" i="16" s="1"/>
  <c r="FD310" i="16"/>
  <c r="FC310" i="16"/>
  <c r="EZ310" i="16"/>
  <c r="FW298" i="16"/>
  <c r="CS310" i="16"/>
  <c r="ES297" i="16"/>
  <c r="FL284" i="16"/>
  <c r="FN284" i="16"/>
  <c r="CJ298" i="16"/>
  <c r="CI298" i="16"/>
  <c r="FN297" i="16"/>
  <c r="FS297" i="16" s="1"/>
  <c r="FL297" i="16"/>
  <c r="CA277" i="16"/>
  <c r="BZ277" i="16" s="1"/>
  <c r="T268" i="16"/>
  <c r="CT268" i="16"/>
  <c r="ES256" i="16"/>
  <c r="EQ256" i="16"/>
  <c r="FB268" i="16"/>
  <c r="CA269" i="16"/>
  <c r="BZ269" i="16"/>
  <c r="FY282" i="16"/>
  <c r="FQ282" i="16"/>
  <c r="FX282" i="16"/>
  <c r="FO282" i="16"/>
  <c r="FP282" i="16" s="1"/>
  <c r="FU282" i="16"/>
  <c r="FV282" i="16"/>
  <c r="FS282" i="16"/>
  <c r="EW242" i="16"/>
  <c r="EZ283" i="16"/>
  <c r="EV283" i="16"/>
  <c r="FA283" i="16"/>
  <c r="FD283" i="16"/>
  <c r="FC283" i="16"/>
  <c r="ET283" i="16"/>
  <c r="EU283" i="16" s="1"/>
  <c r="CA305" i="16"/>
  <c r="BZ305" i="16" s="1"/>
  <c r="CT296" i="16"/>
  <c r="T296" i="16"/>
  <c r="DP286" i="16"/>
  <c r="DQ285" i="16"/>
  <c r="DQ283" i="16"/>
  <c r="DP284" i="16"/>
  <c r="FN339" i="16"/>
  <c r="ES269" i="16"/>
  <c r="EX269" i="16" s="1"/>
  <c r="CA340" i="16"/>
  <c r="BZ340" i="16"/>
  <c r="BZ338" i="16"/>
  <c r="CA338" i="16"/>
  <c r="CA326" i="16"/>
  <c r="BZ326" i="16"/>
  <c r="E340" i="16"/>
  <c r="CS340" i="16"/>
  <c r="FU326" i="16"/>
  <c r="FQ326" i="16"/>
  <c r="FY326" i="16"/>
  <c r="FO326" i="16"/>
  <c r="FP326" i="16" s="1"/>
  <c r="FX326" i="16"/>
  <c r="FV326" i="16"/>
  <c r="CT324" i="16"/>
  <c r="FR310" i="16"/>
  <c r="CA325" i="16"/>
  <c r="BZ325" i="16"/>
  <c r="DP314" i="16"/>
  <c r="DQ313" i="16"/>
  <c r="DP312" i="16"/>
  <c r="DQ311" i="16"/>
  <c r="FS298" i="16"/>
  <c r="E270" i="16"/>
  <c r="CS270" i="16"/>
  <c r="CA297" i="16"/>
  <c r="BZ297" i="16"/>
  <c r="CJ282" i="16"/>
  <c r="CI282" i="16"/>
  <c r="BN305" i="16"/>
  <c r="BM305" i="16" s="1"/>
  <c r="ES254" i="16"/>
  <c r="CT242" i="16"/>
  <c r="CA240" i="16"/>
  <c r="BZ240" i="16"/>
  <c r="CI270" i="16"/>
  <c r="CJ270" i="16"/>
  <c r="BN277" i="16"/>
  <c r="BM277" i="16" s="1"/>
  <c r="E268" i="16"/>
  <c r="CJ325" i="16"/>
  <c r="CI325" i="16"/>
  <c r="FB324" i="16"/>
  <c r="FO339" i="16"/>
  <c r="FP339" i="16" s="1"/>
  <c r="FX339" i="16"/>
  <c r="FV339" i="16"/>
  <c r="FQ339" i="16"/>
  <c r="FY339" i="16"/>
  <c r="FU339" i="16"/>
  <c r="FX311" i="16"/>
  <c r="FS311" i="16"/>
  <c r="FO311" i="16"/>
  <c r="FP311" i="16" s="1"/>
  <c r="FY311" i="16"/>
  <c r="FV311" i="16"/>
  <c r="FU311" i="16"/>
  <c r="FQ311" i="16"/>
  <c r="CA298" i="16"/>
  <c r="BZ298" i="16"/>
  <c r="FN324" i="16"/>
  <c r="FL324" i="16"/>
  <c r="FR296" i="16"/>
  <c r="CS297" i="16"/>
  <c r="FS240" i="16"/>
  <c r="FY240" i="16"/>
  <c r="FQ240" i="16"/>
  <c r="FX240" i="16"/>
  <c r="FO240" i="16"/>
  <c r="FP240" i="16" s="1"/>
  <c r="FV240" i="16"/>
  <c r="FU240" i="16"/>
  <c r="CS269" i="16"/>
  <c r="CT254" i="16"/>
  <c r="FW255" i="16"/>
  <c r="T255" i="16"/>
  <c r="CT255" i="16"/>
  <c r="CJ242" i="16"/>
  <c r="CI242" i="16"/>
  <c r="FN254" i="16"/>
  <c r="FW240" i="16"/>
  <c r="EX226" i="16"/>
  <c r="FB226" i="16"/>
  <c r="FD212" i="16"/>
  <c r="EV212" i="16"/>
  <c r="FC212" i="16"/>
  <c r="FA212" i="16"/>
  <c r="EZ212" i="16"/>
  <c r="ET212" i="16"/>
  <c r="EU212" i="16" s="1"/>
  <c r="FW200" i="16"/>
  <c r="CJ226" i="16"/>
  <c r="CI226" i="16"/>
  <c r="FN198" i="16"/>
  <c r="FS198" i="16" s="1"/>
  <c r="FL198" i="16"/>
  <c r="EQ184" i="16"/>
  <c r="ES184" i="16"/>
  <c r="EX184" i="16" s="1"/>
  <c r="CJ227" i="16"/>
  <c r="CI227" i="16"/>
  <c r="CA198" i="16"/>
  <c r="BZ198" i="16"/>
  <c r="E200" i="16"/>
  <c r="CS200" i="16"/>
  <c r="CS186" i="16"/>
  <c r="E186" i="16"/>
  <c r="FY185" i="16"/>
  <c r="FO185" i="16"/>
  <c r="FP185" i="16" s="1"/>
  <c r="FV185" i="16"/>
  <c r="FX185" i="16"/>
  <c r="FU185" i="16"/>
  <c r="FQ185" i="16"/>
  <c r="FO200" i="16"/>
  <c r="FP200" i="16" s="1"/>
  <c r="FV200" i="16"/>
  <c r="FU200" i="16"/>
  <c r="FY200" i="16"/>
  <c r="FX200" i="16"/>
  <c r="FS200" i="16"/>
  <c r="FQ200" i="16"/>
  <c r="CA144" i="16"/>
  <c r="BZ144" i="16"/>
  <c r="FX142" i="16"/>
  <c r="FO142" i="16"/>
  <c r="FP142" i="16" s="1"/>
  <c r="FV142" i="16"/>
  <c r="FY142" i="16"/>
  <c r="FU142" i="16"/>
  <c r="FQ142" i="16"/>
  <c r="CJ129" i="16"/>
  <c r="CI129" i="16"/>
  <c r="ES158" i="16"/>
  <c r="BN165" i="16"/>
  <c r="BM165" i="16" s="1"/>
  <c r="E156" i="16"/>
  <c r="ET213" i="16"/>
  <c r="EU213" i="16" s="1"/>
  <c r="FD213" i="16"/>
  <c r="FC213" i="16"/>
  <c r="FA213" i="16"/>
  <c r="EZ213" i="16"/>
  <c r="EV213" i="16"/>
  <c r="CI186" i="16"/>
  <c r="CJ186" i="16"/>
  <c r="FX157" i="16"/>
  <c r="FU157" i="16"/>
  <c r="FS157" i="16"/>
  <c r="FQ157" i="16"/>
  <c r="FO157" i="16"/>
  <c r="FP157" i="16" s="1"/>
  <c r="FY157" i="16"/>
  <c r="FV157" i="16"/>
  <c r="FA128" i="16"/>
  <c r="FD128" i="16"/>
  <c r="EV128" i="16"/>
  <c r="FC128" i="16"/>
  <c r="ET128" i="16"/>
  <c r="EU128" i="16" s="1"/>
  <c r="EZ128" i="16"/>
  <c r="T198" i="16"/>
  <c r="CA207" i="16"/>
  <c r="BZ207" i="16" s="1"/>
  <c r="EX186" i="16"/>
  <c r="FN186" i="16"/>
  <c r="FL186" i="16"/>
  <c r="BZ130" i="16"/>
  <c r="CA130" i="16"/>
  <c r="BZ226" i="16"/>
  <c r="CA226" i="16"/>
  <c r="DP202" i="16"/>
  <c r="DQ201" i="16"/>
  <c r="DP200" i="16"/>
  <c r="DQ199" i="16"/>
  <c r="CJ213" i="16"/>
  <c r="CI213" i="16"/>
  <c r="CI170" i="16"/>
  <c r="CJ170" i="16"/>
  <c r="CA156" i="16"/>
  <c r="BZ156" i="16"/>
  <c r="T142" i="16"/>
  <c r="CA151" i="16"/>
  <c r="BZ151" i="16" s="1"/>
  <c r="CT171" i="16"/>
  <c r="CT142" i="16"/>
  <c r="EV142" i="16"/>
  <c r="ET142" i="16"/>
  <c r="EU142" i="16" s="1"/>
  <c r="FD142" i="16"/>
  <c r="FC142" i="16"/>
  <c r="FA142" i="16"/>
  <c r="EZ142" i="16"/>
  <c r="DP185" i="16"/>
  <c r="DP187" i="16"/>
  <c r="DQ188" i="16"/>
  <c r="DQ186" i="16"/>
  <c r="FL144" i="16"/>
  <c r="FN144" i="16"/>
  <c r="FS144" i="16" s="1"/>
  <c r="FW143" i="16"/>
  <c r="FL129" i="16"/>
  <c r="FN129" i="16"/>
  <c r="FU129" i="16"/>
  <c r="FX129" i="16"/>
  <c r="FV129" i="16"/>
  <c r="FY129" i="16"/>
  <c r="FQ129" i="16"/>
  <c r="FO129" i="16"/>
  <c r="FP129" i="16" s="1"/>
  <c r="FB171" i="16"/>
  <c r="CJ228" i="16"/>
  <c r="CI228" i="16"/>
  <c r="FB228" i="16"/>
  <c r="CJ214" i="16"/>
  <c r="CI214" i="16"/>
  <c r="CJ212" i="16"/>
  <c r="CI212" i="16"/>
  <c r="ES227" i="16"/>
  <c r="EX227" i="16" s="1"/>
  <c r="EQ227" i="16"/>
  <c r="CT185" i="16"/>
  <c r="FZ213" i="16"/>
  <c r="FW213" i="16"/>
  <c r="ET184" i="16"/>
  <c r="EU184" i="16" s="1"/>
  <c r="FC184" i="16"/>
  <c r="FA184" i="16"/>
  <c r="EZ184" i="16"/>
  <c r="FD184" i="16"/>
  <c r="EV184" i="16"/>
  <c r="BN207" i="16"/>
  <c r="BM207" i="16" s="1"/>
  <c r="DZ170" i="16"/>
  <c r="EE170" i="16" s="1"/>
  <c r="CA171" i="16"/>
  <c r="BZ171" i="16"/>
  <c r="BZ142" i="16"/>
  <c r="CA142" i="16"/>
  <c r="DP157" i="16"/>
  <c r="DP159" i="16"/>
  <c r="DQ160" i="16"/>
  <c r="DQ158" i="16"/>
  <c r="EQ142" i="16"/>
  <c r="ES142" i="16"/>
  <c r="EX142" i="16" s="1"/>
  <c r="CJ156" i="16"/>
  <c r="CI156" i="16"/>
  <c r="FY144" i="16"/>
  <c r="FQ144" i="16"/>
  <c r="FV144" i="16"/>
  <c r="FX144" i="16"/>
  <c r="FU144" i="16"/>
  <c r="FO144" i="16"/>
  <c r="FP144" i="16" s="1"/>
  <c r="BN151" i="16"/>
  <c r="BM151" i="16" s="1"/>
  <c r="E142" i="16"/>
  <c r="CS142" i="16"/>
  <c r="FL172" i="16"/>
  <c r="FN172" i="16"/>
  <c r="CJ171" i="16"/>
  <c r="CI171" i="16"/>
  <c r="FC144" i="16"/>
  <c r="ET144" i="16"/>
  <c r="EU144" i="16" s="1"/>
  <c r="FA144" i="16"/>
  <c r="EZ144" i="16"/>
  <c r="EX144" i="16"/>
  <c r="FD144" i="16"/>
  <c r="EV144" i="16"/>
  <c r="FN142" i="16"/>
  <c r="FS142" i="16" s="1"/>
  <c r="BZ227" i="16"/>
  <c r="CA227" i="16"/>
  <c r="CI142" i="16"/>
  <c r="CJ142" i="16"/>
  <c r="FA156" i="16"/>
  <c r="EZ156" i="16"/>
  <c r="EV156" i="16"/>
  <c r="FD156" i="16"/>
  <c r="ET156" i="16"/>
  <c r="EU156" i="16" s="1"/>
  <c r="FC156" i="16"/>
  <c r="BN193" i="16"/>
  <c r="BM193" i="16" s="1"/>
  <c r="E184" i="16"/>
  <c r="DP229" i="16"/>
  <c r="DQ228" i="16"/>
  <c r="DQ230" i="16"/>
  <c r="DP227" i="16"/>
  <c r="DP228" i="16"/>
  <c r="DQ227" i="16"/>
  <c r="DQ229" i="16"/>
  <c r="DP230" i="16"/>
  <c r="CA212" i="16"/>
  <c r="BZ212" i="16"/>
  <c r="BZ186" i="16"/>
  <c r="CA186" i="16"/>
  <c r="CA184" i="16"/>
  <c r="BZ184" i="16"/>
  <c r="FV184" i="16"/>
  <c r="FU184" i="16"/>
  <c r="FY184" i="16"/>
  <c r="FO184" i="16"/>
  <c r="FP184" i="16" s="1"/>
  <c r="FX184" i="16"/>
  <c r="FQ184" i="16"/>
  <c r="FW199" i="16"/>
  <c r="FZ199" i="16"/>
  <c r="T158" i="16"/>
  <c r="FA158" i="16"/>
  <c r="FC158" i="16"/>
  <c r="EZ158" i="16"/>
  <c r="EV158" i="16"/>
  <c r="FD158" i="16"/>
  <c r="ET158" i="16"/>
  <c r="EU158" i="16" s="1"/>
  <c r="CT158" i="16"/>
  <c r="CA158" i="16"/>
  <c r="BZ158" i="16"/>
  <c r="CA165" i="16"/>
  <c r="BZ165" i="16" s="1"/>
  <c r="FC130" i="16"/>
  <c r="ET130" i="16"/>
  <c r="EU130" i="16" s="1"/>
  <c r="FD130" i="16"/>
  <c r="FA130" i="16"/>
  <c r="EZ130" i="16"/>
  <c r="EV130" i="16"/>
  <c r="EZ199" i="16"/>
  <c r="FD199" i="16"/>
  <c r="FC199" i="16"/>
  <c r="EV199" i="16"/>
  <c r="ET199" i="16"/>
  <c r="EU199" i="16" s="1"/>
  <c r="FA199" i="16"/>
  <c r="DP201" i="16"/>
  <c r="DQ200" i="16"/>
  <c r="DQ202" i="16"/>
  <c r="DP199" i="16"/>
  <c r="FD227" i="16"/>
  <c r="EV227" i="16"/>
  <c r="ET227" i="16"/>
  <c r="EU227" i="16" s="1"/>
  <c r="FA227" i="16"/>
  <c r="EZ227" i="16"/>
  <c r="FC227" i="16"/>
  <c r="FN227" i="16"/>
  <c r="ES212" i="16"/>
  <c r="EX212" i="16" s="1"/>
  <c r="EQ199" i="16"/>
  <c r="ES199" i="16"/>
  <c r="EX199" i="16" s="1"/>
  <c r="FN184" i="16"/>
  <c r="FS184" i="16" s="1"/>
  <c r="CA170" i="16"/>
  <c r="BZ170" i="16"/>
  <c r="CA193" i="16"/>
  <c r="BZ193" i="16" s="1"/>
  <c r="T184" i="16"/>
  <c r="EW171" i="16"/>
  <c r="FC157" i="16"/>
  <c r="EV157" i="16"/>
  <c r="ET157" i="16"/>
  <c r="EU157" i="16" s="1"/>
  <c r="FD157" i="16"/>
  <c r="EZ157" i="16"/>
  <c r="FA157" i="16"/>
  <c r="CJ172" i="16"/>
  <c r="CI172" i="16"/>
  <c r="FL130" i="16"/>
  <c r="FN130" i="16"/>
  <c r="E157" i="16"/>
  <c r="CS157" i="16"/>
  <c r="ES128" i="16"/>
  <c r="EX128" i="16" s="1"/>
  <c r="ES130" i="16"/>
  <c r="EX130" i="16" s="1"/>
  <c r="T199" i="16"/>
  <c r="CT199" i="16"/>
  <c r="EX228" i="16"/>
  <c r="T214" i="16"/>
  <c r="CT214" i="16"/>
  <c r="FR227" i="16"/>
  <c r="BZ213" i="16"/>
  <c r="CA213" i="16"/>
  <c r="FN214" i="16"/>
  <c r="FY198" i="16"/>
  <c r="FQ198" i="16"/>
  <c r="FX198" i="16"/>
  <c r="FU198" i="16"/>
  <c r="FO198" i="16"/>
  <c r="FP198" i="16" s="1"/>
  <c r="FV198" i="16"/>
  <c r="CJ185" i="16"/>
  <c r="CI185" i="16"/>
  <c r="FV156" i="16"/>
  <c r="FU156" i="16"/>
  <c r="FQ156" i="16"/>
  <c r="FX156" i="16"/>
  <c r="FY156" i="16"/>
  <c r="FO156" i="16"/>
  <c r="FP156" i="16" s="1"/>
  <c r="EW170" i="16"/>
  <c r="ES156" i="16"/>
  <c r="EX156" i="16" s="1"/>
  <c r="EC130" i="16"/>
  <c r="ED130" i="16" s="1"/>
  <c r="CT143" i="16"/>
  <c r="CA128" i="16"/>
  <c r="BZ128" i="16"/>
  <c r="FU116" i="16"/>
  <c r="FY116" i="16"/>
  <c r="FQ116" i="16"/>
  <c r="FX116" i="16"/>
  <c r="FO116" i="16"/>
  <c r="FP116" i="16" s="1"/>
  <c r="FV116" i="16"/>
  <c r="CJ115" i="16"/>
  <c r="CI115" i="16"/>
  <c r="FD115" i="16"/>
  <c r="EV115" i="16"/>
  <c r="FC115" i="16"/>
  <c r="ET115" i="16"/>
  <c r="EU115" i="16" s="1"/>
  <c r="FA115" i="16"/>
  <c r="EZ115" i="16"/>
  <c r="E115" i="16"/>
  <c r="CS115" i="16"/>
  <c r="FL116" i="16"/>
  <c r="FN116" i="16"/>
  <c r="CJ116" i="16"/>
  <c r="CI116" i="16"/>
  <c r="DP117" i="16"/>
  <c r="DQ116" i="16"/>
  <c r="DP115" i="16"/>
  <c r="DQ118" i="16"/>
  <c r="BN123" i="16"/>
  <c r="BM123" i="16" s="1"/>
  <c r="ES114" i="16"/>
  <c r="CA116" i="16"/>
  <c r="BZ116" i="16"/>
  <c r="BZ114" i="16"/>
  <c r="CA114" i="16"/>
  <c r="E116" i="16"/>
  <c r="CS116" i="16"/>
  <c r="FO115" i="16"/>
  <c r="FP115" i="16" s="1"/>
  <c r="FV115" i="16"/>
  <c r="FU115" i="16"/>
  <c r="FY115" i="16"/>
  <c r="FQ115" i="16"/>
  <c r="FX115" i="16"/>
  <c r="FN115" i="16"/>
  <c r="FS115" i="16" s="1"/>
  <c r="FW100" i="16"/>
  <c r="FZ100" i="16"/>
  <c r="FD101" i="16"/>
  <c r="EV101" i="16"/>
  <c r="FC101" i="16"/>
  <c r="ET101" i="16"/>
  <c r="EU101" i="16" s="1"/>
  <c r="FA101" i="16"/>
  <c r="EZ101" i="16"/>
  <c r="BZ100" i="16"/>
  <c r="CA100" i="16"/>
  <c r="FO101" i="16"/>
  <c r="FP101" i="16" s="1"/>
  <c r="FV101" i="16"/>
  <c r="FU101" i="16"/>
  <c r="FY101" i="16"/>
  <c r="FQ101" i="16"/>
  <c r="FX101" i="16"/>
  <c r="CJ101" i="16"/>
  <c r="CI101" i="16"/>
  <c r="FS100" i="16"/>
  <c r="ES101" i="16"/>
  <c r="EQ101" i="16"/>
  <c r="FB102" i="16"/>
  <c r="FE102" i="16"/>
  <c r="CA101" i="16"/>
  <c r="BZ101" i="16"/>
  <c r="FU102" i="16"/>
  <c r="FY102" i="16"/>
  <c r="FQ102" i="16"/>
  <c r="FX102" i="16"/>
  <c r="FO102" i="16"/>
  <c r="FP102" i="16" s="1"/>
  <c r="FV102" i="16"/>
  <c r="FU88" i="16"/>
  <c r="FY88" i="16"/>
  <c r="FQ88" i="16"/>
  <c r="FX88" i="16"/>
  <c r="FO88" i="16"/>
  <c r="FP88" i="16" s="1"/>
  <c r="FV88" i="16"/>
  <c r="FO87" i="16"/>
  <c r="FP87" i="16" s="1"/>
  <c r="FV87" i="16"/>
  <c r="FU87" i="16"/>
  <c r="FY87" i="16"/>
  <c r="FQ87" i="16"/>
  <c r="FX87" i="16"/>
  <c r="CJ87" i="16"/>
  <c r="CI87" i="16"/>
  <c r="BZ86" i="16"/>
  <c r="CA86" i="16"/>
  <c r="CA88" i="16"/>
  <c r="BZ88" i="16"/>
  <c r="BN95" i="16"/>
  <c r="BM95" i="16" s="1"/>
  <c r="E86" i="16"/>
  <c r="FB88" i="16"/>
  <c r="FE88" i="16"/>
  <c r="FD87" i="16"/>
  <c r="EV87" i="16"/>
  <c r="FC87" i="16"/>
  <c r="ET87" i="16"/>
  <c r="EU87" i="16" s="1"/>
  <c r="FA87" i="16"/>
  <c r="EZ87" i="16"/>
  <c r="E88" i="16"/>
  <c r="CS88" i="16"/>
  <c r="E87" i="16"/>
  <c r="CS87" i="16"/>
  <c r="CJ86" i="16"/>
  <c r="CI86" i="16"/>
  <c r="ES87" i="16"/>
  <c r="EX87" i="16" s="1"/>
  <c r="EQ87" i="16"/>
  <c r="FN88" i="16"/>
  <c r="FS88" i="16" s="1"/>
  <c r="FU74" i="16"/>
  <c r="FY74" i="16"/>
  <c r="FQ74" i="16"/>
  <c r="FX74" i="16"/>
  <c r="FO74" i="16"/>
  <c r="FP74" i="16" s="1"/>
  <c r="FV74" i="16"/>
  <c r="E73" i="16"/>
  <c r="CS73" i="16"/>
  <c r="FN73" i="16"/>
  <c r="FS73" i="16" s="1"/>
  <c r="FL74" i="16"/>
  <c r="FN74" i="16"/>
  <c r="FS74" i="16" s="1"/>
  <c r="EQ72" i="16"/>
  <c r="ES72" i="16"/>
  <c r="CJ74" i="16"/>
  <c r="CI74" i="16"/>
  <c r="FZ72" i="16"/>
  <c r="FD73" i="16"/>
  <c r="EV73" i="16"/>
  <c r="FC73" i="16"/>
  <c r="ET73" i="16"/>
  <c r="EU73" i="16" s="1"/>
  <c r="FA73" i="16"/>
  <c r="EZ73" i="16"/>
  <c r="CA74" i="16"/>
  <c r="BZ74" i="16"/>
  <c r="BZ72" i="16"/>
  <c r="CA72" i="16"/>
  <c r="CJ73" i="16"/>
  <c r="CI73" i="16"/>
  <c r="E74" i="16"/>
  <c r="CS74" i="16"/>
  <c r="FO73" i="16"/>
  <c r="FP73" i="16" s="1"/>
  <c r="FV73" i="16"/>
  <c r="FU73" i="16"/>
  <c r="FY73" i="16"/>
  <c r="FQ73" i="16"/>
  <c r="FX73" i="16"/>
  <c r="BZ58" i="16"/>
  <c r="CA58" i="16"/>
  <c r="FU60" i="16"/>
  <c r="FS60" i="16"/>
  <c r="FY60" i="16"/>
  <c r="FQ60" i="16"/>
  <c r="FX60" i="16"/>
  <c r="FV60" i="16"/>
  <c r="FO60" i="16"/>
  <c r="FP60" i="16" s="1"/>
  <c r="CJ60" i="16"/>
  <c r="CI60" i="16"/>
  <c r="CS60" i="16"/>
  <c r="CA67" i="16"/>
  <c r="BZ67" i="16" s="1"/>
  <c r="T58" i="16"/>
  <c r="FR58" i="16"/>
  <c r="FR59" i="16"/>
  <c r="CT60" i="16"/>
  <c r="FD59" i="16"/>
  <c r="EV59" i="16"/>
  <c r="FC59" i="16"/>
  <c r="ET59" i="16"/>
  <c r="EU59" i="16" s="1"/>
  <c r="FA59" i="16"/>
  <c r="EZ59" i="16"/>
  <c r="CA60" i="16"/>
  <c r="BZ60" i="16"/>
  <c r="FN58" i="16"/>
  <c r="CJ46" i="16"/>
  <c r="CI46" i="16"/>
  <c r="CA46" i="16"/>
  <c r="BZ46" i="16"/>
  <c r="BZ44" i="16"/>
  <c r="CA44" i="16"/>
  <c r="CA53" i="16"/>
  <c r="BZ53" i="16" s="1"/>
  <c r="T44" i="16"/>
  <c r="FD45" i="16"/>
  <c r="EV45" i="16"/>
  <c r="FC45" i="16"/>
  <c r="ET45" i="16"/>
  <c r="EU45" i="16" s="1"/>
  <c r="FA45" i="16"/>
  <c r="EZ45" i="16"/>
  <c r="E46" i="16"/>
  <c r="CS46" i="16"/>
  <c r="FN44" i="16"/>
  <c r="CT46" i="16"/>
  <c r="DE46" i="16" s="1"/>
  <c r="FU46" i="16"/>
  <c r="FY46" i="16"/>
  <c r="FQ46" i="16"/>
  <c r="FX46" i="16"/>
  <c r="FV46" i="16"/>
  <c r="FO46" i="16"/>
  <c r="FP46" i="16" s="1"/>
  <c r="FU32" i="16"/>
  <c r="FS32" i="16"/>
  <c r="FY32" i="16"/>
  <c r="FQ32" i="16"/>
  <c r="FX32" i="16"/>
  <c r="FV32" i="16"/>
  <c r="FO32" i="16"/>
  <c r="FP32" i="16" s="1"/>
  <c r="BZ30" i="16"/>
  <c r="CA30" i="16"/>
  <c r="FD31" i="16"/>
  <c r="EV31" i="16"/>
  <c r="FC31" i="16"/>
  <c r="ET31" i="16"/>
  <c r="EU31" i="16" s="1"/>
  <c r="FA31" i="16"/>
  <c r="EZ31" i="16"/>
  <c r="CT31" i="16"/>
  <c r="DE31" i="16" s="1"/>
  <c r="CT32" i="16"/>
  <c r="DE32" i="16" s="1"/>
  <c r="T32" i="16"/>
  <c r="DZ30" i="16"/>
  <c r="EE30" i="16" s="1"/>
  <c r="CA39" i="16"/>
  <c r="BZ39" i="16" s="1"/>
  <c r="T30" i="16"/>
  <c r="CT30" i="16"/>
  <c r="DE30" i="16" s="1"/>
  <c r="E31" i="16"/>
  <c r="CS31" i="16"/>
  <c r="BN39" i="16"/>
  <c r="BM39" i="16" s="1"/>
  <c r="E30" i="16"/>
  <c r="CA32" i="16"/>
  <c r="BZ32" i="16"/>
  <c r="ES30" i="16"/>
  <c r="E32" i="16"/>
  <c r="CS32" i="16"/>
  <c r="FN31" i="16"/>
  <c r="FR30" i="16"/>
  <c r="FF17" i="16"/>
  <c r="CI17" i="16"/>
  <c r="ET17" i="16"/>
  <c r="EU17" i="16" s="1"/>
  <c r="EW17" i="16" s="1"/>
  <c r="T18" i="16"/>
  <c r="BP16" i="16"/>
  <c r="EC18" i="16"/>
  <c r="ED18" i="16" s="1"/>
  <c r="FF18" i="16"/>
  <c r="E17" i="16"/>
  <c r="DZ17" i="16"/>
  <c r="EE17" i="16" s="1"/>
  <c r="FD17" i="16"/>
  <c r="DO17" i="16"/>
  <c r="S17" i="16" s="1"/>
  <c r="GA18" i="16"/>
  <c r="EQ18" i="16"/>
  <c r="DO18" i="16"/>
  <c r="S18" i="16" s="1"/>
  <c r="FB17" i="16"/>
  <c r="DL16" i="16"/>
  <c r="HT18" i="16" s="1"/>
  <c r="DK16" i="16"/>
  <c r="HS18" i="16" s="1"/>
  <c r="FS17" i="16"/>
  <c r="FU17" i="16"/>
  <c r="FA17" i="16"/>
  <c r="FC17" i="16"/>
  <c r="EZ17" i="16"/>
  <c r="FV17" i="16"/>
  <c r="CS16" i="16"/>
  <c r="DD16" i="16" s="1"/>
  <c r="FO17" i="16"/>
  <c r="FP17" i="16" s="1"/>
  <c r="FR17" i="16" s="1"/>
  <c r="FX17" i="16"/>
  <c r="FY17" i="16"/>
  <c r="E16" i="16"/>
  <c r="CT17" i="16"/>
  <c r="DE17" i="16" s="1"/>
  <c r="FN18" i="16"/>
  <c r="FS18" i="16" s="1"/>
  <c r="BN25" i="16"/>
  <c r="BM25" i="16" s="1"/>
  <c r="FF16" i="16"/>
  <c r="ES16" i="16"/>
  <c r="FB16" i="16" s="1"/>
  <c r="T16" i="16"/>
  <c r="EC16" i="16"/>
  <c r="ED16" i="16" s="1"/>
  <c r="FA18" i="16"/>
  <c r="EZ18" i="16"/>
  <c r="EX18" i="16"/>
  <c r="FD18" i="16"/>
  <c r="EV18" i="16"/>
  <c r="FC18" i="16"/>
  <c r="ET18" i="16"/>
  <c r="EU18" i="16" s="1"/>
  <c r="CJ18" i="16"/>
  <c r="CI18" i="16"/>
  <c r="FL16" i="16"/>
  <c r="FN16" i="16"/>
  <c r="FS16" i="16" s="1"/>
  <c r="CJ16" i="16"/>
  <c r="CI16" i="16"/>
  <c r="E18" i="16"/>
  <c r="CS18" i="16"/>
  <c r="FR18" i="16"/>
  <c r="FU16" i="16"/>
  <c r="FO16" i="16"/>
  <c r="FP16" i="16" s="1"/>
  <c r="FY16" i="16"/>
  <c r="FQ16" i="16"/>
  <c r="FX16" i="16"/>
  <c r="FV16" i="16"/>
  <c r="DZ18" i="16"/>
  <c r="EE18" i="16" s="1"/>
  <c r="CA16" i="16"/>
  <c r="BZ16" i="16"/>
  <c r="CT18" i="16"/>
  <c r="DE18" i="16" s="1"/>
  <c r="CA18" i="16"/>
  <c r="BZ18" i="16"/>
  <c r="CA25" i="16"/>
  <c r="BZ25" i="16" s="1"/>
  <c r="DR102" i="16" l="1"/>
  <c r="DN102" i="16"/>
  <c r="D102" i="16" s="1"/>
  <c r="DO102" i="16"/>
  <c r="S102" i="16" s="1"/>
  <c r="DS102" i="16"/>
  <c r="DD88" i="16"/>
  <c r="DC88" i="16"/>
  <c r="DN88" i="16"/>
  <c r="D88" i="16" s="1"/>
  <c r="DR88" i="16"/>
  <c r="DO88" i="16"/>
  <c r="S88" i="16" s="1"/>
  <c r="DS88" i="16"/>
  <c r="EX73" i="16"/>
  <c r="FT30" i="16"/>
  <c r="EY100" i="16"/>
  <c r="BK100" i="16" s="1"/>
  <c r="AM100" i="16" s="1"/>
  <c r="J100" i="16" s="1"/>
  <c r="FR100" i="16"/>
  <c r="DN18" i="16"/>
  <c r="D18" i="16" s="1"/>
  <c r="EY74" i="16"/>
  <c r="BL30" i="16"/>
  <c r="BA30" i="16" s="1"/>
  <c r="Y30" i="16" s="1"/>
  <c r="FW46" i="16"/>
  <c r="EX59" i="16"/>
  <c r="EW60" i="16"/>
  <c r="FE46" i="16"/>
  <c r="EX46" i="16"/>
  <c r="EY46" i="16" s="1"/>
  <c r="FB381" i="16"/>
  <c r="FB436" i="16"/>
  <c r="EW326" i="16"/>
  <c r="FR226" i="16"/>
  <c r="FZ296" i="16"/>
  <c r="FT296" i="16" s="1"/>
  <c r="FT45" i="16"/>
  <c r="FR354" i="16"/>
  <c r="FR325" i="16"/>
  <c r="FR464" i="16"/>
  <c r="FW156" i="16"/>
  <c r="EW241" i="16"/>
  <c r="FS436" i="16"/>
  <c r="EW297" i="16"/>
  <c r="FS170" i="16"/>
  <c r="FS437" i="16"/>
  <c r="EW198" i="16"/>
  <c r="EX423" i="16"/>
  <c r="FS158" i="16"/>
  <c r="EW450" i="16"/>
  <c r="EW282" i="16"/>
  <c r="FR143" i="16"/>
  <c r="FS423" i="16"/>
  <c r="FT226" i="16"/>
  <c r="BA226" i="16" s="1"/>
  <c r="Y226" i="16" s="1"/>
  <c r="FR72" i="16"/>
  <c r="FS312" i="16"/>
  <c r="FS242" i="16"/>
  <c r="FE451" i="16"/>
  <c r="EX198" i="16"/>
  <c r="FZ438" i="16"/>
  <c r="EX116" i="16"/>
  <c r="EW254" i="16"/>
  <c r="FE116" i="16"/>
  <c r="FB213" i="16"/>
  <c r="EX409" i="16"/>
  <c r="FR338" i="16"/>
  <c r="FE452" i="16"/>
  <c r="FE200" i="16"/>
  <c r="EW340" i="16"/>
  <c r="FZ158" i="16"/>
  <c r="FT158" i="16" s="1"/>
  <c r="EX339" i="16"/>
  <c r="EX380" i="16"/>
  <c r="FW451" i="16"/>
  <c r="FE58" i="16"/>
  <c r="EX157" i="16"/>
  <c r="FS185" i="16"/>
  <c r="EY143" i="16"/>
  <c r="AM143" i="16" s="1"/>
  <c r="J143" i="16" s="1"/>
  <c r="FE186" i="16"/>
  <c r="FZ312" i="16"/>
  <c r="EW312" i="16"/>
  <c r="FS438" i="16"/>
  <c r="EW436" i="16"/>
  <c r="EW129" i="16"/>
  <c r="FR382" i="16"/>
  <c r="BA296" i="16"/>
  <c r="Y296" i="16" s="1"/>
  <c r="BA128" i="16"/>
  <c r="Y128" i="16" s="1"/>
  <c r="FR44" i="16"/>
  <c r="EW116" i="16"/>
  <c r="EW396" i="16"/>
  <c r="FE115" i="16"/>
  <c r="FE172" i="16"/>
  <c r="FR367" i="16"/>
  <c r="FZ422" i="16"/>
  <c r="FT422" i="16" s="1"/>
  <c r="FR422" i="16"/>
  <c r="FE424" i="16"/>
  <c r="EY424" i="16" s="1"/>
  <c r="FZ298" i="16"/>
  <c r="FE284" i="16"/>
  <c r="FW228" i="16"/>
  <c r="FT228" i="16" s="1"/>
  <c r="EW32" i="16"/>
  <c r="FZ86" i="16"/>
  <c r="EX115" i="16"/>
  <c r="FB298" i="16"/>
  <c r="FR158" i="16"/>
  <c r="FW86" i="16"/>
  <c r="EX172" i="16"/>
  <c r="FZ228" i="16"/>
  <c r="DC100" i="16"/>
  <c r="DE100" i="16"/>
  <c r="DR101" i="16"/>
  <c r="DN101" i="16"/>
  <c r="D101" i="16" s="1"/>
  <c r="DS101" i="16"/>
  <c r="DO101" i="16"/>
  <c r="S101" i="16" s="1"/>
  <c r="HS102" i="16"/>
  <c r="DN100" i="16"/>
  <c r="D100" i="16" s="1"/>
  <c r="DP100" i="16"/>
  <c r="HT102" i="16"/>
  <c r="DQ100" i="16"/>
  <c r="DO100" i="16"/>
  <c r="S100" i="16" s="1"/>
  <c r="DR87" i="16"/>
  <c r="DN87" i="16"/>
  <c r="D87" i="16" s="1"/>
  <c r="DS87" i="16"/>
  <c r="DO87" i="16"/>
  <c r="S87" i="16" s="1"/>
  <c r="DD87" i="16"/>
  <c r="DC87" i="16"/>
  <c r="DD86" i="16"/>
  <c r="DC86" i="16"/>
  <c r="HS88" i="16"/>
  <c r="DN86" i="16"/>
  <c r="D86" i="16" s="1"/>
  <c r="DP86" i="16"/>
  <c r="HT88" i="16"/>
  <c r="DO86" i="16"/>
  <c r="S86" i="16" s="1"/>
  <c r="DQ86" i="16"/>
  <c r="FW72" i="16"/>
  <c r="FT72" i="16" s="1"/>
  <c r="BL72" i="16" s="1"/>
  <c r="DD73" i="16"/>
  <c r="DC73" i="16"/>
  <c r="DS73" i="16"/>
  <c r="DO73" i="16"/>
  <c r="S73" i="16" s="1"/>
  <c r="DR73" i="16"/>
  <c r="DN73" i="16"/>
  <c r="D73" i="16" s="1"/>
  <c r="HS74" i="16"/>
  <c r="DN72" i="16"/>
  <c r="D72" i="16" s="1"/>
  <c r="DP72" i="16"/>
  <c r="HT74" i="16"/>
  <c r="DQ72" i="16"/>
  <c r="DO72" i="16"/>
  <c r="S72" i="16" s="1"/>
  <c r="DC72" i="16"/>
  <c r="DD72" i="16"/>
  <c r="FZ171" i="16"/>
  <c r="FS256" i="16"/>
  <c r="FW283" i="16"/>
  <c r="FW171" i="16"/>
  <c r="FS353" i="16"/>
  <c r="FT438" i="16"/>
  <c r="FR212" i="16"/>
  <c r="EY228" i="16"/>
  <c r="EX451" i="16"/>
  <c r="EY451" i="16" s="1"/>
  <c r="FS241" i="16"/>
  <c r="FZ283" i="16"/>
  <c r="FE466" i="16"/>
  <c r="FT213" i="16"/>
  <c r="EW465" i="16"/>
  <c r="FE423" i="16"/>
  <c r="EY423" i="16" s="1"/>
  <c r="FE352" i="16"/>
  <c r="EY352" i="16" s="1"/>
  <c r="FT268" i="16"/>
  <c r="FE214" i="16"/>
  <c r="DS59" i="16"/>
  <c r="DO59" i="16"/>
  <c r="S59" i="16" s="1"/>
  <c r="HS60" i="16"/>
  <c r="DP58" i="16"/>
  <c r="DN58" i="16"/>
  <c r="D58" i="16" s="1"/>
  <c r="HT60" i="16"/>
  <c r="DO58" i="16"/>
  <c r="S58" i="16" s="1"/>
  <c r="DQ58" i="16"/>
  <c r="FE60" i="16"/>
  <c r="DC58" i="16"/>
  <c r="DD58" i="16"/>
  <c r="DD60" i="16"/>
  <c r="FB60" i="16"/>
  <c r="DN60" i="16"/>
  <c r="D60" i="16" s="1"/>
  <c r="DR60" i="16"/>
  <c r="DO60" i="16"/>
  <c r="S60" i="16" s="1"/>
  <c r="DS60" i="16"/>
  <c r="DR59" i="16"/>
  <c r="DN59" i="16"/>
  <c r="D59" i="16" s="1"/>
  <c r="DC44" i="16"/>
  <c r="DC46" i="16"/>
  <c r="DD46" i="16"/>
  <c r="DN46" i="16"/>
  <c r="D46" i="16" s="1"/>
  <c r="DR46" i="16"/>
  <c r="DO46" i="16"/>
  <c r="S46" i="16" s="1"/>
  <c r="DS46" i="16"/>
  <c r="DR45" i="16"/>
  <c r="DN45" i="16"/>
  <c r="D45" i="16" s="1"/>
  <c r="DS45" i="16"/>
  <c r="DO45" i="16"/>
  <c r="S45" i="16" s="1"/>
  <c r="HS46" i="16"/>
  <c r="DP44" i="16"/>
  <c r="DN44" i="16"/>
  <c r="D44" i="16" s="1"/>
  <c r="HT46" i="16"/>
  <c r="DQ44" i="16"/>
  <c r="DO44" i="16"/>
  <c r="S44" i="16" s="1"/>
  <c r="EX45" i="16"/>
  <c r="FE73" i="16"/>
  <c r="EY73" i="16" s="1"/>
  <c r="FZ256" i="16"/>
  <c r="FS380" i="16"/>
  <c r="EY282" i="16"/>
  <c r="FZ380" i="16"/>
  <c r="FZ353" i="16"/>
  <c r="FT353" i="16" s="1"/>
  <c r="FB44" i="16"/>
  <c r="FZ338" i="16"/>
  <c r="FZ269" i="16"/>
  <c r="FT269" i="16" s="1"/>
  <c r="FE44" i="16"/>
  <c r="FZ212" i="16"/>
  <c r="EW438" i="16"/>
  <c r="FE298" i="16"/>
  <c r="EW59" i="16"/>
  <c r="FE45" i="16"/>
  <c r="FB58" i="16"/>
  <c r="FZ464" i="16"/>
  <c r="FT464" i="16" s="1"/>
  <c r="FZ101" i="16"/>
  <c r="FE171" i="16"/>
  <c r="FS338" i="16"/>
  <c r="FB86" i="16"/>
  <c r="FR326" i="16"/>
  <c r="EY255" i="16"/>
  <c r="FR242" i="16"/>
  <c r="FE324" i="16"/>
  <c r="EY324" i="16" s="1"/>
  <c r="FE410" i="16"/>
  <c r="EY410" i="16" s="1"/>
  <c r="FE226" i="16"/>
  <c r="EY226" i="16" s="1"/>
  <c r="FE86" i="16"/>
  <c r="FS101" i="16"/>
  <c r="EX171" i="16"/>
  <c r="FZ240" i="16"/>
  <c r="FT240" i="16" s="1"/>
  <c r="FE381" i="16"/>
  <c r="EY381" i="16" s="1"/>
  <c r="FW367" i="16"/>
  <c r="FS367" i="16"/>
  <c r="FR270" i="16"/>
  <c r="FZ465" i="16"/>
  <c r="EY436" i="16"/>
  <c r="FB326" i="16"/>
  <c r="EX326" i="16"/>
  <c r="FZ32" i="16"/>
  <c r="FT32" i="16" s="1"/>
  <c r="EY88" i="16"/>
  <c r="FT382" i="16"/>
  <c r="FZ437" i="16"/>
  <c r="FE436" i="16"/>
  <c r="FZ46" i="16"/>
  <c r="FT171" i="16"/>
  <c r="FS212" i="16"/>
  <c r="FT212" i="16" s="1"/>
  <c r="FB214" i="16"/>
  <c r="EY340" i="16"/>
  <c r="FE465" i="16"/>
  <c r="EW128" i="16"/>
  <c r="FZ200" i="16"/>
  <c r="FT200" i="16" s="1"/>
  <c r="FE326" i="16"/>
  <c r="FW17" i="16"/>
  <c r="EW31" i="16"/>
  <c r="DN17" i="16"/>
  <c r="D17" i="16" s="1"/>
  <c r="FR198" i="16"/>
  <c r="EX214" i="16"/>
  <c r="EW212" i="16"/>
  <c r="FR240" i="16"/>
  <c r="EW310" i="16"/>
  <c r="FZ381" i="16"/>
  <c r="FT381" i="16" s="1"/>
  <c r="FZ395" i="16"/>
  <c r="FT395" i="16" s="1"/>
  <c r="FR437" i="16"/>
  <c r="FE380" i="16"/>
  <c r="EY380" i="16" s="1"/>
  <c r="EX465" i="16"/>
  <c r="FR366" i="16"/>
  <c r="FB129" i="16"/>
  <c r="FR172" i="16"/>
  <c r="FS114" i="16"/>
  <c r="FW114" i="16"/>
  <c r="FB200" i="16"/>
  <c r="EX200" i="16"/>
  <c r="FT283" i="16"/>
  <c r="FS87" i="16"/>
  <c r="EW115" i="16"/>
  <c r="FR129" i="16"/>
  <c r="FT143" i="16"/>
  <c r="FR200" i="16"/>
  <c r="EX283" i="16"/>
  <c r="FR130" i="16"/>
  <c r="EX242" i="16"/>
  <c r="FE242" i="16"/>
  <c r="EX32" i="16"/>
  <c r="FB32" i="16"/>
  <c r="EW157" i="16"/>
  <c r="FT298" i="16"/>
  <c r="EY466" i="16"/>
  <c r="FW465" i="16"/>
  <c r="EY452" i="16"/>
  <c r="FE129" i="16"/>
  <c r="FE32" i="16"/>
  <c r="FR438" i="16"/>
  <c r="FZ87" i="16"/>
  <c r="FR282" i="16"/>
  <c r="FZ241" i="16"/>
  <c r="FE268" i="16"/>
  <c r="EY268" i="16" s="1"/>
  <c r="FZ409" i="16"/>
  <c r="FT409" i="16" s="1"/>
  <c r="EW353" i="16"/>
  <c r="FR170" i="16"/>
  <c r="FE157" i="16"/>
  <c r="EY157" i="16" s="1"/>
  <c r="FZ242" i="16"/>
  <c r="FT242" i="16" s="1"/>
  <c r="EX185" i="16"/>
  <c r="FZ114" i="16"/>
  <c r="FR32" i="16"/>
  <c r="DC32" i="16"/>
  <c r="DD32" i="16"/>
  <c r="DS32" i="16"/>
  <c r="DO32" i="16"/>
  <c r="S32" i="16" s="1"/>
  <c r="DN32" i="16"/>
  <c r="D32" i="16" s="1"/>
  <c r="DR32" i="16"/>
  <c r="DC30" i="16"/>
  <c r="DD31" i="16"/>
  <c r="DC31" i="16"/>
  <c r="DR31" i="16"/>
  <c r="DN31" i="16"/>
  <c r="D31" i="16" s="1"/>
  <c r="DO31" i="16"/>
  <c r="S31" i="16" s="1"/>
  <c r="DS31" i="16"/>
  <c r="EX31" i="16"/>
  <c r="DO30" i="16"/>
  <c r="S30" i="16" s="1"/>
  <c r="DQ30" i="16"/>
  <c r="DP30" i="16"/>
  <c r="DN30" i="16"/>
  <c r="D30" i="16" s="1"/>
  <c r="EX170" i="16"/>
  <c r="FB170" i="16"/>
  <c r="FZ156" i="16"/>
  <c r="FT156" i="16" s="1"/>
  <c r="FT199" i="16"/>
  <c r="FE409" i="16"/>
  <c r="EY409" i="16" s="1"/>
  <c r="FS102" i="16"/>
  <c r="EW87" i="16"/>
  <c r="FR87" i="16"/>
  <c r="FR101" i="16"/>
  <c r="EY186" i="16"/>
  <c r="FR424" i="16"/>
  <c r="FZ450" i="16"/>
  <c r="FT450" i="16" s="1"/>
  <c r="FZ170" i="16"/>
  <c r="FE170" i="16"/>
  <c r="FE185" i="16"/>
  <c r="EW73" i="16"/>
  <c r="EY116" i="16"/>
  <c r="EW142" i="16"/>
  <c r="FR142" i="16"/>
  <c r="FZ185" i="16"/>
  <c r="FE367" i="16"/>
  <c r="EY367" i="16" s="1"/>
  <c r="EW381" i="16"/>
  <c r="FB240" i="16"/>
  <c r="EX240" i="16"/>
  <c r="FT100" i="16"/>
  <c r="FZ157" i="16"/>
  <c r="FT157" i="16" s="1"/>
  <c r="FR451" i="16"/>
  <c r="EW422" i="16"/>
  <c r="FR450" i="16"/>
  <c r="EW366" i="16"/>
  <c r="EW256" i="16"/>
  <c r="FR368" i="16"/>
  <c r="FE198" i="16"/>
  <c r="EY198" i="16" s="1"/>
  <c r="FR74" i="16"/>
  <c r="FR185" i="16"/>
  <c r="FZ282" i="16"/>
  <c r="FT282" i="16" s="1"/>
  <c r="FE394" i="16"/>
  <c r="EY394" i="16" s="1"/>
  <c r="FS59" i="16"/>
  <c r="FW59" i="16"/>
  <c r="FR380" i="16"/>
  <c r="FE17" i="16"/>
  <c r="EY17" i="16" s="1"/>
  <c r="BK17" i="16" s="1"/>
  <c r="EW45" i="16"/>
  <c r="FZ60" i="16"/>
  <c r="FT60" i="16" s="1"/>
  <c r="FZ102" i="16"/>
  <c r="EY102" i="16"/>
  <c r="EW227" i="16"/>
  <c r="EW184" i="16"/>
  <c r="FE213" i="16"/>
  <c r="EY213" i="16" s="1"/>
  <c r="FT255" i="16"/>
  <c r="FT312" i="16"/>
  <c r="EW324" i="16"/>
  <c r="FZ451" i="16"/>
  <c r="FT451" i="16" s="1"/>
  <c r="FR465" i="16"/>
  <c r="FB396" i="16"/>
  <c r="EX396" i="16"/>
  <c r="FB284" i="16"/>
  <c r="EX284" i="16"/>
  <c r="FE396" i="16"/>
  <c r="FE464" i="16"/>
  <c r="FB464" i="16"/>
  <c r="EX464" i="16"/>
  <c r="FZ466" i="16"/>
  <c r="FW466" i="16"/>
  <c r="FS466" i="16"/>
  <c r="FE366" i="16"/>
  <c r="FB366" i="16"/>
  <c r="FB354" i="16"/>
  <c r="FE354" i="16"/>
  <c r="EX354" i="16"/>
  <c r="EW367" i="16"/>
  <c r="FW394" i="16"/>
  <c r="FZ394" i="16"/>
  <c r="FS394" i="16"/>
  <c r="FZ354" i="16"/>
  <c r="FW354" i="16"/>
  <c r="FS354" i="16"/>
  <c r="EW382" i="16"/>
  <c r="FR452" i="16"/>
  <c r="FR409" i="16"/>
  <c r="EX366" i="16"/>
  <c r="EW394" i="16"/>
  <c r="FZ408" i="16"/>
  <c r="FW408" i="16"/>
  <c r="FR381" i="16"/>
  <c r="EW437" i="16"/>
  <c r="FE382" i="16"/>
  <c r="FB382" i="16"/>
  <c r="FR423" i="16"/>
  <c r="FE450" i="16"/>
  <c r="FB450" i="16"/>
  <c r="EX450" i="16"/>
  <c r="FZ352" i="16"/>
  <c r="FW352" i="16"/>
  <c r="FR436" i="16"/>
  <c r="FE395" i="16"/>
  <c r="FB395" i="16"/>
  <c r="EX395" i="16"/>
  <c r="FE422" i="16"/>
  <c r="FB422" i="16"/>
  <c r="EX422" i="16"/>
  <c r="EW354" i="16"/>
  <c r="FZ423" i="16"/>
  <c r="FZ366" i="16"/>
  <c r="FW366" i="16"/>
  <c r="FS366" i="16"/>
  <c r="EW409" i="16"/>
  <c r="FR352" i="16"/>
  <c r="FZ436" i="16"/>
  <c r="FT436" i="16" s="1"/>
  <c r="FE408" i="16"/>
  <c r="FB408" i="16"/>
  <c r="EX408" i="16"/>
  <c r="FZ368" i="16"/>
  <c r="FW368" i="16"/>
  <c r="FS368" i="16"/>
  <c r="FZ410" i="16"/>
  <c r="FW410" i="16"/>
  <c r="FS410" i="16"/>
  <c r="FZ452" i="16"/>
  <c r="FW452" i="16"/>
  <c r="FE353" i="16"/>
  <c r="FB353" i="16"/>
  <c r="EX353" i="16"/>
  <c r="FE368" i="16"/>
  <c r="FB368" i="16"/>
  <c r="EX368" i="16"/>
  <c r="FB437" i="16"/>
  <c r="FE437" i="16"/>
  <c r="FS452" i="16"/>
  <c r="FW424" i="16"/>
  <c r="FZ424" i="16"/>
  <c r="FR408" i="16"/>
  <c r="FE438" i="16"/>
  <c r="FB438" i="16"/>
  <c r="EX438" i="16"/>
  <c r="FR395" i="16"/>
  <c r="EW380" i="16"/>
  <c r="FW325" i="16"/>
  <c r="FZ325" i="16"/>
  <c r="FS325" i="16"/>
  <c r="FW254" i="16"/>
  <c r="FZ254" i="16"/>
  <c r="FS254" i="16"/>
  <c r="FE254" i="16"/>
  <c r="FB254" i="16"/>
  <c r="EX254" i="16"/>
  <c r="FB297" i="16"/>
  <c r="FE297" i="16"/>
  <c r="EX297" i="16"/>
  <c r="FR269" i="16"/>
  <c r="FE312" i="16"/>
  <c r="FB312" i="16"/>
  <c r="EX312" i="16"/>
  <c r="FW339" i="16"/>
  <c r="FZ339" i="16"/>
  <c r="FZ340" i="16"/>
  <c r="FW340" i="16"/>
  <c r="FS340" i="16"/>
  <c r="FZ310" i="16"/>
  <c r="FW310" i="16"/>
  <c r="FS310" i="16"/>
  <c r="FB269" i="16"/>
  <c r="FE269" i="16"/>
  <c r="FE296" i="16"/>
  <c r="FB296" i="16"/>
  <c r="EX296" i="16"/>
  <c r="FS324" i="16"/>
  <c r="FZ324" i="16"/>
  <c r="FW324" i="16"/>
  <c r="FR311" i="16"/>
  <c r="FE283" i="16"/>
  <c r="FE241" i="16"/>
  <c r="FB241" i="16"/>
  <c r="EX241" i="16"/>
  <c r="FE270" i="16"/>
  <c r="FB270" i="16"/>
  <c r="EX270" i="16"/>
  <c r="EW339" i="16"/>
  <c r="FE338" i="16"/>
  <c r="FB338" i="16"/>
  <c r="EX338" i="16"/>
  <c r="FW270" i="16"/>
  <c r="FZ270" i="16"/>
  <c r="FS270" i="16"/>
  <c r="EW283" i="16"/>
  <c r="FZ284" i="16"/>
  <c r="FW284" i="16"/>
  <c r="FS284" i="16"/>
  <c r="FZ326" i="16"/>
  <c r="FW326" i="16"/>
  <c r="FS339" i="16"/>
  <c r="FR256" i="16"/>
  <c r="FE339" i="16"/>
  <c r="EY339" i="16" s="1"/>
  <c r="FZ311" i="16"/>
  <c r="FT311" i="16" s="1"/>
  <c r="FR339" i="16"/>
  <c r="FB256" i="16"/>
  <c r="FE256" i="16"/>
  <c r="EX256" i="16"/>
  <c r="FZ297" i="16"/>
  <c r="FW297" i="16"/>
  <c r="FR241" i="16"/>
  <c r="FE310" i="16"/>
  <c r="FB310" i="16"/>
  <c r="FE311" i="16"/>
  <c r="FB311" i="16"/>
  <c r="EX311" i="16"/>
  <c r="FR297" i="16"/>
  <c r="FB325" i="16"/>
  <c r="FE325" i="16"/>
  <c r="EX325" i="16"/>
  <c r="EW269" i="16"/>
  <c r="EW268" i="16"/>
  <c r="EW199" i="16"/>
  <c r="FE184" i="16"/>
  <c r="FB184" i="16"/>
  <c r="EW158" i="16"/>
  <c r="FR184" i="16"/>
  <c r="FE142" i="16"/>
  <c r="FB142" i="16"/>
  <c r="FE158" i="16"/>
  <c r="FB158" i="16"/>
  <c r="FB212" i="16"/>
  <c r="FE212" i="16"/>
  <c r="FW214" i="16"/>
  <c r="FZ214" i="16"/>
  <c r="FS214" i="16"/>
  <c r="EW130" i="16"/>
  <c r="FR144" i="16"/>
  <c r="FZ186" i="16"/>
  <c r="FW186" i="16"/>
  <c r="FS186" i="16"/>
  <c r="FR157" i="16"/>
  <c r="FZ129" i="16"/>
  <c r="FW129" i="16"/>
  <c r="FW142" i="16"/>
  <c r="FZ142" i="16"/>
  <c r="FZ198" i="16"/>
  <c r="FW198" i="16"/>
  <c r="FB130" i="16"/>
  <c r="FE130" i="16"/>
  <c r="EW144" i="16"/>
  <c r="FE156" i="16"/>
  <c r="FB156" i="16"/>
  <c r="FW227" i="16"/>
  <c r="FZ227" i="16"/>
  <c r="FS227" i="16"/>
  <c r="EX158" i="16"/>
  <c r="FE144" i="16"/>
  <c r="EY144" i="16" s="1"/>
  <c r="FW172" i="16"/>
  <c r="FZ172" i="16"/>
  <c r="FS172" i="16"/>
  <c r="FS129" i="16"/>
  <c r="FZ144" i="16"/>
  <c r="FW144" i="16"/>
  <c r="FZ184" i="16"/>
  <c r="FW184" i="16"/>
  <c r="FR156" i="16"/>
  <c r="FE128" i="16"/>
  <c r="FB128" i="16"/>
  <c r="FZ130" i="16"/>
  <c r="FS130" i="16"/>
  <c r="FW130" i="16"/>
  <c r="FE199" i="16"/>
  <c r="FB199" i="16"/>
  <c r="EW156" i="16"/>
  <c r="FE227" i="16"/>
  <c r="FB227" i="16"/>
  <c r="EW213" i="16"/>
  <c r="FZ116" i="16"/>
  <c r="FW116" i="16"/>
  <c r="FS116" i="16"/>
  <c r="FW115" i="16"/>
  <c r="FZ115" i="16"/>
  <c r="FE114" i="16"/>
  <c r="FB114" i="16"/>
  <c r="EX114" i="16"/>
  <c r="FR115" i="16"/>
  <c r="FR116" i="16"/>
  <c r="FE101" i="16"/>
  <c r="FB101" i="16"/>
  <c r="EW101" i="16"/>
  <c r="FR102" i="16"/>
  <c r="EX101" i="16"/>
  <c r="FE87" i="16"/>
  <c r="FB87" i="16"/>
  <c r="FZ88" i="16"/>
  <c r="FW88" i="16"/>
  <c r="FR88" i="16"/>
  <c r="FR73" i="16"/>
  <c r="FW73" i="16"/>
  <c r="FZ73" i="16"/>
  <c r="FE72" i="16"/>
  <c r="FB72" i="16"/>
  <c r="EX72" i="16"/>
  <c r="FZ74" i="16"/>
  <c r="FW74" i="16"/>
  <c r="FW58" i="16"/>
  <c r="FZ58" i="16"/>
  <c r="FS58" i="16"/>
  <c r="FE59" i="16"/>
  <c r="FR60" i="16"/>
  <c r="FW44" i="16"/>
  <c r="FZ44" i="16"/>
  <c r="FS44" i="16"/>
  <c r="FR46" i="16"/>
  <c r="EX30" i="16"/>
  <c r="FE30" i="16"/>
  <c r="FB30" i="16"/>
  <c r="FW31" i="16"/>
  <c r="FZ31" i="16"/>
  <c r="FS31" i="16"/>
  <c r="FE31" i="16"/>
  <c r="FW18" i="16"/>
  <c r="FZ18" i="16"/>
  <c r="FB18" i="16"/>
  <c r="DD18" i="16"/>
  <c r="DC18" i="16"/>
  <c r="DN16" i="16"/>
  <c r="D16" i="16" s="1"/>
  <c r="DP16" i="16"/>
  <c r="DO16" i="16"/>
  <c r="S16" i="16" s="1"/>
  <c r="DQ16" i="16"/>
  <c r="DC17" i="16"/>
  <c r="DC16" i="16"/>
  <c r="FE18" i="16"/>
  <c r="FZ17" i="16"/>
  <c r="EX16" i="16"/>
  <c r="FE16" i="16"/>
  <c r="FR16" i="16"/>
  <c r="FZ16" i="16"/>
  <c r="FW16" i="16"/>
  <c r="EW18" i="16"/>
  <c r="FT86" i="16" l="1"/>
  <c r="BL86" i="16" s="1"/>
  <c r="BA86" i="16" s="1"/>
  <c r="Y86" i="16" s="1"/>
  <c r="DU88" i="16"/>
  <c r="DW88" i="16" s="1"/>
  <c r="EY86" i="16"/>
  <c r="BK86" i="16" s="1"/>
  <c r="AM86" i="16" s="1"/>
  <c r="J86" i="16" s="1"/>
  <c r="EY59" i="16"/>
  <c r="BK59" i="16" s="1"/>
  <c r="AM59" i="16" s="1"/>
  <c r="J59" i="16" s="1"/>
  <c r="BL100" i="16"/>
  <c r="BM100" i="16" s="1"/>
  <c r="AP100" i="16" s="1"/>
  <c r="N100" i="16" s="1"/>
  <c r="FT46" i="16"/>
  <c r="BK73" i="16"/>
  <c r="AM73" i="16" s="1"/>
  <c r="J73" i="16" s="1"/>
  <c r="EY58" i="16"/>
  <c r="EY184" i="16"/>
  <c r="FT423" i="16"/>
  <c r="FT437" i="16"/>
  <c r="FT185" i="16"/>
  <c r="FT170" i="16"/>
  <c r="BA170" i="16" s="1"/>
  <c r="Y170" i="16" s="1"/>
  <c r="EY115" i="16"/>
  <c r="AM115" i="16" s="1"/>
  <c r="J115" i="16" s="1"/>
  <c r="FT367" i="16"/>
  <c r="BA367" i="16" s="1"/>
  <c r="Y367" i="16" s="1"/>
  <c r="AM451" i="16"/>
  <c r="J451" i="16" s="1"/>
  <c r="AM352" i="16"/>
  <c r="J352" i="16" s="1"/>
  <c r="BA157" i="16"/>
  <c r="Y157" i="16" s="1"/>
  <c r="AM198" i="16"/>
  <c r="J198" i="16" s="1"/>
  <c r="BA395" i="16"/>
  <c r="Y395" i="16" s="1"/>
  <c r="AM255" i="16"/>
  <c r="J255" i="16" s="1"/>
  <c r="AM282" i="16"/>
  <c r="J282" i="16" s="1"/>
  <c r="BA156" i="16"/>
  <c r="Y156" i="16" s="1"/>
  <c r="BA240" i="16"/>
  <c r="Y240" i="16" s="1"/>
  <c r="BA143" i="16"/>
  <c r="Y143" i="16" s="1"/>
  <c r="AM394" i="16"/>
  <c r="J394" i="16" s="1"/>
  <c r="AM367" i="16"/>
  <c r="J367" i="16" s="1"/>
  <c r="BA437" i="16"/>
  <c r="Y437" i="16" s="1"/>
  <c r="EY172" i="16"/>
  <c r="BA171" i="16"/>
  <c r="Y171" i="16" s="1"/>
  <c r="BA311" i="16"/>
  <c r="Y311" i="16" s="1"/>
  <c r="BA282" i="16"/>
  <c r="Y282" i="16" s="1"/>
  <c r="BA409" i="16"/>
  <c r="Y409" i="16" s="1"/>
  <c r="BA283" i="16"/>
  <c r="Y283" i="16" s="1"/>
  <c r="FT256" i="16"/>
  <c r="BA422" i="16"/>
  <c r="Y422" i="16" s="1"/>
  <c r="BA212" i="16"/>
  <c r="Y212" i="16" s="1"/>
  <c r="BA451" i="16"/>
  <c r="Y451" i="16" s="1"/>
  <c r="BA450" i="16"/>
  <c r="Y450" i="16" s="1"/>
  <c r="EY200" i="16"/>
  <c r="AM324" i="16"/>
  <c r="J324" i="16" s="1"/>
  <c r="BA464" i="16"/>
  <c r="Y464" i="16" s="1"/>
  <c r="BA269" i="16"/>
  <c r="Y269" i="16" s="1"/>
  <c r="BA213" i="16"/>
  <c r="Y213" i="16" s="1"/>
  <c r="BA268" i="16"/>
  <c r="Y268" i="16" s="1"/>
  <c r="BA381" i="16"/>
  <c r="Y381" i="16" s="1"/>
  <c r="BA353" i="16"/>
  <c r="Y353" i="16" s="1"/>
  <c r="BM436" i="16"/>
  <c r="EY298" i="16"/>
  <c r="AM423" i="16"/>
  <c r="J423" i="16" s="1"/>
  <c r="BA255" i="16"/>
  <c r="Y255" i="16" s="1"/>
  <c r="BA199" i="16"/>
  <c r="Y199" i="16" s="1"/>
  <c r="FT241" i="16"/>
  <c r="AM381" i="16"/>
  <c r="J381" i="16" s="1"/>
  <c r="BA185" i="16"/>
  <c r="Y185" i="16" s="1"/>
  <c r="DQ103" i="16"/>
  <c r="DQ101" i="16"/>
  <c r="DU101" i="16" s="1"/>
  <c r="DW101" i="16" s="1"/>
  <c r="DP102" i="16"/>
  <c r="DP104" i="16"/>
  <c r="DP101" i="16"/>
  <c r="DQ104" i="16"/>
  <c r="DP103" i="16"/>
  <c r="DQ102" i="16"/>
  <c r="DU102" i="16" s="1"/>
  <c r="DW102" i="16" s="1"/>
  <c r="DP90" i="16"/>
  <c r="DP88" i="16"/>
  <c r="DQ87" i="16"/>
  <c r="DU87" i="16" s="1"/>
  <c r="DW87" i="16" s="1"/>
  <c r="DQ89" i="16"/>
  <c r="DQ88" i="16"/>
  <c r="DP89" i="16"/>
  <c r="DP87" i="16"/>
  <c r="DQ90" i="16"/>
  <c r="BA72" i="16"/>
  <c r="Y72" i="16" s="1"/>
  <c r="DP75" i="16"/>
  <c r="DQ76" i="16"/>
  <c r="DQ74" i="16"/>
  <c r="DP73" i="16"/>
  <c r="DP76" i="16"/>
  <c r="DP74" i="16"/>
  <c r="DQ75" i="16"/>
  <c r="DQ73" i="16"/>
  <c r="DU73" i="16" s="1"/>
  <c r="DW73" i="16" s="1"/>
  <c r="BM268" i="16"/>
  <c r="AP268" i="16" s="1"/>
  <c r="N268" i="16" s="1"/>
  <c r="AM268" i="16"/>
  <c r="J268" i="16" s="1"/>
  <c r="EY45" i="16"/>
  <c r="BK45" i="16" s="1"/>
  <c r="EY60" i="16"/>
  <c r="AM226" i="16"/>
  <c r="J226" i="16" s="1"/>
  <c r="BM226" i="16"/>
  <c r="AP226" i="16" s="1"/>
  <c r="N226" i="16" s="1"/>
  <c r="FT184" i="16"/>
  <c r="EY283" i="16"/>
  <c r="EY269" i="16"/>
  <c r="FT101" i="16"/>
  <c r="FT114" i="16"/>
  <c r="FT380" i="16"/>
  <c r="FT198" i="16"/>
  <c r="FT352" i="16"/>
  <c r="BM352" i="16" s="1"/>
  <c r="FT465" i="16"/>
  <c r="EY465" i="16"/>
  <c r="BM143" i="16"/>
  <c r="AP143" i="16" s="1"/>
  <c r="N143" i="16" s="1"/>
  <c r="DP60" i="16"/>
  <c r="DQ61" i="16"/>
  <c r="DP62" i="16"/>
  <c r="DQ59" i="16"/>
  <c r="DU59" i="16" s="1"/>
  <c r="DW59" i="16" s="1"/>
  <c r="DQ60" i="16"/>
  <c r="DU60" i="16" s="1"/>
  <c r="DW60" i="16" s="1"/>
  <c r="DQ62" i="16"/>
  <c r="DP61" i="16"/>
  <c r="DP59" i="16"/>
  <c r="EY44" i="16"/>
  <c r="BK44" i="16" s="1"/>
  <c r="DQ48" i="16"/>
  <c r="DP45" i="16"/>
  <c r="DQ46" i="16"/>
  <c r="DU46" i="16" s="1"/>
  <c r="DW46" i="16" s="1"/>
  <c r="DP47" i="16"/>
  <c r="DP46" i="16"/>
  <c r="DP48" i="16"/>
  <c r="DQ45" i="16"/>
  <c r="DU45" i="16" s="1"/>
  <c r="DW45" i="16" s="1"/>
  <c r="BL45" i="16" s="1"/>
  <c r="DQ47" i="16"/>
  <c r="FT340" i="16"/>
  <c r="FT59" i="16"/>
  <c r="EY129" i="16"/>
  <c r="EY214" i="16"/>
  <c r="FT338" i="16"/>
  <c r="FT88" i="16"/>
  <c r="EY256" i="16"/>
  <c r="EY382" i="16"/>
  <c r="EY242" i="16"/>
  <c r="EY171" i="16"/>
  <c r="EY199" i="16"/>
  <c r="EY395" i="16"/>
  <c r="EY450" i="16"/>
  <c r="EY338" i="16"/>
  <c r="FT354" i="16"/>
  <c r="EY240" i="16"/>
  <c r="FT87" i="16"/>
  <c r="EY368" i="16"/>
  <c r="FT452" i="16"/>
  <c r="EY326" i="16"/>
  <c r="EY366" i="16"/>
  <c r="FT466" i="16"/>
  <c r="EY311" i="16"/>
  <c r="EY101" i="16"/>
  <c r="BK101" i="16" s="1"/>
  <c r="FT326" i="16"/>
  <c r="FT424" i="16"/>
  <c r="EY353" i="16"/>
  <c r="AM353" i="16" s="1"/>
  <c r="J353" i="16" s="1"/>
  <c r="FT17" i="16"/>
  <c r="EY32" i="16"/>
  <c r="FT44" i="16"/>
  <c r="BL44" i="16" s="1"/>
  <c r="EY128" i="16"/>
  <c r="FT129" i="16"/>
  <c r="BA129" i="16" s="1"/>
  <c r="Y129" i="16" s="1"/>
  <c r="EY241" i="16"/>
  <c r="AM241" i="16" s="1"/>
  <c r="J241" i="16" s="1"/>
  <c r="EY284" i="16"/>
  <c r="FT172" i="16"/>
  <c r="FT186" i="16"/>
  <c r="FT297" i="16"/>
  <c r="EY87" i="16"/>
  <c r="BK87" i="16" s="1"/>
  <c r="EY438" i="16"/>
  <c r="EY437" i="16"/>
  <c r="EY185" i="16"/>
  <c r="EY130" i="16"/>
  <c r="FT214" i="16"/>
  <c r="EY142" i="16"/>
  <c r="EY270" i="16"/>
  <c r="FT408" i="16"/>
  <c r="EY31" i="16"/>
  <c r="BK31" i="16" s="1"/>
  <c r="FT74" i="16"/>
  <c r="FT144" i="16"/>
  <c r="EY310" i="16"/>
  <c r="FT324" i="16"/>
  <c r="FT394" i="16"/>
  <c r="DP32" i="16"/>
  <c r="DQ31" i="16"/>
  <c r="DU31" i="16" s="1"/>
  <c r="DW31" i="16" s="1"/>
  <c r="DP34" i="16"/>
  <c r="DQ33" i="16"/>
  <c r="EY30" i="16"/>
  <c r="BK30" i="16" s="1"/>
  <c r="DQ34" i="16"/>
  <c r="DP31" i="16"/>
  <c r="DP33" i="16"/>
  <c r="DQ32" i="16"/>
  <c r="DU32" i="16" s="1"/>
  <c r="DW32" i="16" s="1"/>
  <c r="AM213" i="16"/>
  <c r="J213" i="16" s="1"/>
  <c r="FT31" i="16"/>
  <c r="EY114" i="16"/>
  <c r="EY325" i="16"/>
  <c r="FT284" i="16"/>
  <c r="EY297" i="16"/>
  <c r="FT368" i="16"/>
  <c r="FT366" i="16"/>
  <c r="FT58" i="16"/>
  <c r="BL58" i="16" s="1"/>
  <c r="EY156" i="16"/>
  <c r="FT310" i="16"/>
  <c r="FT325" i="16"/>
  <c r="EY408" i="16"/>
  <c r="FT115" i="16"/>
  <c r="FT130" i="16"/>
  <c r="FT142" i="16"/>
  <c r="FT339" i="16"/>
  <c r="EY296" i="16"/>
  <c r="EY312" i="16"/>
  <c r="EY254" i="16"/>
  <c r="FT410" i="16"/>
  <c r="EY354" i="16"/>
  <c r="EY72" i="16"/>
  <c r="BK72" i="16" s="1"/>
  <c r="EY227" i="16"/>
  <c r="FT102" i="16"/>
  <c r="EY422" i="16"/>
  <c r="EY464" i="16"/>
  <c r="EY396" i="16"/>
  <c r="FT116" i="16"/>
  <c r="EY158" i="16"/>
  <c r="FT73" i="16"/>
  <c r="FT227" i="16"/>
  <c r="EY212" i="16"/>
  <c r="BM212" i="16" s="1"/>
  <c r="FT270" i="16"/>
  <c r="FT254" i="16"/>
  <c r="EY170" i="16"/>
  <c r="BA436" i="16"/>
  <c r="Y436" i="16" s="1"/>
  <c r="AM366" i="16"/>
  <c r="J366" i="16" s="1"/>
  <c r="BA423" i="16"/>
  <c r="Y423" i="16" s="1"/>
  <c r="AM380" i="16"/>
  <c r="J380" i="16" s="1"/>
  <c r="BM353" i="16"/>
  <c r="AP353" i="16" s="1"/>
  <c r="N353" i="16" s="1"/>
  <c r="AM409" i="16"/>
  <c r="J409" i="16" s="1"/>
  <c r="BM409" i="16"/>
  <c r="AP409" i="16" s="1"/>
  <c r="N409" i="16" s="1"/>
  <c r="AM339" i="16"/>
  <c r="J339" i="16" s="1"/>
  <c r="AM283" i="16"/>
  <c r="J283" i="16" s="1"/>
  <c r="AM338" i="16"/>
  <c r="J338" i="16" s="1"/>
  <c r="AM184" i="16"/>
  <c r="J184" i="16" s="1"/>
  <c r="AM157" i="16"/>
  <c r="J157" i="16" s="1"/>
  <c r="BM157" i="16"/>
  <c r="AP157" i="16" s="1"/>
  <c r="N157" i="16" s="1"/>
  <c r="FT18" i="16"/>
  <c r="EY18" i="16"/>
  <c r="DQ20" i="16"/>
  <c r="DP19" i="16"/>
  <c r="DQ18" i="16"/>
  <c r="DU18" i="16" s="1"/>
  <c r="DP17" i="16"/>
  <c r="DP18" i="16"/>
  <c r="DQ17" i="16"/>
  <c r="DU17" i="16" s="1"/>
  <c r="DQ19" i="16"/>
  <c r="DP20" i="16"/>
  <c r="EY16" i="16"/>
  <c r="BK16" i="16" s="1"/>
  <c r="FT16" i="16"/>
  <c r="AM17" i="16"/>
  <c r="J17" i="16" s="1"/>
  <c r="BL59" i="16" l="1"/>
  <c r="BM59" i="16" s="1"/>
  <c r="AP59" i="16" s="1"/>
  <c r="N59" i="16" s="1"/>
  <c r="BL101" i="16"/>
  <c r="BA101" i="16" s="1"/>
  <c r="Y101" i="16" s="1"/>
  <c r="BL87" i="16"/>
  <c r="BA87" i="16" s="1"/>
  <c r="Y87" i="16" s="1"/>
  <c r="BL73" i="16"/>
  <c r="BM73" i="16" s="1"/>
  <c r="AP73" i="16" s="1"/>
  <c r="N73" i="16" s="1"/>
  <c r="BL31" i="16"/>
  <c r="BA31" i="16" s="1"/>
  <c r="Y31" i="16" s="1"/>
  <c r="BK58" i="16"/>
  <c r="AM58" i="16" s="1"/>
  <c r="J58" i="16" s="1"/>
  <c r="BM423" i="16"/>
  <c r="AP423" i="16" s="1"/>
  <c r="N423" i="16" s="1"/>
  <c r="BM367" i="16"/>
  <c r="AP367" i="16" s="1"/>
  <c r="N367" i="16" s="1"/>
  <c r="BM283" i="16"/>
  <c r="AP283" i="16" s="1"/>
  <c r="N283" i="16" s="1"/>
  <c r="BM282" i="16"/>
  <c r="AP282" i="16" s="1"/>
  <c r="N282" i="16" s="1"/>
  <c r="AM212" i="16"/>
  <c r="J212" i="16" s="1"/>
  <c r="BM255" i="16"/>
  <c r="AP255" i="16" s="1"/>
  <c r="N255" i="16" s="1"/>
  <c r="BM381" i="16"/>
  <c r="AP381" i="16" s="1"/>
  <c r="N381" i="16" s="1"/>
  <c r="BA352" i="16"/>
  <c r="Y352" i="16" s="1"/>
  <c r="BM422" i="16"/>
  <c r="AP422" i="16" s="1"/>
  <c r="N422" i="16" s="1"/>
  <c r="AM296" i="16"/>
  <c r="J296" i="16" s="1"/>
  <c r="BA310" i="16"/>
  <c r="Y310" i="16" s="1"/>
  <c r="AM30" i="16"/>
  <c r="J30" i="16" s="1"/>
  <c r="AM395" i="16"/>
  <c r="J395" i="16" s="1"/>
  <c r="BA465" i="16"/>
  <c r="Y465" i="16" s="1"/>
  <c r="BM184" i="16"/>
  <c r="BM310" i="16"/>
  <c r="AP310" i="16" s="1"/>
  <c r="N310" i="16" s="1"/>
  <c r="BA338" i="16"/>
  <c r="Y338" i="16" s="1"/>
  <c r="AM465" i="16"/>
  <c r="J465" i="16" s="1"/>
  <c r="BA227" i="16"/>
  <c r="Y227" i="16" s="1"/>
  <c r="AM227" i="16"/>
  <c r="J227" i="16" s="1"/>
  <c r="BA142" i="16"/>
  <c r="Y142" i="16" s="1"/>
  <c r="BA58" i="16"/>
  <c r="Y58" i="16" s="1"/>
  <c r="BM213" i="16"/>
  <c r="AP213" i="16" s="1"/>
  <c r="N213" i="16" s="1"/>
  <c r="AM31" i="16"/>
  <c r="J31" i="16" s="1"/>
  <c r="AM128" i="16"/>
  <c r="J128" i="16" s="1"/>
  <c r="BM198" i="16"/>
  <c r="AP198" i="16" s="1"/>
  <c r="N198" i="16" s="1"/>
  <c r="BM241" i="16"/>
  <c r="AP241" i="16" s="1"/>
  <c r="N241" i="16" s="1"/>
  <c r="AM436" i="16"/>
  <c r="J436" i="16" s="1"/>
  <c r="BM254" i="16"/>
  <c r="AP254" i="16" s="1"/>
  <c r="N254" i="16" s="1"/>
  <c r="BA325" i="16"/>
  <c r="Y325" i="16" s="1"/>
  <c r="AM450" i="16"/>
  <c r="J450" i="16" s="1"/>
  <c r="AM156" i="16"/>
  <c r="J156" i="16" s="1"/>
  <c r="BM366" i="16"/>
  <c r="AP366" i="16" s="1"/>
  <c r="N366" i="16" s="1"/>
  <c r="BA408" i="16"/>
  <c r="Y408" i="16" s="1"/>
  <c r="BA44" i="16"/>
  <c r="Y44" i="16" s="1"/>
  <c r="BM86" i="16"/>
  <c r="AP86" i="16" s="1"/>
  <c r="N86" i="16" s="1"/>
  <c r="BA380" i="16"/>
  <c r="Y380" i="16" s="1"/>
  <c r="AM297" i="16"/>
  <c r="J297" i="16" s="1"/>
  <c r="BM142" i="16"/>
  <c r="BM464" i="16"/>
  <c r="AP464" i="16" s="1"/>
  <c r="N464" i="16" s="1"/>
  <c r="AM325" i="16"/>
  <c r="J325" i="16" s="1"/>
  <c r="BA339" i="16"/>
  <c r="Y339" i="16" s="1"/>
  <c r="AM437" i="16"/>
  <c r="J437" i="16" s="1"/>
  <c r="AM199" i="16"/>
  <c r="J199" i="16" s="1"/>
  <c r="BM129" i="16"/>
  <c r="AP129" i="16" s="1"/>
  <c r="N129" i="16" s="1"/>
  <c r="BA115" i="16"/>
  <c r="Y115" i="16" s="1"/>
  <c r="BA297" i="16"/>
  <c r="Y297" i="16" s="1"/>
  <c r="AM311" i="16"/>
  <c r="J311" i="16" s="1"/>
  <c r="BM44" i="16"/>
  <c r="AP44" i="16" s="1"/>
  <c r="N44" i="16" s="1"/>
  <c r="BA114" i="16"/>
  <c r="Y114" i="16" s="1"/>
  <c r="AM45" i="16"/>
  <c r="J45" i="16" s="1"/>
  <c r="AM408" i="16"/>
  <c r="J408" i="16" s="1"/>
  <c r="BM394" i="16"/>
  <c r="AP394" i="16" s="1"/>
  <c r="N394" i="16" s="1"/>
  <c r="BM451" i="16"/>
  <c r="AP451" i="16" s="1"/>
  <c r="N451" i="16" s="1"/>
  <c r="BM324" i="16"/>
  <c r="AP324" i="16" s="1"/>
  <c r="N324" i="16" s="1"/>
  <c r="AM269" i="16"/>
  <c r="J269" i="16" s="1"/>
  <c r="BA100" i="16"/>
  <c r="Y100" i="16" s="1"/>
  <c r="AM87" i="16"/>
  <c r="J87" i="16" s="1"/>
  <c r="BM72" i="16"/>
  <c r="AP72" i="16" s="1"/>
  <c r="N72" i="16" s="1"/>
  <c r="BM338" i="16"/>
  <c r="AP338" i="16" s="1"/>
  <c r="N338" i="16" s="1"/>
  <c r="AM114" i="16"/>
  <c r="J114" i="16" s="1"/>
  <c r="BM311" i="16"/>
  <c r="AP311" i="16" s="1"/>
  <c r="N311" i="16" s="1"/>
  <c r="AM422" i="16"/>
  <c r="J422" i="16" s="1"/>
  <c r="BM199" i="16"/>
  <c r="AP199" i="16" s="1"/>
  <c r="N199" i="16" s="1"/>
  <c r="BM296" i="16"/>
  <c r="AP296" i="16" s="1"/>
  <c r="N296" i="16" s="1"/>
  <c r="BA45" i="16"/>
  <c r="Y45" i="16" s="1"/>
  <c r="BM45" i="16"/>
  <c r="AP45" i="16" s="1"/>
  <c r="N45" i="16" s="1"/>
  <c r="BM395" i="16"/>
  <c r="AP395" i="16" s="1"/>
  <c r="N395" i="16" s="1"/>
  <c r="AM171" i="16"/>
  <c r="J171" i="16" s="1"/>
  <c r="BM171" i="16"/>
  <c r="AP171" i="16" s="1"/>
  <c r="N171" i="16" s="1"/>
  <c r="BM339" i="16"/>
  <c r="AP339" i="16" s="1"/>
  <c r="N339" i="16" s="1"/>
  <c r="AM101" i="16"/>
  <c r="J101" i="16" s="1"/>
  <c r="BM450" i="16"/>
  <c r="AP450" i="16" s="1"/>
  <c r="N450" i="16" s="1"/>
  <c r="AM240" i="16"/>
  <c r="J240" i="16" s="1"/>
  <c r="BM240" i="16"/>
  <c r="AP240" i="16" s="1"/>
  <c r="N240" i="16" s="1"/>
  <c r="BM408" i="16"/>
  <c r="AP408" i="16" s="1"/>
  <c r="N408" i="16" s="1"/>
  <c r="BM185" i="16"/>
  <c r="AP185" i="16" s="1"/>
  <c r="N185" i="16" s="1"/>
  <c r="AM185" i="16"/>
  <c r="J185" i="16" s="1"/>
  <c r="AM254" i="16"/>
  <c r="J254" i="16" s="1"/>
  <c r="AM72" i="16"/>
  <c r="J72" i="16" s="1"/>
  <c r="BM115" i="16"/>
  <c r="AP115" i="16" s="1"/>
  <c r="N115" i="16" s="1"/>
  <c r="AM170" i="16"/>
  <c r="J170" i="16" s="1"/>
  <c r="BM170" i="16"/>
  <c r="AP170" i="16" s="1"/>
  <c r="N170" i="16" s="1"/>
  <c r="AP436" i="16"/>
  <c r="N436" i="16" s="1"/>
  <c r="AP352" i="16"/>
  <c r="N352" i="16" s="1"/>
  <c r="AP142" i="16"/>
  <c r="N142" i="16" s="1"/>
  <c r="AP212" i="16"/>
  <c r="N212" i="16" s="1"/>
  <c r="AP184" i="16"/>
  <c r="N184" i="16" s="1"/>
  <c r="BL16" i="16"/>
  <c r="BA16" i="16" s="1"/>
  <c r="Y16" i="16" s="1"/>
  <c r="DW18" i="16"/>
  <c r="DW17" i="16"/>
  <c r="BL17" i="16" s="1"/>
  <c r="BM17" i="16" s="1"/>
  <c r="AM16" i="16"/>
  <c r="J16" i="16" s="1"/>
  <c r="BM87" i="16" l="1"/>
  <c r="AP87" i="16" s="1"/>
  <c r="N87" i="16" s="1"/>
  <c r="BM114" i="16"/>
  <c r="AP114" i="16" s="1"/>
  <c r="N114" i="16" s="1"/>
  <c r="BM58" i="16"/>
  <c r="AP58" i="16" s="1"/>
  <c r="N58" i="16" s="1"/>
  <c r="AM464" i="16"/>
  <c r="J464" i="16" s="1"/>
  <c r="BA59" i="16"/>
  <c r="Y59" i="16" s="1"/>
  <c r="BM156" i="16"/>
  <c r="AP156" i="16" s="1"/>
  <c r="N156" i="16" s="1"/>
  <c r="BM297" i="16"/>
  <c r="AP297" i="16" s="1"/>
  <c r="N297" i="16" s="1"/>
  <c r="BA324" i="16"/>
  <c r="Y324" i="16" s="1"/>
  <c r="BM465" i="16"/>
  <c r="AP465" i="16" s="1"/>
  <c r="N465" i="16" s="1"/>
  <c r="BA184" i="16"/>
  <c r="Y184" i="16" s="1"/>
  <c r="BM30" i="16"/>
  <c r="AP30" i="16" s="1"/>
  <c r="N30" i="16" s="1"/>
  <c r="BM380" i="16"/>
  <c r="AP380" i="16" s="1"/>
  <c r="N380" i="16" s="1"/>
  <c r="BA198" i="16"/>
  <c r="Y198" i="16" s="1"/>
  <c r="AM44" i="16"/>
  <c r="J44" i="16" s="1"/>
  <c r="BA366" i="16"/>
  <c r="Y366" i="16" s="1"/>
  <c r="BA394" i="16"/>
  <c r="Y394" i="16" s="1"/>
  <c r="BM128" i="16"/>
  <c r="AP128" i="16" s="1"/>
  <c r="N128" i="16" s="1"/>
  <c r="AM310" i="16"/>
  <c r="J310" i="16" s="1"/>
  <c r="BM325" i="16"/>
  <c r="AP325" i="16" s="1"/>
  <c r="N325" i="16" s="1"/>
  <c r="BM227" i="16"/>
  <c r="AP227" i="16" s="1"/>
  <c r="N227" i="16" s="1"/>
  <c r="BM269" i="16"/>
  <c r="AP269" i="16" s="1"/>
  <c r="N269" i="16" s="1"/>
  <c r="BA241" i="16"/>
  <c r="Y241" i="16" s="1"/>
  <c r="BM437" i="16"/>
  <c r="AP437" i="16" s="1"/>
  <c r="N437" i="16" s="1"/>
  <c r="AM142" i="16"/>
  <c r="J142" i="16" s="1"/>
  <c r="AM129" i="16"/>
  <c r="J129" i="16" s="1"/>
  <c r="BA254" i="16"/>
  <c r="Y254" i="16" s="1"/>
  <c r="BM101" i="16"/>
  <c r="AP101" i="16" s="1"/>
  <c r="N101" i="16" s="1"/>
  <c r="BA73" i="16"/>
  <c r="Y73" i="16" s="1"/>
  <c r="BM31" i="16"/>
  <c r="AP31" i="16" s="1"/>
  <c r="N31" i="16" s="1"/>
  <c r="BM16" i="16"/>
  <c r="BA17" i="16"/>
  <c r="Y17" i="16" s="1"/>
  <c r="AP17" i="16"/>
  <c r="N17" i="16" s="1"/>
  <c r="I87" i="2"/>
  <c r="I86" i="2"/>
  <c r="I85" i="2"/>
  <c r="I84" i="2"/>
  <c r="I83" i="2"/>
  <c r="I82" i="2"/>
  <c r="I81" i="2"/>
  <c r="I80" i="2"/>
  <c r="I76" i="2"/>
  <c r="I75" i="2"/>
  <c r="I74" i="2"/>
  <c r="I73" i="2"/>
  <c r="I72" i="2"/>
  <c r="I71" i="2"/>
  <c r="I70" i="2"/>
  <c r="I69" i="2"/>
  <c r="I65" i="2"/>
  <c r="I64" i="2"/>
  <c r="I63" i="2"/>
  <c r="I62" i="2"/>
  <c r="I61" i="2"/>
  <c r="I60" i="2"/>
  <c r="I59" i="2"/>
  <c r="I58" i="2"/>
  <c r="I54" i="2"/>
  <c r="I53" i="2"/>
  <c r="I52" i="2"/>
  <c r="I51" i="2"/>
  <c r="I50" i="2"/>
  <c r="I49" i="2"/>
  <c r="I48" i="2"/>
  <c r="I47" i="2"/>
  <c r="I43" i="2"/>
  <c r="I42" i="2"/>
  <c r="I41" i="2"/>
  <c r="I40" i="2"/>
  <c r="I39" i="2"/>
  <c r="I38" i="2"/>
  <c r="I37" i="2"/>
  <c r="I36" i="2"/>
  <c r="I32" i="2"/>
  <c r="I31" i="2"/>
  <c r="I30" i="2"/>
  <c r="I29" i="2"/>
  <c r="I28" i="2"/>
  <c r="I27" i="2"/>
  <c r="I26" i="2"/>
  <c r="I25" i="2"/>
  <c r="I21" i="2"/>
  <c r="I20" i="2"/>
  <c r="I19" i="2"/>
  <c r="I18" i="2"/>
  <c r="I17" i="2"/>
  <c r="I16" i="2"/>
  <c r="I15" i="2"/>
  <c r="I14" i="2"/>
  <c r="I4" i="2"/>
  <c r="I5" i="2"/>
  <c r="I6" i="2"/>
  <c r="I7" i="2"/>
  <c r="I8" i="2"/>
  <c r="I9" i="2"/>
  <c r="I10" i="2"/>
  <c r="I3" i="2"/>
  <c r="D16" i="1"/>
  <c r="P4" i="2"/>
  <c r="P2" i="2" s="1"/>
  <c r="E5" i="16" s="1"/>
  <c r="B4" i="3"/>
  <c r="B3" i="3"/>
  <c r="B2" i="3"/>
  <c r="B1" i="3"/>
  <c r="EI65" i="2"/>
  <c r="EH65" i="2"/>
  <c r="EF65" i="2"/>
  <c r="EI64" i="2"/>
  <c r="EH64" i="2"/>
  <c r="EF64" i="2"/>
  <c r="EI63" i="2"/>
  <c r="EH63" i="2"/>
  <c r="EF63" i="2"/>
  <c r="EI62" i="2"/>
  <c r="EH62" i="2"/>
  <c r="EF62" i="2"/>
  <c r="EI61" i="2"/>
  <c r="EH61" i="2"/>
  <c r="EF61" i="2"/>
  <c r="EI60" i="2"/>
  <c r="EH60" i="2"/>
  <c r="EF60" i="2"/>
  <c r="EI59" i="2"/>
  <c r="EH59" i="2"/>
  <c r="EF59" i="2"/>
  <c r="EI58" i="2"/>
  <c r="EH58" i="2"/>
  <c r="EF58" i="2"/>
  <c r="EI57" i="2"/>
  <c r="EH57" i="2"/>
  <c r="EF57" i="2"/>
  <c r="EI56" i="2"/>
  <c r="EH56" i="2"/>
  <c r="EF56" i="2"/>
  <c r="EI55" i="2"/>
  <c r="EH55" i="2"/>
  <c r="EF55" i="2"/>
  <c r="EI54" i="2"/>
  <c r="EH54" i="2"/>
  <c r="EF54" i="2"/>
  <c r="EI53" i="2"/>
  <c r="EH53" i="2"/>
  <c r="EF53" i="2"/>
  <c r="EI52" i="2"/>
  <c r="EH52" i="2"/>
  <c r="EF52" i="2"/>
  <c r="EI51" i="2"/>
  <c r="EH51" i="2"/>
  <c r="EF51" i="2"/>
  <c r="EI50" i="2"/>
  <c r="EH50" i="2"/>
  <c r="EF50" i="2"/>
  <c r="EI49" i="2"/>
  <c r="EH49" i="2"/>
  <c r="EF49" i="2"/>
  <c r="EI48" i="2"/>
  <c r="EH48" i="2"/>
  <c r="EF48" i="2"/>
  <c r="EI47" i="2"/>
  <c r="EH47" i="2"/>
  <c r="EF47" i="2"/>
  <c r="EI46" i="2"/>
  <c r="EH46" i="2"/>
  <c r="EF46" i="2"/>
  <c r="EI45" i="2"/>
  <c r="EH45" i="2"/>
  <c r="EF45" i="2"/>
  <c r="EI44" i="2"/>
  <c r="EH44" i="2"/>
  <c r="EF44" i="2"/>
  <c r="EI43" i="2"/>
  <c r="EH43" i="2"/>
  <c r="EF43" i="2"/>
  <c r="EI42" i="2"/>
  <c r="EH42" i="2"/>
  <c r="EF42" i="2"/>
  <c r="EI41" i="2"/>
  <c r="EH41" i="2"/>
  <c r="EF41" i="2"/>
  <c r="EI40" i="2"/>
  <c r="EH40" i="2"/>
  <c r="EF40" i="2"/>
  <c r="EI39" i="2"/>
  <c r="EH39" i="2"/>
  <c r="EF39" i="2"/>
  <c r="EI38" i="2"/>
  <c r="EH38" i="2"/>
  <c r="EF38" i="2"/>
  <c r="EI37" i="2"/>
  <c r="EH37" i="2"/>
  <c r="EF37" i="2"/>
  <c r="EI36" i="2"/>
  <c r="EH36" i="2"/>
  <c r="EF36" i="2"/>
  <c r="C36" i="2"/>
  <c r="EI35" i="2"/>
  <c r="EH35" i="2"/>
  <c r="EF35" i="2"/>
  <c r="ED35" i="2"/>
  <c r="EA35" i="2"/>
  <c r="DW35" i="2"/>
  <c r="DT35" i="2"/>
  <c r="DU35" i="2" s="1"/>
  <c r="V77" i="20" s="1"/>
  <c r="DP35" i="2"/>
  <c r="DM35" i="2"/>
  <c r="DI35" i="2"/>
  <c r="DF35" i="2"/>
  <c r="DB35" i="2"/>
  <c r="CY35" i="2"/>
  <c r="CZ35" i="2" s="1"/>
  <c r="J77" i="20" s="1"/>
  <c r="CU35" i="2"/>
  <c r="CR35" i="2"/>
  <c r="CN35" i="2"/>
  <c r="CM35" i="2" s="1"/>
  <c r="C77" i="20" s="1"/>
  <c r="CK35" i="2"/>
  <c r="CG35" i="2"/>
  <c r="CD35" i="2"/>
  <c r="BZ35" i="2"/>
  <c r="BY35" i="2" s="1"/>
  <c r="W43" i="20" s="1"/>
  <c r="BW35" i="2"/>
  <c r="BS35" i="2"/>
  <c r="BP35" i="2"/>
  <c r="BL35" i="2"/>
  <c r="BI35" i="2"/>
  <c r="BJ35" i="2" s="1"/>
  <c r="N43" i="20" s="1"/>
  <c r="BE35" i="2"/>
  <c r="BB35" i="2"/>
  <c r="AX35" i="2"/>
  <c r="AU35" i="2"/>
  <c r="AQ35" i="2"/>
  <c r="AN35" i="2"/>
  <c r="AO35" i="2" s="1"/>
  <c r="B43" i="20" s="1"/>
  <c r="C35" i="2"/>
  <c r="EI34" i="2"/>
  <c r="EH34" i="2"/>
  <c r="EF34" i="2"/>
  <c r="ED34" i="2"/>
  <c r="EA34" i="2"/>
  <c r="DW34" i="2"/>
  <c r="DT34" i="2"/>
  <c r="DP34" i="2"/>
  <c r="DM34" i="2"/>
  <c r="DI34" i="2"/>
  <c r="DF34" i="2"/>
  <c r="DG34" i="2" s="1"/>
  <c r="N76" i="20" s="1"/>
  <c r="DB34" i="2"/>
  <c r="DA34" i="2" s="1"/>
  <c r="K76" i="20" s="1"/>
  <c r="CY34" i="2"/>
  <c r="CU34" i="2"/>
  <c r="CR34" i="2"/>
  <c r="CN34" i="2"/>
  <c r="CK34" i="2"/>
  <c r="CG34" i="2"/>
  <c r="CD34" i="2"/>
  <c r="BZ34" i="2"/>
  <c r="BW34" i="2"/>
  <c r="BS34" i="2"/>
  <c r="BP34" i="2"/>
  <c r="BL34" i="2"/>
  <c r="BK34" i="2" s="1"/>
  <c r="O42" i="20" s="1"/>
  <c r="BI34" i="2"/>
  <c r="BE34" i="2"/>
  <c r="BD34" i="2" s="1"/>
  <c r="K42" i="20" s="1"/>
  <c r="BB34" i="2"/>
  <c r="BC34" i="2" s="1"/>
  <c r="J42" i="20" s="1"/>
  <c r="AX34" i="2"/>
  <c r="AU34" i="2"/>
  <c r="AQ34" i="2"/>
  <c r="AN34" i="2"/>
  <c r="C34" i="2"/>
  <c r="EI33" i="2"/>
  <c r="EH33" i="2"/>
  <c r="EF33" i="2"/>
  <c r="ED33" i="2"/>
  <c r="EA33" i="2"/>
  <c r="DW33" i="2"/>
  <c r="DT33" i="2"/>
  <c r="DP33" i="2"/>
  <c r="DO33" i="2" s="1"/>
  <c r="S75" i="20" s="1"/>
  <c r="DM33" i="2"/>
  <c r="DI33" i="2"/>
  <c r="DH33" i="2" s="1"/>
  <c r="O75" i="20" s="1"/>
  <c r="DF33" i="2"/>
  <c r="DB33" i="2"/>
  <c r="CY33" i="2"/>
  <c r="CU33" i="2"/>
  <c r="CR33" i="2"/>
  <c r="CS33" i="2" s="1"/>
  <c r="F75" i="20" s="1"/>
  <c r="CN33" i="2"/>
  <c r="CK33" i="2"/>
  <c r="CG33" i="2"/>
  <c r="CD33" i="2"/>
  <c r="BZ33" i="2"/>
  <c r="BW33" i="2"/>
  <c r="BS33" i="2"/>
  <c r="BP33" i="2"/>
  <c r="BQ33" i="2" s="1"/>
  <c r="R41" i="20" s="1"/>
  <c r="BL33" i="2"/>
  <c r="BI33" i="2"/>
  <c r="BE33" i="2"/>
  <c r="BB33" i="2"/>
  <c r="AX33" i="2"/>
  <c r="AW33" i="2" s="1"/>
  <c r="G41" i="20" s="1"/>
  <c r="AU33" i="2"/>
  <c r="AQ33" i="2"/>
  <c r="AN33" i="2"/>
  <c r="C33" i="2"/>
  <c r="EI32" i="2"/>
  <c r="EH32" i="2"/>
  <c r="EF32" i="2"/>
  <c r="ED32" i="2"/>
  <c r="EC32" i="2" s="1"/>
  <c r="AA74" i="20" s="1"/>
  <c r="EA32" i="2"/>
  <c r="DW32" i="2"/>
  <c r="DT32" i="2"/>
  <c r="DP32" i="2"/>
  <c r="DM32" i="2"/>
  <c r="DI32" i="2"/>
  <c r="DF32" i="2"/>
  <c r="DB32" i="2"/>
  <c r="CY32" i="2"/>
  <c r="CU32" i="2"/>
  <c r="CR32" i="2"/>
  <c r="CN32" i="2"/>
  <c r="CK32" i="2"/>
  <c r="CG32" i="2"/>
  <c r="CD32" i="2"/>
  <c r="CE32" i="2" s="1"/>
  <c r="Z40" i="20" s="1"/>
  <c r="BZ32" i="2"/>
  <c r="BW32" i="2"/>
  <c r="BS32" i="2"/>
  <c r="BP32" i="2"/>
  <c r="BL32" i="2"/>
  <c r="BI32" i="2"/>
  <c r="BE32" i="2"/>
  <c r="BB32" i="2"/>
  <c r="AX32" i="2"/>
  <c r="AU32" i="2"/>
  <c r="AQ32" i="2"/>
  <c r="AN32" i="2"/>
  <c r="C32" i="2"/>
  <c r="EI31" i="2"/>
  <c r="EH31" i="2"/>
  <c r="EF31" i="2"/>
  <c r="ED31" i="2"/>
  <c r="EA31" i="2"/>
  <c r="DW31" i="2"/>
  <c r="DT31" i="2"/>
  <c r="DU31" i="2" s="1"/>
  <c r="V73" i="20" s="1"/>
  <c r="DP31" i="2"/>
  <c r="DM31" i="2"/>
  <c r="DI31" i="2"/>
  <c r="DF31" i="2"/>
  <c r="DB31" i="2"/>
  <c r="CY31" i="2"/>
  <c r="CU31" i="2"/>
  <c r="CR31" i="2"/>
  <c r="CN31" i="2"/>
  <c r="CK31" i="2"/>
  <c r="CG31" i="2"/>
  <c r="CD31" i="2"/>
  <c r="BZ31" i="2"/>
  <c r="BY31" i="2" s="1"/>
  <c r="W39" i="20" s="1"/>
  <c r="BW31" i="2"/>
  <c r="BS31" i="2"/>
  <c r="BP31" i="2"/>
  <c r="BL31" i="2"/>
  <c r="BI31" i="2"/>
  <c r="BE31" i="2"/>
  <c r="BB31" i="2"/>
  <c r="AX31" i="2"/>
  <c r="AU31" i="2"/>
  <c r="AT31" i="2"/>
  <c r="BA31" i="2" s="1"/>
  <c r="BH31" i="2" s="1"/>
  <c r="BO31" i="2" s="1"/>
  <c r="BV31" i="2" s="1"/>
  <c r="CC31" i="2" s="1"/>
  <c r="CJ31" i="2" s="1"/>
  <c r="CQ31" i="2" s="1"/>
  <c r="CX31" i="2" s="1"/>
  <c r="DE31" i="2" s="1"/>
  <c r="DL31" i="2" s="1"/>
  <c r="DS31" i="2" s="1"/>
  <c r="DZ31" i="2" s="1"/>
  <c r="AQ31" i="2"/>
  <c r="AP31" i="2" s="1"/>
  <c r="C39" i="20" s="1"/>
  <c r="AN31" i="2"/>
  <c r="C31" i="2"/>
  <c r="EI30" i="2"/>
  <c r="EH30" i="2"/>
  <c r="EF30" i="2"/>
  <c r="ED30" i="2"/>
  <c r="EA30" i="2"/>
  <c r="DW30" i="2"/>
  <c r="DT30" i="2"/>
  <c r="DP30" i="2"/>
  <c r="DM30" i="2"/>
  <c r="DI30" i="2"/>
  <c r="DF30" i="2"/>
  <c r="DG30" i="2" s="1"/>
  <c r="N72" i="20" s="1"/>
  <c r="DB30" i="2"/>
  <c r="DA30" i="2" s="1"/>
  <c r="K72" i="20" s="1"/>
  <c r="CY30" i="2"/>
  <c r="CU30" i="2"/>
  <c r="CR30" i="2"/>
  <c r="CN30" i="2"/>
  <c r="CK30" i="2"/>
  <c r="CG30" i="2"/>
  <c r="CD30" i="2"/>
  <c r="BZ30" i="2"/>
  <c r="BW30" i="2"/>
  <c r="BS30" i="2"/>
  <c r="BP30" i="2"/>
  <c r="BQ30" i="2" s="1"/>
  <c r="R38" i="20" s="1"/>
  <c r="BL30" i="2"/>
  <c r="BK30" i="2" s="1"/>
  <c r="O38" i="20" s="1"/>
  <c r="BI30" i="2"/>
  <c r="BE30" i="2"/>
  <c r="BB30" i="2"/>
  <c r="BC30" i="2" s="1"/>
  <c r="J38" i="20" s="1"/>
  <c r="AX30" i="2"/>
  <c r="AU30" i="2"/>
  <c r="AT30" i="2"/>
  <c r="BA30" i="2" s="1"/>
  <c r="BH30" i="2" s="1"/>
  <c r="BO30" i="2" s="1"/>
  <c r="BV30" i="2" s="1"/>
  <c r="CC30" i="2" s="1"/>
  <c r="CJ30" i="2" s="1"/>
  <c r="CQ30" i="2" s="1"/>
  <c r="CX30" i="2" s="1"/>
  <c r="DE30" i="2" s="1"/>
  <c r="DL30" i="2" s="1"/>
  <c r="DS30" i="2" s="1"/>
  <c r="DZ30" i="2" s="1"/>
  <c r="AQ30" i="2"/>
  <c r="AN30" i="2"/>
  <c r="C30" i="2"/>
  <c r="EI29" i="2"/>
  <c r="EH29" i="2"/>
  <c r="EF29" i="2"/>
  <c r="ED29" i="2"/>
  <c r="EA29" i="2"/>
  <c r="DW29" i="2"/>
  <c r="DT29" i="2"/>
  <c r="DP29" i="2"/>
  <c r="DO29" i="2" s="1"/>
  <c r="S71" i="20" s="1"/>
  <c r="DM29" i="2"/>
  <c r="DI29" i="2"/>
  <c r="DF29" i="2"/>
  <c r="DB29" i="2"/>
  <c r="CY29" i="2"/>
  <c r="CU29" i="2"/>
  <c r="CR29" i="2"/>
  <c r="CS29" i="2" s="1"/>
  <c r="F71" i="20" s="1"/>
  <c r="CN29" i="2"/>
  <c r="CK29" i="2"/>
  <c r="CG29" i="2"/>
  <c r="CD29" i="2"/>
  <c r="BZ29" i="2"/>
  <c r="BY29" i="2" s="1"/>
  <c r="W37" i="20" s="1"/>
  <c r="BW29" i="2"/>
  <c r="BS29" i="2"/>
  <c r="BP29" i="2"/>
  <c r="BQ29" i="2" s="1"/>
  <c r="R37" i="20" s="1"/>
  <c r="BL29" i="2"/>
  <c r="BK29" i="2" s="1"/>
  <c r="O37" i="20" s="1"/>
  <c r="BI29" i="2"/>
  <c r="BE29" i="2"/>
  <c r="BB29" i="2"/>
  <c r="AX29" i="2"/>
  <c r="AW29" i="2" s="1"/>
  <c r="G37" i="20" s="1"/>
  <c r="AU29" i="2"/>
  <c r="AT29" i="2"/>
  <c r="BA29" i="2" s="1"/>
  <c r="BH29" i="2" s="1"/>
  <c r="BO29" i="2" s="1"/>
  <c r="BV29" i="2" s="1"/>
  <c r="CC29" i="2" s="1"/>
  <c r="CJ29" i="2" s="1"/>
  <c r="CQ29" i="2" s="1"/>
  <c r="CX29" i="2" s="1"/>
  <c r="DE29" i="2" s="1"/>
  <c r="DL29" i="2" s="1"/>
  <c r="DS29" i="2" s="1"/>
  <c r="DZ29" i="2" s="1"/>
  <c r="AQ29" i="2"/>
  <c r="AN29" i="2"/>
  <c r="C29" i="2"/>
  <c r="EI28" i="2"/>
  <c r="EH28" i="2"/>
  <c r="EF28" i="2"/>
  <c r="ED28" i="2"/>
  <c r="EC28" i="2" s="1"/>
  <c r="AA70" i="20" s="1"/>
  <c r="EA28" i="2"/>
  <c r="DW28" i="2"/>
  <c r="DT28" i="2"/>
  <c r="DP28" i="2"/>
  <c r="DM28" i="2"/>
  <c r="DI28" i="2"/>
  <c r="DF28" i="2"/>
  <c r="DB28" i="2"/>
  <c r="CY28" i="2"/>
  <c r="CU28" i="2"/>
  <c r="CR28" i="2"/>
  <c r="CS28" i="2" s="1"/>
  <c r="F70" i="20" s="1"/>
  <c r="CN28" i="2"/>
  <c r="CK28" i="2"/>
  <c r="CG28" i="2"/>
  <c r="CD28" i="2"/>
  <c r="CE28" i="2" s="1"/>
  <c r="Z36" i="20" s="1"/>
  <c r="BZ28" i="2"/>
  <c r="BW28" i="2"/>
  <c r="BS28" i="2"/>
  <c r="BP28" i="2"/>
  <c r="BL28" i="2"/>
  <c r="BI28" i="2"/>
  <c r="BE28" i="2"/>
  <c r="BB28" i="2"/>
  <c r="AX28" i="2"/>
  <c r="AU28" i="2"/>
  <c r="AT28" i="2"/>
  <c r="BA28" i="2" s="1"/>
  <c r="BH28" i="2" s="1"/>
  <c r="BO28" i="2" s="1"/>
  <c r="BV28" i="2" s="1"/>
  <c r="CC28" i="2" s="1"/>
  <c r="CJ28" i="2" s="1"/>
  <c r="CQ28" i="2" s="1"/>
  <c r="CX28" i="2" s="1"/>
  <c r="DE28" i="2" s="1"/>
  <c r="DL28" i="2" s="1"/>
  <c r="DS28" i="2" s="1"/>
  <c r="DZ28" i="2" s="1"/>
  <c r="AQ28" i="2"/>
  <c r="AN28" i="2"/>
  <c r="C28" i="2"/>
  <c r="EI27" i="2"/>
  <c r="EH27" i="2"/>
  <c r="EF27" i="2"/>
  <c r="ED27" i="2"/>
  <c r="EA27" i="2"/>
  <c r="DW27" i="2"/>
  <c r="DT27" i="2"/>
  <c r="DU27" i="2" s="1"/>
  <c r="V69" i="20" s="1"/>
  <c r="DP27" i="2"/>
  <c r="DM27" i="2"/>
  <c r="DI27" i="2"/>
  <c r="DF27" i="2"/>
  <c r="DB27" i="2"/>
  <c r="CY27" i="2"/>
  <c r="CU27" i="2"/>
  <c r="CR27" i="2"/>
  <c r="CN27" i="2"/>
  <c r="CM27" i="2" s="1"/>
  <c r="C69" i="20" s="1"/>
  <c r="CK27" i="2"/>
  <c r="CG27" i="2"/>
  <c r="CD27" i="2"/>
  <c r="BZ27" i="2"/>
  <c r="BY27" i="2" s="1"/>
  <c r="W35" i="20" s="1"/>
  <c r="BW27" i="2"/>
  <c r="BX27" i="2" s="1"/>
  <c r="V35" i="20" s="1"/>
  <c r="BS27" i="2"/>
  <c r="BP27" i="2"/>
  <c r="BL27" i="2"/>
  <c r="BI27" i="2"/>
  <c r="BE27" i="2"/>
  <c r="BB27" i="2"/>
  <c r="AX27" i="2"/>
  <c r="AU27" i="2"/>
  <c r="AT27" i="2"/>
  <c r="BA27" i="2" s="1"/>
  <c r="BH27" i="2" s="1"/>
  <c r="BO27" i="2" s="1"/>
  <c r="BV27" i="2" s="1"/>
  <c r="CC27" i="2" s="1"/>
  <c r="CJ27" i="2" s="1"/>
  <c r="CQ27" i="2" s="1"/>
  <c r="CX27" i="2" s="1"/>
  <c r="DE27" i="2" s="1"/>
  <c r="DL27" i="2" s="1"/>
  <c r="DS27" i="2" s="1"/>
  <c r="DZ27" i="2" s="1"/>
  <c r="AQ27" i="2"/>
  <c r="AN27" i="2"/>
  <c r="AO27" i="2" s="1"/>
  <c r="B35" i="20" s="1"/>
  <c r="C27" i="2"/>
  <c r="EI26" i="2"/>
  <c r="EH26" i="2"/>
  <c r="EF26" i="2"/>
  <c r="ED26" i="2"/>
  <c r="EA26" i="2"/>
  <c r="DW26" i="2"/>
  <c r="DT26" i="2"/>
  <c r="DP26" i="2"/>
  <c r="DM26" i="2"/>
  <c r="DI26" i="2"/>
  <c r="DF26" i="2"/>
  <c r="DG26" i="2" s="1"/>
  <c r="N68" i="20" s="1"/>
  <c r="DB26" i="2"/>
  <c r="DA26" i="2" s="1"/>
  <c r="K68" i="20" s="1"/>
  <c r="CY26" i="2"/>
  <c r="CU26" i="2"/>
  <c r="CR26" i="2"/>
  <c r="CN26" i="2"/>
  <c r="CK26" i="2"/>
  <c r="CG26" i="2"/>
  <c r="CD26" i="2"/>
  <c r="BZ26" i="2"/>
  <c r="BW26" i="2"/>
  <c r="BS26" i="2"/>
  <c r="BP26" i="2"/>
  <c r="BL26" i="2"/>
  <c r="BK26" i="2" s="1"/>
  <c r="O34" i="20" s="1"/>
  <c r="BI26" i="2"/>
  <c r="BE26" i="2"/>
  <c r="BB26" i="2"/>
  <c r="BC26" i="2" s="1"/>
  <c r="J34" i="20" s="1"/>
  <c r="AX26" i="2"/>
  <c r="AU26" i="2"/>
  <c r="AT26" i="2"/>
  <c r="BA26" i="2" s="1"/>
  <c r="BH26" i="2" s="1"/>
  <c r="BO26" i="2" s="1"/>
  <c r="BV26" i="2" s="1"/>
  <c r="CC26" i="2" s="1"/>
  <c r="CJ26" i="2" s="1"/>
  <c r="CQ26" i="2" s="1"/>
  <c r="CX26" i="2" s="1"/>
  <c r="DE26" i="2" s="1"/>
  <c r="DL26" i="2" s="1"/>
  <c r="DS26" i="2" s="1"/>
  <c r="DZ26" i="2" s="1"/>
  <c r="AQ26" i="2"/>
  <c r="AN26" i="2"/>
  <c r="C26" i="2"/>
  <c r="EI25" i="2"/>
  <c r="EH25" i="2"/>
  <c r="EF25" i="2"/>
  <c r="ED25" i="2"/>
  <c r="EA25" i="2"/>
  <c r="DW25" i="2"/>
  <c r="DT25" i="2"/>
  <c r="DP25" i="2"/>
  <c r="DO25" i="2" s="1"/>
  <c r="S67" i="20" s="1"/>
  <c r="DM25" i="2"/>
  <c r="DI25" i="2"/>
  <c r="DF25" i="2"/>
  <c r="DB25" i="2"/>
  <c r="CY25" i="2"/>
  <c r="CZ25" i="2" s="1"/>
  <c r="J67" i="20" s="1"/>
  <c r="CU25" i="2"/>
  <c r="CR25" i="2"/>
  <c r="CS25" i="2" s="1"/>
  <c r="F67" i="20" s="1"/>
  <c r="CN25" i="2"/>
  <c r="CK25" i="2"/>
  <c r="CG25" i="2"/>
  <c r="CD25" i="2"/>
  <c r="BZ25" i="2"/>
  <c r="BW25" i="2"/>
  <c r="BS25" i="2"/>
  <c r="BP25" i="2"/>
  <c r="BQ25" i="2" s="1"/>
  <c r="R33" i="20" s="1"/>
  <c r="BL25" i="2"/>
  <c r="BI25" i="2"/>
  <c r="BE25" i="2"/>
  <c r="BB25" i="2"/>
  <c r="AX25" i="2"/>
  <c r="AW25" i="2" s="1"/>
  <c r="G33" i="20" s="1"/>
  <c r="AU25" i="2"/>
  <c r="AT25" i="2"/>
  <c r="BA25" i="2" s="1"/>
  <c r="BH25" i="2" s="1"/>
  <c r="BO25" i="2" s="1"/>
  <c r="BV25" i="2" s="1"/>
  <c r="CC25" i="2" s="1"/>
  <c r="CJ25" i="2" s="1"/>
  <c r="CQ25" i="2" s="1"/>
  <c r="CX25" i="2" s="1"/>
  <c r="DE25" i="2" s="1"/>
  <c r="DL25" i="2" s="1"/>
  <c r="DS25" i="2" s="1"/>
  <c r="DZ25" i="2" s="1"/>
  <c r="AQ25" i="2"/>
  <c r="AN25" i="2"/>
  <c r="C25" i="2"/>
  <c r="EI24" i="2"/>
  <c r="EH24" i="2"/>
  <c r="EF24" i="2"/>
  <c r="ED24" i="2"/>
  <c r="EC24" i="2" s="1"/>
  <c r="AA66" i="20" s="1"/>
  <c r="EA24" i="2"/>
  <c r="EB24" i="2" s="1"/>
  <c r="Z66" i="20" s="1"/>
  <c r="DW24" i="2"/>
  <c r="DV24" i="2" s="1"/>
  <c r="W66" i="20" s="1"/>
  <c r="DT24" i="2"/>
  <c r="DP24" i="2"/>
  <c r="DM24" i="2"/>
  <c r="DN24" i="2" s="1"/>
  <c r="R66" i="20" s="1"/>
  <c r="DI24" i="2"/>
  <c r="DH24" i="2" s="1"/>
  <c r="O66" i="20" s="1"/>
  <c r="DF24" i="2"/>
  <c r="DB24" i="2"/>
  <c r="CY24" i="2"/>
  <c r="CZ24" i="2" s="1"/>
  <c r="J66" i="20" s="1"/>
  <c r="CU24" i="2"/>
  <c r="CT24" i="2" s="1"/>
  <c r="G66" i="20" s="1"/>
  <c r="CR24" i="2"/>
  <c r="CN24" i="2"/>
  <c r="CK24" i="2"/>
  <c r="CL24" i="2" s="1"/>
  <c r="B66" i="20" s="1"/>
  <c r="CG24" i="2"/>
  <c r="CF24" i="2" s="1"/>
  <c r="AA32" i="20" s="1"/>
  <c r="CD24" i="2"/>
  <c r="CE24" i="2" s="1"/>
  <c r="Z32" i="20" s="1"/>
  <c r="BZ24" i="2"/>
  <c r="BW24" i="2"/>
  <c r="BX24" i="2" s="1"/>
  <c r="V32" i="20" s="1"/>
  <c r="BS24" i="2"/>
  <c r="BR24" i="2" s="1"/>
  <c r="S32" i="20" s="1"/>
  <c r="BP24" i="2"/>
  <c r="BL24" i="2"/>
  <c r="BK24" i="2" s="1"/>
  <c r="O32" i="20" s="1"/>
  <c r="BI24" i="2"/>
  <c r="BJ24" i="2" s="1"/>
  <c r="N32" i="20" s="1"/>
  <c r="BE24" i="2"/>
  <c r="BD24" i="2" s="1"/>
  <c r="K32" i="20" s="1"/>
  <c r="BB24" i="2"/>
  <c r="AX24" i="2"/>
  <c r="AU24" i="2"/>
  <c r="AV24" i="2" s="1"/>
  <c r="F32" i="20" s="1"/>
  <c r="AT24" i="2"/>
  <c r="BA24" i="2" s="1"/>
  <c r="BH24" i="2" s="1"/>
  <c r="BO24" i="2" s="1"/>
  <c r="BV24" i="2" s="1"/>
  <c r="CC24" i="2" s="1"/>
  <c r="CJ24" i="2" s="1"/>
  <c r="CQ24" i="2" s="1"/>
  <c r="CX24" i="2" s="1"/>
  <c r="DE24" i="2" s="1"/>
  <c r="DL24" i="2" s="1"/>
  <c r="DS24" i="2" s="1"/>
  <c r="DZ24" i="2" s="1"/>
  <c r="AQ24" i="2"/>
  <c r="AP24" i="2" s="1"/>
  <c r="C32" i="20" s="1"/>
  <c r="AN24" i="2"/>
  <c r="C24" i="2"/>
  <c r="EI23" i="2"/>
  <c r="EH23" i="2"/>
  <c r="EF23" i="2"/>
  <c r="ED23" i="2"/>
  <c r="EA23" i="2"/>
  <c r="DW23" i="2"/>
  <c r="DT23" i="2"/>
  <c r="DU23" i="2" s="1"/>
  <c r="V65" i="20" s="1"/>
  <c r="DP23" i="2"/>
  <c r="DM23" i="2"/>
  <c r="DI23" i="2"/>
  <c r="DF23" i="2"/>
  <c r="DB23" i="2"/>
  <c r="CY23" i="2"/>
  <c r="CU23" i="2"/>
  <c r="CR23" i="2"/>
  <c r="CN23" i="2"/>
  <c r="CM23" i="2" s="1"/>
  <c r="C65" i="20" s="1"/>
  <c r="CK23" i="2"/>
  <c r="CG23" i="2"/>
  <c r="CD23" i="2"/>
  <c r="BZ23" i="2"/>
  <c r="BY23" i="2" s="1"/>
  <c r="W31" i="20" s="1"/>
  <c r="BW23" i="2"/>
  <c r="BS23" i="2"/>
  <c r="BP23" i="2"/>
  <c r="BL23" i="2"/>
  <c r="BI23" i="2"/>
  <c r="BE23" i="2"/>
  <c r="BB23" i="2"/>
  <c r="AX23" i="2"/>
  <c r="AU23" i="2"/>
  <c r="AT23" i="2"/>
  <c r="BA23" i="2" s="1"/>
  <c r="BH23" i="2" s="1"/>
  <c r="BO23" i="2" s="1"/>
  <c r="BV23" i="2" s="1"/>
  <c r="CC23" i="2" s="1"/>
  <c r="CJ23" i="2" s="1"/>
  <c r="CQ23" i="2" s="1"/>
  <c r="CX23" i="2" s="1"/>
  <c r="DE23" i="2" s="1"/>
  <c r="DL23" i="2" s="1"/>
  <c r="DS23" i="2" s="1"/>
  <c r="DZ23" i="2" s="1"/>
  <c r="AQ23" i="2"/>
  <c r="AN23" i="2"/>
  <c r="AO23" i="2" s="1"/>
  <c r="B31" i="20" s="1"/>
  <c r="C23" i="2"/>
  <c r="T5" i="16" s="1"/>
  <c r="EI22" i="2"/>
  <c r="EH22" i="2"/>
  <c r="EF22" i="2"/>
  <c r="ED22" i="2"/>
  <c r="EC22" i="2" s="1"/>
  <c r="AA64" i="20" s="1"/>
  <c r="EA22" i="2"/>
  <c r="DW22" i="2"/>
  <c r="DT22" i="2"/>
  <c r="DP22" i="2"/>
  <c r="DM22" i="2"/>
  <c r="DI22" i="2"/>
  <c r="DF22" i="2"/>
  <c r="DG22" i="2" s="1"/>
  <c r="N64" i="20" s="1"/>
  <c r="DB22" i="2"/>
  <c r="DA22" i="2" s="1"/>
  <c r="K64" i="20" s="1"/>
  <c r="CY22" i="2"/>
  <c r="CU22" i="2"/>
  <c r="CR22" i="2"/>
  <c r="CN22" i="2"/>
  <c r="CK22" i="2"/>
  <c r="CG22" i="2"/>
  <c r="CD22" i="2"/>
  <c r="CE22" i="2" s="1"/>
  <c r="Z30" i="20" s="1"/>
  <c r="BZ22" i="2"/>
  <c r="BY22" i="2" s="1"/>
  <c r="W30" i="20" s="1"/>
  <c r="BW22" i="2"/>
  <c r="BS22" i="2"/>
  <c r="BP22" i="2"/>
  <c r="BL22" i="2"/>
  <c r="BK22" i="2" s="1"/>
  <c r="O30" i="20" s="1"/>
  <c r="BI22" i="2"/>
  <c r="BE22" i="2"/>
  <c r="BB22" i="2"/>
  <c r="BC22" i="2" s="1"/>
  <c r="J30" i="20" s="1"/>
  <c r="AX22" i="2"/>
  <c r="AU22" i="2"/>
  <c r="AT22" i="2"/>
  <c r="BA22" i="2" s="1"/>
  <c r="BH22" i="2" s="1"/>
  <c r="BO22" i="2" s="1"/>
  <c r="BV22" i="2" s="1"/>
  <c r="CC22" i="2" s="1"/>
  <c r="CJ22" i="2" s="1"/>
  <c r="CQ22" i="2" s="1"/>
  <c r="CX22" i="2" s="1"/>
  <c r="DE22" i="2" s="1"/>
  <c r="DL22" i="2" s="1"/>
  <c r="DS22" i="2" s="1"/>
  <c r="DZ22" i="2" s="1"/>
  <c r="AQ22" i="2"/>
  <c r="AP22" i="2" s="1"/>
  <c r="C30" i="20" s="1"/>
  <c r="AN22" i="2"/>
  <c r="C22" i="2"/>
  <c r="EI21" i="2"/>
  <c r="EH21" i="2"/>
  <c r="EF21" i="2"/>
  <c r="ED21" i="2"/>
  <c r="EA21" i="2"/>
  <c r="DW21" i="2"/>
  <c r="DT21" i="2"/>
  <c r="DU21" i="2" s="1"/>
  <c r="V63" i="20" s="1"/>
  <c r="DP21" i="2"/>
  <c r="DO21" i="2" s="1"/>
  <c r="S63" i="20" s="1"/>
  <c r="DM21" i="2"/>
  <c r="DI21" i="2"/>
  <c r="DF21" i="2"/>
  <c r="DB21" i="2"/>
  <c r="CY21" i="2"/>
  <c r="CU21" i="2"/>
  <c r="CR21" i="2"/>
  <c r="CS21" i="2" s="1"/>
  <c r="F63" i="20" s="1"/>
  <c r="CN21" i="2"/>
  <c r="CK21" i="2"/>
  <c r="CG21" i="2"/>
  <c r="CD21" i="2"/>
  <c r="BZ21" i="2"/>
  <c r="BY21" i="2" s="1"/>
  <c r="W29" i="20" s="1"/>
  <c r="BW21" i="2"/>
  <c r="BS21" i="2"/>
  <c r="BP21" i="2"/>
  <c r="BQ21" i="2" s="1"/>
  <c r="R29" i="20" s="1"/>
  <c r="BL21" i="2"/>
  <c r="BI21" i="2"/>
  <c r="BE21" i="2"/>
  <c r="BB21" i="2"/>
  <c r="AX21" i="2"/>
  <c r="AW21" i="2" s="1"/>
  <c r="G29" i="20" s="1"/>
  <c r="AU21" i="2"/>
  <c r="AT21" i="2"/>
  <c r="BA21" i="2" s="1"/>
  <c r="BH21" i="2" s="1"/>
  <c r="BO21" i="2" s="1"/>
  <c r="BV21" i="2" s="1"/>
  <c r="CC21" i="2" s="1"/>
  <c r="CJ21" i="2" s="1"/>
  <c r="CQ21" i="2" s="1"/>
  <c r="CX21" i="2" s="1"/>
  <c r="DE21" i="2" s="1"/>
  <c r="DL21" i="2" s="1"/>
  <c r="DS21" i="2" s="1"/>
  <c r="DZ21" i="2" s="1"/>
  <c r="AQ21" i="2"/>
  <c r="AN21" i="2"/>
  <c r="C21" i="2"/>
  <c r="EI20" i="2"/>
  <c r="EH20" i="2"/>
  <c r="EF20" i="2"/>
  <c r="ED20" i="2"/>
  <c r="EC20" i="2" s="1"/>
  <c r="AA62" i="20" s="1"/>
  <c r="EA20" i="2"/>
  <c r="EB20" i="2" s="1"/>
  <c r="Z62" i="20" s="1"/>
  <c r="DW20" i="2"/>
  <c r="DV20" i="2" s="1"/>
  <c r="W62" i="20" s="1"/>
  <c r="DT20" i="2"/>
  <c r="DP20" i="2"/>
  <c r="DM20" i="2"/>
  <c r="DN20" i="2" s="1"/>
  <c r="R62" i="20" s="1"/>
  <c r="DI20" i="2"/>
  <c r="DH20" i="2" s="1"/>
  <c r="O62" i="20" s="1"/>
  <c r="DF20" i="2"/>
  <c r="DB20" i="2"/>
  <c r="CY20" i="2"/>
  <c r="CZ20" i="2" s="1"/>
  <c r="J62" i="20" s="1"/>
  <c r="CU20" i="2"/>
  <c r="CT20" i="2" s="1"/>
  <c r="G62" i="20" s="1"/>
  <c r="CR20" i="2"/>
  <c r="CN20" i="2"/>
  <c r="CK20" i="2"/>
  <c r="CL20" i="2" s="1"/>
  <c r="B62" i="20" s="1"/>
  <c r="CG20" i="2"/>
  <c r="CF20" i="2" s="1"/>
  <c r="AA28" i="20" s="1"/>
  <c r="CD20" i="2"/>
  <c r="CE20" i="2" s="1"/>
  <c r="Z28" i="20" s="1"/>
  <c r="BZ20" i="2"/>
  <c r="BW20" i="2"/>
  <c r="BX20" i="2" s="1"/>
  <c r="V28" i="20" s="1"/>
  <c r="BS20" i="2"/>
  <c r="BR20" i="2" s="1"/>
  <c r="S28" i="20" s="1"/>
  <c r="BP20" i="2"/>
  <c r="BL20" i="2"/>
  <c r="BI20" i="2"/>
  <c r="BJ20" i="2" s="1"/>
  <c r="N28" i="20" s="1"/>
  <c r="BE20" i="2"/>
  <c r="BD20" i="2" s="1"/>
  <c r="K28" i="20" s="1"/>
  <c r="BB20" i="2"/>
  <c r="AX20" i="2"/>
  <c r="AU20" i="2"/>
  <c r="AV20" i="2" s="1"/>
  <c r="F28" i="20" s="1"/>
  <c r="AT20" i="2"/>
  <c r="BA20" i="2" s="1"/>
  <c r="BH20" i="2" s="1"/>
  <c r="BO20" i="2" s="1"/>
  <c r="BV20" i="2" s="1"/>
  <c r="CC20" i="2" s="1"/>
  <c r="CJ20" i="2" s="1"/>
  <c r="CQ20" i="2" s="1"/>
  <c r="CX20" i="2" s="1"/>
  <c r="DE20" i="2" s="1"/>
  <c r="DL20" i="2" s="1"/>
  <c r="DS20" i="2" s="1"/>
  <c r="DZ20" i="2" s="1"/>
  <c r="AQ20" i="2"/>
  <c r="AP20" i="2" s="1"/>
  <c r="C28" i="20" s="1"/>
  <c r="AN20" i="2"/>
  <c r="EI19" i="2"/>
  <c r="EH19" i="2"/>
  <c r="EF19" i="2"/>
  <c r="ED19" i="2"/>
  <c r="EA19" i="2"/>
  <c r="DW19" i="2"/>
  <c r="DT19" i="2"/>
  <c r="DP19" i="2"/>
  <c r="DM19" i="2"/>
  <c r="DI19" i="2"/>
  <c r="DF19" i="2"/>
  <c r="DB19" i="2"/>
  <c r="CY19" i="2"/>
  <c r="CZ19" i="2" s="1"/>
  <c r="J61" i="20" s="1"/>
  <c r="CU19" i="2"/>
  <c r="CR19" i="2"/>
  <c r="CN19" i="2"/>
  <c r="CK19" i="2"/>
  <c r="CG19" i="2"/>
  <c r="CD19" i="2"/>
  <c r="BZ19" i="2"/>
  <c r="BW19" i="2"/>
  <c r="BS19" i="2"/>
  <c r="BP19" i="2"/>
  <c r="BL19" i="2"/>
  <c r="BI19" i="2"/>
  <c r="BE19" i="2"/>
  <c r="BB19" i="2"/>
  <c r="AX19" i="2"/>
  <c r="AU19" i="2"/>
  <c r="AV19" i="2" s="1"/>
  <c r="F27" i="20" s="1"/>
  <c r="AT19" i="2"/>
  <c r="BA19" i="2" s="1"/>
  <c r="BH19" i="2" s="1"/>
  <c r="BO19" i="2" s="1"/>
  <c r="BV19" i="2" s="1"/>
  <c r="CC19" i="2" s="1"/>
  <c r="CJ19" i="2" s="1"/>
  <c r="CQ19" i="2" s="1"/>
  <c r="CX19" i="2" s="1"/>
  <c r="DE19" i="2" s="1"/>
  <c r="DL19" i="2" s="1"/>
  <c r="DS19" i="2" s="1"/>
  <c r="DZ19" i="2" s="1"/>
  <c r="AQ19" i="2"/>
  <c r="AN19" i="2"/>
  <c r="EI18" i="2"/>
  <c r="EH18" i="2"/>
  <c r="EF18" i="2"/>
  <c r="ED18" i="2"/>
  <c r="EA18" i="2"/>
  <c r="DW18" i="2"/>
  <c r="DT18" i="2"/>
  <c r="DP18" i="2"/>
  <c r="DM18" i="2"/>
  <c r="DI18" i="2"/>
  <c r="DH18" i="2" s="1"/>
  <c r="O60" i="20" s="1"/>
  <c r="DF18" i="2"/>
  <c r="DB18" i="2"/>
  <c r="CY18" i="2"/>
  <c r="CU18" i="2"/>
  <c r="CR18" i="2"/>
  <c r="CN18" i="2"/>
  <c r="CK18" i="2"/>
  <c r="CG18" i="2"/>
  <c r="CD18" i="2"/>
  <c r="CE18" i="2" s="1"/>
  <c r="Z26" i="20" s="1"/>
  <c r="BZ18" i="2"/>
  <c r="BW18" i="2"/>
  <c r="BS18" i="2"/>
  <c r="BP18" i="2"/>
  <c r="BL18" i="2"/>
  <c r="BI18" i="2"/>
  <c r="BE18" i="2"/>
  <c r="BB18" i="2"/>
  <c r="BC18" i="2" s="1"/>
  <c r="J26" i="20" s="1"/>
  <c r="AX18" i="2"/>
  <c r="AU18" i="2"/>
  <c r="AT18" i="2"/>
  <c r="BA18" i="2" s="1"/>
  <c r="BH18" i="2" s="1"/>
  <c r="BO18" i="2" s="1"/>
  <c r="BV18" i="2" s="1"/>
  <c r="CC18" i="2" s="1"/>
  <c r="CJ18" i="2" s="1"/>
  <c r="CQ18" i="2" s="1"/>
  <c r="CX18" i="2" s="1"/>
  <c r="DE18" i="2" s="1"/>
  <c r="DL18" i="2" s="1"/>
  <c r="DS18" i="2" s="1"/>
  <c r="DZ18" i="2" s="1"/>
  <c r="AQ18" i="2"/>
  <c r="AN18" i="2"/>
  <c r="AO18" i="2" s="1"/>
  <c r="B26" i="20" s="1"/>
  <c r="EI17" i="2"/>
  <c r="EH17" i="2"/>
  <c r="EF17" i="2"/>
  <c r="ED17" i="2"/>
  <c r="EC17" i="2" s="1"/>
  <c r="AA59" i="20" s="1"/>
  <c r="EA17" i="2"/>
  <c r="DW17" i="2"/>
  <c r="DT17" i="2"/>
  <c r="DP17" i="2"/>
  <c r="DM17" i="2"/>
  <c r="DN17" i="2" s="1"/>
  <c r="R59" i="20" s="1"/>
  <c r="DI17" i="2"/>
  <c r="DF17" i="2"/>
  <c r="DB17" i="2"/>
  <c r="CY17" i="2"/>
  <c r="CZ17" i="2" s="1"/>
  <c r="J59" i="20" s="1"/>
  <c r="CU17" i="2"/>
  <c r="CR17" i="2"/>
  <c r="CN17" i="2"/>
  <c r="CK17" i="2"/>
  <c r="CG17" i="2"/>
  <c r="CD17" i="2"/>
  <c r="CE17" i="2" s="1"/>
  <c r="Z25" i="20" s="1"/>
  <c r="BZ17" i="2"/>
  <c r="BW17" i="2"/>
  <c r="BS17" i="2"/>
  <c r="BP17" i="2"/>
  <c r="BQ17" i="2" s="1"/>
  <c r="R25" i="20" s="1"/>
  <c r="BL17" i="2"/>
  <c r="BI17" i="2"/>
  <c r="BE17" i="2"/>
  <c r="BB17" i="2"/>
  <c r="AX17" i="2"/>
  <c r="AU17" i="2"/>
  <c r="AT17" i="2"/>
  <c r="BA17" i="2" s="1"/>
  <c r="BH17" i="2" s="1"/>
  <c r="BO17" i="2" s="1"/>
  <c r="BV17" i="2" s="1"/>
  <c r="CC17" i="2" s="1"/>
  <c r="CJ17" i="2" s="1"/>
  <c r="CQ17" i="2" s="1"/>
  <c r="CX17" i="2" s="1"/>
  <c r="DE17" i="2" s="1"/>
  <c r="DL17" i="2" s="1"/>
  <c r="DS17" i="2" s="1"/>
  <c r="DZ17" i="2" s="1"/>
  <c r="AQ17" i="2"/>
  <c r="AN17" i="2"/>
  <c r="EI16" i="2"/>
  <c r="EH16" i="2"/>
  <c r="EF16" i="2"/>
  <c r="ED16" i="2"/>
  <c r="EA16" i="2"/>
  <c r="DW16" i="2"/>
  <c r="DT16" i="2"/>
  <c r="DP16" i="2"/>
  <c r="DM16" i="2"/>
  <c r="DI16" i="2"/>
  <c r="DF16" i="2"/>
  <c r="DB16" i="2"/>
  <c r="CY16" i="2"/>
  <c r="CU16" i="2"/>
  <c r="CR16" i="2"/>
  <c r="CN16" i="2"/>
  <c r="CK16" i="2"/>
  <c r="CG16" i="2"/>
  <c r="CD16" i="2"/>
  <c r="CE16" i="2" s="1"/>
  <c r="Z24" i="20" s="1"/>
  <c r="BZ16" i="2"/>
  <c r="BY16" i="2" s="1"/>
  <c r="W24" i="20" s="1"/>
  <c r="BW16" i="2"/>
  <c r="BS16" i="2"/>
  <c r="BP16" i="2"/>
  <c r="BL16" i="2"/>
  <c r="BI16" i="2"/>
  <c r="BE16" i="2"/>
  <c r="BB16" i="2"/>
  <c r="AX16" i="2"/>
  <c r="AU16" i="2"/>
  <c r="AV16" i="2" s="1"/>
  <c r="F24" i="20" s="1"/>
  <c r="AT16" i="2"/>
  <c r="BA16" i="2" s="1"/>
  <c r="BH16" i="2" s="1"/>
  <c r="BO16" i="2" s="1"/>
  <c r="BV16" i="2" s="1"/>
  <c r="CC16" i="2" s="1"/>
  <c r="CJ16" i="2" s="1"/>
  <c r="CQ16" i="2" s="1"/>
  <c r="CX16" i="2" s="1"/>
  <c r="DE16" i="2" s="1"/>
  <c r="DL16" i="2" s="1"/>
  <c r="DS16" i="2" s="1"/>
  <c r="DZ16" i="2" s="1"/>
  <c r="AQ16" i="2"/>
  <c r="AN16" i="2"/>
  <c r="EI15" i="2"/>
  <c r="EH15" i="2"/>
  <c r="EF15" i="2"/>
  <c r="ED15" i="2"/>
  <c r="EC15" i="2" s="1"/>
  <c r="AA57" i="20" s="1"/>
  <c r="EA15" i="2"/>
  <c r="EB15" i="2" s="1"/>
  <c r="Z57" i="20" s="1"/>
  <c r="DW15" i="2"/>
  <c r="DT15" i="2"/>
  <c r="DP15" i="2"/>
  <c r="DM15" i="2"/>
  <c r="DI15" i="2"/>
  <c r="DH15" i="2" s="1"/>
  <c r="O57" i="20" s="1"/>
  <c r="DF15" i="2"/>
  <c r="DB15" i="2"/>
  <c r="DA15" i="2" s="1"/>
  <c r="K57" i="20" s="1"/>
  <c r="CY15" i="2"/>
  <c r="CZ15" i="2" s="1"/>
  <c r="J57" i="20" s="1"/>
  <c r="CU15" i="2"/>
  <c r="CR15" i="2"/>
  <c r="CN15" i="2"/>
  <c r="CK15" i="2"/>
  <c r="CL15" i="2" s="1"/>
  <c r="B57" i="20" s="1"/>
  <c r="CG15" i="2"/>
  <c r="CD15" i="2"/>
  <c r="BZ15" i="2"/>
  <c r="BW15" i="2"/>
  <c r="BS15" i="2"/>
  <c r="BP15" i="2"/>
  <c r="BL15" i="2"/>
  <c r="BI15" i="2"/>
  <c r="BE15" i="2"/>
  <c r="BB15" i="2"/>
  <c r="BC15" i="2" s="1"/>
  <c r="J23" i="20" s="1"/>
  <c r="AX15" i="2"/>
  <c r="AU15" i="2"/>
  <c r="AV15" i="2" s="1"/>
  <c r="F23" i="20" s="1"/>
  <c r="AT15" i="2"/>
  <c r="BA15" i="2" s="1"/>
  <c r="BH15" i="2" s="1"/>
  <c r="BO15" i="2" s="1"/>
  <c r="BV15" i="2" s="1"/>
  <c r="CC15" i="2" s="1"/>
  <c r="CJ15" i="2" s="1"/>
  <c r="CQ15" i="2" s="1"/>
  <c r="CX15" i="2" s="1"/>
  <c r="DE15" i="2" s="1"/>
  <c r="DL15" i="2" s="1"/>
  <c r="DS15" i="2" s="1"/>
  <c r="DZ15" i="2" s="1"/>
  <c r="AQ15" i="2"/>
  <c r="AN15" i="2"/>
  <c r="EI14" i="2"/>
  <c r="EH14" i="2"/>
  <c r="EF14" i="2"/>
  <c r="ED14" i="2"/>
  <c r="EA14" i="2"/>
  <c r="DW14" i="2"/>
  <c r="DT14" i="2"/>
  <c r="DP14" i="2"/>
  <c r="DM14" i="2"/>
  <c r="DN14" i="2" s="1"/>
  <c r="R56" i="20" s="1"/>
  <c r="DI14" i="2"/>
  <c r="DF14" i="2"/>
  <c r="DB14" i="2"/>
  <c r="CY14" i="2"/>
  <c r="CU14" i="2"/>
  <c r="CR14" i="2"/>
  <c r="CN14" i="2"/>
  <c r="CK14" i="2"/>
  <c r="CG14" i="2"/>
  <c r="CD14" i="2"/>
  <c r="BZ14" i="2"/>
  <c r="BY14" i="2" s="1"/>
  <c r="W22" i="20" s="1"/>
  <c r="BW14" i="2"/>
  <c r="BS14" i="2"/>
  <c r="BP14" i="2"/>
  <c r="BL14" i="2"/>
  <c r="BI14" i="2"/>
  <c r="BJ14" i="2" s="1"/>
  <c r="N22" i="20" s="1"/>
  <c r="BE14" i="2"/>
  <c r="BB14" i="2"/>
  <c r="BC14" i="2" s="1"/>
  <c r="J22" i="20" s="1"/>
  <c r="AX14" i="2"/>
  <c r="AU14" i="2"/>
  <c r="AT14" i="2"/>
  <c r="BA14" i="2" s="1"/>
  <c r="BH14" i="2" s="1"/>
  <c r="BO14" i="2" s="1"/>
  <c r="BV14" i="2" s="1"/>
  <c r="CC14" i="2" s="1"/>
  <c r="CJ14" i="2" s="1"/>
  <c r="CQ14" i="2" s="1"/>
  <c r="CX14" i="2" s="1"/>
  <c r="DE14" i="2" s="1"/>
  <c r="DL14" i="2" s="1"/>
  <c r="DS14" i="2" s="1"/>
  <c r="DZ14" i="2" s="1"/>
  <c r="AQ14" i="2"/>
  <c r="AN14" i="2"/>
  <c r="EI13" i="2"/>
  <c r="EH13" i="2"/>
  <c r="EF13" i="2"/>
  <c r="ED13" i="2"/>
  <c r="EC13" i="2" s="1"/>
  <c r="AA55" i="20" s="1"/>
  <c r="EA13" i="2"/>
  <c r="DW13" i="2"/>
  <c r="DT13" i="2"/>
  <c r="DP13" i="2"/>
  <c r="DM13" i="2"/>
  <c r="DI13" i="2"/>
  <c r="DF13" i="2"/>
  <c r="DG13" i="2" s="1"/>
  <c r="N55" i="20" s="1"/>
  <c r="DB13" i="2"/>
  <c r="CY13" i="2"/>
  <c r="CZ13" i="2" s="1"/>
  <c r="J55" i="20" s="1"/>
  <c r="CU13" i="2"/>
  <c r="CT13" i="2" s="1"/>
  <c r="G55" i="20" s="1"/>
  <c r="CR13" i="2"/>
  <c r="CN13" i="2"/>
  <c r="CK13" i="2"/>
  <c r="CG13" i="2"/>
  <c r="CD13" i="2"/>
  <c r="BZ13" i="2"/>
  <c r="BW13" i="2"/>
  <c r="BX13" i="2" s="1"/>
  <c r="V21" i="20" s="1"/>
  <c r="BS13" i="2"/>
  <c r="BP13" i="2"/>
  <c r="BL13" i="2"/>
  <c r="BK13" i="2" s="1"/>
  <c r="O21" i="20" s="1"/>
  <c r="BI13" i="2"/>
  <c r="BE13" i="2"/>
  <c r="BD13" i="2" s="1"/>
  <c r="K21" i="20" s="1"/>
  <c r="BB13" i="2"/>
  <c r="AX13" i="2"/>
  <c r="AU13" i="2"/>
  <c r="AT13" i="2"/>
  <c r="BA13" i="2" s="1"/>
  <c r="BH13" i="2" s="1"/>
  <c r="BO13" i="2" s="1"/>
  <c r="BV13" i="2" s="1"/>
  <c r="CC13" i="2" s="1"/>
  <c r="CJ13" i="2" s="1"/>
  <c r="CQ13" i="2" s="1"/>
  <c r="CX13" i="2" s="1"/>
  <c r="DE13" i="2" s="1"/>
  <c r="DL13" i="2" s="1"/>
  <c r="DS13" i="2" s="1"/>
  <c r="DZ13" i="2" s="1"/>
  <c r="AQ13" i="2"/>
  <c r="AN13" i="2"/>
  <c r="EI12" i="2"/>
  <c r="EH12" i="2"/>
  <c r="EF12" i="2"/>
  <c r="ED12" i="2"/>
  <c r="EA12" i="2"/>
  <c r="DW12" i="2"/>
  <c r="DT12" i="2"/>
  <c r="DP12" i="2"/>
  <c r="DM12" i="2"/>
  <c r="DI12" i="2"/>
  <c r="DF12" i="2"/>
  <c r="DB12" i="2"/>
  <c r="CY12" i="2"/>
  <c r="CU12" i="2"/>
  <c r="CR12" i="2"/>
  <c r="CN12" i="2"/>
  <c r="CM12" i="2" s="1"/>
  <c r="C54" i="20" s="1"/>
  <c r="CK12" i="2"/>
  <c r="CG12" i="2"/>
  <c r="CD12" i="2"/>
  <c r="BZ12" i="2"/>
  <c r="BW12" i="2"/>
  <c r="BS12" i="2"/>
  <c r="BP12" i="2"/>
  <c r="BL12" i="2"/>
  <c r="BI12" i="2"/>
  <c r="BE12" i="2"/>
  <c r="BB12" i="2"/>
  <c r="AX12" i="2"/>
  <c r="AW12" i="2" s="1"/>
  <c r="G20" i="20" s="1"/>
  <c r="AU12" i="2"/>
  <c r="AT12" i="2"/>
  <c r="BA12" i="2" s="1"/>
  <c r="BH12" i="2" s="1"/>
  <c r="BO12" i="2" s="1"/>
  <c r="BV12" i="2" s="1"/>
  <c r="CC12" i="2" s="1"/>
  <c r="CJ12" i="2" s="1"/>
  <c r="CQ12" i="2" s="1"/>
  <c r="CX12" i="2" s="1"/>
  <c r="DE12" i="2" s="1"/>
  <c r="DL12" i="2" s="1"/>
  <c r="DS12" i="2" s="1"/>
  <c r="DZ12" i="2" s="1"/>
  <c r="AQ12" i="2"/>
  <c r="AN12" i="2"/>
  <c r="AO12" i="2" s="1"/>
  <c r="B20" i="20" s="1"/>
  <c r="EI11" i="2"/>
  <c r="EH11" i="2"/>
  <c r="EF11" i="2"/>
  <c r="ED11" i="2"/>
  <c r="EA11" i="2"/>
  <c r="DW11" i="2"/>
  <c r="DT11" i="2"/>
  <c r="DP11" i="2"/>
  <c r="DM11" i="2"/>
  <c r="DI11" i="2"/>
  <c r="DF11" i="2"/>
  <c r="DB11" i="2"/>
  <c r="CY11" i="2"/>
  <c r="CU11" i="2"/>
  <c r="CR11" i="2"/>
  <c r="CN11" i="2"/>
  <c r="CK11" i="2"/>
  <c r="CG11" i="2"/>
  <c r="CD11" i="2"/>
  <c r="BZ11" i="2"/>
  <c r="BW11" i="2"/>
  <c r="BS11" i="2"/>
  <c r="BP11" i="2"/>
  <c r="BL11" i="2"/>
  <c r="BI11" i="2"/>
  <c r="BE11" i="2"/>
  <c r="BD11" i="2" s="1"/>
  <c r="K19" i="20" s="1"/>
  <c r="BB11" i="2"/>
  <c r="AX11" i="2"/>
  <c r="AU11" i="2"/>
  <c r="AT11" i="2"/>
  <c r="BA11" i="2" s="1"/>
  <c r="BH11" i="2" s="1"/>
  <c r="BO11" i="2" s="1"/>
  <c r="BV11" i="2" s="1"/>
  <c r="CC11" i="2" s="1"/>
  <c r="CJ11" i="2" s="1"/>
  <c r="CQ11" i="2" s="1"/>
  <c r="CX11" i="2" s="1"/>
  <c r="DE11" i="2" s="1"/>
  <c r="DL11" i="2" s="1"/>
  <c r="DS11" i="2" s="1"/>
  <c r="DZ11" i="2" s="1"/>
  <c r="AQ11" i="2"/>
  <c r="AN11" i="2"/>
  <c r="EI10" i="2"/>
  <c r="EH10" i="2"/>
  <c r="EF10" i="2"/>
  <c r="ED10" i="2"/>
  <c r="EC10" i="2" s="1"/>
  <c r="AA52" i="20" s="1"/>
  <c r="EA10" i="2"/>
  <c r="DW10" i="2"/>
  <c r="DT10" i="2"/>
  <c r="DP10" i="2"/>
  <c r="DM10" i="2"/>
  <c r="DI10" i="2"/>
  <c r="DF10" i="2"/>
  <c r="DB10" i="2"/>
  <c r="CY10" i="2"/>
  <c r="CU10" i="2"/>
  <c r="CR10" i="2"/>
  <c r="CN10" i="2"/>
  <c r="CK10" i="2"/>
  <c r="CG10" i="2"/>
  <c r="CD10" i="2"/>
  <c r="BZ10" i="2"/>
  <c r="BW10" i="2"/>
  <c r="BS10" i="2"/>
  <c r="BP10" i="2"/>
  <c r="BL10" i="2"/>
  <c r="BI10" i="2"/>
  <c r="BE10" i="2"/>
  <c r="BD10" i="2" s="1"/>
  <c r="K18" i="20" s="1"/>
  <c r="BB10" i="2"/>
  <c r="AX10" i="2"/>
  <c r="AU10" i="2"/>
  <c r="AT10" i="2"/>
  <c r="BA10" i="2" s="1"/>
  <c r="BH10" i="2" s="1"/>
  <c r="BO10" i="2" s="1"/>
  <c r="BV10" i="2" s="1"/>
  <c r="CC10" i="2" s="1"/>
  <c r="CJ10" i="2" s="1"/>
  <c r="CQ10" i="2" s="1"/>
  <c r="CX10" i="2" s="1"/>
  <c r="DE10" i="2" s="1"/>
  <c r="DL10" i="2" s="1"/>
  <c r="DS10" i="2" s="1"/>
  <c r="DZ10" i="2" s="1"/>
  <c r="AQ10" i="2"/>
  <c r="AN10" i="2"/>
  <c r="EI9" i="2"/>
  <c r="EH9" i="2"/>
  <c r="EF9" i="2"/>
  <c r="ED9" i="2"/>
  <c r="EA9" i="2"/>
  <c r="DW9" i="2"/>
  <c r="DT9" i="2"/>
  <c r="DP9" i="2"/>
  <c r="DM9" i="2"/>
  <c r="DI9" i="2"/>
  <c r="DF9" i="2"/>
  <c r="DB9" i="2"/>
  <c r="CY9" i="2"/>
  <c r="CU9" i="2"/>
  <c r="CR9" i="2"/>
  <c r="CN9" i="2"/>
  <c r="CK9" i="2"/>
  <c r="CL9" i="2" s="1"/>
  <c r="B51" i="20" s="1"/>
  <c r="CG9" i="2"/>
  <c r="CD9" i="2"/>
  <c r="BZ9" i="2"/>
  <c r="BW9" i="2"/>
  <c r="BS9" i="2"/>
  <c r="BP9" i="2"/>
  <c r="BL9" i="2"/>
  <c r="BI9" i="2"/>
  <c r="BJ9" i="2" s="1"/>
  <c r="N17" i="20" s="1"/>
  <c r="BE9" i="2"/>
  <c r="BB9" i="2"/>
  <c r="AX9" i="2"/>
  <c r="AU9" i="2"/>
  <c r="AT9" i="2"/>
  <c r="BA9" i="2" s="1"/>
  <c r="BH9" i="2" s="1"/>
  <c r="BO9" i="2" s="1"/>
  <c r="BV9" i="2" s="1"/>
  <c r="CC9" i="2" s="1"/>
  <c r="CJ9" i="2" s="1"/>
  <c r="CQ9" i="2" s="1"/>
  <c r="CX9" i="2" s="1"/>
  <c r="DE9" i="2" s="1"/>
  <c r="DL9" i="2" s="1"/>
  <c r="DS9" i="2" s="1"/>
  <c r="DZ9" i="2" s="1"/>
  <c r="AQ9" i="2"/>
  <c r="AN9" i="2"/>
  <c r="EI8" i="2"/>
  <c r="EH8" i="2"/>
  <c r="EF8" i="2"/>
  <c r="ED8" i="2"/>
  <c r="EA8" i="2"/>
  <c r="EB8" i="2" s="1"/>
  <c r="Z50" i="20" s="1"/>
  <c r="DW8" i="2"/>
  <c r="DV8" i="2" s="1"/>
  <c r="W50" i="20" s="1"/>
  <c r="DT8" i="2"/>
  <c r="DU8" i="2" s="1"/>
  <c r="V50" i="20" s="1"/>
  <c r="DP8" i="2"/>
  <c r="DM8" i="2"/>
  <c r="DI8" i="2"/>
  <c r="DH8" i="2" s="1"/>
  <c r="O50" i="20" s="1"/>
  <c r="DF8" i="2"/>
  <c r="DB8" i="2"/>
  <c r="CY8" i="2"/>
  <c r="CZ8" i="2" s="1"/>
  <c r="J50" i="20" s="1"/>
  <c r="CU8" i="2"/>
  <c r="CT8" i="2" s="1"/>
  <c r="G50" i="20" s="1"/>
  <c r="CR8" i="2"/>
  <c r="CN8" i="2"/>
  <c r="CK8" i="2"/>
  <c r="CG8" i="2"/>
  <c r="CD8" i="2"/>
  <c r="BZ8" i="2"/>
  <c r="BW8" i="2"/>
  <c r="BX8" i="2" s="1"/>
  <c r="V16" i="20" s="1"/>
  <c r="BS8" i="2"/>
  <c r="BR8" i="2" s="1"/>
  <c r="S16" i="20" s="1"/>
  <c r="BP8" i="2"/>
  <c r="BL8" i="2"/>
  <c r="BK8" i="2" s="1"/>
  <c r="O16" i="20" s="1"/>
  <c r="BI8" i="2"/>
  <c r="BE8" i="2"/>
  <c r="BD8" i="2" s="1"/>
  <c r="K16" i="20" s="1"/>
  <c r="BB8" i="2"/>
  <c r="AX8" i="2"/>
  <c r="AU8" i="2"/>
  <c r="AV8" i="2" s="1"/>
  <c r="F16" i="20" s="1"/>
  <c r="AT8" i="2"/>
  <c r="BA8" i="2" s="1"/>
  <c r="BH8" i="2" s="1"/>
  <c r="BO8" i="2" s="1"/>
  <c r="BV8" i="2" s="1"/>
  <c r="CC8" i="2" s="1"/>
  <c r="CJ8" i="2" s="1"/>
  <c r="CQ8" i="2" s="1"/>
  <c r="CX8" i="2" s="1"/>
  <c r="DE8" i="2" s="1"/>
  <c r="DL8" i="2" s="1"/>
  <c r="DS8" i="2" s="1"/>
  <c r="DZ8" i="2" s="1"/>
  <c r="AQ8" i="2"/>
  <c r="AP8" i="2" s="1"/>
  <c r="C16" i="20" s="1"/>
  <c r="AN8" i="2"/>
  <c r="EI7" i="2"/>
  <c r="EH7" i="2"/>
  <c r="EF7" i="2"/>
  <c r="ED7" i="2"/>
  <c r="EA7" i="2"/>
  <c r="DW7" i="2"/>
  <c r="DT7" i="2"/>
  <c r="DP7" i="2"/>
  <c r="DM7" i="2"/>
  <c r="DI7" i="2"/>
  <c r="DF7" i="2"/>
  <c r="DB7" i="2"/>
  <c r="CY7" i="2"/>
  <c r="CU7" i="2"/>
  <c r="CR7" i="2"/>
  <c r="CN7" i="2"/>
  <c r="CK7" i="2"/>
  <c r="CG7" i="2"/>
  <c r="CD7" i="2"/>
  <c r="BZ7" i="2"/>
  <c r="BW7" i="2"/>
  <c r="BS7" i="2"/>
  <c r="BP7" i="2"/>
  <c r="BL7" i="2"/>
  <c r="BI7" i="2"/>
  <c r="BE7" i="2"/>
  <c r="BB7" i="2"/>
  <c r="AX7" i="2"/>
  <c r="AU7" i="2"/>
  <c r="AT7" i="2"/>
  <c r="BA7" i="2" s="1"/>
  <c r="BH7" i="2" s="1"/>
  <c r="BO7" i="2" s="1"/>
  <c r="BV7" i="2" s="1"/>
  <c r="CC7" i="2" s="1"/>
  <c r="CJ7" i="2" s="1"/>
  <c r="CQ7" i="2" s="1"/>
  <c r="CX7" i="2" s="1"/>
  <c r="DE7" i="2" s="1"/>
  <c r="DL7" i="2" s="1"/>
  <c r="DS7" i="2" s="1"/>
  <c r="DZ7" i="2" s="1"/>
  <c r="AQ7" i="2"/>
  <c r="AN7" i="2"/>
  <c r="EI6" i="2"/>
  <c r="EH6" i="2"/>
  <c r="EF6" i="2"/>
  <c r="ED6" i="2"/>
  <c r="EA6" i="2"/>
  <c r="DW6" i="2"/>
  <c r="DT6" i="2"/>
  <c r="DP6" i="2"/>
  <c r="DM6" i="2"/>
  <c r="DI6" i="2"/>
  <c r="DF6" i="2"/>
  <c r="DB6" i="2"/>
  <c r="CY6" i="2"/>
  <c r="CU6" i="2"/>
  <c r="CR6" i="2"/>
  <c r="CN6" i="2"/>
  <c r="CK6" i="2"/>
  <c r="CG6" i="2"/>
  <c r="CD6" i="2"/>
  <c r="BZ6" i="2"/>
  <c r="BW6" i="2"/>
  <c r="BS6" i="2"/>
  <c r="BP6" i="2"/>
  <c r="BL6" i="2"/>
  <c r="BI6" i="2"/>
  <c r="BE6" i="2"/>
  <c r="BD6" i="2" s="1"/>
  <c r="K14" i="20" s="1"/>
  <c r="BB6" i="2"/>
  <c r="AX6" i="2"/>
  <c r="AU6" i="2"/>
  <c r="AT6" i="2"/>
  <c r="BA6" i="2" s="1"/>
  <c r="BH6" i="2" s="1"/>
  <c r="BO6" i="2" s="1"/>
  <c r="BV6" i="2" s="1"/>
  <c r="CC6" i="2" s="1"/>
  <c r="CJ6" i="2" s="1"/>
  <c r="CQ6" i="2" s="1"/>
  <c r="CX6" i="2" s="1"/>
  <c r="DE6" i="2" s="1"/>
  <c r="DL6" i="2" s="1"/>
  <c r="DS6" i="2" s="1"/>
  <c r="DZ6" i="2" s="1"/>
  <c r="AQ6" i="2"/>
  <c r="AN6" i="2"/>
  <c r="EI5" i="2"/>
  <c r="EH5" i="2"/>
  <c r="EF5" i="2"/>
  <c r="ED5" i="2"/>
  <c r="EA5" i="2"/>
  <c r="DW5" i="2"/>
  <c r="DT5" i="2"/>
  <c r="DP5" i="2"/>
  <c r="DM5" i="2"/>
  <c r="DI5" i="2"/>
  <c r="DF5" i="2"/>
  <c r="DB5" i="2"/>
  <c r="CY5" i="2"/>
  <c r="CU5" i="2"/>
  <c r="CR5" i="2"/>
  <c r="CN5" i="2"/>
  <c r="CK5" i="2"/>
  <c r="CL5" i="2" s="1"/>
  <c r="B47" i="20" s="1"/>
  <c r="CG5" i="2"/>
  <c r="CD5" i="2"/>
  <c r="BZ5" i="2"/>
  <c r="BW5" i="2"/>
  <c r="BS5" i="2"/>
  <c r="BP5" i="2"/>
  <c r="BL5" i="2"/>
  <c r="BI5" i="2"/>
  <c r="BJ5" i="2" s="1"/>
  <c r="N13" i="20" s="1"/>
  <c r="BE5" i="2"/>
  <c r="BB5" i="2"/>
  <c r="AX5" i="2"/>
  <c r="AU5" i="2"/>
  <c r="AT5" i="2"/>
  <c r="BA5" i="2" s="1"/>
  <c r="BH5" i="2" s="1"/>
  <c r="BO5" i="2" s="1"/>
  <c r="BV5" i="2" s="1"/>
  <c r="CC5" i="2" s="1"/>
  <c r="CJ5" i="2" s="1"/>
  <c r="CQ5" i="2" s="1"/>
  <c r="CX5" i="2" s="1"/>
  <c r="DE5" i="2" s="1"/>
  <c r="DL5" i="2" s="1"/>
  <c r="DS5" i="2" s="1"/>
  <c r="DZ5" i="2" s="1"/>
  <c r="AQ5" i="2"/>
  <c r="AN5" i="2"/>
  <c r="EI4" i="2"/>
  <c r="EH4" i="2"/>
  <c r="EF4" i="2"/>
  <c r="ED4" i="2"/>
  <c r="EA4" i="2"/>
  <c r="DW4" i="2"/>
  <c r="DT4" i="2"/>
  <c r="DP4" i="2"/>
  <c r="DM4" i="2"/>
  <c r="DI4" i="2"/>
  <c r="DF4" i="2"/>
  <c r="DB4" i="2"/>
  <c r="CY4" i="2"/>
  <c r="CU4" i="2"/>
  <c r="CR4" i="2"/>
  <c r="CN4" i="2"/>
  <c r="CK4" i="2"/>
  <c r="CL4" i="2" s="1"/>
  <c r="B46" i="20" s="1"/>
  <c r="CG4" i="2"/>
  <c r="CD4" i="2"/>
  <c r="BZ4" i="2"/>
  <c r="BY4" i="2" s="1"/>
  <c r="W12" i="20" s="1"/>
  <c r="BW4" i="2"/>
  <c r="BS4" i="2"/>
  <c r="BP4" i="2"/>
  <c r="BL4" i="2"/>
  <c r="BI4" i="2"/>
  <c r="BE4" i="2"/>
  <c r="BB4" i="2"/>
  <c r="AX4" i="2"/>
  <c r="AU4" i="2"/>
  <c r="AT4" i="2"/>
  <c r="BA4" i="2" s="1"/>
  <c r="BH4" i="2" s="1"/>
  <c r="BO4" i="2" s="1"/>
  <c r="BV4" i="2" s="1"/>
  <c r="CC4" i="2" s="1"/>
  <c r="CJ4" i="2" s="1"/>
  <c r="CQ4" i="2" s="1"/>
  <c r="CX4" i="2" s="1"/>
  <c r="DE4" i="2" s="1"/>
  <c r="DL4" i="2" s="1"/>
  <c r="DS4" i="2" s="1"/>
  <c r="DZ4" i="2" s="1"/>
  <c r="AQ4" i="2"/>
  <c r="AN4" i="2"/>
  <c r="EI3" i="2"/>
  <c r="EH3" i="2"/>
  <c r="EF3" i="2"/>
  <c r="L3" i="2"/>
  <c r="EI2" i="2"/>
  <c r="EH2" i="2"/>
  <c r="EF2" i="2"/>
  <c r="C1" i="2"/>
  <c r="AW18" i="2" l="1"/>
  <c r="G26" i="20" s="1"/>
  <c r="DA18" i="2"/>
  <c r="K60" i="20" s="1"/>
  <c r="AO17" i="2"/>
  <c r="B25" i="20" s="1"/>
  <c r="BJ17" i="2"/>
  <c r="N25" i="20" s="1"/>
  <c r="CF15" i="2"/>
  <c r="AA23" i="20" s="1"/>
  <c r="DO13" i="2"/>
  <c r="S55" i="20" s="1"/>
  <c r="CS12" i="2"/>
  <c r="F54" i="20" s="1"/>
  <c r="BQ14" i="2"/>
  <c r="R22" i="20" s="1"/>
  <c r="AP15" i="2"/>
  <c r="C23" i="20" s="1"/>
  <c r="CS8" i="2"/>
  <c r="F50" i="20" s="1"/>
  <c r="BQ11" i="2"/>
  <c r="R19" i="20" s="1"/>
  <c r="EB10" i="2"/>
  <c r="Z52" i="20" s="1"/>
  <c r="DV32" i="2"/>
  <c r="W74" i="20" s="1"/>
  <c r="DV35" i="2"/>
  <c r="W77" i="20" s="1"/>
  <c r="AV32" i="2"/>
  <c r="F40" i="20" s="1"/>
  <c r="CZ32" i="2"/>
  <c r="J74" i="20" s="1"/>
  <c r="CT32" i="2"/>
  <c r="G74" i="20" s="1"/>
  <c r="DA33" i="2"/>
  <c r="K75" i="20" s="1"/>
  <c r="AP32" i="2"/>
  <c r="C40" i="20" s="1"/>
  <c r="BD32" i="2"/>
  <c r="K40" i="20" s="1"/>
  <c r="CF32" i="2"/>
  <c r="AA40" i="20" s="1"/>
  <c r="DH32" i="2"/>
  <c r="O74" i="20" s="1"/>
  <c r="BR32" i="2"/>
  <c r="S40" i="20" s="1"/>
  <c r="BJ32" i="2"/>
  <c r="N40" i="20" s="1"/>
  <c r="DN32" i="2"/>
  <c r="R74" i="20" s="1"/>
  <c r="AV28" i="2"/>
  <c r="F36" i="20" s="1"/>
  <c r="BX28" i="2"/>
  <c r="V36" i="20" s="1"/>
  <c r="EB28" i="2"/>
  <c r="Z70" i="20" s="1"/>
  <c r="AO31" i="2"/>
  <c r="B39" i="20" s="1"/>
  <c r="CM31" i="2"/>
  <c r="C73" i="20" s="1"/>
  <c r="BD28" i="2"/>
  <c r="K36" i="20" s="1"/>
  <c r="DH28" i="2"/>
  <c r="O70" i="20" s="1"/>
  <c r="BJ28" i="2"/>
  <c r="N36" i="20" s="1"/>
  <c r="DN28" i="2"/>
  <c r="R70" i="20" s="1"/>
  <c r="AP28" i="2"/>
  <c r="C36" i="20" s="1"/>
  <c r="CT28" i="2"/>
  <c r="G70" i="20" s="1"/>
  <c r="CL26" i="2"/>
  <c r="B68" i="20" s="1"/>
  <c r="BD27" i="2"/>
  <c r="K35" i="20" s="1"/>
  <c r="AP26" i="2"/>
  <c r="C34" i="20" s="1"/>
  <c r="DG24" i="2"/>
  <c r="N66" i="20" s="1"/>
  <c r="BY25" i="2"/>
  <c r="W33" i="20" s="1"/>
  <c r="EC25" i="2"/>
  <c r="AA67" i="20" s="1"/>
  <c r="CZ27" i="2"/>
  <c r="J69" i="20" s="1"/>
  <c r="DH16" i="2"/>
  <c r="O58" i="20" s="1"/>
  <c r="DN18" i="2"/>
  <c r="R60" i="20" s="1"/>
  <c r="DV17" i="2"/>
  <c r="W59" i="20" s="1"/>
  <c r="DN12" i="2"/>
  <c r="R54" i="20" s="1"/>
  <c r="DV13" i="2"/>
  <c r="W55" i="20" s="1"/>
  <c r="DU15" i="2"/>
  <c r="V57" i="20" s="1"/>
  <c r="DO10" i="2"/>
  <c r="S52" i="20" s="1"/>
  <c r="AW8" i="2"/>
  <c r="G16" i="20" s="1"/>
  <c r="AV9" i="2"/>
  <c r="F17" i="20" s="1"/>
  <c r="DH11" i="2"/>
  <c r="O53" i="20" s="1"/>
  <c r="DG8" i="2"/>
  <c r="N50" i="20" s="1"/>
  <c r="BY9" i="2"/>
  <c r="W17" i="20" s="1"/>
  <c r="EC9" i="2"/>
  <c r="AA51" i="20" s="1"/>
  <c r="CZ10" i="2"/>
  <c r="J52" i="20" s="1"/>
  <c r="CZ11" i="2"/>
  <c r="J53" i="20" s="1"/>
  <c r="BJ8" i="2"/>
  <c r="N16" i="20" s="1"/>
  <c r="DN8" i="2"/>
  <c r="R50" i="20" s="1"/>
  <c r="CE11" i="2"/>
  <c r="Z19" i="20" s="1"/>
  <c r="DU4" i="2"/>
  <c r="V46" i="20" s="1"/>
  <c r="AP5" i="2"/>
  <c r="C13" i="20" s="1"/>
  <c r="CT4" i="2"/>
  <c r="G46" i="20" s="1"/>
  <c r="EC7" i="2"/>
  <c r="AA49" i="20" s="1"/>
  <c r="DH4" i="2"/>
  <c r="O46" i="20" s="1"/>
  <c r="AP16" i="16"/>
  <c r="N16" i="16" s="1"/>
  <c r="CZ14" i="2"/>
  <c r="J56" i="20" s="1"/>
  <c r="BR15" i="2"/>
  <c r="S23" i="20" s="1"/>
  <c r="CF23" i="2"/>
  <c r="AA31" i="20" s="1"/>
  <c r="BD14" i="2"/>
  <c r="K22" i="20" s="1"/>
  <c r="BC19" i="2"/>
  <c r="J27" i="20" s="1"/>
  <c r="DG19" i="2"/>
  <c r="N61" i="20" s="1"/>
  <c r="DH25" i="2"/>
  <c r="O67" i="20" s="1"/>
  <c r="EC27" i="2"/>
  <c r="AA69" i="20" s="1"/>
  <c r="BR9" i="2"/>
  <c r="S17" i="20" s="1"/>
  <c r="DV9" i="2"/>
  <c r="W51" i="20" s="1"/>
  <c r="DU10" i="2"/>
  <c r="V52" i="20" s="1"/>
  <c r="AP11" i="2"/>
  <c r="C19" i="20" s="1"/>
  <c r="CT23" i="2"/>
  <c r="G65" i="20" s="1"/>
  <c r="BJ19" i="2"/>
  <c r="N27" i="20" s="1"/>
  <c r="DN19" i="2"/>
  <c r="R61" i="20" s="1"/>
  <c r="AV23" i="2"/>
  <c r="F31" i="20" s="1"/>
  <c r="EB23" i="2"/>
  <c r="Z65" i="20" s="1"/>
  <c r="CM15" i="2"/>
  <c r="C57" i="20" s="1"/>
  <c r="DN10" i="2"/>
  <c r="R52" i="20" s="1"/>
  <c r="DG9" i="2"/>
  <c r="N51" i="20" s="1"/>
  <c r="CT14" i="2"/>
  <c r="G56" i="20" s="1"/>
  <c r="BQ19" i="2"/>
  <c r="R27" i="20" s="1"/>
  <c r="DU19" i="2"/>
  <c r="V61" i="20" s="1"/>
  <c r="DV15" i="2"/>
  <c r="W57" i="20" s="1"/>
  <c r="DH21" i="2"/>
  <c r="O63" i="20" s="1"/>
  <c r="BJ25" i="2"/>
  <c r="N33" i="20" s="1"/>
  <c r="BY28" i="2"/>
  <c r="W36" i="20" s="1"/>
  <c r="EC6" i="2"/>
  <c r="AA48" i="20" s="1"/>
  <c r="AP12" i="2"/>
  <c r="C20" i="20" s="1"/>
  <c r="BQ12" i="2"/>
  <c r="R20" i="20" s="1"/>
  <c r="BQ13" i="2"/>
  <c r="R21" i="20" s="1"/>
  <c r="CS13" i="2"/>
  <c r="F55" i="20" s="1"/>
  <c r="BY15" i="2"/>
  <c r="W23" i="20" s="1"/>
  <c r="DU20" i="2"/>
  <c r="V62" i="20" s="1"/>
  <c r="BJ21" i="2"/>
  <c r="N29" i="20" s="1"/>
  <c r="CL21" i="2"/>
  <c r="B63" i="20" s="1"/>
  <c r="DN21" i="2"/>
  <c r="R63" i="20" s="1"/>
  <c r="BD22" i="2"/>
  <c r="K30" i="20" s="1"/>
  <c r="CF22" i="2"/>
  <c r="AA30" i="20" s="1"/>
  <c r="DH22" i="2"/>
  <c r="O64" i="20" s="1"/>
  <c r="CE23" i="2"/>
  <c r="Z31" i="20" s="1"/>
  <c r="DU24" i="2"/>
  <c r="V66" i="20" s="1"/>
  <c r="AV30" i="2"/>
  <c r="F38" i="20" s="1"/>
  <c r="CZ30" i="2"/>
  <c r="J72" i="20" s="1"/>
  <c r="BR31" i="2"/>
  <c r="S39" i="20" s="1"/>
  <c r="AP33" i="2"/>
  <c r="C41" i="20" s="1"/>
  <c r="CT30" i="2"/>
  <c r="G72" i="20" s="1"/>
  <c r="BK6" i="2"/>
  <c r="O14" i="20" s="1"/>
  <c r="CT12" i="2"/>
  <c r="G54" i="20" s="1"/>
  <c r="BY19" i="2"/>
  <c r="W27" i="20" s="1"/>
  <c r="BY20" i="2"/>
  <c r="W28" i="20" s="1"/>
  <c r="AO21" i="2"/>
  <c r="B29" i="20" s="1"/>
  <c r="CM21" i="2"/>
  <c r="C63" i="20" s="1"/>
  <c r="BJ22" i="2"/>
  <c r="N30" i="20" s="1"/>
  <c r="DN22" i="2"/>
  <c r="R64" i="20" s="1"/>
  <c r="EC23" i="2"/>
  <c r="AA65" i="20" s="1"/>
  <c r="AP25" i="2"/>
  <c r="C33" i="20" s="1"/>
  <c r="DN27" i="2"/>
  <c r="R69" i="20" s="1"/>
  <c r="DU32" i="2"/>
  <c r="V74" i="20" s="1"/>
  <c r="BQ5" i="2"/>
  <c r="R13" i="20" s="1"/>
  <c r="DU6" i="2"/>
  <c r="V48" i="20" s="1"/>
  <c r="BC20" i="2"/>
  <c r="J28" i="20" s="1"/>
  <c r="DA20" i="2"/>
  <c r="K62" i="20" s="1"/>
  <c r="AP21" i="2"/>
  <c r="C29" i="20" s="1"/>
  <c r="BJ23" i="2"/>
  <c r="N31" i="20" s="1"/>
  <c r="DH23" i="2"/>
  <c r="O65" i="20" s="1"/>
  <c r="BY24" i="2"/>
  <c r="W32" i="20" s="1"/>
  <c r="DH29" i="2"/>
  <c r="O71" i="20" s="1"/>
  <c r="EC31" i="2"/>
  <c r="AA73" i="20" s="1"/>
  <c r="BY32" i="2"/>
  <c r="W40" i="20" s="1"/>
  <c r="CT34" i="2"/>
  <c r="G76" i="20" s="1"/>
  <c r="BR35" i="2"/>
  <c r="S43" i="20" s="1"/>
  <c r="BX15" i="2"/>
  <c r="V23" i="20" s="1"/>
  <c r="BD21" i="2"/>
  <c r="K29" i="20" s="1"/>
  <c r="CL25" i="2"/>
  <c r="B67" i="20" s="1"/>
  <c r="CE27" i="2"/>
  <c r="Z35" i="20" s="1"/>
  <c r="EB13" i="2"/>
  <c r="Z55" i="20" s="1"/>
  <c r="CM14" i="2"/>
  <c r="C56" i="20" s="1"/>
  <c r="DG15" i="2"/>
  <c r="N57" i="20" s="1"/>
  <c r="BX4" i="2"/>
  <c r="V12" i="20" s="1"/>
  <c r="EB4" i="2"/>
  <c r="Z46" i="20" s="1"/>
  <c r="CF10" i="2"/>
  <c r="AA18" i="20" s="1"/>
  <c r="AW13" i="2"/>
  <c r="G21" i="20" s="1"/>
  <c r="DA13" i="2"/>
  <c r="K55" i="20" s="1"/>
  <c r="CS14" i="2"/>
  <c r="F56" i="20" s="1"/>
  <c r="BR21" i="2"/>
  <c r="S29" i="20" s="1"/>
  <c r="DV21" i="2"/>
  <c r="W63" i="20" s="1"/>
  <c r="DN23" i="2"/>
  <c r="R65" i="20" s="1"/>
  <c r="CT26" i="2"/>
  <c r="G68" i="20" s="1"/>
  <c r="BJ29" i="2"/>
  <c r="N37" i="20" s="1"/>
  <c r="CL29" i="2"/>
  <c r="B71" i="20" s="1"/>
  <c r="BD30" i="2"/>
  <c r="K38" i="20" s="1"/>
  <c r="CE31" i="2"/>
  <c r="Z39" i="20" s="1"/>
  <c r="AV34" i="2"/>
  <c r="F42" i="20" s="1"/>
  <c r="CZ34" i="2"/>
  <c r="J76" i="20" s="1"/>
  <c r="BD26" i="2"/>
  <c r="K34" i="20" s="1"/>
  <c r="AW4" i="2"/>
  <c r="G12" i="20" s="1"/>
  <c r="EC5" i="2"/>
  <c r="AA47" i="20" s="1"/>
  <c r="AV6" i="2"/>
  <c r="F14" i="20" s="1"/>
  <c r="DO9" i="2"/>
  <c r="S51" i="20" s="1"/>
  <c r="BC13" i="2"/>
  <c r="J21" i="20" s="1"/>
  <c r="BK15" i="2"/>
  <c r="O23" i="20" s="1"/>
  <c r="BX21" i="2"/>
  <c r="V29" i="20" s="1"/>
  <c r="CZ21" i="2"/>
  <c r="J63" i="20" s="1"/>
  <c r="BR22" i="2"/>
  <c r="S30" i="20" s="1"/>
  <c r="CT22" i="2"/>
  <c r="G64" i="20" s="1"/>
  <c r="DV22" i="2"/>
  <c r="W64" i="20" s="1"/>
  <c r="AV26" i="2"/>
  <c r="F34" i="20" s="1"/>
  <c r="CZ26" i="2"/>
  <c r="J68" i="20" s="1"/>
  <c r="BR27" i="2"/>
  <c r="S35" i="20" s="1"/>
  <c r="DU28" i="2"/>
  <c r="V70" i="20" s="1"/>
  <c r="EC35" i="2"/>
  <c r="AA77" i="20" s="1"/>
  <c r="DO12" i="2"/>
  <c r="S54" i="20" s="1"/>
  <c r="AW23" i="2"/>
  <c r="G31" i="20" s="1"/>
  <c r="DN35" i="2"/>
  <c r="R77" i="20" s="1"/>
  <c r="BR7" i="2"/>
  <c r="S15" i="20" s="1"/>
  <c r="DG5" i="2"/>
  <c r="N47" i="20" s="1"/>
  <c r="DA6" i="2"/>
  <c r="K48" i="20" s="1"/>
  <c r="CF9" i="2"/>
  <c r="AA17" i="20" s="1"/>
  <c r="CF13" i="2"/>
  <c r="AA21" i="20" s="1"/>
  <c r="AW14" i="2"/>
  <c r="G22" i="20" s="1"/>
  <c r="CM19" i="2"/>
  <c r="C61" i="20" s="1"/>
  <c r="DO19" i="2"/>
  <c r="S61" i="20" s="1"/>
  <c r="AO20" i="2"/>
  <c r="B28" i="20" s="1"/>
  <c r="CM20" i="2"/>
  <c r="C62" i="20" s="1"/>
  <c r="AV22" i="2"/>
  <c r="F30" i="20" s="1"/>
  <c r="BX22" i="2"/>
  <c r="V30" i="20" s="1"/>
  <c r="CZ22" i="2"/>
  <c r="J64" i="20" s="1"/>
  <c r="EB22" i="2"/>
  <c r="Z64" i="20" s="1"/>
  <c r="BR23" i="2"/>
  <c r="S31" i="20" s="1"/>
  <c r="CS23" i="2"/>
  <c r="F65" i="20" s="1"/>
  <c r="AP29" i="2"/>
  <c r="C37" i="20" s="1"/>
  <c r="DN31" i="2"/>
  <c r="R73" i="20" s="1"/>
  <c r="BJ33" i="2"/>
  <c r="N41" i="20" s="1"/>
  <c r="CL33" i="2"/>
  <c r="B75" i="20" s="1"/>
  <c r="CE35" i="2"/>
  <c r="Z43" i="20" s="1"/>
  <c r="DV5" i="2"/>
  <c r="W47" i="20" s="1"/>
  <c r="AP6" i="2"/>
  <c r="C14" i="20" s="1"/>
  <c r="BD17" i="2"/>
  <c r="K25" i="20" s="1"/>
  <c r="DG25" i="2"/>
  <c r="N67" i="20" s="1"/>
  <c r="BY26" i="2"/>
  <c r="W34" i="20" s="1"/>
  <c r="AV5" i="2"/>
  <c r="F13" i="20" s="1"/>
  <c r="DA9" i="2"/>
  <c r="K51" i="20" s="1"/>
  <c r="BJ18" i="2"/>
  <c r="N26" i="20" s="1"/>
  <c r="BK21" i="2"/>
  <c r="O29" i="20" s="1"/>
  <c r="BY5" i="2"/>
  <c r="W13" i="20" s="1"/>
  <c r="DO8" i="2"/>
  <c r="S50" i="20" s="1"/>
  <c r="DO18" i="2"/>
  <c r="S60" i="20" s="1"/>
  <c r="AW28" i="2"/>
  <c r="G36" i="20" s="1"/>
  <c r="CT7" i="2"/>
  <c r="G49" i="20" s="1"/>
  <c r="BC11" i="2"/>
  <c r="J19" i="20" s="1"/>
  <c r="AP18" i="2"/>
  <c r="C26" i="20" s="1"/>
  <c r="CS24" i="2"/>
  <c r="F66" i="20" s="1"/>
  <c r="EC29" i="2"/>
  <c r="AA71" i="20" s="1"/>
  <c r="BC5" i="2"/>
  <c r="J13" i="20" s="1"/>
  <c r="EC4" i="2"/>
  <c r="AA46" i="20" s="1"/>
  <c r="AV7" i="2"/>
  <c r="F15" i="20" s="1"/>
  <c r="EB7" i="2"/>
  <c r="Z49" i="20" s="1"/>
  <c r="DV16" i="2"/>
  <c r="W58" i="20" s="1"/>
  <c r="CS20" i="2"/>
  <c r="F62" i="20" s="1"/>
  <c r="BQ22" i="2"/>
  <c r="R30" i="20" s="1"/>
  <c r="DU22" i="2"/>
  <c r="V64" i="20" s="1"/>
  <c r="CL27" i="2"/>
  <c r="B69" i="20" s="1"/>
  <c r="BK33" i="2"/>
  <c r="O41" i="20" s="1"/>
  <c r="AO4" i="2"/>
  <c r="B12" i="20" s="1"/>
  <c r="EB18" i="2"/>
  <c r="Z60" i="20" s="1"/>
  <c r="AP23" i="2"/>
  <c r="C31" i="20" s="1"/>
  <c r="CL23" i="2"/>
  <c r="B65" i="20" s="1"/>
  <c r="AW24" i="2"/>
  <c r="G32" i="20" s="1"/>
  <c r="DU26" i="2"/>
  <c r="V68" i="20" s="1"/>
  <c r="BY30" i="2"/>
  <c r="W38" i="20" s="1"/>
  <c r="CS32" i="2"/>
  <c r="F74" i="20" s="1"/>
  <c r="DH6" i="2"/>
  <c r="O48" i="20" s="1"/>
  <c r="AO10" i="2"/>
  <c r="B18" i="20" s="1"/>
  <c r="DA17" i="2"/>
  <c r="K59" i="20" s="1"/>
  <c r="DG21" i="2"/>
  <c r="N63" i="20" s="1"/>
  <c r="AP27" i="2"/>
  <c r="C35" i="20" s="1"/>
  <c r="CL35" i="2"/>
  <c r="B77" i="20" s="1"/>
  <c r="CM4" i="2"/>
  <c r="C46" i="20" s="1"/>
  <c r="DO4" i="2"/>
  <c r="S46" i="20" s="1"/>
  <c r="CT6" i="2"/>
  <c r="G48" i="20" s="1"/>
  <c r="BK7" i="2"/>
  <c r="O15" i="20" s="1"/>
  <c r="DU9" i="2"/>
  <c r="V51" i="20" s="1"/>
  <c r="CL10" i="2"/>
  <c r="B52" i="20" s="1"/>
  <c r="DA11" i="2"/>
  <c r="K53" i="20" s="1"/>
  <c r="BQ4" i="2"/>
  <c r="R12" i="20" s="1"/>
  <c r="BQ7" i="2"/>
  <c r="R15" i="20" s="1"/>
  <c r="AV12" i="2"/>
  <c r="F20" i="20" s="1"/>
  <c r="BR12" i="2"/>
  <c r="S20" i="20" s="1"/>
  <c r="EC18" i="2"/>
  <c r="AA60" i="20" s="1"/>
  <c r="BX17" i="2"/>
  <c r="V25" i="20" s="1"/>
  <c r="BX12" i="2"/>
  <c r="V20" i="20" s="1"/>
  <c r="DV12" i="2"/>
  <c r="W54" i="20" s="1"/>
  <c r="BX18" i="2"/>
  <c r="V26" i="20" s="1"/>
  <c r="BX23" i="2"/>
  <c r="V31" i="20" s="1"/>
  <c r="BC29" i="2"/>
  <c r="J37" i="20" s="1"/>
  <c r="BC33" i="2"/>
  <c r="J41" i="20" s="1"/>
  <c r="BC6" i="2"/>
  <c r="J14" i="20" s="1"/>
  <c r="CE6" i="2"/>
  <c r="Z14" i="20" s="1"/>
  <c r="CL11" i="2"/>
  <c r="B53" i="20" s="1"/>
  <c r="DN11" i="2"/>
  <c r="R53" i="20" s="1"/>
  <c r="CZ12" i="2"/>
  <c r="J54" i="20" s="1"/>
  <c r="EB12" i="2"/>
  <c r="Z54" i="20" s="1"/>
  <c r="BQ27" i="2"/>
  <c r="R35" i="20" s="1"/>
  <c r="BK28" i="2"/>
  <c r="O36" i="20" s="1"/>
  <c r="DG32" i="2"/>
  <c r="N74" i="20" s="1"/>
  <c r="AW6" i="2"/>
  <c r="G14" i="20" s="1"/>
  <c r="CS5" i="2"/>
  <c r="F47" i="20" s="1"/>
  <c r="BK16" i="2"/>
  <c r="O24" i="20" s="1"/>
  <c r="CM16" i="2"/>
  <c r="C58" i="20" s="1"/>
  <c r="DO16" i="2"/>
  <c r="S58" i="20" s="1"/>
  <c r="BD4" i="2"/>
  <c r="K12" i="20" s="1"/>
  <c r="DG4" i="2"/>
  <c r="N46" i="20" s="1"/>
  <c r="AW5" i="2"/>
  <c r="G13" i="20" s="1"/>
  <c r="BX5" i="2"/>
  <c r="V13" i="20" s="1"/>
  <c r="CT5" i="2"/>
  <c r="G47" i="20" s="1"/>
  <c r="BJ6" i="2"/>
  <c r="N14" i="20" s="1"/>
  <c r="BY8" i="2"/>
  <c r="W16" i="20" s="1"/>
  <c r="AP9" i="2"/>
  <c r="C17" i="20" s="1"/>
  <c r="DH9" i="2"/>
  <c r="O51" i="20" s="1"/>
  <c r="BY10" i="2"/>
  <c r="W18" i="20" s="1"/>
  <c r="AV11" i="2"/>
  <c r="F19" i="20" s="1"/>
  <c r="BR11" i="2"/>
  <c r="S19" i="20" s="1"/>
  <c r="BD12" i="2"/>
  <c r="K20" i="20" s="1"/>
  <c r="CF12" i="2"/>
  <c r="AA20" i="20" s="1"/>
  <c r="BQ16" i="2"/>
  <c r="R24" i="20" s="1"/>
  <c r="CS16" i="2"/>
  <c r="F58" i="20" s="1"/>
  <c r="BJ13" i="2"/>
  <c r="N21" i="20" s="1"/>
  <c r="AW11" i="2"/>
  <c r="G19" i="20" s="1"/>
  <c r="BJ12" i="2"/>
  <c r="N20" i="20" s="1"/>
  <c r="CL12" i="2"/>
  <c r="B54" i="20" s="1"/>
  <c r="DH12" i="2"/>
  <c r="O54" i="20" s="1"/>
  <c r="BQ9" i="2"/>
  <c r="R17" i="20" s="1"/>
  <c r="BC8" i="2"/>
  <c r="J16" i="20" s="1"/>
  <c r="DN9" i="2"/>
  <c r="R51" i="20" s="1"/>
  <c r="BX10" i="2"/>
  <c r="V18" i="20" s="1"/>
  <c r="DV10" i="2"/>
  <c r="W52" i="20" s="1"/>
  <c r="AP13" i="2"/>
  <c r="C21" i="20" s="1"/>
  <c r="EC16" i="2"/>
  <c r="AA58" i="20" s="1"/>
  <c r="BR17" i="2"/>
  <c r="S25" i="20" s="1"/>
  <c r="CS22" i="2"/>
  <c r="F64" i="20" s="1"/>
  <c r="EC26" i="2"/>
  <c r="AA68" i="20" s="1"/>
  <c r="CL30" i="2"/>
  <c r="B72" i="20" s="1"/>
  <c r="CZ31" i="2"/>
  <c r="J73" i="20" s="1"/>
  <c r="DV31" i="2"/>
  <c r="W73" i="20" s="1"/>
  <c r="BQ32" i="2"/>
  <c r="R40" i="20" s="1"/>
  <c r="AO29" i="2"/>
  <c r="B37" i="20" s="1"/>
  <c r="DV34" i="2"/>
  <c r="W76" i="20" s="1"/>
  <c r="BK4" i="2"/>
  <c r="O12" i="20" s="1"/>
  <c r="CM5" i="2"/>
  <c r="C47" i="20" s="1"/>
  <c r="CZ6" i="2"/>
  <c r="J48" i="20" s="1"/>
  <c r="AO7" i="2"/>
  <c r="B15" i="20" s="1"/>
  <c r="CL7" i="2"/>
  <c r="B49" i="20" s="1"/>
  <c r="DN7" i="2"/>
  <c r="R49" i="20" s="1"/>
  <c r="DA8" i="2"/>
  <c r="K50" i="20" s="1"/>
  <c r="AO9" i="2"/>
  <c r="B17" i="20" s="1"/>
  <c r="CT9" i="2"/>
  <c r="G51" i="20" s="1"/>
  <c r="AP4" i="2"/>
  <c r="C12" i="20" s="1"/>
  <c r="BC10" i="2"/>
  <c r="J18" i="20" s="1"/>
  <c r="DA10" i="2"/>
  <c r="K52" i="20" s="1"/>
  <c r="AO11" i="2"/>
  <c r="B19" i="20" s="1"/>
  <c r="EC11" i="2"/>
  <c r="AA53" i="20" s="1"/>
  <c r="CL13" i="2"/>
  <c r="B55" i="20" s="1"/>
  <c r="DH13" i="2"/>
  <c r="O55" i="20" s="1"/>
  <c r="AV14" i="2"/>
  <c r="F22" i="20" s="1"/>
  <c r="DO14" i="2"/>
  <c r="S56" i="20" s="1"/>
  <c r="CE15" i="2"/>
  <c r="Z23" i="20" s="1"/>
  <c r="BJ16" i="2"/>
  <c r="N24" i="20" s="1"/>
  <c r="DO17" i="2"/>
  <c r="S59" i="20" s="1"/>
  <c r="BY18" i="2"/>
  <c r="W26" i="20" s="1"/>
  <c r="CT18" i="2"/>
  <c r="G60" i="20" s="1"/>
  <c r="CE19" i="2"/>
  <c r="Z27" i="20" s="1"/>
  <c r="CT21" i="2"/>
  <c r="G63" i="20" s="1"/>
  <c r="DV23" i="2"/>
  <c r="W65" i="20" s="1"/>
  <c r="CT25" i="2"/>
  <c r="G67" i="20" s="1"/>
  <c r="CE26" i="2"/>
  <c r="Z34" i="20" s="1"/>
  <c r="CT17" i="2"/>
  <c r="G59" i="20" s="1"/>
  <c r="CT33" i="2"/>
  <c r="G75" i="20" s="1"/>
  <c r="BK35" i="2"/>
  <c r="O43" i="20" s="1"/>
  <c r="AW20" i="2"/>
  <c r="G28" i="20" s="1"/>
  <c r="BK25" i="2"/>
  <c r="O33" i="20" s="1"/>
  <c r="CL31" i="2"/>
  <c r="B73" i="20" s="1"/>
  <c r="CE33" i="2"/>
  <c r="Z41" i="20" s="1"/>
  <c r="CS9" i="2"/>
  <c r="F51" i="20" s="1"/>
  <c r="BY11" i="2"/>
  <c r="W19" i="20" s="1"/>
  <c r="DG16" i="2"/>
  <c r="N58" i="20" s="1"/>
  <c r="AW17" i="2"/>
  <c r="G25" i="20" s="1"/>
  <c r="AP30" i="2"/>
  <c r="C38" i="20" s="1"/>
  <c r="DU5" i="2"/>
  <c r="V47" i="20" s="1"/>
  <c r="BY6" i="2"/>
  <c r="W14" i="20" s="1"/>
  <c r="DO7" i="2"/>
  <c r="S49" i="20" s="1"/>
  <c r="CE8" i="2"/>
  <c r="Z16" i="20" s="1"/>
  <c r="CE10" i="2"/>
  <c r="Z18" i="20" s="1"/>
  <c r="DG10" i="2"/>
  <c r="N52" i="20" s="1"/>
  <c r="BJ11" i="2"/>
  <c r="N19" i="20" s="1"/>
  <c r="EC12" i="2"/>
  <c r="AA54" i="20" s="1"/>
  <c r="DU14" i="2"/>
  <c r="V56" i="20" s="1"/>
  <c r="AO15" i="2"/>
  <c r="B23" i="20" s="1"/>
  <c r="AP16" i="2"/>
  <c r="C24" i="20" s="1"/>
  <c r="CL16" i="2"/>
  <c r="B58" i="20" s="1"/>
  <c r="DU17" i="2"/>
  <c r="V59" i="20" s="1"/>
  <c r="BD18" i="2"/>
  <c r="K26" i="20" s="1"/>
  <c r="CZ18" i="2"/>
  <c r="J60" i="20" s="1"/>
  <c r="DV18" i="2"/>
  <c r="W60" i="20" s="1"/>
  <c r="BC21" i="2"/>
  <c r="J29" i="20" s="1"/>
  <c r="BD23" i="2"/>
  <c r="K31" i="20" s="1"/>
  <c r="CZ23" i="2"/>
  <c r="J65" i="20" s="1"/>
  <c r="AV25" i="2"/>
  <c r="F33" i="20" s="1"/>
  <c r="DU25" i="2"/>
  <c r="V67" i="20" s="1"/>
  <c r="AO26" i="2"/>
  <c r="B34" i="20" s="1"/>
  <c r="DO27" i="2"/>
  <c r="S69" i="20" s="1"/>
  <c r="DO28" i="2"/>
  <c r="S70" i="20" s="1"/>
  <c r="CS30" i="2"/>
  <c r="F72" i="20" s="1"/>
  <c r="BD31" i="2"/>
  <c r="K39" i="20" s="1"/>
  <c r="DG31" i="2"/>
  <c r="N73" i="20" s="1"/>
  <c r="DU33" i="2"/>
  <c r="V75" i="20" s="1"/>
  <c r="AO34" i="2"/>
  <c r="B42" i="20" s="1"/>
  <c r="BQ35" i="2"/>
  <c r="R43" i="20" s="1"/>
  <c r="CL28" i="2"/>
  <c r="B70" i="20" s="1"/>
  <c r="BK18" i="2"/>
  <c r="O26" i="20" s="1"/>
  <c r="BK31" i="2"/>
  <c r="O39" i="20" s="1"/>
  <c r="AW30" i="2"/>
  <c r="G38" i="20" s="1"/>
  <c r="EB25" i="2"/>
  <c r="Z67" i="20" s="1"/>
  <c r="EB5" i="2"/>
  <c r="Z47" i="20" s="1"/>
  <c r="BX7" i="2"/>
  <c r="V15" i="20" s="1"/>
  <c r="AW9" i="2"/>
  <c r="G17" i="20" s="1"/>
  <c r="EB9" i="2"/>
  <c r="Z51" i="20" s="1"/>
  <c r="AP10" i="2"/>
  <c r="C18" i="20" s="1"/>
  <c r="BK10" i="2"/>
  <c r="O18" i="20" s="1"/>
  <c r="CM10" i="2"/>
  <c r="C52" i="20" s="1"/>
  <c r="CM11" i="2"/>
  <c r="C53" i="20" s="1"/>
  <c r="DO11" i="2"/>
  <c r="S53" i="20" s="1"/>
  <c r="DA14" i="2"/>
  <c r="K56" i="20" s="1"/>
  <c r="DN15" i="2"/>
  <c r="R57" i="20" s="1"/>
  <c r="BR16" i="2"/>
  <c r="S24" i="20" s="1"/>
  <c r="CT16" i="2"/>
  <c r="G58" i="20" s="1"/>
  <c r="DU16" i="2"/>
  <c r="V58" i="20" s="1"/>
  <c r="CF17" i="2"/>
  <c r="AA25" i="20" s="1"/>
  <c r="DG17" i="2"/>
  <c r="N59" i="20" s="1"/>
  <c r="BK20" i="2"/>
  <c r="O28" i="20" s="1"/>
  <c r="DG20" i="2"/>
  <c r="N62" i="20" s="1"/>
  <c r="EB21" i="2"/>
  <c r="Z63" i="20" s="1"/>
  <c r="BQ23" i="2"/>
  <c r="R31" i="20" s="1"/>
  <c r="DO31" i="2"/>
  <c r="S73" i="20" s="1"/>
  <c r="EC34" i="2"/>
  <c r="AA76" i="20" s="1"/>
  <c r="DG18" i="2"/>
  <c r="N60" i="20" s="1"/>
  <c r="BQ24" i="2"/>
  <c r="R32" i="20" s="1"/>
  <c r="DA7" i="2"/>
  <c r="K49" i="20" s="1"/>
  <c r="BQ8" i="2"/>
  <c r="R16" i="20" s="1"/>
  <c r="CL22" i="2"/>
  <c r="B64" i="20" s="1"/>
  <c r="DG27" i="2"/>
  <c r="N69" i="20" s="1"/>
  <c r="DG28" i="2"/>
  <c r="N70" i="20" s="1"/>
  <c r="CE30" i="2"/>
  <c r="Z38" i="20" s="1"/>
  <c r="CE34" i="2"/>
  <c r="Z42" i="20" s="1"/>
  <c r="DV7" i="2"/>
  <c r="W49" i="20" s="1"/>
  <c r="EC8" i="2"/>
  <c r="AA50" i="20" s="1"/>
  <c r="CF18" i="2"/>
  <c r="AA26" i="20" s="1"/>
  <c r="BK23" i="2"/>
  <c r="O31" i="20" s="1"/>
  <c r="BC25" i="2"/>
  <c r="J33" i="20" s="1"/>
  <c r="BC9" i="2"/>
  <c r="J17" i="20" s="1"/>
  <c r="CM9" i="2"/>
  <c r="C51" i="20" s="1"/>
  <c r="CS10" i="2"/>
  <c r="F52" i="20" s="1"/>
  <c r="EB11" i="2"/>
  <c r="Z53" i="20" s="1"/>
  <c r="CS11" i="2"/>
  <c r="F53" i="20" s="1"/>
  <c r="DU11" i="2"/>
  <c r="V53" i="20" s="1"/>
  <c r="BY12" i="2"/>
  <c r="W20" i="20" s="1"/>
  <c r="DG14" i="2"/>
  <c r="N56" i="20" s="1"/>
  <c r="AW16" i="2"/>
  <c r="G24" i="20" s="1"/>
  <c r="BX16" i="2"/>
  <c r="V24" i="20" s="1"/>
  <c r="DH17" i="2"/>
  <c r="O59" i="20" s="1"/>
  <c r="EB17" i="2"/>
  <c r="Z59" i="20" s="1"/>
  <c r="AV18" i="2"/>
  <c r="F26" i="20" s="1"/>
  <c r="CL18" i="2"/>
  <c r="B60" i="20" s="1"/>
  <c r="DO24" i="2"/>
  <c r="S66" i="20" s="1"/>
  <c r="CF5" i="2"/>
  <c r="AA13" i="20" s="1"/>
  <c r="DH5" i="2"/>
  <c r="O47" i="20" s="1"/>
  <c r="BD7" i="2"/>
  <c r="K15" i="20" s="1"/>
  <c r="DG7" i="2"/>
  <c r="N49" i="20" s="1"/>
  <c r="BD9" i="2"/>
  <c r="K17" i="20" s="1"/>
  <c r="AV10" i="2"/>
  <c r="F18" i="20" s="1"/>
  <c r="CT10" i="2"/>
  <c r="G52" i="20" s="1"/>
  <c r="DV11" i="2"/>
  <c r="W53" i="20" s="1"/>
  <c r="CE12" i="2"/>
  <c r="Z20" i="20" s="1"/>
  <c r="DU12" i="2"/>
  <c r="V54" i="20" s="1"/>
  <c r="CE13" i="2"/>
  <c r="Z21" i="20" s="1"/>
  <c r="BK14" i="2"/>
  <c r="O22" i="20" s="1"/>
  <c r="BQ10" i="2"/>
  <c r="R18" i="20" s="1"/>
  <c r="BC16" i="2"/>
  <c r="J24" i="20" s="1"/>
  <c r="DA16" i="2"/>
  <c r="K58" i="20" s="1"/>
  <c r="EB16" i="2"/>
  <c r="Z58" i="20" s="1"/>
  <c r="AV17" i="2"/>
  <c r="F25" i="20" s="1"/>
  <c r="CM17" i="2"/>
  <c r="C59" i="20" s="1"/>
  <c r="BR18" i="2"/>
  <c r="S26" i="20" s="1"/>
  <c r="CM18" i="2"/>
  <c r="C60" i="20" s="1"/>
  <c r="CT15" i="2"/>
  <c r="G57" i="20" s="1"/>
  <c r="AV21" i="2"/>
  <c r="F29" i="20" s="1"/>
  <c r="CM22" i="2"/>
  <c r="C64" i="20" s="1"/>
  <c r="DO23" i="2"/>
  <c r="S65" i="20" s="1"/>
  <c r="CT29" i="2"/>
  <c r="G71" i="20" s="1"/>
  <c r="DU29" i="2"/>
  <c r="V71" i="20" s="1"/>
  <c r="BK32" i="2"/>
  <c r="O40" i="20" s="1"/>
  <c r="BD35" i="2"/>
  <c r="K43" i="20" s="1"/>
  <c r="BJ31" i="2"/>
  <c r="N39" i="20" s="1"/>
  <c r="BX34" i="2"/>
  <c r="V42" i="20" s="1"/>
  <c r="BC32" i="2"/>
  <c r="J40" i="20" s="1"/>
  <c r="EB34" i="2"/>
  <c r="Z76" i="20" s="1"/>
  <c r="CF34" i="2"/>
  <c r="AA42" i="20" s="1"/>
  <c r="AV13" i="2"/>
  <c r="F21" i="20" s="1"/>
  <c r="BK12" i="2"/>
  <c r="O20" i="20" s="1"/>
  <c r="AP7" i="2"/>
  <c r="C15" i="20" s="1"/>
  <c r="BQ6" i="2"/>
  <c r="R14" i="20" s="1"/>
  <c r="BK5" i="2"/>
  <c r="O13" i="20" s="1"/>
  <c r="CT11" i="2"/>
  <c r="G53" i="20" s="1"/>
  <c r="BY13" i="2"/>
  <c r="W21" i="20" s="1"/>
  <c r="CM25" i="2"/>
  <c r="C67" i="20" s="1"/>
  <c r="EB26" i="2"/>
  <c r="Z68" i="20" s="1"/>
  <c r="CM33" i="2"/>
  <c r="C75" i="20" s="1"/>
  <c r="AW35" i="2"/>
  <c r="G43" i="20" s="1"/>
  <c r="DA24" i="2"/>
  <c r="K66" i="20" s="1"/>
  <c r="BX26" i="2"/>
  <c r="V34" i="20" s="1"/>
  <c r="CF26" i="2"/>
  <c r="AA34" i="20" s="1"/>
  <c r="AO25" i="2"/>
  <c r="B33" i="20" s="1"/>
  <c r="AW27" i="2"/>
  <c r="G35" i="20" s="1"/>
  <c r="BR25" i="2"/>
  <c r="S33" i="20" s="1"/>
  <c r="DV30" i="2"/>
  <c r="W72" i="20" s="1"/>
  <c r="BR29" i="2"/>
  <c r="S37" i="20" s="1"/>
  <c r="DA28" i="2"/>
  <c r="K70" i="20" s="1"/>
  <c r="BX30" i="2"/>
  <c r="V38" i="20" s="1"/>
  <c r="AW7" i="2"/>
  <c r="G15" i="20" s="1"/>
  <c r="BX6" i="2"/>
  <c r="V14" i="20" s="1"/>
  <c r="CF6" i="2"/>
  <c r="AA14" i="20" s="1"/>
  <c r="EB6" i="2"/>
  <c r="Z48" i="20" s="1"/>
  <c r="DN29" i="2"/>
  <c r="R71" i="20" s="1"/>
  <c r="AO8" i="2"/>
  <c r="B16" i="20" s="1"/>
  <c r="DV26" i="2"/>
  <c r="W68" i="20" s="1"/>
  <c r="EB30" i="2"/>
  <c r="Z72" i="20" s="1"/>
  <c r="DN5" i="2"/>
  <c r="R47" i="20" s="1"/>
  <c r="DO6" i="2"/>
  <c r="S48" i="20" s="1"/>
  <c r="AP14" i="2"/>
  <c r="C22" i="20" s="1"/>
  <c r="EC14" i="2"/>
  <c r="AA56" i="20" s="1"/>
  <c r="BQ15" i="2"/>
  <c r="R23" i="20" s="1"/>
  <c r="DN25" i="2"/>
  <c r="R67" i="20" s="1"/>
  <c r="CF30" i="2"/>
  <c r="AA38" i="20" s="1"/>
  <c r="DA4" i="2"/>
  <c r="K46" i="20" s="1"/>
  <c r="CS7" i="2"/>
  <c r="F49" i="20" s="1"/>
  <c r="BR5" i="2"/>
  <c r="S13" i="20" s="1"/>
  <c r="DG12" i="2"/>
  <c r="N54" i="20" s="1"/>
  <c r="AW31" i="2"/>
  <c r="G39" i="20" s="1"/>
  <c r="BX9" i="2"/>
  <c r="V17" i="20" s="1"/>
  <c r="AO16" i="2"/>
  <c r="B24" i="20" s="1"/>
  <c r="BC17" i="2"/>
  <c r="J25" i="20" s="1"/>
  <c r="CL17" i="2"/>
  <c r="B59" i="20" s="1"/>
  <c r="BQ18" i="2"/>
  <c r="R26" i="20" s="1"/>
  <c r="DU18" i="2"/>
  <c r="V60" i="20" s="1"/>
  <c r="EC21" i="2"/>
  <c r="AA63" i="20" s="1"/>
  <c r="DO22" i="2"/>
  <c r="S64" i="20" s="1"/>
  <c r="CM30" i="2"/>
  <c r="C72" i="20" s="1"/>
  <c r="DA31" i="2"/>
  <c r="K73" i="20" s="1"/>
  <c r="DO32" i="2"/>
  <c r="S74" i="20" s="1"/>
  <c r="BR33" i="2"/>
  <c r="S41" i="20" s="1"/>
  <c r="EB33" i="2"/>
  <c r="Z75" i="20" s="1"/>
  <c r="AP35" i="2"/>
  <c r="C43" i="20" s="1"/>
  <c r="CS35" i="2"/>
  <c r="F77" i="20" s="1"/>
  <c r="BD16" i="2"/>
  <c r="K24" i="20" s="1"/>
  <c r="DA23" i="2"/>
  <c r="K65" i="20" s="1"/>
  <c r="BC24" i="2"/>
  <c r="J32" i="20" s="1"/>
  <c r="BQ26" i="2"/>
  <c r="R34" i="20" s="1"/>
  <c r="EC33" i="2"/>
  <c r="AA75" i="20" s="1"/>
  <c r="BQ34" i="2"/>
  <c r="R42" i="20" s="1"/>
  <c r="CS4" i="2"/>
  <c r="F46" i="20" s="1"/>
  <c r="CZ5" i="2"/>
  <c r="J47" i="20" s="1"/>
  <c r="BR6" i="2"/>
  <c r="S14" i="20" s="1"/>
  <c r="BC7" i="2"/>
  <c r="J15" i="20" s="1"/>
  <c r="BX11" i="2"/>
  <c r="V19" i="20" s="1"/>
  <c r="DU13" i="2"/>
  <c r="V55" i="20" s="1"/>
  <c r="BD15" i="2"/>
  <c r="K23" i="20" s="1"/>
  <c r="CE21" i="2"/>
  <c r="Z29" i="20" s="1"/>
  <c r="AW22" i="2"/>
  <c r="G30" i="20" s="1"/>
  <c r="AW26" i="2"/>
  <c r="G34" i="20" s="1"/>
  <c r="CS27" i="2"/>
  <c r="F69" i="20" s="1"/>
  <c r="CF28" i="2"/>
  <c r="AA36" i="20" s="1"/>
  <c r="CF29" i="2"/>
  <c r="AA37" i="20" s="1"/>
  <c r="DA29" i="2"/>
  <c r="K71" i="20" s="1"/>
  <c r="DH31" i="2"/>
  <c r="O73" i="20" s="1"/>
  <c r="AW32" i="2"/>
  <c r="G40" i="20" s="1"/>
  <c r="DA32" i="2"/>
  <c r="K74" i="20" s="1"/>
  <c r="CM34" i="2"/>
  <c r="C76" i="20" s="1"/>
  <c r="BX35" i="2"/>
  <c r="V43" i="20" s="1"/>
  <c r="AP17" i="2"/>
  <c r="C25" i="20" s="1"/>
  <c r="DG33" i="2"/>
  <c r="N75" i="20" s="1"/>
  <c r="CE5" i="2"/>
  <c r="Z13" i="20" s="1"/>
  <c r="CM7" i="2"/>
  <c r="C49" i="20" s="1"/>
  <c r="BK9" i="2"/>
  <c r="O17" i="20" s="1"/>
  <c r="CM6" i="2"/>
  <c r="C48" i="20" s="1"/>
  <c r="DA5" i="2"/>
  <c r="K47" i="20" s="1"/>
  <c r="CL6" i="2"/>
  <c r="B48" i="20" s="1"/>
  <c r="DG6" i="2"/>
  <c r="N48" i="20" s="1"/>
  <c r="BY7" i="2"/>
  <c r="W15" i="20" s="1"/>
  <c r="CF8" i="2"/>
  <c r="AA16" i="20" s="1"/>
  <c r="CE7" i="2"/>
  <c r="Z15" i="20" s="1"/>
  <c r="CE9" i="2"/>
  <c r="Z17" i="20" s="1"/>
  <c r="CZ9" i="2"/>
  <c r="J51" i="20" s="1"/>
  <c r="CL14" i="2"/>
  <c r="B56" i="20" s="1"/>
  <c r="CS15" i="2"/>
  <c r="F57" i="20" s="1"/>
  <c r="CS17" i="2"/>
  <c r="F59" i="20" s="1"/>
  <c r="CF19" i="2"/>
  <c r="AA27" i="20" s="1"/>
  <c r="BQ20" i="2"/>
  <c r="R28" i="20" s="1"/>
  <c r="CF21" i="2"/>
  <c r="AA29" i="20" s="1"/>
  <c r="DA21" i="2"/>
  <c r="K63" i="20" s="1"/>
  <c r="BC23" i="2"/>
  <c r="J31" i="20" s="1"/>
  <c r="DG23" i="2"/>
  <c r="N65" i="20" s="1"/>
  <c r="CE25" i="2"/>
  <c r="Z33" i="20" s="1"/>
  <c r="BJ27" i="2"/>
  <c r="N35" i="20" s="1"/>
  <c r="BQ28" i="2"/>
  <c r="R36" i="20" s="1"/>
  <c r="CZ28" i="2"/>
  <c r="J70" i="20" s="1"/>
  <c r="AO30" i="2"/>
  <c r="B38" i="20" s="1"/>
  <c r="DU30" i="2"/>
  <c r="V72" i="20" s="1"/>
  <c r="BX31" i="2"/>
  <c r="V39" i="20" s="1"/>
  <c r="CL32" i="2"/>
  <c r="B74" i="20" s="1"/>
  <c r="AO33" i="2"/>
  <c r="B41" i="20" s="1"/>
  <c r="DN33" i="2"/>
  <c r="R75" i="20" s="1"/>
  <c r="AW34" i="2"/>
  <c r="G42" i="20" s="1"/>
  <c r="CS34" i="2"/>
  <c r="F76" i="20" s="1"/>
  <c r="DA35" i="2"/>
  <c r="K77" i="20" s="1"/>
  <c r="DH27" i="2"/>
  <c r="O69" i="20" s="1"/>
  <c r="DV6" i="2"/>
  <c r="W48" i="20" s="1"/>
  <c r="CE14" i="2"/>
  <c r="Z22" i="20" s="1"/>
  <c r="CL8" i="2"/>
  <c r="B50" i="20" s="1"/>
  <c r="CF4" i="2"/>
  <c r="AA12" i="20" s="1"/>
  <c r="DH10" i="2"/>
  <c r="O52" i="20" s="1"/>
  <c r="BR14" i="2"/>
  <c r="S22" i="20" s="1"/>
  <c r="DH14" i="2"/>
  <c r="O56" i="20" s="1"/>
  <c r="DO15" i="2"/>
  <c r="S57" i="20" s="1"/>
  <c r="CF16" i="2"/>
  <c r="AA24" i="20" s="1"/>
  <c r="CZ16" i="2"/>
  <c r="J58" i="20" s="1"/>
  <c r="DN16" i="2"/>
  <c r="R58" i="20" s="1"/>
  <c r="BK17" i="2"/>
  <c r="O25" i="20" s="1"/>
  <c r="BY17" i="2"/>
  <c r="W25" i="20" s="1"/>
  <c r="DO20" i="2"/>
  <c r="S62" i="20" s="1"/>
  <c r="CF25" i="2"/>
  <c r="AA33" i="20" s="1"/>
  <c r="DA25" i="2"/>
  <c r="K67" i="20" s="1"/>
  <c r="CM26" i="2"/>
  <c r="C68" i="20" s="1"/>
  <c r="BK27" i="2"/>
  <c r="O35" i="20" s="1"/>
  <c r="BR28" i="2"/>
  <c r="S36" i="20" s="1"/>
  <c r="DG29" i="2"/>
  <c r="N71" i="20" s="1"/>
  <c r="BC31" i="2"/>
  <c r="J39" i="20" s="1"/>
  <c r="BR19" i="2"/>
  <c r="S27" i="20" s="1"/>
  <c r="DO34" i="2"/>
  <c r="S76" i="20" s="1"/>
  <c r="BC35" i="2"/>
  <c r="J43" i="20" s="1"/>
  <c r="DG35" i="2"/>
  <c r="N77" i="20" s="1"/>
  <c r="BC4" i="2"/>
  <c r="J12" i="20" s="1"/>
  <c r="BC27" i="2"/>
  <c r="J35" i="20" s="1"/>
  <c r="CE29" i="2"/>
  <c r="Z37" i="20" s="1"/>
  <c r="DO30" i="2"/>
  <c r="S72" i="20" s="1"/>
  <c r="AV4" i="2"/>
  <c r="F12" i="20" s="1"/>
  <c r="CE4" i="2"/>
  <c r="Z12" i="20" s="1"/>
  <c r="CZ4" i="2"/>
  <c r="J46" i="20" s="1"/>
  <c r="AO5" i="2"/>
  <c r="B13" i="20" s="1"/>
  <c r="BD5" i="2"/>
  <c r="K13" i="20" s="1"/>
  <c r="AO6" i="2"/>
  <c r="B14" i="20" s="1"/>
  <c r="CS6" i="2"/>
  <c r="F48" i="20" s="1"/>
  <c r="DN6" i="2"/>
  <c r="R48" i="20" s="1"/>
  <c r="BJ7" i="2"/>
  <c r="N15" i="20" s="1"/>
  <c r="CF7" i="2"/>
  <c r="AA15" i="20" s="1"/>
  <c r="CZ7" i="2"/>
  <c r="J49" i="20" s="1"/>
  <c r="DU7" i="2"/>
  <c r="V49" i="20" s="1"/>
  <c r="CM8" i="2"/>
  <c r="C50" i="20" s="1"/>
  <c r="BK11" i="2"/>
  <c r="O19" i="20" s="1"/>
  <c r="AO13" i="2"/>
  <c r="B21" i="20" s="1"/>
  <c r="AO14" i="2"/>
  <c r="B22" i="20" s="1"/>
  <c r="CS18" i="2"/>
  <c r="F60" i="20" s="1"/>
  <c r="AO22" i="2"/>
  <c r="B30" i="20" s="1"/>
  <c r="CS26" i="2"/>
  <c r="F68" i="20" s="1"/>
  <c r="DO26" i="2"/>
  <c r="S68" i="20" s="1"/>
  <c r="DA27" i="2"/>
  <c r="K69" i="20" s="1"/>
  <c r="DV27" i="2"/>
  <c r="W69" i="20" s="1"/>
  <c r="BC28" i="2"/>
  <c r="J36" i="20" s="1"/>
  <c r="DV28" i="2"/>
  <c r="W70" i="20" s="1"/>
  <c r="CM29" i="2"/>
  <c r="C71" i="20" s="1"/>
  <c r="EB29" i="2"/>
  <c r="Z71" i="20" s="1"/>
  <c r="CS31" i="2"/>
  <c r="F73" i="20" s="1"/>
  <c r="BX32" i="2"/>
  <c r="V40" i="20" s="1"/>
  <c r="EB32" i="2"/>
  <c r="Z74" i="20" s="1"/>
  <c r="CF33" i="2"/>
  <c r="AA41" i="20" s="1"/>
  <c r="BY34" i="2"/>
  <c r="W42" i="20" s="1"/>
  <c r="DU34" i="2"/>
  <c r="V76" i="20" s="1"/>
  <c r="DH35" i="2"/>
  <c r="O77" i="20" s="1"/>
  <c r="A5" i="3"/>
  <c r="K15" i="3" s="1"/>
  <c r="DV14" i="2"/>
  <c r="W56" i="20" s="1"/>
  <c r="AW15" i="2"/>
  <c r="G23" i="20" s="1"/>
  <c r="EB14" i="2"/>
  <c r="Z56" i="20" s="1"/>
  <c r="BX14" i="2"/>
  <c r="V22" i="20" s="1"/>
  <c r="BJ4" i="2"/>
  <c r="N12" i="20" s="1"/>
  <c r="DN4" i="2"/>
  <c r="R46" i="20" s="1"/>
  <c r="R5" i="2"/>
  <c r="S5" i="2" s="1"/>
  <c r="L5" i="2" s="1"/>
  <c r="U6" i="2"/>
  <c r="T6" i="2" s="1"/>
  <c r="U10" i="2"/>
  <c r="T10" i="2" s="1"/>
  <c r="AW10" i="2"/>
  <c r="G18" i="20" s="1"/>
  <c r="BJ10" i="2"/>
  <c r="N18" i="20" s="1"/>
  <c r="CF11" i="2"/>
  <c r="AA19" i="20" s="1"/>
  <c r="DG11" i="2"/>
  <c r="N53" i="20" s="1"/>
  <c r="BC12" i="2"/>
  <c r="J20" i="20" s="1"/>
  <c r="BR13" i="2"/>
  <c r="S21" i="20" s="1"/>
  <c r="U19" i="2"/>
  <c r="T19" i="2" s="1"/>
  <c r="BD19" i="2"/>
  <c r="K27" i="20" s="1"/>
  <c r="AV27" i="2"/>
  <c r="F35" i="20" s="1"/>
  <c r="R4" i="2"/>
  <c r="S4" i="2" s="1"/>
  <c r="U9" i="2"/>
  <c r="T9" i="2" s="1"/>
  <c r="R7" i="2"/>
  <c r="S7" i="2" s="1"/>
  <c r="L7" i="2" s="1"/>
  <c r="U13" i="2"/>
  <c r="T13" i="2" s="1"/>
  <c r="DN13" i="2"/>
  <c r="R55" i="20" s="1"/>
  <c r="R14" i="2"/>
  <c r="S14" i="2" s="1"/>
  <c r="R18" i="2"/>
  <c r="S18" i="2" s="1"/>
  <c r="L18" i="2" s="1"/>
  <c r="BK19" i="2"/>
  <c r="O27" i="20" s="1"/>
  <c r="CM24" i="2"/>
  <c r="C66" i="20" s="1"/>
  <c r="U34" i="2"/>
  <c r="T34" i="2" s="1"/>
  <c r="U31" i="2"/>
  <c r="T31" i="2" s="1"/>
  <c r="U27" i="2"/>
  <c r="T27" i="2" s="1"/>
  <c r="U23" i="2"/>
  <c r="T23" i="2" s="1"/>
  <c r="U33" i="2"/>
  <c r="T33" i="2" s="1"/>
  <c r="R30" i="2"/>
  <c r="S30" i="2" s="1"/>
  <c r="L30" i="2" s="1"/>
  <c r="R35" i="2"/>
  <c r="S35" i="2" s="1"/>
  <c r="U32" i="2"/>
  <c r="T32" i="2" s="1"/>
  <c r="U28" i="2"/>
  <c r="T28" i="2" s="1"/>
  <c r="U24" i="2"/>
  <c r="T24" i="2" s="1"/>
  <c r="R34" i="2"/>
  <c r="S34" i="2" s="1"/>
  <c r="L34" i="2" s="1"/>
  <c r="R31" i="2"/>
  <c r="S31" i="2" s="1"/>
  <c r="R27" i="2"/>
  <c r="S27" i="2" s="1"/>
  <c r="R23" i="2"/>
  <c r="S23" i="2" s="1"/>
  <c r="R33" i="2"/>
  <c r="S33" i="2" s="1"/>
  <c r="U29" i="2"/>
  <c r="T29" i="2" s="1"/>
  <c r="R32" i="2"/>
  <c r="S32" i="2" s="1"/>
  <c r="L32" i="2" s="1"/>
  <c r="R28" i="2"/>
  <c r="S28" i="2" s="1"/>
  <c r="R24" i="2"/>
  <c r="S24" i="2" s="1"/>
  <c r="L24" i="2" s="1"/>
  <c r="U20" i="2"/>
  <c r="T20" i="2" s="1"/>
  <c r="R19" i="2"/>
  <c r="S19" i="2" s="1"/>
  <c r="L19" i="2" s="1"/>
  <c r="R15" i="2"/>
  <c r="S15" i="2" s="1"/>
  <c r="L15" i="2" s="1"/>
  <c r="R11" i="2"/>
  <c r="S11" i="2" s="1"/>
  <c r="L11" i="2" s="1"/>
  <c r="U25" i="2"/>
  <c r="T25" i="2" s="1"/>
  <c r="U17" i="2"/>
  <c r="T17" i="2" s="1"/>
  <c r="U35" i="2"/>
  <c r="T35" i="2" s="1"/>
  <c r="U30" i="2"/>
  <c r="T30" i="2" s="1"/>
  <c r="U21" i="2"/>
  <c r="T21" i="2" s="1"/>
  <c r="R16" i="2"/>
  <c r="S16" i="2" s="1"/>
  <c r="R12" i="2"/>
  <c r="S12" i="2" s="1"/>
  <c r="L12" i="2" s="1"/>
  <c r="R25" i="2"/>
  <c r="S25" i="2" s="1"/>
  <c r="L25" i="2" s="1"/>
  <c r="U22" i="2"/>
  <c r="T22" i="2" s="1"/>
  <c r="R20" i="2"/>
  <c r="S20" i="2" s="1"/>
  <c r="U18" i="2"/>
  <c r="T18" i="2" s="1"/>
  <c r="U14" i="2"/>
  <c r="T14" i="2" s="1"/>
  <c r="R21" i="2"/>
  <c r="S21" i="2" s="1"/>
  <c r="L21" i="2" s="1"/>
  <c r="R17" i="2"/>
  <c r="S17" i="2" s="1"/>
  <c r="R29" i="2"/>
  <c r="S29" i="2" s="1"/>
  <c r="R26" i="2"/>
  <c r="S26" i="2" s="1"/>
  <c r="L26" i="2" s="1"/>
  <c r="U16" i="2"/>
  <c r="T16" i="2" s="1"/>
  <c r="EB31" i="2"/>
  <c r="Z73" i="20" s="1"/>
  <c r="CT31" i="2"/>
  <c r="G73" i="20" s="1"/>
  <c r="DN30" i="2"/>
  <c r="R72" i="20" s="1"/>
  <c r="BJ30" i="2"/>
  <c r="N38" i="20" s="1"/>
  <c r="DV29" i="2"/>
  <c r="W71" i="20" s="1"/>
  <c r="CZ29" i="2"/>
  <c r="J71" i="20" s="1"/>
  <c r="CF31" i="2"/>
  <c r="AA39" i="20" s="1"/>
  <c r="BR30" i="2"/>
  <c r="S38" i="20" s="1"/>
  <c r="AO28" i="2"/>
  <c r="B36" i="20" s="1"/>
  <c r="DH7" i="2"/>
  <c r="O49" i="20" s="1"/>
  <c r="U8" i="2"/>
  <c r="T8" i="2" s="1"/>
  <c r="U11" i="2"/>
  <c r="T11" i="2" s="1"/>
  <c r="U12" i="2"/>
  <c r="T12" i="2" s="1"/>
  <c r="CM13" i="2"/>
  <c r="C55" i="20" s="1"/>
  <c r="U15" i="2"/>
  <c r="T15" i="2" s="1"/>
  <c r="DV19" i="2"/>
  <c r="W61" i="20" s="1"/>
  <c r="BD29" i="2"/>
  <c r="K37" i="20" s="1"/>
  <c r="DV25" i="2"/>
  <c r="W67" i="20" s="1"/>
  <c r="AO24" i="2"/>
  <c r="B32" i="20" s="1"/>
  <c r="BJ26" i="2"/>
  <c r="N34" i="20" s="1"/>
  <c r="CT27" i="2"/>
  <c r="G69" i="20" s="1"/>
  <c r="EB27" i="2"/>
  <c r="Z69" i="20" s="1"/>
  <c r="CF27" i="2"/>
  <c r="AA35" i="20" s="1"/>
  <c r="DN26" i="2"/>
  <c r="R68" i="20" s="1"/>
  <c r="BR26" i="2"/>
  <c r="S34" i="20" s="1"/>
  <c r="DN34" i="2"/>
  <c r="R76" i="20" s="1"/>
  <c r="BJ34" i="2"/>
  <c r="N42" i="20" s="1"/>
  <c r="CZ33" i="2"/>
  <c r="J75" i="20" s="1"/>
  <c r="BX33" i="2"/>
  <c r="V41" i="20" s="1"/>
  <c r="DH34" i="2"/>
  <c r="O76" i="20" s="1"/>
  <c r="BR34" i="2"/>
  <c r="S42" i="20" s="1"/>
  <c r="AO32" i="2"/>
  <c r="B40" i="20" s="1"/>
  <c r="U5" i="2"/>
  <c r="T5" i="2" s="1"/>
  <c r="U4" i="2"/>
  <c r="T4" i="2" s="1"/>
  <c r="DO5" i="2"/>
  <c r="S47" i="20" s="1"/>
  <c r="R6" i="2"/>
  <c r="S6" i="2" s="1"/>
  <c r="L6" i="2" s="1"/>
  <c r="R10" i="2"/>
  <c r="S10" i="2" s="1"/>
  <c r="L10" i="2" s="1"/>
  <c r="BR10" i="2"/>
  <c r="S18" i="20" s="1"/>
  <c r="DA12" i="2"/>
  <c r="K54" i="20" s="1"/>
  <c r="CF14" i="2"/>
  <c r="AA22" i="20" s="1"/>
  <c r="R22" i="2"/>
  <c r="S22" i="2" s="1"/>
  <c r="L22" i="2" s="1"/>
  <c r="BD25" i="2"/>
  <c r="K33" i="20" s="1"/>
  <c r="U26" i="2"/>
  <c r="T26" i="2" s="1"/>
  <c r="EB19" i="2"/>
  <c r="Z61" i="20" s="1"/>
  <c r="BX19" i="2"/>
  <c r="V27" i="20" s="1"/>
  <c r="CS19" i="2"/>
  <c r="F61" i="20" s="1"/>
  <c r="AO19" i="2"/>
  <c r="B27" i="20" s="1"/>
  <c r="CL19" i="2"/>
  <c r="B61" i="20" s="1"/>
  <c r="BR4" i="2"/>
  <c r="S12" i="20" s="1"/>
  <c r="DV4" i="2"/>
  <c r="W46" i="20" s="1"/>
  <c r="U7" i="2"/>
  <c r="T7" i="2" s="1"/>
  <c r="DH19" i="2"/>
  <c r="O61" i="20" s="1"/>
  <c r="AV35" i="2"/>
  <c r="F43" i="20" s="1"/>
  <c r="R8" i="2"/>
  <c r="S8" i="2" s="1"/>
  <c r="L8" i="2" s="1"/>
  <c r="CT19" i="2"/>
  <c r="G61" i="20" s="1"/>
  <c r="AP19" i="2"/>
  <c r="C27" i="20" s="1"/>
  <c r="DA19" i="2"/>
  <c r="K61" i="20" s="1"/>
  <c r="AW19" i="2"/>
  <c r="G27" i="20" s="1"/>
  <c r="R13" i="2"/>
  <c r="S13" i="2" s="1"/>
  <c r="L13" i="2" s="1"/>
  <c r="Z2" i="2"/>
  <c r="R9" i="2"/>
  <c r="S9" i="2" s="1"/>
  <c r="BJ15" i="2"/>
  <c r="N23" i="20" s="1"/>
  <c r="EC19" i="2"/>
  <c r="AA61" i="20" s="1"/>
  <c r="DH26" i="2"/>
  <c r="O68" i="20" s="1"/>
  <c r="DH30" i="2"/>
  <c r="O72" i="20" s="1"/>
  <c r="BQ31" i="2"/>
  <c r="R39" i="20" s="1"/>
  <c r="EC30" i="2"/>
  <c r="AA72" i="20" s="1"/>
  <c r="AV29" i="2"/>
  <c r="F37" i="20" s="1"/>
  <c r="CL34" i="2"/>
  <c r="B76" i="20" s="1"/>
  <c r="BY33" i="2"/>
  <c r="W41" i="20" s="1"/>
  <c r="AV33" i="2"/>
  <c r="F41" i="20" s="1"/>
  <c r="AP34" i="2"/>
  <c r="C42" i="20" s="1"/>
  <c r="DO35" i="2"/>
  <c r="S77" i="20" s="1"/>
  <c r="BX25" i="2"/>
  <c r="V33" i="20" s="1"/>
  <c r="BX29" i="2"/>
  <c r="V37" i="20" s="1"/>
  <c r="AV31" i="2"/>
  <c r="F39" i="20" s="1"/>
  <c r="DV33" i="2"/>
  <c r="W75" i="20" s="1"/>
  <c r="CT35" i="2"/>
  <c r="G77" i="20" s="1"/>
  <c r="BD33" i="2"/>
  <c r="K41" i="20" s="1"/>
  <c r="CM28" i="2"/>
  <c r="C70" i="20" s="1"/>
  <c r="CM32" i="2"/>
  <c r="C74" i="20" s="1"/>
  <c r="CF35" i="2"/>
  <c r="AA43" i="20" s="1"/>
  <c r="EB35" i="2"/>
  <c r="Z77" i="20" s="1"/>
  <c r="M123" i="11" l="1"/>
  <c r="M51" i="11"/>
  <c r="M11" i="11"/>
  <c r="M123" i="9"/>
  <c r="M91" i="11"/>
  <c r="M71" i="11"/>
  <c r="M111" i="11"/>
  <c r="M31" i="11"/>
  <c r="M51" i="9"/>
  <c r="M71" i="9"/>
  <c r="M31" i="9"/>
  <c r="M91" i="9"/>
  <c r="M11" i="9"/>
  <c r="M111" i="9"/>
  <c r="K267" i="3"/>
  <c r="K301" i="3"/>
  <c r="K148" i="3"/>
  <c r="K276" i="3"/>
  <c r="K126" i="3"/>
  <c r="K347" i="3"/>
  <c r="K229" i="3"/>
  <c r="K253" i="3"/>
  <c r="K125" i="3"/>
  <c r="K380" i="3"/>
  <c r="K294" i="3"/>
  <c r="K390" i="3"/>
  <c r="K385" i="3"/>
  <c r="K358" i="3"/>
  <c r="K205" i="3"/>
  <c r="K252" i="3"/>
  <c r="K251" i="3"/>
  <c r="K353" i="3"/>
  <c r="K206" i="3"/>
  <c r="K157" i="3"/>
  <c r="K220" i="3"/>
  <c r="K43" i="3"/>
  <c r="K320" i="3"/>
  <c r="K357" i="3"/>
  <c r="K101" i="3"/>
  <c r="K124" i="3"/>
  <c r="K386" i="3"/>
  <c r="K333" i="3"/>
  <c r="K45" i="3"/>
  <c r="K20" i="3"/>
  <c r="K210" i="3"/>
  <c r="K278" i="3"/>
  <c r="K46" i="3"/>
  <c r="K178" i="3"/>
  <c r="K225" i="3"/>
  <c r="K160" i="3"/>
  <c r="K120" i="3"/>
  <c r="L33" i="2"/>
  <c r="K29" i="3"/>
  <c r="K172" i="3"/>
  <c r="K299" i="3"/>
  <c r="K290" i="3"/>
  <c r="K329" i="3"/>
  <c r="K32" i="3"/>
  <c r="K121" i="3"/>
  <c r="K348" i="3"/>
  <c r="K76" i="3"/>
  <c r="K139" i="3"/>
  <c r="K162" i="3"/>
  <c r="K41" i="3"/>
  <c r="K332" i="3"/>
  <c r="K44" i="3"/>
  <c r="K67" i="3"/>
  <c r="K126" i="13" s="1"/>
  <c r="K106" i="3"/>
  <c r="K17" i="3"/>
  <c r="K195" i="3"/>
  <c r="K362" i="3"/>
  <c r="K82" i="3"/>
  <c r="K273" i="3"/>
  <c r="K110" i="3"/>
  <c r="K366" i="3"/>
  <c r="K171" i="3"/>
  <c r="K306" i="3"/>
  <c r="K50" i="3"/>
  <c r="K257" i="3"/>
  <c r="K344" i="3"/>
  <c r="K383" i="3"/>
  <c r="K379" i="3"/>
  <c r="K91" i="3"/>
  <c r="K258" i="3"/>
  <c r="K270" i="3"/>
  <c r="K177" i="3"/>
  <c r="K272" i="3"/>
  <c r="K174" i="3"/>
  <c r="K145" i="3"/>
  <c r="K200" i="3"/>
  <c r="K14" i="3"/>
  <c r="K293" i="3"/>
  <c r="K189" i="3"/>
  <c r="K93" i="3"/>
  <c r="K182" i="3"/>
  <c r="K316" i="3"/>
  <c r="K212" i="3"/>
  <c r="K108" i="3"/>
  <c r="K12" i="3"/>
  <c r="AT18" i="13" s="1"/>
  <c r="K331" i="3"/>
  <c r="K235" i="3"/>
  <c r="K131" i="3"/>
  <c r="K27" i="3"/>
  <c r="K354" i="3"/>
  <c r="K242" i="3"/>
  <c r="K146" i="3"/>
  <c r="K42" i="3"/>
  <c r="G2" i="11" s="1"/>
  <c r="K86" i="3"/>
  <c r="K321" i="3"/>
  <c r="K209" i="3"/>
  <c r="K97" i="3"/>
  <c r="K54" i="3"/>
  <c r="K256" i="3"/>
  <c r="K112" i="3"/>
  <c r="K359" i="3"/>
  <c r="K381" i="3"/>
  <c r="K285" i="3"/>
  <c r="K173" i="3"/>
  <c r="K77" i="3"/>
  <c r="K118" i="3"/>
  <c r="K300" i="3"/>
  <c r="K204" i="3"/>
  <c r="K92" i="3"/>
  <c r="K310" i="3"/>
  <c r="K323" i="3"/>
  <c r="K219" i="3"/>
  <c r="K123" i="3"/>
  <c r="K11" i="3"/>
  <c r="D14" i="1" s="1"/>
  <c r="K338" i="3"/>
  <c r="K234" i="3"/>
  <c r="K130" i="3"/>
  <c r="K34" i="3"/>
  <c r="K38" i="3"/>
  <c r="K305" i="3"/>
  <c r="K201" i="3"/>
  <c r="K81" i="3"/>
  <c r="K392" i="3"/>
  <c r="K232" i="3"/>
  <c r="K80" i="3"/>
  <c r="K327" i="3"/>
  <c r="K365" i="3"/>
  <c r="K269" i="3"/>
  <c r="K165" i="3"/>
  <c r="K61" i="3"/>
  <c r="K22" i="3"/>
  <c r="K284" i="3"/>
  <c r="K188" i="3"/>
  <c r="K84" i="3"/>
  <c r="K142" i="3"/>
  <c r="K315" i="3"/>
  <c r="K203" i="3"/>
  <c r="K107" i="3"/>
  <c r="K382" i="3"/>
  <c r="K322" i="3"/>
  <c r="K226" i="3"/>
  <c r="K114" i="3"/>
  <c r="K18" i="3"/>
  <c r="B14" i="1" s="1"/>
  <c r="K393" i="3"/>
  <c r="K289" i="3"/>
  <c r="K193" i="3"/>
  <c r="K57" i="3"/>
  <c r="L125" i="13" s="1"/>
  <c r="K368" i="3"/>
  <c r="K208" i="3"/>
  <c r="K56" i="3"/>
  <c r="K279" i="3"/>
  <c r="K286" i="3"/>
  <c r="K349" i="3"/>
  <c r="K237" i="3"/>
  <c r="K141" i="3"/>
  <c r="K37" i="3"/>
  <c r="K364" i="3"/>
  <c r="K268" i="3"/>
  <c r="K156" i="3"/>
  <c r="K60" i="3"/>
  <c r="K387" i="3"/>
  <c r="K283" i="3"/>
  <c r="K187" i="3"/>
  <c r="K75" i="3"/>
  <c r="K30" i="3"/>
  <c r="K298" i="3"/>
  <c r="K194" i="3"/>
  <c r="K98" i="3"/>
  <c r="K318" i="3"/>
  <c r="K369" i="3"/>
  <c r="K265" i="3"/>
  <c r="K161" i="3"/>
  <c r="K33" i="3"/>
  <c r="K328" i="3"/>
  <c r="K184" i="3"/>
  <c r="K16" i="3"/>
  <c r="K166" i="3"/>
  <c r="K317" i="3"/>
  <c r="K221" i="3"/>
  <c r="K109" i="3"/>
  <c r="K13" i="3"/>
  <c r="F24" i="1" s="1"/>
  <c r="K340" i="3"/>
  <c r="K236" i="3"/>
  <c r="K140" i="3"/>
  <c r="K28" i="3"/>
  <c r="K363" i="3"/>
  <c r="K259" i="3"/>
  <c r="K155" i="3"/>
  <c r="K59" i="3"/>
  <c r="K370" i="3"/>
  <c r="K274" i="3"/>
  <c r="K170" i="3"/>
  <c r="K66" i="3"/>
  <c r="O137" i="13" s="1"/>
  <c r="K246" i="3"/>
  <c r="K337" i="3"/>
  <c r="K241" i="3"/>
  <c r="K137" i="3"/>
  <c r="K262" i="3"/>
  <c r="K304" i="3"/>
  <c r="K128" i="3"/>
  <c r="K102" i="3"/>
  <c r="K78" i="3"/>
  <c r="K341" i="3"/>
  <c r="K277" i="3"/>
  <c r="K213" i="3"/>
  <c r="K149" i="3"/>
  <c r="K85" i="3"/>
  <c r="K21" i="3"/>
  <c r="K388" i="3"/>
  <c r="K324" i="3"/>
  <c r="K260" i="3"/>
  <c r="K196" i="3"/>
  <c r="K132" i="3"/>
  <c r="K68" i="3"/>
  <c r="K132" i="13" s="1"/>
  <c r="K374" i="3"/>
  <c r="K371" i="3"/>
  <c r="K307" i="3"/>
  <c r="K243" i="3"/>
  <c r="K179" i="3"/>
  <c r="K115" i="3"/>
  <c r="K51" i="3"/>
  <c r="K190" i="3"/>
  <c r="K346" i="3"/>
  <c r="K282" i="3"/>
  <c r="K218" i="3"/>
  <c r="K154" i="3"/>
  <c r="K90" i="3"/>
  <c r="K26" i="3"/>
  <c r="K198" i="3"/>
  <c r="K377" i="3"/>
  <c r="K313" i="3"/>
  <c r="K249" i="3"/>
  <c r="K185" i="3"/>
  <c r="K105" i="3"/>
  <c r="K25" i="3"/>
  <c r="K384" i="3"/>
  <c r="K288" i="3"/>
  <c r="K192" i="3"/>
  <c r="K104" i="3"/>
  <c r="K222" i="3"/>
  <c r="K263" i="3"/>
  <c r="K255" i="3"/>
  <c r="K326" i="3"/>
  <c r="K389" i="3"/>
  <c r="K325" i="3"/>
  <c r="K261" i="3"/>
  <c r="K197" i="3"/>
  <c r="K133" i="3"/>
  <c r="K69" i="3"/>
  <c r="K342" i="3"/>
  <c r="K372" i="3"/>
  <c r="K308" i="3"/>
  <c r="K244" i="3"/>
  <c r="K180" i="3"/>
  <c r="K116" i="3"/>
  <c r="K52" i="3"/>
  <c r="K230" i="3"/>
  <c r="K355" i="3"/>
  <c r="K291" i="3"/>
  <c r="K227" i="3"/>
  <c r="K163" i="3"/>
  <c r="K99" i="3"/>
  <c r="K35" i="3"/>
  <c r="K6" i="3"/>
  <c r="K330" i="3"/>
  <c r="K266" i="3"/>
  <c r="K202" i="3"/>
  <c r="K138" i="3"/>
  <c r="K74" i="3"/>
  <c r="K10" i="3"/>
  <c r="H20" i="1" s="1"/>
  <c r="K134" i="3"/>
  <c r="K361" i="3"/>
  <c r="K297" i="3"/>
  <c r="K233" i="3"/>
  <c r="K169" i="3"/>
  <c r="K89" i="3"/>
  <c r="K9" i="3"/>
  <c r="F20" i="1" s="1"/>
  <c r="K352" i="3"/>
  <c r="K264" i="3"/>
  <c r="K176" i="3"/>
  <c r="K64" i="3"/>
  <c r="I134" i="13" s="1"/>
  <c r="K391" i="3"/>
  <c r="K183" i="3"/>
  <c r="K254" i="3"/>
  <c r="K373" i="3"/>
  <c r="K309" i="3"/>
  <c r="K245" i="3"/>
  <c r="K181" i="3"/>
  <c r="K117" i="3"/>
  <c r="K53" i="3"/>
  <c r="L16" i="13" s="1"/>
  <c r="K238" i="3"/>
  <c r="K356" i="3"/>
  <c r="K292" i="3"/>
  <c r="K228" i="3"/>
  <c r="K164" i="3"/>
  <c r="K100" i="3"/>
  <c r="K36" i="3"/>
  <c r="K94" i="3"/>
  <c r="K339" i="3"/>
  <c r="K275" i="3"/>
  <c r="K211" i="3"/>
  <c r="K147" i="3"/>
  <c r="K83" i="3"/>
  <c r="K19" i="3"/>
  <c r="K378" i="3"/>
  <c r="K314" i="3"/>
  <c r="K250" i="3"/>
  <c r="K186" i="3"/>
  <c r="K122" i="3"/>
  <c r="K58" i="3"/>
  <c r="K350" i="3"/>
  <c r="K70" i="3"/>
  <c r="K345" i="3"/>
  <c r="K281" i="3"/>
  <c r="K217" i="3"/>
  <c r="K153" i="3"/>
  <c r="K73" i="3"/>
  <c r="K158" i="3"/>
  <c r="K336" i="3"/>
  <c r="K248" i="3"/>
  <c r="K136" i="3"/>
  <c r="K48" i="3"/>
  <c r="K375" i="3"/>
  <c r="K239" i="3"/>
  <c r="K127" i="3"/>
  <c r="K319" i="3"/>
  <c r="K135" i="3"/>
  <c r="K119" i="3"/>
  <c r="K129" i="3"/>
  <c r="K65" i="3"/>
  <c r="N137" i="13" s="1"/>
  <c r="K334" i="3"/>
  <c r="K376" i="3"/>
  <c r="K312" i="3"/>
  <c r="K240" i="3"/>
  <c r="K168" i="3"/>
  <c r="K96" i="3"/>
  <c r="K8" i="3"/>
  <c r="K367" i="3"/>
  <c r="K247" i="3"/>
  <c r="K113" i="3"/>
  <c r="K49" i="3"/>
  <c r="K214" i="3"/>
  <c r="K360" i="3"/>
  <c r="K296" i="3"/>
  <c r="K224" i="3"/>
  <c r="K144" i="3"/>
  <c r="K72" i="3"/>
  <c r="K302" i="3"/>
  <c r="K343" i="3"/>
  <c r="K191" i="3"/>
  <c r="L17" i="2"/>
  <c r="L23" i="2"/>
  <c r="L27" i="2"/>
  <c r="L29" i="2"/>
  <c r="L35" i="2"/>
  <c r="L20" i="2"/>
  <c r="L28" i="2"/>
  <c r="L16" i="2"/>
  <c r="L14" i="2"/>
  <c r="L9" i="2"/>
  <c r="L31" i="2"/>
  <c r="L4" i="2"/>
  <c r="K311" i="3"/>
  <c r="K231" i="3"/>
  <c r="K87" i="3"/>
  <c r="K303" i="3"/>
  <c r="K215" i="3"/>
  <c r="K71" i="3"/>
  <c r="K295" i="3"/>
  <c r="K199" i="3"/>
  <c r="K7" i="3"/>
  <c r="K111" i="3"/>
  <c r="K175" i="3"/>
  <c r="K63" i="3"/>
  <c r="K151" i="3"/>
  <c r="K55" i="3"/>
  <c r="N11" i="13" s="1"/>
  <c r="K47" i="3"/>
  <c r="K23" i="3"/>
  <c r="K167" i="3"/>
  <c r="K103" i="3"/>
  <c r="K39" i="3"/>
  <c r="K40" i="3"/>
  <c r="K150" i="3"/>
  <c r="K351" i="3"/>
  <c r="K287" i="3"/>
  <c r="K223" i="3"/>
  <c r="K159" i="3"/>
  <c r="K95" i="3"/>
  <c r="K31" i="3"/>
  <c r="K280" i="3"/>
  <c r="K216" i="3"/>
  <c r="K152" i="3"/>
  <c r="K88" i="3"/>
  <c r="K24" i="3"/>
  <c r="K62" i="3"/>
  <c r="K335" i="3"/>
  <c r="K271" i="3"/>
  <c r="K207" i="3"/>
  <c r="K143" i="3"/>
  <c r="K79" i="3"/>
  <c r="D20" i="1" l="1"/>
  <c r="S5" i="16"/>
  <c r="B20" i="1"/>
  <c r="C5" i="16"/>
  <c r="B24" i="1"/>
  <c r="R421" i="16"/>
  <c r="R365" i="16"/>
  <c r="R267" i="16"/>
  <c r="C253" i="16"/>
  <c r="R141" i="16"/>
  <c r="C127" i="16"/>
  <c r="C99" i="16"/>
  <c r="R85" i="16"/>
  <c r="C71" i="16"/>
  <c r="C337" i="16"/>
  <c r="C407" i="16"/>
  <c r="C351" i="16"/>
  <c r="R253" i="16"/>
  <c r="C29" i="16"/>
  <c r="C421" i="16"/>
  <c r="C365" i="16"/>
  <c r="R281" i="16"/>
  <c r="C267" i="16"/>
  <c r="R155" i="16"/>
  <c r="C141" i="16"/>
  <c r="C85" i="16"/>
  <c r="R43" i="16"/>
  <c r="R463" i="16"/>
  <c r="R435" i="16"/>
  <c r="R379" i="16"/>
  <c r="R295" i="16"/>
  <c r="C281" i="16"/>
  <c r="R169" i="16"/>
  <c r="C155" i="16"/>
  <c r="C43" i="16"/>
  <c r="C463" i="16"/>
  <c r="C435" i="16"/>
  <c r="C379" i="16"/>
  <c r="R309" i="16"/>
  <c r="C295" i="16"/>
  <c r="R183" i="16"/>
  <c r="C169" i="16"/>
  <c r="R449" i="16"/>
  <c r="R407" i="16"/>
  <c r="C225" i="16"/>
  <c r="C239" i="16"/>
  <c r="R127" i="16"/>
  <c r="C113" i="16"/>
  <c r="R99" i="16"/>
  <c r="R71" i="16"/>
  <c r="R393" i="16"/>
  <c r="R323" i="16"/>
  <c r="C309" i="16"/>
  <c r="R211" i="16"/>
  <c r="R197" i="16"/>
  <c r="C183" i="16"/>
  <c r="R57" i="16"/>
  <c r="R15" i="16"/>
  <c r="R351" i="16"/>
  <c r="C393" i="16"/>
  <c r="R337" i="16"/>
  <c r="C323" i="16"/>
  <c r="R225" i="16"/>
  <c r="C211" i="16"/>
  <c r="C197" i="16"/>
  <c r="C57" i="16"/>
  <c r="C15" i="16"/>
  <c r="R239" i="16"/>
  <c r="R113" i="16"/>
  <c r="R29" i="16"/>
  <c r="C449" i="16"/>
  <c r="J463" i="16"/>
  <c r="J295" i="16"/>
  <c r="Y267" i="16"/>
  <c r="J197" i="16"/>
  <c r="Y169" i="16"/>
  <c r="Y29" i="16"/>
  <c r="Y99" i="16"/>
  <c r="J281" i="16"/>
  <c r="Y253" i="16"/>
  <c r="J183" i="16"/>
  <c r="Y155" i="16"/>
  <c r="J99" i="16"/>
  <c r="Y43" i="16"/>
  <c r="Y435" i="16"/>
  <c r="Y421" i="16"/>
  <c r="Y407" i="16"/>
  <c r="Y393" i="16"/>
  <c r="Y379" i="16"/>
  <c r="Y365" i="16"/>
  <c r="Y351" i="16"/>
  <c r="J267" i="16"/>
  <c r="Y239" i="16"/>
  <c r="J169" i="16"/>
  <c r="Y141" i="16"/>
  <c r="Y85" i="16"/>
  <c r="Y57" i="16"/>
  <c r="J29" i="16"/>
  <c r="Y15" i="16"/>
  <c r="Y337" i="16"/>
  <c r="J253" i="16"/>
  <c r="Y225" i="16"/>
  <c r="J155" i="16"/>
  <c r="Y127" i="16"/>
  <c r="Y71" i="16"/>
  <c r="J43" i="16"/>
  <c r="Y183" i="16"/>
  <c r="Y449" i="16"/>
  <c r="J435" i="16"/>
  <c r="J421" i="16"/>
  <c r="J407" i="16"/>
  <c r="J393" i="16"/>
  <c r="J379" i="16"/>
  <c r="J365" i="16"/>
  <c r="J351" i="16"/>
  <c r="Y323" i="16"/>
  <c r="J239" i="16"/>
  <c r="Y211" i="16"/>
  <c r="J141" i="16"/>
  <c r="Y113" i="16"/>
  <c r="J85" i="16"/>
  <c r="J57" i="16"/>
  <c r="J15" i="16"/>
  <c r="Y281" i="16"/>
  <c r="J337" i="16"/>
  <c r="Y309" i="16"/>
  <c r="J225" i="16"/>
  <c r="J127" i="16"/>
  <c r="J71" i="16"/>
  <c r="J309" i="16"/>
  <c r="Y463" i="16"/>
  <c r="J449" i="16"/>
  <c r="J323" i="16"/>
  <c r="Y295" i="16"/>
  <c r="J211" i="16"/>
  <c r="Y197" i="16"/>
  <c r="J113" i="16"/>
  <c r="T463" i="16"/>
  <c r="T449" i="16"/>
  <c r="T435" i="16"/>
  <c r="T379" i="16"/>
  <c r="E309" i="16"/>
  <c r="T295" i="16"/>
  <c r="E127" i="16"/>
  <c r="T113" i="16"/>
  <c r="E99" i="16"/>
  <c r="E71" i="16"/>
  <c r="T29" i="16"/>
  <c r="T337" i="16"/>
  <c r="E393" i="16"/>
  <c r="E267" i="16"/>
  <c r="T253" i="16"/>
  <c r="E197" i="16"/>
  <c r="T183" i="16"/>
  <c r="E57" i="16"/>
  <c r="T421" i="16"/>
  <c r="T365" i="16"/>
  <c r="E337" i="16"/>
  <c r="T323" i="16"/>
  <c r="E225" i="16"/>
  <c r="T211" i="16"/>
  <c r="E155" i="16"/>
  <c r="T141" i="16"/>
  <c r="T85" i="16"/>
  <c r="E43" i="16"/>
  <c r="E239" i="16"/>
  <c r="T155" i="16"/>
  <c r="T43" i="16"/>
  <c r="E463" i="16"/>
  <c r="E449" i="16"/>
  <c r="E435" i="16"/>
  <c r="E379" i="16"/>
  <c r="E295" i="16"/>
  <c r="T281" i="16"/>
  <c r="E113" i="16"/>
  <c r="E29" i="16"/>
  <c r="E407" i="16"/>
  <c r="E169" i="16"/>
  <c r="T407" i="16"/>
  <c r="T351" i="16"/>
  <c r="E253" i="16"/>
  <c r="T239" i="16"/>
  <c r="E183" i="16"/>
  <c r="T169" i="16"/>
  <c r="T15" i="16"/>
  <c r="L137" i="13"/>
  <c r="E421" i="16"/>
  <c r="E365" i="16"/>
  <c r="E323" i="16"/>
  <c r="T309" i="16"/>
  <c r="E211" i="16"/>
  <c r="E141" i="16"/>
  <c r="T127" i="16"/>
  <c r="T99" i="16"/>
  <c r="E85" i="16"/>
  <c r="T71" i="16"/>
  <c r="E351" i="16"/>
  <c r="T225" i="16"/>
  <c r="E15" i="16"/>
  <c r="T393" i="16"/>
  <c r="E281" i="16"/>
  <c r="T267" i="16"/>
  <c r="T197" i="16"/>
  <c r="T57" i="16"/>
  <c r="U463" i="16"/>
  <c r="F435" i="16"/>
  <c r="U421" i="16"/>
  <c r="F407" i="16"/>
  <c r="U393" i="16"/>
  <c r="F379" i="16"/>
  <c r="U365" i="16"/>
  <c r="F351" i="16"/>
  <c r="U295" i="16"/>
  <c r="F239" i="16"/>
  <c r="F197" i="16"/>
  <c r="U141" i="16"/>
  <c r="U85" i="16"/>
  <c r="U57" i="16"/>
  <c r="F15" i="16"/>
  <c r="U337" i="16"/>
  <c r="F281" i="16"/>
  <c r="U225" i="16"/>
  <c r="U183" i="16"/>
  <c r="F127" i="16"/>
  <c r="U99" i="16"/>
  <c r="F71" i="16"/>
  <c r="F43" i="16"/>
  <c r="U449" i="16"/>
  <c r="F323" i="16"/>
  <c r="U267" i="16"/>
  <c r="F211" i="16"/>
  <c r="F169" i="16"/>
  <c r="U113" i="16"/>
  <c r="F29" i="16"/>
  <c r="U309" i="16"/>
  <c r="F253" i="16"/>
  <c r="U155" i="16"/>
  <c r="U43" i="16"/>
  <c r="F463" i="16"/>
  <c r="U435" i="16"/>
  <c r="F421" i="16"/>
  <c r="U407" i="16"/>
  <c r="F393" i="16"/>
  <c r="U379" i="16"/>
  <c r="F365" i="16"/>
  <c r="U351" i="16"/>
  <c r="F295" i="16"/>
  <c r="U239" i="16"/>
  <c r="U197" i="16"/>
  <c r="F141" i="16"/>
  <c r="F85" i="16"/>
  <c r="F57" i="16"/>
  <c r="U15" i="16"/>
  <c r="F337" i="16"/>
  <c r="U281" i="16"/>
  <c r="F225" i="16"/>
  <c r="F183" i="16"/>
  <c r="U127" i="16"/>
  <c r="F99" i="16"/>
  <c r="U71" i="16"/>
  <c r="F449" i="16"/>
  <c r="U323" i="16"/>
  <c r="F267" i="16"/>
  <c r="U211" i="16"/>
  <c r="U169" i="16"/>
  <c r="F113" i="16"/>
  <c r="U29" i="16"/>
  <c r="F309" i="16"/>
  <c r="U253" i="16"/>
  <c r="F155" i="16"/>
  <c r="D414" i="16"/>
  <c r="D358" i="16"/>
  <c r="S260" i="16"/>
  <c r="D246" i="16"/>
  <c r="S134" i="16"/>
  <c r="D120" i="16"/>
  <c r="D92" i="16"/>
  <c r="S78" i="16"/>
  <c r="D64" i="16"/>
  <c r="D400" i="16"/>
  <c r="S344" i="16"/>
  <c r="D218" i="16"/>
  <c r="S456" i="16"/>
  <c r="S428" i="16"/>
  <c r="S372" i="16"/>
  <c r="S274" i="16"/>
  <c r="D260" i="16"/>
  <c r="S148" i="16"/>
  <c r="D134" i="16"/>
  <c r="D78" i="16"/>
  <c r="S36" i="16"/>
  <c r="D456" i="16"/>
  <c r="D428" i="16"/>
  <c r="D372" i="16"/>
  <c r="S288" i="16"/>
  <c r="D274" i="16"/>
  <c r="S162" i="16"/>
  <c r="D148" i="16"/>
  <c r="D36" i="16"/>
  <c r="D442" i="16"/>
  <c r="S246" i="16"/>
  <c r="S92" i="16"/>
  <c r="S386" i="16"/>
  <c r="S302" i="16"/>
  <c r="D288" i="16"/>
  <c r="S176" i="16"/>
  <c r="D162" i="16"/>
  <c r="S22" i="16"/>
  <c r="D470" i="16"/>
  <c r="D330" i="16"/>
  <c r="S232" i="16"/>
  <c r="S106" i="16"/>
  <c r="S414" i="16"/>
  <c r="S358" i="16"/>
  <c r="D344" i="16"/>
  <c r="S120" i="16"/>
  <c r="D106" i="16"/>
  <c r="D386" i="16"/>
  <c r="S316" i="16"/>
  <c r="D302" i="16"/>
  <c r="S204" i="16"/>
  <c r="S190" i="16"/>
  <c r="D176" i="16"/>
  <c r="S50" i="16"/>
  <c r="D22" i="16"/>
  <c r="S470" i="16"/>
  <c r="S442" i="16"/>
  <c r="S400" i="16"/>
  <c r="S330" i="16"/>
  <c r="D316" i="16"/>
  <c r="S218" i="16"/>
  <c r="D204" i="16"/>
  <c r="D190" i="16"/>
  <c r="D50" i="16"/>
  <c r="D232" i="16"/>
  <c r="S64" i="16"/>
  <c r="L35" i="13"/>
  <c r="L55" i="13"/>
  <c r="L115" i="13"/>
  <c r="L95" i="13"/>
  <c r="L75" i="13"/>
  <c r="L3" i="16"/>
  <c r="L13" i="13"/>
  <c r="D3" i="16"/>
  <c r="I11" i="13"/>
  <c r="G125" i="13"/>
  <c r="C8" i="16"/>
  <c r="G13" i="13"/>
  <c r="E470" i="16"/>
  <c r="T428" i="16"/>
  <c r="T414" i="16"/>
  <c r="T400" i="16"/>
  <c r="T386" i="16"/>
  <c r="T372" i="16"/>
  <c r="T358" i="16"/>
  <c r="E274" i="16"/>
  <c r="T246" i="16"/>
  <c r="E176" i="16"/>
  <c r="T148" i="16"/>
  <c r="E92" i="16"/>
  <c r="T36" i="16"/>
  <c r="T260" i="16"/>
  <c r="T162" i="16"/>
  <c r="T344" i="16"/>
  <c r="E260" i="16"/>
  <c r="T232" i="16"/>
  <c r="E162" i="16"/>
  <c r="T134" i="16"/>
  <c r="T78" i="16"/>
  <c r="T50" i="16"/>
  <c r="Q16" i="13"/>
  <c r="T442" i="16"/>
  <c r="E428" i="16"/>
  <c r="E414" i="16"/>
  <c r="E400" i="16"/>
  <c r="E386" i="16"/>
  <c r="E372" i="16"/>
  <c r="E358" i="16"/>
  <c r="T330" i="16"/>
  <c r="E246" i="16"/>
  <c r="T218" i="16"/>
  <c r="E148" i="16"/>
  <c r="T120" i="16"/>
  <c r="T64" i="16"/>
  <c r="E36" i="16"/>
  <c r="T22" i="16"/>
  <c r="I16" i="13"/>
  <c r="E344" i="16"/>
  <c r="T316" i="16"/>
  <c r="E232" i="16"/>
  <c r="T204" i="16"/>
  <c r="E134" i="16"/>
  <c r="T106" i="16"/>
  <c r="E78" i="16"/>
  <c r="E50" i="16"/>
  <c r="E22" i="16"/>
  <c r="E190" i="16"/>
  <c r="T456" i="16"/>
  <c r="E442" i="16"/>
  <c r="E330" i="16"/>
  <c r="T302" i="16"/>
  <c r="E218" i="16"/>
  <c r="E120" i="16"/>
  <c r="E64" i="16"/>
  <c r="E288" i="16"/>
  <c r="E316" i="16"/>
  <c r="T288" i="16"/>
  <c r="E204" i="16"/>
  <c r="T190" i="16"/>
  <c r="E106" i="16"/>
  <c r="I137" i="13"/>
  <c r="T470" i="16"/>
  <c r="E456" i="16"/>
  <c r="E302" i="16"/>
  <c r="T274" i="16"/>
  <c r="T176" i="16"/>
  <c r="T92" i="16"/>
  <c r="Y8" i="16"/>
  <c r="R13" i="13"/>
  <c r="R125" i="13"/>
  <c r="AX72" i="11"/>
  <c r="AX52" i="9"/>
  <c r="AX12" i="11"/>
  <c r="AX112" i="11"/>
  <c r="AX32" i="9"/>
  <c r="AX12" i="9"/>
  <c r="AX92" i="11"/>
  <c r="AX92" i="9"/>
  <c r="AX32" i="11"/>
  <c r="AX112" i="9"/>
  <c r="AX52" i="11"/>
  <c r="AX72" i="9"/>
  <c r="I121" i="9"/>
  <c r="I121" i="11"/>
  <c r="G2" i="9"/>
  <c r="AY112" i="11"/>
  <c r="AY92" i="9"/>
  <c r="AY52" i="9"/>
  <c r="AY52" i="11"/>
  <c r="AY92" i="11"/>
  <c r="AY72" i="9"/>
  <c r="AY32" i="11"/>
  <c r="AY112" i="9"/>
  <c r="AY32" i="9"/>
  <c r="AY12" i="9"/>
  <c r="AY12" i="11"/>
  <c r="AY72" i="11"/>
  <c r="B5" i="9"/>
  <c r="B5" i="11"/>
  <c r="I9" i="9"/>
  <c r="I123" i="11"/>
  <c r="I9" i="11"/>
  <c r="I123" i="9"/>
  <c r="I5" i="11"/>
  <c r="O31" i="11"/>
  <c r="O123" i="11"/>
  <c r="O71" i="11"/>
  <c r="O123" i="9"/>
  <c r="O111" i="11"/>
  <c r="O91" i="11"/>
  <c r="O51" i="11"/>
  <c r="O11" i="11"/>
  <c r="O71" i="9"/>
  <c r="O11" i="9"/>
  <c r="O31" i="9"/>
  <c r="O91" i="9"/>
  <c r="O111" i="9"/>
  <c r="O51" i="9"/>
  <c r="O7" i="11"/>
  <c r="K7" i="11"/>
  <c r="K91" i="11"/>
  <c r="K31" i="11"/>
  <c r="K123" i="11"/>
  <c r="K51" i="11"/>
  <c r="K11" i="11"/>
  <c r="K71" i="11"/>
  <c r="K123" i="9"/>
  <c r="K111" i="11"/>
  <c r="K111" i="9"/>
  <c r="K31" i="9"/>
  <c r="K51" i="9"/>
  <c r="K11" i="9"/>
  <c r="K71" i="9"/>
  <c r="K91" i="9"/>
  <c r="O7" i="9"/>
  <c r="K7" i="9"/>
  <c r="I5" i="9"/>
  <c r="W2" i="2"/>
  <c r="X2" i="2" s="1"/>
  <c r="H1" i="17" s="1"/>
  <c r="AC47" i="17" s="1"/>
  <c r="AC48" i="17" s="1"/>
  <c r="AB1" i="13" l="1"/>
  <c r="A1" i="11"/>
  <c r="A1" i="9"/>
  <c r="A1" i="5" s="1"/>
  <c r="AA2" i="2"/>
  <c r="AE2" i="2"/>
  <c r="AD2" i="2"/>
  <c r="AC2" i="2"/>
  <c r="Y2" i="2"/>
  <c r="AB2" i="2"/>
  <c r="BI2" i="5" l="1"/>
  <c r="BO2" i="5" s="1"/>
  <c r="BK9" i="5"/>
  <c r="BQ9" i="5" s="1"/>
  <c r="BK17" i="5"/>
  <c r="BQ17" i="5" s="1"/>
  <c r="BK25" i="5"/>
  <c r="BQ25" i="5" s="1"/>
  <c r="BK33" i="5"/>
  <c r="BQ33" i="5" s="1"/>
  <c r="BF5" i="5"/>
  <c r="BL5" i="5" s="1"/>
  <c r="BK2" i="5"/>
  <c r="BQ2" i="5" s="1"/>
  <c r="BK10" i="5"/>
  <c r="BQ10" i="5" s="1"/>
  <c r="BK18" i="5"/>
  <c r="BQ18" i="5" s="1"/>
  <c r="BK26" i="5"/>
  <c r="BQ26" i="5" s="1"/>
  <c r="BK1" i="5"/>
  <c r="BQ1" i="5" s="1"/>
  <c r="BF7" i="5"/>
  <c r="BL7" i="5" s="1"/>
  <c r="BK3" i="5"/>
  <c r="BQ3" i="5" s="1"/>
  <c r="BK11" i="5"/>
  <c r="BQ11" i="5" s="1"/>
  <c r="BK19" i="5"/>
  <c r="BQ19" i="5" s="1"/>
  <c r="BK27" i="5"/>
  <c r="BQ27" i="5" s="1"/>
  <c r="BF23" i="5"/>
  <c r="BL23" i="5" s="1"/>
  <c r="BK4" i="5"/>
  <c r="BQ4" i="5" s="1"/>
  <c r="BK12" i="5"/>
  <c r="BQ12" i="5" s="1"/>
  <c r="BK20" i="5"/>
  <c r="BQ20" i="5" s="1"/>
  <c r="BK28" i="5"/>
  <c r="BQ28" i="5" s="1"/>
  <c r="BJ25" i="5"/>
  <c r="BP25" i="5" s="1"/>
  <c r="BF31" i="5"/>
  <c r="BL31" i="5" s="1"/>
  <c r="BK5" i="5"/>
  <c r="BQ5" i="5" s="1"/>
  <c r="BK13" i="5"/>
  <c r="BQ13" i="5" s="1"/>
  <c r="BK21" i="5"/>
  <c r="BQ21" i="5" s="1"/>
  <c r="BK29" i="5"/>
  <c r="BQ29" i="5" s="1"/>
  <c r="BG11" i="5"/>
  <c r="BM11" i="5" s="1"/>
  <c r="BK6" i="5"/>
  <c r="BQ6" i="5" s="1"/>
  <c r="BK14" i="5"/>
  <c r="BQ14" i="5" s="1"/>
  <c r="BK22" i="5"/>
  <c r="BQ22" i="5" s="1"/>
  <c r="BK30" i="5"/>
  <c r="BQ30" i="5" s="1"/>
  <c r="BH15" i="5"/>
  <c r="BN15" i="5" s="1"/>
  <c r="BR15" i="5" s="1"/>
  <c r="BK8" i="5"/>
  <c r="BQ8" i="5" s="1"/>
  <c r="BK16" i="5"/>
  <c r="BQ16" i="5" s="1"/>
  <c r="BK24" i="5"/>
  <c r="BQ24" i="5" s="1"/>
  <c r="BK32" i="5"/>
  <c r="BQ32" i="5" s="1"/>
  <c r="BG30" i="5"/>
  <c r="BM30" i="5" s="1"/>
  <c r="BK7" i="5"/>
  <c r="BQ7" i="5" s="1"/>
  <c r="BK15" i="5"/>
  <c r="BQ15" i="5" s="1"/>
  <c r="BK23" i="5"/>
  <c r="BQ23" i="5" s="1"/>
  <c r="BK31" i="5"/>
  <c r="BQ31" i="5" s="1"/>
  <c r="BG29" i="5"/>
  <c r="BM29" i="5" s="1"/>
  <c r="BH10" i="5"/>
  <c r="BN10" i="5" s="1"/>
  <c r="BR10" i="5" s="1"/>
  <c r="BF10" i="5"/>
  <c r="BL10" i="5" s="1"/>
  <c r="BG7" i="5"/>
  <c r="BM7" i="5" s="1"/>
  <c r="BJ17" i="5"/>
  <c r="BP17" i="5" s="1"/>
  <c r="BF24" i="5"/>
  <c r="BL24" i="5" s="1"/>
  <c r="BF21" i="5"/>
  <c r="BL21" i="5" s="1"/>
  <c r="BF19" i="5"/>
  <c r="BL19" i="5" s="1"/>
  <c r="BJ28" i="5"/>
  <c r="BP28" i="5" s="1"/>
  <c r="BH29" i="5"/>
  <c r="BN29" i="5" s="1"/>
  <c r="BR29" i="5" s="1"/>
  <c r="BF30" i="5"/>
  <c r="BL30" i="5" s="1"/>
  <c r="BH7" i="5"/>
  <c r="BN7" i="5" s="1"/>
  <c r="BR7" i="5" s="1"/>
  <c r="BG14" i="5"/>
  <c r="BM14" i="5" s="1"/>
  <c r="BI16" i="5"/>
  <c r="BO16" i="5" s="1"/>
  <c r="BH1" i="5"/>
  <c r="BN1" i="5" s="1"/>
  <c r="BR1" i="5" s="1"/>
  <c r="BJ3" i="5"/>
  <c r="BP3" i="5" s="1"/>
  <c r="BI23" i="5"/>
  <c r="BO23" i="5" s="1"/>
  <c r="BH12" i="5"/>
  <c r="BN12" i="5" s="1"/>
  <c r="BR12" i="5" s="1"/>
  <c r="BJ14" i="5"/>
  <c r="BP14" i="5" s="1"/>
  <c r="BG4" i="5"/>
  <c r="BM4" i="5" s="1"/>
  <c r="BI6" i="5"/>
  <c r="BO6" i="5" s="1"/>
  <c r="BF2" i="5"/>
  <c r="BL2" i="5" s="1"/>
  <c r="BH18" i="5"/>
  <c r="BN18" i="5" s="1"/>
  <c r="BR18" i="5" s="1"/>
  <c r="BF25" i="5"/>
  <c r="BL25" i="5" s="1"/>
  <c r="BJ29" i="5"/>
  <c r="BP29" i="5" s="1"/>
  <c r="BJ19" i="5"/>
  <c r="BP19" i="5" s="1"/>
  <c r="BG20" i="5"/>
  <c r="BM20" i="5" s="1"/>
  <c r="BF18" i="5"/>
  <c r="BL18" i="5" s="1"/>
  <c r="BJ33" i="5"/>
  <c r="BP33" i="5" s="1"/>
  <c r="BI25" i="5"/>
  <c r="BO25" i="5" s="1"/>
  <c r="BI28" i="5"/>
  <c r="BO28" i="5" s="1"/>
  <c r="BI3" i="5"/>
  <c r="BO3" i="5" s="1"/>
  <c r="BG16" i="5"/>
  <c r="BM16" i="5" s="1"/>
  <c r="BH23" i="5"/>
  <c r="BN23" i="5" s="1"/>
  <c r="BR23" i="5" s="1"/>
  <c r="BG21" i="5"/>
  <c r="BM21" i="5" s="1"/>
  <c r="BI13" i="5"/>
  <c r="BO13" i="5" s="1"/>
  <c r="BF9" i="5"/>
  <c r="BL9" i="5" s="1"/>
  <c r="BI9" i="5"/>
  <c r="BO9" i="5" s="1"/>
  <c r="BH9" i="5"/>
  <c r="BN9" i="5" s="1"/>
  <c r="BR9" i="5" s="1"/>
  <c r="BI31" i="5"/>
  <c r="BO31" i="5" s="1"/>
  <c r="BI14" i="5"/>
  <c r="BO14" i="5" s="1"/>
  <c r="BJ12" i="5"/>
  <c r="BP12" i="5" s="1"/>
  <c r="BJ16" i="5"/>
  <c r="BP16" i="5" s="1"/>
  <c r="BF27" i="5"/>
  <c r="BL27" i="5" s="1"/>
  <c r="BG19" i="5"/>
  <c r="BM19" i="5" s="1"/>
  <c r="BJ7" i="5"/>
  <c r="BP7" i="5" s="1"/>
  <c r="BH16" i="5"/>
  <c r="BN16" i="5" s="1"/>
  <c r="BR16" i="5" s="1"/>
  <c r="BI33" i="5"/>
  <c r="BO33" i="5" s="1"/>
  <c r="BG23" i="5"/>
  <c r="BM23" i="5" s="1"/>
  <c r="BJ21" i="5"/>
  <c r="BP21" i="5" s="1"/>
  <c r="BF26" i="5"/>
  <c r="BL26" i="5" s="1"/>
  <c r="BF12" i="5"/>
  <c r="BL12" i="5" s="1"/>
  <c r="BF8" i="5"/>
  <c r="BL8" i="5" s="1"/>
  <c r="BF11" i="5"/>
  <c r="BL11" i="5" s="1"/>
  <c r="BI17" i="5"/>
  <c r="BO17" i="5" s="1"/>
  <c r="BH25" i="5"/>
  <c r="BN25" i="5" s="1"/>
  <c r="BR25" i="5" s="1"/>
  <c r="BF22" i="5"/>
  <c r="BL22" i="5" s="1"/>
  <c r="BJ32" i="5"/>
  <c r="BP32" i="5" s="1"/>
  <c r="BG10" i="5"/>
  <c r="BM10" i="5" s="1"/>
  <c r="BI12" i="5"/>
  <c r="BO12" i="5" s="1"/>
  <c r="BJ31" i="5"/>
  <c r="BP31" i="5" s="1"/>
  <c r="BG17" i="5"/>
  <c r="BM17" i="5" s="1"/>
  <c r="BI19" i="5"/>
  <c r="BO19" i="5" s="1"/>
  <c r="BH8" i="5"/>
  <c r="BN8" i="5" s="1"/>
  <c r="BR8" i="5" s="1"/>
  <c r="BJ10" i="5"/>
  <c r="BP10" i="5" s="1"/>
  <c r="BJ1" i="5"/>
  <c r="BP1" i="5" s="1"/>
  <c r="BF16" i="5"/>
  <c r="BL16" i="5" s="1"/>
  <c r="BH26" i="5"/>
  <c r="BN26" i="5" s="1"/>
  <c r="BR26" i="5" s="1"/>
  <c r="BI32" i="5"/>
  <c r="BO32" i="5" s="1"/>
  <c r="BI7" i="5"/>
  <c r="BO7" i="5" s="1"/>
  <c r="BH27" i="5"/>
  <c r="BN27" i="5" s="1"/>
  <c r="BR27" i="5" s="1"/>
  <c r="BF17" i="5"/>
  <c r="BL17" i="5" s="1"/>
  <c r="BJ15" i="5"/>
  <c r="BP15" i="5" s="1"/>
  <c r="BH28" i="5"/>
  <c r="BN28" i="5" s="1"/>
  <c r="BR28" i="5" s="1"/>
  <c r="BG24" i="5"/>
  <c r="BM24" i="5" s="1"/>
  <c r="BJ22" i="5"/>
  <c r="BP22" i="5" s="1"/>
  <c r="BG22" i="5"/>
  <c r="BM22" i="5" s="1"/>
  <c r="BJ4" i="5"/>
  <c r="BP4" i="5" s="1"/>
  <c r="BJ18" i="5"/>
  <c r="BP18" i="5" s="1"/>
  <c r="BF20" i="5"/>
  <c r="BL20" i="5" s="1"/>
  <c r="BI5" i="5"/>
  <c r="BO5" i="5" s="1"/>
  <c r="BF28" i="5"/>
  <c r="BL28" i="5" s="1"/>
  <c r="BF13" i="5"/>
  <c r="BL13" i="5" s="1"/>
  <c r="BH32" i="5"/>
  <c r="BN32" i="5" s="1"/>
  <c r="BR32" i="5" s="1"/>
  <c r="BG31" i="5"/>
  <c r="BM31" i="5" s="1"/>
  <c r="BF3" i="5"/>
  <c r="BL3" i="5" s="1"/>
  <c r="BJ5" i="5"/>
  <c r="BP5" i="5" s="1"/>
  <c r="BH21" i="5"/>
  <c r="BN21" i="5" s="1"/>
  <c r="BR21" i="5" s="1"/>
  <c r="BF14" i="5"/>
  <c r="BL14" i="5" s="1"/>
  <c r="BI21" i="5"/>
  <c r="BO21" i="5" s="1"/>
  <c r="BG6" i="5"/>
  <c r="BM6" i="5" s="1"/>
  <c r="BI8" i="5"/>
  <c r="BO8" i="5" s="1"/>
  <c r="BJ27" i="5"/>
  <c r="BP27" i="5" s="1"/>
  <c r="BG13" i="5"/>
  <c r="BM13" i="5" s="1"/>
  <c r="BI15" i="5"/>
  <c r="BO15" i="5" s="1"/>
  <c r="BH4" i="5"/>
  <c r="BN4" i="5" s="1"/>
  <c r="BR4" i="5" s="1"/>
  <c r="BJ6" i="5"/>
  <c r="BP6" i="5" s="1"/>
  <c r="BI30" i="5"/>
  <c r="BO30" i="5" s="1"/>
  <c r="BG27" i="5"/>
  <c r="BM27" i="5" s="1"/>
  <c r="BH2" i="5"/>
  <c r="BN2" i="5" s="1"/>
  <c r="BR2" i="5" s="1"/>
  <c r="BG5" i="5"/>
  <c r="BM5" i="5" s="1"/>
  <c r="BI22" i="5"/>
  <c r="BO22" i="5" s="1"/>
  <c r="BF4" i="5"/>
  <c r="BL4" i="5" s="1"/>
  <c r="BG28" i="5"/>
  <c r="BM28" i="5" s="1"/>
  <c r="BG1" i="5"/>
  <c r="BM1" i="5" s="1"/>
  <c r="BJ8" i="5"/>
  <c r="BP8" i="5" s="1"/>
  <c r="BH20" i="5"/>
  <c r="BN20" i="5" s="1"/>
  <c r="BR20" i="5" s="1"/>
  <c r="BH31" i="5"/>
  <c r="BN31" i="5" s="1"/>
  <c r="BR31" i="5" s="1"/>
  <c r="BH3" i="5"/>
  <c r="BN3" i="5" s="1"/>
  <c r="BR3" i="5" s="1"/>
  <c r="BI20" i="5"/>
  <c r="BO20" i="5" s="1"/>
  <c r="BI10" i="5"/>
  <c r="BO10" i="5" s="1"/>
  <c r="BG25" i="5"/>
  <c r="BM25" i="5" s="1"/>
  <c r="BF29" i="5"/>
  <c r="BL29" i="5" s="1"/>
  <c r="BF15" i="5"/>
  <c r="BL15" i="5" s="1"/>
  <c r="BG33" i="5"/>
  <c r="BM33" i="5" s="1"/>
  <c r="BG26" i="5"/>
  <c r="BM26" i="5" s="1"/>
  <c r="BH24" i="5"/>
  <c r="BN24" i="5" s="1"/>
  <c r="BR24" i="5" s="1"/>
  <c r="BH30" i="5"/>
  <c r="BN30" i="5" s="1"/>
  <c r="BR30" i="5" s="1"/>
  <c r="BF33" i="5"/>
  <c r="BL33" i="5" s="1"/>
  <c r="BH11" i="5"/>
  <c r="BN11" i="5" s="1"/>
  <c r="BR11" i="5" s="1"/>
  <c r="BF6" i="5"/>
  <c r="BL6" i="5" s="1"/>
  <c r="BJ9" i="5"/>
  <c r="BP9" i="5" s="1"/>
  <c r="BG2" i="5"/>
  <c r="BM2" i="5" s="1"/>
  <c r="BI4" i="5"/>
  <c r="BO4" i="5" s="1"/>
  <c r="BJ23" i="5"/>
  <c r="BP23" i="5" s="1"/>
  <c r="BG9" i="5"/>
  <c r="BM9" i="5" s="1"/>
  <c r="BI11" i="5"/>
  <c r="BO11" i="5" s="1"/>
  <c r="BI1" i="5"/>
  <c r="BJ2" i="5"/>
  <c r="BP2" i="5" s="1"/>
  <c r="BI26" i="5"/>
  <c r="BO26" i="5" s="1"/>
  <c r="BJ24" i="5"/>
  <c r="BP24" i="5" s="1"/>
  <c r="BH14" i="5"/>
  <c r="BN14" i="5" s="1"/>
  <c r="BR14" i="5" s="1"/>
  <c r="BG32" i="5"/>
  <c r="BM32" i="5" s="1"/>
  <c r="BH17" i="5"/>
  <c r="BN17" i="5" s="1"/>
  <c r="BR17" i="5" s="1"/>
  <c r="BJ30" i="5"/>
  <c r="BP30" i="5" s="1"/>
  <c r="BH19" i="5"/>
  <c r="BN19" i="5" s="1"/>
  <c r="BR19" i="5" s="1"/>
  <c r="BI29" i="5"/>
  <c r="BO29" i="5" s="1"/>
  <c r="BH22" i="5"/>
  <c r="BN22" i="5" s="1"/>
  <c r="BR22" i="5" s="1"/>
  <c r="BJ20" i="5"/>
  <c r="BP20" i="5" s="1"/>
  <c r="BH13" i="5"/>
  <c r="BN13" i="5" s="1"/>
  <c r="BR13" i="5" s="1"/>
  <c r="BJ26" i="5"/>
  <c r="BP26" i="5" s="1"/>
  <c r="BI18" i="5"/>
  <c r="BO18" i="5" s="1"/>
  <c r="BF32" i="5"/>
  <c r="BL32" i="5" s="1"/>
  <c r="BG3" i="5"/>
  <c r="BM3" i="5" s="1"/>
  <c r="BG15" i="5"/>
  <c r="BM15" i="5" s="1"/>
  <c r="BJ13" i="5"/>
  <c r="BP13" i="5" s="1"/>
  <c r="BI24" i="5"/>
  <c r="BO24" i="5" s="1"/>
  <c r="BJ11" i="5"/>
  <c r="BP11" i="5" s="1"/>
  <c r="BG12" i="5"/>
  <c r="BM12" i="5" s="1"/>
  <c r="BH6" i="5"/>
  <c r="BN6" i="5" s="1"/>
  <c r="BR6" i="5" s="1"/>
  <c r="BF1" i="5"/>
  <c r="BL1" i="5" s="1"/>
  <c r="BH33" i="5"/>
  <c r="BN33" i="5" s="1"/>
  <c r="BR33" i="5" s="1"/>
  <c r="BG18" i="5"/>
  <c r="BM18" i="5" s="1"/>
  <c r="BH5" i="5"/>
  <c r="BN5" i="5" s="1"/>
  <c r="BR5" i="5" s="1"/>
  <c r="BI27" i="5"/>
  <c r="BO27" i="5" s="1"/>
  <c r="BG8" i="5"/>
  <c r="BM8" i="5" s="1"/>
  <c r="AB27" i="9"/>
  <c r="AB25" i="9"/>
  <c r="L123" i="13"/>
  <c r="AH114" i="13"/>
  <c r="AH112" i="13"/>
  <c r="AB67" i="11"/>
  <c r="AB99" i="11"/>
  <c r="AB79" i="11"/>
  <c r="AB55" i="11"/>
  <c r="AB65" i="11"/>
  <c r="AB97" i="11"/>
  <c r="AB77" i="11"/>
  <c r="AB53" i="11"/>
  <c r="AB93" i="11"/>
  <c r="AB73" i="11"/>
  <c r="AB47" i="11"/>
  <c r="AB95" i="11"/>
  <c r="AB75" i="11"/>
  <c r="AB43" i="11"/>
  <c r="AB45" i="11"/>
  <c r="AB41" i="11"/>
  <c r="AB27" i="11"/>
  <c r="AB107" i="11"/>
  <c r="AB87" i="11"/>
  <c r="AB63" i="11"/>
  <c r="AB39" i="11"/>
  <c r="AB101" i="11"/>
  <c r="AB57" i="11"/>
  <c r="AB33" i="11"/>
  <c r="AB25" i="11"/>
  <c r="AB105" i="11"/>
  <c r="AB85" i="11"/>
  <c r="AB61" i="11"/>
  <c r="AB37" i="11"/>
  <c r="AB81" i="11"/>
  <c r="AB103" i="11"/>
  <c r="AB83" i="11"/>
  <c r="AB59" i="11"/>
  <c r="AB35" i="11"/>
  <c r="X1" i="19"/>
  <c r="X4" i="19" s="1"/>
  <c r="AN77" i="11"/>
  <c r="AN99" i="11"/>
  <c r="AN79" i="9"/>
  <c r="AB103" i="9"/>
  <c r="AB83" i="9"/>
  <c r="AB63" i="9"/>
  <c r="AB43" i="9"/>
  <c r="AB23" i="9"/>
  <c r="AB101" i="9"/>
  <c r="AB81" i="9"/>
  <c r="AB61" i="9"/>
  <c r="AB41" i="9"/>
  <c r="AB21" i="9"/>
  <c r="AB99" i="9"/>
  <c r="AB79" i="9"/>
  <c r="AB59" i="9"/>
  <c r="AB39" i="9"/>
  <c r="AB19" i="9"/>
  <c r="AB93" i="9"/>
  <c r="AB97" i="9"/>
  <c r="AB77" i="9"/>
  <c r="AB57" i="9"/>
  <c r="AB37" i="9"/>
  <c r="AB17" i="9"/>
  <c r="AB115" i="9"/>
  <c r="AB95" i="9"/>
  <c r="AB75" i="9"/>
  <c r="AB55" i="9"/>
  <c r="AB35" i="9"/>
  <c r="AB15" i="9"/>
  <c r="AB113" i="9"/>
  <c r="AB73" i="9"/>
  <c r="AB53" i="9"/>
  <c r="AB33" i="9"/>
  <c r="AB13" i="9"/>
  <c r="AB107" i="9"/>
  <c r="AB87" i="9"/>
  <c r="AB67" i="9"/>
  <c r="AB47" i="9"/>
  <c r="AB105" i="9"/>
  <c r="AB85" i="9"/>
  <c r="AB65" i="9"/>
  <c r="AB45" i="9"/>
  <c r="BQ108" i="13"/>
  <c r="BQ104" i="13"/>
  <c r="AN97" i="11"/>
  <c r="AN101" i="11"/>
  <c r="G1" i="17"/>
  <c r="B1" i="17"/>
  <c r="D9" i="16"/>
  <c r="D1" i="17"/>
  <c r="S9" i="16"/>
  <c r="R1" i="17"/>
  <c r="AF2" i="2"/>
  <c r="P11" i="13" s="1"/>
  <c r="A1" i="17"/>
  <c r="U107" i="9"/>
  <c r="T107" i="9" s="1"/>
  <c r="U105" i="9"/>
  <c r="T105" i="9" s="1"/>
  <c r="U105" i="11"/>
  <c r="T105" i="11" s="1"/>
  <c r="U107" i="11"/>
  <c r="T107" i="11" s="1"/>
  <c r="AH405" i="16"/>
  <c r="AH391" i="16"/>
  <c r="AH377" i="16"/>
  <c r="AH363" i="16"/>
  <c r="AH461" i="16"/>
  <c r="AH447" i="16"/>
  <c r="AH433" i="16"/>
  <c r="AH419" i="16"/>
  <c r="L5" i="16"/>
  <c r="L14" i="13"/>
  <c r="AB115" i="11"/>
  <c r="AB113" i="11"/>
  <c r="AI112" i="13"/>
  <c r="AI92" i="13"/>
  <c r="AI72" i="13"/>
  <c r="AI52" i="13"/>
  <c r="AI32" i="13"/>
  <c r="AI110" i="13"/>
  <c r="AI70" i="13"/>
  <c r="AI108" i="13"/>
  <c r="AI88" i="13"/>
  <c r="AI68" i="13"/>
  <c r="AI48" i="13"/>
  <c r="AI28" i="13"/>
  <c r="AI84" i="13"/>
  <c r="AI44" i="13"/>
  <c r="AI106" i="13"/>
  <c r="AI86" i="13"/>
  <c r="AI66" i="13"/>
  <c r="AI46" i="13"/>
  <c r="AI26" i="13"/>
  <c r="AI104" i="13"/>
  <c r="AI64" i="13"/>
  <c r="AI24" i="13"/>
  <c r="AI102" i="13"/>
  <c r="AI82" i="13"/>
  <c r="AI62" i="13"/>
  <c r="AI42" i="13"/>
  <c r="AI22" i="13"/>
  <c r="AI30" i="13"/>
  <c r="AI120" i="13"/>
  <c r="AI100" i="13"/>
  <c r="AI80" i="13"/>
  <c r="AI60" i="13"/>
  <c r="AI40" i="13"/>
  <c r="AI20" i="13"/>
  <c r="AQ20" i="13" s="1"/>
  <c r="AI90" i="13"/>
  <c r="AI50" i="13"/>
  <c r="AI114" i="13"/>
  <c r="AI94" i="13"/>
  <c r="AI74" i="13"/>
  <c r="AI54" i="13"/>
  <c r="AI34" i="13"/>
  <c r="S19" i="5"/>
  <c r="AB23" i="11"/>
  <c r="AB21" i="11"/>
  <c r="AB19" i="11"/>
  <c r="AB17" i="11"/>
  <c r="AB15" i="11"/>
  <c r="AB13" i="11"/>
  <c r="AH110" i="13"/>
  <c r="AH108" i="13"/>
  <c r="AH106" i="13"/>
  <c r="AH104" i="13"/>
  <c r="AH122" i="13"/>
  <c r="AH102" i="13"/>
  <c r="AH120" i="13"/>
  <c r="AH100" i="13"/>
  <c r="AH94" i="13"/>
  <c r="AH74" i="13"/>
  <c r="AH54" i="13"/>
  <c r="AH34" i="13"/>
  <c r="AH82" i="13"/>
  <c r="AH92" i="13"/>
  <c r="AH72" i="13"/>
  <c r="AH52" i="13"/>
  <c r="AH32" i="13"/>
  <c r="AH84" i="13"/>
  <c r="AH22" i="13"/>
  <c r="AH60" i="13"/>
  <c r="AH90" i="13"/>
  <c r="AH70" i="13"/>
  <c r="AH50" i="13"/>
  <c r="AH30" i="13"/>
  <c r="AH64" i="13"/>
  <c r="AH42" i="13"/>
  <c r="AH40" i="13"/>
  <c r="AH88" i="13"/>
  <c r="AH68" i="13"/>
  <c r="AH48" i="13"/>
  <c r="AH28" i="13"/>
  <c r="AH24" i="13"/>
  <c r="AH86" i="13"/>
  <c r="AH66" i="13"/>
  <c r="AH46" i="13"/>
  <c r="AH26" i="13"/>
  <c r="AH44" i="13"/>
  <c r="AH62" i="13"/>
  <c r="AH80" i="13"/>
  <c r="AH20" i="13"/>
  <c r="Y4" i="2"/>
  <c r="Y3" i="2"/>
  <c r="I3" i="9"/>
  <c r="D26" i="1"/>
  <c r="I3" i="11"/>
  <c r="R107" i="9"/>
  <c r="AZ107" i="9"/>
  <c r="AZ105" i="9"/>
  <c r="AZ99" i="9"/>
  <c r="R97" i="9"/>
  <c r="AZ97" i="9"/>
  <c r="R93" i="9"/>
  <c r="BR113" i="9"/>
  <c r="BQ115" i="9"/>
  <c r="AN99" i="9"/>
  <c r="BA103" i="9"/>
  <c r="BQ93" i="9"/>
  <c r="BS61" i="9"/>
  <c r="BQ57" i="9"/>
  <c r="BQ47" i="9"/>
  <c r="BQ41" i="9"/>
  <c r="BR35" i="9"/>
  <c r="BQ27" i="9"/>
  <c r="BQ21" i="9"/>
  <c r="BR15" i="9"/>
  <c r="I51" i="9"/>
  <c r="AC99" i="9"/>
  <c r="D99" i="9" s="1"/>
  <c r="BA85" i="9"/>
  <c r="AD83" i="9"/>
  <c r="E83" i="9" s="1"/>
  <c r="AC77" i="9"/>
  <c r="D77" i="9" s="1"/>
  <c r="BA67" i="9"/>
  <c r="AC65" i="9"/>
  <c r="D65" i="9" s="1"/>
  <c r="AD59" i="9"/>
  <c r="E59" i="9" s="1"/>
  <c r="AC53" i="9"/>
  <c r="D53" i="9" s="1"/>
  <c r="AC47" i="9"/>
  <c r="D47" i="9" s="1"/>
  <c r="AC41" i="9"/>
  <c r="D41" i="9" s="1"/>
  <c r="AC27" i="9"/>
  <c r="D27" i="9" s="1"/>
  <c r="AD21" i="9"/>
  <c r="E21" i="9" s="1"/>
  <c r="AC15" i="9"/>
  <c r="D15" i="9" s="1"/>
  <c r="BA101" i="9"/>
  <c r="BS115" i="9"/>
  <c r="BR67" i="9"/>
  <c r="BR61" i="9"/>
  <c r="BS55" i="9"/>
  <c r="BR45" i="9"/>
  <c r="BS39" i="9"/>
  <c r="BQ35" i="9"/>
  <c r="BR25" i="9"/>
  <c r="BS19" i="9"/>
  <c r="BQ15" i="9"/>
  <c r="I31" i="9"/>
  <c r="AD103" i="9"/>
  <c r="E103" i="9" s="1"/>
  <c r="AZ85" i="9"/>
  <c r="AC83" i="9"/>
  <c r="D83" i="9" s="1"/>
  <c r="AD73" i="9"/>
  <c r="E73" i="9" s="1"/>
  <c r="AN67" i="9"/>
  <c r="AC59" i="9"/>
  <c r="D59" i="9" s="1"/>
  <c r="AZ52" i="9"/>
  <c r="AN43" i="9"/>
  <c r="AD37" i="9"/>
  <c r="E37" i="9" s="1"/>
  <c r="AN23" i="9"/>
  <c r="AC21" i="9"/>
  <c r="D21" i="9" s="1"/>
  <c r="BQ113" i="9"/>
  <c r="R101" i="9"/>
  <c r="AZ103" i="9"/>
  <c r="X111" i="9"/>
  <c r="BQ67" i="9"/>
  <c r="BQ61" i="9"/>
  <c r="BR55" i="9"/>
  <c r="BQ45" i="9"/>
  <c r="BR39" i="9"/>
  <c r="BS33" i="9"/>
  <c r="BQ25" i="9"/>
  <c r="BR19" i="9"/>
  <c r="BS13" i="9"/>
  <c r="AC103" i="9"/>
  <c r="D103" i="9" s="1"/>
  <c r="AD97" i="9"/>
  <c r="E97" i="9" s="1"/>
  <c r="AD85" i="9"/>
  <c r="E85" i="9" s="1"/>
  <c r="AD79" i="9"/>
  <c r="E79" i="9" s="1"/>
  <c r="AC73" i="9"/>
  <c r="D73" i="9" s="1"/>
  <c r="AD67" i="9"/>
  <c r="E67" i="9" s="1"/>
  <c r="AN61" i="9"/>
  <c r="AD55" i="9"/>
  <c r="E55" i="9" s="1"/>
  <c r="BA45" i="9"/>
  <c r="AD43" i="9"/>
  <c r="E43" i="9" s="1"/>
  <c r="AC37" i="9"/>
  <c r="D37" i="9" s="1"/>
  <c r="BA25" i="9"/>
  <c r="AD23" i="9"/>
  <c r="E23" i="9" s="1"/>
  <c r="AD17" i="9"/>
  <c r="E17" i="9" s="1"/>
  <c r="BA97" i="9"/>
  <c r="BS113" i="9"/>
  <c r="BA47" i="9"/>
  <c r="BS95" i="9"/>
  <c r="BR65" i="9"/>
  <c r="BS59" i="9"/>
  <c r="BQ55" i="9"/>
  <c r="BS43" i="9"/>
  <c r="BQ39" i="9"/>
  <c r="BR33" i="9"/>
  <c r="BS23" i="9"/>
  <c r="BQ19" i="9"/>
  <c r="BR13" i="9"/>
  <c r="AD107" i="9"/>
  <c r="E107" i="9" s="1"/>
  <c r="AC97" i="9"/>
  <c r="D97" i="9" s="1"/>
  <c r="AC85" i="9"/>
  <c r="D85" i="9" s="1"/>
  <c r="AC79" i="9"/>
  <c r="D79" i="9" s="1"/>
  <c r="AZ72" i="9"/>
  <c r="AC67" i="9"/>
  <c r="D67" i="9" s="1"/>
  <c r="AD61" i="9"/>
  <c r="E61" i="9" s="1"/>
  <c r="AC55" i="9"/>
  <c r="D55" i="9" s="1"/>
  <c r="AZ45" i="9"/>
  <c r="AC43" i="9"/>
  <c r="D43" i="9" s="1"/>
  <c r="AD33" i="9"/>
  <c r="E33" i="9" s="1"/>
  <c r="AN25" i="9"/>
  <c r="AC23" i="9"/>
  <c r="D23" i="9" s="1"/>
  <c r="AC17" i="9"/>
  <c r="D17" i="9" s="1"/>
  <c r="BA105" i="9"/>
  <c r="R99" i="9"/>
  <c r="R105" i="9"/>
  <c r="BR95" i="9"/>
  <c r="BQ65" i="9"/>
  <c r="BR59" i="9"/>
  <c r="BS53" i="9"/>
  <c r="BR43" i="9"/>
  <c r="BS37" i="9"/>
  <c r="BQ33" i="9"/>
  <c r="BR23" i="9"/>
  <c r="BS17" i="9"/>
  <c r="BQ13" i="9"/>
  <c r="AC107" i="9"/>
  <c r="D107" i="9" s="1"/>
  <c r="AD101" i="9"/>
  <c r="E101" i="9" s="1"/>
  <c r="BA87" i="9"/>
  <c r="AD75" i="9"/>
  <c r="E75" i="9" s="1"/>
  <c r="AN63" i="9"/>
  <c r="AC61" i="9"/>
  <c r="D61" i="9" s="1"/>
  <c r="AD45" i="9"/>
  <c r="E45" i="9" s="1"/>
  <c r="AD39" i="9"/>
  <c r="E39" i="9" s="1"/>
  <c r="AC33" i="9"/>
  <c r="D33" i="9" s="1"/>
  <c r="AD25" i="9"/>
  <c r="E25" i="9" s="1"/>
  <c r="AD13" i="9"/>
  <c r="E13" i="9" s="1"/>
  <c r="R95" i="9"/>
  <c r="R103" i="9"/>
  <c r="BR115" i="9"/>
  <c r="BQ95" i="9"/>
  <c r="BS63" i="9"/>
  <c r="BQ59" i="9"/>
  <c r="BR53" i="9"/>
  <c r="BQ43" i="9"/>
  <c r="BR37" i="9"/>
  <c r="I111" i="9"/>
  <c r="BQ23" i="9"/>
  <c r="BR17" i="9"/>
  <c r="AN45" i="9"/>
  <c r="AC101" i="9"/>
  <c r="D101" i="9" s="1"/>
  <c r="AD95" i="9"/>
  <c r="E95" i="9" s="1"/>
  <c r="AD87" i="9"/>
  <c r="E87" i="9" s="1"/>
  <c r="AD81" i="9"/>
  <c r="E81" i="9" s="1"/>
  <c r="AC75" i="9"/>
  <c r="D75" i="9" s="1"/>
  <c r="BA65" i="9"/>
  <c r="AD63" i="9"/>
  <c r="E63" i="9" s="1"/>
  <c r="AD57" i="9"/>
  <c r="E57" i="9" s="1"/>
  <c r="AC45" i="9"/>
  <c r="D45" i="9" s="1"/>
  <c r="AC39" i="9"/>
  <c r="D39" i="9" s="1"/>
  <c r="AZ32" i="9"/>
  <c r="BA27" i="9"/>
  <c r="AC25" i="9"/>
  <c r="D25" i="9" s="1"/>
  <c r="AD19" i="9"/>
  <c r="E19" i="9" s="1"/>
  <c r="AC13" i="9"/>
  <c r="D13" i="9" s="1"/>
  <c r="BA99" i="9"/>
  <c r="BA107" i="9"/>
  <c r="AN97" i="9"/>
  <c r="BS93" i="9"/>
  <c r="BR63" i="9"/>
  <c r="BS57" i="9"/>
  <c r="BQ53" i="9"/>
  <c r="BS41" i="9"/>
  <c r="BQ37" i="9"/>
  <c r="BS21" i="9"/>
  <c r="BQ17" i="9"/>
  <c r="I91" i="9"/>
  <c r="AD105" i="9"/>
  <c r="E105" i="9" s="1"/>
  <c r="AC95" i="9"/>
  <c r="D95" i="9" s="1"/>
  <c r="AC87" i="9"/>
  <c r="D87" i="9" s="1"/>
  <c r="AC81" i="9"/>
  <c r="D81" i="9" s="1"/>
  <c r="AN65" i="9"/>
  <c r="AC63" i="9"/>
  <c r="D63" i="9" s="1"/>
  <c r="AC57" i="9"/>
  <c r="D57" i="9" s="1"/>
  <c r="AN47" i="9"/>
  <c r="AD35" i="9"/>
  <c r="E35" i="9" s="1"/>
  <c r="AN27" i="9"/>
  <c r="AC19" i="9"/>
  <c r="D19" i="9" s="1"/>
  <c r="AZ12" i="9"/>
  <c r="AN87" i="9"/>
  <c r="AZ101" i="9"/>
  <c r="AZ92" i="9"/>
  <c r="BR93" i="9"/>
  <c r="BQ63" i="9"/>
  <c r="BR57" i="9"/>
  <c r="BR47" i="9"/>
  <c r="BR41" i="9"/>
  <c r="BS35" i="9"/>
  <c r="BR27" i="9"/>
  <c r="BR21" i="9"/>
  <c r="BS15" i="9"/>
  <c r="I71" i="9"/>
  <c r="AC105" i="9"/>
  <c r="D105" i="9" s="1"/>
  <c r="AD99" i="9"/>
  <c r="E99" i="9" s="1"/>
  <c r="AN83" i="9"/>
  <c r="AD77" i="9"/>
  <c r="E77" i="9" s="1"/>
  <c r="AD65" i="9"/>
  <c r="E65" i="9" s="1"/>
  <c r="AD53" i="9"/>
  <c r="E53" i="9" s="1"/>
  <c r="AD47" i="9"/>
  <c r="E47" i="9" s="1"/>
  <c r="AD41" i="9"/>
  <c r="E41" i="9" s="1"/>
  <c r="AC35" i="9"/>
  <c r="D35" i="9" s="1"/>
  <c r="AD27" i="9"/>
  <c r="E27" i="9" s="1"/>
  <c r="AN21" i="9"/>
  <c r="AD15" i="9"/>
  <c r="E15" i="9" s="1"/>
  <c r="I11" i="9"/>
  <c r="I7" i="9"/>
  <c r="AD33" i="11"/>
  <c r="E33" i="11" s="1"/>
  <c r="BQ27" i="11"/>
  <c r="BQ25" i="11"/>
  <c r="BQ23" i="11"/>
  <c r="BR21" i="11"/>
  <c r="BR19" i="11"/>
  <c r="BS17" i="11"/>
  <c r="BQ15" i="11"/>
  <c r="I11" i="11"/>
  <c r="AC47" i="11"/>
  <c r="D47" i="11" s="1"/>
  <c r="AN43" i="11"/>
  <c r="AD41" i="11"/>
  <c r="E41" i="11" s="1"/>
  <c r="AC33" i="11"/>
  <c r="D33" i="11" s="1"/>
  <c r="BQ21" i="11"/>
  <c r="BQ19" i="11"/>
  <c r="BR17" i="11"/>
  <c r="BA27" i="11"/>
  <c r="AD45" i="11"/>
  <c r="E45" i="11" s="1"/>
  <c r="BS41" i="11"/>
  <c r="AD37" i="11"/>
  <c r="E37" i="11" s="1"/>
  <c r="AC35" i="11"/>
  <c r="D35" i="11" s="1"/>
  <c r="AN25" i="11"/>
  <c r="AC45" i="11"/>
  <c r="D45" i="11" s="1"/>
  <c r="BR41" i="11"/>
  <c r="BS33" i="11"/>
  <c r="AN27" i="11"/>
  <c r="AC25" i="11"/>
  <c r="D25" i="11" s="1"/>
  <c r="BR13" i="11"/>
  <c r="I7" i="11"/>
  <c r="BR25" i="11"/>
  <c r="BR23" i="11"/>
  <c r="BS21" i="11"/>
  <c r="BR15" i="11"/>
  <c r="AC77" i="11"/>
  <c r="D77" i="11" s="1"/>
  <c r="BQ43" i="11"/>
  <c r="BQ35" i="11"/>
  <c r="AC27" i="11"/>
  <c r="D27" i="11" s="1"/>
  <c r="AN23" i="11"/>
  <c r="AN21" i="11"/>
  <c r="AC17" i="11"/>
  <c r="D17" i="11" s="1"/>
  <c r="BQ13" i="11"/>
  <c r="AD43" i="11"/>
  <c r="E43" i="11" s="1"/>
  <c r="AD35" i="11"/>
  <c r="E35" i="11" s="1"/>
  <c r="AZ12" i="11"/>
  <c r="BR37" i="11"/>
  <c r="BS23" i="11"/>
  <c r="AC23" i="11"/>
  <c r="D23" i="11" s="1"/>
  <c r="AD21" i="11"/>
  <c r="E21" i="11" s="1"/>
  <c r="AC19" i="11"/>
  <c r="D19" i="11" s="1"/>
  <c r="BS15" i="11"/>
  <c r="BR53" i="11"/>
  <c r="AZ32" i="11"/>
  <c r="BR35" i="11"/>
  <c r="AC67" i="11"/>
  <c r="D67" i="11" s="1"/>
  <c r="AC57" i="11"/>
  <c r="D57" i="11" s="1"/>
  <c r="BS37" i="11"/>
  <c r="AZ103" i="11"/>
  <c r="AZ99" i="11"/>
  <c r="AD103" i="11"/>
  <c r="E103" i="11" s="1"/>
  <c r="AC103" i="11"/>
  <c r="D103" i="11" s="1"/>
  <c r="BS95" i="11"/>
  <c r="AN83" i="11"/>
  <c r="BA97" i="11"/>
  <c r="BA103" i="11"/>
  <c r="AD75" i="11"/>
  <c r="E75" i="11" s="1"/>
  <c r="BS55" i="11"/>
  <c r="AD85" i="11"/>
  <c r="E85" i="11" s="1"/>
  <c r="AN61" i="11"/>
  <c r="AD81" i="11"/>
  <c r="E81" i="11" s="1"/>
  <c r="BQ55" i="11"/>
  <c r="AD65" i="11"/>
  <c r="E65" i="11" s="1"/>
  <c r="AD23" i="11"/>
  <c r="E23" i="11" s="1"/>
  <c r="AC37" i="11"/>
  <c r="D37" i="11" s="1"/>
  <c r="AD13" i="11"/>
  <c r="E13" i="11" s="1"/>
  <c r="BA25" i="11"/>
  <c r="AC63" i="11"/>
  <c r="D63" i="11" s="1"/>
  <c r="AC95" i="11"/>
  <c r="D95" i="11" s="1"/>
  <c r="BA101" i="11"/>
  <c r="AC79" i="11"/>
  <c r="D79" i="11" s="1"/>
  <c r="R103" i="11"/>
  <c r="BQ57" i="11"/>
  <c r="BS59" i="11"/>
  <c r="AZ72" i="11"/>
  <c r="I51" i="11"/>
  <c r="AC75" i="11"/>
  <c r="D75" i="11" s="1"/>
  <c r="BQ59" i="11"/>
  <c r="AC73" i="11"/>
  <c r="D73" i="11" s="1"/>
  <c r="AZ52" i="11"/>
  <c r="AD63" i="11"/>
  <c r="E63" i="11" s="1"/>
  <c r="AD25" i="11"/>
  <c r="E25" i="11" s="1"/>
  <c r="BQ39" i="11"/>
  <c r="BS57" i="11"/>
  <c r="AD15" i="11"/>
  <c r="E15" i="11" s="1"/>
  <c r="BA99" i="11"/>
  <c r="BR93" i="11"/>
  <c r="AD99" i="11"/>
  <c r="E99" i="11" s="1"/>
  <c r="R101" i="11"/>
  <c r="I91" i="11"/>
  <c r="AZ107" i="11"/>
  <c r="BQ95" i="11"/>
  <c r="AD55" i="11"/>
  <c r="E55" i="11" s="1"/>
  <c r="AD59" i="11"/>
  <c r="E59" i="11" s="1"/>
  <c r="BQ67" i="11"/>
  <c r="AD73" i="11"/>
  <c r="E73" i="11" s="1"/>
  <c r="Y99" i="11" s="1"/>
  <c r="AA99" i="11" s="1"/>
  <c r="BR55" i="11"/>
  <c r="AN67" i="11"/>
  <c r="BQ47" i="11"/>
  <c r="AC61" i="11"/>
  <c r="D61" i="11" s="1"/>
  <c r="BR57" i="11"/>
  <c r="AC41" i="11"/>
  <c r="D41" i="11" s="1"/>
  <c r="AC13" i="11"/>
  <c r="D13" i="11" s="1"/>
  <c r="BQ17" i="11"/>
  <c r="I31" i="11"/>
  <c r="BQ45" i="11"/>
  <c r="BS113" i="11"/>
  <c r="R93" i="11"/>
  <c r="AD87" i="11"/>
  <c r="E87" i="11" s="1"/>
  <c r="BR95" i="11"/>
  <c r="BA87" i="11"/>
  <c r="AC101" i="11"/>
  <c r="D101" i="11" s="1"/>
  <c r="AZ97" i="11"/>
  <c r="AD53" i="11"/>
  <c r="E53" i="11" s="1"/>
  <c r="Y79" i="11" s="1"/>
  <c r="AA79" i="11" s="1"/>
  <c r="AC55" i="11"/>
  <c r="D55" i="11" s="1"/>
  <c r="BR65" i="11"/>
  <c r="BA45" i="11"/>
  <c r="BR47" i="11"/>
  <c r="AN65" i="11"/>
  <c r="BR45" i="11"/>
  <c r="AD57" i="11"/>
  <c r="E57" i="11" s="1"/>
  <c r="BQ53" i="11"/>
  <c r="AD27" i="11"/>
  <c r="E27" i="11" s="1"/>
  <c r="BQ41" i="11"/>
  <c r="AC15" i="11"/>
  <c r="D15" i="11" s="1"/>
  <c r="BR43" i="11"/>
  <c r="BS35" i="11"/>
  <c r="BR115" i="11"/>
  <c r="BR113" i="11"/>
  <c r="R95" i="11"/>
  <c r="AC85" i="11"/>
  <c r="D85" i="11" s="1"/>
  <c r="AD95" i="11"/>
  <c r="E95" i="11" s="1"/>
  <c r="AC99" i="11"/>
  <c r="D99" i="11" s="1"/>
  <c r="AD79" i="11"/>
  <c r="E79" i="11" s="1"/>
  <c r="AZ92" i="11"/>
  <c r="AZ85" i="11"/>
  <c r="AD97" i="11"/>
  <c r="E97" i="11" s="1"/>
  <c r="AC53" i="11"/>
  <c r="D53" i="11" s="1"/>
  <c r="BS63" i="11"/>
  <c r="BS39" i="11"/>
  <c r="BQ65" i="11"/>
  <c r="BQ63" i="11"/>
  <c r="AD107" i="11"/>
  <c r="E107" i="11" s="1"/>
  <c r="BS53" i="11"/>
  <c r="AD47" i="11"/>
  <c r="E47" i="11" s="1"/>
  <c r="AC43" i="11"/>
  <c r="D43" i="11" s="1"/>
  <c r="AD19" i="11"/>
  <c r="E19" i="11" s="1"/>
  <c r="AN45" i="11"/>
  <c r="BQ37" i="11"/>
  <c r="BQ115" i="11"/>
  <c r="I111" i="11"/>
  <c r="BS93" i="11"/>
  <c r="AC81" i="11"/>
  <c r="D81" i="11" s="1"/>
  <c r="BQ93" i="11"/>
  <c r="BS115" i="11"/>
  <c r="AC87" i="11"/>
  <c r="D87" i="11" s="1"/>
  <c r="AZ105" i="11"/>
  <c r="AD83" i="11"/>
  <c r="E83" i="11" s="1"/>
  <c r="R99" i="11"/>
  <c r="I71" i="11"/>
  <c r="BA47" i="11"/>
  <c r="BS61" i="11"/>
  <c r="AD39" i="11"/>
  <c r="E39" i="11" s="1"/>
  <c r="AZ45" i="11"/>
  <c r="AN63" i="11"/>
  <c r="AD101" i="11"/>
  <c r="E101" i="11" s="1"/>
  <c r="AC83" i="11"/>
  <c r="D83" i="11" s="1"/>
  <c r="BS13" i="11"/>
  <c r="BS19" i="11"/>
  <c r="AN47" i="11"/>
  <c r="BS43" i="11"/>
  <c r="X111" i="11"/>
  <c r="AC107" i="11"/>
  <c r="D107" i="11" s="1"/>
  <c r="AN87" i="11"/>
  <c r="R97" i="11"/>
  <c r="BA107" i="11"/>
  <c r="BA85" i="11"/>
  <c r="AZ101" i="11"/>
  <c r="AC105" i="11"/>
  <c r="D105" i="11" s="1"/>
  <c r="BR67" i="11"/>
  <c r="BR59" i="11"/>
  <c r="BR63" i="11"/>
  <c r="BR39" i="11"/>
  <c r="BQ61" i="11"/>
  <c r="AD77" i="11"/>
  <c r="E77" i="11" s="1"/>
  <c r="AD17" i="11"/>
  <c r="E17" i="11" s="1"/>
  <c r="BQ33" i="11"/>
  <c r="BR33" i="11"/>
  <c r="BR27" i="11"/>
  <c r="AC65" i="11"/>
  <c r="D65" i="11" s="1"/>
  <c r="R107" i="11"/>
  <c r="BQ113" i="11"/>
  <c r="R105" i="11"/>
  <c r="BA105" i="11"/>
  <c r="AC97" i="11"/>
  <c r="D97" i="11" s="1"/>
  <c r="BA65" i="11"/>
  <c r="AD105" i="11"/>
  <c r="E105" i="11" s="1"/>
  <c r="AC59" i="11"/>
  <c r="D59" i="11" s="1"/>
  <c r="BR61" i="11"/>
  <c r="AC39" i="11"/>
  <c r="D39" i="11" s="1"/>
  <c r="AD61" i="11"/>
  <c r="E61" i="11" s="1"/>
  <c r="AD67" i="11"/>
  <c r="E67" i="11" s="1"/>
  <c r="BA67" i="11"/>
  <c r="AC21" i="11"/>
  <c r="D21" i="11" s="1"/>
  <c r="AC1" i="2"/>
  <c r="AD1" i="2"/>
  <c r="AQ26" i="13" l="1"/>
  <c r="AQ90" i="13"/>
  <c r="AQ22" i="13"/>
  <c r="AQ48" i="13"/>
  <c r="AQ72" i="13"/>
  <c r="AQ42" i="13"/>
  <c r="AQ54" i="13"/>
  <c r="AQ46" i="13"/>
  <c r="AQ50" i="13"/>
  <c r="AQ68" i="13"/>
  <c r="AQ92" i="13"/>
  <c r="GC451" i="16"/>
  <c r="GC454" i="16"/>
  <c r="GC453" i="16"/>
  <c r="GC452" i="16"/>
  <c r="AQ34" i="13"/>
  <c r="AQ40" i="13"/>
  <c r="AQ62" i="13"/>
  <c r="AQ66" i="13"/>
  <c r="AQ88" i="13"/>
  <c r="AJ462" i="16"/>
  <c r="GC468" i="16"/>
  <c r="GC467" i="16"/>
  <c r="GC466" i="16"/>
  <c r="GC465" i="16"/>
  <c r="AQ60" i="13"/>
  <c r="AQ82" i="13"/>
  <c r="AQ86" i="13"/>
  <c r="GC370" i="16"/>
  <c r="GC367" i="16"/>
  <c r="GC369" i="16"/>
  <c r="GC368" i="16"/>
  <c r="AQ74" i="13"/>
  <c r="AQ80" i="13"/>
  <c r="AQ70" i="13"/>
  <c r="GC384" i="16"/>
  <c r="GC383" i="16"/>
  <c r="GC382" i="16"/>
  <c r="GC381" i="16"/>
  <c r="AQ94" i="13"/>
  <c r="AQ24" i="13"/>
  <c r="AQ44" i="13"/>
  <c r="GC395" i="16"/>
  <c r="GC398" i="16"/>
  <c r="GC397" i="16"/>
  <c r="GC396" i="16"/>
  <c r="AQ120" i="13"/>
  <c r="AQ64" i="13"/>
  <c r="AQ84" i="13"/>
  <c r="AQ32" i="13"/>
  <c r="AJ406" i="16"/>
  <c r="GC412" i="16"/>
  <c r="GC411" i="16"/>
  <c r="GC410" i="16"/>
  <c r="GC409" i="16"/>
  <c r="GC440" i="16"/>
  <c r="GC439" i="16"/>
  <c r="GC438" i="16"/>
  <c r="GC437" i="16"/>
  <c r="AQ30" i="13"/>
  <c r="AQ28" i="13"/>
  <c r="AQ52" i="13"/>
  <c r="GC426" i="16"/>
  <c r="GC425" i="16"/>
  <c r="GC424" i="16"/>
  <c r="GC423" i="16"/>
  <c r="GC356" i="16"/>
  <c r="GC328" i="16"/>
  <c r="GC300" i="16"/>
  <c r="GC272" i="16"/>
  <c r="GC244" i="16"/>
  <c r="GC216" i="16"/>
  <c r="GC188" i="16"/>
  <c r="GC160" i="16"/>
  <c r="GC132" i="16"/>
  <c r="GC104" i="16"/>
  <c r="GC76" i="16"/>
  <c r="GC48" i="16"/>
  <c r="GC20" i="16"/>
  <c r="GC258" i="16"/>
  <c r="GC202" i="16"/>
  <c r="GC90" i="16"/>
  <c r="GC200" i="16"/>
  <c r="GC88" i="16"/>
  <c r="GC255" i="16"/>
  <c r="GC171" i="16"/>
  <c r="GC59" i="16"/>
  <c r="GC355" i="16"/>
  <c r="GC327" i="16"/>
  <c r="GC299" i="16"/>
  <c r="GC271" i="16"/>
  <c r="GC243" i="16"/>
  <c r="GC215" i="16"/>
  <c r="GC187" i="16"/>
  <c r="GC159" i="16"/>
  <c r="GC131" i="16"/>
  <c r="GC103" i="16"/>
  <c r="GC75" i="16"/>
  <c r="GC47" i="16"/>
  <c r="GC342" i="16"/>
  <c r="GC230" i="16"/>
  <c r="GC118" i="16"/>
  <c r="GC34" i="16"/>
  <c r="GC172" i="16"/>
  <c r="GC32" i="16"/>
  <c r="GC283" i="16"/>
  <c r="GC143" i="16"/>
  <c r="GC354" i="16"/>
  <c r="GC326" i="16"/>
  <c r="GC298" i="16"/>
  <c r="GC270" i="16"/>
  <c r="GC242" i="16"/>
  <c r="GC214" i="16"/>
  <c r="GC186" i="16"/>
  <c r="GC158" i="16"/>
  <c r="GC130" i="16"/>
  <c r="GC102" i="16"/>
  <c r="GC74" i="16"/>
  <c r="GC46" i="16"/>
  <c r="GC18" i="16"/>
  <c r="GC314" i="16"/>
  <c r="GC174" i="16"/>
  <c r="GC62" i="16"/>
  <c r="GC116" i="16"/>
  <c r="GC227" i="16"/>
  <c r="GC87" i="16"/>
  <c r="GC353" i="16"/>
  <c r="GC325" i="16"/>
  <c r="GC297" i="16"/>
  <c r="GC269" i="16"/>
  <c r="GC241" i="16"/>
  <c r="GC213" i="16"/>
  <c r="GC185" i="16"/>
  <c r="GC157" i="16"/>
  <c r="GC129" i="16"/>
  <c r="GC101" i="16"/>
  <c r="GC73" i="16"/>
  <c r="GC45" i="16"/>
  <c r="GC17" i="16"/>
  <c r="GC286" i="16"/>
  <c r="GC146" i="16"/>
  <c r="GC228" i="16"/>
  <c r="GC60" i="16"/>
  <c r="GC339" i="16"/>
  <c r="GC199" i="16"/>
  <c r="GC31" i="16"/>
  <c r="GC341" i="16"/>
  <c r="GC313" i="16"/>
  <c r="GC285" i="16"/>
  <c r="GC257" i="16"/>
  <c r="GC229" i="16"/>
  <c r="GC201" i="16"/>
  <c r="GC173" i="16"/>
  <c r="GC145" i="16"/>
  <c r="GC117" i="16"/>
  <c r="GC89" i="16"/>
  <c r="GC61" i="16"/>
  <c r="GC33" i="16"/>
  <c r="GC340" i="16"/>
  <c r="GC312" i="16"/>
  <c r="GC284" i="16"/>
  <c r="GC256" i="16"/>
  <c r="GC144" i="16"/>
  <c r="GC311" i="16"/>
  <c r="GC115" i="16"/>
  <c r="AT112" i="13"/>
  <c r="B112" i="13" s="1"/>
  <c r="AQ112" i="13"/>
  <c r="AT108" i="13"/>
  <c r="B108" i="13" s="1"/>
  <c r="AQ108" i="13"/>
  <c r="AT102" i="13"/>
  <c r="B102" i="13" s="1"/>
  <c r="AQ102" i="13"/>
  <c r="AT106" i="13"/>
  <c r="B106" i="13" s="1"/>
  <c r="AQ106" i="13"/>
  <c r="AT100" i="13"/>
  <c r="B100" i="13" s="1"/>
  <c r="AQ100" i="13"/>
  <c r="AT110" i="13"/>
  <c r="B110" i="13" s="1"/>
  <c r="AQ110" i="13"/>
  <c r="AT114" i="13"/>
  <c r="B114" i="13" s="1"/>
  <c r="AQ114" i="13"/>
  <c r="AT104" i="13"/>
  <c r="B104" i="13" s="1"/>
  <c r="AQ104" i="13"/>
  <c r="AJ196" i="16"/>
  <c r="AJ84" i="16"/>
  <c r="AJ13" i="16"/>
  <c r="AJ182" i="16"/>
  <c r="AJ70" i="16"/>
  <c r="AJ140" i="16"/>
  <c r="AJ168" i="16"/>
  <c r="AJ56" i="16"/>
  <c r="AJ28" i="16"/>
  <c r="AJ210" i="16"/>
  <c r="AJ154" i="16"/>
  <c r="AJ42" i="16"/>
  <c r="AJ98" i="16"/>
  <c r="AJ350" i="16"/>
  <c r="AJ126" i="16"/>
  <c r="AJ14" i="16"/>
  <c r="AJ224" i="16"/>
  <c r="AJ112" i="16"/>
  <c r="AJ433" i="16"/>
  <c r="AA461" i="16"/>
  <c r="AJ461" i="16"/>
  <c r="AJ363" i="16"/>
  <c r="AJ377" i="16"/>
  <c r="AJ391" i="16"/>
  <c r="AJ405" i="16"/>
  <c r="BO1" i="5"/>
  <c r="GC19" i="16" s="1"/>
  <c r="AJ447" i="16"/>
  <c r="AJ419" i="16"/>
  <c r="AJ321" i="16"/>
  <c r="AJ209" i="16"/>
  <c r="AJ97" i="16"/>
  <c r="AJ335" i="16"/>
  <c r="AJ307" i="16"/>
  <c r="AJ195" i="16"/>
  <c r="AJ83" i="16"/>
  <c r="AJ111" i="16"/>
  <c r="AJ293" i="16"/>
  <c r="AJ181" i="16"/>
  <c r="AJ69" i="16"/>
  <c r="AJ279" i="16"/>
  <c r="AJ167" i="16"/>
  <c r="AJ55" i="16"/>
  <c r="AJ265" i="16"/>
  <c r="AJ153" i="16"/>
  <c r="AJ41" i="16"/>
  <c r="AJ251" i="16"/>
  <c r="AJ139" i="16"/>
  <c r="AJ27" i="16"/>
  <c r="AJ223" i="16"/>
  <c r="AJ349" i="16"/>
  <c r="AJ237" i="16"/>
  <c r="AJ125" i="16"/>
  <c r="AU54" i="13"/>
  <c r="AP54" i="13" s="1"/>
  <c r="AT54" i="13"/>
  <c r="B54" i="13" s="1"/>
  <c r="AU34" i="13"/>
  <c r="AT34" i="13"/>
  <c r="B34" i="13" s="1"/>
  <c r="AU40" i="13"/>
  <c r="AT40" i="13"/>
  <c r="B40" i="13" s="1"/>
  <c r="AU62" i="13"/>
  <c r="AT62" i="13"/>
  <c r="B62" i="13" s="1"/>
  <c r="AU66" i="13"/>
  <c r="AT66" i="13"/>
  <c r="B66" i="13" s="1"/>
  <c r="AU88" i="13"/>
  <c r="AT88" i="13"/>
  <c r="B88" i="13" s="1"/>
  <c r="AU82" i="13"/>
  <c r="AT82" i="13"/>
  <c r="B82" i="13" s="1"/>
  <c r="AU74" i="13"/>
  <c r="AT74" i="13"/>
  <c r="B74" i="13" s="1"/>
  <c r="AU80" i="13"/>
  <c r="AT80" i="13"/>
  <c r="B80" i="13" s="1"/>
  <c r="AU94" i="13"/>
  <c r="AT94" i="13"/>
  <c r="B94" i="13" s="1"/>
  <c r="AU24" i="13"/>
  <c r="AT24" i="13"/>
  <c r="B24" i="13" s="1"/>
  <c r="AU44" i="13"/>
  <c r="AT44" i="13"/>
  <c r="B44" i="13" s="1"/>
  <c r="AU60" i="13"/>
  <c r="AT60" i="13"/>
  <c r="B60" i="13" s="1"/>
  <c r="AU120" i="13"/>
  <c r="AT120" i="13"/>
  <c r="B120" i="13" s="1"/>
  <c r="AU64" i="13"/>
  <c r="AT64" i="13"/>
  <c r="B64" i="13" s="1"/>
  <c r="AU84" i="13"/>
  <c r="AT84" i="13"/>
  <c r="B84" i="13" s="1"/>
  <c r="AU32" i="13"/>
  <c r="AT32" i="13"/>
  <c r="B32" i="13" s="1"/>
  <c r="AU50" i="13"/>
  <c r="AO50" i="13" s="1"/>
  <c r="AT50" i="13"/>
  <c r="B50" i="13" s="1"/>
  <c r="AU30" i="13"/>
  <c r="AT30" i="13"/>
  <c r="B30" i="13" s="1"/>
  <c r="AU28" i="13"/>
  <c r="AT28" i="13"/>
  <c r="B28" i="13" s="1"/>
  <c r="AU52" i="13"/>
  <c r="AT52" i="13"/>
  <c r="B52" i="13" s="1"/>
  <c r="AU86" i="13"/>
  <c r="AT86" i="13"/>
  <c r="B86" i="13" s="1"/>
  <c r="AU70" i="13"/>
  <c r="AT70" i="13"/>
  <c r="B70" i="13" s="1"/>
  <c r="AU90" i="13"/>
  <c r="AT90" i="13"/>
  <c r="B90" i="13" s="1"/>
  <c r="AU22" i="13"/>
  <c r="AT22" i="13"/>
  <c r="B22" i="13" s="1"/>
  <c r="AU26" i="13"/>
  <c r="AT26" i="13"/>
  <c r="B26" i="13" s="1"/>
  <c r="AU48" i="13"/>
  <c r="AT48" i="13"/>
  <c r="B48" i="13" s="1"/>
  <c r="AU72" i="13"/>
  <c r="AT72" i="13"/>
  <c r="B72" i="13" s="1"/>
  <c r="AU20" i="13"/>
  <c r="AT20" i="13"/>
  <c r="B20" i="13" s="1"/>
  <c r="AU42" i="13"/>
  <c r="AP42" i="13" s="1"/>
  <c r="AT42" i="13"/>
  <c r="B42" i="13" s="1"/>
  <c r="AU46" i="13"/>
  <c r="AO46" i="13" s="1"/>
  <c r="AT46" i="13"/>
  <c r="B46" i="13" s="1"/>
  <c r="AU68" i="13"/>
  <c r="AT68" i="13"/>
  <c r="B68" i="13" s="1"/>
  <c r="AU92" i="13"/>
  <c r="AT92" i="13"/>
  <c r="B92" i="13" s="1"/>
  <c r="X18" i="19"/>
  <c r="R8" i="19"/>
  <c r="Q8" i="19" s="1"/>
  <c r="X33" i="19"/>
  <c r="X30" i="19"/>
  <c r="X10" i="19"/>
  <c r="X3" i="19"/>
  <c r="X25" i="19"/>
  <c r="P9" i="17"/>
  <c r="B42" i="17"/>
  <c r="P42" i="17"/>
  <c r="B41" i="17"/>
  <c r="P34" i="17"/>
  <c r="B33" i="17"/>
  <c r="P33" i="17"/>
  <c r="B26" i="17"/>
  <c r="P26" i="17"/>
  <c r="B25" i="17"/>
  <c r="P25" i="17"/>
  <c r="P41" i="17"/>
  <c r="B34" i="17"/>
  <c r="B9" i="17"/>
  <c r="X28" i="19"/>
  <c r="R6" i="19"/>
  <c r="Q6" i="19" s="1"/>
  <c r="R3" i="19"/>
  <c r="Q3" i="19" s="1"/>
  <c r="X8" i="19"/>
  <c r="X24" i="19"/>
  <c r="X17" i="19"/>
  <c r="X31" i="19"/>
  <c r="X26" i="19"/>
  <c r="X15" i="19"/>
  <c r="X20" i="19"/>
  <c r="X19" i="19"/>
  <c r="R2" i="19"/>
  <c r="Q2" i="19" s="1"/>
  <c r="X32" i="19"/>
  <c r="X22" i="19"/>
  <c r="X21" i="19"/>
  <c r="X29" i="19"/>
  <c r="X16" i="19"/>
  <c r="X13" i="19"/>
  <c r="X5" i="19"/>
  <c r="X2" i="19"/>
  <c r="X7" i="19"/>
  <c r="X14" i="19"/>
  <c r="X6" i="19"/>
  <c r="X27" i="19"/>
  <c r="X12" i="19"/>
  <c r="R7" i="19"/>
  <c r="Q7" i="19" s="1"/>
  <c r="X11" i="19"/>
  <c r="X23" i="19"/>
  <c r="X9" i="19"/>
  <c r="R5" i="19"/>
  <c r="Q5" i="19" s="1"/>
  <c r="R4" i="19"/>
  <c r="Q4" i="19" s="1"/>
  <c r="H125" i="19"/>
  <c r="H101" i="19"/>
  <c r="H149" i="19"/>
  <c r="H185" i="19"/>
  <c r="H161" i="19"/>
  <c r="H137" i="19"/>
  <c r="H113" i="19"/>
  <c r="H89" i="19"/>
  <c r="H65" i="19"/>
  <c r="H41" i="19"/>
  <c r="H17" i="19"/>
  <c r="H77" i="19"/>
  <c r="H53" i="19"/>
  <c r="H173" i="19"/>
  <c r="H29" i="19"/>
  <c r="Q14" i="13"/>
  <c r="H5" i="19"/>
  <c r="A173" i="19"/>
  <c r="A149" i="19"/>
  <c r="A125" i="19"/>
  <c r="A101" i="19"/>
  <c r="A77" i="19"/>
  <c r="A53" i="19"/>
  <c r="A29" i="19"/>
  <c r="A185" i="19"/>
  <c r="A161" i="19"/>
  <c r="A137" i="19"/>
  <c r="A113" i="19"/>
  <c r="A89" i="19"/>
  <c r="A65" i="19"/>
  <c r="A41" i="19"/>
  <c r="A17" i="19"/>
  <c r="I14" i="13"/>
  <c r="A5" i="19"/>
  <c r="R134" i="13"/>
  <c r="D104" i="19"/>
  <c r="K188" i="19"/>
  <c r="K164" i="19"/>
  <c r="K140" i="19"/>
  <c r="K116" i="19"/>
  <c r="K92" i="19"/>
  <c r="K68" i="19"/>
  <c r="K44" i="19"/>
  <c r="K20" i="19"/>
  <c r="D80" i="19"/>
  <c r="D188" i="19"/>
  <c r="D164" i="19"/>
  <c r="D140" i="19"/>
  <c r="D116" i="19"/>
  <c r="D92" i="19"/>
  <c r="D68" i="19"/>
  <c r="D44" i="19"/>
  <c r="D20" i="19"/>
  <c r="D56" i="19"/>
  <c r="D128" i="19"/>
  <c r="D152" i="19"/>
  <c r="K176" i="19"/>
  <c r="K152" i="19"/>
  <c r="K128" i="19"/>
  <c r="K104" i="19"/>
  <c r="K80" i="19"/>
  <c r="K56" i="19"/>
  <c r="K32" i="19"/>
  <c r="D176" i="19"/>
  <c r="D32" i="19"/>
  <c r="K8" i="19"/>
  <c r="D8" i="19"/>
  <c r="P10" i="17"/>
  <c r="G118" i="13"/>
  <c r="R118" i="13" s="1"/>
  <c r="Q1" i="17"/>
  <c r="C1" i="17"/>
  <c r="E1" i="17"/>
  <c r="B17" i="17"/>
  <c r="P16" i="17"/>
  <c r="B18" i="17"/>
  <c r="P17" i="17"/>
  <c r="B15" i="17"/>
  <c r="B13" i="17"/>
  <c r="P11" i="17"/>
  <c r="B14" i="17"/>
  <c r="P18" i="17"/>
  <c r="P13" i="17"/>
  <c r="B16" i="17"/>
  <c r="B11" i="17"/>
  <c r="P14" i="17"/>
  <c r="B12" i="17"/>
  <c r="B10" i="17"/>
  <c r="P12" i="17"/>
  <c r="P15" i="17"/>
  <c r="T3" i="16"/>
  <c r="AU112" i="13"/>
  <c r="AU108" i="13"/>
  <c r="AU102" i="13"/>
  <c r="AU106" i="13"/>
  <c r="AU104" i="13"/>
  <c r="T27" i="5"/>
  <c r="AI377" i="16" s="1"/>
  <c r="AU100" i="13"/>
  <c r="AU110" i="13"/>
  <c r="AJ33" i="5"/>
  <c r="AK33" i="5" s="1"/>
  <c r="AU114" i="13"/>
  <c r="AL27" i="5"/>
  <c r="S5" i="5"/>
  <c r="T22" i="5"/>
  <c r="AI307" i="16" s="1"/>
  <c r="AK26" i="5"/>
  <c r="AJ37" i="5"/>
  <c r="AK37" i="5" s="1"/>
  <c r="S27" i="5"/>
  <c r="AA405" i="16"/>
  <c r="N405" i="16"/>
  <c r="HN410" i="16" s="1"/>
  <c r="AA391" i="16"/>
  <c r="N391" i="16"/>
  <c r="HN396" i="16" s="1"/>
  <c r="AA377" i="16"/>
  <c r="N377" i="16"/>
  <c r="HN382" i="16" s="1"/>
  <c r="AA363" i="16"/>
  <c r="N363" i="16"/>
  <c r="HN368" i="16" s="1"/>
  <c r="AK4" i="5"/>
  <c r="AJ26" i="13" s="1"/>
  <c r="AK10" i="5"/>
  <c r="AK25" i="5"/>
  <c r="T5" i="5"/>
  <c r="AI69" i="16" s="1"/>
  <c r="N461" i="16"/>
  <c r="HN466" i="16" s="1"/>
  <c r="AK19" i="5"/>
  <c r="AK6" i="5"/>
  <c r="AJ30" i="13" s="1"/>
  <c r="N419" i="16"/>
  <c r="HN424" i="16" s="1"/>
  <c r="AA419" i="16"/>
  <c r="AL16" i="5"/>
  <c r="AK54" i="13" s="1"/>
  <c r="AK14" i="5"/>
  <c r="S25" i="5"/>
  <c r="AA433" i="16"/>
  <c r="N433" i="16"/>
  <c r="HN438" i="16" s="1"/>
  <c r="AL23" i="5"/>
  <c r="AK72" i="13" s="1"/>
  <c r="AL26" i="5"/>
  <c r="S26" i="5"/>
  <c r="AA447" i="16"/>
  <c r="N447" i="16"/>
  <c r="HN452" i="16" s="1"/>
  <c r="AL7" i="5"/>
  <c r="AK32" i="13" s="1"/>
  <c r="T14" i="5"/>
  <c r="AK17" i="5"/>
  <c r="AL5" i="5"/>
  <c r="AK28" i="13" s="1"/>
  <c r="S32" i="5"/>
  <c r="AL18" i="5"/>
  <c r="T30" i="5"/>
  <c r="AI419" i="16" s="1"/>
  <c r="AL6" i="5"/>
  <c r="AK30" i="13" s="1"/>
  <c r="U33" i="5"/>
  <c r="AL461" i="16" s="1"/>
  <c r="U4" i="5"/>
  <c r="AL55" i="16" s="1"/>
  <c r="U12" i="5"/>
  <c r="AL167" i="16" s="1"/>
  <c r="U20" i="5"/>
  <c r="AL279" i="16" s="1"/>
  <c r="U18" i="5"/>
  <c r="AL251" i="16" s="1"/>
  <c r="U3" i="5"/>
  <c r="AL41" i="16" s="1"/>
  <c r="U30" i="5"/>
  <c r="AL419" i="16" s="1"/>
  <c r="U5" i="5"/>
  <c r="AL69" i="16" s="1"/>
  <c r="U13" i="5"/>
  <c r="AL181" i="16" s="1"/>
  <c r="U21" i="5"/>
  <c r="AL293" i="16" s="1"/>
  <c r="U1" i="5"/>
  <c r="T1" i="5"/>
  <c r="AI13" i="16" s="1"/>
  <c r="U29" i="5"/>
  <c r="AL405" i="16" s="1"/>
  <c r="U6" i="5"/>
  <c r="AL83" i="16" s="1"/>
  <c r="U14" i="5"/>
  <c r="AL195" i="16" s="1"/>
  <c r="U22" i="5"/>
  <c r="AL307" i="16" s="1"/>
  <c r="U28" i="5"/>
  <c r="AL391" i="16" s="1"/>
  <c r="U7" i="5"/>
  <c r="AL97" i="16" s="1"/>
  <c r="U15" i="5"/>
  <c r="AL209" i="16" s="1"/>
  <c r="U23" i="5"/>
  <c r="AL321" i="16" s="1"/>
  <c r="U2" i="5"/>
  <c r="AL27" i="16" s="1"/>
  <c r="U11" i="5"/>
  <c r="AL153" i="16" s="1"/>
  <c r="U27" i="5"/>
  <c r="AL377" i="16" s="1"/>
  <c r="U8" i="5"/>
  <c r="AL111" i="16" s="1"/>
  <c r="U16" i="5"/>
  <c r="AL223" i="16" s="1"/>
  <c r="U24" i="5"/>
  <c r="AL335" i="16" s="1"/>
  <c r="U10" i="5"/>
  <c r="AL139" i="16" s="1"/>
  <c r="U19" i="5"/>
  <c r="AL265" i="16" s="1"/>
  <c r="U26" i="5"/>
  <c r="AL363" i="16" s="1"/>
  <c r="U9" i="5"/>
  <c r="AL125" i="16" s="1"/>
  <c r="U17" i="5"/>
  <c r="AL237" i="16" s="1"/>
  <c r="U25" i="5"/>
  <c r="AL349" i="16" s="1"/>
  <c r="U31" i="5"/>
  <c r="AL433" i="16" s="1"/>
  <c r="U32" i="5"/>
  <c r="AL447" i="16" s="1"/>
  <c r="T11" i="5"/>
  <c r="AI153" i="16" s="1"/>
  <c r="AK16" i="5"/>
  <c r="AJ54" i="13" s="1"/>
  <c r="S14" i="5"/>
  <c r="AK27" i="5"/>
  <c r="AL13" i="5"/>
  <c r="AK2" i="5"/>
  <c r="AJ22" i="13" s="1"/>
  <c r="S31" i="5"/>
  <c r="AJ39" i="5"/>
  <c r="AL39" i="5" s="1"/>
  <c r="AK21" i="5"/>
  <c r="AJ68" i="13" s="1"/>
  <c r="AL8" i="5"/>
  <c r="AK34" i="13" s="1"/>
  <c r="AK15" i="5"/>
  <c r="AJ52" i="13" s="1"/>
  <c r="S6" i="5"/>
  <c r="T33" i="5"/>
  <c r="AI461" i="16" s="1"/>
  <c r="AK8" i="5"/>
  <c r="AJ34" i="13" s="1"/>
  <c r="AJ42" i="5"/>
  <c r="AK42" i="5" s="1"/>
  <c r="T31" i="5"/>
  <c r="AI433" i="16" s="1"/>
  <c r="S30" i="5"/>
  <c r="AL12" i="5"/>
  <c r="T8" i="5"/>
  <c r="T23" i="5"/>
  <c r="AK32" i="5"/>
  <c r="AJ94" i="13" s="1"/>
  <c r="AK31" i="5"/>
  <c r="AJ92" i="13" s="1"/>
  <c r="S1" i="5"/>
  <c r="AL1" i="5"/>
  <c r="AK20" i="13" s="1"/>
  <c r="AL20" i="5"/>
  <c r="AL28" i="5"/>
  <c r="S23" i="5"/>
  <c r="AL30" i="5"/>
  <c r="S16" i="5"/>
  <c r="T15" i="5"/>
  <c r="AK9" i="5"/>
  <c r="AJ34" i="5"/>
  <c r="AK34" i="5" s="1"/>
  <c r="AL10" i="5"/>
  <c r="T6" i="5"/>
  <c r="AI83" i="16" s="1"/>
  <c r="AL2" i="5"/>
  <c r="AK22" i="13" s="1"/>
  <c r="S20" i="5"/>
  <c r="AK29" i="5"/>
  <c r="S10" i="5"/>
  <c r="T10" i="5"/>
  <c r="AI139" i="16" s="1"/>
  <c r="S11" i="5"/>
  <c r="AK28" i="5"/>
  <c r="AL3" i="5"/>
  <c r="AK24" i="13" s="1"/>
  <c r="AL11" i="5"/>
  <c r="S15" i="5"/>
  <c r="AL25" i="5"/>
  <c r="T25" i="5"/>
  <c r="T7" i="5"/>
  <c r="AI97" i="16" s="1"/>
  <c r="AK3" i="5"/>
  <c r="AJ24" i="13" s="1"/>
  <c r="S17" i="5"/>
  <c r="S24" i="5"/>
  <c r="S29" i="5"/>
  <c r="AJ41" i="5"/>
  <c r="AL41" i="5" s="1"/>
  <c r="S12" i="5"/>
  <c r="AK23" i="5"/>
  <c r="AJ72" i="13" s="1"/>
  <c r="T19" i="5"/>
  <c r="AI265" i="16" s="1"/>
  <c r="S33" i="5"/>
  <c r="S3" i="5"/>
  <c r="AL22" i="5"/>
  <c r="AL24" i="5"/>
  <c r="AK74" i="13" s="1"/>
  <c r="AJ35" i="5"/>
  <c r="S7" i="5"/>
  <c r="AK20" i="5"/>
  <c r="T26" i="5"/>
  <c r="AI363" i="16" s="1"/>
  <c r="S28" i="5"/>
  <c r="AJ40" i="5"/>
  <c r="AK40" i="5" s="1"/>
  <c r="S9" i="5"/>
  <c r="AK5" i="5"/>
  <c r="AJ28" i="13" s="1"/>
  <c r="T29" i="5"/>
  <c r="AI405" i="16" s="1"/>
  <c r="S4" i="5"/>
  <c r="AK18" i="5"/>
  <c r="T3" i="5"/>
  <c r="AI41" i="16" s="1"/>
  <c r="AJ36" i="5"/>
  <c r="AK36" i="5" s="1"/>
  <c r="T20" i="5"/>
  <c r="AL17" i="5"/>
  <c r="AK11" i="5"/>
  <c r="AL31" i="5"/>
  <c r="AK92" i="13" s="1"/>
  <c r="AL4" i="5"/>
  <c r="AK26" i="13" s="1"/>
  <c r="AL32" i="5"/>
  <c r="AK94" i="13" s="1"/>
  <c r="T24" i="5"/>
  <c r="AI335" i="16" s="1"/>
  <c r="AL14" i="5"/>
  <c r="AJ38" i="5"/>
  <c r="AK38" i="5" s="1"/>
  <c r="T28" i="5"/>
  <c r="AI391" i="16" s="1"/>
  <c r="S18" i="5"/>
  <c r="T18" i="5"/>
  <c r="S21" i="5"/>
  <c r="AL29" i="5"/>
  <c r="AL21" i="5"/>
  <c r="T21" i="5"/>
  <c r="AI293" i="16" s="1"/>
  <c r="AK13" i="5"/>
  <c r="T32" i="5"/>
  <c r="AI447" i="16" s="1"/>
  <c r="S8" i="5"/>
  <c r="T12" i="5"/>
  <c r="AK12" i="5"/>
  <c r="AL15" i="5"/>
  <c r="AK52" i="13" s="1"/>
  <c r="AL19" i="5"/>
  <c r="AK22" i="5"/>
  <c r="T16" i="5"/>
  <c r="AL9" i="5"/>
  <c r="S22" i="5"/>
  <c r="AK30" i="5"/>
  <c r="S2" i="5"/>
  <c r="T2" i="5"/>
  <c r="S13" i="5"/>
  <c r="AK24" i="5"/>
  <c r="AJ74" i="13" s="1"/>
  <c r="T9" i="5"/>
  <c r="T13" i="5"/>
  <c r="AK7" i="5"/>
  <c r="AJ32" i="13" s="1"/>
  <c r="AK1" i="5"/>
  <c r="AJ20" i="13" s="1"/>
  <c r="T17" i="5"/>
  <c r="AI237" i="16" s="1"/>
  <c r="T4" i="5"/>
  <c r="AN114" i="13"/>
  <c r="AM114" i="13"/>
  <c r="AN100" i="13"/>
  <c r="AM100" i="13"/>
  <c r="AN102" i="13"/>
  <c r="AM102" i="13"/>
  <c r="AN54" i="13"/>
  <c r="AM54" i="13"/>
  <c r="AN110" i="13"/>
  <c r="AM110" i="13"/>
  <c r="AN34" i="13"/>
  <c r="AM34" i="13"/>
  <c r="AN74" i="13"/>
  <c r="AM74" i="13"/>
  <c r="AN104" i="13"/>
  <c r="AM104" i="13"/>
  <c r="AM72" i="13"/>
  <c r="AN72" i="13"/>
  <c r="AN92" i="13"/>
  <c r="AM92" i="13"/>
  <c r="AN32" i="13"/>
  <c r="AM32" i="13"/>
  <c r="AN94" i="13"/>
  <c r="AM94" i="13"/>
  <c r="AN106" i="13"/>
  <c r="AM106" i="13"/>
  <c r="AN52" i="13"/>
  <c r="AM52" i="13"/>
  <c r="AN112" i="13"/>
  <c r="AM112" i="13"/>
  <c r="AM108" i="13"/>
  <c r="AN108" i="13"/>
  <c r="AC3" i="11"/>
  <c r="G3" i="11" s="1"/>
  <c r="G59" i="11" s="1"/>
  <c r="R9" i="16"/>
  <c r="AC3" i="9"/>
  <c r="G3" i="9" s="1"/>
  <c r="G14" i="13" s="1"/>
  <c r="C9" i="16"/>
  <c r="Q126" i="13"/>
  <c r="I126" i="13"/>
  <c r="Q98" i="13"/>
  <c r="G98" i="13"/>
  <c r="R38" i="13"/>
  <c r="G38" i="13"/>
  <c r="G58" i="13"/>
  <c r="R58" i="13"/>
  <c r="Y77" i="9"/>
  <c r="AA77" i="9" s="1"/>
  <c r="R18" i="13"/>
  <c r="G18" i="13"/>
  <c r="Q78" i="13"/>
  <c r="G78" i="13"/>
  <c r="BW37" i="11"/>
  <c r="BU37" i="11" s="1"/>
  <c r="BW61" i="9"/>
  <c r="BU61" i="9" s="1"/>
  <c r="BW67" i="9"/>
  <c r="BU67" i="9" s="1"/>
  <c r="BW19" i="11"/>
  <c r="BU19" i="11" s="1"/>
  <c r="BW59" i="9"/>
  <c r="BU59" i="9" s="1"/>
  <c r="BW25" i="9"/>
  <c r="BU25" i="9" s="1"/>
  <c r="Y73" i="9"/>
  <c r="AA73" i="9" s="1"/>
  <c r="Y85" i="9"/>
  <c r="AA85" i="9" s="1"/>
  <c r="BW41" i="11"/>
  <c r="BU41" i="11" s="1"/>
  <c r="BE115" i="11"/>
  <c r="BE67" i="11"/>
  <c r="BE43" i="11"/>
  <c r="BE15" i="11"/>
  <c r="BE101" i="11"/>
  <c r="BE99" i="11"/>
  <c r="BE73" i="11"/>
  <c r="BE61" i="11"/>
  <c r="BE35" i="11"/>
  <c r="BE107" i="11"/>
  <c r="BE41" i="11"/>
  <c r="BE37" i="11"/>
  <c r="BE101" i="9"/>
  <c r="BE77" i="9"/>
  <c r="BE37" i="9"/>
  <c r="BE13" i="9"/>
  <c r="BE21" i="11"/>
  <c r="BE93" i="11"/>
  <c r="BE75" i="11"/>
  <c r="BE107" i="9"/>
  <c r="BE47" i="9"/>
  <c r="BE45" i="11"/>
  <c r="BE27" i="11"/>
  <c r="BE61" i="9"/>
  <c r="BE21" i="9"/>
  <c r="BE57" i="11"/>
  <c r="BE25" i="11"/>
  <c r="BE103" i="9"/>
  <c r="BE43" i="9"/>
  <c r="BE103" i="11"/>
  <c r="BE39" i="11"/>
  <c r="BE59" i="11"/>
  <c r="BE55" i="11"/>
  <c r="BE99" i="9"/>
  <c r="BE67" i="9"/>
  <c r="BE59" i="9"/>
  <c r="BE27" i="9"/>
  <c r="BE19" i="9"/>
  <c r="BE25" i="9"/>
  <c r="BE95" i="11"/>
  <c r="BE97" i="11"/>
  <c r="BE79" i="9"/>
  <c r="BE83" i="9"/>
  <c r="BE47" i="11"/>
  <c r="BE13" i="11"/>
  <c r="BE63" i="11"/>
  <c r="BE65" i="11"/>
  <c r="BE97" i="9"/>
  <c r="BE81" i="9"/>
  <c r="BE65" i="9"/>
  <c r="BE53" i="9"/>
  <c r="BE41" i="9"/>
  <c r="BE79" i="11"/>
  <c r="BE113" i="11"/>
  <c r="BE33" i="11"/>
  <c r="BE53" i="11"/>
  <c r="BE23" i="11"/>
  <c r="BE77" i="11"/>
  <c r="BE113" i="9"/>
  <c r="BE95" i="9"/>
  <c r="BE75" i="9"/>
  <c r="BE63" i="9"/>
  <c r="BE35" i="9"/>
  <c r="BE23" i="9"/>
  <c r="BE85" i="11"/>
  <c r="BE115" i="9"/>
  <c r="BE55" i="9"/>
  <c r="BE83" i="11"/>
  <c r="BE87" i="11"/>
  <c r="BE81" i="11"/>
  <c r="BE93" i="9"/>
  <c r="BE57" i="9"/>
  <c r="BE17" i="9"/>
  <c r="BE19" i="11"/>
  <c r="BE87" i="9"/>
  <c r="BE39" i="9"/>
  <c r="BE105" i="11"/>
  <c r="BE105" i="9"/>
  <c r="BE85" i="9"/>
  <c r="BE73" i="9"/>
  <c r="BE45" i="9"/>
  <c r="BE33" i="9"/>
  <c r="BE17" i="11"/>
  <c r="BE15" i="9"/>
  <c r="Y97" i="11"/>
  <c r="AA97" i="11" s="1"/>
  <c r="Y107" i="9"/>
  <c r="AA107" i="9" s="1"/>
  <c r="BW37" i="9"/>
  <c r="BU37" i="9" s="1"/>
  <c r="BW13" i="9"/>
  <c r="BU13" i="9" s="1"/>
  <c r="BW95" i="9"/>
  <c r="BU95" i="9" s="1"/>
  <c r="BW55" i="9"/>
  <c r="BU55" i="9" s="1"/>
  <c r="BW65" i="9"/>
  <c r="BU65" i="9" s="1"/>
  <c r="BW23" i="9"/>
  <c r="BU23" i="9" s="1"/>
  <c r="BW113" i="11"/>
  <c r="BU113" i="11" s="1"/>
  <c r="BW13" i="11"/>
  <c r="BU13" i="11" s="1"/>
  <c r="Y101" i="11"/>
  <c r="AA101" i="11" s="1"/>
  <c r="Y97" i="9"/>
  <c r="AA97" i="9" s="1"/>
  <c r="BW39" i="9"/>
  <c r="BU39" i="9" s="1"/>
  <c r="Y87" i="11"/>
  <c r="Y107" i="11"/>
  <c r="AA107" i="11" s="1"/>
  <c r="BW53" i="11"/>
  <c r="BU53" i="11" s="1"/>
  <c r="Y77" i="11"/>
  <c r="Y83" i="11"/>
  <c r="AA83" i="11" s="1"/>
  <c r="Y85" i="11"/>
  <c r="BW17" i="11"/>
  <c r="BU17" i="11" s="1"/>
  <c r="Y75" i="9"/>
  <c r="BW19" i="9"/>
  <c r="BU19" i="9" s="1"/>
  <c r="Y73" i="11"/>
  <c r="AA73" i="11" s="1"/>
  <c r="BW65" i="11"/>
  <c r="BU65" i="11" s="1"/>
  <c r="Y83" i="9"/>
  <c r="AA83" i="9" s="1"/>
  <c r="BW93" i="11"/>
  <c r="BU93" i="11" s="1"/>
  <c r="Y103" i="11"/>
  <c r="AA103" i="11" s="1"/>
  <c r="BW25" i="11"/>
  <c r="BU25" i="11" s="1"/>
  <c r="Y99" i="9"/>
  <c r="AA99" i="9" s="1"/>
  <c r="Y101" i="9"/>
  <c r="AA101" i="9" s="1"/>
  <c r="Y105" i="11"/>
  <c r="AA105" i="11" s="1"/>
  <c r="BW57" i="11"/>
  <c r="BU57" i="11" s="1"/>
  <c r="BW15" i="11"/>
  <c r="BU15" i="11" s="1"/>
  <c r="Y103" i="9"/>
  <c r="AA103" i="9" s="1"/>
  <c r="Y105" i="9"/>
  <c r="AA105" i="9" s="1"/>
  <c r="BW63" i="11"/>
  <c r="BU63" i="11" s="1"/>
  <c r="BW17" i="9"/>
  <c r="BU17" i="9" s="1"/>
  <c r="AZ87" i="11"/>
  <c r="BA72" i="11" s="1"/>
  <c r="AY73" i="11" s="1"/>
  <c r="BW47" i="11"/>
  <c r="BU47" i="11" s="1"/>
  <c r="BW21" i="11"/>
  <c r="BU21" i="11" s="1"/>
  <c r="BW63" i="9"/>
  <c r="BU63" i="9" s="1"/>
  <c r="BW41" i="9"/>
  <c r="BU41" i="9" s="1"/>
  <c r="BW45" i="11"/>
  <c r="BU45" i="11" s="1"/>
  <c r="AZ67" i="11"/>
  <c r="Y79" i="9"/>
  <c r="AA79" i="9" s="1"/>
  <c r="AZ47" i="9"/>
  <c r="BA32" i="9" s="1"/>
  <c r="AY33" i="9" s="1"/>
  <c r="BW43" i="9"/>
  <c r="BU43" i="9" s="1"/>
  <c r="BW47" i="9"/>
  <c r="BU47" i="9" s="1"/>
  <c r="BW95" i="11"/>
  <c r="BU95" i="11" s="1"/>
  <c r="Y75" i="11"/>
  <c r="BW43" i="11"/>
  <c r="BU43" i="11" s="1"/>
  <c r="BW57" i="9"/>
  <c r="BU57" i="9" s="1"/>
  <c r="BW33" i="11"/>
  <c r="BU33" i="11" s="1"/>
  <c r="AZ47" i="11"/>
  <c r="BA32" i="11" s="1"/>
  <c r="AY33" i="11" s="1"/>
  <c r="BW115" i="11"/>
  <c r="BU115" i="11" s="1"/>
  <c r="AZ27" i="11"/>
  <c r="BW27" i="11"/>
  <c r="BU27" i="11" s="1"/>
  <c r="Y87" i="9"/>
  <c r="AA87" i="9" s="1"/>
  <c r="AZ25" i="9"/>
  <c r="BW15" i="9"/>
  <c r="BU15" i="9" s="1"/>
  <c r="AZ87" i="9"/>
  <c r="AZ65" i="9"/>
  <c r="BW93" i="9"/>
  <c r="BU93" i="9" s="1"/>
  <c r="BW67" i="11"/>
  <c r="BU67" i="11" s="1"/>
  <c r="BW59" i="11"/>
  <c r="BU59" i="11" s="1"/>
  <c r="Y81" i="9"/>
  <c r="AA81" i="9" s="1"/>
  <c r="AZ67" i="9"/>
  <c r="BW21" i="9"/>
  <c r="BU21" i="9" s="1"/>
  <c r="BW55" i="11"/>
  <c r="BU55" i="11" s="1"/>
  <c r="BW35" i="11"/>
  <c r="BU35" i="11" s="1"/>
  <c r="BW23" i="11"/>
  <c r="BU23" i="11" s="1"/>
  <c r="BW53" i="9"/>
  <c r="BU53" i="9" s="1"/>
  <c r="BW113" i="9"/>
  <c r="BU113" i="9" s="1"/>
  <c r="BW35" i="9"/>
  <c r="BU35" i="9" s="1"/>
  <c r="BW27" i="9"/>
  <c r="BU27" i="9" s="1"/>
  <c r="BW61" i="11"/>
  <c r="BU61" i="11" s="1"/>
  <c r="AZ65" i="11"/>
  <c r="Y81" i="11"/>
  <c r="BW39" i="11"/>
  <c r="BU39" i="11" s="1"/>
  <c r="AZ25" i="11"/>
  <c r="AZ27" i="9"/>
  <c r="BW33" i="9"/>
  <c r="BU33" i="9" s="1"/>
  <c r="BW45" i="9"/>
  <c r="BU45" i="9" s="1"/>
  <c r="BW115" i="9"/>
  <c r="BU115" i="9" s="1"/>
  <c r="C101" i="16" l="1"/>
  <c r="R101" i="16"/>
  <c r="C409" i="16"/>
  <c r="R409" i="16"/>
  <c r="C367" i="16"/>
  <c r="R367" i="16"/>
  <c r="R451" i="16"/>
  <c r="C451" i="16"/>
  <c r="C395" i="16"/>
  <c r="R395" i="16"/>
  <c r="C87" i="16"/>
  <c r="R87" i="16"/>
  <c r="C339" i="16"/>
  <c r="R339" i="16"/>
  <c r="C143" i="16"/>
  <c r="R143" i="16"/>
  <c r="C73" i="16"/>
  <c r="R73" i="16"/>
  <c r="R465" i="16"/>
  <c r="C465" i="16"/>
  <c r="R423" i="16"/>
  <c r="C423" i="16"/>
  <c r="C157" i="16"/>
  <c r="R157" i="16"/>
  <c r="C381" i="16"/>
  <c r="R381" i="16"/>
  <c r="C45" i="16"/>
  <c r="R45" i="16"/>
  <c r="C241" i="16"/>
  <c r="R241" i="16"/>
  <c r="C297" i="16"/>
  <c r="R297" i="16"/>
  <c r="R437" i="16"/>
  <c r="C437" i="16"/>
  <c r="C311" i="16"/>
  <c r="R311" i="16"/>
  <c r="C269" i="16"/>
  <c r="R269" i="16"/>
  <c r="R17" i="16"/>
  <c r="C17" i="16"/>
  <c r="AP50" i="13"/>
  <c r="AP46" i="13"/>
  <c r="AO54" i="13"/>
  <c r="AO42" i="13"/>
  <c r="HZ424" i="16"/>
  <c r="IB424" i="16"/>
  <c r="IB130" i="16"/>
  <c r="HZ130" i="16"/>
  <c r="IB158" i="16"/>
  <c r="HZ158" i="16"/>
  <c r="IB410" i="16"/>
  <c r="HZ410" i="16"/>
  <c r="HZ144" i="16"/>
  <c r="IB144" i="16"/>
  <c r="IB172" i="16"/>
  <c r="HZ172" i="16"/>
  <c r="IB452" i="16"/>
  <c r="HZ452" i="16"/>
  <c r="IB438" i="16"/>
  <c r="HZ438" i="16"/>
  <c r="AK88" i="13"/>
  <c r="Q1" i="19"/>
  <c r="W21" i="19" s="1"/>
  <c r="AJ62" i="13"/>
  <c r="BO62" i="13" s="1"/>
  <c r="CZ102" i="16"/>
  <c r="CZ186" i="16"/>
  <c r="CZ74" i="16"/>
  <c r="CZ242" i="16"/>
  <c r="CZ382" i="16"/>
  <c r="CZ200" i="16"/>
  <c r="CZ424" i="16"/>
  <c r="CZ60" i="16"/>
  <c r="CZ228" i="16"/>
  <c r="CZ354" i="16"/>
  <c r="BK132" i="16"/>
  <c r="AM132" i="16" s="1"/>
  <c r="J132" i="16" s="1"/>
  <c r="BL131" i="16"/>
  <c r="BA131" i="16" s="1"/>
  <c r="Y131" i="16" s="1"/>
  <c r="BK131" i="16"/>
  <c r="AM131" i="16" s="1"/>
  <c r="J131" i="16" s="1"/>
  <c r="CZ130" i="16"/>
  <c r="BK160" i="16"/>
  <c r="AM160" i="16" s="1"/>
  <c r="J160" i="16" s="1"/>
  <c r="BL159" i="16"/>
  <c r="BA159" i="16" s="1"/>
  <c r="Y159" i="16" s="1"/>
  <c r="BK159" i="16"/>
  <c r="AM159" i="16" s="1"/>
  <c r="J159" i="16" s="1"/>
  <c r="CZ158" i="16"/>
  <c r="CZ88" i="16"/>
  <c r="CZ46" i="16"/>
  <c r="CZ452" i="16"/>
  <c r="CZ466" i="16"/>
  <c r="CZ116" i="16"/>
  <c r="CZ368" i="16"/>
  <c r="CZ32" i="16"/>
  <c r="CZ410" i="16"/>
  <c r="CZ256" i="16"/>
  <c r="CZ298" i="16"/>
  <c r="CZ438" i="16"/>
  <c r="CZ312" i="16"/>
  <c r="CZ270" i="16"/>
  <c r="CZ326" i="16"/>
  <c r="CZ284" i="16"/>
  <c r="CZ340" i="16"/>
  <c r="CZ396" i="16"/>
  <c r="BL145" i="16"/>
  <c r="BA145" i="16" s="1"/>
  <c r="Y145" i="16" s="1"/>
  <c r="BK145" i="16"/>
  <c r="AM145" i="16" s="1"/>
  <c r="J145" i="16" s="1"/>
  <c r="BK146" i="16"/>
  <c r="AM146" i="16" s="1"/>
  <c r="J146" i="16" s="1"/>
  <c r="CZ144" i="16"/>
  <c r="CZ214" i="16"/>
  <c r="CZ172" i="16"/>
  <c r="BL173" i="16"/>
  <c r="BA173" i="16" s="1"/>
  <c r="Y173" i="16" s="1"/>
  <c r="BK173" i="16"/>
  <c r="AM173" i="16" s="1"/>
  <c r="J173" i="16" s="1"/>
  <c r="BK174" i="16"/>
  <c r="AM174" i="16" s="1"/>
  <c r="J174" i="16" s="1"/>
  <c r="AK46" i="13"/>
  <c r="AK82" i="13"/>
  <c r="AO99" i="11"/>
  <c r="V99" i="11" s="1"/>
  <c r="AO101" i="11"/>
  <c r="AO97" i="11"/>
  <c r="AO79" i="11"/>
  <c r="AK48" i="13"/>
  <c r="AJ90" i="13"/>
  <c r="BP90" i="13" s="1"/>
  <c r="AK90" i="13"/>
  <c r="AJ84" i="13"/>
  <c r="BP84" i="13" s="1"/>
  <c r="AK62" i="13"/>
  <c r="AL50" i="13"/>
  <c r="E50" i="13" s="1"/>
  <c r="AL102" i="13"/>
  <c r="AL33" i="5"/>
  <c r="AK120" i="13" s="1"/>
  <c r="AK84" i="13"/>
  <c r="AO65" i="9"/>
  <c r="BE72" i="13" s="1"/>
  <c r="BP32" i="13"/>
  <c r="BO32" i="13"/>
  <c r="BL32" i="13"/>
  <c r="BK32" i="13"/>
  <c r="BL28" i="13"/>
  <c r="BK28" i="13"/>
  <c r="BP28" i="13"/>
  <c r="BO28" i="13"/>
  <c r="BL52" i="13"/>
  <c r="BK52" i="13"/>
  <c r="BP52" i="13"/>
  <c r="BO52" i="13"/>
  <c r="BP26" i="13"/>
  <c r="BO26" i="13"/>
  <c r="BL26" i="13"/>
  <c r="BK26" i="13"/>
  <c r="AJ100" i="13"/>
  <c r="U100" i="13" s="1"/>
  <c r="AK66" i="13"/>
  <c r="BL68" i="13"/>
  <c r="BK68" i="13"/>
  <c r="BP68" i="13"/>
  <c r="BO68" i="13"/>
  <c r="BP30" i="13"/>
  <c r="BO30" i="13"/>
  <c r="BL30" i="13"/>
  <c r="BK30" i="13"/>
  <c r="BP74" i="13"/>
  <c r="BO74" i="13"/>
  <c r="BL74" i="13"/>
  <c r="BK74" i="13"/>
  <c r="AK50" i="13"/>
  <c r="BP24" i="13"/>
  <c r="BO24" i="13"/>
  <c r="BL24" i="13"/>
  <c r="BK24" i="13"/>
  <c r="AJ64" i="13"/>
  <c r="D64" i="13" s="1"/>
  <c r="BP54" i="13"/>
  <c r="BO54" i="13"/>
  <c r="BL54" i="13"/>
  <c r="BK54" i="13"/>
  <c r="BP72" i="13"/>
  <c r="BO72" i="13"/>
  <c r="BL72" i="13"/>
  <c r="BK72" i="13"/>
  <c r="BP92" i="13"/>
  <c r="BO92" i="13"/>
  <c r="BL92" i="13"/>
  <c r="BK92" i="13"/>
  <c r="BP34" i="13"/>
  <c r="BO34" i="13"/>
  <c r="BL34" i="13"/>
  <c r="BK34" i="13"/>
  <c r="BP22" i="13"/>
  <c r="BO22" i="13"/>
  <c r="BL22" i="13"/>
  <c r="BK22" i="13"/>
  <c r="BK20" i="13"/>
  <c r="BL20" i="13"/>
  <c r="BP20" i="13"/>
  <c r="BO20" i="13"/>
  <c r="AJ46" i="13"/>
  <c r="U46" i="13" s="1"/>
  <c r="BP94" i="13"/>
  <c r="BO94" i="13"/>
  <c r="BL94" i="13"/>
  <c r="BK94" i="13"/>
  <c r="AO61" i="11"/>
  <c r="AO65" i="11"/>
  <c r="BG72" i="13" s="1"/>
  <c r="AO59" i="11"/>
  <c r="O66" i="13" s="1"/>
  <c r="AO67" i="11"/>
  <c r="K67" i="11" s="1"/>
  <c r="AO27" i="11"/>
  <c r="O34" i="13" s="1"/>
  <c r="P38" i="13" s="1"/>
  <c r="O38" i="13" s="1"/>
  <c r="AO57" i="11"/>
  <c r="AO63" i="11"/>
  <c r="AL104" i="13"/>
  <c r="AL37" i="5"/>
  <c r="AK108" i="13" s="1"/>
  <c r="AP114" i="13"/>
  <c r="AO114" i="13"/>
  <c r="AO67" i="9"/>
  <c r="AO102" i="13"/>
  <c r="AP102" i="13"/>
  <c r="AP104" i="13"/>
  <c r="AO104" i="13"/>
  <c r="E104" i="13" s="1"/>
  <c r="AP106" i="13"/>
  <c r="AO106" i="13"/>
  <c r="AO110" i="13"/>
  <c r="AP110" i="13"/>
  <c r="AO108" i="13"/>
  <c r="AP108" i="13"/>
  <c r="AP100" i="13"/>
  <c r="AO100" i="13"/>
  <c r="AP112" i="13"/>
  <c r="AO112" i="13"/>
  <c r="U65" i="9"/>
  <c r="T65" i="9" s="1"/>
  <c r="M65" i="9" s="1"/>
  <c r="BH65" i="9" s="1"/>
  <c r="BI65" i="9" s="1"/>
  <c r="BJ65" i="9" s="1"/>
  <c r="AJ82" i="13"/>
  <c r="AO105" i="11"/>
  <c r="AS112" i="13" s="1"/>
  <c r="AO107" i="11"/>
  <c r="AS114" i="13" s="1"/>
  <c r="AO105" i="9"/>
  <c r="AR112" i="13" s="1"/>
  <c r="AO107" i="9"/>
  <c r="AR114" i="13" s="1"/>
  <c r="AK80" i="13"/>
  <c r="AJ44" i="13"/>
  <c r="AK44" i="13"/>
  <c r="AJ88" i="13"/>
  <c r="AK40" i="13"/>
  <c r="AJ80" i="13"/>
  <c r="AJ70" i="13"/>
  <c r="D70" i="13" s="1"/>
  <c r="AJ42" i="13"/>
  <c r="AK41" i="16"/>
  <c r="AL28" i="13"/>
  <c r="AK167" i="16"/>
  <c r="AL114" i="13"/>
  <c r="AJ102" i="13"/>
  <c r="AK60" i="13"/>
  <c r="AK70" i="13"/>
  <c r="AK86" i="13"/>
  <c r="AJ48" i="13"/>
  <c r="AJ86" i="13"/>
  <c r="AK42" i="13"/>
  <c r="AJ60" i="13"/>
  <c r="AJ50" i="13"/>
  <c r="AK64" i="13"/>
  <c r="AK68" i="13"/>
  <c r="AJ40" i="13"/>
  <c r="AJ66" i="13"/>
  <c r="AK27" i="16"/>
  <c r="AL60" i="13"/>
  <c r="AI181" i="16"/>
  <c r="DG271" i="16"/>
  <c r="AQ271" i="16"/>
  <c r="AC271" i="16"/>
  <c r="AI272" i="16"/>
  <c r="DL271" i="16"/>
  <c r="AQ272" i="16"/>
  <c r="AC272" i="16"/>
  <c r="AJ272" i="16"/>
  <c r="GW269" i="16" s="1"/>
  <c r="DG272" i="16"/>
  <c r="AZ271" i="16"/>
  <c r="GU271" i="16" s="1"/>
  <c r="AL271" i="16"/>
  <c r="GU269" i="16" s="1"/>
  <c r="BU272" i="16"/>
  <c r="BV272" i="16" s="1"/>
  <c r="BW272" i="16" s="1"/>
  <c r="BX272" i="16" s="1"/>
  <c r="AW272" i="16"/>
  <c r="AL272" i="16"/>
  <c r="AI271" i="16"/>
  <c r="AX271" i="16"/>
  <c r="GS271" i="16" s="1"/>
  <c r="AA271" i="16"/>
  <c r="AK272" i="16"/>
  <c r="GX269" i="16" s="1"/>
  <c r="GX270" i="16" s="1"/>
  <c r="HM269" i="16" s="1"/>
  <c r="BU271" i="16"/>
  <c r="BV271" i="16" s="1"/>
  <c r="BW271" i="16" s="1"/>
  <c r="BX271" i="16" s="1"/>
  <c r="CD271" i="16"/>
  <c r="CE271" i="16" s="1"/>
  <c r="CF271" i="16" s="1"/>
  <c r="CG271" i="16" s="1"/>
  <c r="DL272" i="16"/>
  <c r="AZ272" i="16"/>
  <c r="AX272" i="16"/>
  <c r="GW271" i="16" s="1"/>
  <c r="AW271" i="16"/>
  <c r="AA272" i="16"/>
  <c r="AY271" i="16"/>
  <c r="GT271" i="16" s="1"/>
  <c r="GT272" i="16" s="1"/>
  <c r="AK271" i="16"/>
  <c r="CD272" i="16"/>
  <c r="CE272" i="16" s="1"/>
  <c r="CF272" i="16" s="1"/>
  <c r="CG272" i="16" s="1"/>
  <c r="AY272" i="16"/>
  <c r="GX271" i="16" s="1"/>
  <c r="GX272" i="16" s="1"/>
  <c r="HM271" i="16" s="1"/>
  <c r="AJ271" i="16"/>
  <c r="GS269" i="16" s="1"/>
  <c r="AI327" i="16"/>
  <c r="AA328" i="16"/>
  <c r="AK327" i="16"/>
  <c r="GT325" i="16" s="1"/>
  <c r="GT326" i="16" s="1"/>
  <c r="BU328" i="16"/>
  <c r="BV328" i="16" s="1"/>
  <c r="BW328" i="16" s="1"/>
  <c r="BX328" i="16" s="1"/>
  <c r="AJ327" i="16"/>
  <c r="GS325" i="16" s="1"/>
  <c r="AZ327" i="16"/>
  <c r="GU327" i="16" s="1"/>
  <c r="DL328" i="16"/>
  <c r="DL327" i="16"/>
  <c r="AY327" i="16"/>
  <c r="GT327" i="16" s="1"/>
  <c r="GT328" i="16" s="1"/>
  <c r="AL327" i="16"/>
  <c r="GU325" i="16" s="1"/>
  <c r="DG328" i="16"/>
  <c r="AA327" i="16"/>
  <c r="AC328" i="16"/>
  <c r="AX327" i="16"/>
  <c r="GS327" i="16" s="1"/>
  <c r="AX328" i="16"/>
  <c r="GW327" i="16" s="1"/>
  <c r="AQ327" i="16"/>
  <c r="AC327" i="16"/>
  <c r="DG327" i="16"/>
  <c r="AL328" i="16"/>
  <c r="BU327" i="16"/>
  <c r="BV327" i="16" s="1"/>
  <c r="BW327" i="16" s="1"/>
  <c r="BX327" i="16" s="1"/>
  <c r="AK328" i="16"/>
  <c r="GX325" i="16" s="1"/>
  <c r="GX326" i="16" s="1"/>
  <c r="HM325" i="16" s="1"/>
  <c r="AY328" i="16"/>
  <c r="GX327" i="16" s="1"/>
  <c r="GX328" i="16" s="1"/>
  <c r="HM327" i="16" s="1"/>
  <c r="CD327" i="16"/>
  <c r="CE327" i="16" s="1"/>
  <c r="CF327" i="16" s="1"/>
  <c r="CG327" i="16" s="1"/>
  <c r="CD328" i="16"/>
  <c r="CE328" i="16" s="1"/>
  <c r="CF328" i="16" s="1"/>
  <c r="CG328" i="16" s="1"/>
  <c r="AZ328" i="16"/>
  <c r="AJ328" i="16"/>
  <c r="GW325" i="16" s="1"/>
  <c r="AQ328" i="16"/>
  <c r="AW327" i="16"/>
  <c r="AW328" i="16"/>
  <c r="AI328" i="16"/>
  <c r="BU286" i="16"/>
  <c r="BV286" i="16" s="1"/>
  <c r="BW286" i="16" s="1"/>
  <c r="BX286" i="16" s="1"/>
  <c r="CD286" i="16"/>
  <c r="CE286" i="16" s="1"/>
  <c r="CF286" i="16" s="1"/>
  <c r="CG286" i="16" s="1"/>
  <c r="AY285" i="16"/>
  <c r="GT285" i="16" s="1"/>
  <c r="GT286" i="16" s="1"/>
  <c r="AZ286" i="16"/>
  <c r="AJ286" i="16"/>
  <c r="GW283" i="16" s="1"/>
  <c r="AL285" i="16"/>
  <c r="GU283" i="16" s="1"/>
  <c r="AQ286" i="16"/>
  <c r="AW286" i="16"/>
  <c r="AQ285" i="16"/>
  <c r="AA286" i="16"/>
  <c r="AA285" i="16"/>
  <c r="AI285" i="16"/>
  <c r="AZ285" i="16"/>
  <c r="GU285" i="16" s="1"/>
  <c r="CD285" i="16"/>
  <c r="CE285" i="16" s="1"/>
  <c r="CF285" i="16" s="1"/>
  <c r="CG285" i="16" s="1"/>
  <c r="AJ285" i="16"/>
  <c r="GS283" i="16" s="1"/>
  <c r="DL286" i="16"/>
  <c r="AX286" i="16"/>
  <c r="GW285" i="16" s="1"/>
  <c r="AC286" i="16"/>
  <c r="AY286" i="16"/>
  <c r="GX285" i="16" s="1"/>
  <c r="GX286" i="16" s="1"/>
  <c r="HM285" i="16" s="1"/>
  <c r="AX285" i="16"/>
  <c r="GS285" i="16" s="1"/>
  <c r="AI286" i="16"/>
  <c r="AW285" i="16"/>
  <c r="DG285" i="16"/>
  <c r="AK285" i="16"/>
  <c r="GT283" i="16" s="1"/>
  <c r="GT284" i="16" s="1"/>
  <c r="DG286" i="16"/>
  <c r="AK286" i="16"/>
  <c r="GX283" i="16" s="1"/>
  <c r="GX284" i="16" s="1"/>
  <c r="HM283" i="16" s="1"/>
  <c r="BU285" i="16"/>
  <c r="BV285" i="16" s="1"/>
  <c r="BW285" i="16" s="1"/>
  <c r="BX285" i="16" s="1"/>
  <c r="AL286" i="16"/>
  <c r="DL285" i="16"/>
  <c r="AC285" i="16"/>
  <c r="AL40" i="13"/>
  <c r="AI125" i="16"/>
  <c r="AL66" i="13"/>
  <c r="AI223" i="16"/>
  <c r="AL74" i="13"/>
  <c r="AI279" i="16"/>
  <c r="BU146" i="16"/>
  <c r="BV146" i="16" s="1"/>
  <c r="BW146" i="16" s="1"/>
  <c r="BX146" i="16" s="1"/>
  <c r="CD145" i="16"/>
  <c r="CE145" i="16" s="1"/>
  <c r="CF145" i="16" s="1"/>
  <c r="CG145" i="16" s="1"/>
  <c r="AC145" i="16"/>
  <c r="BU145" i="16"/>
  <c r="BV145" i="16" s="1"/>
  <c r="BW145" i="16" s="1"/>
  <c r="BX145" i="16" s="1"/>
  <c r="AL146" i="16"/>
  <c r="AY146" i="16"/>
  <c r="GX145" i="16" s="1"/>
  <c r="GX146" i="16" s="1"/>
  <c r="HM145" i="16" s="1"/>
  <c r="DG146" i="16"/>
  <c r="AX146" i="16"/>
  <c r="GW145" i="16" s="1"/>
  <c r="AK145" i="16"/>
  <c r="GT143" i="16" s="1"/>
  <c r="GT144" i="16" s="1"/>
  <c r="AW145" i="16"/>
  <c r="AJ145" i="16"/>
  <c r="GS143" i="16" s="1"/>
  <c r="AW146" i="16"/>
  <c r="AL145" i="16"/>
  <c r="GU143" i="16" s="1"/>
  <c r="DG145" i="16"/>
  <c r="AH146" i="16"/>
  <c r="AA145" i="16"/>
  <c r="AQ146" i="16"/>
  <c r="AX145" i="16"/>
  <c r="GS145" i="16" s="1"/>
  <c r="AI145" i="16"/>
  <c r="BM145" i="16"/>
  <c r="AZ146" i="16"/>
  <c r="AZ145" i="16"/>
  <c r="GU145" i="16" s="1"/>
  <c r="AI146" i="16"/>
  <c r="CD146" i="16"/>
  <c r="CE146" i="16" s="1"/>
  <c r="CF146" i="16" s="1"/>
  <c r="CG146" i="16" s="1"/>
  <c r="DL145" i="16"/>
  <c r="AH145" i="16"/>
  <c r="GR143" i="16" s="1"/>
  <c r="AA146" i="16"/>
  <c r="AQ145" i="16"/>
  <c r="AJ146" i="16"/>
  <c r="GW143" i="16" s="1"/>
  <c r="AY145" i="16"/>
  <c r="GT145" i="16" s="1"/>
  <c r="GT146" i="16" s="1"/>
  <c r="BM146" i="16"/>
  <c r="AP146" i="16" s="1"/>
  <c r="N146" i="16" s="1"/>
  <c r="DL146" i="16"/>
  <c r="AC146" i="16"/>
  <c r="AK146" i="16"/>
  <c r="GX143" i="16" s="1"/>
  <c r="GX144" i="16" s="1"/>
  <c r="HM143" i="16" s="1"/>
  <c r="AY216" i="16"/>
  <c r="GX215" i="16" s="1"/>
  <c r="GX216" i="16" s="1"/>
  <c r="HM215" i="16" s="1"/>
  <c r="AW216" i="16"/>
  <c r="AC215" i="16"/>
  <c r="AL215" i="16"/>
  <c r="GU213" i="16" s="1"/>
  <c r="AW215" i="16"/>
  <c r="AQ216" i="16"/>
  <c r="AX215" i="16"/>
  <c r="GS215" i="16" s="1"/>
  <c r="AZ216" i="16"/>
  <c r="AA215" i="16"/>
  <c r="AZ215" i="16"/>
  <c r="GU215" i="16" s="1"/>
  <c r="DG216" i="16"/>
  <c r="AI216" i="16"/>
  <c r="AJ215" i="16"/>
  <c r="GS213" i="16" s="1"/>
  <c r="AX216" i="16"/>
  <c r="GW215" i="16" s="1"/>
  <c r="AJ216" i="16"/>
  <c r="GW213" i="16" s="1"/>
  <c r="BU216" i="16"/>
  <c r="BV216" i="16" s="1"/>
  <c r="BW216" i="16" s="1"/>
  <c r="BX216" i="16" s="1"/>
  <c r="AI215" i="16"/>
  <c r="DL215" i="16"/>
  <c r="CD215" i="16"/>
  <c r="CE215" i="16" s="1"/>
  <c r="CF215" i="16" s="1"/>
  <c r="CG215" i="16" s="1"/>
  <c r="BU215" i="16"/>
  <c r="BV215" i="16" s="1"/>
  <c r="BW215" i="16" s="1"/>
  <c r="BX215" i="16" s="1"/>
  <c r="CD216" i="16"/>
  <c r="CE216" i="16" s="1"/>
  <c r="CF216" i="16" s="1"/>
  <c r="CG216" i="16" s="1"/>
  <c r="AC216" i="16"/>
  <c r="AK215" i="16"/>
  <c r="GT213" i="16" s="1"/>
  <c r="GT214" i="16" s="1"/>
  <c r="AK216" i="16"/>
  <c r="GX213" i="16" s="1"/>
  <c r="GX214" i="16" s="1"/>
  <c r="HM213" i="16" s="1"/>
  <c r="AL216" i="16"/>
  <c r="DG215" i="16"/>
  <c r="AY215" i="16"/>
  <c r="GT215" i="16" s="1"/>
  <c r="GT216" i="16" s="1"/>
  <c r="DL216" i="16"/>
  <c r="AA216" i="16"/>
  <c r="AQ215" i="16"/>
  <c r="DG174" i="16"/>
  <c r="AL174" i="16"/>
  <c r="AK174" i="16"/>
  <c r="GX171" i="16" s="1"/>
  <c r="GX172" i="16" s="1"/>
  <c r="HM171" i="16" s="1"/>
  <c r="BM173" i="16"/>
  <c r="BU173" i="16"/>
  <c r="BV173" i="16" s="1"/>
  <c r="BW173" i="16" s="1"/>
  <c r="BX173" i="16" s="1"/>
  <c r="BM174" i="16"/>
  <c r="AP174" i="16" s="1"/>
  <c r="N174" i="16" s="1"/>
  <c r="AC174" i="16"/>
  <c r="DL173" i="16"/>
  <c r="BU174" i="16"/>
  <c r="BV174" i="16" s="1"/>
  <c r="BW174" i="16" s="1"/>
  <c r="BX174" i="16" s="1"/>
  <c r="AW174" i="16"/>
  <c r="AQ173" i="16"/>
  <c r="AX173" i="16"/>
  <c r="GS173" i="16" s="1"/>
  <c r="AL173" i="16"/>
  <c r="GU171" i="16" s="1"/>
  <c r="CD174" i="16"/>
  <c r="CE174" i="16" s="1"/>
  <c r="CF174" i="16" s="1"/>
  <c r="CG174" i="16" s="1"/>
  <c r="AJ173" i="16"/>
  <c r="GS171" i="16" s="1"/>
  <c r="AW173" i="16"/>
  <c r="AY173" i="16"/>
  <c r="GT173" i="16" s="1"/>
  <c r="GT174" i="16" s="1"/>
  <c r="AK173" i="16"/>
  <c r="GT171" i="16" s="1"/>
  <c r="GT172" i="16" s="1"/>
  <c r="AX174" i="16"/>
  <c r="GW173" i="16" s="1"/>
  <c r="DG173" i="16"/>
  <c r="AQ174" i="16"/>
  <c r="AY174" i="16"/>
  <c r="GX173" i="16" s="1"/>
  <c r="GX174" i="16" s="1"/>
  <c r="HM173" i="16" s="1"/>
  <c r="AI173" i="16"/>
  <c r="DL174" i="16"/>
  <c r="AA173" i="16"/>
  <c r="AJ174" i="16"/>
  <c r="GW171" i="16" s="1"/>
  <c r="AH174" i="16"/>
  <c r="AA174" i="16"/>
  <c r="AZ174" i="16"/>
  <c r="AI174" i="16"/>
  <c r="CD173" i="16"/>
  <c r="CE173" i="16" s="1"/>
  <c r="CF173" i="16" s="1"/>
  <c r="CG173" i="16" s="1"/>
  <c r="AC173" i="16"/>
  <c r="AH173" i="16"/>
  <c r="GR171" i="16" s="1"/>
  <c r="AZ173" i="16"/>
  <c r="GU173" i="16" s="1"/>
  <c r="AL90" i="13"/>
  <c r="AQ440" i="16"/>
  <c r="AW440" i="16"/>
  <c r="CV440" i="16" s="1"/>
  <c r="DL440" i="16"/>
  <c r="AX440" i="16"/>
  <c r="GW439" i="16" s="1"/>
  <c r="CD440" i="16"/>
  <c r="CE440" i="16" s="1"/>
  <c r="CF440" i="16" s="1"/>
  <c r="CG440" i="16" s="1"/>
  <c r="AY440" i="16"/>
  <c r="GX439" i="16" s="1"/>
  <c r="GX440" i="16" s="1"/>
  <c r="HM439" i="16" s="1"/>
  <c r="AW439" i="16"/>
  <c r="AJ440" i="16"/>
  <c r="GW437" i="16" s="1"/>
  <c r="AK440" i="16"/>
  <c r="GX437" i="16" s="1"/>
  <c r="GX438" i="16" s="1"/>
  <c r="HM437" i="16" s="1"/>
  <c r="CD439" i="16"/>
  <c r="CE439" i="16" s="1"/>
  <c r="CF439" i="16" s="1"/>
  <c r="CG439" i="16" s="1"/>
  <c r="AA439" i="16"/>
  <c r="AZ439" i="16"/>
  <c r="GU439" i="16" s="1"/>
  <c r="AY439" i="16"/>
  <c r="GT439" i="16" s="1"/>
  <c r="GT440" i="16" s="1"/>
  <c r="BU439" i="16"/>
  <c r="BV439" i="16" s="1"/>
  <c r="BW439" i="16" s="1"/>
  <c r="BX439" i="16" s="1"/>
  <c r="AK439" i="16"/>
  <c r="GT437" i="16" s="1"/>
  <c r="GT438" i="16" s="1"/>
  <c r="DG439" i="16"/>
  <c r="AI439" i="16"/>
  <c r="AZ440" i="16"/>
  <c r="AL439" i="16"/>
  <c r="GU437" i="16" s="1"/>
  <c r="AQ439" i="16"/>
  <c r="AA440" i="16"/>
  <c r="AJ439" i="16"/>
  <c r="GS437" i="16" s="1"/>
  <c r="BU440" i="16"/>
  <c r="BV440" i="16" s="1"/>
  <c r="BW440" i="16" s="1"/>
  <c r="BX440" i="16" s="1"/>
  <c r="AL440" i="16"/>
  <c r="AC440" i="16"/>
  <c r="AX439" i="16"/>
  <c r="GS439" i="16" s="1"/>
  <c r="DG440" i="16"/>
  <c r="AI440" i="16"/>
  <c r="AC439" i="16"/>
  <c r="DL439" i="16"/>
  <c r="AI468" i="16"/>
  <c r="AC468" i="16"/>
  <c r="AJ468" i="16"/>
  <c r="GW465" i="16" s="1"/>
  <c r="DL468" i="16"/>
  <c r="AZ468" i="16"/>
  <c r="DG467" i="16"/>
  <c r="CD468" i="16"/>
  <c r="CE468" i="16" s="1"/>
  <c r="CF468" i="16" s="1"/>
  <c r="CG468" i="16" s="1"/>
  <c r="AQ467" i="16"/>
  <c r="AA468" i="16"/>
  <c r="BU468" i="16"/>
  <c r="BV468" i="16" s="1"/>
  <c r="BW468" i="16" s="1"/>
  <c r="BX468" i="16" s="1"/>
  <c r="AW467" i="16"/>
  <c r="AY467" i="16"/>
  <c r="GT467" i="16" s="1"/>
  <c r="GT468" i="16" s="1"/>
  <c r="AL468" i="16"/>
  <c r="DL467" i="16"/>
  <c r="DG468" i="16"/>
  <c r="AL467" i="16"/>
  <c r="GU465" i="16" s="1"/>
  <c r="CD467" i="16"/>
  <c r="CE467" i="16" s="1"/>
  <c r="CF467" i="16" s="1"/>
  <c r="CG467" i="16" s="1"/>
  <c r="AX468" i="16"/>
  <c r="GW467" i="16" s="1"/>
  <c r="AK468" i="16"/>
  <c r="GX465" i="16" s="1"/>
  <c r="GX466" i="16" s="1"/>
  <c r="HM465" i="16" s="1"/>
  <c r="AX467" i="16"/>
  <c r="GS467" i="16" s="1"/>
  <c r="AZ467" i="16"/>
  <c r="GU467" i="16" s="1"/>
  <c r="AA467" i="16"/>
  <c r="AW468" i="16"/>
  <c r="AQ468" i="16"/>
  <c r="AC467" i="16"/>
  <c r="AY468" i="16"/>
  <c r="GX467" i="16" s="1"/>
  <c r="GX468" i="16" s="1"/>
  <c r="HM467" i="16" s="1"/>
  <c r="AJ467" i="16"/>
  <c r="GS465" i="16" s="1"/>
  <c r="AI467" i="16"/>
  <c r="AK467" i="16"/>
  <c r="GT465" i="16" s="1"/>
  <c r="GT466" i="16" s="1"/>
  <c r="BU467" i="16"/>
  <c r="BV467" i="16" s="1"/>
  <c r="BW467" i="16" s="1"/>
  <c r="BX467" i="16" s="1"/>
  <c r="AL100" i="13"/>
  <c r="AI349" i="16"/>
  <c r="AL64" i="13"/>
  <c r="AI209" i="16"/>
  <c r="AX356" i="16"/>
  <c r="GW355" i="16" s="1"/>
  <c r="AC356" i="16"/>
  <c r="DG356" i="16"/>
  <c r="CD355" i="16"/>
  <c r="CE355" i="16" s="1"/>
  <c r="CF355" i="16" s="1"/>
  <c r="CG355" i="16" s="1"/>
  <c r="CD356" i="16"/>
  <c r="CE356" i="16" s="1"/>
  <c r="CF356" i="16" s="1"/>
  <c r="CG356" i="16" s="1"/>
  <c r="AX355" i="16"/>
  <c r="GS355" i="16" s="1"/>
  <c r="DL356" i="16"/>
  <c r="AJ355" i="16"/>
  <c r="GS353" i="16" s="1"/>
  <c r="AC355" i="16"/>
  <c r="AK356" i="16"/>
  <c r="GX353" i="16" s="1"/>
  <c r="GX354" i="16" s="1"/>
  <c r="HM353" i="16" s="1"/>
  <c r="AY356" i="16"/>
  <c r="GX355" i="16" s="1"/>
  <c r="GX356" i="16" s="1"/>
  <c r="HM355" i="16" s="1"/>
  <c r="AL355" i="16"/>
  <c r="GU353" i="16" s="1"/>
  <c r="AY355" i="16"/>
  <c r="GT355" i="16" s="1"/>
  <c r="GT356" i="16" s="1"/>
  <c r="AZ355" i="16"/>
  <c r="GU355" i="16" s="1"/>
  <c r="AZ356" i="16"/>
  <c r="AI355" i="16"/>
  <c r="AK355" i="16"/>
  <c r="GT353" i="16" s="1"/>
  <c r="GT354" i="16" s="1"/>
  <c r="DG355" i="16"/>
  <c r="AL356" i="16"/>
  <c r="AA356" i="16"/>
  <c r="AJ356" i="16"/>
  <c r="GW353" i="16" s="1"/>
  <c r="BU356" i="16"/>
  <c r="BV356" i="16" s="1"/>
  <c r="BW356" i="16" s="1"/>
  <c r="BX356" i="16" s="1"/>
  <c r="AQ356" i="16"/>
  <c r="BU355" i="16"/>
  <c r="BV355" i="16" s="1"/>
  <c r="BW355" i="16" s="1"/>
  <c r="BX355" i="16" s="1"/>
  <c r="DL355" i="16"/>
  <c r="AQ355" i="16"/>
  <c r="AW356" i="16"/>
  <c r="AA355" i="16"/>
  <c r="AW355" i="16"/>
  <c r="AI356" i="16"/>
  <c r="DG313" i="16"/>
  <c r="AW313" i="16"/>
  <c r="AK313" i="16"/>
  <c r="GT311" i="16" s="1"/>
  <c r="GT312" i="16" s="1"/>
  <c r="AJ313" i="16"/>
  <c r="GS311" i="16" s="1"/>
  <c r="AC314" i="16"/>
  <c r="AL313" i="16"/>
  <c r="GU311" i="16" s="1"/>
  <c r="DG314" i="16"/>
  <c r="DL313" i="16"/>
  <c r="AI313" i="16"/>
  <c r="AX314" i="16"/>
  <c r="GW313" i="16" s="1"/>
  <c r="CD314" i="16"/>
  <c r="CE314" i="16" s="1"/>
  <c r="CF314" i="16" s="1"/>
  <c r="CG314" i="16" s="1"/>
  <c r="AX313" i="16"/>
  <c r="GS313" i="16" s="1"/>
  <c r="AY313" i="16"/>
  <c r="GT313" i="16" s="1"/>
  <c r="GT314" i="16" s="1"/>
  <c r="AW314" i="16"/>
  <c r="AZ314" i="16"/>
  <c r="AA314" i="16"/>
  <c r="AJ314" i="16"/>
  <c r="GW311" i="16" s="1"/>
  <c r="AQ314" i="16"/>
  <c r="BU313" i="16"/>
  <c r="BV313" i="16" s="1"/>
  <c r="BW313" i="16" s="1"/>
  <c r="BX313" i="16" s="1"/>
  <c r="DL314" i="16"/>
  <c r="AZ313" i="16"/>
  <c r="GU313" i="16" s="1"/>
  <c r="AL314" i="16"/>
  <c r="CD313" i="16"/>
  <c r="CE313" i="16" s="1"/>
  <c r="CF313" i="16" s="1"/>
  <c r="CG313" i="16" s="1"/>
  <c r="AK314" i="16"/>
  <c r="GX311" i="16" s="1"/>
  <c r="GX312" i="16" s="1"/>
  <c r="HM311" i="16" s="1"/>
  <c r="AI314" i="16"/>
  <c r="AC313" i="16"/>
  <c r="BU314" i="16"/>
  <c r="BV314" i="16" s="1"/>
  <c r="BW314" i="16" s="1"/>
  <c r="BX314" i="16" s="1"/>
  <c r="AQ313" i="16"/>
  <c r="AA313" i="16"/>
  <c r="AY314" i="16"/>
  <c r="GX313" i="16" s="1"/>
  <c r="GX314" i="16" s="1"/>
  <c r="HM313" i="16" s="1"/>
  <c r="AL112" i="13"/>
  <c r="DG342" i="16"/>
  <c r="BU342" i="16"/>
  <c r="BV342" i="16" s="1"/>
  <c r="BW342" i="16" s="1"/>
  <c r="BX342" i="16" s="1"/>
  <c r="AK342" i="16"/>
  <c r="GX339" i="16" s="1"/>
  <c r="GX340" i="16" s="1"/>
  <c r="HM339" i="16" s="1"/>
  <c r="AC342" i="16"/>
  <c r="CD342" i="16"/>
  <c r="CE342" i="16" s="1"/>
  <c r="CF342" i="16" s="1"/>
  <c r="CG342" i="16" s="1"/>
  <c r="AZ342" i="16"/>
  <c r="AL342" i="16"/>
  <c r="AA341" i="16"/>
  <c r="AK341" i="16"/>
  <c r="GT339" i="16" s="1"/>
  <c r="GT340" i="16" s="1"/>
  <c r="AJ341" i="16"/>
  <c r="GS339" i="16" s="1"/>
  <c r="AY342" i="16"/>
  <c r="GX341" i="16" s="1"/>
  <c r="GX342" i="16" s="1"/>
  <c r="HM341" i="16" s="1"/>
  <c r="DL342" i="16"/>
  <c r="AQ342" i="16"/>
  <c r="CD341" i="16"/>
  <c r="CE341" i="16" s="1"/>
  <c r="CF341" i="16" s="1"/>
  <c r="CG341" i="16" s="1"/>
  <c r="DL341" i="16"/>
  <c r="AZ341" i="16"/>
  <c r="GU341" i="16" s="1"/>
  <c r="AI342" i="16"/>
  <c r="AY341" i="16"/>
  <c r="GT341" i="16" s="1"/>
  <c r="GT342" i="16" s="1"/>
  <c r="AL341" i="16"/>
  <c r="GU339" i="16" s="1"/>
  <c r="AX342" i="16"/>
  <c r="GW341" i="16" s="1"/>
  <c r="AQ341" i="16"/>
  <c r="AW342" i="16"/>
  <c r="AJ342" i="16"/>
  <c r="GW339" i="16" s="1"/>
  <c r="AX341" i="16"/>
  <c r="GS341" i="16" s="1"/>
  <c r="AI341" i="16"/>
  <c r="BU341" i="16"/>
  <c r="BV341" i="16" s="1"/>
  <c r="BW341" i="16" s="1"/>
  <c r="BX341" i="16" s="1"/>
  <c r="AW341" i="16"/>
  <c r="AA342" i="16"/>
  <c r="AC341" i="16"/>
  <c r="DG341" i="16"/>
  <c r="AY398" i="16"/>
  <c r="GX397" i="16" s="1"/>
  <c r="GX398" i="16" s="1"/>
  <c r="HM397" i="16" s="1"/>
  <c r="AA398" i="16"/>
  <c r="AZ397" i="16"/>
  <c r="GU397" i="16" s="1"/>
  <c r="AL398" i="16"/>
  <c r="AL397" i="16"/>
  <c r="GU395" i="16" s="1"/>
  <c r="DL398" i="16"/>
  <c r="AQ398" i="16"/>
  <c r="DL397" i="16"/>
  <c r="AQ397" i="16"/>
  <c r="BU398" i="16"/>
  <c r="BV398" i="16" s="1"/>
  <c r="BW398" i="16" s="1"/>
  <c r="BX398" i="16" s="1"/>
  <c r="AJ397" i="16"/>
  <c r="GS395" i="16" s="1"/>
  <c r="AW398" i="16"/>
  <c r="AW397" i="16"/>
  <c r="AX397" i="16"/>
  <c r="GS397" i="16" s="1"/>
  <c r="DG397" i="16"/>
  <c r="CD397" i="16"/>
  <c r="CE397" i="16" s="1"/>
  <c r="CF397" i="16" s="1"/>
  <c r="CG397" i="16" s="1"/>
  <c r="AC398" i="16"/>
  <c r="AI398" i="16"/>
  <c r="AX398" i="16"/>
  <c r="GW397" i="16" s="1"/>
  <c r="AK397" i="16"/>
  <c r="GT395" i="16" s="1"/>
  <c r="GT396" i="16" s="1"/>
  <c r="BU397" i="16"/>
  <c r="BV397" i="16" s="1"/>
  <c r="BW397" i="16" s="1"/>
  <c r="BX397" i="16" s="1"/>
  <c r="AZ398" i="16"/>
  <c r="CD398" i="16"/>
  <c r="CE398" i="16" s="1"/>
  <c r="CF398" i="16" s="1"/>
  <c r="CG398" i="16" s="1"/>
  <c r="AJ398" i="16"/>
  <c r="GW395" i="16" s="1"/>
  <c r="AC397" i="16"/>
  <c r="AI397" i="16"/>
  <c r="AK398" i="16"/>
  <c r="GX395" i="16" s="1"/>
  <c r="GX396" i="16" s="1"/>
  <c r="HM395" i="16" s="1"/>
  <c r="AA397" i="16"/>
  <c r="DG398" i="16"/>
  <c r="AY397" i="16"/>
  <c r="GT397" i="16" s="1"/>
  <c r="GT398" i="16" s="1"/>
  <c r="AY244" i="16"/>
  <c r="GX243" i="16" s="1"/>
  <c r="GX244" i="16" s="1"/>
  <c r="HM243" i="16" s="1"/>
  <c r="AI244" i="16"/>
  <c r="AA244" i="16"/>
  <c r="AX243" i="16"/>
  <c r="GS243" i="16" s="1"/>
  <c r="AI243" i="16"/>
  <c r="AC243" i="16"/>
  <c r="BU244" i="16"/>
  <c r="BV244" i="16" s="1"/>
  <c r="BW244" i="16" s="1"/>
  <c r="BX244" i="16" s="1"/>
  <c r="DG243" i="16"/>
  <c r="AJ244" i="16"/>
  <c r="GW241" i="16" s="1"/>
  <c r="AQ244" i="16"/>
  <c r="CD243" i="16"/>
  <c r="CE243" i="16" s="1"/>
  <c r="CF243" i="16" s="1"/>
  <c r="CG243" i="16" s="1"/>
  <c r="AZ244" i="16"/>
  <c r="CD244" i="16"/>
  <c r="CE244" i="16" s="1"/>
  <c r="CF244" i="16" s="1"/>
  <c r="CG244" i="16" s="1"/>
  <c r="AA243" i="16"/>
  <c r="AQ243" i="16"/>
  <c r="AL244" i="16"/>
  <c r="BU243" i="16"/>
  <c r="BV243" i="16" s="1"/>
  <c r="BW243" i="16" s="1"/>
  <c r="BX243" i="16" s="1"/>
  <c r="AK243" i="16"/>
  <c r="GT241" i="16" s="1"/>
  <c r="GT242" i="16" s="1"/>
  <c r="AK244" i="16"/>
  <c r="GX241" i="16" s="1"/>
  <c r="GX242" i="16" s="1"/>
  <c r="HM241" i="16" s="1"/>
  <c r="AZ243" i="16"/>
  <c r="GU243" i="16" s="1"/>
  <c r="AW243" i="16"/>
  <c r="DG244" i="16"/>
  <c r="AJ243" i="16"/>
  <c r="GS241" i="16" s="1"/>
  <c r="AL243" i="16"/>
  <c r="GU241" i="16" s="1"/>
  <c r="AY243" i="16"/>
  <c r="GT243" i="16" s="1"/>
  <c r="GT244" i="16" s="1"/>
  <c r="AX244" i="16"/>
  <c r="GW243" i="16" s="1"/>
  <c r="AW244" i="16"/>
  <c r="DL243" i="16"/>
  <c r="DL244" i="16"/>
  <c r="AC244" i="16"/>
  <c r="AX384" i="16"/>
  <c r="GW383" i="16" s="1"/>
  <c r="DL384" i="16"/>
  <c r="AJ383" i="16"/>
  <c r="GS381" i="16" s="1"/>
  <c r="AZ384" i="16"/>
  <c r="AL384" i="16"/>
  <c r="AW383" i="16"/>
  <c r="AC383" i="16"/>
  <c r="AQ383" i="16"/>
  <c r="AI383" i="16"/>
  <c r="AL383" i="16"/>
  <c r="GU381" i="16" s="1"/>
  <c r="AZ383" i="16"/>
  <c r="GU383" i="16" s="1"/>
  <c r="AW384" i="16"/>
  <c r="CD383" i="16"/>
  <c r="CE383" i="16" s="1"/>
  <c r="CF383" i="16" s="1"/>
  <c r="CG383" i="16" s="1"/>
  <c r="AQ384" i="16"/>
  <c r="AK384" i="16"/>
  <c r="GX381" i="16" s="1"/>
  <c r="GX382" i="16" s="1"/>
  <c r="HM381" i="16" s="1"/>
  <c r="CD384" i="16"/>
  <c r="CE384" i="16" s="1"/>
  <c r="CF384" i="16" s="1"/>
  <c r="CG384" i="16" s="1"/>
  <c r="AY383" i="16"/>
  <c r="GT383" i="16" s="1"/>
  <c r="GT384" i="16" s="1"/>
  <c r="DL383" i="16"/>
  <c r="DG384" i="16"/>
  <c r="AA384" i="16"/>
  <c r="AY384" i="16"/>
  <c r="GX383" i="16" s="1"/>
  <c r="GX384" i="16" s="1"/>
  <c r="HM383" i="16" s="1"/>
  <c r="AJ384" i="16"/>
  <c r="GW381" i="16" s="1"/>
  <c r="DG383" i="16"/>
  <c r="AI384" i="16"/>
  <c r="AC384" i="16"/>
  <c r="BU384" i="16"/>
  <c r="BV384" i="16" s="1"/>
  <c r="BW384" i="16" s="1"/>
  <c r="BX384" i="16" s="1"/>
  <c r="AA383" i="16"/>
  <c r="BU383" i="16"/>
  <c r="BV383" i="16" s="1"/>
  <c r="BW383" i="16" s="1"/>
  <c r="BX383" i="16" s="1"/>
  <c r="AX383" i="16"/>
  <c r="GS383" i="16" s="1"/>
  <c r="AK383" i="16"/>
  <c r="GT381" i="16" s="1"/>
  <c r="GT382" i="16" s="1"/>
  <c r="AZ202" i="16"/>
  <c r="CD202" i="16"/>
  <c r="CE202" i="16" s="1"/>
  <c r="CF202" i="16" s="1"/>
  <c r="CG202" i="16" s="1"/>
  <c r="DL201" i="16"/>
  <c r="AQ201" i="16"/>
  <c r="AZ201" i="16"/>
  <c r="GU201" i="16" s="1"/>
  <c r="AL201" i="16"/>
  <c r="GU199" i="16" s="1"/>
  <c r="AY201" i="16"/>
  <c r="GT201" i="16" s="1"/>
  <c r="GT202" i="16" s="1"/>
  <c r="AX201" i="16"/>
  <c r="GS201" i="16" s="1"/>
  <c r="AQ202" i="16"/>
  <c r="BU201" i="16"/>
  <c r="BV201" i="16" s="1"/>
  <c r="BW201" i="16" s="1"/>
  <c r="BX201" i="16" s="1"/>
  <c r="AC201" i="16"/>
  <c r="AY202" i="16"/>
  <c r="GX201" i="16" s="1"/>
  <c r="GX202" i="16" s="1"/>
  <c r="HM201" i="16" s="1"/>
  <c r="AW201" i="16"/>
  <c r="AC202" i="16"/>
  <c r="AX202" i="16"/>
  <c r="GW201" i="16" s="1"/>
  <c r="AA202" i="16"/>
  <c r="AI201" i="16"/>
  <c r="DL202" i="16"/>
  <c r="AJ202" i="16"/>
  <c r="GW199" i="16" s="1"/>
  <c r="AK201" i="16"/>
  <c r="GT199" i="16" s="1"/>
  <c r="GT200" i="16" s="1"/>
  <c r="BU202" i="16"/>
  <c r="BV202" i="16" s="1"/>
  <c r="BW202" i="16" s="1"/>
  <c r="BX202" i="16" s="1"/>
  <c r="AJ201" i="16"/>
  <c r="GS199" i="16" s="1"/>
  <c r="CD201" i="16"/>
  <c r="CE201" i="16" s="1"/>
  <c r="CF201" i="16" s="1"/>
  <c r="CG201" i="16" s="1"/>
  <c r="AA201" i="16"/>
  <c r="AW202" i="16"/>
  <c r="AL202" i="16"/>
  <c r="AI202" i="16"/>
  <c r="DG202" i="16"/>
  <c r="DG201" i="16"/>
  <c r="AK202" i="16"/>
  <c r="GX199" i="16" s="1"/>
  <c r="GX200" i="16" s="1"/>
  <c r="HM199" i="16" s="1"/>
  <c r="AQ426" i="16"/>
  <c r="AA426" i="16"/>
  <c r="BU426" i="16"/>
  <c r="BV426" i="16" s="1"/>
  <c r="BW426" i="16" s="1"/>
  <c r="BX426" i="16" s="1"/>
  <c r="AZ426" i="16"/>
  <c r="AL425" i="16"/>
  <c r="GU423" i="16" s="1"/>
  <c r="DG425" i="16"/>
  <c r="AJ426" i="16"/>
  <c r="GW423" i="16" s="1"/>
  <c r="AX426" i="16"/>
  <c r="GW425" i="16" s="1"/>
  <c r="AK425" i="16"/>
  <c r="GT423" i="16" s="1"/>
  <c r="GT424" i="16" s="1"/>
  <c r="AJ425" i="16"/>
  <c r="GS423" i="16" s="1"/>
  <c r="CD425" i="16"/>
  <c r="CE425" i="16" s="1"/>
  <c r="CF425" i="16" s="1"/>
  <c r="CG425" i="16" s="1"/>
  <c r="DG426" i="16"/>
  <c r="AI425" i="16"/>
  <c r="BU425" i="16"/>
  <c r="BV425" i="16" s="1"/>
  <c r="BW425" i="16" s="1"/>
  <c r="BX425" i="16" s="1"/>
  <c r="AW426" i="16"/>
  <c r="DL425" i="16"/>
  <c r="AC425" i="16"/>
  <c r="AQ425" i="16"/>
  <c r="AI426" i="16"/>
  <c r="AA425" i="16"/>
  <c r="DL426" i="16"/>
  <c r="AZ425" i="16"/>
  <c r="GU425" i="16" s="1"/>
  <c r="CD426" i="16"/>
  <c r="CE426" i="16" s="1"/>
  <c r="CF426" i="16" s="1"/>
  <c r="CG426" i="16" s="1"/>
  <c r="AY426" i="16"/>
  <c r="GX425" i="16" s="1"/>
  <c r="GX426" i="16" s="1"/>
  <c r="HM425" i="16" s="1"/>
  <c r="AY425" i="16"/>
  <c r="GT425" i="16" s="1"/>
  <c r="GT426" i="16" s="1"/>
  <c r="AW425" i="16"/>
  <c r="AK426" i="16"/>
  <c r="GX423" i="16" s="1"/>
  <c r="GX424" i="16" s="1"/>
  <c r="HM423" i="16" s="1"/>
  <c r="AC426" i="16"/>
  <c r="AX425" i="16"/>
  <c r="GS425" i="16" s="1"/>
  <c r="AL426" i="16"/>
  <c r="AL110" i="13"/>
  <c r="AI454" i="16"/>
  <c r="AL453" i="16"/>
  <c r="GU451" i="16" s="1"/>
  <c r="AZ453" i="16"/>
  <c r="GU453" i="16" s="1"/>
  <c r="AK453" i="16"/>
  <c r="GT451" i="16" s="1"/>
  <c r="GT452" i="16" s="1"/>
  <c r="DL454" i="16"/>
  <c r="AC454" i="16"/>
  <c r="AX453" i="16"/>
  <c r="GS453" i="16" s="1"/>
  <c r="BU454" i="16"/>
  <c r="BV454" i="16" s="1"/>
  <c r="BW454" i="16" s="1"/>
  <c r="BX454" i="16" s="1"/>
  <c r="BU453" i="16"/>
  <c r="BV453" i="16" s="1"/>
  <c r="BW453" i="16" s="1"/>
  <c r="BX453" i="16" s="1"/>
  <c r="AC453" i="16"/>
  <c r="AW453" i="16"/>
  <c r="AQ454" i="16"/>
  <c r="CD454" i="16"/>
  <c r="CE454" i="16" s="1"/>
  <c r="CF454" i="16" s="1"/>
  <c r="CG454" i="16" s="1"/>
  <c r="CD453" i="16"/>
  <c r="CE453" i="16" s="1"/>
  <c r="CF453" i="16" s="1"/>
  <c r="CG453" i="16" s="1"/>
  <c r="AL454" i="16"/>
  <c r="AK454" i="16"/>
  <c r="GX451" i="16" s="1"/>
  <c r="GX452" i="16" s="1"/>
  <c r="HM451" i="16" s="1"/>
  <c r="AY454" i="16"/>
  <c r="GX453" i="16" s="1"/>
  <c r="GX454" i="16" s="1"/>
  <c r="HM453" i="16" s="1"/>
  <c r="AJ454" i="16"/>
  <c r="GW451" i="16" s="1"/>
  <c r="AA453" i="16"/>
  <c r="DG453" i="16"/>
  <c r="AI453" i="16"/>
  <c r="AA454" i="16"/>
  <c r="AY453" i="16"/>
  <c r="GT453" i="16" s="1"/>
  <c r="GT454" i="16" s="1"/>
  <c r="AZ454" i="16"/>
  <c r="AQ453" i="16"/>
  <c r="AJ453" i="16"/>
  <c r="GS451" i="16" s="1"/>
  <c r="DL453" i="16"/>
  <c r="AW454" i="16"/>
  <c r="AX454" i="16"/>
  <c r="GW453" i="16" s="1"/>
  <c r="DG454" i="16"/>
  <c r="CD299" i="16"/>
  <c r="CE299" i="16" s="1"/>
  <c r="CF299" i="16" s="1"/>
  <c r="CG299" i="16" s="1"/>
  <c r="AJ299" i="16"/>
  <c r="GS297" i="16" s="1"/>
  <c r="AQ300" i="16"/>
  <c r="BU299" i="16"/>
  <c r="BV299" i="16" s="1"/>
  <c r="BW299" i="16" s="1"/>
  <c r="BX299" i="16" s="1"/>
  <c r="BU300" i="16"/>
  <c r="BV300" i="16" s="1"/>
  <c r="BW300" i="16" s="1"/>
  <c r="BX300" i="16" s="1"/>
  <c r="AC299" i="16"/>
  <c r="AW300" i="16"/>
  <c r="AL300" i="16"/>
  <c r="AA299" i="16"/>
  <c r="AI300" i="16"/>
  <c r="AY299" i="16"/>
  <c r="GT299" i="16" s="1"/>
  <c r="GT300" i="16" s="1"/>
  <c r="AW299" i="16"/>
  <c r="AA300" i="16"/>
  <c r="AQ299" i="16"/>
  <c r="AL299" i="16"/>
  <c r="GU297" i="16" s="1"/>
  <c r="DG300" i="16"/>
  <c r="AZ300" i="16"/>
  <c r="AI299" i="16"/>
  <c r="AX300" i="16"/>
  <c r="GW299" i="16" s="1"/>
  <c r="AZ299" i="16"/>
  <c r="GU299" i="16" s="1"/>
  <c r="AK299" i="16"/>
  <c r="GT297" i="16" s="1"/>
  <c r="GT298" i="16" s="1"/>
  <c r="DL299" i="16"/>
  <c r="DG299" i="16"/>
  <c r="DL300" i="16"/>
  <c r="CD300" i="16"/>
  <c r="CE300" i="16" s="1"/>
  <c r="CF300" i="16" s="1"/>
  <c r="CG300" i="16" s="1"/>
  <c r="AX299" i="16"/>
  <c r="GS299" i="16" s="1"/>
  <c r="AC300" i="16"/>
  <c r="AK300" i="16"/>
  <c r="AJ300" i="16"/>
  <c r="GW297" i="16" s="1"/>
  <c r="AY300" i="16"/>
  <c r="GX299" i="16" s="1"/>
  <c r="GX300" i="16" s="1"/>
  <c r="HM299" i="16" s="1"/>
  <c r="AL62" i="13"/>
  <c r="AI195" i="16"/>
  <c r="AI230" i="16"/>
  <c r="AX230" i="16"/>
  <c r="GW229" i="16" s="1"/>
  <c r="DG230" i="16"/>
  <c r="AJ230" i="16"/>
  <c r="GW227" i="16" s="1"/>
  <c r="AQ229" i="16"/>
  <c r="AC229" i="16"/>
  <c r="AK229" i="16"/>
  <c r="GT227" i="16" s="1"/>
  <c r="GT228" i="16" s="1"/>
  <c r="DL229" i="16"/>
  <c r="CD230" i="16"/>
  <c r="CE230" i="16" s="1"/>
  <c r="CF230" i="16" s="1"/>
  <c r="CG230" i="16" s="1"/>
  <c r="AQ230" i="16"/>
  <c r="AA229" i="16"/>
  <c r="DG229" i="16"/>
  <c r="AY229" i="16"/>
  <c r="GT229" i="16" s="1"/>
  <c r="GT230" i="16" s="1"/>
  <c r="AY230" i="16"/>
  <c r="GX229" i="16" s="1"/>
  <c r="GX230" i="16" s="1"/>
  <c r="HM229" i="16" s="1"/>
  <c r="AI229" i="16"/>
  <c r="AJ229" i="16"/>
  <c r="GS227" i="16" s="1"/>
  <c r="AL230" i="16"/>
  <c r="BU230" i="16"/>
  <c r="BV230" i="16" s="1"/>
  <c r="BW230" i="16" s="1"/>
  <c r="BX230" i="16" s="1"/>
  <c r="CD229" i="16"/>
  <c r="CE229" i="16" s="1"/>
  <c r="CF229" i="16" s="1"/>
  <c r="CG229" i="16" s="1"/>
  <c r="AW229" i="16"/>
  <c r="DL230" i="16"/>
  <c r="AL229" i="16"/>
  <c r="GU227" i="16" s="1"/>
  <c r="AZ230" i="16"/>
  <c r="AA230" i="16"/>
  <c r="BU229" i="16"/>
  <c r="BV229" i="16" s="1"/>
  <c r="BW229" i="16" s="1"/>
  <c r="BX229" i="16" s="1"/>
  <c r="AW230" i="16"/>
  <c r="AC230" i="16"/>
  <c r="AK230" i="16"/>
  <c r="GX227" i="16" s="1"/>
  <c r="GX228" i="16" s="1"/>
  <c r="HM227" i="16" s="1"/>
  <c r="AX229" i="16"/>
  <c r="GS229" i="16" s="1"/>
  <c r="AZ229" i="16"/>
  <c r="GU229" i="16" s="1"/>
  <c r="AL52" i="13"/>
  <c r="AI167" i="16"/>
  <c r="AL82" i="13"/>
  <c r="AI251" i="16"/>
  <c r="AL92" i="13"/>
  <c r="AI321" i="16"/>
  <c r="AI132" i="16"/>
  <c r="CU132" i="16" s="1"/>
  <c r="CD131" i="16"/>
  <c r="CE131" i="16" s="1"/>
  <c r="CF131" i="16" s="1"/>
  <c r="CG131" i="16" s="1"/>
  <c r="AA131" i="16"/>
  <c r="AJ131" i="16"/>
  <c r="GS129" i="16" s="1"/>
  <c r="AJ132" i="16"/>
  <c r="GW129" i="16" s="1"/>
  <c r="AW132" i="16"/>
  <c r="AI131" i="16"/>
  <c r="BM131" i="16"/>
  <c r="BU132" i="16"/>
  <c r="BV132" i="16" s="1"/>
  <c r="BW132" i="16" s="1"/>
  <c r="BX132" i="16" s="1"/>
  <c r="AZ132" i="16"/>
  <c r="AQ131" i="16"/>
  <c r="BU131" i="16"/>
  <c r="BV131" i="16" s="1"/>
  <c r="BW131" i="16" s="1"/>
  <c r="BX131" i="16" s="1"/>
  <c r="AQ132" i="16"/>
  <c r="AK131" i="16"/>
  <c r="GT129" i="16" s="1"/>
  <c r="GT130" i="16" s="1"/>
  <c r="AL132" i="16"/>
  <c r="AL131" i="16"/>
  <c r="GU129" i="16" s="1"/>
  <c r="AC132" i="16"/>
  <c r="CD132" i="16"/>
  <c r="CE132" i="16" s="1"/>
  <c r="CF132" i="16" s="1"/>
  <c r="CG132" i="16" s="1"/>
  <c r="DL132" i="16"/>
  <c r="AW131" i="16"/>
  <c r="AX131" i="16"/>
  <c r="GS131" i="16" s="1"/>
  <c r="DG132" i="16"/>
  <c r="DL131" i="16"/>
  <c r="AK132" i="16"/>
  <c r="GX129" i="16" s="1"/>
  <c r="GX130" i="16" s="1"/>
  <c r="HM129" i="16" s="1"/>
  <c r="AY132" i="16"/>
  <c r="GX131" i="16" s="1"/>
  <c r="GX132" i="16" s="1"/>
  <c r="HM131" i="16" s="1"/>
  <c r="AH132" i="16"/>
  <c r="DG131" i="16"/>
  <c r="AH131" i="16"/>
  <c r="GR129" i="16" s="1"/>
  <c r="BM132" i="16"/>
  <c r="AP132" i="16" s="1"/>
  <c r="N132" i="16" s="1"/>
  <c r="AA132" i="16"/>
  <c r="AZ131" i="16"/>
  <c r="GU131" i="16" s="1"/>
  <c r="AX132" i="16"/>
  <c r="GW131" i="16" s="1"/>
  <c r="AY131" i="16"/>
  <c r="GT131" i="16" s="1"/>
  <c r="GT132" i="16" s="1"/>
  <c r="AC131" i="16"/>
  <c r="BM160" i="16"/>
  <c r="AP160" i="16" s="1"/>
  <c r="N160" i="16" s="1"/>
  <c r="AX159" i="16"/>
  <c r="GS159" i="16" s="1"/>
  <c r="BU160" i="16"/>
  <c r="BV160" i="16" s="1"/>
  <c r="BW160" i="16" s="1"/>
  <c r="BX160" i="16" s="1"/>
  <c r="AI160" i="16"/>
  <c r="AK160" i="16"/>
  <c r="GX157" i="16" s="1"/>
  <c r="GX158" i="16" s="1"/>
  <c r="HM157" i="16" s="1"/>
  <c r="AJ160" i="16"/>
  <c r="GW157" i="16" s="1"/>
  <c r="AH159" i="16"/>
  <c r="GR157" i="16" s="1"/>
  <c r="AH160" i="16"/>
  <c r="AX160" i="16"/>
  <c r="GW159" i="16" s="1"/>
  <c r="AC160" i="16"/>
  <c r="AI159" i="16"/>
  <c r="DL159" i="16"/>
  <c r="AK159" i="16"/>
  <c r="GT157" i="16" s="1"/>
  <c r="GT158" i="16" s="1"/>
  <c r="AL160" i="16"/>
  <c r="AY160" i="16"/>
  <c r="GX159" i="16" s="1"/>
  <c r="GX160" i="16" s="1"/>
  <c r="HM159" i="16" s="1"/>
  <c r="BU159" i="16"/>
  <c r="BV159" i="16" s="1"/>
  <c r="BW159" i="16" s="1"/>
  <c r="BX159" i="16" s="1"/>
  <c r="AA159" i="16"/>
  <c r="AJ159" i="16"/>
  <c r="GS157" i="16" s="1"/>
  <c r="AQ160" i="16"/>
  <c r="DL160" i="16"/>
  <c r="AY159" i="16"/>
  <c r="GT159" i="16" s="1"/>
  <c r="GT160" i="16" s="1"/>
  <c r="DG159" i="16"/>
  <c r="BM159" i="16"/>
  <c r="AZ159" i="16"/>
  <c r="GU159" i="16" s="1"/>
  <c r="AQ159" i="16"/>
  <c r="AA160" i="16"/>
  <c r="AW160" i="16"/>
  <c r="AZ160" i="16"/>
  <c r="AW159" i="16"/>
  <c r="AL159" i="16"/>
  <c r="GU157" i="16" s="1"/>
  <c r="DG160" i="16"/>
  <c r="CD160" i="16"/>
  <c r="CE160" i="16" s="1"/>
  <c r="CF160" i="16" s="1"/>
  <c r="CG160" i="16" s="1"/>
  <c r="CD159" i="16"/>
  <c r="CE159" i="16" s="1"/>
  <c r="CF159" i="16" s="1"/>
  <c r="CG159" i="16" s="1"/>
  <c r="AC159" i="16"/>
  <c r="AX188" i="16"/>
  <c r="GW187" i="16" s="1"/>
  <c r="CD187" i="16"/>
  <c r="CE187" i="16" s="1"/>
  <c r="CF187" i="16" s="1"/>
  <c r="CG187" i="16" s="1"/>
  <c r="AC188" i="16"/>
  <c r="AI188" i="16"/>
  <c r="CD188" i="16"/>
  <c r="CE188" i="16" s="1"/>
  <c r="CF188" i="16" s="1"/>
  <c r="CG188" i="16" s="1"/>
  <c r="AJ187" i="16"/>
  <c r="GS185" i="16" s="1"/>
  <c r="DL187" i="16"/>
  <c r="AW187" i="16"/>
  <c r="BU187" i="16"/>
  <c r="BV187" i="16" s="1"/>
  <c r="BW187" i="16" s="1"/>
  <c r="BX187" i="16" s="1"/>
  <c r="AQ187" i="16"/>
  <c r="AC187" i="16"/>
  <c r="AK188" i="16"/>
  <c r="GX185" i="16" s="1"/>
  <c r="GX186" i="16" s="1"/>
  <c r="HM185" i="16" s="1"/>
  <c r="AY187" i="16"/>
  <c r="GT187" i="16" s="1"/>
  <c r="GT188" i="16" s="1"/>
  <c r="AK187" i="16"/>
  <c r="GT185" i="16" s="1"/>
  <c r="GT186" i="16" s="1"/>
  <c r="AZ187" i="16"/>
  <c r="GU187" i="16" s="1"/>
  <c r="AW188" i="16"/>
  <c r="AJ188" i="16"/>
  <c r="GW185" i="16" s="1"/>
  <c r="AA188" i="16"/>
  <c r="BU188" i="16"/>
  <c r="BV188" i="16" s="1"/>
  <c r="BW188" i="16" s="1"/>
  <c r="BX188" i="16" s="1"/>
  <c r="DG187" i="16"/>
  <c r="AX187" i="16"/>
  <c r="GS187" i="16" s="1"/>
  <c r="AL187" i="16"/>
  <c r="GU185" i="16" s="1"/>
  <c r="AY188" i="16"/>
  <c r="GX187" i="16" s="1"/>
  <c r="GX188" i="16" s="1"/>
  <c r="HM187" i="16" s="1"/>
  <c r="AA187" i="16"/>
  <c r="AZ188" i="16"/>
  <c r="DL188" i="16"/>
  <c r="AI187" i="16"/>
  <c r="DG188" i="16"/>
  <c r="AQ188" i="16"/>
  <c r="AL188" i="16"/>
  <c r="AL70" i="13"/>
  <c r="DL370" i="16"/>
  <c r="AL370" i="16"/>
  <c r="AC370" i="16"/>
  <c r="DG370" i="16"/>
  <c r="AA370" i="16"/>
  <c r="AY370" i="16"/>
  <c r="GX369" i="16" s="1"/>
  <c r="GX370" i="16" s="1"/>
  <c r="HM369" i="16" s="1"/>
  <c r="DG369" i="16"/>
  <c r="AA369" i="16"/>
  <c r="BU370" i="16"/>
  <c r="BV370" i="16" s="1"/>
  <c r="BW370" i="16" s="1"/>
  <c r="BX370" i="16" s="1"/>
  <c r="AJ370" i="16"/>
  <c r="GW367" i="16" s="1"/>
  <c r="AY369" i="16"/>
  <c r="GT369" i="16" s="1"/>
  <c r="GT370" i="16" s="1"/>
  <c r="AX370" i="16"/>
  <c r="GW369" i="16" s="1"/>
  <c r="AQ370" i="16"/>
  <c r="AI369" i="16"/>
  <c r="AK369" i="16"/>
  <c r="GT367" i="16" s="1"/>
  <c r="GT368" i="16" s="1"/>
  <c r="AZ370" i="16"/>
  <c r="AQ369" i="16"/>
  <c r="AW370" i="16"/>
  <c r="AX369" i="16"/>
  <c r="GS369" i="16" s="1"/>
  <c r="CD369" i="16"/>
  <c r="CE369" i="16" s="1"/>
  <c r="CF369" i="16" s="1"/>
  <c r="CG369" i="16" s="1"/>
  <c r="AC369" i="16"/>
  <c r="BU369" i="16"/>
  <c r="BV369" i="16" s="1"/>
  <c r="BW369" i="16" s="1"/>
  <c r="BX369" i="16" s="1"/>
  <c r="AL369" i="16"/>
  <c r="GU367" i="16" s="1"/>
  <c r="AK370" i="16"/>
  <c r="GX367" i="16" s="1"/>
  <c r="GX368" i="16" s="1"/>
  <c r="HM367" i="16" s="1"/>
  <c r="AW369" i="16"/>
  <c r="DL369" i="16"/>
  <c r="CD370" i="16"/>
  <c r="CE370" i="16" s="1"/>
  <c r="CF370" i="16" s="1"/>
  <c r="CG370" i="16" s="1"/>
  <c r="AI370" i="16"/>
  <c r="AZ369" i="16"/>
  <c r="GU369" i="16" s="1"/>
  <c r="AJ369" i="16"/>
  <c r="GS367" i="16" s="1"/>
  <c r="DL412" i="16"/>
  <c r="AJ412" i="16"/>
  <c r="GW409" i="16" s="1"/>
  <c r="AL411" i="16"/>
  <c r="GU409" i="16" s="1"/>
  <c r="DG412" i="16"/>
  <c r="AZ412" i="16"/>
  <c r="CD411" i="16"/>
  <c r="CE411" i="16" s="1"/>
  <c r="CF411" i="16" s="1"/>
  <c r="CG411" i="16" s="1"/>
  <c r="AC411" i="16"/>
  <c r="AA411" i="16"/>
  <c r="BU411" i="16"/>
  <c r="BV411" i="16" s="1"/>
  <c r="BW411" i="16" s="1"/>
  <c r="BX411" i="16" s="1"/>
  <c r="AZ411" i="16"/>
  <c r="GU411" i="16" s="1"/>
  <c r="AY412" i="16"/>
  <c r="GX411" i="16" s="1"/>
  <c r="GX412" i="16" s="1"/>
  <c r="HM411" i="16" s="1"/>
  <c r="DG411" i="16"/>
  <c r="AC412" i="16"/>
  <c r="AK411" i="16"/>
  <c r="GT409" i="16" s="1"/>
  <c r="GT410" i="16" s="1"/>
  <c r="AW411" i="16"/>
  <c r="AK412" i="16"/>
  <c r="GX409" i="16" s="1"/>
  <c r="GX410" i="16" s="1"/>
  <c r="HM409" i="16" s="1"/>
  <c r="AX411" i="16"/>
  <c r="GS411" i="16" s="1"/>
  <c r="DL411" i="16"/>
  <c r="AX412" i="16"/>
  <c r="GW411" i="16" s="1"/>
  <c r="AY411" i="16"/>
  <c r="GT411" i="16" s="1"/>
  <c r="GT412" i="16" s="1"/>
  <c r="AQ411" i="16"/>
  <c r="AQ412" i="16"/>
  <c r="BU412" i="16"/>
  <c r="BV412" i="16" s="1"/>
  <c r="BW412" i="16" s="1"/>
  <c r="BX412" i="16" s="1"/>
  <c r="CD412" i="16"/>
  <c r="CE412" i="16" s="1"/>
  <c r="CF412" i="16" s="1"/>
  <c r="CG412" i="16" s="1"/>
  <c r="AI411" i="16"/>
  <c r="AI412" i="16"/>
  <c r="AA412" i="16"/>
  <c r="AJ411" i="16"/>
  <c r="GS409" i="16" s="1"/>
  <c r="AW412" i="16"/>
  <c r="AL412" i="16"/>
  <c r="AL258" i="16"/>
  <c r="AW258" i="16"/>
  <c r="AW257" i="16"/>
  <c r="AI257" i="16"/>
  <c r="DG257" i="16"/>
  <c r="AA258" i="16"/>
  <c r="DL257" i="16"/>
  <c r="AX258" i="16"/>
  <c r="GW257" i="16" s="1"/>
  <c r="BU258" i="16"/>
  <c r="BV258" i="16" s="1"/>
  <c r="BW258" i="16" s="1"/>
  <c r="BX258" i="16" s="1"/>
  <c r="AY258" i="16"/>
  <c r="GX257" i="16" s="1"/>
  <c r="GX258" i="16" s="1"/>
  <c r="HM257" i="16" s="1"/>
  <c r="AC257" i="16"/>
  <c r="AY257" i="16"/>
  <c r="GT257" i="16" s="1"/>
  <c r="GT258" i="16" s="1"/>
  <c r="AX257" i="16"/>
  <c r="GS257" i="16" s="1"/>
  <c r="AQ257" i="16"/>
  <c r="AC258" i="16"/>
  <c r="BU257" i="16"/>
  <c r="BV257" i="16" s="1"/>
  <c r="BW257" i="16" s="1"/>
  <c r="BX257" i="16" s="1"/>
  <c r="AJ257" i="16"/>
  <c r="GS255" i="16" s="1"/>
  <c r="AI258" i="16"/>
  <c r="AA257" i="16"/>
  <c r="DL258" i="16"/>
  <c r="DG258" i="16"/>
  <c r="AQ258" i="16"/>
  <c r="AJ258" i="16"/>
  <c r="GW255" i="16" s="1"/>
  <c r="AZ257" i="16"/>
  <c r="GU257" i="16" s="1"/>
  <c r="CD258" i="16"/>
  <c r="CE258" i="16" s="1"/>
  <c r="CF258" i="16" s="1"/>
  <c r="CG258" i="16" s="1"/>
  <c r="AK258" i="16"/>
  <c r="GX255" i="16" s="1"/>
  <c r="GX256" i="16" s="1"/>
  <c r="HM255" i="16" s="1"/>
  <c r="AL257" i="16"/>
  <c r="GU255" i="16" s="1"/>
  <c r="AZ258" i="16"/>
  <c r="CD257" i="16"/>
  <c r="CE257" i="16" s="1"/>
  <c r="CF257" i="16" s="1"/>
  <c r="CG257" i="16" s="1"/>
  <c r="AK257" i="16"/>
  <c r="AI118" i="16"/>
  <c r="DG118" i="16"/>
  <c r="AK118" i="16"/>
  <c r="GX115" i="16" s="1"/>
  <c r="GX116" i="16" s="1"/>
  <c r="HM115" i="16" s="1"/>
  <c r="AW117" i="16"/>
  <c r="AQ117" i="16"/>
  <c r="CD118" i="16"/>
  <c r="CE118" i="16" s="1"/>
  <c r="CF118" i="16" s="1"/>
  <c r="CG118" i="16" s="1"/>
  <c r="AL118" i="16"/>
  <c r="AY117" i="16"/>
  <c r="GT117" i="16" s="1"/>
  <c r="GT118" i="16" s="1"/>
  <c r="AZ117" i="16"/>
  <c r="GU117" i="16" s="1"/>
  <c r="BU117" i="16"/>
  <c r="BV117" i="16" s="1"/>
  <c r="BW117" i="16" s="1"/>
  <c r="BX117" i="16" s="1"/>
  <c r="BU118" i="16"/>
  <c r="BV118" i="16" s="1"/>
  <c r="BW118" i="16" s="1"/>
  <c r="BX118" i="16" s="1"/>
  <c r="DL117" i="16"/>
  <c r="AQ118" i="16"/>
  <c r="AK117" i="16"/>
  <c r="GT115" i="16" s="1"/>
  <c r="GT116" i="16" s="1"/>
  <c r="AX117" i="16"/>
  <c r="GS117" i="16" s="1"/>
  <c r="AX118" i="16"/>
  <c r="GW117" i="16" s="1"/>
  <c r="AY118" i="16"/>
  <c r="GX117" i="16" s="1"/>
  <c r="GX118" i="16" s="1"/>
  <c r="HM117" i="16" s="1"/>
  <c r="CD117" i="16"/>
  <c r="CE117" i="16" s="1"/>
  <c r="CF117" i="16" s="1"/>
  <c r="CG117" i="16" s="1"/>
  <c r="AI117" i="16"/>
  <c r="AJ117" i="16"/>
  <c r="GS115" i="16" s="1"/>
  <c r="AJ118" i="16"/>
  <c r="GW115" i="16" s="1"/>
  <c r="AL117" i="16"/>
  <c r="GU115" i="16" s="1"/>
  <c r="AW118" i="16"/>
  <c r="DL118" i="16"/>
  <c r="AA117" i="16"/>
  <c r="AA118" i="16"/>
  <c r="AZ118" i="16"/>
  <c r="DG117" i="16"/>
  <c r="AC117" i="16"/>
  <c r="AC118" i="16"/>
  <c r="AL68" i="13"/>
  <c r="AI34" i="16"/>
  <c r="AX33" i="16"/>
  <c r="GS33" i="16" s="1"/>
  <c r="AZ33" i="16"/>
  <c r="GU33" i="16" s="1"/>
  <c r="AK34" i="16"/>
  <c r="GX31" i="16" s="1"/>
  <c r="GX32" i="16" s="1"/>
  <c r="HM31" i="16" s="1"/>
  <c r="AJ34" i="16"/>
  <c r="GW31" i="16" s="1"/>
  <c r="AC34" i="16"/>
  <c r="BU34" i="16"/>
  <c r="BV34" i="16" s="1"/>
  <c r="BW34" i="16" s="1"/>
  <c r="BX34" i="16" s="1"/>
  <c r="AQ33" i="16"/>
  <c r="AC33" i="16"/>
  <c r="AX34" i="16"/>
  <c r="GW33" i="16" s="1"/>
  <c r="AK33" i="16"/>
  <c r="GT31" i="16" s="1"/>
  <c r="GT32" i="16" s="1"/>
  <c r="AW34" i="16"/>
  <c r="AY33" i="16"/>
  <c r="GT33" i="16" s="1"/>
  <c r="GT34" i="16" s="1"/>
  <c r="AZ34" i="16"/>
  <c r="AJ33" i="16"/>
  <c r="GS31" i="16" s="1"/>
  <c r="BU33" i="16"/>
  <c r="BV33" i="16" s="1"/>
  <c r="BW33" i="16" s="1"/>
  <c r="BX33" i="16" s="1"/>
  <c r="DG33" i="16"/>
  <c r="AA34" i="16"/>
  <c r="AQ34" i="16"/>
  <c r="AY34" i="16"/>
  <c r="GX33" i="16" s="1"/>
  <c r="GX34" i="16" s="1"/>
  <c r="HM33" i="16" s="1"/>
  <c r="AW33" i="16"/>
  <c r="DL34" i="16"/>
  <c r="AA33" i="16"/>
  <c r="AI33" i="16"/>
  <c r="CD34" i="16"/>
  <c r="CE34" i="16" s="1"/>
  <c r="CF34" i="16" s="1"/>
  <c r="CG34" i="16" s="1"/>
  <c r="AL34" i="16"/>
  <c r="CD33" i="16"/>
  <c r="CE33" i="16" s="1"/>
  <c r="CF33" i="16" s="1"/>
  <c r="CG33" i="16" s="1"/>
  <c r="DG34" i="16"/>
  <c r="AL33" i="16"/>
  <c r="GU31" i="16" s="1"/>
  <c r="AL94" i="13"/>
  <c r="AI90" i="16"/>
  <c r="AK89" i="16"/>
  <c r="GT87" i="16" s="1"/>
  <c r="GT88" i="16" s="1"/>
  <c r="BU90" i="16"/>
  <c r="BV90" i="16" s="1"/>
  <c r="BW90" i="16" s="1"/>
  <c r="BX90" i="16" s="1"/>
  <c r="AX90" i="16"/>
  <c r="GW89" i="16" s="1"/>
  <c r="AI89" i="16"/>
  <c r="AC89" i="16"/>
  <c r="AZ89" i="16"/>
  <c r="GU89" i="16" s="1"/>
  <c r="AJ89" i="16"/>
  <c r="GS87" i="16" s="1"/>
  <c r="DL90" i="16"/>
  <c r="AJ90" i="16"/>
  <c r="GW87" i="16" s="1"/>
  <c r="AL89" i="16"/>
  <c r="GU87" i="16" s="1"/>
  <c r="AZ90" i="16"/>
  <c r="DG89" i="16"/>
  <c r="AX89" i="16"/>
  <c r="GS89" i="16" s="1"/>
  <c r="BU89" i="16"/>
  <c r="BV89" i="16" s="1"/>
  <c r="BW89" i="16" s="1"/>
  <c r="BX89" i="16" s="1"/>
  <c r="AQ90" i="16"/>
  <c r="AA90" i="16"/>
  <c r="AC90" i="16"/>
  <c r="AY89" i="16"/>
  <c r="GT89" i="16" s="1"/>
  <c r="GT90" i="16" s="1"/>
  <c r="AQ89" i="16"/>
  <c r="AY90" i="16"/>
  <c r="GX89" i="16" s="1"/>
  <c r="GX90" i="16" s="1"/>
  <c r="HM89" i="16" s="1"/>
  <c r="AK90" i="16"/>
  <c r="GX87" i="16" s="1"/>
  <c r="GX88" i="16" s="1"/>
  <c r="HM87" i="16" s="1"/>
  <c r="AL90" i="16"/>
  <c r="AA89" i="16"/>
  <c r="AW90" i="16"/>
  <c r="DG90" i="16"/>
  <c r="CD90" i="16"/>
  <c r="CE90" i="16" s="1"/>
  <c r="CF90" i="16" s="1"/>
  <c r="CG90" i="16" s="1"/>
  <c r="DL89" i="16"/>
  <c r="AW89" i="16"/>
  <c r="CD89" i="16"/>
  <c r="CE89" i="16" s="1"/>
  <c r="CF89" i="16" s="1"/>
  <c r="CG89" i="16" s="1"/>
  <c r="AL26" i="13"/>
  <c r="AI55" i="16"/>
  <c r="AL22" i="13"/>
  <c r="AI27" i="16"/>
  <c r="AI76" i="16"/>
  <c r="AJ76" i="16"/>
  <c r="GW73" i="16" s="1"/>
  <c r="AC75" i="16"/>
  <c r="BU76" i="16"/>
  <c r="BV76" i="16" s="1"/>
  <c r="BW76" i="16" s="1"/>
  <c r="BX76" i="16" s="1"/>
  <c r="AQ75" i="16"/>
  <c r="AK75" i="16"/>
  <c r="GT73" i="16" s="1"/>
  <c r="GT74" i="16" s="1"/>
  <c r="AY75" i="16"/>
  <c r="GT75" i="16" s="1"/>
  <c r="GT76" i="16" s="1"/>
  <c r="DL76" i="16"/>
  <c r="AJ75" i="16"/>
  <c r="GS73" i="16" s="1"/>
  <c r="CD75" i="16"/>
  <c r="CE75" i="16" s="1"/>
  <c r="CF75" i="16" s="1"/>
  <c r="CG75" i="16" s="1"/>
  <c r="AL75" i="16"/>
  <c r="GU73" i="16" s="1"/>
  <c r="DL75" i="16"/>
  <c r="AZ75" i="16"/>
  <c r="GU75" i="16" s="1"/>
  <c r="BU75" i="16"/>
  <c r="BV75" i="16" s="1"/>
  <c r="BW75" i="16" s="1"/>
  <c r="BX75" i="16" s="1"/>
  <c r="AX75" i="16"/>
  <c r="GS75" i="16" s="1"/>
  <c r="AX76" i="16"/>
  <c r="GW75" i="16" s="1"/>
  <c r="AQ76" i="16"/>
  <c r="AK76" i="16"/>
  <c r="GX73" i="16" s="1"/>
  <c r="GX74" i="16" s="1"/>
  <c r="HM73" i="16" s="1"/>
  <c r="AI75" i="16"/>
  <c r="AC76" i="16"/>
  <c r="AW76" i="16"/>
  <c r="AY76" i="16"/>
  <c r="GX75" i="16" s="1"/>
  <c r="GX76" i="16" s="1"/>
  <c r="HM75" i="16" s="1"/>
  <c r="AA75" i="16"/>
  <c r="DG76" i="16"/>
  <c r="DG75" i="16"/>
  <c r="AZ76" i="16"/>
  <c r="AW75" i="16"/>
  <c r="AA76" i="16"/>
  <c r="CD76" i="16"/>
  <c r="CE76" i="16" s="1"/>
  <c r="CF76" i="16" s="1"/>
  <c r="CG76" i="16" s="1"/>
  <c r="AL76" i="16"/>
  <c r="AL120" i="13"/>
  <c r="AI48" i="16"/>
  <c r="CU48" i="16" s="1"/>
  <c r="AL47" i="16"/>
  <c r="GU45" i="16" s="1"/>
  <c r="AK47" i="16"/>
  <c r="GT45" i="16" s="1"/>
  <c r="GT46" i="16" s="1"/>
  <c r="AW47" i="16"/>
  <c r="AC48" i="16"/>
  <c r="AZ47" i="16"/>
  <c r="GU47" i="16" s="1"/>
  <c r="AK48" i="16"/>
  <c r="GX45" i="16" s="1"/>
  <c r="GX46" i="16" s="1"/>
  <c r="HM45" i="16" s="1"/>
  <c r="BU47" i="16"/>
  <c r="BV47" i="16" s="1"/>
  <c r="BW47" i="16" s="1"/>
  <c r="BX47" i="16" s="1"/>
  <c r="CD48" i="16"/>
  <c r="CE48" i="16" s="1"/>
  <c r="CF48" i="16" s="1"/>
  <c r="CG48" i="16" s="1"/>
  <c r="AQ48" i="16"/>
  <c r="AA48" i="16"/>
  <c r="AW48" i="16"/>
  <c r="CV48" i="16" s="1"/>
  <c r="AL48" i="16"/>
  <c r="AJ48" i="16"/>
  <c r="GW45" i="16" s="1"/>
  <c r="AY48" i="16"/>
  <c r="GX47" i="16" s="1"/>
  <c r="GX48" i="16" s="1"/>
  <c r="HM47" i="16" s="1"/>
  <c r="BU48" i="16"/>
  <c r="BV48" i="16" s="1"/>
  <c r="BW48" i="16" s="1"/>
  <c r="BX48" i="16" s="1"/>
  <c r="DG48" i="16"/>
  <c r="DL48" i="16"/>
  <c r="AA47" i="16"/>
  <c r="CD47" i="16"/>
  <c r="CE47" i="16" s="1"/>
  <c r="CF47" i="16" s="1"/>
  <c r="CG47" i="16" s="1"/>
  <c r="AQ47" i="16"/>
  <c r="AI47" i="16"/>
  <c r="DL47" i="16"/>
  <c r="AZ48" i="16"/>
  <c r="AJ47" i="16"/>
  <c r="GS45" i="16" s="1"/>
  <c r="AX47" i="16"/>
  <c r="GS47" i="16" s="1"/>
  <c r="AY47" i="16"/>
  <c r="GT47" i="16" s="1"/>
  <c r="GT48" i="16" s="1"/>
  <c r="AX48" i="16"/>
  <c r="GW47" i="16" s="1"/>
  <c r="DG47" i="16"/>
  <c r="AC47" i="16"/>
  <c r="AL46" i="13"/>
  <c r="E46" i="13" s="1"/>
  <c r="AI111" i="16"/>
  <c r="AI104" i="16"/>
  <c r="AJ104" i="16"/>
  <c r="GW101" i="16" s="1"/>
  <c r="AK103" i="16"/>
  <c r="GT101" i="16" s="1"/>
  <c r="GT102" i="16" s="1"/>
  <c r="DG104" i="16"/>
  <c r="AX104" i="16"/>
  <c r="GW103" i="16" s="1"/>
  <c r="CD103" i="16"/>
  <c r="AY103" i="16"/>
  <c r="GT103" i="16" s="1"/>
  <c r="GT104" i="16" s="1"/>
  <c r="AC103" i="16"/>
  <c r="BU103" i="16"/>
  <c r="BV103" i="16" s="1"/>
  <c r="BW103" i="16" s="1"/>
  <c r="BX103" i="16" s="1"/>
  <c r="AW103" i="16"/>
  <c r="AW104" i="16"/>
  <c r="AY104" i="16"/>
  <c r="GX103" i="16" s="1"/>
  <c r="GX104" i="16" s="1"/>
  <c r="HM103" i="16" s="1"/>
  <c r="AZ104" i="16"/>
  <c r="AC104" i="16"/>
  <c r="AL104" i="16"/>
  <c r="AQ103" i="16"/>
  <c r="AK104" i="16"/>
  <c r="GX101" i="16" s="1"/>
  <c r="GX102" i="16" s="1"/>
  <c r="HM101" i="16" s="1"/>
  <c r="BU104" i="16"/>
  <c r="BV104" i="16" s="1"/>
  <c r="BW104" i="16" s="1"/>
  <c r="BX104" i="16" s="1"/>
  <c r="AA103" i="16"/>
  <c r="CD104" i="16"/>
  <c r="CE104" i="16" s="1"/>
  <c r="CF104" i="16" s="1"/>
  <c r="CG104" i="16" s="1"/>
  <c r="AX103" i="16"/>
  <c r="GS103" i="16" s="1"/>
  <c r="AJ103" i="16"/>
  <c r="GS101" i="16" s="1"/>
  <c r="AI103" i="16"/>
  <c r="AA104" i="16"/>
  <c r="AZ103" i="16"/>
  <c r="GU103" i="16" s="1"/>
  <c r="AL103" i="16"/>
  <c r="GU101" i="16" s="1"/>
  <c r="AQ104" i="16"/>
  <c r="DG103" i="16"/>
  <c r="AI62" i="16"/>
  <c r="CD62" i="16"/>
  <c r="CE62" i="16" s="1"/>
  <c r="CF62" i="16" s="1"/>
  <c r="CG62" i="16" s="1"/>
  <c r="AL61" i="16"/>
  <c r="GU59" i="16" s="1"/>
  <c r="DG62" i="16"/>
  <c r="AX61" i="16"/>
  <c r="GS61" i="16" s="1"/>
  <c r="AX62" i="16"/>
  <c r="GW61" i="16" s="1"/>
  <c r="AZ62" i="16"/>
  <c r="DG61" i="16"/>
  <c r="AK62" i="16"/>
  <c r="AW62" i="16"/>
  <c r="AA62" i="16"/>
  <c r="CD61" i="16"/>
  <c r="CE61" i="16" s="1"/>
  <c r="CF61" i="16" s="1"/>
  <c r="CG61" i="16" s="1"/>
  <c r="AQ61" i="16"/>
  <c r="AA61" i="16"/>
  <c r="BU61" i="16"/>
  <c r="BV61" i="16" s="1"/>
  <c r="BW61" i="16" s="1"/>
  <c r="BX61" i="16" s="1"/>
  <c r="AC61" i="16"/>
  <c r="AZ61" i="16"/>
  <c r="GU61" i="16" s="1"/>
  <c r="AW61" i="16"/>
  <c r="AY62" i="16"/>
  <c r="GX61" i="16" s="1"/>
  <c r="GX62" i="16" s="1"/>
  <c r="HM61" i="16" s="1"/>
  <c r="AK61" i="16"/>
  <c r="GT59" i="16" s="1"/>
  <c r="GT60" i="16" s="1"/>
  <c r="AQ62" i="16"/>
  <c r="AJ61" i="16"/>
  <c r="GS59" i="16" s="1"/>
  <c r="AY61" i="16"/>
  <c r="GT61" i="16" s="1"/>
  <c r="GT62" i="16" s="1"/>
  <c r="AJ62" i="16"/>
  <c r="GW59" i="16" s="1"/>
  <c r="BU62" i="16"/>
  <c r="BV62" i="16" s="1"/>
  <c r="BW62" i="16" s="1"/>
  <c r="BX62" i="16" s="1"/>
  <c r="AI61" i="16"/>
  <c r="DL61" i="16"/>
  <c r="DL62" i="16"/>
  <c r="AL62" i="16"/>
  <c r="AC62" i="16"/>
  <c r="AL86" i="13"/>
  <c r="AL30" i="13"/>
  <c r="AL34" i="13"/>
  <c r="AL13" i="16"/>
  <c r="AL84" i="13"/>
  <c r="AJ108" i="13"/>
  <c r="AL106" i="13"/>
  <c r="AJ114" i="13"/>
  <c r="AL48" i="13"/>
  <c r="AK112" i="13"/>
  <c r="AK13" i="16"/>
  <c r="AL20" i="13"/>
  <c r="AL38" i="5"/>
  <c r="AK110" i="13" s="1"/>
  <c r="AL40" i="5"/>
  <c r="AK114" i="13" s="1"/>
  <c r="AK39" i="5"/>
  <c r="AJ112" i="13" s="1"/>
  <c r="AK35" i="5"/>
  <c r="AJ104" i="13" s="1"/>
  <c r="AK41" i="5"/>
  <c r="AJ120" i="13" s="1"/>
  <c r="AO25" i="11"/>
  <c r="AL108" i="13"/>
  <c r="AL35" i="5"/>
  <c r="AK104" i="13" s="1"/>
  <c r="AL42" i="5"/>
  <c r="AL80" i="13"/>
  <c r="AJ106" i="13"/>
  <c r="AJ110" i="13"/>
  <c r="AL24" i="13"/>
  <c r="AL72" i="13"/>
  <c r="AL32" i="13"/>
  <c r="AL44" i="13"/>
  <c r="AL54" i="13"/>
  <c r="V54" i="13" s="1"/>
  <c r="AL42" i="13"/>
  <c r="V42" i="13" s="1"/>
  <c r="AL88" i="13"/>
  <c r="AL34" i="5"/>
  <c r="AL36" i="5"/>
  <c r="AK106" i="13" s="1"/>
  <c r="U54" i="13"/>
  <c r="D54" i="13"/>
  <c r="Z87" i="11"/>
  <c r="Z105" i="11"/>
  <c r="G45" i="11"/>
  <c r="G65" i="11"/>
  <c r="G67" i="11"/>
  <c r="AO47" i="11"/>
  <c r="AO53" i="11"/>
  <c r="AO55" i="11"/>
  <c r="AO91" i="11"/>
  <c r="AO47" i="9"/>
  <c r="G47" i="11"/>
  <c r="G25" i="11"/>
  <c r="G37" i="11"/>
  <c r="AO45" i="11"/>
  <c r="G27" i="11"/>
  <c r="G55" i="11"/>
  <c r="AJ122" i="13"/>
  <c r="AA85" i="11"/>
  <c r="AO85" i="11" s="1"/>
  <c r="AA75" i="11"/>
  <c r="AO75" i="11" s="1"/>
  <c r="AA81" i="11"/>
  <c r="AO81" i="11" s="1"/>
  <c r="AA87" i="11"/>
  <c r="AO87" i="11" s="1"/>
  <c r="AA75" i="9"/>
  <c r="AO75" i="9" s="1"/>
  <c r="AA77" i="11"/>
  <c r="D24" i="13"/>
  <c r="U24" i="13"/>
  <c r="U74" i="13"/>
  <c r="D74" i="13"/>
  <c r="U20" i="13"/>
  <c r="D20" i="13"/>
  <c r="D32" i="13"/>
  <c r="U32" i="13"/>
  <c r="U22" i="13"/>
  <c r="D22" i="13"/>
  <c r="U28" i="13"/>
  <c r="D28" i="13"/>
  <c r="D94" i="13"/>
  <c r="U94" i="13"/>
  <c r="D34" i="13"/>
  <c r="U34" i="13"/>
  <c r="U68" i="13"/>
  <c r="D68" i="13"/>
  <c r="U30" i="13"/>
  <c r="D30" i="13"/>
  <c r="U26" i="13"/>
  <c r="D26" i="13"/>
  <c r="D72" i="13"/>
  <c r="U72" i="13"/>
  <c r="D52" i="13"/>
  <c r="U52" i="13"/>
  <c r="D92" i="13"/>
  <c r="U92" i="13"/>
  <c r="AO41" i="11"/>
  <c r="AO19" i="11"/>
  <c r="AO35" i="11"/>
  <c r="G41" i="11"/>
  <c r="AO21" i="11"/>
  <c r="AO73" i="11"/>
  <c r="G33" i="11"/>
  <c r="AO37" i="11"/>
  <c r="Z77" i="11"/>
  <c r="G63" i="11"/>
  <c r="Z81" i="11"/>
  <c r="Z97" i="11"/>
  <c r="G21" i="11"/>
  <c r="AO17" i="11"/>
  <c r="BG24" i="13" s="1"/>
  <c r="G61" i="11"/>
  <c r="Z79" i="11"/>
  <c r="AO33" i="11"/>
  <c r="G13" i="11"/>
  <c r="G23" i="11"/>
  <c r="AO23" i="11"/>
  <c r="BG30" i="13" s="1"/>
  <c r="G35" i="11"/>
  <c r="Z85" i="11"/>
  <c r="Z83" i="11"/>
  <c r="Z107" i="11"/>
  <c r="Z103" i="11"/>
  <c r="AO83" i="11"/>
  <c r="AO39" i="11"/>
  <c r="G17" i="11"/>
  <c r="Z101" i="11"/>
  <c r="G43" i="11"/>
  <c r="AO15" i="11"/>
  <c r="BG22" i="13" s="1"/>
  <c r="AO27" i="9"/>
  <c r="AO25" i="9"/>
  <c r="G126" i="13"/>
  <c r="AO43" i="11"/>
  <c r="BG50" i="13" s="1"/>
  <c r="G53" i="11"/>
  <c r="G15" i="11"/>
  <c r="G57" i="11"/>
  <c r="Z99" i="11"/>
  <c r="G19" i="11"/>
  <c r="O126" i="13"/>
  <c r="Z95" i="11"/>
  <c r="G125" i="11"/>
  <c r="G126" i="11" s="1"/>
  <c r="Z73" i="11"/>
  <c r="O14" i="13"/>
  <c r="P18" i="13" s="1"/>
  <c r="O18" i="13" s="1"/>
  <c r="Z75" i="11"/>
  <c r="AO13" i="11"/>
  <c r="Z93" i="11"/>
  <c r="G39" i="11"/>
  <c r="BV63" i="9"/>
  <c r="BV39" i="11"/>
  <c r="BV27" i="9"/>
  <c r="BV65" i="9"/>
  <c r="BV19" i="11"/>
  <c r="AO103" i="11"/>
  <c r="BV57" i="9"/>
  <c r="BV67" i="9"/>
  <c r="BV39" i="9"/>
  <c r="BV61" i="11"/>
  <c r="BV43" i="11"/>
  <c r="BV95" i="11"/>
  <c r="BV59" i="11"/>
  <c r="BV67" i="11"/>
  <c r="BV15" i="9"/>
  <c r="BV55" i="11"/>
  <c r="BV21" i="9"/>
  <c r="BV37" i="9"/>
  <c r="BV61" i="9"/>
  <c r="BV53" i="9"/>
  <c r="BV115" i="11"/>
  <c r="BV93" i="9"/>
  <c r="BV19" i="9"/>
  <c r="BV15" i="11"/>
  <c r="BV13" i="11"/>
  <c r="AO99" i="9"/>
  <c r="AO81" i="9"/>
  <c r="BV23" i="11"/>
  <c r="BV17" i="11"/>
  <c r="BV27" i="11"/>
  <c r="BV93" i="11"/>
  <c r="BV113" i="11"/>
  <c r="AO63" i="9"/>
  <c r="BV33" i="9"/>
  <c r="BV95" i="9"/>
  <c r="BV17" i="9"/>
  <c r="BV113" i="9"/>
  <c r="BV45" i="11"/>
  <c r="AO23" i="9"/>
  <c r="BE30" i="13" s="1"/>
  <c r="AO103" i="9"/>
  <c r="BV55" i="9"/>
  <c r="AO79" i="9"/>
  <c r="BE106" i="13" s="1"/>
  <c r="AO73" i="9"/>
  <c r="AO91" i="9"/>
  <c r="AO43" i="9"/>
  <c r="BV47" i="9"/>
  <c r="AO101" i="9"/>
  <c r="AZ89" i="11"/>
  <c r="BB72" i="11"/>
  <c r="BV59" i="9"/>
  <c r="AO97" i="9"/>
  <c r="BV33" i="11"/>
  <c r="BV43" i="9"/>
  <c r="BA72" i="9"/>
  <c r="AY73" i="9" s="1"/>
  <c r="AZ49" i="11"/>
  <c r="BB32" i="11"/>
  <c r="BV45" i="9"/>
  <c r="BV25" i="9"/>
  <c r="BV41" i="9"/>
  <c r="BV35" i="9"/>
  <c r="G125" i="9"/>
  <c r="Z75" i="9"/>
  <c r="Z81" i="9"/>
  <c r="AO37" i="9"/>
  <c r="G37" i="9"/>
  <c r="G15" i="9"/>
  <c r="Z93" i="9"/>
  <c r="AO39" i="9"/>
  <c r="AO15" i="9"/>
  <c r="BE22" i="13" s="1"/>
  <c r="Z73" i="9"/>
  <c r="Z99" i="9"/>
  <c r="G35" i="9"/>
  <c r="G53" i="9"/>
  <c r="Z107" i="9"/>
  <c r="Z79" i="9"/>
  <c r="AO33" i="9"/>
  <c r="BE40" i="13" s="1"/>
  <c r="AO57" i="9"/>
  <c r="AO13" i="9"/>
  <c r="AO17" i="9"/>
  <c r="BE24" i="13" s="1"/>
  <c r="G43" i="9"/>
  <c r="G61" i="9"/>
  <c r="Z87" i="9"/>
  <c r="Z97" i="9"/>
  <c r="AO41" i="9"/>
  <c r="AO59" i="9"/>
  <c r="AO19" i="9"/>
  <c r="BE26" i="13" s="1"/>
  <c r="G17" i="9"/>
  <c r="Z103" i="9"/>
  <c r="Z77" i="9"/>
  <c r="G33" i="9"/>
  <c r="G59" i="9"/>
  <c r="G39" i="9"/>
  <c r="G13" i="9"/>
  <c r="Z83" i="9"/>
  <c r="Z105" i="9"/>
  <c r="G19" i="9"/>
  <c r="G41" i="9"/>
  <c r="G55" i="9"/>
  <c r="G21" i="9"/>
  <c r="Z95" i="9"/>
  <c r="Z101" i="9"/>
  <c r="Z85" i="9"/>
  <c r="AO53" i="9"/>
  <c r="AO35" i="9"/>
  <c r="AO55" i="9"/>
  <c r="G57" i="9"/>
  <c r="G63" i="9"/>
  <c r="G23" i="9"/>
  <c r="G47" i="9"/>
  <c r="G45" i="9"/>
  <c r="G25" i="9"/>
  <c r="G65" i="9"/>
  <c r="G27" i="9"/>
  <c r="G67" i="9"/>
  <c r="BV13" i="9"/>
  <c r="BV37" i="11"/>
  <c r="BA12" i="9"/>
  <c r="AY13" i="9" s="1"/>
  <c r="BV21" i="11"/>
  <c r="BV65" i="11"/>
  <c r="AO45" i="9"/>
  <c r="AR52" i="13" s="1"/>
  <c r="BV23" i="9"/>
  <c r="BV35" i="11"/>
  <c r="BV63" i="11"/>
  <c r="BV25" i="11"/>
  <c r="BV57" i="11"/>
  <c r="BA12" i="11"/>
  <c r="AY13" i="11" s="1"/>
  <c r="AZ49" i="9"/>
  <c r="BB32" i="9"/>
  <c r="BA52" i="11"/>
  <c r="AY53" i="11" s="1"/>
  <c r="AO21" i="9"/>
  <c r="BE28" i="13" s="1"/>
  <c r="BA52" i="9"/>
  <c r="AY53" i="9" s="1"/>
  <c r="BV53" i="11"/>
  <c r="AO61" i="9"/>
  <c r="AO87" i="9"/>
  <c r="U87" i="9" s="1"/>
  <c r="T87" i="9" s="1"/>
  <c r="AO83" i="9"/>
  <c r="BE90" i="13" s="1"/>
  <c r="BV115" i="9"/>
  <c r="BV41" i="11"/>
  <c r="BV47" i="11"/>
  <c r="AO77" i="9"/>
  <c r="AO85" i="9"/>
  <c r="V104" i="13" l="1"/>
  <c r="V102" i="13"/>
  <c r="E102" i="13"/>
  <c r="V110" i="13"/>
  <c r="C129" i="16"/>
  <c r="R129" i="16"/>
  <c r="E100" i="13"/>
  <c r="E42" i="13"/>
  <c r="C31" i="16"/>
  <c r="R31" i="16"/>
  <c r="C171" i="16"/>
  <c r="R171" i="16"/>
  <c r="C199" i="16"/>
  <c r="R199" i="16"/>
  <c r="C213" i="16"/>
  <c r="R213" i="16"/>
  <c r="V100" i="13"/>
  <c r="E54" i="13"/>
  <c r="C115" i="16"/>
  <c r="R115" i="16"/>
  <c r="V108" i="13"/>
  <c r="V46" i="13"/>
  <c r="C59" i="16"/>
  <c r="R59" i="16"/>
  <c r="C353" i="16"/>
  <c r="R353" i="16"/>
  <c r="E108" i="13"/>
  <c r="V50" i="13"/>
  <c r="C283" i="16"/>
  <c r="R283" i="16"/>
  <c r="C185" i="16"/>
  <c r="R185" i="16"/>
  <c r="C325" i="16"/>
  <c r="R325" i="16"/>
  <c r="E110" i="13"/>
  <c r="E114" i="13"/>
  <c r="C227" i="16"/>
  <c r="R227" i="16"/>
  <c r="E112" i="13"/>
  <c r="E106" i="13"/>
  <c r="V114" i="13"/>
  <c r="C255" i="16"/>
  <c r="R255" i="16"/>
  <c r="V112" i="13"/>
  <c r="V106" i="13"/>
  <c r="AH229" i="16"/>
  <c r="GR227" i="16" s="1"/>
  <c r="CE103" i="16"/>
  <c r="CF103" i="16" s="1"/>
  <c r="CG103" i="16" s="1"/>
  <c r="CH103" i="16" s="1"/>
  <c r="CZ18" i="16"/>
  <c r="BG108" i="13"/>
  <c r="AH341" i="16"/>
  <c r="GR339" i="16" s="1"/>
  <c r="HA451" i="16"/>
  <c r="D62" i="13"/>
  <c r="U62" i="13"/>
  <c r="CH104" i="16"/>
  <c r="CJ104" i="16" s="1"/>
  <c r="AR54" i="13"/>
  <c r="AR74" i="13"/>
  <c r="U70" i="13"/>
  <c r="W30" i="19"/>
  <c r="W22" i="19"/>
  <c r="W25" i="19"/>
  <c r="W7" i="19"/>
  <c r="W6" i="19"/>
  <c r="W4" i="19"/>
  <c r="W3" i="19"/>
  <c r="W29" i="19"/>
  <c r="W8" i="19"/>
  <c r="W18" i="19"/>
  <c r="W11" i="19"/>
  <c r="W26" i="19"/>
  <c r="W19" i="19"/>
  <c r="W14" i="19"/>
  <c r="W13" i="19"/>
  <c r="W27" i="19"/>
  <c r="W12" i="19"/>
  <c r="W5" i="19"/>
  <c r="W9" i="19"/>
  <c r="W23" i="19"/>
  <c r="HA465" i="16"/>
  <c r="W24" i="19"/>
  <c r="W33" i="19"/>
  <c r="W16" i="19"/>
  <c r="W31" i="19"/>
  <c r="W20" i="19"/>
  <c r="W32" i="19"/>
  <c r="W2" i="19"/>
  <c r="W10" i="19"/>
  <c r="W28" i="19"/>
  <c r="W17" i="19"/>
  <c r="W15" i="19"/>
  <c r="BG52" i="13"/>
  <c r="AS52" i="13"/>
  <c r="AZ38" i="16"/>
  <c r="AL38" i="16"/>
  <c r="AL37" i="16"/>
  <c r="AZ37" i="16"/>
  <c r="AL177" i="16"/>
  <c r="AZ178" i="16"/>
  <c r="AZ177" i="16"/>
  <c r="AL178" i="16"/>
  <c r="BG44" i="16"/>
  <c r="C44" i="16" s="1"/>
  <c r="AL51" i="16"/>
  <c r="AZ52" i="16"/>
  <c r="AL52" i="16"/>
  <c r="AZ51" i="16"/>
  <c r="AK100" i="13"/>
  <c r="BK62" i="13"/>
  <c r="BP62" i="13"/>
  <c r="BL62" i="13"/>
  <c r="BB79" i="11"/>
  <c r="BB73" i="11"/>
  <c r="BB81" i="11"/>
  <c r="BB75" i="11"/>
  <c r="BB83" i="11"/>
  <c r="BB85" i="11"/>
  <c r="BB47" i="11"/>
  <c r="BB41" i="11"/>
  <c r="BB35" i="11"/>
  <c r="BB33" i="11"/>
  <c r="BB39" i="11"/>
  <c r="BB43" i="11"/>
  <c r="BB37" i="11"/>
  <c r="BB45" i="11"/>
  <c r="K99" i="11"/>
  <c r="G99" i="11"/>
  <c r="T99" i="11" s="1"/>
  <c r="M99" i="11" s="1"/>
  <c r="O99" i="11" s="1"/>
  <c r="AK83" i="16"/>
  <c r="O106" i="13"/>
  <c r="BB47" i="9"/>
  <c r="BB35" i="9"/>
  <c r="BB33" i="9"/>
  <c r="BB37" i="9"/>
  <c r="BB39" i="9"/>
  <c r="BB41" i="9"/>
  <c r="BB43" i="9"/>
  <c r="BB45" i="9"/>
  <c r="AX20" i="16"/>
  <c r="GW19" i="16" s="1"/>
  <c r="AR72" i="13"/>
  <c r="K65" i="9"/>
  <c r="U59" i="11"/>
  <c r="T59" i="11" s="1"/>
  <c r="M59" i="11" s="1"/>
  <c r="O59" i="11" s="1"/>
  <c r="U90" i="13"/>
  <c r="BE64" i="13"/>
  <c r="AR64" i="13"/>
  <c r="K59" i="11"/>
  <c r="AS34" i="13"/>
  <c r="HL59" i="16"/>
  <c r="HH89" i="16"/>
  <c r="HL89" i="16"/>
  <c r="HM90" i="16" s="1"/>
  <c r="HL451" i="16"/>
  <c r="HM450" i="16" s="1"/>
  <c r="HH451" i="16"/>
  <c r="HL383" i="16"/>
  <c r="HM384" i="16" s="1"/>
  <c r="HH383" i="16"/>
  <c r="HH145" i="16"/>
  <c r="HL145" i="16"/>
  <c r="HM146" i="16" s="1"/>
  <c r="HH143" i="16"/>
  <c r="HL143" i="16"/>
  <c r="HM142" i="16" s="1"/>
  <c r="HL87" i="16"/>
  <c r="HM86" i="16" s="1"/>
  <c r="HH87" i="16"/>
  <c r="HL409" i="16"/>
  <c r="HM408" i="16" s="1"/>
  <c r="HH409" i="16"/>
  <c r="HH271" i="16"/>
  <c r="HL271" i="16"/>
  <c r="HM272" i="16" s="1"/>
  <c r="HH75" i="16"/>
  <c r="HL75" i="16"/>
  <c r="HM76" i="16" s="1"/>
  <c r="HL369" i="16"/>
  <c r="HM370" i="16" s="1"/>
  <c r="HH369" i="16"/>
  <c r="HH131" i="16"/>
  <c r="HL131" i="16"/>
  <c r="HM132" i="16" s="1"/>
  <c r="HH339" i="16"/>
  <c r="HL339" i="16"/>
  <c r="HM338" i="16" s="1"/>
  <c r="HH171" i="16"/>
  <c r="HL171" i="16"/>
  <c r="HM170" i="16" s="1"/>
  <c r="HH103" i="16"/>
  <c r="HL103" i="16"/>
  <c r="HM104" i="16" s="1"/>
  <c r="HL425" i="16"/>
  <c r="HM426" i="16" s="1"/>
  <c r="HH425" i="16"/>
  <c r="HL423" i="16"/>
  <c r="HM422" i="16" s="1"/>
  <c r="HH423" i="16"/>
  <c r="HH201" i="16"/>
  <c r="HL201" i="16"/>
  <c r="HM202" i="16" s="1"/>
  <c r="HL285" i="16"/>
  <c r="HM286" i="16" s="1"/>
  <c r="HH285" i="16"/>
  <c r="HL327" i="16"/>
  <c r="HM328" i="16" s="1"/>
  <c r="HH327" i="16"/>
  <c r="HL31" i="16"/>
  <c r="HM30" i="16" s="1"/>
  <c r="HH31" i="16"/>
  <c r="HH159" i="16"/>
  <c r="HL159" i="16"/>
  <c r="HM160" i="16" s="1"/>
  <c r="HL297" i="16"/>
  <c r="HL341" i="16"/>
  <c r="HM342" i="16" s="1"/>
  <c r="HH341" i="16"/>
  <c r="HL437" i="16"/>
  <c r="HM436" i="16" s="1"/>
  <c r="HH437" i="16"/>
  <c r="HH215" i="16"/>
  <c r="HL215" i="16"/>
  <c r="HM216" i="16" s="1"/>
  <c r="HH157" i="16"/>
  <c r="HL157" i="16"/>
  <c r="HM156" i="16" s="1"/>
  <c r="HH325" i="16"/>
  <c r="HL325" i="16"/>
  <c r="HM324" i="16" s="1"/>
  <c r="HL411" i="16"/>
  <c r="HM412" i="16" s="1"/>
  <c r="HH411" i="16"/>
  <c r="HL299" i="16"/>
  <c r="HM300" i="16" s="1"/>
  <c r="HH299" i="16"/>
  <c r="HH397" i="16"/>
  <c r="HL397" i="16"/>
  <c r="HM398" i="16" s="1"/>
  <c r="HH173" i="16"/>
  <c r="HL173" i="16"/>
  <c r="HM174" i="16" s="1"/>
  <c r="HH61" i="16"/>
  <c r="HL61" i="16"/>
  <c r="HM62" i="16" s="1"/>
  <c r="HH115" i="16"/>
  <c r="HL115" i="16"/>
  <c r="HM114" i="16" s="1"/>
  <c r="HH257" i="16"/>
  <c r="HL257" i="16"/>
  <c r="HM258" i="16" s="1"/>
  <c r="HH227" i="16"/>
  <c r="HL227" i="16"/>
  <c r="HM226" i="16" s="1"/>
  <c r="HL453" i="16"/>
  <c r="HM454" i="16" s="1"/>
  <c r="HH453" i="16"/>
  <c r="HH241" i="16"/>
  <c r="HL241" i="16"/>
  <c r="HM240" i="16" s="1"/>
  <c r="HL395" i="16"/>
  <c r="HM394" i="16" s="1"/>
  <c r="HH395" i="16"/>
  <c r="HL313" i="16"/>
  <c r="HM314" i="16" s="1"/>
  <c r="HH313" i="16"/>
  <c r="HH465" i="16"/>
  <c r="HL465" i="16"/>
  <c r="HM464" i="16" s="1"/>
  <c r="HH213" i="16"/>
  <c r="HH216" i="16" s="1"/>
  <c r="HL213" i="16"/>
  <c r="HM212" i="16" s="1"/>
  <c r="HL355" i="16"/>
  <c r="HM356" i="16" s="1"/>
  <c r="HH355" i="16"/>
  <c r="HH367" i="16"/>
  <c r="HH370" i="16" s="1"/>
  <c r="HL367" i="16"/>
  <c r="HM366" i="16" s="1"/>
  <c r="HH185" i="16"/>
  <c r="HL185" i="16"/>
  <c r="HM184" i="16" s="1"/>
  <c r="HH243" i="16"/>
  <c r="HL243" i="16"/>
  <c r="HM244" i="16" s="1"/>
  <c r="HL467" i="16"/>
  <c r="HM468" i="16" s="1"/>
  <c r="HH467" i="16"/>
  <c r="HH73" i="16"/>
  <c r="HL73" i="16"/>
  <c r="HM72" i="16" s="1"/>
  <c r="HH117" i="16"/>
  <c r="HL117" i="16"/>
  <c r="HM118" i="16" s="1"/>
  <c r="HH381" i="16"/>
  <c r="HL381" i="16"/>
  <c r="HM380" i="16" s="1"/>
  <c r="HL439" i="16"/>
  <c r="HM440" i="16" s="1"/>
  <c r="HH439" i="16"/>
  <c r="D84" i="13"/>
  <c r="HH101" i="16"/>
  <c r="HL101" i="16"/>
  <c r="HM100" i="16" s="1"/>
  <c r="HH47" i="16"/>
  <c r="HL47" i="16"/>
  <c r="HM48" i="16" s="1"/>
  <c r="HH45" i="16"/>
  <c r="HL45" i="16"/>
  <c r="HM44" i="16" s="1"/>
  <c r="HH33" i="16"/>
  <c r="HL33" i="16"/>
  <c r="HM34" i="16" s="1"/>
  <c r="HH187" i="16"/>
  <c r="HL187" i="16"/>
  <c r="HM188" i="16" s="1"/>
  <c r="HH129" i="16"/>
  <c r="HL129" i="16"/>
  <c r="HM128" i="16" s="1"/>
  <c r="HH229" i="16"/>
  <c r="HL229" i="16"/>
  <c r="HM230" i="16" s="1"/>
  <c r="HH199" i="16"/>
  <c r="HL199" i="16"/>
  <c r="HM198" i="16" s="1"/>
  <c r="HH311" i="16"/>
  <c r="HL311" i="16"/>
  <c r="HM310" i="16" s="1"/>
  <c r="HH353" i="16"/>
  <c r="HL353" i="16"/>
  <c r="HM352" i="16" s="1"/>
  <c r="HH283" i="16"/>
  <c r="HL283" i="16"/>
  <c r="HM282" i="16" s="1"/>
  <c r="AS110" i="13"/>
  <c r="D90" i="13"/>
  <c r="U84" i="13"/>
  <c r="AS108" i="13"/>
  <c r="AK209" i="16"/>
  <c r="G72" i="13"/>
  <c r="BL84" i="13"/>
  <c r="AK237" i="16"/>
  <c r="AO77" i="11"/>
  <c r="AS104" i="13" s="1"/>
  <c r="BK84" i="13"/>
  <c r="BO84" i="13"/>
  <c r="HA103" i="16"/>
  <c r="BK90" i="13"/>
  <c r="AR110" i="13"/>
  <c r="AM419" i="16" s="1"/>
  <c r="AF429" i="16" s="1"/>
  <c r="C429" i="16" s="1"/>
  <c r="AR108" i="13"/>
  <c r="BL90" i="13"/>
  <c r="BO90" i="13"/>
  <c r="BG68" i="13"/>
  <c r="D80" i="13"/>
  <c r="BG44" i="13"/>
  <c r="U80" i="13"/>
  <c r="G74" i="13"/>
  <c r="BE68" i="13"/>
  <c r="BE50" i="13"/>
  <c r="BE86" i="13"/>
  <c r="BE104" i="13"/>
  <c r="BE60" i="13"/>
  <c r="BE70" i="13"/>
  <c r="AS74" i="13"/>
  <c r="AK195" i="16"/>
  <c r="U65" i="11"/>
  <c r="T65" i="11" s="1"/>
  <c r="M65" i="11" s="1"/>
  <c r="BH65" i="11" s="1"/>
  <c r="BI65" i="11" s="1"/>
  <c r="BJ65" i="11" s="1"/>
  <c r="AS65" i="11"/>
  <c r="BE62" i="13"/>
  <c r="U45" i="9"/>
  <c r="T45" i="9" s="1"/>
  <c r="M45" i="9" s="1"/>
  <c r="O45" i="9" s="1"/>
  <c r="BE52" i="13"/>
  <c r="BE46" i="13"/>
  <c r="BE42" i="13"/>
  <c r="BE48" i="13"/>
  <c r="G87" i="9"/>
  <c r="BE94" i="13"/>
  <c r="BE108" i="13"/>
  <c r="BE88" i="13"/>
  <c r="U47" i="9"/>
  <c r="T47" i="9" s="1"/>
  <c r="M47" i="9" s="1"/>
  <c r="BE54" i="13"/>
  <c r="AS72" i="13"/>
  <c r="AV67" i="9"/>
  <c r="BE74" i="13"/>
  <c r="K65" i="11"/>
  <c r="G85" i="9"/>
  <c r="BE92" i="13"/>
  <c r="BE84" i="13"/>
  <c r="U64" i="13"/>
  <c r="BE82" i="13"/>
  <c r="BE66" i="13"/>
  <c r="AR90" i="13"/>
  <c r="BE110" i="13"/>
  <c r="AS61" i="11"/>
  <c r="D40" i="13"/>
  <c r="BL40" i="13"/>
  <c r="BK40" i="13"/>
  <c r="BP40" i="13"/>
  <c r="BO40" i="13"/>
  <c r="AK335" i="16"/>
  <c r="BP86" i="13"/>
  <c r="BO86" i="13"/>
  <c r="BL86" i="13"/>
  <c r="BK86" i="13"/>
  <c r="BP70" i="13"/>
  <c r="BO70" i="13"/>
  <c r="BL70" i="13"/>
  <c r="BK70" i="13"/>
  <c r="D100" i="13"/>
  <c r="O72" i="13"/>
  <c r="U108" i="13"/>
  <c r="BL108" i="13"/>
  <c r="BP108" i="13"/>
  <c r="BK108" i="13"/>
  <c r="BO108" i="13"/>
  <c r="U66" i="13"/>
  <c r="BP66" i="13"/>
  <c r="BO66" i="13"/>
  <c r="BL66" i="13"/>
  <c r="BK66" i="13"/>
  <c r="K61" i="11"/>
  <c r="O68" i="13"/>
  <c r="BG80" i="13"/>
  <c r="AK111" i="16"/>
  <c r="BL48" i="13"/>
  <c r="BK48" i="13"/>
  <c r="BP48" i="13"/>
  <c r="BO48" i="13"/>
  <c r="BL80" i="13"/>
  <c r="BK80" i="13"/>
  <c r="BP80" i="13"/>
  <c r="BO80" i="13"/>
  <c r="AR40" i="13"/>
  <c r="BE44" i="13"/>
  <c r="BL112" i="13"/>
  <c r="BP112" i="13"/>
  <c r="BK112" i="13"/>
  <c r="BO112" i="13"/>
  <c r="U102" i="13"/>
  <c r="BL102" i="13"/>
  <c r="BK102" i="13"/>
  <c r="BP102" i="13"/>
  <c r="BO102" i="13"/>
  <c r="D42" i="13"/>
  <c r="BL42" i="13"/>
  <c r="BP42" i="13"/>
  <c r="BK42" i="13"/>
  <c r="BO42" i="13"/>
  <c r="U61" i="11"/>
  <c r="T61" i="11" s="1"/>
  <c r="M61" i="11" s="1"/>
  <c r="O61" i="11" s="1"/>
  <c r="BG106" i="13"/>
  <c r="AS106" i="13"/>
  <c r="BP106" i="13"/>
  <c r="BO106" i="13"/>
  <c r="BL106" i="13"/>
  <c r="BK106" i="13"/>
  <c r="BG32" i="13"/>
  <c r="BG112" i="13"/>
  <c r="BG114" i="13"/>
  <c r="D46" i="13"/>
  <c r="BP46" i="13"/>
  <c r="BO46" i="13"/>
  <c r="BL46" i="13"/>
  <c r="BK46" i="13"/>
  <c r="BL110" i="13"/>
  <c r="BK110" i="13"/>
  <c r="BP110" i="13"/>
  <c r="BO110" i="13"/>
  <c r="BL100" i="13"/>
  <c r="BP100" i="13"/>
  <c r="BK100" i="13"/>
  <c r="BO100" i="13"/>
  <c r="AR104" i="13"/>
  <c r="BE112" i="13"/>
  <c r="BE114" i="13"/>
  <c r="BG90" i="13"/>
  <c r="BG110" i="13"/>
  <c r="D110" i="13"/>
  <c r="U50" i="13"/>
  <c r="BL50" i="13"/>
  <c r="BP50" i="13"/>
  <c r="BK50" i="13"/>
  <c r="BO50" i="13"/>
  <c r="U88" i="13"/>
  <c r="BL88" i="13"/>
  <c r="BK88" i="13"/>
  <c r="BP88" i="13"/>
  <c r="BO88" i="13"/>
  <c r="AT65" i="11"/>
  <c r="AR106" i="13"/>
  <c r="AV67" i="11"/>
  <c r="U60" i="13"/>
  <c r="BL60" i="13"/>
  <c r="BK60" i="13"/>
  <c r="BP60" i="13"/>
  <c r="BO60" i="13"/>
  <c r="BE80" i="13"/>
  <c r="AK377" i="16"/>
  <c r="BL104" i="13"/>
  <c r="BP104" i="13"/>
  <c r="BK104" i="13"/>
  <c r="BO104" i="13"/>
  <c r="AK447" i="16"/>
  <c r="BP114" i="13"/>
  <c r="BO114" i="13"/>
  <c r="BL114" i="13"/>
  <c r="BK114" i="13"/>
  <c r="AK265" i="16"/>
  <c r="U44" i="13"/>
  <c r="BL44" i="13"/>
  <c r="BK44" i="13"/>
  <c r="BP44" i="13"/>
  <c r="BO44" i="13"/>
  <c r="U82" i="13"/>
  <c r="BP82" i="13"/>
  <c r="BO82" i="13"/>
  <c r="BL82" i="13"/>
  <c r="BK82" i="13"/>
  <c r="BP64" i="13"/>
  <c r="BO64" i="13"/>
  <c r="BL64" i="13"/>
  <c r="BK64" i="13"/>
  <c r="AR65" i="11"/>
  <c r="O74" i="13"/>
  <c r="P78" i="13" s="1"/>
  <c r="O78" i="13" s="1"/>
  <c r="AT67" i="11"/>
  <c r="AS67" i="11"/>
  <c r="U27" i="9"/>
  <c r="T27" i="9" s="1"/>
  <c r="M27" i="9" s="1"/>
  <c r="O27" i="9" s="1"/>
  <c r="BE34" i="13"/>
  <c r="U25" i="9"/>
  <c r="T25" i="9" s="1"/>
  <c r="M25" i="9" s="1"/>
  <c r="O25" i="9" s="1"/>
  <c r="BE32" i="13"/>
  <c r="AR20" i="13"/>
  <c r="BE20" i="13"/>
  <c r="AR67" i="11"/>
  <c r="AR61" i="11"/>
  <c r="AR59" i="11"/>
  <c r="O64" i="13"/>
  <c r="K57" i="11"/>
  <c r="U57" i="11"/>
  <c r="T57" i="11" s="1"/>
  <c r="M57" i="11" s="1"/>
  <c r="O57" i="11" s="1"/>
  <c r="D88" i="13"/>
  <c r="AS40" i="13"/>
  <c r="BG40" i="13"/>
  <c r="AS26" i="13"/>
  <c r="BG26" i="13"/>
  <c r="G85" i="11"/>
  <c r="BG92" i="13"/>
  <c r="U47" i="11"/>
  <c r="T47" i="11" s="1"/>
  <c r="M47" i="11" s="1"/>
  <c r="BG54" i="13"/>
  <c r="AS64" i="13"/>
  <c r="BG64" i="13"/>
  <c r="AS88" i="13"/>
  <c r="BG88" i="13"/>
  <c r="AS48" i="13"/>
  <c r="BG48" i="13"/>
  <c r="U27" i="11"/>
  <c r="T27" i="11" s="1"/>
  <c r="M27" i="11" s="1"/>
  <c r="BG34" i="13"/>
  <c r="BG20" i="13"/>
  <c r="AS20" i="13"/>
  <c r="AS42" i="13"/>
  <c r="BG42" i="13"/>
  <c r="AS82" i="13"/>
  <c r="BG82" i="13"/>
  <c r="K63" i="11"/>
  <c r="BG70" i="13"/>
  <c r="U67" i="11"/>
  <c r="T67" i="11" s="1"/>
  <c r="M67" i="11" s="1"/>
  <c r="BG74" i="13"/>
  <c r="AS66" i="13"/>
  <c r="BG66" i="13"/>
  <c r="AQ57" i="11"/>
  <c r="BG62" i="13"/>
  <c r="K39" i="11"/>
  <c r="BG46" i="13"/>
  <c r="AS86" i="13"/>
  <c r="BG86" i="13"/>
  <c r="U21" i="11"/>
  <c r="T21" i="11" s="1"/>
  <c r="M21" i="11" s="1"/>
  <c r="O21" i="11" s="1"/>
  <c r="BG28" i="13"/>
  <c r="G87" i="11"/>
  <c r="BG94" i="13"/>
  <c r="AS68" i="13"/>
  <c r="BG60" i="13"/>
  <c r="K27" i="11"/>
  <c r="D44" i="13"/>
  <c r="D82" i="13"/>
  <c r="HA243" i="16"/>
  <c r="AK153" i="16"/>
  <c r="GD44" i="16"/>
  <c r="AT63" i="11"/>
  <c r="D38" i="16"/>
  <c r="AU67" i="11"/>
  <c r="AS63" i="11"/>
  <c r="O70" i="13"/>
  <c r="AR63" i="11"/>
  <c r="U63" i="11"/>
  <c r="T63" i="11" s="1"/>
  <c r="M63" i="11" s="1"/>
  <c r="O63" i="11" s="1"/>
  <c r="AU65" i="11"/>
  <c r="HA129" i="16"/>
  <c r="HA61" i="16"/>
  <c r="AK97" i="16"/>
  <c r="HA297" i="16"/>
  <c r="AK251" i="16"/>
  <c r="HA73" i="16"/>
  <c r="HA313" i="16"/>
  <c r="HA467" i="16"/>
  <c r="U67" i="9"/>
  <c r="T67" i="9" s="1"/>
  <c r="M67" i="9" s="1"/>
  <c r="BH30" i="16"/>
  <c r="R30" i="16" s="1"/>
  <c r="HA255" i="16"/>
  <c r="K67" i="9"/>
  <c r="HA369" i="16"/>
  <c r="GD16" i="16"/>
  <c r="AH342" i="16"/>
  <c r="CS342" i="16" s="1"/>
  <c r="HA437" i="16"/>
  <c r="HA257" i="16"/>
  <c r="HA423" i="16"/>
  <c r="HA397" i="16"/>
  <c r="HA341" i="16"/>
  <c r="HA47" i="16"/>
  <c r="HA227" i="16"/>
  <c r="HA383" i="16"/>
  <c r="HA199" i="16"/>
  <c r="HA339" i="16"/>
  <c r="HA173" i="16"/>
  <c r="HA89" i="16"/>
  <c r="HA117" i="16"/>
  <c r="HA409" i="16"/>
  <c r="HA355" i="16"/>
  <c r="HA201" i="16"/>
  <c r="HA271" i="16"/>
  <c r="HA115" i="16"/>
  <c r="HA439" i="16"/>
  <c r="HA101" i="16"/>
  <c r="HA241" i="16"/>
  <c r="BR104" i="16"/>
  <c r="GY103" i="16"/>
  <c r="S37" i="16"/>
  <c r="BR146" i="16"/>
  <c r="GY145" i="16"/>
  <c r="BQ328" i="16"/>
  <c r="GY325" i="16"/>
  <c r="BR62" i="16"/>
  <c r="GY61" i="16"/>
  <c r="BQ48" i="16"/>
  <c r="GY45" i="16"/>
  <c r="HA75" i="16"/>
  <c r="BQ34" i="16"/>
  <c r="GY31" i="16"/>
  <c r="S52" i="16"/>
  <c r="BR258" i="16"/>
  <c r="GY257" i="16"/>
  <c r="BR370" i="16"/>
  <c r="GY369" i="16"/>
  <c r="HA157" i="16"/>
  <c r="BR132" i="16"/>
  <c r="GY131" i="16"/>
  <c r="HA299" i="16"/>
  <c r="BR454" i="16"/>
  <c r="GY453" i="16"/>
  <c r="BQ384" i="16"/>
  <c r="GY381" i="16"/>
  <c r="BR314" i="16"/>
  <c r="GY313" i="16"/>
  <c r="BQ174" i="16"/>
  <c r="GY171" i="16"/>
  <c r="BQ216" i="16"/>
  <c r="GY213" i="16"/>
  <c r="BQ286" i="16"/>
  <c r="GY283" i="16"/>
  <c r="HA285" i="16"/>
  <c r="BR286" i="16"/>
  <c r="GY285" i="16"/>
  <c r="BR160" i="16"/>
  <c r="GY159" i="16"/>
  <c r="BQ230" i="16"/>
  <c r="GY227" i="16"/>
  <c r="BR244" i="16"/>
  <c r="GY243" i="16"/>
  <c r="BR398" i="16"/>
  <c r="GY397" i="16"/>
  <c r="HA59" i="16"/>
  <c r="BQ76" i="16"/>
  <c r="GY73" i="16"/>
  <c r="HA87" i="16"/>
  <c r="HA33" i="16"/>
  <c r="D52" i="16"/>
  <c r="HA411" i="16"/>
  <c r="BR230" i="16"/>
  <c r="GY229" i="16"/>
  <c r="BR300" i="16"/>
  <c r="GY299" i="16"/>
  <c r="BQ454" i="16"/>
  <c r="GY451" i="16"/>
  <c r="HA453" i="16"/>
  <c r="BR384" i="16"/>
  <c r="GY383" i="16"/>
  <c r="BQ398" i="16"/>
  <c r="GY395" i="16"/>
  <c r="BQ342" i="16"/>
  <c r="GY339" i="16"/>
  <c r="BQ314" i="16"/>
  <c r="GY311" i="16"/>
  <c r="BR216" i="16"/>
  <c r="GY215" i="16"/>
  <c r="BQ146" i="16"/>
  <c r="GY143" i="16"/>
  <c r="BR328" i="16"/>
  <c r="GY327" i="16"/>
  <c r="AH257" i="16"/>
  <c r="GR255" i="16" s="1"/>
  <c r="GT255" i="16"/>
  <c r="GT256" i="16" s="1"/>
  <c r="BR202" i="16"/>
  <c r="GY201" i="16"/>
  <c r="BR188" i="16"/>
  <c r="GY187" i="16"/>
  <c r="E132" i="16"/>
  <c r="GV129" i="16"/>
  <c r="GZ129" i="16" s="1"/>
  <c r="BQ62" i="16"/>
  <c r="GY59" i="16"/>
  <c r="BQ90" i="16"/>
  <c r="GY87" i="16"/>
  <c r="D51" i="16"/>
  <c r="HA367" i="16"/>
  <c r="BQ188" i="16"/>
  <c r="GY185" i="16"/>
  <c r="HA185" i="16"/>
  <c r="BQ132" i="16"/>
  <c r="GY129" i="16"/>
  <c r="BQ300" i="16"/>
  <c r="GY297" i="16"/>
  <c r="HA381" i="16"/>
  <c r="HA395" i="16"/>
  <c r="BR342" i="16"/>
  <c r="GY341" i="16"/>
  <c r="BQ356" i="16"/>
  <c r="GY353" i="16"/>
  <c r="BQ468" i="16"/>
  <c r="GY465" i="16"/>
  <c r="BR468" i="16"/>
  <c r="GY467" i="16"/>
  <c r="HA171" i="16"/>
  <c r="HA215" i="16"/>
  <c r="HA145" i="16"/>
  <c r="HA269" i="16"/>
  <c r="BR272" i="16"/>
  <c r="GY271" i="16"/>
  <c r="BQ272" i="16"/>
  <c r="GY269" i="16"/>
  <c r="S178" i="16"/>
  <c r="GD170" i="16"/>
  <c r="AH62" i="16"/>
  <c r="CS62" i="16" s="1"/>
  <c r="GX59" i="16"/>
  <c r="GX60" i="16" s="1"/>
  <c r="HM59" i="16" s="1"/>
  <c r="AH300" i="16"/>
  <c r="CS300" i="16" s="1"/>
  <c r="GX297" i="16"/>
  <c r="GX298" i="16" s="1"/>
  <c r="HM297" i="16" s="1"/>
  <c r="E174" i="16"/>
  <c r="GV171" i="16"/>
  <c r="GZ171" i="16" s="1"/>
  <c r="BQ118" i="16"/>
  <c r="GY115" i="16"/>
  <c r="BQ258" i="16"/>
  <c r="GY255" i="16"/>
  <c r="HA187" i="16"/>
  <c r="HA159" i="16"/>
  <c r="HA229" i="16"/>
  <c r="BQ426" i="16"/>
  <c r="GY423" i="16"/>
  <c r="BQ244" i="16"/>
  <c r="GY241" i="16"/>
  <c r="HA311" i="16"/>
  <c r="BR440" i="16"/>
  <c r="GY439" i="16"/>
  <c r="BR174" i="16"/>
  <c r="GY173" i="16"/>
  <c r="HA143" i="16"/>
  <c r="HA31" i="16"/>
  <c r="BH44" i="16"/>
  <c r="R44" i="16" s="1"/>
  <c r="S51" i="16"/>
  <c r="BQ412" i="16"/>
  <c r="GY409" i="16"/>
  <c r="E160" i="16"/>
  <c r="GV157" i="16"/>
  <c r="GZ157" i="16" s="1"/>
  <c r="HA131" i="16"/>
  <c r="HA425" i="16"/>
  <c r="HA213" i="16"/>
  <c r="HA327" i="16"/>
  <c r="BQ370" i="16"/>
  <c r="GY367" i="16"/>
  <c r="BR356" i="16"/>
  <c r="GY355" i="16"/>
  <c r="GD30" i="16"/>
  <c r="BR118" i="16"/>
  <c r="GY117" i="16"/>
  <c r="HA45" i="16"/>
  <c r="BQ104" i="16"/>
  <c r="GY101" i="16"/>
  <c r="BR48" i="16"/>
  <c r="GY47" i="16"/>
  <c r="BR76" i="16"/>
  <c r="GY75" i="16"/>
  <c r="BR90" i="16"/>
  <c r="GY89" i="16"/>
  <c r="BR34" i="16"/>
  <c r="GY33" i="16"/>
  <c r="AA52" i="16"/>
  <c r="BR412" i="16"/>
  <c r="GY411" i="16"/>
  <c r="BQ160" i="16"/>
  <c r="GY157" i="16"/>
  <c r="BR426" i="16"/>
  <c r="GY425" i="16"/>
  <c r="BQ202" i="16"/>
  <c r="GY199" i="16"/>
  <c r="HA353" i="16"/>
  <c r="BQ440" i="16"/>
  <c r="GY437" i="16"/>
  <c r="E146" i="16"/>
  <c r="GV143" i="16"/>
  <c r="GZ143" i="16" s="1"/>
  <c r="HA283" i="16"/>
  <c r="HA325" i="16"/>
  <c r="AH271" i="16"/>
  <c r="GR269" i="16" s="1"/>
  <c r="GT269" i="16"/>
  <c r="GT270" i="16" s="1"/>
  <c r="O65" i="9"/>
  <c r="BF65" i="9"/>
  <c r="BG65" i="9" s="1"/>
  <c r="BL65" i="9" s="1"/>
  <c r="BM65" i="9" s="1"/>
  <c r="AH103" i="16"/>
  <c r="GR101" i="16" s="1"/>
  <c r="AH355" i="16"/>
  <c r="GR353" i="16" s="1"/>
  <c r="AH286" i="16"/>
  <c r="CS286" i="16" s="1"/>
  <c r="AH90" i="16"/>
  <c r="CS90" i="16" s="1"/>
  <c r="AS94" i="13"/>
  <c r="U87" i="11"/>
  <c r="T87" i="11" s="1"/>
  <c r="M87" i="11" s="1"/>
  <c r="O87" i="11" s="1"/>
  <c r="U45" i="11"/>
  <c r="T45" i="11" s="1"/>
  <c r="M45" i="11" s="1"/>
  <c r="BH45" i="11" s="1"/>
  <c r="BI45" i="11" s="1"/>
  <c r="BJ45" i="11" s="1"/>
  <c r="AR92" i="13"/>
  <c r="U85" i="9"/>
  <c r="T85" i="9" s="1"/>
  <c r="AS92" i="13"/>
  <c r="U85" i="11"/>
  <c r="T85" i="11" s="1"/>
  <c r="O32" i="13"/>
  <c r="U25" i="11"/>
  <c r="T25" i="11" s="1"/>
  <c r="M25" i="11" s="1"/>
  <c r="AR70" i="13"/>
  <c r="U42" i="13"/>
  <c r="AK55" i="16"/>
  <c r="AH454" i="16"/>
  <c r="CS454" i="16" s="1"/>
  <c r="D178" i="16"/>
  <c r="AS44" i="13"/>
  <c r="AA178" i="16"/>
  <c r="AR84" i="13"/>
  <c r="D102" i="13"/>
  <c r="BG170" i="16"/>
  <c r="C170" i="16" s="1"/>
  <c r="S177" i="16"/>
  <c r="U114" i="13"/>
  <c r="AK69" i="16"/>
  <c r="AH215" i="16"/>
  <c r="AH314" i="16"/>
  <c r="D177" i="16"/>
  <c r="BH170" i="16"/>
  <c r="R170" i="16" s="1"/>
  <c r="AH453" i="16"/>
  <c r="U40" i="13"/>
  <c r="BY383" i="16"/>
  <c r="BZ383" i="16" s="1"/>
  <c r="AH76" i="16"/>
  <c r="CS76" i="16" s="1"/>
  <c r="AH89" i="16"/>
  <c r="AH117" i="16"/>
  <c r="E117" i="16" s="1"/>
  <c r="AH285" i="16"/>
  <c r="AH272" i="16"/>
  <c r="AH397" i="16"/>
  <c r="E397" i="16" s="1"/>
  <c r="AH384" i="16"/>
  <c r="D66" i="13"/>
  <c r="D60" i="13"/>
  <c r="AH244" i="16"/>
  <c r="AH383" i="16"/>
  <c r="AH188" i="16"/>
  <c r="AH243" i="16"/>
  <c r="CS243" i="16" s="1"/>
  <c r="CH355" i="16"/>
  <c r="CI355" i="16" s="1"/>
  <c r="AH327" i="16"/>
  <c r="AH426" i="16"/>
  <c r="AH61" i="16"/>
  <c r="AH47" i="16"/>
  <c r="CS47" i="16" s="1"/>
  <c r="AH75" i="16"/>
  <c r="AH34" i="16"/>
  <c r="AH201" i="16"/>
  <c r="AH356" i="16"/>
  <c r="CS356" i="16" s="1"/>
  <c r="U41" i="11"/>
  <c r="T41" i="11" s="1"/>
  <c r="M41" i="11" s="1"/>
  <c r="O41" i="11" s="1"/>
  <c r="AK349" i="16"/>
  <c r="AK461" i="16"/>
  <c r="D37" i="16"/>
  <c r="S38" i="16"/>
  <c r="U106" i="13"/>
  <c r="AK391" i="16"/>
  <c r="AK321" i="16"/>
  <c r="AK405" i="16"/>
  <c r="U110" i="13"/>
  <c r="AK419" i="16"/>
  <c r="BG30" i="16"/>
  <c r="C30" i="16" s="1"/>
  <c r="D114" i="13"/>
  <c r="D108" i="13"/>
  <c r="AA38" i="16"/>
  <c r="AK125" i="16"/>
  <c r="AK279" i="16"/>
  <c r="AK363" i="16"/>
  <c r="D48" i="13"/>
  <c r="D50" i="13"/>
  <c r="D112" i="13"/>
  <c r="AK433" i="16"/>
  <c r="AH412" i="16"/>
  <c r="AH411" i="16"/>
  <c r="AR48" i="13"/>
  <c r="AR46" i="13"/>
  <c r="AS50" i="13"/>
  <c r="U86" i="13"/>
  <c r="AS70" i="13"/>
  <c r="D86" i="13"/>
  <c r="CH356" i="16"/>
  <c r="CJ356" i="16" s="1"/>
  <c r="AH440" i="16"/>
  <c r="AK223" i="16"/>
  <c r="AR82" i="13"/>
  <c r="AR68" i="13"/>
  <c r="AR80" i="13"/>
  <c r="AI19" i="16"/>
  <c r="CU19" i="16" s="1"/>
  <c r="AS60" i="13"/>
  <c r="D106" i="13"/>
  <c r="AW19" i="16"/>
  <c r="CV19" i="16" s="1"/>
  <c r="AK307" i="16"/>
  <c r="AK181" i="16"/>
  <c r="AK139" i="16"/>
  <c r="O48" i="13"/>
  <c r="U48" i="13"/>
  <c r="D104" i="13"/>
  <c r="AK293" i="16"/>
  <c r="BU19" i="16"/>
  <c r="CH159" i="16"/>
  <c r="CJ159" i="16" s="1"/>
  <c r="AH468" i="16"/>
  <c r="CX370" i="16"/>
  <c r="CV370" i="16"/>
  <c r="GA187" i="16"/>
  <c r="BT187" i="16"/>
  <c r="CH187" i="16"/>
  <c r="FJ187" i="16"/>
  <c r="DY159" i="16"/>
  <c r="DI159" i="16"/>
  <c r="DJ159" i="16" s="1"/>
  <c r="EB159" i="16"/>
  <c r="DI202" i="16"/>
  <c r="DJ202" i="16" s="1"/>
  <c r="EB202" i="16"/>
  <c r="DY202" i="16"/>
  <c r="BR383" i="16"/>
  <c r="AZ385" i="16"/>
  <c r="AZ386" i="16" s="1"/>
  <c r="EO398" i="16"/>
  <c r="DC398" i="16"/>
  <c r="BS398" i="16"/>
  <c r="BY398" i="16"/>
  <c r="DE398" i="16"/>
  <c r="DD398" i="16"/>
  <c r="B397" i="16"/>
  <c r="FF398" i="16"/>
  <c r="AX469" i="16"/>
  <c r="AX470" i="16" s="1"/>
  <c r="GA468" i="16"/>
  <c r="FJ468" i="16"/>
  <c r="CH468" i="16"/>
  <c r="BT468" i="16"/>
  <c r="EB440" i="16"/>
  <c r="DI440" i="16"/>
  <c r="DJ440" i="16" s="1"/>
  <c r="DY440" i="16"/>
  <c r="BQ221" i="16"/>
  <c r="BK221" i="16" s="1"/>
  <c r="BK214" i="16" s="1"/>
  <c r="DX216" i="16"/>
  <c r="BN216" i="16"/>
  <c r="BP214" i="16" s="1"/>
  <c r="EN216" i="16"/>
  <c r="EA216" i="16"/>
  <c r="EM216" i="16"/>
  <c r="CH286" i="16"/>
  <c r="BT286" i="16"/>
  <c r="FJ286" i="16"/>
  <c r="GA286" i="16"/>
  <c r="DE328" i="16"/>
  <c r="FF328" i="16"/>
  <c r="BY328" i="16"/>
  <c r="EO328" i="16"/>
  <c r="BS328" i="16"/>
  <c r="B327" i="16"/>
  <c r="DD328" i="16"/>
  <c r="DC328" i="16"/>
  <c r="BR271" i="16"/>
  <c r="AZ273" i="16"/>
  <c r="AZ274" i="16" s="1"/>
  <c r="AQ19" i="16"/>
  <c r="AI259" i="16"/>
  <c r="AI260" i="16" s="1"/>
  <c r="CU258" i="16"/>
  <c r="CW258" i="16"/>
  <c r="FH257" i="16"/>
  <c r="AY259" i="16"/>
  <c r="AY260" i="16" s="1"/>
  <c r="AV257" i="16"/>
  <c r="CD263" i="16"/>
  <c r="AB257" i="16"/>
  <c r="BO257" i="16"/>
  <c r="FI257" i="16"/>
  <c r="EB257" i="16"/>
  <c r="DY257" i="16"/>
  <c r="DI257" i="16"/>
  <c r="DJ257" i="16" s="1"/>
  <c r="B411" i="16"/>
  <c r="BY411" i="16"/>
  <c r="BS411" i="16"/>
  <c r="DE411" i="16"/>
  <c r="DC411" i="16"/>
  <c r="B410" i="16"/>
  <c r="DD411" i="16"/>
  <c r="EO411" i="16"/>
  <c r="AJ413" i="16"/>
  <c r="FF411" i="16"/>
  <c r="BQ417" i="16"/>
  <c r="BK417" i="16" s="1"/>
  <c r="BK410" i="16" s="1"/>
  <c r="EA412" i="16"/>
  <c r="EM412" i="16"/>
  <c r="BN412" i="16"/>
  <c r="BP410" i="16" s="1"/>
  <c r="DX412" i="16"/>
  <c r="EN412" i="16"/>
  <c r="BR411" i="16"/>
  <c r="AZ413" i="16"/>
  <c r="AZ414" i="16" s="1"/>
  <c r="BS412" i="16"/>
  <c r="DD412" i="16"/>
  <c r="EO412" i="16"/>
  <c r="DE412" i="16"/>
  <c r="DC412" i="16"/>
  <c r="BY412" i="16"/>
  <c r="FF412" i="16"/>
  <c r="CX369" i="16"/>
  <c r="AW371" i="16"/>
  <c r="AW372" i="16" s="1"/>
  <c r="CV369" i="16"/>
  <c r="EB369" i="16"/>
  <c r="DY369" i="16"/>
  <c r="DI369" i="16"/>
  <c r="DJ369" i="16" s="1"/>
  <c r="DS188" i="16"/>
  <c r="DO188" i="16"/>
  <c r="S188" i="16" s="1"/>
  <c r="EB187" i="16"/>
  <c r="DI187" i="16"/>
  <c r="DJ187" i="16" s="1"/>
  <c r="DY187" i="16"/>
  <c r="AK189" i="16"/>
  <c r="AK190" i="16" s="1"/>
  <c r="EM187" i="16"/>
  <c r="EA187" i="16"/>
  <c r="DX187" i="16"/>
  <c r="EN187" i="16"/>
  <c r="BN187" i="16"/>
  <c r="AW189" i="16"/>
  <c r="AW190" i="16" s="1"/>
  <c r="CX187" i="16"/>
  <c r="CV187" i="16"/>
  <c r="CX159" i="16"/>
  <c r="CV159" i="16"/>
  <c r="CD165" i="16"/>
  <c r="AY161" i="16"/>
  <c r="AY162" i="16" s="1"/>
  <c r="BO159" i="16"/>
  <c r="FI159" i="16"/>
  <c r="AV159" i="16"/>
  <c r="AB159" i="16"/>
  <c r="FH159" i="16"/>
  <c r="E159" i="16"/>
  <c r="AH161" i="16"/>
  <c r="AH162" i="16" s="1"/>
  <c r="BO165" i="16" s="1"/>
  <c r="AW133" i="16"/>
  <c r="AW134" i="16" s="1"/>
  <c r="CV131" i="16"/>
  <c r="CX131" i="16"/>
  <c r="CW132" i="16"/>
  <c r="DE132" i="16"/>
  <c r="DD132" i="16"/>
  <c r="FF132" i="16"/>
  <c r="DC132" i="16"/>
  <c r="B131" i="16"/>
  <c r="CS132" i="16"/>
  <c r="BY132" i="16"/>
  <c r="BS132" i="16"/>
  <c r="EO132" i="16"/>
  <c r="CH230" i="16"/>
  <c r="DI230" i="16"/>
  <c r="DJ230" i="16" s="1"/>
  <c r="DY230" i="16"/>
  <c r="EB230" i="16"/>
  <c r="DY299" i="16"/>
  <c r="EB299" i="16"/>
  <c r="DI299" i="16"/>
  <c r="DJ299" i="16" s="1"/>
  <c r="FJ300" i="16"/>
  <c r="BT300" i="16"/>
  <c r="CH300" i="16"/>
  <c r="GA300" i="16"/>
  <c r="AX455" i="16"/>
  <c r="AX456" i="16" s="1"/>
  <c r="CH454" i="16"/>
  <c r="GA454" i="16"/>
  <c r="FJ454" i="16"/>
  <c r="BT454" i="16"/>
  <c r="BT453" i="16"/>
  <c r="FJ453" i="16"/>
  <c r="CH453" i="16"/>
  <c r="GA453" i="16"/>
  <c r="FJ425" i="16"/>
  <c r="BT425" i="16"/>
  <c r="GA425" i="16"/>
  <c r="CH425" i="16"/>
  <c r="DO426" i="16"/>
  <c r="S426" i="16" s="1"/>
  <c r="DS426" i="16"/>
  <c r="DO425" i="16"/>
  <c r="S425" i="16" s="1"/>
  <c r="DS425" i="16"/>
  <c r="BS425" i="16"/>
  <c r="DC425" i="16"/>
  <c r="BY425" i="16"/>
  <c r="B424" i="16"/>
  <c r="EO425" i="16"/>
  <c r="DD425" i="16"/>
  <c r="DE425" i="16"/>
  <c r="FF425" i="16"/>
  <c r="AI203" i="16"/>
  <c r="AI204" i="16" s="1"/>
  <c r="CU202" i="16"/>
  <c r="CW202" i="16"/>
  <c r="CW384" i="16"/>
  <c r="CU384" i="16"/>
  <c r="AY385" i="16"/>
  <c r="AY386" i="16" s="1"/>
  <c r="AB383" i="16"/>
  <c r="AV383" i="16"/>
  <c r="CD389" i="16"/>
  <c r="FH383" i="16"/>
  <c r="BO383" i="16"/>
  <c r="FI383" i="16"/>
  <c r="BQ383" i="16"/>
  <c r="AL385" i="16"/>
  <c r="AL386" i="16" s="1"/>
  <c r="DE383" i="16"/>
  <c r="B382" i="16"/>
  <c r="DD383" i="16"/>
  <c r="EO383" i="16"/>
  <c r="FF383" i="16"/>
  <c r="DC383" i="16"/>
  <c r="BS383" i="16"/>
  <c r="AJ385" i="16"/>
  <c r="BQ243" i="16"/>
  <c r="AL245" i="16"/>
  <c r="AL246" i="16" s="1"/>
  <c r="DY398" i="16"/>
  <c r="DI398" i="16"/>
  <c r="DJ398" i="16" s="1"/>
  <c r="EB398" i="16"/>
  <c r="DI397" i="16"/>
  <c r="DJ397" i="16" s="1"/>
  <c r="EB397" i="16"/>
  <c r="DY397" i="16"/>
  <c r="GA342" i="16"/>
  <c r="FJ342" i="16"/>
  <c r="BT342" i="16"/>
  <c r="CH342" i="16"/>
  <c r="DO342" i="16"/>
  <c r="S342" i="16" s="1"/>
  <c r="DS342" i="16"/>
  <c r="EB342" i="16"/>
  <c r="DY342" i="16"/>
  <c r="DI342" i="16"/>
  <c r="DJ342" i="16" s="1"/>
  <c r="AJ315" i="16"/>
  <c r="EO314" i="16"/>
  <c r="FF314" i="16"/>
  <c r="DE314" i="16"/>
  <c r="B313" i="16"/>
  <c r="BS314" i="16"/>
  <c r="DD314" i="16"/>
  <c r="DC314" i="16"/>
  <c r="BY314" i="16"/>
  <c r="EO313" i="16"/>
  <c r="DE313" i="16"/>
  <c r="DD313" i="16"/>
  <c r="DC313" i="16"/>
  <c r="BS313" i="16"/>
  <c r="B312" i="16"/>
  <c r="BY313" i="16"/>
  <c r="FF313" i="16"/>
  <c r="FF356" i="16"/>
  <c r="B355" i="16"/>
  <c r="BY356" i="16"/>
  <c r="BS356" i="16"/>
  <c r="EO356" i="16"/>
  <c r="DC356" i="16"/>
  <c r="DD356" i="16"/>
  <c r="DE356" i="16"/>
  <c r="CU355" i="16"/>
  <c r="AI357" i="16"/>
  <c r="AI358" i="16" s="1"/>
  <c r="CW355" i="16"/>
  <c r="FJ356" i="16"/>
  <c r="GA356" i="16"/>
  <c r="BT356" i="16"/>
  <c r="EA467" i="16"/>
  <c r="BN467" i="16"/>
  <c r="EN467" i="16"/>
  <c r="EM467" i="16"/>
  <c r="DX467" i="16"/>
  <c r="BQ473" i="16"/>
  <c r="BK473" i="16" s="1"/>
  <c r="BK466" i="16" s="1"/>
  <c r="AK469" i="16"/>
  <c r="AK470" i="16" s="1"/>
  <c r="CX467" i="16"/>
  <c r="AW469" i="16"/>
  <c r="AW470" i="16" s="1"/>
  <c r="CV467" i="16"/>
  <c r="FJ439" i="16"/>
  <c r="GA439" i="16"/>
  <c r="AX441" i="16"/>
  <c r="AX442" i="16" s="1"/>
  <c r="CH439" i="16"/>
  <c r="BT439" i="16"/>
  <c r="BQ445" i="16"/>
  <c r="BK445" i="16" s="1"/>
  <c r="BK438" i="16" s="1"/>
  <c r="EA439" i="16"/>
  <c r="BN439" i="16"/>
  <c r="EN439" i="16"/>
  <c r="DX439" i="16"/>
  <c r="EM439" i="16"/>
  <c r="AK441" i="16"/>
  <c r="AK442" i="16" s="1"/>
  <c r="DD440" i="16"/>
  <c r="B439" i="16"/>
  <c r="DE440" i="16"/>
  <c r="FF440" i="16"/>
  <c r="EO440" i="16"/>
  <c r="BS440" i="16"/>
  <c r="DC440" i="16"/>
  <c r="BY440" i="16"/>
  <c r="CD179" i="16"/>
  <c r="AB174" i="16"/>
  <c r="FH174" i="16"/>
  <c r="FI174" i="16"/>
  <c r="AV174" i="16"/>
  <c r="BO174" i="16"/>
  <c r="AK217" i="16"/>
  <c r="AK218" i="16" s="1"/>
  <c r="BN215" i="16"/>
  <c r="EN215" i="16"/>
  <c r="EA215" i="16"/>
  <c r="DX215" i="16"/>
  <c r="EM215" i="16"/>
  <c r="AI217" i="16"/>
  <c r="AI218" i="16" s="1"/>
  <c r="CU215" i="16"/>
  <c r="CW215" i="16"/>
  <c r="BR215" i="16"/>
  <c r="AZ217" i="16"/>
  <c r="AZ218" i="16" s="1"/>
  <c r="BQ215" i="16"/>
  <c r="AL217" i="16"/>
  <c r="AL218" i="16" s="1"/>
  <c r="CH146" i="16"/>
  <c r="CV145" i="16"/>
  <c r="AW147" i="16"/>
  <c r="AW148" i="16" s="1"/>
  <c r="CX145" i="16"/>
  <c r="DO286" i="16"/>
  <c r="S286" i="16" s="1"/>
  <c r="DS286" i="16"/>
  <c r="BR327" i="16"/>
  <c r="AZ329" i="16"/>
  <c r="AZ330" i="16" s="1"/>
  <c r="DE271" i="16"/>
  <c r="BS271" i="16"/>
  <c r="DD271" i="16"/>
  <c r="EO271" i="16"/>
  <c r="B270" i="16"/>
  <c r="AJ273" i="16"/>
  <c r="BY271" i="16"/>
  <c r="DC271" i="16"/>
  <c r="FF271" i="16"/>
  <c r="GA272" i="16"/>
  <c r="BT272" i="16"/>
  <c r="FJ272" i="16"/>
  <c r="CH272" i="16"/>
  <c r="EB272" i="16"/>
  <c r="DI272" i="16"/>
  <c r="DJ272" i="16" s="1"/>
  <c r="DY272" i="16"/>
  <c r="CV300" i="16"/>
  <c r="CX300" i="16"/>
  <c r="BR425" i="16"/>
  <c r="AZ427" i="16"/>
  <c r="AZ428" i="16" s="1"/>
  <c r="DO215" i="16"/>
  <c r="S215" i="16" s="1"/>
  <c r="DS215" i="16"/>
  <c r="U120" i="13"/>
  <c r="AK20" i="16"/>
  <c r="BR257" i="16"/>
  <c r="AZ259" i="16"/>
  <c r="AZ260" i="16" s="1"/>
  <c r="DD257" i="16"/>
  <c r="B256" i="16"/>
  <c r="BY257" i="16"/>
  <c r="EO257" i="16"/>
  <c r="BS257" i="16"/>
  <c r="DE257" i="16"/>
  <c r="DC257" i="16"/>
  <c r="FF257" i="16"/>
  <c r="CU257" i="16"/>
  <c r="CW257" i="16"/>
  <c r="DS412" i="16"/>
  <c r="DO412" i="16"/>
  <c r="S412" i="16" s="1"/>
  <c r="EA370" i="16"/>
  <c r="BN370" i="16"/>
  <c r="BP368" i="16" s="1"/>
  <c r="EN370" i="16"/>
  <c r="DX370" i="16"/>
  <c r="EM370" i="16"/>
  <c r="GA370" i="16"/>
  <c r="BT370" i="16"/>
  <c r="FJ370" i="16"/>
  <c r="CD193" i="16"/>
  <c r="AY189" i="16"/>
  <c r="AY190" i="16" s="1"/>
  <c r="AB187" i="16"/>
  <c r="FH187" i="16"/>
  <c r="BO187" i="16"/>
  <c r="AV187" i="16"/>
  <c r="FI187" i="16"/>
  <c r="DS187" i="16"/>
  <c r="DO187" i="16"/>
  <c r="S187" i="16" s="1"/>
  <c r="DO160" i="16"/>
  <c r="S160" i="16" s="1"/>
  <c r="DS160" i="16"/>
  <c r="EN159" i="16"/>
  <c r="BN159" i="16"/>
  <c r="EA159" i="16"/>
  <c r="DX159" i="16"/>
  <c r="AK161" i="16"/>
  <c r="AK162" i="16" s="1"/>
  <c r="EM159" i="16"/>
  <c r="BQ165" i="16"/>
  <c r="BK165" i="16" s="1"/>
  <c r="BK158" i="16" s="1"/>
  <c r="DD160" i="16"/>
  <c r="EO160" i="16"/>
  <c r="DC160" i="16"/>
  <c r="FF160" i="16"/>
  <c r="BY160" i="16"/>
  <c r="DE160" i="16"/>
  <c r="CS160" i="16"/>
  <c r="B159" i="16"/>
  <c r="BS160" i="16"/>
  <c r="FI131" i="16"/>
  <c r="FH131" i="16"/>
  <c r="BO131" i="16"/>
  <c r="AV131" i="16"/>
  <c r="AY133" i="16"/>
  <c r="AY134" i="16" s="1"/>
  <c r="AB131" i="16"/>
  <c r="CD137" i="16"/>
  <c r="EB131" i="16"/>
  <c r="DY131" i="16"/>
  <c r="DI131" i="16"/>
  <c r="DJ131" i="16" s="1"/>
  <c r="DS132" i="16"/>
  <c r="DO132" i="16"/>
  <c r="S132" i="16" s="1"/>
  <c r="AJ133" i="16"/>
  <c r="B130" i="16"/>
  <c r="EO131" i="16"/>
  <c r="DE131" i="16"/>
  <c r="DD131" i="16"/>
  <c r="DC131" i="16"/>
  <c r="BY131" i="16"/>
  <c r="BS131" i="16"/>
  <c r="FF131" i="16"/>
  <c r="CS131" i="16"/>
  <c r="EA230" i="16"/>
  <c r="BN230" i="16"/>
  <c r="BP228" i="16" s="1"/>
  <c r="EN230" i="16"/>
  <c r="EM230" i="16"/>
  <c r="DX230" i="16"/>
  <c r="BQ229" i="16"/>
  <c r="AL231" i="16"/>
  <c r="AL232" i="16" s="1"/>
  <c r="CS229" i="16"/>
  <c r="DD229" i="16"/>
  <c r="BY229" i="16"/>
  <c r="FF229" i="16"/>
  <c r="EO229" i="16"/>
  <c r="BS229" i="16"/>
  <c r="DE229" i="16"/>
  <c r="AJ231" i="16"/>
  <c r="DC229" i="16"/>
  <c r="B228" i="16"/>
  <c r="DO229" i="16"/>
  <c r="S229" i="16" s="1"/>
  <c r="DS229" i="16"/>
  <c r="GA230" i="16"/>
  <c r="FJ230" i="16"/>
  <c r="BT230" i="16"/>
  <c r="FI300" i="16"/>
  <c r="AB300" i="16"/>
  <c r="FH300" i="16"/>
  <c r="BO300" i="16"/>
  <c r="AV300" i="16"/>
  <c r="DS299" i="16"/>
  <c r="DO299" i="16"/>
  <c r="S299" i="16" s="1"/>
  <c r="AW301" i="16"/>
  <c r="AW302" i="16" s="1"/>
  <c r="CX299" i="16"/>
  <c r="CV299" i="16"/>
  <c r="CV454" i="16"/>
  <c r="CX454" i="16"/>
  <c r="AI455" i="16"/>
  <c r="AI456" i="16" s="1"/>
  <c r="CW453" i="16"/>
  <c r="CU453" i="16"/>
  <c r="CV426" i="16"/>
  <c r="CX426" i="16"/>
  <c r="BQ431" i="16"/>
  <c r="BK431" i="16" s="1"/>
  <c r="BK424" i="16" s="1"/>
  <c r="BN425" i="16"/>
  <c r="EN425" i="16"/>
  <c r="EA425" i="16"/>
  <c r="AK427" i="16"/>
  <c r="AK428" i="16" s="1"/>
  <c r="EM425" i="16"/>
  <c r="DX425" i="16"/>
  <c r="EN201" i="16"/>
  <c r="EM201" i="16"/>
  <c r="AK203" i="16"/>
  <c r="AK204" i="16" s="1"/>
  <c r="BQ207" i="16"/>
  <c r="BK207" i="16" s="1"/>
  <c r="BK200" i="16" s="1"/>
  <c r="DX201" i="16"/>
  <c r="BN201" i="16"/>
  <c r="EA201" i="16"/>
  <c r="BT202" i="16"/>
  <c r="CH202" i="16"/>
  <c r="FJ202" i="16"/>
  <c r="GA202" i="16"/>
  <c r="GA201" i="16"/>
  <c r="FJ201" i="16"/>
  <c r="BT201" i="16"/>
  <c r="AX203" i="16"/>
  <c r="AX204" i="16" s="1"/>
  <c r="DI383" i="16"/>
  <c r="DJ383" i="16" s="1"/>
  <c r="EB383" i="16"/>
  <c r="DY383" i="16"/>
  <c r="CU383" i="16"/>
  <c r="AI385" i="16"/>
  <c r="AI386" i="16" s="1"/>
  <c r="CW383" i="16"/>
  <c r="DS384" i="16"/>
  <c r="DO384" i="16"/>
  <c r="S384" i="16" s="1"/>
  <c r="BY243" i="16"/>
  <c r="EO243" i="16"/>
  <c r="DC243" i="16"/>
  <c r="DE243" i="16"/>
  <c r="BS243" i="16"/>
  <c r="FF243" i="16"/>
  <c r="DD243" i="16"/>
  <c r="AJ245" i="16"/>
  <c r="B242" i="16"/>
  <c r="DD244" i="16"/>
  <c r="FF244" i="16"/>
  <c r="EO244" i="16"/>
  <c r="BS244" i="16"/>
  <c r="DE244" i="16"/>
  <c r="B243" i="16"/>
  <c r="DC244" i="16"/>
  <c r="CW244" i="16"/>
  <c r="CU244" i="16"/>
  <c r="BR397" i="16"/>
  <c r="AZ399" i="16"/>
  <c r="AZ400" i="16" s="1"/>
  <c r="AW343" i="16"/>
  <c r="AW344" i="16" s="1"/>
  <c r="CX341" i="16"/>
  <c r="CV341" i="16"/>
  <c r="BQ341" i="16"/>
  <c r="AL343" i="16"/>
  <c r="AL344" i="16" s="1"/>
  <c r="FI342" i="16"/>
  <c r="FH342" i="16"/>
  <c r="BO342" i="16"/>
  <c r="AV342" i="16"/>
  <c r="AB342" i="16"/>
  <c r="BR313" i="16"/>
  <c r="AZ315" i="16"/>
  <c r="AZ316" i="16" s="1"/>
  <c r="BT314" i="16"/>
  <c r="CH314" i="16"/>
  <c r="GA314" i="16"/>
  <c r="FJ314" i="16"/>
  <c r="EM313" i="16"/>
  <c r="BQ319" i="16"/>
  <c r="BK319" i="16" s="1"/>
  <c r="BK312" i="16" s="1"/>
  <c r="EA313" i="16"/>
  <c r="AK315" i="16"/>
  <c r="AK316" i="16" s="1"/>
  <c r="BN313" i="16"/>
  <c r="EN313" i="16"/>
  <c r="DX313" i="16"/>
  <c r="CX356" i="16"/>
  <c r="CV356" i="16"/>
  <c r="DD355" i="16"/>
  <c r="BS355" i="16"/>
  <c r="BY355" i="16"/>
  <c r="EO355" i="16"/>
  <c r="DE355" i="16"/>
  <c r="AJ357" i="16"/>
  <c r="FF355" i="16"/>
  <c r="DC355" i="16"/>
  <c r="B354" i="16"/>
  <c r="AI469" i="16"/>
  <c r="AI470" i="16" s="1"/>
  <c r="CU467" i="16"/>
  <c r="CW467" i="16"/>
  <c r="CX468" i="16"/>
  <c r="CV468" i="16"/>
  <c r="BQ467" i="16"/>
  <c r="AL469" i="16"/>
  <c r="AL470" i="16" s="1"/>
  <c r="BS468" i="16"/>
  <c r="BY468" i="16"/>
  <c r="EO468" i="16"/>
  <c r="DC468" i="16"/>
  <c r="DE468" i="16"/>
  <c r="DD468" i="16"/>
  <c r="FF468" i="16"/>
  <c r="B467" i="16"/>
  <c r="AW441" i="16"/>
  <c r="AW442" i="16" s="1"/>
  <c r="CX439" i="16"/>
  <c r="CV439" i="16"/>
  <c r="CD151" i="16"/>
  <c r="BO145" i="16"/>
  <c r="AY147" i="16"/>
  <c r="AY148" i="16" s="1"/>
  <c r="AV145" i="16"/>
  <c r="AB145" i="16"/>
  <c r="FI145" i="16"/>
  <c r="FH145" i="16"/>
  <c r="CU146" i="16"/>
  <c r="CW146" i="16"/>
  <c r="BN145" i="16"/>
  <c r="EM145" i="16"/>
  <c r="EA145" i="16"/>
  <c r="DX145" i="16"/>
  <c r="EN145" i="16"/>
  <c r="BQ151" i="16"/>
  <c r="BK151" i="16" s="1"/>
  <c r="BK144" i="16" s="1"/>
  <c r="AK147" i="16"/>
  <c r="AK148" i="16" s="1"/>
  <c r="EB285" i="16"/>
  <c r="DY285" i="16"/>
  <c r="DI285" i="16"/>
  <c r="DJ285" i="16" s="1"/>
  <c r="AJ287" i="16"/>
  <c r="EO285" i="16"/>
  <c r="BS285" i="16"/>
  <c r="DD285" i="16"/>
  <c r="BY285" i="16"/>
  <c r="B284" i="16"/>
  <c r="DC285" i="16"/>
  <c r="FF285" i="16"/>
  <c r="DE285" i="16"/>
  <c r="DY327" i="16"/>
  <c r="DI327" i="16"/>
  <c r="DJ327" i="16" s="1"/>
  <c r="EB327" i="16"/>
  <c r="EB328" i="16"/>
  <c r="DY328" i="16"/>
  <c r="DI328" i="16"/>
  <c r="DJ328" i="16" s="1"/>
  <c r="AJ329" i="16"/>
  <c r="B326" i="16"/>
  <c r="EO327" i="16"/>
  <c r="DE327" i="16"/>
  <c r="DD327" i="16"/>
  <c r="DC327" i="16"/>
  <c r="BY327" i="16"/>
  <c r="BS327" i="16"/>
  <c r="FF327" i="16"/>
  <c r="AX273" i="16"/>
  <c r="AX274" i="16" s="1"/>
  <c r="GA271" i="16"/>
  <c r="FJ271" i="16"/>
  <c r="CH271" i="16"/>
  <c r="BT271" i="16"/>
  <c r="BS272" i="16"/>
  <c r="DD272" i="16"/>
  <c r="DC272" i="16"/>
  <c r="FF272" i="16"/>
  <c r="B271" i="16"/>
  <c r="EO272" i="16"/>
  <c r="DE272" i="16"/>
  <c r="BY272" i="16"/>
  <c r="AB412" i="16"/>
  <c r="FI412" i="16"/>
  <c r="AV412" i="16"/>
  <c r="BO412" i="16"/>
  <c r="FH412" i="16"/>
  <c r="DS370" i="16"/>
  <c r="DO370" i="16"/>
  <c r="S370" i="16" s="1"/>
  <c r="AX189" i="16"/>
  <c r="AX190" i="16" s="1"/>
  <c r="FJ188" i="16"/>
  <c r="GA188" i="16"/>
  <c r="CH188" i="16"/>
  <c r="BT188" i="16"/>
  <c r="DY454" i="16"/>
  <c r="EB454" i="16"/>
  <c r="DI454" i="16"/>
  <c r="DJ454" i="16" s="1"/>
  <c r="DS244" i="16"/>
  <c r="DO244" i="16"/>
  <c r="S244" i="16" s="1"/>
  <c r="FH314" i="16"/>
  <c r="BO314" i="16"/>
  <c r="AV314" i="16"/>
  <c r="AB314" i="16"/>
  <c r="FI314" i="16"/>
  <c r="DS468" i="16"/>
  <c r="DO468" i="16"/>
  <c r="S468" i="16" s="1"/>
  <c r="K21" i="11"/>
  <c r="AC20" i="16"/>
  <c r="AJ259" i="16"/>
  <c r="DC258" i="16"/>
  <c r="EO258" i="16"/>
  <c r="BS258" i="16"/>
  <c r="DE258" i="16"/>
  <c r="FF258" i="16"/>
  <c r="BY258" i="16"/>
  <c r="B257" i="16"/>
  <c r="DD258" i="16"/>
  <c r="CV257" i="16"/>
  <c r="AW259" i="16"/>
  <c r="AW260" i="16" s="1"/>
  <c r="CX257" i="16"/>
  <c r="CV411" i="16"/>
  <c r="AW413" i="16"/>
  <c r="AW414" i="16" s="1"/>
  <c r="AL371" i="16"/>
  <c r="AL372" i="16" s="1"/>
  <c r="BQ369" i="16"/>
  <c r="CD375" i="16"/>
  <c r="AV369" i="16"/>
  <c r="FI369" i="16"/>
  <c r="AY371" i="16"/>
  <c r="AY372" i="16" s="1"/>
  <c r="FH369" i="16"/>
  <c r="BO369" i="16"/>
  <c r="AB369" i="16"/>
  <c r="AB370" i="16"/>
  <c r="BO370" i="16"/>
  <c r="FI370" i="16"/>
  <c r="FH370" i="16"/>
  <c r="AV370" i="16"/>
  <c r="BQ193" i="16"/>
  <c r="BK193" i="16" s="1"/>
  <c r="BK186" i="16" s="1"/>
  <c r="EM188" i="16"/>
  <c r="DX188" i="16"/>
  <c r="EA188" i="16"/>
  <c r="EN188" i="16"/>
  <c r="BN188" i="16"/>
  <c r="BP186" i="16" s="1"/>
  <c r="AJ189" i="16"/>
  <c r="FF187" i="16"/>
  <c r="BS187" i="16"/>
  <c r="DC187" i="16"/>
  <c r="DE187" i="16"/>
  <c r="EO187" i="16"/>
  <c r="B186" i="16"/>
  <c r="DD187" i="16"/>
  <c r="BY187" i="16"/>
  <c r="AW161" i="16"/>
  <c r="AW162" i="16" s="1"/>
  <c r="CV160" i="16"/>
  <c r="CX160" i="16"/>
  <c r="DS159" i="16"/>
  <c r="DO159" i="16"/>
  <c r="S159" i="16" s="1"/>
  <c r="DX160" i="16"/>
  <c r="EN160" i="16"/>
  <c r="BN160" i="16"/>
  <c r="BP158" i="16" s="1"/>
  <c r="EA160" i="16"/>
  <c r="EM160" i="16"/>
  <c r="GA132" i="16"/>
  <c r="BT132" i="16"/>
  <c r="CH132" i="16"/>
  <c r="FJ132" i="16"/>
  <c r="AI231" i="16"/>
  <c r="AI232" i="16" s="1"/>
  <c r="CW229" i="16"/>
  <c r="CU229" i="16"/>
  <c r="CU230" i="16"/>
  <c r="CW230" i="16"/>
  <c r="DC300" i="16"/>
  <c r="B299" i="16"/>
  <c r="BY300" i="16"/>
  <c r="DD300" i="16"/>
  <c r="FF300" i="16"/>
  <c r="BS300" i="16"/>
  <c r="DE300" i="16"/>
  <c r="EO300" i="16"/>
  <c r="AK301" i="16"/>
  <c r="AK302" i="16" s="1"/>
  <c r="EA299" i="16"/>
  <c r="BN299" i="16"/>
  <c r="DX299" i="16"/>
  <c r="EN299" i="16"/>
  <c r="BQ305" i="16"/>
  <c r="BK305" i="16" s="1"/>
  <c r="BK298" i="16" s="1"/>
  <c r="EM299" i="16"/>
  <c r="AI301" i="16"/>
  <c r="AI302" i="16" s="1"/>
  <c r="CU299" i="16"/>
  <c r="CW299" i="16"/>
  <c r="AY301" i="16"/>
  <c r="AY302" i="16" s="1"/>
  <c r="AV299" i="16"/>
  <c r="BO299" i="16"/>
  <c r="FI299" i="16"/>
  <c r="FH299" i="16"/>
  <c r="AB299" i="16"/>
  <c r="CD305" i="16"/>
  <c r="DI453" i="16"/>
  <c r="DJ453" i="16" s="1"/>
  <c r="EB453" i="16"/>
  <c r="DY453" i="16"/>
  <c r="DO454" i="16"/>
  <c r="S454" i="16" s="1"/>
  <c r="DS454" i="16"/>
  <c r="CU454" i="16"/>
  <c r="CW454" i="16"/>
  <c r="EN426" i="16"/>
  <c r="BN426" i="16"/>
  <c r="BP424" i="16" s="1"/>
  <c r="EM426" i="16"/>
  <c r="EA426" i="16"/>
  <c r="DX426" i="16"/>
  <c r="AX427" i="16"/>
  <c r="AX428" i="16" s="1"/>
  <c r="GA426" i="16"/>
  <c r="CH426" i="16"/>
  <c r="BT426" i="16"/>
  <c r="FJ426" i="16"/>
  <c r="CV202" i="16"/>
  <c r="CX202" i="16"/>
  <c r="BS202" i="16"/>
  <c r="BY202" i="16"/>
  <c r="B201" i="16"/>
  <c r="DD202" i="16"/>
  <c r="DC202" i="16"/>
  <c r="DE202" i="16"/>
  <c r="EO202" i="16"/>
  <c r="FF202" i="16"/>
  <c r="BO201" i="16"/>
  <c r="AB201" i="16"/>
  <c r="FI201" i="16"/>
  <c r="AY203" i="16"/>
  <c r="AY204" i="16" s="1"/>
  <c r="FH201" i="16"/>
  <c r="CD207" i="16"/>
  <c r="AV201" i="16"/>
  <c r="DX383" i="16"/>
  <c r="AK385" i="16"/>
  <c r="AK386" i="16" s="1"/>
  <c r="EA383" i="16"/>
  <c r="BN383" i="16"/>
  <c r="EN383" i="16"/>
  <c r="BQ389" i="16"/>
  <c r="BK389" i="16" s="1"/>
  <c r="BK382" i="16" s="1"/>
  <c r="EM383" i="16"/>
  <c r="DD384" i="16"/>
  <c r="DC384" i="16"/>
  <c r="FF384" i="16"/>
  <c r="BS384" i="16"/>
  <c r="B383" i="16"/>
  <c r="BY384" i="16"/>
  <c r="EO384" i="16"/>
  <c r="DE384" i="16"/>
  <c r="EN384" i="16"/>
  <c r="BN384" i="16"/>
  <c r="BP382" i="16" s="1"/>
  <c r="EM384" i="16"/>
  <c r="EA384" i="16"/>
  <c r="DX384" i="16"/>
  <c r="DO243" i="16"/>
  <c r="S243" i="16" s="1"/>
  <c r="DS243" i="16"/>
  <c r="EB244" i="16"/>
  <c r="DY244" i="16"/>
  <c r="DI244" i="16"/>
  <c r="DJ244" i="16" s="1"/>
  <c r="EB243" i="16"/>
  <c r="DI243" i="16"/>
  <c r="DJ243" i="16" s="1"/>
  <c r="DY243" i="16"/>
  <c r="FI244" i="16"/>
  <c r="FH244" i="16"/>
  <c r="BO244" i="16"/>
  <c r="AB244" i="16"/>
  <c r="GA397" i="16"/>
  <c r="FJ397" i="16"/>
  <c r="AX399" i="16"/>
  <c r="AX400" i="16" s="1"/>
  <c r="CH397" i="16"/>
  <c r="BT397" i="16"/>
  <c r="DS397" i="16"/>
  <c r="DO397" i="16"/>
  <c r="S397" i="16" s="1"/>
  <c r="AY343" i="16"/>
  <c r="AY344" i="16" s="1"/>
  <c r="AB341" i="16"/>
  <c r="FI341" i="16"/>
  <c r="CD347" i="16"/>
  <c r="FH341" i="16"/>
  <c r="BO341" i="16"/>
  <c r="AV341" i="16"/>
  <c r="CV313" i="16"/>
  <c r="CX313" i="16"/>
  <c r="AW315" i="16"/>
  <c r="AW316" i="16" s="1"/>
  <c r="BR355" i="16"/>
  <c r="AZ357" i="16"/>
  <c r="AZ358" i="16" s="1"/>
  <c r="DS356" i="16"/>
  <c r="DO356" i="16"/>
  <c r="S356" i="16" s="1"/>
  <c r="DI468" i="16"/>
  <c r="DJ468" i="16" s="1"/>
  <c r="EB468" i="16"/>
  <c r="DY468" i="16"/>
  <c r="CD445" i="16"/>
  <c r="BO439" i="16"/>
  <c r="AB439" i="16"/>
  <c r="AY441" i="16"/>
  <c r="AY442" i="16" s="1"/>
  <c r="FH439" i="16"/>
  <c r="FI439" i="16"/>
  <c r="AV439" i="16"/>
  <c r="GR439" i="16" s="1"/>
  <c r="AV440" i="16"/>
  <c r="AB440" i="16"/>
  <c r="FI440" i="16"/>
  <c r="FH440" i="16"/>
  <c r="BO440" i="16"/>
  <c r="DY173" i="16"/>
  <c r="DI173" i="16"/>
  <c r="DJ173" i="16" s="1"/>
  <c r="EB173" i="16"/>
  <c r="BQ173" i="16"/>
  <c r="AL175" i="16"/>
  <c r="AL176" i="16" s="1"/>
  <c r="DS216" i="16"/>
  <c r="DO216" i="16"/>
  <c r="S216" i="16" s="1"/>
  <c r="AJ217" i="16"/>
  <c r="DC216" i="16"/>
  <c r="B215" i="16"/>
  <c r="FF216" i="16"/>
  <c r="BS216" i="16"/>
  <c r="DD216" i="16"/>
  <c r="BY216" i="16"/>
  <c r="DE216" i="16"/>
  <c r="EO216" i="16"/>
  <c r="CX216" i="16"/>
  <c r="CV216" i="16"/>
  <c r="AJ147" i="16"/>
  <c r="DD146" i="16"/>
  <c r="CS146" i="16"/>
  <c r="EO146" i="16"/>
  <c r="BY146" i="16"/>
  <c r="DC146" i="16"/>
  <c r="DE146" i="16"/>
  <c r="FF146" i="16"/>
  <c r="BS146" i="16"/>
  <c r="B145" i="16"/>
  <c r="BR145" i="16"/>
  <c r="AZ147" i="16"/>
  <c r="AZ148" i="16" s="1"/>
  <c r="DY145" i="16"/>
  <c r="DI145" i="16"/>
  <c r="DJ145" i="16" s="1"/>
  <c r="EB145" i="16"/>
  <c r="BT146" i="16"/>
  <c r="FJ146" i="16"/>
  <c r="GA146" i="16"/>
  <c r="BN286" i="16"/>
  <c r="BP284" i="16" s="1"/>
  <c r="EN286" i="16"/>
  <c r="DX286" i="16"/>
  <c r="EM286" i="16"/>
  <c r="EA286" i="16"/>
  <c r="AW287" i="16"/>
  <c r="AW288" i="16" s="1"/>
  <c r="CV285" i="16"/>
  <c r="CX285" i="16"/>
  <c r="CV286" i="16"/>
  <c r="CX286" i="16"/>
  <c r="CU328" i="16"/>
  <c r="CW328" i="16"/>
  <c r="FH272" i="16"/>
  <c r="AB272" i="16"/>
  <c r="BO272" i="16"/>
  <c r="FI272" i="16"/>
  <c r="DS272" i="16"/>
  <c r="DO272" i="16"/>
  <c r="S272" i="16" s="1"/>
  <c r="CU271" i="16"/>
  <c r="CW271" i="16"/>
  <c r="AI273" i="16"/>
  <c r="AI274" i="16" s="1"/>
  <c r="CX411" i="16"/>
  <c r="CH411" i="16"/>
  <c r="GA411" i="16"/>
  <c r="AX413" i="16"/>
  <c r="AX414" i="16" s="1"/>
  <c r="FJ411" i="16"/>
  <c r="BT411" i="16"/>
  <c r="CV132" i="16"/>
  <c r="CX132" i="16"/>
  <c r="BR299" i="16"/>
  <c r="AZ301" i="16"/>
  <c r="AZ302" i="16" s="1"/>
  <c r="BY397" i="16"/>
  <c r="FF397" i="16"/>
  <c r="DC397" i="16"/>
  <c r="DE397" i="16"/>
  <c r="DD397" i="16"/>
  <c r="B396" i="16"/>
  <c r="BS397" i="16"/>
  <c r="AJ399" i="16"/>
  <c r="EO397" i="16"/>
  <c r="AX315" i="16"/>
  <c r="AX316" i="16" s="1"/>
  <c r="FJ313" i="16"/>
  <c r="BT313" i="16"/>
  <c r="CH313" i="16"/>
  <c r="GA313" i="16"/>
  <c r="DI439" i="16"/>
  <c r="DJ439" i="16" s="1"/>
  <c r="DY439" i="16"/>
  <c r="EB439" i="16"/>
  <c r="AI175" i="16"/>
  <c r="AI176" i="16" s="1"/>
  <c r="CU174" i="16"/>
  <c r="CW174" i="16"/>
  <c r="DS173" i="16"/>
  <c r="DO173" i="16"/>
  <c r="S173" i="16" s="1"/>
  <c r="DS146" i="16"/>
  <c r="DO146" i="16"/>
  <c r="S146" i="16" s="1"/>
  <c r="BS145" i="16"/>
  <c r="EO145" i="16"/>
  <c r="DE145" i="16"/>
  <c r="BY145" i="16"/>
  <c r="FF145" i="16"/>
  <c r="DD145" i="16"/>
  <c r="DC145" i="16"/>
  <c r="B144" i="16"/>
  <c r="CS145" i="16"/>
  <c r="FI285" i="16"/>
  <c r="AB285" i="16"/>
  <c r="FH285" i="16"/>
  <c r="BO285" i="16"/>
  <c r="AV285" i="16"/>
  <c r="GR285" i="16" s="1"/>
  <c r="AY287" i="16"/>
  <c r="AY288" i="16" s="1"/>
  <c r="CD291" i="16"/>
  <c r="DO328" i="16"/>
  <c r="S328" i="16" s="1"/>
  <c r="DS328" i="16"/>
  <c r="CV271" i="16"/>
  <c r="CX271" i="16"/>
  <c r="AW273" i="16"/>
  <c r="AW274" i="16" s="1"/>
  <c r="CW272" i="16"/>
  <c r="CU272" i="16"/>
  <c r="BQ263" i="16"/>
  <c r="BK263" i="16" s="1"/>
  <c r="BK256" i="16" s="1"/>
  <c r="EA257" i="16"/>
  <c r="BN257" i="16"/>
  <c r="EM257" i="16"/>
  <c r="DX257" i="16"/>
  <c r="AK259" i="16"/>
  <c r="AK260" i="16" s="1"/>
  <c r="EN257" i="16"/>
  <c r="FI258" i="16"/>
  <c r="AB258" i="16"/>
  <c r="FH258" i="16"/>
  <c r="AV258" i="16"/>
  <c r="BO258" i="16"/>
  <c r="CV258" i="16"/>
  <c r="CX258" i="16"/>
  <c r="AK413" i="16"/>
  <c r="AK414" i="16" s="1"/>
  <c r="DX411" i="16"/>
  <c r="EN411" i="16"/>
  <c r="EM411" i="16"/>
  <c r="EA411" i="16"/>
  <c r="BN411" i="16"/>
  <c r="B368" i="16"/>
  <c r="BS369" i="16"/>
  <c r="DD369" i="16"/>
  <c r="FF369" i="16"/>
  <c r="AJ371" i="16"/>
  <c r="DC369" i="16"/>
  <c r="DE369" i="16"/>
  <c r="BY369" i="16"/>
  <c r="EO369" i="16"/>
  <c r="DD188" i="16"/>
  <c r="BY188" i="16"/>
  <c r="BS188" i="16"/>
  <c r="DC188" i="16"/>
  <c r="EO188" i="16"/>
  <c r="DE188" i="16"/>
  <c r="B187" i="16"/>
  <c r="FF188" i="16"/>
  <c r="DC159" i="16"/>
  <c r="EO159" i="16"/>
  <c r="B158" i="16"/>
  <c r="FF159" i="16"/>
  <c r="BY159" i="16"/>
  <c r="AJ161" i="16"/>
  <c r="CS159" i="16"/>
  <c r="DD159" i="16"/>
  <c r="BS159" i="16"/>
  <c r="DE159" i="16"/>
  <c r="CU159" i="16"/>
  <c r="CW159" i="16"/>
  <c r="AI161" i="16"/>
  <c r="AI162" i="16" s="1"/>
  <c r="CW160" i="16"/>
  <c r="CU160" i="16"/>
  <c r="BR131" i="16"/>
  <c r="AZ133" i="16"/>
  <c r="AZ134" i="16" s="1"/>
  <c r="AV132" i="16"/>
  <c r="FI132" i="16"/>
  <c r="BO132" i="16"/>
  <c r="AB132" i="16"/>
  <c r="FH132" i="16"/>
  <c r="CX230" i="16"/>
  <c r="CV230" i="16"/>
  <c r="AH230" i="16"/>
  <c r="AY231" i="16"/>
  <c r="AY232" i="16" s="1"/>
  <c r="FI230" i="16"/>
  <c r="AV230" i="16"/>
  <c r="FH230" i="16"/>
  <c r="BO230" i="16"/>
  <c r="AB230" i="16"/>
  <c r="BN229" i="16"/>
  <c r="EN229" i="16"/>
  <c r="AK231" i="16"/>
  <c r="AK232" i="16" s="1"/>
  <c r="BQ235" i="16"/>
  <c r="BK235" i="16" s="1"/>
  <c r="BK228" i="16" s="1"/>
  <c r="EM229" i="16"/>
  <c r="DX229" i="16"/>
  <c r="EA229" i="16"/>
  <c r="EN300" i="16"/>
  <c r="BN300" i="16"/>
  <c r="BP298" i="16" s="1"/>
  <c r="EA300" i="16"/>
  <c r="EM300" i="16"/>
  <c r="DX300" i="16"/>
  <c r="CW300" i="16"/>
  <c r="CU300" i="16"/>
  <c r="DS453" i="16"/>
  <c r="DO453" i="16"/>
  <c r="S453" i="16" s="1"/>
  <c r="CX453" i="16"/>
  <c r="CV453" i="16"/>
  <c r="AW455" i="16"/>
  <c r="AW456" i="16" s="1"/>
  <c r="BN453" i="16"/>
  <c r="DX453" i="16"/>
  <c r="EN453" i="16"/>
  <c r="EA453" i="16"/>
  <c r="EM453" i="16"/>
  <c r="BQ459" i="16"/>
  <c r="BK459" i="16" s="1"/>
  <c r="BK452" i="16" s="1"/>
  <c r="AK455" i="16"/>
  <c r="AK456" i="16" s="1"/>
  <c r="CX425" i="16"/>
  <c r="CV425" i="16"/>
  <c r="AW427" i="16"/>
  <c r="AW428" i="16" s="1"/>
  <c r="AH425" i="16"/>
  <c r="AI427" i="16"/>
  <c r="AI428" i="16" s="1"/>
  <c r="CU425" i="16"/>
  <c r="CW425" i="16"/>
  <c r="DO202" i="16"/>
  <c r="S202" i="16" s="1"/>
  <c r="DS202" i="16"/>
  <c r="CV201" i="16"/>
  <c r="CX201" i="16"/>
  <c r="AW203" i="16"/>
  <c r="AW204" i="16" s="1"/>
  <c r="BQ201" i="16"/>
  <c r="AL203" i="16"/>
  <c r="AL204" i="16" s="1"/>
  <c r="CX383" i="16"/>
  <c r="AX385" i="16"/>
  <c r="AX386" i="16" s="1"/>
  <c r="BT383" i="16"/>
  <c r="FJ383" i="16"/>
  <c r="GA383" i="16"/>
  <c r="CH383" i="16"/>
  <c r="FH384" i="16"/>
  <c r="BO384" i="16"/>
  <c r="AV384" i="16"/>
  <c r="AB384" i="16"/>
  <c r="FI384" i="16"/>
  <c r="AW245" i="16"/>
  <c r="AW246" i="16" s="1"/>
  <c r="CV243" i="16"/>
  <c r="CX243" i="16"/>
  <c r="BY244" i="16"/>
  <c r="AK399" i="16"/>
  <c r="AK400" i="16" s="1"/>
  <c r="EA398" i="16"/>
  <c r="BN398" i="16"/>
  <c r="BP396" i="16" s="1"/>
  <c r="EN398" i="16"/>
  <c r="EM398" i="16"/>
  <c r="DX398" i="16"/>
  <c r="EN397" i="16"/>
  <c r="BN397" i="16"/>
  <c r="BQ403" i="16"/>
  <c r="BK403" i="16" s="1"/>
  <c r="BK396" i="16" s="1"/>
  <c r="EA397" i="16"/>
  <c r="DX397" i="16"/>
  <c r="EM397" i="16"/>
  <c r="CV397" i="16"/>
  <c r="CX397" i="16"/>
  <c r="AW399" i="16"/>
  <c r="AW400" i="16" s="1"/>
  <c r="AB398" i="16"/>
  <c r="FH398" i="16"/>
  <c r="FI398" i="16"/>
  <c r="BO398" i="16"/>
  <c r="AV398" i="16"/>
  <c r="GV397" i="16" s="1"/>
  <c r="CW341" i="16"/>
  <c r="CU341" i="16"/>
  <c r="AI343" i="16"/>
  <c r="AI344" i="16" s="1"/>
  <c r="CU342" i="16"/>
  <c r="CW342" i="16"/>
  <c r="DO314" i="16"/>
  <c r="S314" i="16" s="1"/>
  <c r="DS314" i="16"/>
  <c r="CU313" i="16"/>
  <c r="CW313" i="16"/>
  <c r="DY313" i="16"/>
  <c r="DI313" i="16"/>
  <c r="DJ313" i="16" s="1"/>
  <c r="EB313" i="16"/>
  <c r="DO355" i="16"/>
  <c r="S355" i="16" s="1"/>
  <c r="DS355" i="16"/>
  <c r="FI355" i="16"/>
  <c r="AB355" i="16"/>
  <c r="CD361" i="16"/>
  <c r="BO355" i="16"/>
  <c r="FH355" i="16"/>
  <c r="AV355" i="16"/>
  <c r="GR355" i="16" s="1"/>
  <c r="AY357" i="16"/>
  <c r="AY358" i="16" s="1"/>
  <c r="FJ355" i="16"/>
  <c r="AX357" i="16"/>
  <c r="AX358" i="16" s="1"/>
  <c r="BT355" i="16"/>
  <c r="GA355" i="16"/>
  <c r="BR467" i="16"/>
  <c r="AZ469" i="16"/>
  <c r="AZ470" i="16" s="1"/>
  <c r="DO467" i="16"/>
  <c r="S467" i="16" s="1"/>
  <c r="DS467" i="16"/>
  <c r="CU468" i="16"/>
  <c r="CW468" i="16"/>
  <c r="BQ439" i="16"/>
  <c r="AL441" i="16"/>
  <c r="AL442" i="16" s="1"/>
  <c r="BR439" i="16"/>
  <c r="AZ441" i="16"/>
  <c r="AZ442" i="16" s="1"/>
  <c r="BR173" i="16"/>
  <c r="AZ175" i="16"/>
  <c r="AZ176" i="16" s="1"/>
  <c r="BT174" i="16"/>
  <c r="FJ174" i="16"/>
  <c r="CH174" i="16"/>
  <c r="GA174" i="16"/>
  <c r="FJ173" i="16"/>
  <c r="GA173" i="16"/>
  <c r="CH173" i="16"/>
  <c r="AX175" i="16"/>
  <c r="AX176" i="16" s="1"/>
  <c r="BT173" i="16"/>
  <c r="AP173" i="16"/>
  <c r="N173" i="16" s="1"/>
  <c r="AY217" i="16"/>
  <c r="AY218" i="16" s="1"/>
  <c r="CD221" i="16"/>
  <c r="FI215" i="16"/>
  <c r="FH215" i="16"/>
  <c r="BO215" i="16"/>
  <c r="AB215" i="16"/>
  <c r="AV215" i="16"/>
  <c r="GR215" i="16" s="1"/>
  <c r="CH216" i="16"/>
  <c r="BT216" i="16"/>
  <c r="FJ216" i="16"/>
  <c r="GA216" i="16"/>
  <c r="AB216" i="16"/>
  <c r="AV216" i="16"/>
  <c r="BO216" i="16"/>
  <c r="FI216" i="16"/>
  <c r="FH216" i="16"/>
  <c r="DY146" i="16"/>
  <c r="EB146" i="16"/>
  <c r="DI146" i="16"/>
  <c r="DJ146" i="16" s="1"/>
  <c r="DY286" i="16"/>
  <c r="EB286" i="16"/>
  <c r="DI286" i="16"/>
  <c r="DJ286" i="16" s="1"/>
  <c r="AI287" i="16"/>
  <c r="AI288" i="16" s="1"/>
  <c r="CU286" i="16"/>
  <c r="CW286" i="16"/>
  <c r="BR285" i="16"/>
  <c r="AZ287" i="16"/>
  <c r="AZ288" i="16" s="1"/>
  <c r="BO328" i="16"/>
  <c r="FH328" i="16"/>
  <c r="FI328" i="16"/>
  <c r="AB328" i="16"/>
  <c r="AV328" i="16"/>
  <c r="DX327" i="16"/>
  <c r="EN327" i="16"/>
  <c r="BN327" i="16"/>
  <c r="AK329" i="16"/>
  <c r="AK330" i="16" s="1"/>
  <c r="EA327" i="16"/>
  <c r="BQ333" i="16"/>
  <c r="BK333" i="16" s="1"/>
  <c r="BK326" i="16" s="1"/>
  <c r="EM327" i="16"/>
  <c r="DY271" i="16"/>
  <c r="EB271" i="16"/>
  <c r="DI271" i="16"/>
  <c r="DJ271" i="16" s="1"/>
  <c r="BQ411" i="16"/>
  <c r="AL413" i="16"/>
  <c r="AL414" i="16" s="1"/>
  <c r="CW187" i="16"/>
  <c r="CU187" i="16"/>
  <c r="BQ159" i="16"/>
  <c r="AL161" i="16"/>
  <c r="AL162" i="16" s="1"/>
  <c r="AV160" i="16"/>
  <c r="FH160" i="16"/>
  <c r="BO160" i="16"/>
  <c r="AB160" i="16"/>
  <c r="FI160" i="16"/>
  <c r="AX133" i="16"/>
  <c r="AX134" i="16" s="1"/>
  <c r="CH131" i="16"/>
  <c r="FJ131" i="16"/>
  <c r="GA131" i="16"/>
  <c r="BT131" i="16"/>
  <c r="GA229" i="16"/>
  <c r="FJ229" i="16"/>
  <c r="CH229" i="16"/>
  <c r="BT229" i="16"/>
  <c r="AX231" i="16"/>
  <c r="AX232" i="16" s="1"/>
  <c r="DO300" i="16"/>
  <c r="S300" i="16" s="1"/>
  <c r="DS300" i="16"/>
  <c r="AY455" i="16"/>
  <c r="AY456" i="16" s="1"/>
  <c r="CD459" i="16"/>
  <c r="AB453" i="16"/>
  <c r="FI453" i="16"/>
  <c r="FH453" i="16"/>
  <c r="AV453" i="16"/>
  <c r="GR453" i="16" s="1"/>
  <c r="BO453" i="16"/>
  <c r="BT243" i="16"/>
  <c r="FJ243" i="16"/>
  <c r="GA243" i="16"/>
  <c r="DD173" i="16"/>
  <c r="DE173" i="16"/>
  <c r="EO173" i="16"/>
  <c r="BY173" i="16"/>
  <c r="DC173" i="16"/>
  <c r="FF173" i="16"/>
  <c r="BS173" i="16"/>
  <c r="B172" i="16"/>
  <c r="CS173" i="16"/>
  <c r="EB216" i="16"/>
  <c r="DY216" i="16"/>
  <c r="DI216" i="16"/>
  <c r="DJ216" i="16" s="1"/>
  <c r="DS145" i="16"/>
  <c r="DO145" i="16"/>
  <c r="S145" i="16" s="1"/>
  <c r="AH48" i="16"/>
  <c r="DY258" i="16"/>
  <c r="EB258" i="16"/>
  <c r="DI258" i="16"/>
  <c r="DJ258" i="16" s="1"/>
  <c r="CU412" i="16"/>
  <c r="CW412" i="16"/>
  <c r="AB411" i="16"/>
  <c r="FI411" i="16"/>
  <c r="AY413" i="16"/>
  <c r="AY414" i="16" s="1"/>
  <c r="CD417" i="16"/>
  <c r="AV411" i="16"/>
  <c r="BO411" i="16"/>
  <c r="FH411" i="16"/>
  <c r="BR369" i="16"/>
  <c r="AZ371" i="16"/>
  <c r="AZ372" i="16" s="1"/>
  <c r="EN369" i="16"/>
  <c r="EM369" i="16"/>
  <c r="AK371" i="16"/>
  <c r="AK372" i="16" s="1"/>
  <c r="DX369" i="16"/>
  <c r="BN369" i="16"/>
  <c r="EA369" i="16"/>
  <c r="BQ375" i="16"/>
  <c r="BK375" i="16" s="1"/>
  <c r="BK368" i="16" s="1"/>
  <c r="DC370" i="16"/>
  <c r="BY370" i="16"/>
  <c r="FF370" i="16"/>
  <c r="EO370" i="16"/>
  <c r="BS370" i="16"/>
  <c r="DE370" i="16"/>
  <c r="DD370" i="16"/>
  <c r="B369" i="16"/>
  <c r="EB370" i="16"/>
  <c r="DI370" i="16"/>
  <c r="DJ370" i="16" s="1"/>
  <c r="DY370" i="16"/>
  <c r="FI188" i="16"/>
  <c r="FH188" i="16"/>
  <c r="BO188" i="16"/>
  <c r="AV188" i="16"/>
  <c r="AB188" i="16"/>
  <c r="CX188" i="16"/>
  <c r="CV188" i="16"/>
  <c r="AI189" i="16"/>
  <c r="AI190" i="16" s="1"/>
  <c r="CW188" i="16"/>
  <c r="CU188" i="16"/>
  <c r="EN132" i="16"/>
  <c r="DX132" i="16"/>
  <c r="BN132" i="16"/>
  <c r="BP130" i="16" s="1"/>
  <c r="EM132" i="16"/>
  <c r="EA132" i="16"/>
  <c r="BQ131" i="16"/>
  <c r="AL133" i="16"/>
  <c r="AL134" i="16" s="1"/>
  <c r="DO230" i="16"/>
  <c r="S230" i="16" s="1"/>
  <c r="DS230" i="16"/>
  <c r="FH229" i="16"/>
  <c r="BO229" i="16"/>
  <c r="FI229" i="16"/>
  <c r="AB229" i="16"/>
  <c r="CD235" i="16"/>
  <c r="AJ301" i="16"/>
  <c r="FF299" i="16"/>
  <c r="EO299" i="16"/>
  <c r="B298" i="16"/>
  <c r="BS299" i="16"/>
  <c r="DD299" i="16"/>
  <c r="DE299" i="16"/>
  <c r="DC299" i="16"/>
  <c r="BY299" i="16"/>
  <c r="EO453" i="16"/>
  <c r="BS453" i="16"/>
  <c r="DD453" i="16"/>
  <c r="DE453" i="16"/>
  <c r="DC453" i="16"/>
  <c r="B452" i="16"/>
  <c r="BY453" i="16"/>
  <c r="FF453" i="16"/>
  <c r="AJ455" i="16"/>
  <c r="DC454" i="16"/>
  <c r="DD454" i="16"/>
  <c r="BY454" i="16"/>
  <c r="EO454" i="16"/>
  <c r="FF454" i="16"/>
  <c r="DE454" i="16"/>
  <c r="BS454" i="16"/>
  <c r="B453" i="16"/>
  <c r="BR453" i="16"/>
  <c r="AZ455" i="16"/>
  <c r="AZ456" i="16" s="1"/>
  <c r="AY427" i="16"/>
  <c r="AY428" i="16" s="1"/>
  <c r="BO425" i="16"/>
  <c r="FI425" i="16"/>
  <c r="AV425" i="16"/>
  <c r="CD431" i="16"/>
  <c r="AB425" i="16"/>
  <c r="FH425" i="16"/>
  <c r="CW426" i="16"/>
  <c r="CU426" i="16"/>
  <c r="DY426" i="16"/>
  <c r="EB426" i="16"/>
  <c r="DI426" i="16"/>
  <c r="DJ426" i="16" s="1"/>
  <c r="AJ427" i="16"/>
  <c r="EO426" i="16"/>
  <c r="DC426" i="16"/>
  <c r="DD426" i="16"/>
  <c r="FF426" i="16"/>
  <c r="DE426" i="16"/>
  <c r="BY426" i="16"/>
  <c r="B425" i="16"/>
  <c r="BS426" i="16"/>
  <c r="EM202" i="16"/>
  <c r="DX202" i="16"/>
  <c r="EN202" i="16"/>
  <c r="BN202" i="16"/>
  <c r="BP200" i="16" s="1"/>
  <c r="EA202" i="16"/>
  <c r="CH201" i="16"/>
  <c r="AH202" i="16"/>
  <c r="BR201" i="16"/>
  <c r="AZ203" i="16"/>
  <c r="AZ204" i="16" s="1"/>
  <c r="CV383" i="16"/>
  <c r="AW385" i="16"/>
  <c r="AW386" i="16" s="1"/>
  <c r="FJ384" i="16"/>
  <c r="BT384" i="16"/>
  <c r="GA384" i="16"/>
  <c r="CH384" i="16"/>
  <c r="BR243" i="16"/>
  <c r="AZ245" i="16"/>
  <c r="AZ246" i="16" s="1"/>
  <c r="CW397" i="16"/>
  <c r="CU397" i="16"/>
  <c r="AI399" i="16"/>
  <c r="AI400" i="16" s="1"/>
  <c r="FJ398" i="16"/>
  <c r="CH398" i="16"/>
  <c r="BT398" i="16"/>
  <c r="GA398" i="16"/>
  <c r="CH341" i="16"/>
  <c r="GA341" i="16"/>
  <c r="FJ341" i="16"/>
  <c r="AX343" i="16"/>
  <c r="AX344" i="16" s="1"/>
  <c r="BT341" i="16"/>
  <c r="BR341" i="16"/>
  <c r="AZ343" i="16"/>
  <c r="AZ344" i="16" s="1"/>
  <c r="B340" i="16"/>
  <c r="DE341" i="16"/>
  <c r="FF341" i="16"/>
  <c r="DD341" i="16"/>
  <c r="BY341" i="16"/>
  <c r="AJ343" i="16"/>
  <c r="DC341" i="16"/>
  <c r="BS341" i="16"/>
  <c r="EO341" i="16"/>
  <c r="AI315" i="16"/>
  <c r="AI316" i="16" s="1"/>
  <c r="CW314" i="16"/>
  <c r="CU314" i="16"/>
  <c r="DS313" i="16"/>
  <c r="DO313" i="16"/>
  <c r="S313" i="16" s="1"/>
  <c r="CU356" i="16"/>
  <c r="CW356" i="16"/>
  <c r="BQ355" i="16"/>
  <c r="AL357" i="16"/>
  <c r="AL358" i="16" s="1"/>
  <c r="FJ467" i="16"/>
  <c r="CH467" i="16"/>
  <c r="BT467" i="16"/>
  <c r="GA467" i="16"/>
  <c r="DS439" i="16"/>
  <c r="DO439" i="16"/>
  <c r="S439" i="16" s="1"/>
  <c r="CX440" i="16"/>
  <c r="GA440" i="16"/>
  <c r="CH440" i="16"/>
  <c r="BT440" i="16"/>
  <c r="FJ440" i="16"/>
  <c r="E173" i="16"/>
  <c r="AH175" i="16"/>
  <c r="AH176" i="16" s="1"/>
  <c r="BO179" i="16" s="1"/>
  <c r="AJ175" i="16"/>
  <c r="CS174" i="16"/>
  <c r="DD174" i="16"/>
  <c r="BY174" i="16"/>
  <c r="B173" i="16"/>
  <c r="DC174" i="16"/>
  <c r="FF174" i="16"/>
  <c r="BS174" i="16"/>
  <c r="DE174" i="16"/>
  <c r="EO174" i="16"/>
  <c r="BN173" i="16"/>
  <c r="AK175" i="16"/>
  <c r="AK176" i="16" s="1"/>
  <c r="BQ179" i="16"/>
  <c r="BK179" i="16" s="1"/>
  <c r="BK172" i="16" s="1"/>
  <c r="EA173" i="16"/>
  <c r="EN173" i="16"/>
  <c r="EM173" i="16"/>
  <c r="DX173" i="16"/>
  <c r="BN174" i="16"/>
  <c r="BP172" i="16" s="1"/>
  <c r="DX174" i="16"/>
  <c r="EN174" i="16"/>
  <c r="EM174" i="16"/>
  <c r="EA174" i="16"/>
  <c r="FJ215" i="16"/>
  <c r="CH215" i="16"/>
  <c r="BT215" i="16"/>
  <c r="GA215" i="16"/>
  <c r="AX217" i="16"/>
  <c r="AX218" i="16" s="1"/>
  <c r="AP145" i="16"/>
  <c r="N145" i="16" s="1"/>
  <c r="BQ145" i="16"/>
  <c r="AL147" i="16"/>
  <c r="AL148" i="16" s="1"/>
  <c r="AB146" i="16"/>
  <c r="BO146" i="16"/>
  <c r="FI146" i="16"/>
  <c r="AV146" i="16"/>
  <c r="FH146" i="16"/>
  <c r="FJ285" i="16"/>
  <c r="GA285" i="16"/>
  <c r="BT285" i="16"/>
  <c r="AX287" i="16"/>
  <c r="AX288" i="16" s="1"/>
  <c r="CH285" i="16"/>
  <c r="CU285" i="16"/>
  <c r="CW285" i="16"/>
  <c r="BQ285" i="16"/>
  <c r="AL287" i="16"/>
  <c r="AL288" i="16" s="1"/>
  <c r="CV328" i="16"/>
  <c r="CX328" i="16"/>
  <c r="EA328" i="16"/>
  <c r="DX328" i="16"/>
  <c r="EN328" i="16"/>
  <c r="EM328" i="16"/>
  <c r="BN328" i="16"/>
  <c r="BP326" i="16" s="1"/>
  <c r="GA328" i="16"/>
  <c r="BT328" i="16"/>
  <c r="FJ328" i="16"/>
  <c r="CH328" i="16"/>
  <c r="BQ327" i="16"/>
  <c r="AL329" i="16"/>
  <c r="AL330" i="16" s="1"/>
  <c r="EM271" i="16"/>
  <c r="EN271" i="16"/>
  <c r="BQ277" i="16"/>
  <c r="BK277" i="16" s="1"/>
  <c r="BK270" i="16" s="1"/>
  <c r="AK273" i="16"/>
  <c r="AK274" i="16" s="1"/>
  <c r="DX271" i="16"/>
  <c r="BN271" i="16"/>
  <c r="EA271" i="16"/>
  <c r="AV272" i="16"/>
  <c r="CX272" i="16"/>
  <c r="CV272" i="16"/>
  <c r="CX412" i="16"/>
  <c r="CV412" i="16"/>
  <c r="DS383" i="16"/>
  <c r="DO383" i="16"/>
  <c r="S383" i="16" s="1"/>
  <c r="DS258" i="16"/>
  <c r="DO258" i="16"/>
  <c r="S258" i="16" s="1"/>
  <c r="FJ257" i="16"/>
  <c r="BT257" i="16"/>
  <c r="CH257" i="16"/>
  <c r="GA257" i="16"/>
  <c r="AX259" i="16"/>
  <c r="AX260" i="16" s="1"/>
  <c r="GA258" i="16"/>
  <c r="FJ258" i="16"/>
  <c r="CH258" i="16"/>
  <c r="BT258" i="16"/>
  <c r="CU411" i="16"/>
  <c r="AI413" i="16"/>
  <c r="AI414" i="16" s="1"/>
  <c r="CW411" i="16"/>
  <c r="BT412" i="16"/>
  <c r="GA412" i="16"/>
  <c r="FJ412" i="16"/>
  <c r="CH412" i="16"/>
  <c r="CW370" i="16"/>
  <c r="CU370" i="16"/>
  <c r="CU369" i="16"/>
  <c r="AI371" i="16"/>
  <c r="AI372" i="16" s="1"/>
  <c r="CW369" i="16"/>
  <c r="AH187" i="16"/>
  <c r="BQ187" i="16"/>
  <c r="AL189" i="16"/>
  <c r="AL190" i="16" s="1"/>
  <c r="BR159" i="16"/>
  <c r="AZ161" i="16"/>
  <c r="AZ162" i="16" s="1"/>
  <c r="DS131" i="16"/>
  <c r="DO131" i="16"/>
  <c r="S131" i="16" s="1"/>
  <c r="AP131" i="16"/>
  <c r="N131" i="16" s="1"/>
  <c r="AV229" i="16"/>
  <c r="AW231" i="16"/>
  <c r="AW232" i="16" s="1"/>
  <c r="CX229" i="16"/>
  <c r="CV229" i="16"/>
  <c r="DI229" i="16"/>
  <c r="DJ229" i="16" s="1"/>
  <c r="DY229" i="16"/>
  <c r="EB229" i="16"/>
  <c r="AX301" i="16"/>
  <c r="AX302" i="16" s="1"/>
  <c r="GA299" i="16"/>
  <c r="CH299" i="16"/>
  <c r="FJ299" i="16"/>
  <c r="BT299" i="16"/>
  <c r="DY300" i="16"/>
  <c r="DI300" i="16"/>
  <c r="DJ300" i="16" s="1"/>
  <c r="EB300" i="16"/>
  <c r="AB454" i="16"/>
  <c r="FI454" i="16"/>
  <c r="AV454" i="16"/>
  <c r="FH454" i="16"/>
  <c r="BO454" i="16"/>
  <c r="BQ453" i="16"/>
  <c r="AL455" i="16"/>
  <c r="AL456" i="16" s="1"/>
  <c r="AB426" i="16"/>
  <c r="FH426" i="16"/>
  <c r="AV426" i="16"/>
  <c r="FI426" i="16"/>
  <c r="BO426" i="16"/>
  <c r="DY425" i="16"/>
  <c r="EB425" i="16"/>
  <c r="DI425" i="16"/>
  <c r="DJ425" i="16" s="1"/>
  <c r="DY201" i="16"/>
  <c r="EB201" i="16"/>
  <c r="DI201" i="16"/>
  <c r="DJ201" i="16" s="1"/>
  <c r="BS201" i="16"/>
  <c r="DE201" i="16"/>
  <c r="BY201" i="16"/>
  <c r="DD201" i="16"/>
  <c r="B200" i="16"/>
  <c r="FF201" i="16"/>
  <c r="AJ203" i="16"/>
  <c r="EO201" i="16"/>
  <c r="DC201" i="16"/>
  <c r="CU201" i="16"/>
  <c r="CW201" i="16"/>
  <c r="AV202" i="16"/>
  <c r="BO202" i="16"/>
  <c r="AB202" i="16"/>
  <c r="FI202" i="16"/>
  <c r="FH202" i="16"/>
  <c r="DY384" i="16"/>
  <c r="EB384" i="16"/>
  <c r="DI384" i="16"/>
  <c r="DJ384" i="16" s="1"/>
  <c r="AV244" i="16"/>
  <c r="CV244" i="16"/>
  <c r="CX244" i="16"/>
  <c r="EM244" i="16"/>
  <c r="BN244" i="16"/>
  <c r="BP242" i="16" s="1"/>
  <c r="EN244" i="16"/>
  <c r="DX244" i="16"/>
  <c r="EA244" i="16"/>
  <c r="CH243" i="16"/>
  <c r="CU243" i="16"/>
  <c r="AI245" i="16"/>
  <c r="AI246" i="16" s="1"/>
  <c r="CW243" i="16"/>
  <c r="CW398" i="16"/>
  <c r="CU398" i="16"/>
  <c r="DE342" i="16"/>
  <c r="EO342" i="16"/>
  <c r="DD342" i="16"/>
  <c r="DC342" i="16"/>
  <c r="FF342" i="16"/>
  <c r="BY342" i="16"/>
  <c r="BS342" i="16"/>
  <c r="B341" i="16"/>
  <c r="DO341" i="16"/>
  <c r="S341" i="16" s="1"/>
  <c r="DS341" i="16"/>
  <c r="EA342" i="16"/>
  <c r="EM342" i="16"/>
  <c r="BN342" i="16"/>
  <c r="BP340" i="16" s="1"/>
  <c r="DX342" i="16"/>
  <c r="EN342" i="16"/>
  <c r="CX314" i="16"/>
  <c r="CV314" i="16"/>
  <c r="EB314" i="16"/>
  <c r="DY314" i="16"/>
  <c r="DI314" i="16"/>
  <c r="DJ314" i="16" s="1"/>
  <c r="DY355" i="16"/>
  <c r="EB355" i="16"/>
  <c r="DI355" i="16"/>
  <c r="DJ355" i="16" s="1"/>
  <c r="DD467" i="16"/>
  <c r="BY467" i="16"/>
  <c r="DC467" i="16"/>
  <c r="B466" i="16"/>
  <c r="EO467" i="16"/>
  <c r="AJ469" i="16"/>
  <c r="DE467" i="16"/>
  <c r="BS467" i="16"/>
  <c r="FF467" i="16"/>
  <c r="EM468" i="16"/>
  <c r="EN468" i="16"/>
  <c r="DX468" i="16"/>
  <c r="BN468" i="16"/>
  <c r="BP466" i="16" s="1"/>
  <c r="EA468" i="16"/>
  <c r="EB467" i="16"/>
  <c r="DI467" i="16"/>
  <c r="DJ467" i="16" s="1"/>
  <c r="DY467" i="16"/>
  <c r="DS440" i="16"/>
  <c r="DO440" i="16"/>
  <c r="S440" i="16" s="1"/>
  <c r="AV173" i="16"/>
  <c r="GR173" i="16" s="1"/>
  <c r="AB173" i="16"/>
  <c r="BO173" i="16"/>
  <c r="FI173" i="16"/>
  <c r="FH173" i="16"/>
  <c r="AY175" i="16"/>
  <c r="AY176" i="16" s="1"/>
  <c r="CV174" i="16"/>
  <c r="CX174" i="16"/>
  <c r="EB215" i="16"/>
  <c r="DY215" i="16"/>
  <c r="DI215" i="16"/>
  <c r="DJ215" i="16" s="1"/>
  <c r="AH216" i="16"/>
  <c r="DC215" i="16"/>
  <c r="B214" i="16"/>
  <c r="DE215" i="16"/>
  <c r="EO215" i="16"/>
  <c r="BS215" i="16"/>
  <c r="DD215" i="16"/>
  <c r="FF215" i="16"/>
  <c r="BY215" i="16"/>
  <c r="BN146" i="16"/>
  <c r="BP144" i="16" s="1"/>
  <c r="EA146" i="16"/>
  <c r="DX146" i="16"/>
  <c r="EN146" i="16"/>
  <c r="EM146" i="16"/>
  <c r="CW145" i="16"/>
  <c r="CU145" i="16"/>
  <c r="AI147" i="16"/>
  <c r="AI148" i="16" s="1"/>
  <c r="BQ291" i="16"/>
  <c r="BK291" i="16" s="1"/>
  <c r="BK284" i="16" s="1"/>
  <c r="AK287" i="16"/>
  <c r="AK288" i="16" s="1"/>
  <c r="EM285" i="16"/>
  <c r="DX285" i="16"/>
  <c r="EA285" i="16"/>
  <c r="BN285" i="16"/>
  <c r="EN285" i="16"/>
  <c r="FI286" i="16"/>
  <c r="BO286" i="16"/>
  <c r="FH286" i="16"/>
  <c r="AB286" i="16"/>
  <c r="AV286" i="16"/>
  <c r="EO286" i="16"/>
  <c r="DC286" i="16"/>
  <c r="BY286" i="16"/>
  <c r="DE286" i="16"/>
  <c r="FF286" i="16"/>
  <c r="DD286" i="16"/>
  <c r="BS286" i="16"/>
  <c r="B285" i="16"/>
  <c r="CV327" i="16"/>
  <c r="CX327" i="16"/>
  <c r="AW329" i="16"/>
  <c r="AW330" i="16" s="1"/>
  <c r="AH328" i="16"/>
  <c r="AX329" i="16"/>
  <c r="AX330" i="16" s="1"/>
  <c r="GA327" i="16"/>
  <c r="FJ327" i="16"/>
  <c r="CH327" i="16"/>
  <c r="BT327" i="16"/>
  <c r="CD333" i="16"/>
  <c r="AB327" i="16"/>
  <c r="FI327" i="16"/>
  <c r="AY329" i="16"/>
  <c r="AY330" i="16" s="1"/>
  <c r="AV327" i="16"/>
  <c r="FH327" i="16"/>
  <c r="BO327" i="16"/>
  <c r="FH271" i="16"/>
  <c r="BO271" i="16"/>
  <c r="AV271" i="16"/>
  <c r="GR271" i="16" s="1"/>
  <c r="FI271" i="16"/>
  <c r="CD277" i="16"/>
  <c r="AY273" i="16"/>
  <c r="AY274" i="16" s="1"/>
  <c r="AB271" i="16"/>
  <c r="DS271" i="16"/>
  <c r="DO271" i="16"/>
  <c r="S271" i="16" s="1"/>
  <c r="EM258" i="16"/>
  <c r="DX258" i="16"/>
  <c r="BN258" i="16"/>
  <c r="BP256" i="16" s="1"/>
  <c r="EA258" i="16"/>
  <c r="EN258" i="16"/>
  <c r="DS369" i="16"/>
  <c r="DO369" i="16"/>
  <c r="S369" i="16" s="1"/>
  <c r="CD249" i="16"/>
  <c r="FH243" i="16"/>
  <c r="AV243" i="16"/>
  <c r="BO243" i="16"/>
  <c r="FI243" i="16"/>
  <c r="AY245" i="16"/>
  <c r="AY246" i="16" s="1"/>
  <c r="AB243" i="16"/>
  <c r="AB397" i="16"/>
  <c r="AY399" i="16"/>
  <c r="AY400" i="16" s="1"/>
  <c r="BO397" i="16"/>
  <c r="FI397" i="16"/>
  <c r="CD403" i="16"/>
  <c r="AV397" i="16"/>
  <c r="FH397" i="16"/>
  <c r="BQ397" i="16"/>
  <c r="AL399" i="16"/>
  <c r="AL400" i="16" s="1"/>
  <c r="EA356" i="16"/>
  <c r="EN356" i="16"/>
  <c r="DX356" i="16"/>
  <c r="BN356" i="16"/>
  <c r="BP354" i="16" s="1"/>
  <c r="EM356" i="16"/>
  <c r="DD439" i="16"/>
  <c r="BY439" i="16"/>
  <c r="BS439" i="16"/>
  <c r="DC439" i="16"/>
  <c r="AJ441" i="16"/>
  <c r="FF439" i="16"/>
  <c r="EO439" i="16"/>
  <c r="B438" i="16"/>
  <c r="DE439" i="16"/>
  <c r="CW173" i="16"/>
  <c r="CU173" i="16"/>
  <c r="EB174" i="16"/>
  <c r="DI174" i="16"/>
  <c r="DJ174" i="16" s="1"/>
  <c r="DY174" i="16"/>
  <c r="BQ257" i="16"/>
  <c r="AL259" i="16"/>
  <c r="AL260" i="16" s="1"/>
  <c r="AH258" i="16"/>
  <c r="DO257" i="16"/>
  <c r="S257" i="16" s="1"/>
  <c r="DS257" i="16"/>
  <c r="DS411" i="16"/>
  <c r="DO411" i="16"/>
  <c r="S411" i="16" s="1"/>
  <c r="EB411" i="16"/>
  <c r="DY411" i="16"/>
  <c r="DI411" i="16"/>
  <c r="DJ411" i="16" s="1"/>
  <c r="DY412" i="16"/>
  <c r="DI412" i="16"/>
  <c r="DJ412" i="16" s="1"/>
  <c r="EB412" i="16"/>
  <c r="CH370" i="16"/>
  <c r="AX371" i="16"/>
  <c r="AX372" i="16" s="1"/>
  <c r="BT369" i="16"/>
  <c r="GA369" i="16"/>
  <c r="FJ369" i="16"/>
  <c r="CH369" i="16"/>
  <c r="AH370" i="16"/>
  <c r="AH369" i="16"/>
  <c r="GR367" i="16" s="1"/>
  <c r="DY188" i="16"/>
  <c r="DI188" i="16"/>
  <c r="DJ188" i="16" s="1"/>
  <c r="EB188" i="16"/>
  <c r="BR187" i="16"/>
  <c r="AZ189" i="16"/>
  <c r="AZ190" i="16" s="1"/>
  <c r="DI160" i="16"/>
  <c r="DJ160" i="16" s="1"/>
  <c r="EB160" i="16"/>
  <c r="DY160" i="16"/>
  <c r="AP159" i="16"/>
  <c r="N159" i="16" s="1"/>
  <c r="FJ160" i="16"/>
  <c r="GA160" i="16"/>
  <c r="CH160" i="16"/>
  <c r="BT160" i="16"/>
  <c r="BT159" i="16"/>
  <c r="GA159" i="16"/>
  <c r="FJ159" i="16"/>
  <c r="AX161" i="16"/>
  <c r="AX162" i="16" s="1"/>
  <c r="E131" i="16"/>
  <c r="AH133" i="16"/>
  <c r="AH134" i="16" s="1"/>
  <c r="BO137" i="16" s="1"/>
  <c r="DI132" i="16"/>
  <c r="DJ132" i="16" s="1"/>
  <c r="DY132" i="16"/>
  <c r="EB132" i="16"/>
  <c r="AK133" i="16"/>
  <c r="AK134" i="16" s="1"/>
  <c r="EA131" i="16"/>
  <c r="BQ137" i="16"/>
  <c r="BK137" i="16" s="1"/>
  <c r="BK130" i="16" s="1"/>
  <c r="BN131" i="16"/>
  <c r="EN131" i="16"/>
  <c r="DX131" i="16"/>
  <c r="EM131" i="16"/>
  <c r="CU131" i="16"/>
  <c r="CW131" i="16"/>
  <c r="AI133" i="16"/>
  <c r="AI134" i="16" s="1"/>
  <c r="BR229" i="16"/>
  <c r="AZ231" i="16"/>
  <c r="AZ232" i="16" s="1"/>
  <c r="BS230" i="16"/>
  <c r="DD230" i="16"/>
  <c r="DC230" i="16"/>
  <c r="FF230" i="16"/>
  <c r="EO230" i="16"/>
  <c r="BY230" i="16"/>
  <c r="DE230" i="16"/>
  <c r="B229" i="16"/>
  <c r="AH299" i="16"/>
  <c r="BQ299" i="16"/>
  <c r="AL301" i="16"/>
  <c r="AL302" i="16" s="1"/>
  <c r="EN454" i="16"/>
  <c r="BN454" i="16"/>
  <c r="BP452" i="16" s="1"/>
  <c r="DX454" i="16"/>
  <c r="EM454" i="16"/>
  <c r="EA454" i="16"/>
  <c r="BQ425" i="16"/>
  <c r="AL427" i="16"/>
  <c r="AL428" i="16" s="1"/>
  <c r="DS201" i="16"/>
  <c r="DO201" i="16"/>
  <c r="S201" i="16" s="1"/>
  <c r="CX384" i="16"/>
  <c r="CV384" i="16"/>
  <c r="AX245" i="16"/>
  <c r="AX246" i="16" s="1"/>
  <c r="GA244" i="16"/>
  <c r="FJ244" i="16"/>
  <c r="CH244" i="16"/>
  <c r="BT244" i="16"/>
  <c r="EM243" i="16"/>
  <c r="DX243" i="16"/>
  <c r="BQ249" i="16"/>
  <c r="BK249" i="16" s="1"/>
  <c r="BK242" i="16" s="1"/>
  <c r="AK245" i="16"/>
  <c r="AK246" i="16" s="1"/>
  <c r="BN243" i="16"/>
  <c r="EA243" i="16"/>
  <c r="EN243" i="16"/>
  <c r="AH398" i="16"/>
  <c r="CX398" i="16"/>
  <c r="CV398" i="16"/>
  <c r="DO398" i="16"/>
  <c r="S398" i="16" s="1"/>
  <c r="DS398" i="16"/>
  <c r="EB341" i="16"/>
  <c r="DY341" i="16"/>
  <c r="DI341" i="16"/>
  <c r="DJ341" i="16" s="1"/>
  <c r="CX342" i="16"/>
  <c r="CV342" i="16"/>
  <c r="EA341" i="16"/>
  <c r="DX341" i="16"/>
  <c r="EN341" i="16"/>
  <c r="AK343" i="16"/>
  <c r="AK344" i="16" s="1"/>
  <c r="BQ347" i="16"/>
  <c r="BK347" i="16" s="1"/>
  <c r="BK340" i="16" s="1"/>
  <c r="BN341" i="16"/>
  <c r="EM341" i="16"/>
  <c r="BN314" i="16"/>
  <c r="BP312" i="16" s="1"/>
  <c r="EM314" i="16"/>
  <c r="EN314" i="16"/>
  <c r="DX314" i="16"/>
  <c r="EA314" i="16"/>
  <c r="AH313" i="16"/>
  <c r="GR311" i="16" s="1"/>
  <c r="CD319" i="16"/>
  <c r="AY315" i="16"/>
  <c r="AY316" i="16" s="1"/>
  <c r="FI313" i="16"/>
  <c r="FH313" i="16"/>
  <c r="BO313" i="16"/>
  <c r="AV313" i="16"/>
  <c r="AB313" i="16"/>
  <c r="BQ313" i="16"/>
  <c r="AL315" i="16"/>
  <c r="AL316" i="16" s="1"/>
  <c r="AW357" i="16"/>
  <c r="AW358" i="16" s="1"/>
  <c r="CX355" i="16"/>
  <c r="CV355" i="16"/>
  <c r="BQ361" i="16"/>
  <c r="BK361" i="16" s="1"/>
  <c r="BK354" i="16" s="1"/>
  <c r="EM355" i="16"/>
  <c r="EA355" i="16"/>
  <c r="BN355" i="16"/>
  <c r="DX355" i="16"/>
  <c r="EN355" i="16"/>
  <c r="AK357" i="16"/>
  <c r="AK358" i="16" s="1"/>
  <c r="FI356" i="16"/>
  <c r="FH356" i="16"/>
  <c r="AB356" i="16"/>
  <c r="BO356" i="16"/>
  <c r="AV356" i="16"/>
  <c r="DY356" i="16"/>
  <c r="EB356" i="16"/>
  <c r="DI356" i="16"/>
  <c r="DJ356" i="16" s="1"/>
  <c r="BO468" i="16"/>
  <c r="AB468" i="16"/>
  <c r="FI468" i="16"/>
  <c r="AV468" i="16"/>
  <c r="FH468" i="16"/>
  <c r="AH467" i="16"/>
  <c r="AY469" i="16"/>
  <c r="AY470" i="16" s="1"/>
  <c r="AB467" i="16"/>
  <c r="CD473" i="16"/>
  <c r="FI467" i="16"/>
  <c r="FH467" i="16"/>
  <c r="AV467" i="16"/>
  <c r="GR467" i="16" s="1"/>
  <c r="BO467" i="16"/>
  <c r="CW440" i="16"/>
  <c r="CU440" i="16"/>
  <c r="AI441" i="16"/>
  <c r="AI442" i="16" s="1"/>
  <c r="CW439" i="16"/>
  <c r="CU439" i="16"/>
  <c r="EM440" i="16"/>
  <c r="DX440" i="16"/>
  <c r="EA440" i="16"/>
  <c r="BN440" i="16"/>
  <c r="BP438" i="16" s="1"/>
  <c r="EN440" i="16"/>
  <c r="AH439" i="16"/>
  <c r="DO174" i="16"/>
  <c r="S174" i="16" s="1"/>
  <c r="DS174" i="16"/>
  <c r="AW175" i="16"/>
  <c r="AW176" i="16" s="1"/>
  <c r="CV173" i="16"/>
  <c r="CX173" i="16"/>
  <c r="CU216" i="16"/>
  <c r="CW216" i="16"/>
  <c r="CV215" i="16"/>
  <c r="AW217" i="16"/>
  <c r="AW218" i="16" s="1"/>
  <c r="CX215" i="16"/>
  <c r="E145" i="16"/>
  <c r="AH147" i="16"/>
  <c r="AH148" i="16" s="1"/>
  <c r="BO151" i="16" s="1"/>
  <c r="GA145" i="16"/>
  <c r="BT145" i="16"/>
  <c r="FJ145" i="16"/>
  <c r="CH145" i="16"/>
  <c r="AX147" i="16"/>
  <c r="AX148" i="16" s="1"/>
  <c r="CX146" i="16"/>
  <c r="CV146" i="16"/>
  <c r="DS285" i="16"/>
  <c r="DO285" i="16"/>
  <c r="S285" i="16" s="1"/>
  <c r="DS327" i="16"/>
  <c r="DO327" i="16"/>
  <c r="S327" i="16" s="1"/>
  <c r="CU327" i="16"/>
  <c r="AI329" i="16"/>
  <c r="AI330" i="16" s="1"/>
  <c r="CW327" i="16"/>
  <c r="BN272" i="16"/>
  <c r="BP270" i="16" s="1"/>
  <c r="EN272" i="16"/>
  <c r="EM272" i="16"/>
  <c r="DX272" i="16"/>
  <c r="EA272" i="16"/>
  <c r="BQ271" i="16"/>
  <c r="AL273" i="16"/>
  <c r="AL274" i="16" s="1"/>
  <c r="BS61" i="16"/>
  <c r="EO61" i="16"/>
  <c r="DE61" i="16"/>
  <c r="DD61" i="16"/>
  <c r="AJ63" i="16"/>
  <c r="DC61" i="16"/>
  <c r="BY61" i="16"/>
  <c r="B60" i="16"/>
  <c r="FF61" i="16"/>
  <c r="B75" i="16"/>
  <c r="BY75" i="16"/>
  <c r="AJ77" i="16"/>
  <c r="DD75" i="16"/>
  <c r="DC75" i="16"/>
  <c r="FF75" i="16"/>
  <c r="DE75" i="16"/>
  <c r="EO75" i="16"/>
  <c r="B74" i="16"/>
  <c r="BS75" i="16"/>
  <c r="CX90" i="16"/>
  <c r="CV90" i="16"/>
  <c r="CU90" i="16"/>
  <c r="CW90" i="16"/>
  <c r="CX33" i="16"/>
  <c r="CV33" i="16"/>
  <c r="AW35" i="16"/>
  <c r="AW36" i="16" s="1"/>
  <c r="GA118" i="16"/>
  <c r="FJ118" i="16"/>
  <c r="CH118" i="16"/>
  <c r="BT118" i="16"/>
  <c r="DO48" i="16"/>
  <c r="S48" i="16" s="1"/>
  <c r="DS48" i="16"/>
  <c r="GA76" i="16"/>
  <c r="CH76" i="16"/>
  <c r="FJ76" i="16"/>
  <c r="BT76" i="16"/>
  <c r="FF89" i="16"/>
  <c r="BS89" i="16"/>
  <c r="AJ91" i="16"/>
  <c r="EO89" i="16"/>
  <c r="DE89" i="16"/>
  <c r="DC89" i="16"/>
  <c r="BY89" i="16"/>
  <c r="B88" i="16"/>
  <c r="DD89" i="16"/>
  <c r="CV34" i="16"/>
  <c r="CX34" i="16"/>
  <c r="CV118" i="16"/>
  <c r="CX118" i="16"/>
  <c r="DY62" i="16"/>
  <c r="DI62" i="16"/>
  <c r="DJ62" i="16" s="1"/>
  <c r="EB62" i="16"/>
  <c r="BQ103" i="16"/>
  <c r="AL105" i="16"/>
  <c r="AL106" i="16" s="1"/>
  <c r="AX77" i="16"/>
  <c r="AX78" i="16" s="1"/>
  <c r="GA75" i="16"/>
  <c r="FJ75" i="16"/>
  <c r="CH75" i="16"/>
  <c r="BT75" i="16"/>
  <c r="EN34" i="16"/>
  <c r="EM34" i="16"/>
  <c r="DX34" i="16"/>
  <c r="BN34" i="16"/>
  <c r="BP32" i="16" s="1"/>
  <c r="EA34" i="16"/>
  <c r="DS61" i="16"/>
  <c r="DO61" i="16"/>
  <c r="S61" i="16" s="1"/>
  <c r="BO62" i="16"/>
  <c r="AB62" i="16"/>
  <c r="AV62" i="16"/>
  <c r="FH62" i="16"/>
  <c r="FI62" i="16"/>
  <c r="BR103" i="16"/>
  <c r="AZ105" i="16"/>
  <c r="AZ106" i="16" s="1"/>
  <c r="DY104" i="16"/>
  <c r="EB104" i="16"/>
  <c r="DI104" i="16"/>
  <c r="DJ104" i="16" s="1"/>
  <c r="BO76" i="16"/>
  <c r="AB76" i="16"/>
  <c r="AV76" i="16"/>
  <c r="FI76" i="16"/>
  <c r="FH76" i="16"/>
  <c r="CD81" i="16"/>
  <c r="FI75" i="16"/>
  <c r="AY77" i="16"/>
  <c r="AY78" i="16" s="1"/>
  <c r="AB75" i="16"/>
  <c r="FH75" i="16"/>
  <c r="BO75" i="16"/>
  <c r="AV75" i="16"/>
  <c r="BQ95" i="16"/>
  <c r="BK95" i="16" s="1"/>
  <c r="BK88" i="16" s="1"/>
  <c r="EM90" i="16"/>
  <c r="EA90" i="16"/>
  <c r="BN90" i="16"/>
  <c r="BP88" i="16" s="1"/>
  <c r="EN90" i="16"/>
  <c r="DX90" i="16"/>
  <c r="BT89" i="16"/>
  <c r="AX91" i="16"/>
  <c r="AX92" i="16" s="1"/>
  <c r="GA89" i="16"/>
  <c r="FJ89" i="16"/>
  <c r="CH89" i="16"/>
  <c r="FJ34" i="16"/>
  <c r="GA34" i="16"/>
  <c r="CH34" i="16"/>
  <c r="BT34" i="16"/>
  <c r="BR33" i="16"/>
  <c r="AZ35" i="16"/>
  <c r="AZ36" i="16" s="1"/>
  <c r="BS118" i="16"/>
  <c r="DC118" i="16"/>
  <c r="FF118" i="16"/>
  <c r="EO118" i="16"/>
  <c r="DE118" i="16"/>
  <c r="DD118" i="16"/>
  <c r="K53" i="11"/>
  <c r="AZ19" i="16"/>
  <c r="AI63" i="16"/>
  <c r="AI64" i="16" s="1"/>
  <c r="CW61" i="16"/>
  <c r="CU61" i="16"/>
  <c r="AW63" i="16"/>
  <c r="AW64" i="16" s="1"/>
  <c r="CX61" i="16"/>
  <c r="CV61" i="16"/>
  <c r="CX62" i="16"/>
  <c r="CV62" i="16"/>
  <c r="BY104" i="16"/>
  <c r="CX104" i="16"/>
  <c r="CV104" i="16"/>
  <c r="EM103" i="16"/>
  <c r="EA103" i="16"/>
  <c r="DX103" i="16"/>
  <c r="BN103" i="16"/>
  <c r="EN103" i="16"/>
  <c r="AK105" i="16"/>
  <c r="AK106" i="16" s="1"/>
  <c r="BQ109" i="16"/>
  <c r="BK109" i="16" s="1"/>
  <c r="DY47" i="16"/>
  <c r="EB47" i="16"/>
  <c r="DI47" i="16"/>
  <c r="DJ47" i="16" s="1"/>
  <c r="DO47" i="16"/>
  <c r="S47" i="16" s="1"/>
  <c r="DS47" i="16"/>
  <c r="FI48" i="16"/>
  <c r="FH48" i="16"/>
  <c r="BO48" i="16"/>
  <c r="AV48" i="16"/>
  <c r="AB48" i="16"/>
  <c r="BN48" i="16"/>
  <c r="BP46" i="16" s="1"/>
  <c r="EM48" i="16"/>
  <c r="DX48" i="16"/>
  <c r="EA48" i="16"/>
  <c r="EN48" i="16"/>
  <c r="CX76" i="16"/>
  <c r="CV76" i="16"/>
  <c r="BR75" i="16"/>
  <c r="AZ77" i="16"/>
  <c r="AZ78" i="16" s="1"/>
  <c r="EA75" i="16"/>
  <c r="BN75" i="16"/>
  <c r="EN75" i="16"/>
  <c r="DX75" i="16"/>
  <c r="EM75" i="16"/>
  <c r="BQ81" i="16"/>
  <c r="BK81" i="16" s="1"/>
  <c r="BK74" i="16" s="1"/>
  <c r="AK77" i="16"/>
  <c r="AK78" i="16" s="1"/>
  <c r="CX89" i="16"/>
  <c r="CV89" i="16"/>
  <c r="AW91" i="16"/>
  <c r="AW92" i="16" s="1"/>
  <c r="AB90" i="16"/>
  <c r="BO90" i="16"/>
  <c r="FI90" i="16"/>
  <c r="FH90" i="16"/>
  <c r="AV90" i="16"/>
  <c r="EB89" i="16"/>
  <c r="DY89" i="16"/>
  <c r="DI89" i="16"/>
  <c r="DJ89" i="16" s="1"/>
  <c r="AI91" i="16"/>
  <c r="AI92" i="16" s="1"/>
  <c r="CW89" i="16"/>
  <c r="CU89" i="16"/>
  <c r="AH33" i="16"/>
  <c r="AI35" i="16"/>
  <c r="AI36" i="16" s="1"/>
  <c r="CW33" i="16"/>
  <c r="CU33" i="16"/>
  <c r="EB33" i="16"/>
  <c r="DI33" i="16"/>
  <c r="DJ33" i="16" s="1"/>
  <c r="DY33" i="16"/>
  <c r="FJ33" i="16"/>
  <c r="BT33" i="16"/>
  <c r="GA33" i="16"/>
  <c r="CH33" i="16"/>
  <c r="AX35" i="16"/>
  <c r="AX36" i="16" s="1"/>
  <c r="EB117" i="16"/>
  <c r="DI117" i="16"/>
  <c r="DJ117" i="16" s="1"/>
  <c r="DY117" i="16"/>
  <c r="B117" i="16"/>
  <c r="BS117" i="16"/>
  <c r="DE117" i="16"/>
  <c r="DD117" i="16"/>
  <c r="BY117" i="16"/>
  <c r="DC117" i="16"/>
  <c r="AJ119" i="16"/>
  <c r="B116" i="16"/>
  <c r="FF117" i="16"/>
  <c r="EO117" i="16"/>
  <c r="DO117" i="16"/>
  <c r="S117" i="16" s="1"/>
  <c r="DS117" i="16"/>
  <c r="CX117" i="16"/>
  <c r="CV117" i="16"/>
  <c r="AW119" i="16"/>
  <c r="AW120" i="16" s="1"/>
  <c r="BT62" i="16"/>
  <c r="GA62" i="16"/>
  <c r="FJ62" i="16"/>
  <c r="CH62" i="16"/>
  <c r="FH47" i="16"/>
  <c r="AV47" i="16"/>
  <c r="BO47" i="16"/>
  <c r="AB47" i="16"/>
  <c r="FI47" i="16"/>
  <c r="AY49" i="16"/>
  <c r="AY50" i="16" s="1"/>
  <c r="CD53" i="16"/>
  <c r="EM47" i="16"/>
  <c r="EN47" i="16"/>
  <c r="BQ53" i="16"/>
  <c r="BK53" i="16" s="1"/>
  <c r="BK46" i="16" s="1"/>
  <c r="BN47" i="16"/>
  <c r="AK49" i="16"/>
  <c r="AK50" i="16" s="1"/>
  <c r="EA47" i="16"/>
  <c r="DX47" i="16"/>
  <c r="DO90" i="16"/>
  <c r="S90" i="16" s="1"/>
  <c r="DS90" i="16"/>
  <c r="DI34" i="16"/>
  <c r="DJ34" i="16" s="1"/>
  <c r="EB34" i="16"/>
  <c r="DY34" i="16"/>
  <c r="FH33" i="16"/>
  <c r="AV33" i="16"/>
  <c r="GR33" i="16" s="1"/>
  <c r="BO33" i="16"/>
  <c r="AB33" i="16"/>
  <c r="FI33" i="16"/>
  <c r="AY35" i="16"/>
  <c r="AY36" i="16" s="1"/>
  <c r="DS118" i="16"/>
  <c r="DO118" i="16"/>
  <c r="S118" i="16" s="1"/>
  <c r="AY119" i="16"/>
  <c r="AY120" i="16" s="1"/>
  <c r="FI117" i="16"/>
  <c r="FH117" i="16"/>
  <c r="BO117" i="16"/>
  <c r="AV117" i="16"/>
  <c r="AB117" i="16"/>
  <c r="CD123" i="16"/>
  <c r="BQ47" i="16"/>
  <c r="AL49" i="16"/>
  <c r="AL50" i="16" s="1"/>
  <c r="DY76" i="16"/>
  <c r="EB76" i="16"/>
  <c r="DI76" i="16"/>
  <c r="DJ76" i="16" s="1"/>
  <c r="CD39" i="16"/>
  <c r="AV34" i="16"/>
  <c r="FH34" i="16"/>
  <c r="BO34" i="16"/>
  <c r="AB34" i="16"/>
  <c r="FI34" i="16"/>
  <c r="GA117" i="16"/>
  <c r="FJ117" i="16"/>
  <c r="CH117" i="16"/>
  <c r="BT117" i="16"/>
  <c r="AX119" i="16"/>
  <c r="AX120" i="16" s="1"/>
  <c r="AK63" i="16"/>
  <c r="AK64" i="16" s="1"/>
  <c r="EA61" i="16"/>
  <c r="BN61" i="16"/>
  <c r="EN61" i="16"/>
  <c r="BQ67" i="16"/>
  <c r="BK67" i="16" s="1"/>
  <c r="BK60" i="16" s="1"/>
  <c r="EM61" i="16"/>
  <c r="DX61" i="16"/>
  <c r="EB48" i="16"/>
  <c r="DI48" i="16"/>
  <c r="DJ48" i="16" s="1"/>
  <c r="DY48" i="16"/>
  <c r="BQ117" i="16"/>
  <c r="AL119" i="16"/>
  <c r="AL120" i="16" s="1"/>
  <c r="EN117" i="16"/>
  <c r="DX117" i="16"/>
  <c r="EM117" i="16"/>
  <c r="AK119" i="16"/>
  <c r="AK120" i="16" s="1"/>
  <c r="BN117" i="16"/>
  <c r="BQ123" i="16"/>
  <c r="BK123" i="16" s="1"/>
  <c r="BK116" i="16" s="1"/>
  <c r="EA117" i="16"/>
  <c r="BR61" i="16"/>
  <c r="AZ63" i="16"/>
  <c r="AZ64" i="16" s="1"/>
  <c r="EM62" i="16"/>
  <c r="DX62" i="16"/>
  <c r="EA62" i="16"/>
  <c r="EN62" i="16"/>
  <c r="BN62" i="16"/>
  <c r="BP60" i="16" s="1"/>
  <c r="CU62" i="16"/>
  <c r="CW62" i="16"/>
  <c r="AI105" i="16"/>
  <c r="AI106" i="16" s="1"/>
  <c r="CW103" i="16"/>
  <c r="CU103" i="16"/>
  <c r="AH104" i="16"/>
  <c r="EA104" i="16"/>
  <c r="BN104" i="16"/>
  <c r="BP102" i="16" s="1"/>
  <c r="EN104" i="16"/>
  <c r="EM104" i="16"/>
  <c r="DX104" i="16"/>
  <c r="AW105" i="16"/>
  <c r="AW106" i="16" s="1"/>
  <c r="CX103" i="16"/>
  <c r="CV103" i="16"/>
  <c r="BS104" i="16"/>
  <c r="EO104" i="16"/>
  <c r="FF104" i="16" s="1"/>
  <c r="B103" i="16"/>
  <c r="CW47" i="16"/>
  <c r="CU47" i="16"/>
  <c r="AI49" i="16"/>
  <c r="AI50" i="16" s="1"/>
  <c r="CW48" i="16"/>
  <c r="DD48" i="16"/>
  <c r="BY48" i="16"/>
  <c r="B47" i="16"/>
  <c r="DC48" i="16"/>
  <c r="EO48" i="16"/>
  <c r="BS48" i="16"/>
  <c r="FF48" i="16"/>
  <c r="DE48" i="16"/>
  <c r="BR47" i="16"/>
  <c r="AZ49" i="16"/>
  <c r="AZ50" i="16" s="1"/>
  <c r="DS75" i="16"/>
  <c r="DO75" i="16"/>
  <c r="S75" i="16" s="1"/>
  <c r="DO89" i="16"/>
  <c r="S89" i="16" s="1"/>
  <c r="DS89" i="16"/>
  <c r="GA90" i="16"/>
  <c r="FJ90" i="16"/>
  <c r="CH90" i="16"/>
  <c r="BT90" i="16"/>
  <c r="CU34" i="16"/>
  <c r="CW34" i="16"/>
  <c r="AI119" i="16"/>
  <c r="AI120" i="16" s="1"/>
  <c r="CW117" i="16"/>
  <c r="CU117" i="16"/>
  <c r="BY118" i="16"/>
  <c r="AH118" i="16"/>
  <c r="EA118" i="16"/>
  <c r="BN118" i="16"/>
  <c r="BP116" i="16" s="1"/>
  <c r="EN118" i="16"/>
  <c r="EM118" i="16"/>
  <c r="DX118" i="16"/>
  <c r="CH61" i="16"/>
  <c r="BT61" i="16"/>
  <c r="AX63" i="16"/>
  <c r="AX64" i="16" s="1"/>
  <c r="GA61" i="16"/>
  <c r="FJ61" i="16"/>
  <c r="AX105" i="16"/>
  <c r="AX106" i="16" s="1"/>
  <c r="FJ103" i="16"/>
  <c r="GA103" i="16" s="1"/>
  <c r="BT103" i="16"/>
  <c r="CW76" i="16"/>
  <c r="CU76" i="16"/>
  <c r="DE34" i="16"/>
  <c r="DC34" i="16"/>
  <c r="DD34" i="16"/>
  <c r="BS34" i="16"/>
  <c r="B33" i="16"/>
  <c r="EO34" i="16"/>
  <c r="FF34" i="16"/>
  <c r="GA104" i="16"/>
  <c r="BT104" i="16"/>
  <c r="FJ104" i="16"/>
  <c r="AJ49" i="16"/>
  <c r="BS47" i="16"/>
  <c r="EO47" i="16"/>
  <c r="DE47" i="16"/>
  <c r="DD47" i="16"/>
  <c r="BY47" i="16"/>
  <c r="DC47" i="16"/>
  <c r="B46" i="16"/>
  <c r="FF47" i="16"/>
  <c r="BR89" i="16"/>
  <c r="AZ91" i="16"/>
  <c r="AZ92" i="16" s="1"/>
  <c r="EM33" i="16"/>
  <c r="BQ39" i="16"/>
  <c r="BK39" i="16" s="1"/>
  <c r="BK32" i="16" s="1"/>
  <c r="AK35" i="16"/>
  <c r="AK36" i="16" s="1"/>
  <c r="BN33" i="16"/>
  <c r="EN33" i="16"/>
  <c r="DX33" i="16"/>
  <c r="EA33" i="16"/>
  <c r="BQ61" i="16"/>
  <c r="AL63" i="16"/>
  <c r="AL64" i="16" s="1"/>
  <c r="AB104" i="16"/>
  <c r="FI104" i="16"/>
  <c r="BO104" i="16"/>
  <c r="FH104" i="16"/>
  <c r="AV104" i="16"/>
  <c r="EO62" i="16"/>
  <c r="DE62" i="16"/>
  <c r="BS62" i="16"/>
  <c r="DD62" i="16"/>
  <c r="BY62" i="16"/>
  <c r="B61" i="16"/>
  <c r="DC62" i="16"/>
  <c r="FF62" i="16"/>
  <c r="EB61" i="16"/>
  <c r="DI61" i="16"/>
  <c r="DJ61" i="16" s="1"/>
  <c r="DY61" i="16"/>
  <c r="CU104" i="16"/>
  <c r="CW104" i="16"/>
  <c r="CX48" i="16"/>
  <c r="BT48" i="16"/>
  <c r="GA48" i="16"/>
  <c r="FJ48" i="16"/>
  <c r="CH48" i="16"/>
  <c r="AW77" i="16"/>
  <c r="AW78" i="16" s="1"/>
  <c r="CV75" i="16"/>
  <c r="CX75" i="16"/>
  <c r="AI77" i="16"/>
  <c r="AI78" i="16" s="1"/>
  <c r="CU75" i="16"/>
  <c r="CW75" i="16"/>
  <c r="BQ75" i="16"/>
  <c r="AL77" i="16"/>
  <c r="AL78" i="16" s="1"/>
  <c r="BY76" i="16"/>
  <c r="AB89" i="16"/>
  <c r="AY91" i="16"/>
  <c r="FI89" i="16"/>
  <c r="CD95" i="16"/>
  <c r="BO89" i="16"/>
  <c r="AV89" i="16"/>
  <c r="FH89" i="16"/>
  <c r="BQ89" i="16"/>
  <c r="AL91" i="16"/>
  <c r="AL92" i="16" s="1"/>
  <c r="DO34" i="16"/>
  <c r="S34" i="16" s="1"/>
  <c r="DS34" i="16"/>
  <c r="BY33" i="16"/>
  <c r="B32" i="16"/>
  <c r="AJ35" i="16"/>
  <c r="BS33" i="16"/>
  <c r="EO33" i="16"/>
  <c r="FF33" i="16" s="1"/>
  <c r="DI118" i="16"/>
  <c r="DJ118" i="16" s="1"/>
  <c r="EB118" i="16"/>
  <c r="DY118" i="16"/>
  <c r="EB103" i="16"/>
  <c r="DI103" i="16"/>
  <c r="DJ103" i="16" s="1"/>
  <c r="DY103" i="16"/>
  <c r="AB103" i="16"/>
  <c r="FI103" i="16"/>
  <c r="FH103" i="16"/>
  <c r="AV103" i="16"/>
  <c r="GR103" i="16" s="1"/>
  <c r="BO103" i="16"/>
  <c r="CD109" i="16"/>
  <c r="AY105" i="16"/>
  <c r="AY106" i="16" s="1"/>
  <c r="DI75" i="16"/>
  <c r="DJ75" i="16" s="1"/>
  <c r="DY75" i="16"/>
  <c r="EB75" i="16"/>
  <c r="BS76" i="16"/>
  <c r="DE76" i="16"/>
  <c r="DD76" i="16"/>
  <c r="FF76" i="16"/>
  <c r="DC76" i="16"/>
  <c r="EO76" i="16"/>
  <c r="DS62" i="16"/>
  <c r="DO62" i="16"/>
  <c r="S62" i="16" s="1"/>
  <c r="CX47" i="16"/>
  <c r="AX49" i="16"/>
  <c r="AX50" i="16" s="1"/>
  <c r="FJ47" i="16"/>
  <c r="GA47" i="16"/>
  <c r="CH47" i="16"/>
  <c r="BT47" i="16"/>
  <c r="DO76" i="16"/>
  <c r="S76" i="16" s="1"/>
  <c r="DS76" i="16"/>
  <c r="FI61" i="16"/>
  <c r="AB61" i="16"/>
  <c r="AY63" i="16"/>
  <c r="AY64" i="16" s="1"/>
  <c r="CD67" i="16"/>
  <c r="FH61" i="16"/>
  <c r="AV61" i="16"/>
  <c r="BO61" i="16"/>
  <c r="BY103" i="16"/>
  <c r="B102" i="16"/>
  <c r="BS103" i="16"/>
  <c r="EO103" i="16"/>
  <c r="FF103" i="16" s="1"/>
  <c r="AJ105" i="16"/>
  <c r="CV47" i="16"/>
  <c r="AW49" i="16"/>
  <c r="AW50" i="16" s="1"/>
  <c r="DX76" i="16"/>
  <c r="EM76" i="16"/>
  <c r="EN76" i="16"/>
  <c r="EA76" i="16"/>
  <c r="BN76" i="16"/>
  <c r="BP74" i="16" s="1"/>
  <c r="DY90" i="16"/>
  <c r="DI90" i="16"/>
  <c r="DJ90" i="16" s="1"/>
  <c r="EB90" i="16"/>
  <c r="BS90" i="16"/>
  <c r="EO90" i="16"/>
  <c r="DD90" i="16"/>
  <c r="DC90" i="16"/>
  <c r="FF90" i="16"/>
  <c r="BY90" i="16"/>
  <c r="B89" i="16"/>
  <c r="DE90" i="16"/>
  <c r="EN89" i="16"/>
  <c r="DX89" i="16"/>
  <c r="EA89" i="16"/>
  <c r="BN89" i="16"/>
  <c r="EM89" i="16"/>
  <c r="AK91" i="16"/>
  <c r="AK92" i="16" s="1"/>
  <c r="BQ33" i="16"/>
  <c r="AL35" i="16"/>
  <c r="AL36" i="16" s="1"/>
  <c r="BY34" i="16"/>
  <c r="AB118" i="16"/>
  <c r="FI118" i="16"/>
  <c r="FH118" i="16"/>
  <c r="BO118" i="16"/>
  <c r="AV118" i="16"/>
  <c r="BR117" i="16"/>
  <c r="AZ119" i="16"/>
  <c r="AZ120" i="16" s="1"/>
  <c r="CW118" i="16"/>
  <c r="CU118" i="16"/>
  <c r="AJ19" i="16"/>
  <c r="GS17" i="16" s="1"/>
  <c r="AX19" i="16"/>
  <c r="AJ20" i="16"/>
  <c r="AI20" i="16"/>
  <c r="CU20" i="16" s="1"/>
  <c r="CD20" i="16"/>
  <c r="CE20" i="16" s="1"/>
  <c r="CF20" i="16" s="1"/>
  <c r="CG20" i="16" s="1"/>
  <c r="AL19" i="16"/>
  <c r="DG19" i="16"/>
  <c r="EB19" i="16" s="1"/>
  <c r="AY19" i="16"/>
  <c r="AZ20" i="16"/>
  <c r="AK19" i="16"/>
  <c r="GT17" i="16" s="1"/>
  <c r="GT18" i="16" s="1"/>
  <c r="AA20" i="16"/>
  <c r="BU20" i="16"/>
  <c r="AC19" i="16"/>
  <c r="AA19" i="16"/>
  <c r="AW20" i="16"/>
  <c r="CV20" i="16" s="1"/>
  <c r="CD19" i="16"/>
  <c r="AY20" i="16"/>
  <c r="AQ20" i="16"/>
  <c r="DG20" i="16"/>
  <c r="DI20" i="16" s="1"/>
  <c r="DJ20" i="16" s="1"/>
  <c r="DK20" i="16" s="1"/>
  <c r="AL20" i="16"/>
  <c r="AP65" i="11"/>
  <c r="AP61" i="11"/>
  <c r="AP57" i="11"/>
  <c r="AP59" i="11"/>
  <c r="AP63" i="11"/>
  <c r="O60" i="13"/>
  <c r="AP67" i="11"/>
  <c r="U53" i="11"/>
  <c r="T53" i="11" s="1"/>
  <c r="M53" i="11" s="1"/>
  <c r="O53" i="11" s="1"/>
  <c r="AA24" i="16"/>
  <c r="BG16" i="16"/>
  <c r="C16" i="16" s="1"/>
  <c r="BH16" i="16"/>
  <c r="R16" i="16" s="1"/>
  <c r="U112" i="13"/>
  <c r="AZ23" i="16"/>
  <c r="D24" i="16"/>
  <c r="K37" i="11"/>
  <c r="AV27" i="11"/>
  <c r="K25" i="11"/>
  <c r="AL24" i="16"/>
  <c r="S23" i="16"/>
  <c r="AK122" i="13"/>
  <c r="AZ24" i="16"/>
  <c r="S24" i="16"/>
  <c r="AL23" i="16"/>
  <c r="D23" i="16"/>
  <c r="AK102" i="13"/>
  <c r="AS32" i="13"/>
  <c r="U104" i="13"/>
  <c r="D120" i="13"/>
  <c r="G94" i="13"/>
  <c r="AR94" i="13"/>
  <c r="G20" i="13"/>
  <c r="V97" i="11"/>
  <c r="O52" i="13"/>
  <c r="O54" i="13"/>
  <c r="P58" i="13" s="1"/>
  <c r="O58" i="13" s="1"/>
  <c r="AS54" i="13"/>
  <c r="G52" i="13"/>
  <c r="G110" i="13"/>
  <c r="K41" i="11"/>
  <c r="G60" i="13"/>
  <c r="AR60" i="13"/>
  <c r="G24" i="13"/>
  <c r="AR24" i="13"/>
  <c r="G104" i="13"/>
  <c r="U37" i="11"/>
  <c r="T37" i="11" s="1"/>
  <c r="M37" i="11" s="1"/>
  <c r="O37" i="11" s="1"/>
  <c r="O20" i="13"/>
  <c r="G34" i="13"/>
  <c r="AR34" i="13"/>
  <c r="G26" i="13"/>
  <c r="AR26" i="13"/>
  <c r="V107" i="11"/>
  <c r="BA447" i="16"/>
  <c r="AR47" i="11"/>
  <c r="G108" i="13"/>
  <c r="V99" i="9"/>
  <c r="V105" i="11"/>
  <c r="BA433" i="16"/>
  <c r="U17" i="11"/>
  <c r="T17" i="11" s="1"/>
  <c r="M17" i="11" s="1"/>
  <c r="O17" i="11" s="1"/>
  <c r="AS24" i="13"/>
  <c r="G28" i="13"/>
  <c r="AR28" i="13"/>
  <c r="G112" i="13"/>
  <c r="AM433" i="16"/>
  <c r="AF443" i="16" s="1"/>
  <c r="C443" i="16" s="1"/>
  <c r="K103" i="11"/>
  <c r="O30" i="13"/>
  <c r="AS30" i="13"/>
  <c r="U73" i="11"/>
  <c r="AS80" i="13"/>
  <c r="G54" i="13"/>
  <c r="U15" i="11"/>
  <c r="T15" i="11" s="1"/>
  <c r="M15" i="11" s="1"/>
  <c r="O15" i="11" s="1"/>
  <c r="AS22" i="13"/>
  <c r="G88" i="13"/>
  <c r="AR88" i="13"/>
  <c r="AQ61" i="11"/>
  <c r="AS62" i="13"/>
  <c r="AQ59" i="11"/>
  <c r="G114" i="13"/>
  <c r="AM447" i="16"/>
  <c r="AF457" i="16" s="1"/>
  <c r="C457" i="16" s="1"/>
  <c r="AS41" i="11"/>
  <c r="G62" i="13"/>
  <c r="AR62" i="13"/>
  <c r="O108" i="13"/>
  <c r="U39" i="11"/>
  <c r="T39" i="11" s="1"/>
  <c r="M39" i="11" s="1"/>
  <c r="O39" i="11" s="1"/>
  <c r="AS46" i="13"/>
  <c r="AT25" i="11"/>
  <c r="AS28" i="13"/>
  <c r="G66" i="13"/>
  <c r="AR66" i="13"/>
  <c r="G22" i="13"/>
  <c r="AR22" i="13"/>
  <c r="G86" i="13"/>
  <c r="AR86" i="13"/>
  <c r="AR39" i="11"/>
  <c r="AR41" i="11"/>
  <c r="G42" i="13"/>
  <c r="AR42" i="13"/>
  <c r="G44" i="13"/>
  <c r="AR44" i="13"/>
  <c r="G50" i="13"/>
  <c r="AR50" i="13"/>
  <c r="G30" i="13"/>
  <c r="AR30" i="13"/>
  <c r="O44" i="13"/>
  <c r="AR32" i="13"/>
  <c r="U83" i="11"/>
  <c r="AS90" i="13"/>
  <c r="AS47" i="11"/>
  <c r="AR25" i="11"/>
  <c r="AR23" i="11"/>
  <c r="K17" i="11"/>
  <c r="AT47" i="11"/>
  <c r="AQ47" i="11"/>
  <c r="K47" i="11"/>
  <c r="AR27" i="11"/>
  <c r="AP39" i="11"/>
  <c r="AS21" i="11"/>
  <c r="O28" i="13"/>
  <c r="K35" i="11"/>
  <c r="AP41" i="11"/>
  <c r="O22" i="13"/>
  <c r="AQ37" i="11"/>
  <c r="K33" i="11"/>
  <c r="AR43" i="11"/>
  <c r="K47" i="9"/>
  <c r="O42" i="13"/>
  <c r="AS27" i="11"/>
  <c r="U35" i="11"/>
  <c r="T35" i="11" s="1"/>
  <c r="M35" i="11" s="1"/>
  <c r="O35" i="11" s="1"/>
  <c r="O62" i="13"/>
  <c r="AT45" i="11"/>
  <c r="AS45" i="11"/>
  <c r="AQ65" i="11"/>
  <c r="AQ63" i="11"/>
  <c r="AP55" i="11"/>
  <c r="AW55" i="11" s="1"/>
  <c r="AX55" i="11" s="1"/>
  <c r="U55" i="11"/>
  <c r="T55" i="11" s="1"/>
  <c r="M55" i="11" s="1"/>
  <c r="O55" i="11" s="1"/>
  <c r="AQ67" i="11"/>
  <c r="AQ45" i="11"/>
  <c r="K55" i="11"/>
  <c r="AR45" i="11"/>
  <c r="AV47" i="11"/>
  <c r="AQ39" i="11"/>
  <c r="K27" i="9"/>
  <c r="K45" i="11"/>
  <c r="AQ41" i="11"/>
  <c r="AS23" i="11"/>
  <c r="K25" i="9"/>
  <c r="G75" i="9"/>
  <c r="U75" i="9"/>
  <c r="G82" i="13"/>
  <c r="G75" i="11"/>
  <c r="U75" i="11"/>
  <c r="AQ83" i="11"/>
  <c r="O82" i="13"/>
  <c r="G73" i="11"/>
  <c r="G79" i="11"/>
  <c r="O86" i="13"/>
  <c r="O94" i="13"/>
  <c r="P98" i="13" s="1"/>
  <c r="O98" i="13" s="1"/>
  <c r="AQ87" i="11"/>
  <c r="AV87" i="11"/>
  <c r="AT87" i="11"/>
  <c r="AQ81" i="11"/>
  <c r="G81" i="11"/>
  <c r="U81" i="11"/>
  <c r="O88" i="13"/>
  <c r="O92" i="13"/>
  <c r="AT85" i="11"/>
  <c r="AQ85" i="11"/>
  <c r="AS85" i="11"/>
  <c r="AS87" i="11"/>
  <c r="G83" i="11"/>
  <c r="AU87" i="11"/>
  <c r="O90" i="13"/>
  <c r="AS83" i="11"/>
  <c r="AQ19" i="11"/>
  <c r="AS25" i="11"/>
  <c r="O26" i="13"/>
  <c r="K19" i="11"/>
  <c r="U19" i="11"/>
  <c r="T19" i="11" s="1"/>
  <c r="M19" i="11" s="1"/>
  <c r="O19" i="11" s="1"/>
  <c r="AR19" i="11"/>
  <c r="U23" i="11"/>
  <c r="T23" i="11" s="1"/>
  <c r="M23" i="11" s="1"/>
  <c r="O23" i="11" s="1"/>
  <c r="O24" i="13"/>
  <c r="AU25" i="11"/>
  <c r="AP75" i="11"/>
  <c r="AW75" i="11" s="1"/>
  <c r="AY75" i="11" s="1"/>
  <c r="AQ79" i="11"/>
  <c r="AS81" i="11"/>
  <c r="AT27" i="11"/>
  <c r="AQ23" i="11"/>
  <c r="U79" i="11"/>
  <c r="AT43" i="11"/>
  <c r="AP81" i="11"/>
  <c r="AR21" i="11"/>
  <c r="AT83" i="11"/>
  <c r="AP87" i="11"/>
  <c r="K23" i="11"/>
  <c r="AP79" i="11"/>
  <c r="AT23" i="11"/>
  <c r="AQ43" i="11"/>
  <c r="O80" i="13"/>
  <c r="AU85" i="11"/>
  <c r="AP83" i="11"/>
  <c r="AU27" i="11"/>
  <c r="AP85" i="11"/>
  <c r="G97" i="11"/>
  <c r="T97" i="11" s="1"/>
  <c r="M97" i="11" s="1"/>
  <c r="O97" i="11" s="1"/>
  <c r="AP45" i="11"/>
  <c r="AQ21" i="11"/>
  <c r="K97" i="11"/>
  <c r="U33" i="11"/>
  <c r="T33" i="11" s="1"/>
  <c r="M33" i="11" s="1"/>
  <c r="O33" i="11" s="1"/>
  <c r="O46" i="13"/>
  <c r="O40" i="13"/>
  <c r="K15" i="11"/>
  <c r="AP43" i="11"/>
  <c r="AP37" i="11"/>
  <c r="AQ17" i="11"/>
  <c r="AQ25" i="11"/>
  <c r="AP47" i="11"/>
  <c r="AQ27" i="11"/>
  <c r="AP35" i="11"/>
  <c r="AW35" i="11" s="1"/>
  <c r="AY35" i="11" s="1"/>
  <c r="AR99" i="11"/>
  <c r="I125" i="11"/>
  <c r="K125" i="11"/>
  <c r="K43" i="11"/>
  <c r="AV27" i="9"/>
  <c r="AU47" i="11"/>
  <c r="O50" i="13"/>
  <c r="G32" i="13"/>
  <c r="V101" i="11"/>
  <c r="O104" i="13"/>
  <c r="M125" i="11"/>
  <c r="AS43" i="11"/>
  <c r="AU45" i="11"/>
  <c r="U43" i="11"/>
  <c r="T43" i="11" s="1"/>
  <c r="M43" i="11" s="1"/>
  <c r="O43" i="11" s="1"/>
  <c r="O125" i="11"/>
  <c r="K13" i="11"/>
  <c r="AP15" i="11"/>
  <c r="AW15" i="11" s="1"/>
  <c r="AY15" i="11" s="1"/>
  <c r="AP25" i="11"/>
  <c r="AP23" i="11"/>
  <c r="U13" i="11"/>
  <c r="T13" i="11" s="1"/>
  <c r="M13" i="11" s="1"/>
  <c r="O13" i="11" s="1"/>
  <c r="AP21" i="11"/>
  <c r="AP17" i="11"/>
  <c r="AP27" i="11"/>
  <c r="AP19" i="11"/>
  <c r="K101" i="11"/>
  <c r="G101" i="11"/>
  <c r="T101" i="11" s="1"/>
  <c r="M101" i="11" s="1"/>
  <c r="V101" i="9"/>
  <c r="K105" i="11"/>
  <c r="AU107" i="11"/>
  <c r="AS101" i="11"/>
  <c r="AR101" i="11"/>
  <c r="AR105" i="11"/>
  <c r="AS107" i="11"/>
  <c r="AR107" i="11"/>
  <c r="U83" i="9"/>
  <c r="G90" i="13"/>
  <c r="G99" i="9"/>
  <c r="T99" i="9" s="1"/>
  <c r="M99" i="9" s="1"/>
  <c r="O99" i="9" s="1"/>
  <c r="G106" i="13"/>
  <c r="G103" i="11"/>
  <c r="T103" i="11" s="1"/>
  <c r="M103" i="11" s="1"/>
  <c r="BH103" i="11" s="1"/>
  <c r="BI103" i="11" s="1"/>
  <c r="BJ103" i="11" s="1"/>
  <c r="O110" i="13"/>
  <c r="U61" i="9"/>
  <c r="T61" i="9" s="1"/>
  <c r="M61" i="9" s="1"/>
  <c r="O61" i="9" s="1"/>
  <c r="G68" i="13"/>
  <c r="G73" i="9"/>
  <c r="G80" i="13"/>
  <c r="AU65" i="9"/>
  <c r="G70" i="13"/>
  <c r="AS103" i="11"/>
  <c r="AT103" i="11"/>
  <c r="K107" i="11"/>
  <c r="V103" i="9"/>
  <c r="G92" i="13"/>
  <c r="U77" i="9"/>
  <c r="G84" i="13"/>
  <c r="U57" i="9"/>
  <c r="T57" i="9" s="1"/>
  <c r="M57" i="9" s="1"/>
  <c r="O57" i="9" s="1"/>
  <c r="G64" i="13"/>
  <c r="G105" i="11"/>
  <c r="M105" i="11" s="1"/>
  <c r="O112" i="13"/>
  <c r="V105" i="9"/>
  <c r="AR103" i="11"/>
  <c r="G107" i="11"/>
  <c r="M107" i="11" s="1"/>
  <c r="O114" i="13"/>
  <c r="P118" i="13" s="1"/>
  <c r="O118" i="13" s="1"/>
  <c r="V97" i="9"/>
  <c r="U41" i="9"/>
  <c r="T41" i="9" s="1"/>
  <c r="M41" i="9" s="1"/>
  <c r="O41" i="9" s="1"/>
  <c r="G48" i="13"/>
  <c r="U33" i="9"/>
  <c r="T33" i="9" s="1"/>
  <c r="M33" i="9" s="1"/>
  <c r="O33" i="9" s="1"/>
  <c r="G40" i="13"/>
  <c r="U39" i="9"/>
  <c r="T39" i="9" s="1"/>
  <c r="M39" i="9" s="1"/>
  <c r="O39" i="9" s="1"/>
  <c r="G46" i="13"/>
  <c r="AT107" i="11"/>
  <c r="V103" i="11"/>
  <c r="V107" i="9"/>
  <c r="AS105" i="11"/>
  <c r="AT105" i="11"/>
  <c r="AV107" i="11"/>
  <c r="AU105" i="11"/>
  <c r="BB87" i="11"/>
  <c r="BB77" i="11"/>
  <c r="AS25" i="9"/>
  <c r="U19" i="9"/>
  <c r="T19" i="9" s="1"/>
  <c r="M19" i="9" s="1"/>
  <c r="O19" i="9" s="1"/>
  <c r="AS65" i="9"/>
  <c r="U59" i="9"/>
  <c r="T59" i="9" s="1"/>
  <c r="M59" i="9" s="1"/>
  <c r="O59" i="9" s="1"/>
  <c r="AV47" i="9"/>
  <c r="K43" i="9"/>
  <c r="U43" i="9"/>
  <c r="T43" i="9" s="1"/>
  <c r="M43" i="9" s="1"/>
  <c r="O43" i="9" s="1"/>
  <c r="AQ27" i="9"/>
  <c r="U15" i="9"/>
  <c r="T15" i="9" s="1"/>
  <c r="M15" i="9" s="1"/>
  <c r="O15" i="9" s="1"/>
  <c r="AR103" i="9"/>
  <c r="AP25" i="9"/>
  <c r="U13" i="9"/>
  <c r="T13" i="9" s="1"/>
  <c r="M13" i="9" s="1"/>
  <c r="O13" i="9" s="1"/>
  <c r="AT27" i="9"/>
  <c r="U21" i="9"/>
  <c r="T21" i="9" s="1"/>
  <c r="M21" i="9" s="1"/>
  <c r="O21" i="9" s="1"/>
  <c r="AQ67" i="9"/>
  <c r="U55" i="9"/>
  <c r="T55" i="9" s="1"/>
  <c r="M55" i="9" s="1"/>
  <c r="O55" i="9" s="1"/>
  <c r="AQ47" i="9"/>
  <c r="U35" i="9"/>
  <c r="T35" i="9" s="1"/>
  <c r="M35" i="9" s="1"/>
  <c r="O35" i="9" s="1"/>
  <c r="AR47" i="9"/>
  <c r="U37" i="9"/>
  <c r="T37" i="9" s="1"/>
  <c r="M37" i="9" s="1"/>
  <c r="O37" i="9" s="1"/>
  <c r="U73" i="9"/>
  <c r="U23" i="9"/>
  <c r="T23" i="9" s="1"/>
  <c r="M23" i="9" s="1"/>
  <c r="O23" i="9" s="1"/>
  <c r="AQ81" i="9"/>
  <c r="U81" i="9"/>
  <c r="AP65" i="9"/>
  <c r="U53" i="9"/>
  <c r="T53" i="9" s="1"/>
  <c r="M53" i="9" s="1"/>
  <c r="O53" i="9" s="1"/>
  <c r="AR25" i="9"/>
  <c r="U17" i="9"/>
  <c r="T17" i="9" s="1"/>
  <c r="M17" i="9" s="1"/>
  <c r="O17" i="9" s="1"/>
  <c r="G79" i="9"/>
  <c r="U79" i="9"/>
  <c r="U63" i="9"/>
  <c r="T63" i="9" s="1"/>
  <c r="M63" i="9" s="1"/>
  <c r="O63" i="9" s="1"/>
  <c r="AQ65" i="9"/>
  <c r="AR63" i="9"/>
  <c r="AU67" i="9"/>
  <c r="AQ43" i="9"/>
  <c r="AP43" i="9"/>
  <c r="AU47" i="9"/>
  <c r="AS43" i="9"/>
  <c r="AR107" i="9"/>
  <c r="AR43" i="9"/>
  <c r="AR105" i="9"/>
  <c r="AT43" i="9"/>
  <c r="AS47" i="9"/>
  <c r="AP27" i="9"/>
  <c r="AQ63" i="9"/>
  <c r="AS101" i="9"/>
  <c r="G81" i="9"/>
  <c r="AP47" i="9"/>
  <c r="AS81" i="9"/>
  <c r="AS103" i="9"/>
  <c r="AR79" i="9"/>
  <c r="AU27" i="9"/>
  <c r="AR99" i="9"/>
  <c r="AS107" i="9"/>
  <c r="K63" i="9"/>
  <c r="AR65" i="9"/>
  <c r="AS63" i="9"/>
  <c r="AT47" i="9"/>
  <c r="AQ23" i="9"/>
  <c r="AP81" i="9"/>
  <c r="BX113" i="9"/>
  <c r="BY113" i="9" s="1"/>
  <c r="AR27" i="9"/>
  <c r="AP63" i="9"/>
  <c r="AR23" i="9"/>
  <c r="AS27" i="9"/>
  <c r="AS23" i="9"/>
  <c r="K23" i="9"/>
  <c r="AU25" i="9"/>
  <c r="AP79" i="9"/>
  <c r="AP23" i="9"/>
  <c r="AP75" i="9"/>
  <c r="AW75" i="9" s="1"/>
  <c r="AX75" i="9" s="1"/>
  <c r="K99" i="9"/>
  <c r="AQ79" i="9"/>
  <c r="BX93" i="9"/>
  <c r="BY93" i="9" s="1"/>
  <c r="BX115" i="9"/>
  <c r="BY115" i="9" s="1"/>
  <c r="G103" i="9"/>
  <c r="T103" i="9" s="1"/>
  <c r="M103" i="9" s="1"/>
  <c r="O103" i="9" s="1"/>
  <c r="AT103" i="9"/>
  <c r="K103" i="9"/>
  <c r="G107" i="9"/>
  <c r="M107" i="9" s="1"/>
  <c r="O107" i="9" s="1"/>
  <c r="AU107" i="9"/>
  <c r="AT107" i="9"/>
  <c r="K107" i="9"/>
  <c r="AV107" i="9"/>
  <c r="BX115" i="11"/>
  <c r="BY115" i="11" s="1"/>
  <c r="AZ89" i="9"/>
  <c r="BB72" i="9"/>
  <c r="G101" i="9"/>
  <c r="T101" i="9" s="1"/>
  <c r="M101" i="9" s="1"/>
  <c r="O101" i="9" s="1"/>
  <c r="K101" i="9"/>
  <c r="G105" i="9"/>
  <c r="M105" i="9" s="1"/>
  <c r="O105" i="9" s="1"/>
  <c r="AT105" i="9"/>
  <c r="K105" i="9"/>
  <c r="AU105" i="9"/>
  <c r="AR81" i="9"/>
  <c r="AR101" i="9"/>
  <c r="G97" i="9"/>
  <c r="T97" i="9" s="1"/>
  <c r="M97" i="9" s="1"/>
  <c r="O97" i="9" s="1"/>
  <c r="K97" i="9"/>
  <c r="BX113" i="11"/>
  <c r="BY113" i="11" s="1"/>
  <c r="AS105" i="9"/>
  <c r="AP35" i="9"/>
  <c r="AW35" i="9" s="1"/>
  <c r="K35" i="9"/>
  <c r="AQ37" i="9"/>
  <c r="K37" i="9"/>
  <c r="AP37" i="9"/>
  <c r="K53" i="9"/>
  <c r="AP17" i="9"/>
  <c r="K17" i="9"/>
  <c r="AQ17" i="9"/>
  <c r="BX95" i="11"/>
  <c r="BY95" i="11" s="1"/>
  <c r="AS87" i="9"/>
  <c r="AP87" i="9"/>
  <c r="AV87" i="9"/>
  <c r="AR87" i="9"/>
  <c r="AU87" i="9"/>
  <c r="AQ87" i="9"/>
  <c r="AT87" i="9"/>
  <c r="K21" i="9"/>
  <c r="AR21" i="9"/>
  <c r="AQ21" i="9"/>
  <c r="AS21" i="9"/>
  <c r="AP21" i="9"/>
  <c r="AT23" i="9"/>
  <c r="AQ19" i="9"/>
  <c r="AP19" i="9"/>
  <c r="AR19" i="9"/>
  <c r="K19" i="9"/>
  <c r="K13" i="9"/>
  <c r="AQ61" i="9"/>
  <c r="AR61" i="9"/>
  <c r="AP61" i="9"/>
  <c r="K61" i="9"/>
  <c r="AS61" i="9"/>
  <c r="AS45" i="9"/>
  <c r="AR45" i="9"/>
  <c r="AQ45" i="9"/>
  <c r="AT45" i="9"/>
  <c r="AU45" i="9"/>
  <c r="AP45" i="9"/>
  <c r="K45" i="9"/>
  <c r="AQ59" i="9"/>
  <c r="AR59" i="9"/>
  <c r="K59" i="9"/>
  <c r="AP59" i="9"/>
  <c r="AQ57" i="9"/>
  <c r="AP57" i="9"/>
  <c r="K57" i="9"/>
  <c r="AP15" i="9"/>
  <c r="AW15" i="9" s="1"/>
  <c r="K15" i="9"/>
  <c r="M125" i="9"/>
  <c r="G126" i="9"/>
  <c r="K125" i="9"/>
  <c r="I125" i="9"/>
  <c r="O125" i="9"/>
  <c r="AR67" i="9"/>
  <c r="AZ29" i="11"/>
  <c r="BB12" i="11"/>
  <c r="AP41" i="9"/>
  <c r="K41" i="9"/>
  <c r="AR41" i="9"/>
  <c r="AS41" i="9"/>
  <c r="AQ41" i="9"/>
  <c r="K33" i="9"/>
  <c r="K39" i="9"/>
  <c r="AP39" i="9"/>
  <c r="AR39" i="9"/>
  <c r="AQ39" i="9"/>
  <c r="AQ25" i="9"/>
  <c r="AT67" i="9"/>
  <c r="AS83" i="9"/>
  <c r="AQ83" i="9"/>
  <c r="AR83" i="9"/>
  <c r="AT83" i="9"/>
  <c r="AP83" i="9"/>
  <c r="G83" i="9"/>
  <c r="BX93" i="11"/>
  <c r="BY93" i="11" s="1"/>
  <c r="G127" i="11"/>
  <c r="O126" i="11"/>
  <c r="M126" i="11"/>
  <c r="K126" i="11"/>
  <c r="I126" i="11"/>
  <c r="AS85" i="9"/>
  <c r="AT85" i="9"/>
  <c r="AU85" i="9"/>
  <c r="AQ85" i="9"/>
  <c r="AR85" i="9"/>
  <c r="AP85" i="9"/>
  <c r="M87" i="9"/>
  <c r="O87" i="9" s="1"/>
  <c r="BB52" i="9"/>
  <c r="AZ69" i="9"/>
  <c r="BB52" i="11"/>
  <c r="AZ69" i="11"/>
  <c r="BX95" i="9"/>
  <c r="BY95" i="9" s="1"/>
  <c r="AZ29" i="9"/>
  <c r="BB12" i="9"/>
  <c r="AS67" i="9"/>
  <c r="AP77" i="9"/>
  <c r="AQ77" i="9"/>
  <c r="G77" i="9"/>
  <c r="AT65" i="9"/>
  <c r="AT63" i="9"/>
  <c r="AP55" i="9"/>
  <c r="AW55" i="9" s="1"/>
  <c r="K55" i="9"/>
  <c r="AT25" i="9"/>
  <c r="AP67" i="9"/>
  <c r="BH99" i="11" l="1"/>
  <c r="BI99" i="11" s="1"/>
  <c r="BJ99" i="11" s="1"/>
  <c r="E229" i="16"/>
  <c r="E341" i="16"/>
  <c r="CS341" i="16"/>
  <c r="DK104" i="16"/>
  <c r="DL104" i="16"/>
  <c r="DK103" i="16"/>
  <c r="DL103" i="16"/>
  <c r="CI104" i="16"/>
  <c r="HL17" i="16"/>
  <c r="BV19" i="16"/>
  <c r="BW19" i="16" s="1"/>
  <c r="BX19" i="16" s="1"/>
  <c r="BY19" i="16" s="1"/>
  <c r="CA19" i="16" s="1"/>
  <c r="DK33" i="16"/>
  <c r="DL33" i="16"/>
  <c r="BH61" i="11"/>
  <c r="BI61" i="11" s="1"/>
  <c r="BJ61" i="11" s="1"/>
  <c r="BH57" i="11"/>
  <c r="BI57" i="11" s="1"/>
  <c r="BJ57" i="11" s="1"/>
  <c r="BG84" i="13"/>
  <c r="HH314" i="16"/>
  <c r="BH55" i="11"/>
  <c r="BI55" i="11" s="1"/>
  <c r="BJ55" i="11" s="1"/>
  <c r="AQ77" i="11"/>
  <c r="AR79" i="11"/>
  <c r="AR83" i="11"/>
  <c r="AR87" i="11"/>
  <c r="AW87" i="11" s="1"/>
  <c r="AY87" i="11" s="1"/>
  <c r="AR81" i="11"/>
  <c r="AW81" i="11" s="1"/>
  <c r="AX81" i="11" s="1"/>
  <c r="AP77" i="11"/>
  <c r="BH86" i="16"/>
  <c r="R86" i="16" s="1"/>
  <c r="D94" i="16"/>
  <c r="S93" i="16"/>
  <c r="AR85" i="11"/>
  <c r="P101" i="19"/>
  <c r="G102" i="19" s="1"/>
  <c r="P53" i="19"/>
  <c r="G54" i="19" s="1"/>
  <c r="BG86" i="16"/>
  <c r="C86" i="16" s="1"/>
  <c r="GD86" i="16"/>
  <c r="S94" i="16"/>
  <c r="D93" i="16"/>
  <c r="AA94" i="16"/>
  <c r="P89" i="19"/>
  <c r="G90" i="19" s="1"/>
  <c r="P65" i="19"/>
  <c r="G66" i="19" s="1"/>
  <c r="P137" i="19"/>
  <c r="G138" i="19" s="1"/>
  <c r="P173" i="19"/>
  <c r="G174" i="19" s="1"/>
  <c r="P29" i="19"/>
  <c r="G30" i="19" s="1"/>
  <c r="P161" i="19"/>
  <c r="G162" i="19" s="1"/>
  <c r="P185" i="19"/>
  <c r="G186" i="19" s="1"/>
  <c r="P113" i="19"/>
  <c r="G114" i="19" s="1"/>
  <c r="P125" i="19"/>
  <c r="G126" i="19" s="1"/>
  <c r="P17" i="19"/>
  <c r="G18" i="19" s="1"/>
  <c r="P5" i="19"/>
  <c r="G6" i="19" s="1"/>
  <c r="P149" i="19"/>
  <c r="G150" i="19" s="1"/>
  <c r="P77" i="19"/>
  <c r="G78" i="19" s="1"/>
  <c r="P41" i="19"/>
  <c r="G42" i="19" s="1"/>
  <c r="BH37" i="11"/>
  <c r="BI37" i="11" s="1"/>
  <c r="BJ37" i="11" s="1"/>
  <c r="BH59" i="11"/>
  <c r="BI59" i="11" s="1"/>
  <c r="BJ59" i="11" s="1"/>
  <c r="AM442" i="16"/>
  <c r="J442" i="16" s="1"/>
  <c r="AL443" i="16"/>
  <c r="BA442" i="16"/>
  <c r="Y442" i="16" s="1"/>
  <c r="AZ444" i="16"/>
  <c r="AZ443" i="16"/>
  <c r="AL444" i="16"/>
  <c r="AL402" i="16"/>
  <c r="AZ401" i="16"/>
  <c r="AL401" i="16"/>
  <c r="AM400" i="16"/>
  <c r="J400" i="16" s="1"/>
  <c r="AZ402" i="16"/>
  <c r="AZ262" i="16"/>
  <c r="BA259" i="16" s="1"/>
  <c r="AZ261" i="16"/>
  <c r="AL262" i="16"/>
  <c r="AL261" i="16"/>
  <c r="AZ206" i="16"/>
  <c r="AZ205" i="16"/>
  <c r="AL206" i="16"/>
  <c r="AL205" i="16"/>
  <c r="AL248" i="16"/>
  <c r="AZ247" i="16"/>
  <c r="AL247" i="16"/>
  <c r="BA246" i="16"/>
  <c r="Y246" i="16" s="1"/>
  <c r="AZ248" i="16"/>
  <c r="AL458" i="16"/>
  <c r="AZ457" i="16"/>
  <c r="AM456" i="16"/>
  <c r="J456" i="16" s="1"/>
  <c r="AL457" i="16"/>
  <c r="BA456" i="16"/>
  <c r="Y456" i="16" s="1"/>
  <c r="AZ458" i="16"/>
  <c r="AL149" i="16"/>
  <c r="AZ150" i="16"/>
  <c r="AZ149" i="16"/>
  <c r="AL150" i="16"/>
  <c r="AL66" i="16"/>
  <c r="AZ65" i="16"/>
  <c r="AZ66" i="16"/>
  <c r="AL65" i="16"/>
  <c r="S107" i="16"/>
  <c r="AL107" i="16"/>
  <c r="AZ108" i="16"/>
  <c r="AL108" i="16"/>
  <c r="AZ107" i="16"/>
  <c r="GD156" i="16"/>
  <c r="AZ164" i="16"/>
  <c r="AZ163" i="16"/>
  <c r="AL164" i="16"/>
  <c r="AL163" i="16"/>
  <c r="BG212" i="16"/>
  <c r="C212" i="16" s="1"/>
  <c r="AZ220" i="16"/>
  <c r="AL220" i="16"/>
  <c r="AZ219" i="16"/>
  <c r="AL219" i="16"/>
  <c r="AY92" i="16"/>
  <c r="AL192" i="16"/>
  <c r="AZ191" i="16"/>
  <c r="AL191" i="16"/>
  <c r="AZ192" i="16"/>
  <c r="BA428" i="16"/>
  <c r="AZ430" i="16"/>
  <c r="AL430" i="16"/>
  <c r="AL429" i="16"/>
  <c r="AZ429" i="16"/>
  <c r="AM428" i="16"/>
  <c r="GD268" i="16"/>
  <c r="AZ276" i="16"/>
  <c r="AL276" i="16"/>
  <c r="AZ275" i="16"/>
  <c r="BA273" i="16" s="1"/>
  <c r="AL275" i="16"/>
  <c r="AZ318" i="16"/>
  <c r="AZ317" i="16"/>
  <c r="AL318" i="16"/>
  <c r="AM316" i="16"/>
  <c r="J316" i="16" s="1"/>
  <c r="AL317" i="16"/>
  <c r="BA316" i="16"/>
  <c r="Y316" i="16" s="1"/>
  <c r="AL233" i="16"/>
  <c r="AZ234" i="16"/>
  <c r="AZ233" i="16"/>
  <c r="AL234" i="16"/>
  <c r="BA372" i="16"/>
  <c r="Y372" i="16" s="1"/>
  <c r="AZ374" i="16"/>
  <c r="AL374" i="16"/>
  <c r="AL373" i="16"/>
  <c r="AZ373" i="16"/>
  <c r="AM372" i="16"/>
  <c r="J372" i="16" s="1"/>
  <c r="AZ472" i="16"/>
  <c r="AZ471" i="16"/>
  <c r="AL472" i="16"/>
  <c r="AL471" i="16"/>
  <c r="AZ94" i="16"/>
  <c r="AL94" i="16"/>
  <c r="AZ93" i="16"/>
  <c r="AL93" i="16"/>
  <c r="AM91" i="16" s="1"/>
  <c r="AL289" i="16"/>
  <c r="AZ290" i="16"/>
  <c r="AZ289" i="16"/>
  <c r="AL290" i="16"/>
  <c r="AZ416" i="16"/>
  <c r="AL416" i="16"/>
  <c r="AZ415" i="16"/>
  <c r="AL415" i="16"/>
  <c r="AZ360" i="16"/>
  <c r="AZ359" i="16"/>
  <c r="AL360" i="16"/>
  <c r="AL359" i="16"/>
  <c r="D387" i="16"/>
  <c r="AL387" i="16"/>
  <c r="AZ388" i="16"/>
  <c r="AZ387" i="16"/>
  <c r="BA385" i="16" s="1"/>
  <c r="AL388" i="16"/>
  <c r="AL304" i="16"/>
  <c r="AZ303" i="16"/>
  <c r="AL303" i="16"/>
  <c r="AM302" i="16"/>
  <c r="J302" i="16" s="1"/>
  <c r="BA302" i="16"/>
  <c r="Y302" i="16" s="1"/>
  <c r="AZ304" i="16"/>
  <c r="AZ136" i="16"/>
  <c r="AZ135" i="16"/>
  <c r="AL136" i="16"/>
  <c r="AL135" i="16"/>
  <c r="BA329" i="16"/>
  <c r="BA330" i="16"/>
  <c r="Y330" i="16" s="1"/>
  <c r="AZ332" i="16"/>
  <c r="AL332" i="16"/>
  <c r="AZ331" i="16"/>
  <c r="AM330" i="16"/>
  <c r="J330" i="16" s="1"/>
  <c r="AL331" i="16"/>
  <c r="AZ80" i="16"/>
  <c r="AL80" i="16"/>
  <c r="AL79" i="16"/>
  <c r="AZ79" i="16"/>
  <c r="AL122" i="16"/>
  <c r="AZ121" i="16"/>
  <c r="AL121" i="16"/>
  <c r="AZ122" i="16"/>
  <c r="AM344" i="16"/>
  <c r="J344" i="16" s="1"/>
  <c r="AL345" i="16"/>
  <c r="BA344" i="16"/>
  <c r="Y344" i="16" s="1"/>
  <c r="AZ346" i="16"/>
  <c r="AL346" i="16"/>
  <c r="AZ345" i="16"/>
  <c r="AT457" i="16"/>
  <c r="R457" i="16" s="1"/>
  <c r="AT443" i="16"/>
  <c r="R443" i="16" s="1"/>
  <c r="BH53" i="11"/>
  <c r="BI53" i="11" s="1"/>
  <c r="BJ53" i="11" s="1"/>
  <c r="BH15" i="11"/>
  <c r="BI15" i="11" s="1"/>
  <c r="BJ15" i="11" s="1"/>
  <c r="BG104" i="13"/>
  <c r="BF99" i="11"/>
  <c r="BG99" i="11" s="1"/>
  <c r="BB13" i="9"/>
  <c r="BB15" i="9"/>
  <c r="BB17" i="9"/>
  <c r="BB15" i="11"/>
  <c r="BB23" i="11"/>
  <c r="BB19" i="11"/>
  <c r="BB21" i="11"/>
  <c r="BB13" i="11"/>
  <c r="BB17" i="11"/>
  <c r="BV20" i="16"/>
  <c r="BW20" i="16" s="1"/>
  <c r="BX20" i="16" s="1"/>
  <c r="BY20" i="16" s="1"/>
  <c r="BZ20" i="16" s="1"/>
  <c r="BK102" i="16"/>
  <c r="AM102" i="16" s="1"/>
  <c r="J102" i="16" s="1"/>
  <c r="CH20" i="16"/>
  <c r="CI20" i="16" s="1"/>
  <c r="BT20" i="16"/>
  <c r="FJ20" i="16"/>
  <c r="GA20" i="16" s="1"/>
  <c r="AM284" i="16"/>
  <c r="J284" i="16" s="1"/>
  <c r="AM116" i="16"/>
  <c r="J116" i="16" s="1"/>
  <c r="BY319" i="16"/>
  <c r="BL319" i="16"/>
  <c r="BY403" i="16"/>
  <c r="BL403" i="16"/>
  <c r="AM270" i="16"/>
  <c r="J270" i="16" s="1"/>
  <c r="BY445" i="16"/>
  <c r="BL445" i="16"/>
  <c r="BY137" i="16"/>
  <c r="BL137" i="16"/>
  <c r="AM158" i="16"/>
  <c r="J158" i="16" s="1"/>
  <c r="BY67" i="16"/>
  <c r="BL67" i="16"/>
  <c r="BY53" i="16"/>
  <c r="BL53" i="16"/>
  <c r="AM340" i="16"/>
  <c r="J340" i="16" s="1"/>
  <c r="AM172" i="16"/>
  <c r="J172" i="16" s="1"/>
  <c r="BY361" i="16"/>
  <c r="BL361" i="16"/>
  <c r="AM228" i="16"/>
  <c r="J228" i="16" s="1"/>
  <c r="BY375" i="16"/>
  <c r="BL375" i="16"/>
  <c r="BY193" i="16"/>
  <c r="BL193" i="16"/>
  <c r="AM410" i="16"/>
  <c r="J410" i="16" s="1"/>
  <c r="AM466" i="16"/>
  <c r="J466" i="16" s="1"/>
  <c r="BY333" i="16"/>
  <c r="BL333" i="16"/>
  <c r="AM368" i="16"/>
  <c r="J368" i="16" s="1"/>
  <c r="AM256" i="16"/>
  <c r="J256" i="16" s="1"/>
  <c r="BY291" i="16"/>
  <c r="BL291" i="16"/>
  <c r="BY207" i="16"/>
  <c r="BL207" i="16"/>
  <c r="AM312" i="16"/>
  <c r="J312" i="16" s="1"/>
  <c r="BY389" i="16"/>
  <c r="BL389" i="16"/>
  <c r="BY263" i="16"/>
  <c r="BL263" i="16"/>
  <c r="AM32" i="16"/>
  <c r="J32" i="16" s="1"/>
  <c r="AM130" i="16"/>
  <c r="J130" i="16" s="1"/>
  <c r="BY249" i="16"/>
  <c r="BL249" i="16"/>
  <c r="AM326" i="16"/>
  <c r="J326" i="16" s="1"/>
  <c r="AM382" i="16"/>
  <c r="J382" i="16" s="1"/>
  <c r="BY305" i="16"/>
  <c r="BL305" i="16"/>
  <c r="BY151" i="16"/>
  <c r="BL151" i="16"/>
  <c r="BY277" i="16"/>
  <c r="BL277" i="16"/>
  <c r="BY235" i="16"/>
  <c r="BL235" i="16"/>
  <c r="BY221" i="16"/>
  <c r="BL221" i="16"/>
  <c r="AM424" i="16"/>
  <c r="J424" i="16" s="1"/>
  <c r="BY39" i="16"/>
  <c r="BL39" i="16"/>
  <c r="AM354" i="16"/>
  <c r="J354" i="16" s="1"/>
  <c r="AM242" i="16"/>
  <c r="J242" i="16" s="1"/>
  <c r="AM452" i="16"/>
  <c r="J452" i="16" s="1"/>
  <c r="BY165" i="16"/>
  <c r="BL165" i="16"/>
  <c r="BH23" i="11"/>
  <c r="BI23" i="11" s="1"/>
  <c r="BJ23" i="11" s="1"/>
  <c r="BY95" i="16"/>
  <c r="BL95" i="16"/>
  <c r="AM60" i="16"/>
  <c r="J60" i="16" s="1"/>
  <c r="BY81" i="16"/>
  <c r="BL81" i="16"/>
  <c r="BY473" i="16"/>
  <c r="BL473" i="16"/>
  <c r="AM396" i="16"/>
  <c r="J396" i="16" s="1"/>
  <c r="AM186" i="16"/>
  <c r="J186" i="16" s="1"/>
  <c r="AM144" i="16"/>
  <c r="J144" i="16" s="1"/>
  <c r="AM200" i="16"/>
  <c r="J200" i="16" s="1"/>
  <c r="AM438" i="16"/>
  <c r="J438" i="16" s="1"/>
  <c r="AM214" i="16"/>
  <c r="J214" i="16" s="1"/>
  <c r="BY123" i="16"/>
  <c r="BL123" i="16"/>
  <c r="AM46" i="16"/>
  <c r="J46" i="16" s="1"/>
  <c r="BY431" i="16"/>
  <c r="BL431" i="16"/>
  <c r="BY417" i="16"/>
  <c r="BL417" i="16"/>
  <c r="BY459" i="16"/>
  <c r="BL459" i="16"/>
  <c r="BY347" i="16"/>
  <c r="BL347" i="16"/>
  <c r="AM298" i="16"/>
  <c r="J298" i="16" s="1"/>
  <c r="BY179" i="16"/>
  <c r="BL179" i="16"/>
  <c r="BY109" i="16"/>
  <c r="BL109" i="16"/>
  <c r="BL102" i="16" s="1"/>
  <c r="AM88" i="16"/>
  <c r="J88" i="16" s="1"/>
  <c r="AM74" i="16"/>
  <c r="J74" i="16" s="1"/>
  <c r="BF59" i="11"/>
  <c r="BG59" i="11" s="1"/>
  <c r="BB75" i="9"/>
  <c r="BB81" i="9"/>
  <c r="BB79" i="9"/>
  <c r="BB83" i="9"/>
  <c r="BB23" i="9"/>
  <c r="BB21" i="9"/>
  <c r="BB19" i="9"/>
  <c r="S248" i="16"/>
  <c r="BA245" i="16"/>
  <c r="D248" i="16"/>
  <c r="S247" i="16"/>
  <c r="HC18" i="16"/>
  <c r="BG240" i="16"/>
  <c r="C240" i="16" s="1"/>
  <c r="GD240" i="16"/>
  <c r="DR20" i="16"/>
  <c r="DN20" i="16"/>
  <c r="D20" i="16" s="1"/>
  <c r="DL20" i="16"/>
  <c r="DS20" i="16" s="1"/>
  <c r="DU20" i="16" s="1"/>
  <c r="DW20" i="16" s="1"/>
  <c r="HK368" i="16"/>
  <c r="AS84" i="13"/>
  <c r="BA321" i="16" s="1"/>
  <c r="G77" i="11"/>
  <c r="O84" i="13"/>
  <c r="HH104" i="16"/>
  <c r="HK186" i="16"/>
  <c r="HM186" i="16" s="1"/>
  <c r="HK74" i="16"/>
  <c r="HK200" i="16"/>
  <c r="HH398" i="16"/>
  <c r="HK158" i="16"/>
  <c r="HK88" i="16"/>
  <c r="HK228" i="16"/>
  <c r="S276" i="16"/>
  <c r="HH76" i="16"/>
  <c r="HH90" i="16"/>
  <c r="AA276" i="16"/>
  <c r="HH202" i="16"/>
  <c r="HK284" i="16"/>
  <c r="HK46" i="16"/>
  <c r="HK144" i="16"/>
  <c r="BH268" i="16"/>
  <c r="R268" i="16" s="1"/>
  <c r="HK326" i="16"/>
  <c r="AA220" i="16"/>
  <c r="HH230" i="16"/>
  <c r="HH454" i="16"/>
  <c r="BH212" i="16"/>
  <c r="R212" i="16" s="1"/>
  <c r="S219" i="16"/>
  <c r="D275" i="16"/>
  <c r="HK452" i="16"/>
  <c r="HH412" i="16"/>
  <c r="AJ266" i="16"/>
  <c r="BA266" i="16" s="1"/>
  <c r="D220" i="16"/>
  <c r="S220" i="16"/>
  <c r="AM273" i="16"/>
  <c r="S275" i="16"/>
  <c r="D276" i="16"/>
  <c r="GD212" i="16"/>
  <c r="HH48" i="16"/>
  <c r="HK116" i="16"/>
  <c r="D219" i="16"/>
  <c r="BG268" i="16"/>
  <c r="C268" i="16" s="1"/>
  <c r="HK410" i="16"/>
  <c r="HH328" i="16"/>
  <c r="HH286" i="16"/>
  <c r="HK382" i="16"/>
  <c r="HK214" i="16"/>
  <c r="HK242" i="16"/>
  <c r="HK172" i="16"/>
  <c r="HM296" i="16"/>
  <c r="HK298" i="16" s="1"/>
  <c r="AA122" i="16"/>
  <c r="HH297" i="16"/>
  <c r="HH300" i="16" s="1"/>
  <c r="AA248" i="16"/>
  <c r="HH255" i="16"/>
  <c r="HH258" i="16" s="1"/>
  <c r="HL255" i="16"/>
  <c r="HM254" i="16" s="1"/>
  <c r="HK256" i="16" s="1"/>
  <c r="HK354" i="16"/>
  <c r="HK130" i="16"/>
  <c r="HH384" i="16"/>
  <c r="HH244" i="16"/>
  <c r="HH118" i="16"/>
  <c r="HH160" i="16"/>
  <c r="HH174" i="16"/>
  <c r="HH146" i="16"/>
  <c r="DZ257" i="16"/>
  <c r="EE257" i="16" s="1"/>
  <c r="AJ238" i="16"/>
  <c r="AM238" i="16" s="1"/>
  <c r="AF248" i="16" s="1"/>
  <c r="C248" i="16" s="1"/>
  <c r="GE242" i="16" s="1"/>
  <c r="BH240" i="16"/>
  <c r="R240" i="16" s="1"/>
  <c r="AA206" i="16"/>
  <c r="HH356" i="16"/>
  <c r="HH132" i="16"/>
  <c r="HK466" i="16"/>
  <c r="HH440" i="16"/>
  <c r="HH34" i="16"/>
  <c r="HH426" i="16"/>
  <c r="HK340" i="16"/>
  <c r="HM58" i="16"/>
  <c r="HK60" i="16" s="1"/>
  <c r="HH269" i="16"/>
  <c r="HH272" i="16" s="1"/>
  <c r="HL269" i="16"/>
  <c r="HM268" i="16" s="1"/>
  <c r="HK270" i="16" s="1"/>
  <c r="HK396" i="16"/>
  <c r="D247" i="16"/>
  <c r="AM245" i="16"/>
  <c r="HK312" i="16"/>
  <c r="HK102" i="16"/>
  <c r="HH188" i="16"/>
  <c r="HH468" i="16"/>
  <c r="HK438" i="16"/>
  <c r="HK32" i="16"/>
  <c r="HK424" i="16"/>
  <c r="HH342" i="16"/>
  <c r="HH59" i="16"/>
  <c r="HH62" i="16" s="1"/>
  <c r="U77" i="11"/>
  <c r="D205" i="16"/>
  <c r="D206" i="16"/>
  <c r="BG198" i="16"/>
  <c r="C198" i="16" s="1"/>
  <c r="S205" i="16"/>
  <c r="S206" i="16"/>
  <c r="GD198" i="16"/>
  <c r="BH63" i="11"/>
  <c r="BI63" i="11" s="1"/>
  <c r="BJ63" i="11" s="1"/>
  <c r="BH198" i="16"/>
  <c r="R198" i="16" s="1"/>
  <c r="DZ342" i="16"/>
  <c r="EE342" i="16" s="1"/>
  <c r="BA343" i="16"/>
  <c r="S122" i="16"/>
  <c r="D345" i="16"/>
  <c r="S346" i="16"/>
  <c r="D457" i="16"/>
  <c r="BH114" i="16"/>
  <c r="R114" i="16" s="1"/>
  <c r="D121" i="16"/>
  <c r="BA455" i="16"/>
  <c r="L457" i="16"/>
  <c r="D388" i="16"/>
  <c r="BH380" i="16"/>
  <c r="R380" i="16" s="1"/>
  <c r="GD380" i="16"/>
  <c r="HE47" i="16"/>
  <c r="P346" i="16"/>
  <c r="AM119" i="16"/>
  <c r="GD338" i="16"/>
  <c r="L345" i="16"/>
  <c r="AJ336" i="16"/>
  <c r="BA119" i="16"/>
  <c r="AJ448" i="16"/>
  <c r="AM343" i="16"/>
  <c r="S345" i="16"/>
  <c r="L346" i="16"/>
  <c r="D122" i="16"/>
  <c r="AM112" i="16"/>
  <c r="AF122" i="16" s="1"/>
  <c r="C122" i="16" s="1"/>
  <c r="E122" i="16" s="1"/>
  <c r="GD114" i="16"/>
  <c r="AM336" i="16"/>
  <c r="AF346" i="16" s="1"/>
  <c r="C346" i="16" s="1"/>
  <c r="E346" i="16" s="1"/>
  <c r="BA336" i="16"/>
  <c r="BH338" i="16"/>
  <c r="R338" i="16" s="1"/>
  <c r="P458" i="16"/>
  <c r="BF65" i="11"/>
  <c r="BG65" i="11" s="1"/>
  <c r="BL65" i="11" s="1"/>
  <c r="P345" i="16"/>
  <c r="BG338" i="16"/>
  <c r="C338" i="16" s="1"/>
  <c r="S121" i="16"/>
  <c r="O65" i="11"/>
  <c r="D346" i="16"/>
  <c r="AA346" i="16"/>
  <c r="BG114" i="16"/>
  <c r="C114" i="16" s="1"/>
  <c r="BH450" i="16"/>
  <c r="R450" i="16" s="1"/>
  <c r="AJ378" i="16"/>
  <c r="S387" i="16"/>
  <c r="AM385" i="16"/>
  <c r="HC20" i="16"/>
  <c r="AM49" i="16"/>
  <c r="BG380" i="16"/>
  <c r="C380" i="16" s="1"/>
  <c r="S388" i="16"/>
  <c r="AA388" i="16"/>
  <c r="BF61" i="11"/>
  <c r="BG61" i="11" s="1"/>
  <c r="BH21" i="11"/>
  <c r="BI21" i="11" s="1"/>
  <c r="BJ21" i="11" s="1"/>
  <c r="BH63" i="9"/>
  <c r="BI63" i="9" s="1"/>
  <c r="BJ63" i="9" s="1"/>
  <c r="BH17" i="11"/>
  <c r="BI17" i="11" s="1"/>
  <c r="BJ17" i="11" s="1"/>
  <c r="BG450" i="16"/>
  <c r="C450" i="16" s="1"/>
  <c r="L458" i="16"/>
  <c r="D458" i="16"/>
  <c r="BA448" i="16"/>
  <c r="AM455" i="16"/>
  <c r="HC47" i="16"/>
  <c r="O27" i="11"/>
  <c r="BH27" i="11"/>
  <c r="BI27" i="11" s="1"/>
  <c r="BJ27" i="11" s="1"/>
  <c r="AA458" i="16"/>
  <c r="S458" i="16"/>
  <c r="HC46" i="16"/>
  <c r="S457" i="16"/>
  <c r="P457" i="16"/>
  <c r="BA49" i="16"/>
  <c r="BA223" i="16"/>
  <c r="BH35" i="11"/>
  <c r="BI35" i="11" s="1"/>
  <c r="BJ35" i="11" s="1"/>
  <c r="BH39" i="11"/>
  <c r="BI39" i="11" s="1"/>
  <c r="BJ39" i="11" s="1"/>
  <c r="CS103" i="16"/>
  <c r="GD450" i="16"/>
  <c r="BH33" i="11"/>
  <c r="BI33" i="11" s="1"/>
  <c r="BJ33" i="11" s="1"/>
  <c r="BH87" i="11"/>
  <c r="BI87" i="11" s="1"/>
  <c r="BJ87" i="11" s="1"/>
  <c r="BH41" i="11"/>
  <c r="BI41" i="11" s="1"/>
  <c r="BJ41" i="11" s="1"/>
  <c r="AM448" i="16"/>
  <c r="AF458" i="16" s="1"/>
  <c r="C458" i="16" s="1"/>
  <c r="GE452" i="16" s="1"/>
  <c r="O67" i="9"/>
  <c r="BH67" i="9"/>
  <c r="BI67" i="9" s="1"/>
  <c r="BJ67" i="9" s="1"/>
  <c r="O67" i="11"/>
  <c r="BH67" i="11"/>
  <c r="BI67" i="11" s="1"/>
  <c r="BJ67" i="11" s="1"/>
  <c r="BF57" i="11"/>
  <c r="BG57" i="11" s="1"/>
  <c r="BF21" i="11"/>
  <c r="BG21" i="11" s="1"/>
  <c r="BK65" i="9"/>
  <c r="I65" i="9"/>
  <c r="BC65" i="9" s="1"/>
  <c r="BD65" i="9" s="1"/>
  <c r="AW57" i="11"/>
  <c r="AX57" i="11" s="1"/>
  <c r="D163" i="16"/>
  <c r="BG156" i="16"/>
  <c r="C156" i="16" s="1"/>
  <c r="HF45" i="16"/>
  <c r="AA164" i="16"/>
  <c r="HE45" i="16"/>
  <c r="BH156" i="16"/>
  <c r="R156" i="16" s="1"/>
  <c r="HC48" i="16"/>
  <c r="S163" i="16"/>
  <c r="HC45" i="16"/>
  <c r="S164" i="16"/>
  <c r="D164" i="16"/>
  <c r="BA125" i="16"/>
  <c r="BF27" i="11"/>
  <c r="BG27" i="11" s="1"/>
  <c r="BA111" i="16"/>
  <c r="BA195" i="16"/>
  <c r="BA293" i="16"/>
  <c r="BA55" i="16"/>
  <c r="BF67" i="11"/>
  <c r="BG67" i="11" s="1"/>
  <c r="BA42" i="16"/>
  <c r="BA377" i="16"/>
  <c r="AM181" i="16"/>
  <c r="AF191" i="16" s="1"/>
  <c r="C191" i="16" s="1"/>
  <c r="GE185" i="16" s="1"/>
  <c r="AM42" i="16"/>
  <c r="AF52" i="16" s="1"/>
  <c r="C52" i="16" s="1"/>
  <c r="GE46" i="16" s="1"/>
  <c r="GD422" i="16"/>
  <c r="GD296" i="16"/>
  <c r="GD226" i="16"/>
  <c r="AA108" i="16"/>
  <c r="BH100" i="16"/>
  <c r="R100" i="16" s="1"/>
  <c r="S108" i="16"/>
  <c r="E103" i="16"/>
  <c r="CS355" i="16"/>
  <c r="GD366" i="16"/>
  <c r="BF67" i="9"/>
  <c r="BG67" i="9" s="1"/>
  <c r="E355" i="16"/>
  <c r="GD142" i="16"/>
  <c r="BA105" i="16"/>
  <c r="D107" i="16"/>
  <c r="GD436" i="16"/>
  <c r="GD282" i="16"/>
  <c r="GD394" i="16"/>
  <c r="P108" i="16"/>
  <c r="GD100" i="16"/>
  <c r="GD254" i="16"/>
  <c r="BF63" i="11"/>
  <c r="BG63" i="11" s="1"/>
  <c r="GD184" i="16"/>
  <c r="BG100" i="16"/>
  <c r="C100" i="16" s="1"/>
  <c r="AM105" i="16"/>
  <c r="D108" i="16"/>
  <c r="GD310" i="16"/>
  <c r="GD464" i="16"/>
  <c r="BA35" i="16"/>
  <c r="P443" i="16"/>
  <c r="BH254" i="16"/>
  <c r="R254" i="16" s="1"/>
  <c r="DZ285" i="16"/>
  <c r="EE285" i="16" s="1"/>
  <c r="AA262" i="16"/>
  <c r="GV339" i="16"/>
  <c r="EC131" i="16"/>
  <c r="ED131" i="16" s="1"/>
  <c r="E257" i="16"/>
  <c r="BG254" i="16"/>
  <c r="C254" i="16" s="1"/>
  <c r="D262" i="16"/>
  <c r="CS257" i="16"/>
  <c r="S261" i="16"/>
  <c r="D261" i="16"/>
  <c r="E342" i="16"/>
  <c r="AM259" i="16"/>
  <c r="S262" i="16"/>
  <c r="BA252" i="16"/>
  <c r="AJ252" i="16"/>
  <c r="AM252" i="16"/>
  <c r="AF262" i="16" s="1"/>
  <c r="C262" i="16" s="1"/>
  <c r="E262" i="16" s="1"/>
  <c r="CS271" i="16"/>
  <c r="AH343" i="16"/>
  <c r="AH344" i="16" s="1"/>
  <c r="BO347" i="16" s="1"/>
  <c r="DX19" i="16"/>
  <c r="E271" i="16"/>
  <c r="HF47" i="16"/>
  <c r="HG47" i="16" s="1"/>
  <c r="AW59" i="11"/>
  <c r="AX59" i="11" s="1"/>
  <c r="AM175" i="16"/>
  <c r="BA41" i="16"/>
  <c r="CT47" i="16"/>
  <c r="GR47" i="16"/>
  <c r="T229" i="16"/>
  <c r="GR229" i="16"/>
  <c r="CT411" i="16"/>
  <c r="GR411" i="16"/>
  <c r="T216" i="16"/>
  <c r="GV215" i="16"/>
  <c r="E230" i="16"/>
  <c r="GV227" i="16"/>
  <c r="GZ227" i="16" s="1"/>
  <c r="CT341" i="16"/>
  <c r="GR341" i="16"/>
  <c r="E384" i="16"/>
  <c r="GV381" i="16"/>
  <c r="CS439" i="16"/>
  <c r="GR437" i="16"/>
  <c r="E370" i="16"/>
  <c r="GV367" i="16"/>
  <c r="T286" i="16"/>
  <c r="GV285" i="16"/>
  <c r="GZ285" i="16" s="1"/>
  <c r="E202" i="16"/>
  <c r="GV199" i="16"/>
  <c r="CT425" i="16"/>
  <c r="GR425" i="16"/>
  <c r="CT384" i="16"/>
  <c r="GV383" i="16"/>
  <c r="T132" i="16"/>
  <c r="GV131" i="16"/>
  <c r="GD408" i="16"/>
  <c r="E34" i="16"/>
  <c r="GV31" i="16"/>
  <c r="E426" i="16"/>
  <c r="GV423" i="16"/>
  <c r="E286" i="16"/>
  <c r="GV283" i="16"/>
  <c r="CT89" i="16"/>
  <c r="GR89" i="16"/>
  <c r="E104" i="16"/>
  <c r="GV101" i="16"/>
  <c r="CT117" i="16"/>
  <c r="GR117" i="16"/>
  <c r="CT75" i="16"/>
  <c r="GR75" i="16"/>
  <c r="E398" i="16"/>
  <c r="GV395" i="16"/>
  <c r="E258" i="16"/>
  <c r="GV255" i="16"/>
  <c r="CT327" i="16"/>
  <c r="GR327" i="16"/>
  <c r="T244" i="16"/>
  <c r="GV243" i="16"/>
  <c r="T202" i="16"/>
  <c r="GV201" i="16"/>
  <c r="E48" i="16"/>
  <c r="GV45" i="16"/>
  <c r="BG324" i="16"/>
  <c r="C324" i="16" s="1"/>
  <c r="GD324" i="16"/>
  <c r="E75" i="16"/>
  <c r="GR73" i="16"/>
  <c r="E243" i="16"/>
  <c r="GR241" i="16"/>
  <c r="E314" i="16"/>
  <c r="GV311" i="16"/>
  <c r="E454" i="16"/>
  <c r="GV451" i="16"/>
  <c r="T90" i="16"/>
  <c r="GV89" i="16"/>
  <c r="T76" i="16"/>
  <c r="GV75" i="16"/>
  <c r="CS467" i="16"/>
  <c r="GR465" i="16"/>
  <c r="CT397" i="16"/>
  <c r="GR397" i="16"/>
  <c r="GZ397" i="16" s="1"/>
  <c r="CS187" i="16"/>
  <c r="GR185" i="16"/>
  <c r="T272" i="16"/>
  <c r="GV271" i="16"/>
  <c r="T160" i="16"/>
  <c r="GV159" i="16"/>
  <c r="E468" i="16"/>
  <c r="GV465" i="16"/>
  <c r="E47" i="16"/>
  <c r="GR45" i="16"/>
  <c r="E188" i="16"/>
  <c r="GV185" i="16"/>
  <c r="CS117" i="16"/>
  <c r="GR115" i="16"/>
  <c r="GD58" i="16"/>
  <c r="T118" i="16"/>
  <c r="GV117" i="16"/>
  <c r="CS33" i="16"/>
  <c r="GR31" i="16"/>
  <c r="T356" i="16"/>
  <c r="GV355" i="16"/>
  <c r="GZ355" i="16" s="1"/>
  <c r="CS299" i="16"/>
  <c r="GR297" i="16"/>
  <c r="E328" i="16"/>
  <c r="GV325" i="16"/>
  <c r="T146" i="16"/>
  <c r="GV145" i="16"/>
  <c r="CS425" i="16"/>
  <c r="GR423" i="16"/>
  <c r="T370" i="16"/>
  <c r="GV369" i="16"/>
  <c r="CT131" i="16"/>
  <c r="GR131" i="16"/>
  <c r="CT159" i="16"/>
  <c r="GR159" i="16"/>
  <c r="E440" i="16"/>
  <c r="GV437" i="16"/>
  <c r="CS61" i="16"/>
  <c r="GR59" i="16"/>
  <c r="E89" i="16"/>
  <c r="GR87" i="16"/>
  <c r="E453" i="16"/>
  <c r="GR451" i="16"/>
  <c r="E215" i="16"/>
  <c r="GR213" i="16"/>
  <c r="CT61" i="16"/>
  <c r="GR61" i="16"/>
  <c r="T34" i="16"/>
  <c r="GV33" i="16"/>
  <c r="HD33" i="16" s="1"/>
  <c r="T62" i="16"/>
  <c r="GV61" i="16"/>
  <c r="T468" i="16"/>
  <c r="GV467" i="16"/>
  <c r="GZ467" i="16" s="1"/>
  <c r="CT243" i="16"/>
  <c r="GR243" i="16"/>
  <c r="E216" i="16"/>
  <c r="GV213" i="16"/>
  <c r="T328" i="16"/>
  <c r="GV327" i="16"/>
  <c r="CT230" i="16"/>
  <c r="GV229" i="16"/>
  <c r="T258" i="16"/>
  <c r="GV257" i="16"/>
  <c r="CT299" i="16"/>
  <c r="GR299" i="16"/>
  <c r="T342" i="16"/>
  <c r="GV341" i="16"/>
  <c r="T300" i="16"/>
  <c r="GV299" i="16"/>
  <c r="CT187" i="16"/>
  <c r="GR187" i="16"/>
  <c r="T174" i="16"/>
  <c r="GV173" i="16"/>
  <c r="GZ173" i="16" s="1"/>
  <c r="CS411" i="16"/>
  <c r="GR409" i="16"/>
  <c r="GD128" i="16"/>
  <c r="E356" i="16"/>
  <c r="GV353" i="16"/>
  <c r="GZ353" i="16" s="1"/>
  <c r="CS327" i="16"/>
  <c r="GR325" i="16"/>
  <c r="CS397" i="16"/>
  <c r="GR395" i="16"/>
  <c r="E76" i="16"/>
  <c r="GV73" i="16"/>
  <c r="HC34" i="16"/>
  <c r="HC31" i="16"/>
  <c r="HC33" i="16"/>
  <c r="HC32" i="16"/>
  <c r="HE33" i="16"/>
  <c r="HE31" i="16"/>
  <c r="HF31" i="16"/>
  <c r="HF33" i="16"/>
  <c r="HG33" i="16" s="1"/>
  <c r="E300" i="16"/>
  <c r="GV297" i="16"/>
  <c r="E62" i="16"/>
  <c r="GV59" i="16"/>
  <c r="T104" i="16"/>
  <c r="GV103" i="16"/>
  <c r="GZ103" i="16" s="1"/>
  <c r="E118" i="16"/>
  <c r="GV115" i="16"/>
  <c r="T48" i="16"/>
  <c r="GV47" i="16"/>
  <c r="CT313" i="16"/>
  <c r="GR313" i="16"/>
  <c r="T426" i="16"/>
  <c r="GV425" i="16"/>
  <c r="T188" i="16"/>
  <c r="GV187" i="16"/>
  <c r="T440" i="16"/>
  <c r="GV439" i="16"/>
  <c r="CT201" i="16"/>
  <c r="GR201" i="16"/>
  <c r="CT369" i="16"/>
  <c r="GR369" i="16"/>
  <c r="T314" i="16"/>
  <c r="GV313" i="16"/>
  <c r="E412" i="16"/>
  <c r="GV409" i="16"/>
  <c r="E272" i="16"/>
  <c r="GV269" i="16"/>
  <c r="GZ269" i="16" s="1"/>
  <c r="GD72" i="16"/>
  <c r="HC174" i="16"/>
  <c r="HD171" i="16"/>
  <c r="HE173" i="16"/>
  <c r="HE171" i="16"/>
  <c r="HF173" i="16"/>
  <c r="HG173" i="16" s="1"/>
  <c r="HC173" i="16"/>
  <c r="HF171" i="16"/>
  <c r="HG171" i="16" s="1"/>
  <c r="HC172" i="16"/>
  <c r="HC171" i="16"/>
  <c r="CE19" i="16"/>
  <c r="CF19" i="16" s="1"/>
  <c r="CG19" i="16" s="1"/>
  <c r="CH19" i="16" s="1"/>
  <c r="CI19" i="16" s="1"/>
  <c r="T454" i="16"/>
  <c r="GV453" i="16"/>
  <c r="GZ453" i="16" s="1"/>
  <c r="T412" i="16"/>
  <c r="GV411" i="16"/>
  <c r="CT145" i="16"/>
  <c r="GR145" i="16"/>
  <c r="T383" i="16"/>
  <c r="GR383" i="16"/>
  <c r="CT257" i="16"/>
  <c r="GR257" i="16"/>
  <c r="S359" i="16"/>
  <c r="GD352" i="16"/>
  <c r="E201" i="16"/>
  <c r="GR199" i="16"/>
  <c r="E383" i="16"/>
  <c r="GR381" i="16"/>
  <c r="E244" i="16"/>
  <c r="GV241" i="16"/>
  <c r="CS285" i="16"/>
  <c r="GR283" i="16"/>
  <c r="E90" i="16"/>
  <c r="GV87" i="16"/>
  <c r="E457" i="16"/>
  <c r="GD451" i="16" s="1"/>
  <c r="GE451" i="16"/>
  <c r="HG452" i="16" s="1"/>
  <c r="HG454" i="16" s="1"/>
  <c r="E443" i="16"/>
  <c r="GD437" i="16" s="1"/>
  <c r="GE437" i="16"/>
  <c r="HG438" i="16" s="1"/>
  <c r="HG440" i="16" s="1"/>
  <c r="E429" i="16"/>
  <c r="GD423" i="16" s="1"/>
  <c r="GE423" i="16"/>
  <c r="AW65" i="9"/>
  <c r="AM391" i="16"/>
  <c r="AF401" i="16" s="1"/>
  <c r="C401" i="16" s="1"/>
  <c r="AW67" i="9"/>
  <c r="AM377" i="16"/>
  <c r="AF387" i="16" s="1"/>
  <c r="C387" i="16" s="1"/>
  <c r="AM251" i="16"/>
  <c r="AF261" i="16" s="1"/>
  <c r="C261" i="16" s="1"/>
  <c r="BB77" i="9"/>
  <c r="BB85" i="9"/>
  <c r="AB19" i="16"/>
  <c r="GT19" i="16"/>
  <c r="CS89" i="16"/>
  <c r="CS453" i="16"/>
  <c r="BH58" i="16"/>
  <c r="R58" i="16" s="1"/>
  <c r="AM55" i="16"/>
  <c r="AF65" i="16" s="1"/>
  <c r="C65" i="16" s="1"/>
  <c r="AW67" i="11"/>
  <c r="AY67" i="11" s="1"/>
  <c r="AW61" i="11"/>
  <c r="AY61" i="11" s="1"/>
  <c r="DZ272" i="16"/>
  <c r="EE272" i="16" s="1"/>
  <c r="BA391" i="16"/>
  <c r="S65" i="16"/>
  <c r="AW65" i="11"/>
  <c r="CS215" i="16"/>
  <c r="AW63" i="11"/>
  <c r="AX63" i="11" s="1"/>
  <c r="FH20" i="16"/>
  <c r="GX19" i="16"/>
  <c r="GX20" i="16" s="1"/>
  <c r="HM19" i="16" s="1"/>
  <c r="BR19" i="16"/>
  <c r="GU19" i="16"/>
  <c r="BT19" i="16"/>
  <c r="GS19" i="16"/>
  <c r="AH91" i="16"/>
  <c r="AH92" i="16" s="1"/>
  <c r="AH455" i="16"/>
  <c r="AH456" i="16" s="1"/>
  <c r="BO459" i="16" s="1"/>
  <c r="BR20" i="16"/>
  <c r="GY19" i="16"/>
  <c r="AH273" i="16"/>
  <c r="AH274" i="16" s="1"/>
  <c r="BO277" i="16" s="1"/>
  <c r="AM35" i="16"/>
  <c r="BG58" i="16"/>
  <c r="C58" i="16" s="1"/>
  <c r="AA66" i="16"/>
  <c r="BQ19" i="16"/>
  <c r="GU17" i="16"/>
  <c r="GW17" i="16"/>
  <c r="HE17" i="16" s="1"/>
  <c r="CS426" i="16"/>
  <c r="BQ20" i="16"/>
  <c r="GY17" i="16"/>
  <c r="CJ355" i="16"/>
  <c r="CJ357" i="16" s="1"/>
  <c r="S66" i="16"/>
  <c r="CS272" i="16"/>
  <c r="BN20" i="16"/>
  <c r="BP18" i="16" s="1"/>
  <c r="GX17" i="16"/>
  <c r="GX18" i="16" s="1"/>
  <c r="AW77" i="11"/>
  <c r="AY77" i="11" s="1"/>
  <c r="AW27" i="11"/>
  <c r="O45" i="11"/>
  <c r="BF45" i="11"/>
  <c r="BG45" i="11" s="1"/>
  <c r="BL45" i="11" s="1"/>
  <c r="BK45" i="11" s="1"/>
  <c r="AH63" i="16"/>
  <c r="AH64" i="16" s="1"/>
  <c r="EC342" i="16"/>
  <c r="ED342" i="16" s="1"/>
  <c r="CS188" i="16"/>
  <c r="BH72" i="16"/>
  <c r="R72" i="16" s="1"/>
  <c r="E61" i="16"/>
  <c r="BA139" i="16"/>
  <c r="BG72" i="16"/>
  <c r="C72" i="16" s="1"/>
  <c r="AH413" i="16"/>
  <c r="AH414" i="16" s="1"/>
  <c r="BO417" i="16" s="1"/>
  <c r="S79" i="16"/>
  <c r="S80" i="16"/>
  <c r="AM77" i="16"/>
  <c r="AH77" i="16"/>
  <c r="AH78" i="16" s="1"/>
  <c r="D80" i="16"/>
  <c r="BF41" i="11"/>
  <c r="BG41" i="11" s="1"/>
  <c r="BF17" i="11"/>
  <c r="BG17" i="11" s="1"/>
  <c r="CS201" i="16"/>
  <c r="AM153" i="16"/>
  <c r="AF163" i="16" s="1"/>
  <c r="C163" i="16" s="1"/>
  <c r="BA307" i="16"/>
  <c r="AM195" i="16"/>
  <c r="AF205" i="16" s="1"/>
  <c r="C205" i="16" s="1"/>
  <c r="EC440" i="16"/>
  <c r="ED440" i="16" s="1"/>
  <c r="D66" i="16"/>
  <c r="AM335" i="16"/>
  <c r="AF345" i="16" s="1"/>
  <c r="C345" i="16" s="1"/>
  <c r="CA383" i="16"/>
  <c r="DZ202" i="16"/>
  <c r="EE202" i="16" s="1"/>
  <c r="AM209" i="16"/>
  <c r="AF219" i="16" s="1"/>
  <c r="C219" i="16" s="1"/>
  <c r="D65" i="16"/>
  <c r="BH25" i="9"/>
  <c r="BI25" i="9" s="1"/>
  <c r="BJ25" i="9" s="1"/>
  <c r="BA175" i="16"/>
  <c r="CS75" i="16"/>
  <c r="AH245" i="16"/>
  <c r="AH246" i="16" s="1"/>
  <c r="BO249" i="16" s="1"/>
  <c r="S331" i="16"/>
  <c r="CS440" i="16"/>
  <c r="AM167" i="16"/>
  <c r="AF177" i="16" s="1"/>
  <c r="C177" i="16" s="1"/>
  <c r="CI356" i="16"/>
  <c r="CI357" i="16" s="1"/>
  <c r="CS230" i="16"/>
  <c r="T75" i="11"/>
  <c r="M75" i="11" s="1"/>
  <c r="O75" i="11" s="1"/>
  <c r="AM111" i="16"/>
  <c r="AF121" i="16" s="1"/>
  <c r="C121" i="16" s="1"/>
  <c r="DZ327" i="16"/>
  <c r="EE327" i="16" s="1"/>
  <c r="CS314" i="16"/>
  <c r="BH352" i="16"/>
  <c r="R352" i="16" s="1"/>
  <c r="AA80" i="16"/>
  <c r="BA77" i="16"/>
  <c r="D79" i="16"/>
  <c r="AM168" i="16"/>
  <c r="AF178" i="16" s="1"/>
  <c r="C178" i="16" s="1"/>
  <c r="CS383" i="16"/>
  <c r="AH287" i="16"/>
  <c r="AH288" i="16" s="1"/>
  <c r="BO291" i="16" s="1"/>
  <c r="EC34" i="16"/>
  <c r="ED34" i="16" s="1"/>
  <c r="E285" i="16"/>
  <c r="DZ453" i="16"/>
  <c r="EE453" i="16" s="1"/>
  <c r="EC146" i="16"/>
  <c r="ED146" i="16" s="1"/>
  <c r="E327" i="16"/>
  <c r="AH357" i="16"/>
  <c r="AH358" i="16" s="1"/>
  <c r="BO361" i="16" s="1"/>
  <c r="DZ258" i="16"/>
  <c r="EE258" i="16" s="1"/>
  <c r="AH385" i="16"/>
  <c r="AH386" i="16" s="1"/>
  <c r="BO389" i="16" s="1"/>
  <c r="BA168" i="16"/>
  <c r="BO274" i="16"/>
  <c r="CS384" i="16"/>
  <c r="EA20" i="16"/>
  <c r="BO358" i="16"/>
  <c r="CI159" i="16"/>
  <c r="EC369" i="16"/>
  <c r="ED369" i="16" s="1"/>
  <c r="BF19" i="11"/>
  <c r="BG19" i="11" s="1"/>
  <c r="BF15" i="11"/>
  <c r="BG15" i="11" s="1"/>
  <c r="CS48" i="16"/>
  <c r="CT76" i="16"/>
  <c r="EC454" i="16"/>
  <c r="ED454" i="16" s="1"/>
  <c r="P331" i="16"/>
  <c r="EC202" i="16"/>
  <c r="ED202" i="16" s="1"/>
  <c r="E411" i="16"/>
  <c r="EC327" i="16"/>
  <c r="ED327" i="16" s="1"/>
  <c r="L443" i="16"/>
  <c r="D360" i="16"/>
  <c r="BO246" i="16"/>
  <c r="L331" i="16"/>
  <c r="S360" i="16"/>
  <c r="AM41" i="16"/>
  <c r="AF51" i="16" s="1"/>
  <c r="C51" i="16" s="1"/>
  <c r="EC411" i="16"/>
  <c r="ED411" i="16" s="1"/>
  <c r="AM69" i="16"/>
  <c r="AF79" i="16" s="1"/>
  <c r="C79" i="16" s="1"/>
  <c r="BH324" i="16"/>
  <c r="R324" i="16" s="1"/>
  <c r="D331" i="16"/>
  <c r="BQ25" i="16"/>
  <c r="BK25" i="16" s="1"/>
  <c r="BK18" i="16" s="1"/>
  <c r="AH49" i="16"/>
  <c r="AH50" i="16" s="1"/>
  <c r="EC244" i="16"/>
  <c r="ED244" i="16" s="1"/>
  <c r="BO302" i="16"/>
  <c r="CS104" i="16"/>
  <c r="CS34" i="16"/>
  <c r="CS244" i="16"/>
  <c r="AA332" i="16"/>
  <c r="AJ21" i="16"/>
  <c r="AJ22" i="16" s="1"/>
  <c r="AJ420" i="16"/>
  <c r="S429" i="16"/>
  <c r="D430" i="16"/>
  <c r="AA430" i="16"/>
  <c r="BA427" i="16"/>
  <c r="BG422" i="16"/>
  <c r="C422" i="16" s="1"/>
  <c r="BH422" i="16"/>
  <c r="R422" i="16" s="1"/>
  <c r="AM427" i="16"/>
  <c r="S430" i="16"/>
  <c r="D429" i="16"/>
  <c r="AJ392" i="16"/>
  <c r="BH394" i="16"/>
  <c r="R394" i="16" s="1"/>
  <c r="AM392" i="16"/>
  <c r="AF402" i="16" s="1"/>
  <c r="C402" i="16" s="1"/>
  <c r="BG394" i="16"/>
  <c r="C394" i="16" s="1"/>
  <c r="AM399" i="16"/>
  <c r="BA392" i="16"/>
  <c r="D402" i="16"/>
  <c r="D401" i="16"/>
  <c r="BA399" i="16"/>
  <c r="AA402" i="16"/>
  <c r="S401" i="16"/>
  <c r="S402" i="16"/>
  <c r="AA472" i="16"/>
  <c r="BG464" i="16"/>
  <c r="C464" i="16" s="1"/>
  <c r="S471" i="16"/>
  <c r="D471" i="16"/>
  <c r="BH464" i="16"/>
  <c r="R464" i="16" s="1"/>
  <c r="D472" i="16"/>
  <c r="S472" i="16"/>
  <c r="CT104" i="16"/>
  <c r="DE104" i="16" s="1"/>
  <c r="DZ314" i="16"/>
  <c r="EE314" i="16" s="1"/>
  <c r="CT258" i="16"/>
  <c r="EC370" i="16"/>
  <c r="ED370" i="16" s="1"/>
  <c r="EC398" i="16"/>
  <c r="ED398" i="16" s="1"/>
  <c r="DZ286" i="16"/>
  <c r="EE286" i="16" s="1"/>
  <c r="BG352" i="16"/>
  <c r="C352" i="16" s="1"/>
  <c r="AA360" i="16"/>
  <c r="AJ434" i="16"/>
  <c r="BA434" i="16"/>
  <c r="AM441" i="16"/>
  <c r="AA444" i="16"/>
  <c r="BG436" i="16"/>
  <c r="C436" i="16" s="1"/>
  <c r="BH436" i="16"/>
  <c r="R436" i="16" s="1"/>
  <c r="BA441" i="16"/>
  <c r="D444" i="16"/>
  <c r="L444" i="16"/>
  <c r="S444" i="16"/>
  <c r="AM434" i="16"/>
  <c r="AF444" i="16" s="1"/>
  <c r="C444" i="16" s="1"/>
  <c r="D443" i="16"/>
  <c r="P444" i="16"/>
  <c r="S443" i="16"/>
  <c r="EN20" i="16"/>
  <c r="AM321" i="16"/>
  <c r="AF331" i="16" s="1"/>
  <c r="C331" i="16" s="1"/>
  <c r="BF37" i="11"/>
  <c r="BG37" i="11" s="1"/>
  <c r="BA335" i="16"/>
  <c r="BA419" i="16"/>
  <c r="BO316" i="16"/>
  <c r="EC341" i="16"/>
  <c r="ED341" i="16" s="1"/>
  <c r="DZ328" i="16"/>
  <c r="EE328" i="16" s="1"/>
  <c r="AJ364" i="16"/>
  <c r="S374" i="16"/>
  <c r="D374" i="16"/>
  <c r="BH366" i="16"/>
  <c r="R366" i="16" s="1"/>
  <c r="AM371" i="16"/>
  <c r="D373" i="16"/>
  <c r="BG366" i="16"/>
  <c r="C366" i="16" s="1"/>
  <c r="S373" i="16"/>
  <c r="BA364" i="16"/>
  <c r="AM364" i="16"/>
  <c r="AF374" i="16" s="1"/>
  <c r="C374" i="16" s="1"/>
  <c r="AA374" i="16"/>
  <c r="BA371" i="16"/>
  <c r="EM20" i="16"/>
  <c r="EC243" i="16"/>
  <c r="ED243" i="16" s="1"/>
  <c r="CT160" i="16"/>
  <c r="EC328" i="16"/>
  <c r="ED328" i="16" s="1"/>
  <c r="P303" i="16"/>
  <c r="CT300" i="16"/>
  <c r="S290" i="16"/>
  <c r="BA287" i="16"/>
  <c r="D289" i="16"/>
  <c r="BG282" i="16"/>
  <c r="C282" i="16" s="1"/>
  <c r="AA290" i="16"/>
  <c r="S289" i="16"/>
  <c r="AM287" i="16"/>
  <c r="BH282" i="16"/>
  <c r="R282" i="16" s="1"/>
  <c r="D290" i="16"/>
  <c r="AJ280" i="16"/>
  <c r="BA280" i="16"/>
  <c r="BA167" i="16"/>
  <c r="DX20" i="16"/>
  <c r="BS20" i="16"/>
  <c r="DZ341" i="16"/>
  <c r="EE341" i="16" s="1"/>
  <c r="BO330" i="16"/>
  <c r="EC299" i="16"/>
  <c r="ED299" i="16" s="1"/>
  <c r="BA420" i="16"/>
  <c r="AA136" i="16"/>
  <c r="BG128" i="16"/>
  <c r="C128" i="16" s="1"/>
  <c r="D135" i="16"/>
  <c r="S136" i="16"/>
  <c r="D136" i="16"/>
  <c r="BH128" i="16"/>
  <c r="R128" i="16" s="1"/>
  <c r="S135" i="16"/>
  <c r="AM322" i="16"/>
  <c r="AF332" i="16" s="1"/>
  <c r="C332" i="16" s="1"/>
  <c r="S332" i="16"/>
  <c r="AJ322" i="16"/>
  <c r="P332" i="16"/>
  <c r="AM329" i="16"/>
  <c r="D332" i="16"/>
  <c r="EC258" i="16"/>
  <c r="ED258" i="16" s="1"/>
  <c r="EC285" i="16"/>
  <c r="ED285" i="16" s="1"/>
  <c r="BO232" i="16"/>
  <c r="BO344" i="16"/>
  <c r="L303" i="16"/>
  <c r="CS412" i="16"/>
  <c r="AM420" i="16"/>
  <c r="AF430" i="16" s="1"/>
  <c r="C430" i="16" s="1"/>
  <c r="D359" i="16"/>
  <c r="L332" i="16"/>
  <c r="BA237" i="16"/>
  <c r="BA322" i="16"/>
  <c r="BA153" i="16"/>
  <c r="CT440" i="16"/>
  <c r="CT412" i="16"/>
  <c r="BO400" i="16"/>
  <c r="EC383" i="16"/>
  <c r="ED383" i="16" s="1"/>
  <c r="DZ369" i="16"/>
  <c r="EE369" i="16" s="1"/>
  <c r="DZ370" i="16"/>
  <c r="EE370" i="16" s="1"/>
  <c r="BO372" i="16"/>
  <c r="EC397" i="16"/>
  <c r="ED397" i="16" s="1"/>
  <c r="DZ411" i="16"/>
  <c r="EE411" i="16" s="1"/>
  <c r="D317" i="16"/>
  <c r="BH310" i="16"/>
  <c r="R310" i="16" s="1"/>
  <c r="AA318" i="16"/>
  <c r="BA308" i="16"/>
  <c r="BG310" i="16"/>
  <c r="C310" i="16" s="1"/>
  <c r="P318" i="16"/>
  <c r="L318" i="16"/>
  <c r="S318" i="16"/>
  <c r="AM308" i="16"/>
  <c r="AF318" i="16" s="1"/>
  <c r="C318" i="16" s="1"/>
  <c r="AJ308" i="16"/>
  <c r="BA315" i="16"/>
  <c r="AM315" i="16"/>
  <c r="S317" i="16"/>
  <c r="D318" i="16"/>
  <c r="BH19" i="11"/>
  <c r="BI19" i="11" s="1"/>
  <c r="BJ19" i="11" s="1"/>
  <c r="DZ299" i="16"/>
  <c r="EE299" i="16" s="1"/>
  <c r="EC160" i="16"/>
  <c r="ED160" i="16" s="1"/>
  <c r="EC412" i="16"/>
  <c r="ED412" i="16" s="1"/>
  <c r="AM293" i="16"/>
  <c r="AF303" i="16" s="1"/>
  <c r="C303" i="16" s="1"/>
  <c r="AA234" i="16"/>
  <c r="S234" i="16"/>
  <c r="D234" i="16"/>
  <c r="D233" i="16"/>
  <c r="BH226" i="16"/>
  <c r="R226" i="16" s="1"/>
  <c r="S233" i="16"/>
  <c r="BG226" i="16"/>
  <c r="C226" i="16" s="1"/>
  <c r="O47" i="9"/>
  <c r="BH47" i="9"/>
  <c r="BI47" i="9" s="1"/>
  <c r="BJ47" i="9" s="1"/>
  <c r="BO36" i="16"/>
  <c r="CT216" i="16"/>
  <c r="DZ300" i="16"/>
  <c r="EE300" i="16" s="1"/>
  <c r="EC453" i="16"/>
  <c r="ED453" i="16" s="1"/>
  <c r="EC159" i="16"/>
  <c r="ED159" i="16" s="1"/>
  <c r="L304" i="16"/>
  <c r="BA301" i="16"/>
  <c r="BA294" i="16"/>
  <c r="P304" i="16"/>
  <c r="D303" i="16"/>
  <c r="S304" i="16"/>
  <c r="AJ294" i="16"/>
  <c r="AM301" i="16"/>
  <c r="D304" i="16"/>
  <c r="BH296" i="16"/>
  <c r="R296" i="16" s="1"/>
  <c r="BG296" i="16"/>
  <c r="C296" i="16" s="1"/>
  <c r="AM294" i="16"/>
  <c r="AF304" i="16" s="1"/>
  <c r="C304" i="16" s="1"/>
  <c r="AA304" i="16"/>
  <c r="S303" i="16"/>
  <c r="AM237" i="16"/>
  <c r="AF247" i="16" s="1"/>
  <c r="C247" i="16" s="1"/>
  <c r="BA251" i="16"/>
  <c r="P317" i="16"/>
  <c r="DZ397" i="16"/>
  <c r="EE397" i="16" s="1"/>
  <c r="CT132" i="16"/>
  <c r="BO190" i="16"/>
  <c r="DZ355" i="16"/>
  <c r="EE355" i="16" s="1"/>
  <c r="EC173" i="16"/>
  <c r="ED173" i="16" s="1"/>
  <c r="O25" i="11"/>
  <c r="BH25" i="11"/>
  <c r="BI25" i="11" s="1"/>
  <c r="BJ25" i="11" s="1"/>
  <c r="CT48" i="16"/>
  <c r="AH119" i="16"/>
  <c r="AH120" i="16" s="1"/>
  <c r="BO123" i="16" s="1"/>
  <c r="BO50" i="16"/>
  <c r="BO176" i="16"/>
  <c r="EC257" i="16"/>
  <c r="ED257" i="16" s="1"/>
  <c r="CS468" i="16"/>
  <c r="BO386" i="16"/>
  <c r="AM307" i="16"/>
  <c r="AF317" i="16" s="1"/>
  <c r="C317" i="16" s="1"/>
  <c r="AM83" i="16"/>
  <c r="AF93" i="16" s="1"/>
  <c r="C93" i="16" s="1"/>
  <c r="AM223" i="16"/>
  <c r="AF233" i="16" s="1"/>
  <c r="C233" i="16" s="1"/>
  <c r="T73" i="11"/>
  <c r="M73" i="11" s="1"/>
  <c r="O73" i="11" s="1"/>
  <c r="BA14" i="16"/>
  <c r="AT24" i="16" s="1"/>
  <c r="R24" i="16" s="1"/>
  <c r="FJ19" i="16"/>
  <c r="FL19" i="16" s="1"/>
  <c r="EC61" i="16"/>
  <c r="ED61" i="16" s="1"/>
  <c r="DZ356" i="16"/>
  <c r="EE356" i="16" s="1"/>
  <c r="BO288" i="16"/>
  <c r="EC286" i="16"/>
  <c r="ED286" i="16" s="1"/>
  <c r="DZ173" i="16"/>
  <c r="EE173" i="16" s="1"/>
  <c r="L317" i="16"/>
  <c r="AA150" i="16"/>
  <c r="BG142" i="16"/>
  <c r="C142" i="16" s="1"/>
  <c r="BH142" i="16"/>
  <c r="R142" i="16" s="1"/>
  <c r="D150" i="16"/>
  <c r="S150" i="16"/>
  <c r="D149" i="16"/>
  <c r="S149" i="16"/>
  <c r="BA181" i="16"/>
  <c r="O47" i="11"/>
  <c r="BH47" i="11"/>
  <c r="BI47" i="11" s="1"/>
  <c r="BJ47" i="11" s="1"/>
  <c r="EC272" i="16"/>
  <c r="ED272" i="16" s="1"/>
  <c r="DZ244" i="16"/>
  <c r="EE244" i="16" s="1"/>
  <c r="CT383" i="16"/>
  <c r="AM125" i="16"/>
  <c r="AF135" i="16" s="1"/>
  <c r="C135" i="16" s="1"/>
  <c r="D192" i="16"/>
  <c r="AA192" i="16"/>
  <c r="BG184" i="16"/>
  <c r="C184" i="16" s="1"/>
  <c r="S191" i="16"/>
  <c r="BH184" i="16"/>
  <c r="R184" i="16" s="1"/>
  <c r="D191" i="16"/>
  <c r="S192" i="16"/>
  <c r="EC467" i="16"/>
  <c r="ED467" i="16" s="1"/>
  <c r="DZ468" i="16"/>
  <c r="EE468" i="16" s="1"/>
  <c r="BO456" i="16"/>
  <c r="DZ439" i="16"/>
  <c r="EE439" i="16" s="1"/>
  <c r="DZ440" i="16"/>
  <c r="EE440" i="16" s="1"/>
  <c r="DZ425" i="16"/>
  <c r="EE425" i="16" s="1"/>
  <c r="BO428" i="16"/>
  <c r="CX20" i="16"/>
  <c r="EC48" i="16"/>
  <c r="ED48" i="16" s="1"/>
  <c r="FY356" i="16"/>
  <c r="FQ356" i="16"/>
  <c r="FO356" i="16"/>
  <c r="FP356" i="16" s="1"/>
  <c r="FX356" i="16"/>
  <c r="FV356" i="16"/>
  <c r="FU356" i="16"/>
  <c r="FC341" i="16"/>
  <c r="EZ341" i="16"/>
  <c r="FA341" i="16"/>
  <c r="EV341" i="16"/>
  <c r="ET341" i="16"/>
  <c r="EU341" i="16" s="1"/>
  <c r="FD341" i="16"/>
  <c r="CI244" i="16"/>
  <c r="CJ244" i="16"/>
  <c r="AF427" i="16"/>
  <c r="E369" i="16"/>
  <c r="AH371" i="16"/>
  <c r="AH372" i="16" s="1"/>
  <c r="BO375" i="16" s="1"/>
  <c r="CJ370" i="16"/>
  <c r="CI370" i="16"/>
  <c r="EZ356" i="16"/>
  <c r="FD356" i="16"/>
  <c r="EV356" i="16"/>
  <c r="ET356" i="16"/>
  <c r="EU356" i="16" s="1"/>
  <c r="FC356" i="16"/>
  <c r="FA356" i="16"/>
  <c r="FY286" i="16"/>
  <c r="FX286" i="16"/>
  <c r="FO286" i="16"/>
  <c r="FP286" i="16" s="1"/>
  <c r="FV286" i="16"/>
  <c r="FU286" i="16"/>
  <c r="FQ286" i="16"/>
  <c r="FD146" i="16"/>
  <c r="FC146" i="16"/>
  <c r="ET146" i="16"/>
  <c r="EU146" i="16" s="1"/>
  <c r="EV146" i="16"/>
  <c r="FA146" i="16"/>
  <c r="EZ146" i="16"/>
  <c r="T173" i="16"/>
  <c r="AV175" i="16"/>
  <c r="EC468" i="16"/>
  <c r="ED468" i="16" s="1"/>
  <c r="B468" i="16"/>
  <c r="AJ470" i="16"/>
  <c r="CI243" i="16"/>
  <c r="CJ243" i="16"/>
  <c r="FC271" i="16"/>
  <c r="FA271" i="16"/>
  <c r="EZ271" i="16"/>
  <c r="EV271" i="16"/>
  <c r="FD271" i="16"/>
  <c r="ET271" i="16"/>
  <c r="EU271" i="16" s="1"/>
  <c r="AF287" i="16"/>
  <c r="AE287" i="16" s="1"/>
  <c r="FC174" i="16"/>
  <c r="ET174" i="16"/>
  <c r="EU174" i="16" s="1"/>
  <c r="FA174" i="16"/>
  <c r="FD174" i="16"/>
  <c r="EZ174" i="16"/>
  <c r="EV174" i="16"/>
  <c r="CA174" i="16"/>
  <c r="BZ174" i="16"/>
  <c r="CI467" i="16"/>
  <c r="CJ467" i="16"/>
  <c r="B342" i="16"/>
  <c r="AJ344" i="16"/>
  <c r="AT245" i="16"/>
  <c r="AS245" i="16" s="1"/>
  <c r="B300" i="16"/>
  <c r="AJ302" i="16"/>
  <c r="FV411" i="16"/>
  <c r="FU411" i="16"/>
  <c r="FO411" i="16"/>
  <c r="FP411" i="16" s="1"/>
  <c r="FY411" i="16"/>
  <c r="FX411" i="16"/>
  <c r="FQ411" i="16"/>
  <c r="FL173" i="16"/>
  <c r="FN173" i="16"/>
  <c r="FS173" i="16" s="1"/>
  <c r="AT441" i="16"/>
  <c r="AS441" i="16" s="1"/>
  <c r="AT469" i="16"/>
  <c r="AS469" i="16" s="1"/>
  <c r="FL355" i="16"/>
  <c r="FN355" i="16"/>
  <c r="FS355" i="16" s="1"/>
  <c r="CT398" i="16"/>
  <c r="T398" i="16"/>
  <c r="FC398" i="16"/>
  <c r="EV398" i="16"/>
  <c r="FA398" i="16"/>
  <c r="ET398" i="16"/>
  <c r="EU398" i="16" s="1"/>
  <c r="FD398" i="16"/>
  <c r="EZ398" i="16"/>
  <c r="FO384" i="16"/>
  <c r="FP384" i="16" s="1"/>
  <c r="FQ384" i="16"/>
  <c r="FY384" i="16"/>
  <c r="FX384" i="16"/>
  <c r="FV384" i="16"/>
  <c r="FU384" i="16"/>
  <c r="FL383" i="16"/>
  <c r="FN383" i="16"/>
  <c r="FS383" i="16" s="1"/>
  <c r="BP451" i="16"/>
  <c r="BN456" i="16"/>
  <c r="BP454" i="16" s="1"/>
  <c r="EQ369" i="16"/>
  <c r="ES369" i="16"/>
  <c r="T285" i="16"/>
  <c r="AV287" i="16"/>
  <c r="EQ397" i="16"/>
  <c r="ES397" i="16"/>
  <c r="EX397" i="16" s="1"/>
  <c r="FO439" i="16"/>
  <c r="FP439" i="16" s="1"/>
  <c r="FV439" i="16"/>
  <c r="FU439" i="16"/>
  <c r="FX439" i="16"/>
  <c r="FQ439" i="16"/>
  <c r="FY439" i="16"/>
  <c r="CJ397" i="16"/>
  <c r="CI397" i="16"/>
  <c r="FX244" i="16"/>
  <c r="FU244" i="16"/>
  <c r="FV244" i="16"/>
  <c r="FY244" i="16"/>
  <c r="FQ244" i="16"/>
  <c r="FO244" i="16"/>
  <c r="FP244" i="16" s="1"/>
  <c r="BZ384" i="16"/>
  <c r="BZ385" i="16" s="1"/>
  <c r="CA384" i="16"/>
  <c r="FN426" i="16"/>
  <c r="FL426" i="16"/>
  <c r="BN302" i="16"/>
  <c r="BP300" i="16" s="1"/>
  <c r="BP297" i="16"/>
  <c r="BZ187" i="16"/>
  <c r="CA187" i="16"/>
  <c r="CT188" i="16"/>
  <c r="ES327" i="16"/>
  <c r="EQ327" i="16"/>
  <c r="AF469" i="16"/>
  <c r="AE469" i="16" s="1"/>
  <c r="CA355" i="16"/>
  <c r="BZ355" i="16"/>
  <c r="B230" i="16"/>
  <c r="AJ232" i="16"/>
  <c r="AF231" i="16"/>
  <c r="AE231" i="16" s="1"/>
  <c r="FQ131" i="16"/>
  <c r="FY131" i="16"/>
  <c r="FV131" i="16"/>
  <c r="FX131" i="16"/>
  <c r="FU131" i="16"/>
  <c r="FO131" i="16"/>
  <c r="FP131" i="16" s="1"/>
  <c r="ES160" i="16"/>
  <c r="EQ160" i="16"/>
  <c r="EZ159" i="16"/>
  <c r="FD159" i="16"/>
  <c r="EV159" i="16"/>
  <c r="ET159" i="16"/>
  <c r="EU159" i="16" s="1"/>
  <c r="FC159" i="16"/>
  <c r="FA159" i="16"/>
  <c r="CJ146" i="16"/>
  <c r="CI146" i="16"/>
  <c r="FQ174" i="16"/>
  <c r="FO174" i="16"/>
  <c r="FP174" i="16" s="1"/>
  <c r="FU174" i="16"/>
  <c r="FX174" i="16"/>
  <c r="FY174" i="16"/>
  <c r="FV174" i="16"/>
  <c r="FA439" i="16"/>
  <c r="ET439" i="16"/>
  <c r="EU439" i="16" s="1"/>
  <c r="EZ439" i="16"/>
  <c r="FD439" i="16"/>
  <c r="EV439" i="16"/>
  <c r="FC439" i="16"/>
  <c r="B314" i="16"/>
  <c r="AJ316" i="16"/>
  <c r="EQ383" i="16"/>
  <c r="ES383" i="16"/>
  <c r="EX383" i="16" s="1"/>
  <c r="CI425" i="16"/>
  <c r="CJ425" i="16"/>
  <c r="BP185" i="16"/>
  <c r="BN190" i="16"/>
  <c r="BP188" i="16" s="1"/>
  <c r="AT273" i="16"/>
  <c r="AS273" i="16" s="1"/>
  <c r="CS328" i="16"/>
  <c r="DZ216" i="16"/>
  <c r="EE216" i="16" s="1"/>
  <c r="FN468" i="16"/>
  <c r="FS468" i="16" s="1"/>
  <c r="FL468" i="16"/>
  <c r="CA398" i="16"/>
  <c r="BZ398" i="16"/>
  <c r="AM27" i="16"/>
  <c r="AF37" i="16" s="1"/>
  <c r="C37" i="16" s="1"/>
  <c r="CW19" i="16"/>
  <c r="DZ103" i="16"/>
  <c r="EE103" i="16" s="1"/>
  <c r="EC90" i="16"/>
  <c r="ED90" i="16" s="1"/>
  <c r="DZ62" i="16"/>
  <c r="EE62" i="16" s="1"/>
  <c r="CT118" i="16"/>
  <c r="EV272" i="16"/>
  <c r="EZ272" i="16"/>
  <c r="ET272" i="16"/>
  <c r="EU272" i="16" s="1"/>
  <c r="FA272" i="16"/>
  <c r="FC272" i="16"/>
  <c r="FD272" i="16"/>
  <c r="CJ145" i="16"/>
  <c r="CI145" i="16"/>
  <c r="E439" i="16"/>
  <c r="AH441" i="16"/>
  <c r="AH442" i="16" s="1"/>
  <c r="BO445" i="16" s="1"/>
  <c r="FU313" i="16"/>
  <c r="FY313" i="16"/>
  <c r="FQ313" i="16"/>
  <c r="FV313" i="16"/>
  <c r="FO313" i="16"/>
  <c r="FP313" i="16" s="1"/>
  <c r="FX313" i="16"/>
  <c r="BP241" i="16"/>
  <c r="BN246" i="16"/>
  <c r="BP244" i="16" s="1"/>
  <c r="FL244" i="16"/>
  <c r="FN244" i="16"/>
  <c r="E299" i="16"/>
  <c r="AH301" i="16"/>
  <c r="AH302" i="16" s="1"/>
  <c r="BO305" i="16" s="1"/>
  <c r="DZ131" i="16"/>
  <c r="EE131" i="16" s="1"/>
  <c r="EC356" i="16"/>
  <c r="ED356" i="16" s="1"/>
  <c r="BZ286" i="16"/>
  <c r="CA286" i="16"/>
  <c r="FD285" i="16"/>
  <c r="ET285" i="16"/>
  <c r="EU285" i="16" s="1"/>
  <c r="EV285" i="16"/>
  <c r="FA285" i="16"/>
  <c r="FC285" i="16"/>
  <c r="EZ285" i="16"/>
  <c r="DZ146" i="16"/>
  <c r="EE146" i="16" s="1"/>
  <c r="ES215" i="16"/>
  <c r="EQ215" i="16"/>
  <c r="EQ467" i="16"/>
  <c r="ES467" i="16"/>
  <c r="EX467" i="16" s="1"/>
  <c r="EZ342" i="16"/>
  <c r="FC342" i="16"/>
  <c r="FD342" i="16"/>
  <c r="EV342" i="16"/>
  <c r="ET342" i="16"/>
  <c r="EU342" i="16" s="1"/>
  <c r="FA342" i="16"/>
  <c r="AH399" i="16"/>
  <c r="AH400" i="16" s="1"/>
  <c r="BO403" i="16" s="1"/>
  <c r="BZ201" i="16"/>
  <c r="CA201" i="16"/>
  <c r="BA97" i="16"/>
  <c r="FL285" i="16"/>
  <c r="FN285" i="16"/>
  <c r="FS285" i="16" s="1"/>
  <c r="DZ174" i="16"/>
  <c r="EE174" i="16" s="1"/>
  <c r="BP171" i="16"/>
  <c r="BN176" i="16"/>
  <c r="BP174" i="16" s="1"/>
  <c r="CJ440" i="16"/>
  <c r="CI440" i="16"/>
  <c r="FN467" i="16"/>
  <c r="FL467" i="16"/>
  <c r="CA341" i="16"/>
  <c r="BZ341" i="16"/>
  <c r="ET202" i="16"/>
  <c r="EU202" i="16" s="1"/>
  <c r="FC202" i="16"/>
  <c r="EZ202" i="16"/>
  <c r="EV202" i="16"/>
  <c r="FD202" i="16"/>
  <c r="FA202" i="16"/>
  <c r="EQ454" i="16"/>
  <c r="ES454" i="16"/>
  <c r="EX454" i="16" s="1"/>
  <c r="AF133" i="16"/>
  <c r="AM134" i="16" s="1"/>
  <c r="CS370" i="16"/>
  <c r="AV455" i="16"/>
  <c r="T453" i="16"/>
  <c r="FV216" i="16"/>
  <c r="FU216" i="16"/>
  <c r="FY216" i="16"/>
  <c r="FQ216" i="16"/>
  <c r="FX216" i="16"/>
  <c r="FO216" i="16"/>
  <c r="FP216" i="16" s="1"/>
  <c r="CJ216" i="16"/>
  <c r="CI216" i="16"/>
  <c r="CT174" i="16"/>
  <c r="AV231" i="16"/>
  <c r="T230" i="16"/>
  <c r="B160" i="16"/>
  <c r="AJ162" i="16"/>
  <c r="CA369" i="16"/>
  <c r="BZ369" i="16"/>
  <c r="CS369" i="16"/>
  <c r="BZ397" i="16"/>
  <c r="CA397" i="16"/>
  <c r="EQ216" i="16"/>
  <c r="ES216" i="16"/>
  <c r="EX216" i="16" s="1"/>
  <c r="DZ243" i="16"/>
  <c r="EE243" i="16" s="1"/>
  <c r="DZ384" i="16"/>
  <c r="EE384" i="16" s="1"/>
  <c r="ET383" i="16"/>
  <c r="EU383" i="16" s="1"/>
  <c r="EZ383" i="16"/>
  <c r="FA383" i="16"/>
  <c r="FD383" i="16"/>
  <c r="EV383" i="16"/>
  <c r="FC383" i="16"/>
  <c r="CA300" i="16"/>
  <c r="BZ300" i="16"/>
  <c r="EZ160" i="16"/>
  <c r="ET160" i="16"/>
  <c r="EU160" i="16" s="1"/>
  <c r="EV160" i="16"/>
  <c r="FD160" i="16"/>
  <c r="FC160" i="16"/>
  <c r="FA160" i="16"/>
  <c r="AJ190" i="16"/>
  <c r="B188" i="16"/>
  <c r="FV369" i="16"/>
  <c r="FX369" i="16"/>
  <c r="FU369" i="16"/>
  <c r="FQ369" i="16"/>
  <c r="FY369" i="16"/>
  <c r="FO369" i="16"/>
  <c r="FP369" i="16" s="1"/>
  <c r="EQ285" i="16"/>
  <c r="ES285" i="16"/>
  <c r="EC313" i="16"/>
  <c r="ED313" i="16" s="1"/>
  <c r="AT315" i="16"/>
  <c r="AS315" i="16" s="1"/>
  <c r="AT399" i="16"/>
  <c r="AS399" i="16" s="1"/>
  <c r="EC201" i="16"/>
  <c r="ED201" i="16" s="1"/>
  <c r="BZ257" i="16"/>
  <c r="CA257" i="16"/>
  <c r="EQ271" i="16"/>
  <c r="ES271" i="16"/>
  <c r="EX271" i="16" s="1"/>
  <c r="AF217" i="16"/>
  <c r="AM218" i="16" s="1"/>
  <c r="DZ215" i="16"/>
  <c r="EE215" i="16" s="1"/>
  <c r="BP437" i="16"/>
  <c r="BN442" i="16"/>
  <c r="BP440" i="16" s="1"/>
  <c r="FN439" i="16"/>
  <c r="FL439" i="16"/>
  <c r="EV467" i="16"/>
  <c r="FC467" i="16"/>
  <c r="ET467" i="16"/>
  <c r="EU467" i="16" s="1"/>
  <c r="EZ467" i="16"/>
  <c r="FD467" i="16"/>
  <c r="FA467" i="16"/>
  <c r="FL356" i="16"/>
  <c r="FN356" i="16"/>
  <c r="FS356" i="16" s="1"/>
  <c r="EQ356" i="16"/>
  <c r="ES356" i="16"/>
  <c r="FL342" i="16"/>
  <c r="FN342" i="16"/>
  <c r="FS342" i="16" s="1"/>
  <c r="AF245" i="16"/>
  <c r="AE245" i="16" s="1"/>
  <c r="CT454" i="16"/>
  <c r="CJ300" i="16"/>
  <c r="CI300" i="16"/>
  <c r="EZ187" i="16"/>
  <c r="ET187" i="16"/>
  <c r="EU187" i="16" s="1"/>
  <c r="FD187" i="16"/>
  <c r="FC187" i="16"/>
  <c r="FA187" i="16"/>
  <c r="EV187" i="16"/>
  <c r="AT413" i="16"/>
  <c r="BA414" i="16" s="1"/>
  <c r="FL187" i="16"/>
  <c r="FN187" i="16"/>
  <c r="FS187" i="16" s="1"/>
  <c r="BA27" i="16"/>
  <c r="FL145" i="16"/>
  <c r="FN145" i="16"/>
  <c r="ET440" i="16"/>
  <c r="EU440" i="16" s="1"/>
  <c r="FD440" i="16"/>
  <c r="EV440" i="16"/>
  <c r="FC440" i="16"/>
  <c r="FA440" i="16"/>
  <c r="EZ440" i="16"/>
  <c r="FA355" i="16"/>
  <c r="EV355" i="16"/>
  <c r="FD355" i="16"/>
  <c r="EZ355" i="16"/>
  <c r="FC355" i="16"/>
  <c r="ET355" i="16"/>
  <c r="EU355" i="16" s="1"/>
  <c r="EZ131" i="16"/>
  <c r="ET131" i="16"/>
  <c r="EU131" i="16" s="1"/>
  <c r="EV131" i="16"/>
  <c r="FD131" i="16"/>
  <c r="FC131" i="16"/>
  <c r="FA131" i="16"/>
  <c r="CJ369" i="16"/>
  <c r="CI369" i="16"/>
  <c r="AF399" i="16"/>
  <c r="AE399" i="16" s="1"/>
  <c r="BP283" i="16"/>
  <c r="BN288" i="16"/>
  <c r="BP286" i="16" s="1"/>
  <c r="BZ342" i="16"/>
  <c r="CA342" i="16"/>
  <c r="AF455" i="16"/>
  <c r="AE455" i="16" s="1"/>
  <c r="EC229" i="16"/>
  <c r="ED229" i="16" s="1"/>
  <c r="AF329" i="16"/>
  <c r="AE329" i="16" s="1"/>
  <c r="FY146" i="16"/>
  <c r="FQ146" i="16"/>
  <c r="FU146" i="16"/>
  <c r="FX146" i="16"/>
  <c r="FO146" i="16"/>
  <c r="FP146" i="16" s="1"/>
  <c r="FV146" i="16"/>
  <c r="EQ174" i="16"/>
  <c r="ES174" i="16"/>
  <c r="EX174" i="16" s="1"/>
  <c r="AT455" i="16"/>
  <c r="AS455" i="16" s="1"/>
  <c r="CA454" i="16"/>
  <c r="BZ454" i="16"/>
  <c r="BP367" i="16"/>
  <c r="BN372" i="16"/>
  <c r="BP370" i="16" s="1"/>
  <c r="FL131" i="16"/>
  <c r="FN131" i="16"/>
  <c r="AF161" i="16"/>
  <c r="AM162" i="16" s="1"/>
  <c r="FY328" i="16"/>
  <c r="FX328" i="16"/>
  <c r="FU328" i="16"/>
  <c r="FV328" i="16"/>
  <c r="FQ328" i="16"/>
  <c r="FO328" i="16"/>
  <c r="FP328" i="16" s="1"/>
  <c r="CT215" i="16"/>
  <c r="T215" i="16"/>
  <c r="AV217" i="16"/>
  <c r="AF441" i="16"/>
  <c r="AE441" i="16" s="1"/>
  <c r="AV357" i="16"/>
  <c r="T355" i="16"/>
  <c r="FV398" i="16"/>
  <c r="FX398" i="16"/>
  <c r="FY398" i="16"/>
  <c r="FU398" i="16"/>
  <c r="FQ398" i="16"/>
  <c r="FO398" i="16"/>
  <c r="FP398" i="16" s="1"/>
  <c r="AV385" i="16"/>
  <c r="T384" i="16"/>
  <c r="EC300" i="16"/>
  <c r="ED300" i="16" s="1"/>
  <c r="FY230" i="16"/>
  <c r="FQ230" i="16"/>
  <c r="FO230" i="16"/>
  <c r="FP230" i="16" s="1"/>
  <c r="FV230" i="16"/>
  <c r="FU230" i="16"/>
  <c r="FX230" i="16"/>
  <c r="BZ159" i="16"/>
  <c r="CA159" i="16"/>
  <c r="EQ188" i="16"/>
  <c r="ES188" i="16"/>
  <c r="BP409" i="16"/>
  <c r="BN414" i="16"/>
  <c r="BP412" i="16" s="1"/>
  <c r="BO260" i="16"/>
  <c r="B398" i="16"/>
  <c r="AJ400" i="16"/>
  <c r="FL411" i="16"/>
  <c r="FN411" i="16"/>
  <c r="ET286" i="16"/>
  <c r="EU286" i="16" s="1"/>
  <c r="FD286" i="16"/>
  <c r="FA286" i="16"/>
  <c r="EV286" i="16"/>
  <c r="FC286" i="16"/>
  <c r="EZ286" i="16"/>
  <c r="BZ146" i="16"/>
  <c r="CA146" i="16"/>
  <c r="AJ218" i="16"/>
  <c r="B216" i="16"/>
  <c r="FX341" i="16"/>
  <c r="FV341" i="16"/>
  <c r="FU341" i="16"/>
  <c r="FO341" i="16"/>
  <c r="FP341" i="16" s="1"/>
  <c r="FY341" i="16"/>
  <c r="FQ341" i="16"/>
  <c r="EC384" i="16"/>
  <c r="ED384" i="16" s="1"/>
  <c r="BP381" i="16"/>
  <c r="BN386" i="16"/>
  <c r="BP384" i="16" s="1"/>
  <c r="FQ201" i="16"/>
  <c r="FU201" i="16"/>
  <c r="FY201" i="16"/>
  <c r="FX201" i="16"/>
  <c r="FO201" i="16"/>
  <c r="FP201" i="16" s="1"/>
  <c r="FV201" i="16"/>
  <c r="CT426" i="16"/>
  <c r="EZ426" i="16"/>
  <c r="FA426" i="16"/>
  <c r="ET426" i="16"/>
  <c r="EU426" i="16" s="1"/>
  <c r="EV426" i="16"/>
  <c r="FD426" i="16"/>
  <c r="FC426" i="16"/>
  <c r="FN132" i="16"/>
  <c r="FS132" i="16" s="1"/>
  <c r="FL132" i="16"/>
  <c r="DZ160" i="16"/>
  <c r="EE160" i="16" s="1"/>
  <c r="FQ370" i="16"/>
  <c r="FY370" i="16"/>
  <c r="FO370" i="16"/>
  <c r="FP370" i="16" s="1"/>
  <c r="FX370" i="16"/>
  <c r="FV370" i="16"/>
  <c r="FU370" i="16"/>
  <c r="T369" i="16"/>
  <c r="AV371" i="16"/>
  <c r="EQ258" i="16"/>
  <c r="ES258" i="16"/>
  <c r="EX258" i="16" s="1"/>
  <c r="CI188" i="16"/>
  <c r="CJ188" i="16"/>
  <c r="CA272" i="16"/>
  <c r="BZ272" i="16"/>
  <c r="B328" i="16"/>
  <c r="AJ330" i="16"/>
  <c r="B286" i="16"/>
  <c r="AJ288" i="16"/>
  <c r="FA145" i="16"/>
  <c r="EZ145" i="16"/>
  <c r="ET145" i="16"/>
  <c r="EU145" i="16" s="1"/>
  <c r="FC145" i="16"/>
  <c r="FD145" i="16"/>
  <c r="EV145" i="16"/>
  <c r="FU145" i="16"/>
  <c r="FV145" i="16"/>
  <c r="FQ145" i="16"/>
  <c r="FY145" i="16"/>
  <c r="FX145" i="16"/>
  <c r="FO145" i="16"/>
  <c r="FP145" i="16" s="1"/>
  <c r="EQ244" i="16"/>
  <c r="ES244" i="16"/>
  <c r="EX244" i="16" s="1"/>
  <c r="FN201" i="16"/>
  <c r="FS201" i="16" s="1"/>
  <c r="FL201" i="16"/>
  <c r="BP199" i="16"/>
  <c r="BN204" i="16"/>
  <c r="BP202" i="16" s="1"/>
  <c r="FN230" i="16"/>
  <c r="FS230" i="16" s="1"/>
  <c r="FL230" i="16"/>
  <c r="DZ230" i="16"/>
  <c r="EE230" i="16" s="1"/>
  <c r="EQ131" i="16"/>
  <c r="ES131" i="16"/>
  <c r="EX131" i="16" s="1"/>
  <c r="FC370" i="16"/>
  <c r="ET370" i="16"/>
  <c r="EU370" i="16" s="1"/>
  <c r="EV370" i="16"/>
  <c r="FA370" i="16"/>
  <c r="FD370" i="16"/>
  <c r="EZ370" i="16"/>
  <c r="CT272" i="16"/>
  <c r="EC215" i="16"/>
  <c r="ED215" i="16" s="1"/>
  <c r="EC439" i="16"/>
  <c r="ED439" i="16" s="1"/>
  <c r="BP465" i="16"/>
  <c r="BN470" i="16"/>
  <c r="BP468" i="16" s="1"/>
  <c r="CJ230" i="16"/>
  <c r="CI230" i="16"/>
  <c r="DZ187" i="16"/>
  <c r="EE187" i="16" s="1"/>
  <c r="B412" i="16"/>
  <c r="AJ414" i="16"/>
  <c r="CA411" i="16"/>
  <c r="BZ411" i="16"/>
  <c r="AH217" i="16"/>
  <c r="AH218" i="16" s="1"/>
  <c r="BO221" i="16" s="1"/>
  <c r="CJ187" i="16"/>
  <c r="CI187" i="16"/>
  <c r="EC33" i="16"/>
  <c r="ED33" i="16" s="1"/>
  <c r="EC117" i="16"/>
  <c r="ED117" i="16" s="1"/>
  <c r="CT62" i="16"/>
  <c r="CS118" i="16"/>
  <c r="E467" i="16"/>
  <c r="AH469" i="16"/>
  <c r="AH470" i="16" s="1"/>
  <c r="BO473" i="16" s="1"/>
  <c r="AF315" i="16"/>
  <c r="AE315" i="16" s="1"/>
  <c r="AT231" i="16"/>
  <c r="AS231" i="16" s="1"/>
  <c r="BP129" i="16"/>
  <c r="BN134" i="16"/>
  <c r="BP132" i="16" s="1"/>
  <c r="CJ160" i="16"/>
  <c r="CJ161" i="16" s="1"/>
  <c r="CI160" i="16"/>
  <c r="AT189" i="16"/>
  <c r="AS189" i="16" s="1"/>
  <c r="FN369" i="16"/>
  <c r="FL369" i="16"/>
  <c r="CA439" i="16"/>
  <c r="BZ439" i="16"/>
  <c r="CJ327" i="16"/>
  <c r="CI327" i="16"/>
  <c r="EQ286" i="16"/>
  <c r="ES286" i="16"/>
  <c r="EX286" i="16" s="1"/>
  <c r="FA468" i="16"/>
  <c r="FD468" i="16"/>
  <c r="FC468" i="16"/>
  <c r="ET468" i="16"/>
  <c r="EU468" i="16" s="1"/>
  <c r="EV468" i="16"/>
  <c r="EZ468" i="16"/>
  <c r="FA244" i="16"/>
  <c r="ET244" i="16"/>
  <c r="EU244" i="16" s="1"/>
  <c r="EV244" i="16"/>
  <c r="FD244" i="16"/>
  <c r="EZ244" i="16"/>
  <c r="FC244" i="16"/>
  <c r="DZ229" i="16"/>
  <c r="EE229" i="16" s="1"/>
  <c r="AF189" i="16"/>
  <c r="AE189" i="16" s="1"/>
  <c r="CI257" i="16"/>
  <c r="CJ257" i="16"/>
  <c r="EC271" i="16"/>
  <c r="ED271" i="16" s="1"/>
  <c r="FA328" i="16"/>
  <c r="EV328" i="16"/>
  <c r="ET328" i="16"/>
  <c r="EU328" i="16" s="1"/>
  <c r="FD328" i="16"/>
  <c r="FC328" i="16"/>
  <c r="EZ328" i="16"/>
  <c r="AJ176" i="16"/>
  <c r="B174" i="16"/>
  <c r="CI398" i="16"/>
  <c r="CJ398" i="16"/>
  <c r="CJ384" i="16"/>
  <c r="CI384" i="16"/>
  <c r="AT203" i="16"/>
  <c r="BA204" i="16" s="1"/>
  <c r="EQ426" i="16"/>
  <c r="ES426" i="16"/>
  <c r="FV229" i="16"/>
  <c r="FX229" i="16"/>
  <c r="FY229" i="16"/>
  <c r="FQ229" i="16"/>
  <c r="FU229" i="16"/>
  <c r="FO229" i="16"/>
  <c r="FP229" i="16" s="1"/>
  <c r="EC132" i="16"/>
  <c r="ED132" i="16" s="1"/>
  <c r="FO188" i="16"/>
  <c r="FP188" i="16" s="1"/>
  <c r="FU188" i="16"/>
  <c r="FV188" i="16"/>
  <c r="FQ188" i="16"/>
  <c r="FX188" i="16"/>
  <c r="FY188" i="16"/>
  <c r="BA69" i="16"/>
  <c r="FV453" i="16"/>
  <c r="FY453" i="16"/>
  <c r="FQ453" i="16"/>
  <c r="FO453" i="16"/>
  <c r="FP453" i="16" s="1"/>
  <c r="FX453" i="16"/>
  <c r="FU453" i="16"/>
  <c r="CJ229" i="16"/>
  <c r="CI229" i="16"/>
  <c r="CJ131" i="16"/>
  <c r="CI131" i="16"/>
  <c r="CT173" i="16"/>
  <c r="CJ174" i="16"/>
  <c r="CI174" i="16"/>
  <c r="BP255" i="16"/>
  <c r="BN260" i="16"/>
  <c r="BP258" i="16" s="1"/>
  <c r="AT147" i="16"/>
  <c r="BA148" i="16" s="1"/>
  <c r="EQ146" i="16"/>
  <c r="ES146" i="16"/>
  <c r="CS216" i="16"/>
  <c r="FL397" i="16"/>
  <c r="FN397" i="16"/>
  <c r="FS397" i="16" s="1"/>
  <c r="CS202" i="16"/>
  <c r="CJ426" i="16"/>
  <c r="CI426" i="16"/>
  <c r="ES300" i="16"/>
  <c r="EX300" i="16" s="1"/>
  <c r="EQ300" i="16"/>
  <c r="CI132" i="16"/>
  <c r="CJ132" i="16"/>
  <c r="ES187" i="16"/>
  <c r="EQ187" i="16"/>
  <c r="ET188" i="16"/>
  <c r="EU188" i="16" s="1"/>
  <c r="FA188" i="16"/>
  <c r="EZ188" i="16"/>
  <c r="EV188" i="16"/>
  <c r="FC188" i="16"/>
  <c r="FD188" i="16"/>
  <c r="FX412" i="16"/>
  <c r="FV412" i="16"/>
  <c r="FU412" i="16"/>
  <c r="FQ412" i="16"/>
  <c r="FY412" i="16"/>
  <c r="FO412" i="16"/>
  <c r="FP412" i="16" s="1"/>
  <c r="CA327" i="16"/>
  <c r="BZ327" i="16"/>
  <c r="DZ145" i="16"/>
  <c r="EE145" i="16" s="1"/>
  <c r="FY342" i="16"/>
  <c r="FX342" i="16"/>
  <c r="FQ342" i="16"/>
  <c r="FO342" i="16"/>
  <c r="FP342" i="16" s="1"/>
  <c r="FU342" i="16"/>
  <c r="FV342" i="16"/>
  <c r="DZ201" i="16"/>
  <c r="EE201" i="16" s="1"/>
  <c r="EC425" i="16"/>
  <c r="ED425" i="16" s="1"/>
  <c r="ES229" i="16"/>
  <c r="EX229" i="16" s="1"/>
  <c r="EQ229" i="16"/>
  <c r="AT217" i="16"/>
  <c r="BA218" i="16" s="1"/>
  <c r="FC215" i="16"/>
  <c r="FA215" i="16"/>
  <c r="EZ215" i="16"/>
  <c r="ET215" i="16"/>
  <c r="EU215" i="16" s="1"/>
  <c r="FD215" i="16"/>
  <c r="EV215" i="16"/>
  <c r="CA356" i="16"/>
  <c r="BZ356" i="16"/>
  <c r="B384" i="16"/>
  <c r="AJ386" i="16"/>
  <c r="FL425" i="16"/>
  <c r="FN425" i="16"/>
  <c r="FL454" i="16"/>
  <c r="FN454" i="16"/>
  <c r="FS454" i="16" s="1"/>
  <c r="FL300" i="16"/>
  <c r="FN300" i="16"/>
  <c r="FS300" i="16" s="1"/>
  <c r="EQ132" i="16"/>
  <c r="ES132" i="16"/>
  <c r="EC187" i="16"/>
  <c r="ED187" i="16" s="1"/>
  <c r="BZ412" i="16"/>
  <c r="CA412" i="16"/>
  <c r="FA412" i="16"/>
  <c r="EZ412" i="16"/>
  <c r="ET412" i="16"/>
  <c r="EU412" i="16" s="1"/>
  <c r="FD412" i="16"/>
  <c r="FC412" i="16"/>
  <c r="EV412" i="16"/>
  <c r="T257" i="16"/>
  <c r="AV259" i="16"/>
  <c r="CT286" i="16"/>
  <c r="CS398" i="16"/>
  <c r="EQ398" i="16"/>
  <c r="ES398" i="16"/>
  <c r="EX398" i="16" s="1"/>
  <c r="AH231" i="16"/>
  <c r="AH232" i="16" s="1"/>
  <c r="BO235" i="16" s="1"/>
  <c r="AH203" i="16"/>
  <c r="AH204" i="16" s="1"/>
  <c r="BO207" i="16" s="1"/>
  <c r="CW20" i="16"/>
  <c r="EC104" i="16"/>
  <c r="ED104" i="16" s="1"/>
  <c r="DZ117" i="16"/>
  <c r="EE117" i="16" s="1"/>
  <c r="DZ33" i="16"/>
  <c r="EE33" i="16" s="1"/>
  <c r="AF273" i="16"/>
  <c r="AE273" i="16" s="1"/>
  <c r="BO470" i="16"/>
  <c r="BP353" i="16"/>
  <c r="BN358" i="16"/>
  <c r="BP356" i="16" s="1"/>
  <c r="E313" i="16"/>
  <c r="AH315" i="16"/>
  <c r="AH316" i="16" s="1"/>
  <c r="BO319" i="16" s="1"/>
  <c r="DZ454" i="16"/>
  <c r="EE454" i="16" s="1"/>
  <c r="AF259" i="16"/>
  <c r="AE259" i="16" s="1"/>
  <c r="FA258" i="16"/>
  <c r="EZ258" i="16"/>
  <c r="FD258" i="16"/>
  <c r="ET258" i="16"/>
  <c r="EU258" i="16" s="1"/>
  <c r="EV258" i="16"/>
  <c r="FC258" i="16"/>
  <c r="T327" i="16"/>
  <c r="AV329" i="16"/>
  <c r="FL327" i="16"/>
  <c r="FN327" i="16"/>
  <c r="CA215" i="16"/>
  <c r="BZ215" i="16"/>
  <c r="CA467" i="16"/>
  <c r="BZ467" i="16"/>
  <c r="EQ201" i="16"/>
  <c r="ES201" i="16"/>
  <c r="EX201" i="16" s="1"/>
  <c r="FY426" i="16"/>
  <c r="FQ426" i="16"/>
  <c r="FO426" i="16"/>
  <c r="FP426" i="16" s="1"/>
  <c r="FX426" i="16"/>
  <c r="FV426" i="16"/>
  <c r="FU426" i="16"/>
  <c r="CJ412" i="16"/>
  <c r="CI412" i="16"/>
  <c r="BP269" i="16"/>
  <c r="BN274" i="16"/>
  <c r="BP272" i="16" s="1"/>
  <c r="CT328" i="16"/>
  <c r="CT285" i="16"/>
  <c r="CI215" i="16"/>
  <c r="CJ215" i="16"/>
  <c r="AF357" i="16"/>
  <c r="AM358" i="16" s="1"/>
  <c r="FL341" i="16"/>
  <c r="FN341" i="16"/>
  <c r="FL398" i="16"/>
  <c r="FN398" i="16"/>
  <c r="EQ370" i="16"/>
  <c r="ES370" i="16"/>
  <c r="EX370" i="16" s="1"/>
  <c r="BO414" i="16"/>
  <c r="FL243" i="16"/>
  <c r="FN243" i="16"/>
  <c r="FS243" i="16" s="1"/>
  <c r="FL229" i="16"/>
  <c r="FN229" i="16"/>
  <c r="BO218" i="16"/>
  <c r="FL174" i="16"/>
  <c r="FN174" i="16"/>
  <c r="FS174" i="16" s="1"/>
  <c r="CT355" i="16"/>
  <c r="BP395" i="16"/>
  <c r="BN400" i="16"/>
  <c r="BP398" i="16" s="1"/>
  <c r="BZ244" i="16"/>
  <c r="CA244" i="16"/>
  <c r="AF203" i="16"/>
  <c r="AM204" i="16" s="1"/>
  <c r="EV300" i="16"/>
  <c r="EZ300" i="16"/>
  <c r="FD300" i="16"/>
  <c r="FC300" i="16"/>
  <c r="ET300" i="16"/>
  <c r="EU300" i="16" s="1"/>
  <c r="FA300" i="16"/>
  <c r="FC229" i="16"/>
  <c r="ET229" i="16"/>
  <c r="EU229" i="16" s="1"/>
  <c r="FA229" i="16"/>
  <c r="FD229" i="16"/>
  <c r="EV229" i="16"/>
  <c r="EZ229" i="16"/>
  <c r="FQ132" i="16"/>
  <c r="FU132" i="16"/>
  <c r="FX132" i="16"/>
  <c r="FO132" i="16"/>
  <c r="FP132" i="16" s="1"/>
  <c r="FY132" i="16"/>
  <c r="FV132" i="16"/>
  <c r="B370" i="16"/>
  <c r="AJ372" i="16"/>
  <c r="FY285" i="16"/>
  <c r="FU285" i="16"/>
  <c r="FQ285" i="16"/>
  <c r="FX285" i="16"/>
  <c r="FV285" i="16"/>
  <c r="FO285" i="16"/>
  <c r="FP285" i="16" s="1"/>
  <c r="BZ145" i="16"/>
  <c r="CA145" i="16"/>
  <c r="CJ313" i="16"/>
  <c r="CI313" i="16"/>
  <c r="AT301" i="16"/>
  <c r="AS301" i="16" s="1"/>
  <c r="FQ272" i="16"/>
  <c r="FV272" i="16"/>
  <c r="FO272" i="16"/>
  <c r="FP272" i="16" s="1"/>
  <c r="FY272" i="16"/>
  <c r="FX272" i="16"/>
  <c r="FU272" i="16"/>
  <c r="CT146" i="16"/>
  <c r="CA216" i="16"/>
  <c r="BZ216" i="16"/>
  <c r="FX440" i="16"/>
  <c r="FO440" i="16"/>
  <c r="FP440" i="16" s="1"/>
  <c r="FV440" i="16"/>
  <c r="FU440" i="16"/>
  <c r="FQ440" i="16"/>
  <c r="FY440" i="16"/>
  <c r="BO442" i="16"/>
  <c r="BO204" i="16"/>
  <c r="CA202" i="16"/>
  <c r="BZ202" i="16"/>
  <c r="EC188" i="16"/>
  <c r="ED188" i="16" s="1"/>
  <c r="CS258" i="16"/>
  <c r="AJ260" i="16"/>
  <c r="B258" i="16"/>
  <c r="FL188" i="16"/>
  <c r="FN188" i="16"/>
  <c r="FS188" i="16" s="1"/>
  <c r="EQ272" i="16"/>
  <c r="ES272" i="16"/>
  <c r="CJ271" i="16"/>
  <c r="CI271" i="16"/>
  <c r="EC145" i="16"/>
  <c r="ED145" i="16" s="1"/>
  <c r="T145" i="16"/>
  <c r="AV147" i="16"/>
  <c r="AJ358" i="16"/>
  <c r="B356" i="16"/>
  <c r="CT314" i="16"/>
  <c r="AF343" i="16"/>
  <c r="AE343" i="16" s="1"/>
  <c r="DZ383" i="16"/>
  <c r="EE383" i="16" s="1"/>
  <c r="CT202" i="16"/>
  <c r="FC425" i="16"/>
  <c r="EZ425" i="16"/>
  <c r="ET425" i="16"/>
  <c r="EU425" i="16" s="1"/>
  <c r="FD425" i="16"/>
  <c r="FA425" i="16"/>
  <c r="EV425" i="16"/>
  <c r="FC230" i="16"/>
  <c r="FA230" i="16"/>
  <c r="EZ230" i="16"/>
  <c r="ET230" i="16"/>
  <c r="EU230" i="16" s="1"/>
  <c r="FD230" i="16"/>
  <c r="EV230" i="16"/>
  <c r="AJ134" i="16"/>
  <c r="B132" i="16"/>
  <c r="CT370" i="16"/>
  <c r="AT259" i="16"/>
  <c r="AS259" i="16" s="1"/>
  <c r="AT427" i="16"/>
  <c r="BP213" i="16"/>
  <c r="BN218" i="16"/>
  <c r="BP216" i="16" s="1"/>
  <c r="CA440" i="16"/>
  <c r="BZ440" i="16"/>
  <c r="AF385" i="16"/>
  <c r="AE385" i="16" s="1"/>
  <c r="CT453" i="16"/>
  <c r="T159" i="16"/>
  <c r="AV161" i="16"/>
  <c r="DZ412" i="16"/>
  <c r="EE412" i="16" s="1"/>
  <c r="EQ411" i="16"/>
  <c r="ES411" i="16"/>
  <c r="EX411" i="16" s="1"/>
  <c r="AT385" i="16"/>
  <c r="AS385" i="16" s="1"/>
  <c r="FQ467" i="16"/>
  <c r="FX467" i="16"/>
  <c r="FU467" i="16"/>
  <c r="FV467" i="16"/>
  <c r="FO467" i="16"/>
  <c r="FP467" i="16" s="1"/>
  <c r="FY467" i="16"/>
  <c r="FD314" i="16"/>
  <c r="FA314" i="16"/>
  <c r="ET314" i="16"/>
  <c r="EU314" i="16" s="1"/>
  <c r="EV314" i="16"/>
  <c r="FC314" i="16"/>
  <c r="EZ314" i="16"/>
  <c r="FU397" i="16"/>
  <c r="FY397" i="16"/>
  <c r="FV397" i="16"/>
  <c r="FX397" i="16"/>
  <c r="FQ397" i="16"/>
  <c r="FO397" i="16"/>
  <c r="FP397" i="16" s="1"/>
  <c r="T271" i="16"/>
  <c r="AV273" i="16"/>
  <c r="EQ342" i="16"/>
  <c r="ES342" i="16"/>
  <c r="FU454" i="16"/>
  <c r="FY454" i="16"/>
  <c r="FQ454" i="16"/>
  <c r="FX454" i="16"/>
  <c r="FO454" i="16"/>
  <c r="FP454" i="16" s="1"/>
  <c r="FV454" i="16"/>
  <c r="CJ299" i="16"/>
  <c r="CI299" i="16"/>
  <c r="FL440" i="16"/>
  <c r="FN440" i="16"/>
  <c r="FS440" i="16" s="1"/>
  <c r="BZ453" i="16"/>
  <c r="CA453" i="16"/>
  <c r="CA299" i="16"/>
  <c r="BZ299" i="16"/>
  <c r="EV132" i="16"/>
  <c r="FD132" i="16"/>
  <c r="FC132" i="16"/>
  <c r="ET132" i="16"/>
  <c r="EU132" i="16" s="1"/>
  <c r="FA132" i="16"/>
  <c r="EZ132" i="16"/>
  <c r="AT371" i="16"/>
  <c r="AS371" i="16" s="1"/>
  <c r="FV355" i="16"/>
  <c r="FO355" i="16"/>
  <c r="FP355" i="16" s="1"/>
  <c r="FX355" i="16"/>
  <c r="FU355" i="16"/>
  <c r="FY355" i="16"/>
  <c r="FQ355" i="16"/>
  <c r="EC426" i="16"/>
  <c r="ED426" i="16" s="1"/>
  <c r="T299" i="16"/>
  <c r="AV301" i="16"/>
  <c r="BP311" i="16"/>
  <c r="BN316" i="16"/>
  <c r="BP314" i="16" s="1"/>
  <c r="CJ202" i="16"/>
  <c r="CI202" i="16"/>
  <c r="FV300" i="16"/>
  <c r="FO300" i="16"/>
  <c r="FP300" i="16" s="1"/>
  <c r="FX300" i="16"/>
  <c r="FU300" i="16"/>
  <c r="FY300" i="16"/>
  <c r="FQ300" i="16"/>
  <c r="EQ257" i="16"/>
  <c r="ES257" i="16"/>
  <c r="FL272" i="16"/>
  <c r="FN272" i="16"/>
  <c r="FS272" i="16" s="1"/>
  <c r="CA314" i="16"/>
  <c r="BZ314" i="16"/>
  <c r="EQ314" i="16"/>
  <c r="ES314" i="16"/>
  <c r="CJ342" i="16"/>
  <c r="CI342" i="16"/>
  <c r="CA425" i="16"/>
  <c r="BZ425" i="16"/>
  <c r="FL453" i="16"/>
  <c r="FN453" i="16"/>
  <c r="FU257" i="16"/>
  <c r="FY257" i="16"/>
  <c r="FO257" i="16"/>
  <c r="FP257" i="16" s="1"/>
  <c r="FX257" i="16"/>
  <c r="FQ257" i="16"/>
  <c r="FV257" i="16"/>
  <c r="CA328" i="16"/>
  <c r="BZ328" i="16"/>
  <c r="AM97" i="16"/>
  <c r="AF107" i="16" s="1"/>
  <c r="C107" i="16" s="1"/>
  <c r="AM139" i="16"/>
  <c r="AF149" i="16" s="1"/>
  <c r="C149" i="16" s="1"/>
  <c r="AW21" i="16"/>
  <c r="AW22" i="16" s="1"/>
  <c r="DZ75" i="16"/>
  <c r="EE75" i="16" s="1"/>
  <c r="DZ34" i="16"/>
  <c r="EE34" i="16" s="1"/>
  <c r="CT467" i="16"/>
  <c r="T467" i="16"/>
  <c r="AV469" i="16"/>
  <c r="EC355" i="16"/>
  <c r="ED355" i="16" s="1"/>
  <c r="EC314" i="16"/>
  <c r="ED314" i="16" s="1"/>
  <c r="BP339" i="16"/>
  <c r="BN344" i="16"/>
  <c r="BP342" i="16" s="1"/>
  <c r="BZ230" i="16"/>
  <c r="CA230" i="16"/>
  <c r="FL160" i="16"/>
  <c r="FN160" i="16"/>
  <c r="FS160" i="16" s="1"/>
  <c r="ES439" i="16"/>
  <c r="EX439" i="16" s="1"/>
  <c r="EQ439" i="16"/>
  <c r="T397" i="16"/>
  <c r="AV399" i="16"/>
  <c r="FX243" i="16"/>
  <c r="FQ243" i="16"/>
  <c r="FV243" i="16"/>
  <c r="FU243" i="16"/>
  <c r="FY243" i="16"/>
  <c r="FO243" i="16"/>
  <c r="FP243" i="16" s="1"/>
  <c r="FV173" i="16"/>
  <c r="FO173" i="16"/>
  <c r="FP173" i="16" s="1"/>
  <c r="FY173" i="16"/>
  <c r="FU173" i="16"/>
  <c r="FX173" i="16"/>
  <c r="FQ173" i="16"/>
  <c r="DZ467" i="16"/>
  <c r="EE467" i="16" s="1"/>
  <c r="FV202" i="16"/>
  <c r="FU202" i="16"/>
  <c r="FY202" i="16"/>
  <c r="FX202" i="16"/>
  <c r="FQ202" i="16"/>
  <c r="FO202" i="16"/>
  <c r="FP202" i="16" s="1"/>
  <c r="AJ204" i="16"/>
  <c r="B202" i="16"/>
  <c r="E187" i="16"/>
  <c r="AH189" i="16"/>
  <c r="AH190" i="16" s="1"/>
  <c r="BO193" i="16" s="1"/>
  <c r="FN412" i="16"/>
  <c r="FS412" i="16" s="1"/>
  <c r="FL412" i="16"/>
  <c r="CJ258" i="16"/>
  <c r="CI258" i="16"/>
  <c r="FN257" i="16"/>
  <c r="FL257" i="16"/>
  <c r="DZ271" i="16"/>
  <c r="EE271" i="16" s="1"/>
  <c r="CJ328" i="16"/>
  <c r="CI328" i="16"/>
  <c r="CI285" i="16"/>
  <c r="CJ285" i="16"/>
  <c r="AF147" i="16"/>
  <c r="AM148" i="16" s="1"/>
  <c r="FN215" i="16"/>
  <c r="FL215" i="16"/>
  <c r="EV173" i="16"/>
  <c r="FC173" i="16"/>
  <c r="ET173" i="16"/>
  <c r="EU173" i="16" s="1"/>
  <c r="FA173" i="16"/>
  <c r="FD173" i="16"/>
  <c r="EZ173" i="16"/>
  <c r="ES341" i="16"/>
  <c r="EQ341" i="16"/>
  <c r="B426" i="16"/>
  <c r="AJ428" i="16"/>
  <c r="B454" i="16"/>
  <c r="AJ456" i="16"/>
  <c r="EQ299" i="16"/>
  <c r="ES299" i="16"/>
  <c r="T411" i="16"/>
  <c r="AV413" i="16"/>
  <c r="FX160" i="16"/>
  <c r="FU160" i="16"/>
  <c r="FV160" i="16"/>
  <c r="FQ160" i="16"/>
  <c r="FY160" i="16"/>
  <c r="FO160" i="16"/>
  <c r="FP160" i="16" s="1"/>
  <c r="BP325" i="16"/>
  <c r="BN330" i="16"/>
  <c r="BP328" i="16" s="1"/>
  <c r="AT287" i="16"/>
  <c r="AS287" i="16" s="1"/>
  <c r="FD397" i="16"/>
  <c r="FA397" i="16"/>
  <c r="FC397" i="16"/>
  <c r="EZ397" i="16"/>
  <c r="EV397" i="16"/>
  <c r="ET397" i="16"/>
  <c r="EU397" i="16" s="1"/>
  <c r="BP227" i="16"/>
  <c r="BN232" i="16"/>
  <c r="BP230" i="16" s="1"/>
  <c r="EQ159" i="16"/>
  <c r="ES159" i="16"/>
  <c r="ET411" i="16"/>
  <c r="EU411" i="16" s="1"/>
  <c r="FD411" i="16"/>
  <c r="EV411" i="16"/>
  <c r="FC411" i="16"/>
  <c r="EZ411" i="16"/>
  <c r="FA411" i="16"/>
  <c r="CI411" i="16"/>
  <c r="CJ411" i="16"/>
  <c r="AF175" i="16"/>
  <c r="AM176" i="16" s="1"/>
  <c r="AT357" i="16"/>
  <c r="BA358" i="16" s="1"/>
  <c r="FC384" i="16"/>
  <c r="ET384" i="16"/>
  <c r="EU384" i="16" s="1"/>
  <c r="EZ384" i="16"/>
  <c r="FD384" i="16"/>
  <c r="FA384" i="16"/>
  <c r="EV384" i="16"/>
  <c r="FV299" i="16"/>
  <c r="FU299" i="16"/>
  <c r="FX299" i="16"/>
  <c r="FY299" i="16"/>
  <c r="FQ299" i="16"/>
  <c r="FO299" i="16"/>
  <c r="FP299" i="16" s="1"/>
  <c r="DZ188" i="16"/>
  <c r="EE188" i="16" s="1"/>
  <c r="AF371" i="16"/>
  <c r="AE371" i="16" s="1"/>
  <c r="AH259" i="16"/>
  <c r="AH260" i="16" s="1"/>
  <c r="BO263" i="16" s="1"/>
  <c r="FL271" i="16"/>
  <c r="FN271" i="16"/>
  <c r="BZ285" i="16"/>
  <c r="CA285" i="16"/>
  <c r="EQ468" i="16"/>
  <c r="ES468" i="16"/>
  <c r="DZ313" i="16"/>
  <c r="EE313" i="16" s="1"/>
  <c r="FL314" i="16"/>
  <c r="FN314" i="16"/>
  <c r="FS314" i="16" s="1"/>
  <c r="EQ243" i="16"/>
  <c r="ES243" i="16"/>
  <c r="EX243" i="16" s="1"/>
  <c r="BP423" i="16"/>
  <c r="BN428" i="16"/>
  <c r="BP426" i="16" s="1"/>
  <c r="CA229" i="16"/>
  <c r="BZ229" i="16"/>
  <c r="T131" i="16"/>
  <c r="AV133" i="16"/>
  <c r="CA160" i="16"/>
  <c r="BZ160" i="16"/>
  <c r="DZ159" i="16"/>
  <c r="EE159" i="16" s="1"/>
  <c r="FX187" i="16"/>
  <c r="FV187" i="16"/>
  <c r="FO187" i="16"/>
  <c r="FP187" i="16" s="1"/>
  <c r="FU187" i="16"/>
  <c r="FQ187" i="16"/>
  <c r="FY187" i="16"/>
  <c r="FL370" i="16"/>
  <c r="FN370" i="16"/>
  <c r="FS370" i="16" s="1"/>
  <c r="AT329" i="16"/>
  <c r="AS329" i="16" s="1"/>
  <c r="CI439" i="16"/>
  <c r="CJ439" i="16"/>
  <c r="ES313" i="16"/>
  <c r="EX313" i="16" s="1"/>
  <c r="EQ313" i="16"/>
  <c r="EQ425" i="16"/>
  <c r="ES425" i="16"/>
  <c r="CI454" i="16"/>
  <c r="CJ454" i="16"/>
  <c r="CA132" i="16"/>
  <c r="BZ132" i="16"/>
  <c r="FO159" i="16"/>
  <c r="FP159" i="16" s="1"/>
  <c r="FX159" i="16"/>
  <c r="FY159" i="16"/>
  <c r="FV159" i="16"/>
  <c r="FQ159" i="16"/>
  <c r="FU159" i="16"/>
  <c r="FL286" i="16"/>
  <c r="FN286" i="16"/>
  <c r="EC216" i="16"/>
  <c r="ED216" i="16" s="1"/>
  <c r="CT468" i="16"/>
  <c r="AH329" i="16"/>
  <c r="AH330" i="16" s="1"/>
  <c r="BO333" i="16" s="1"/>
  <c r="ET243" i="16"/>
  <c r="EU243" i="16" s="1"/>
  <c r="FA243" i="16"/>
  <c r="EZ243" i="16"/>
  <c r="EV243" i="16"/>
  <c r="FD243" i="16"/>
  <c r="FC243" i="16"/>
  <c r="AF301" i="16"/>
  <c r="AE301" i="16" s="1"/>
  <c r="AJ442" i="16"/>
  <c r="B440" i="16"/>
  <c r="AV245" i="16"/>
  <c r="T243" i="16"/>
  <c r="AT161" i="16"/>
  <c r="BA162" i="16" s="1"/>
  <c r="AT343" i="16"/>
  <c r="AS343" i="16" s="1"/>
  <c r="FV425" i="16"/>
  <c r="FQ425" i="16"/>
  <c r="FU425" i="16"/>
  <c r="FO425" i="16"/>
  <c r="FP425" i="16" s="1"/>
  <c r="FX425" i="16"/>
  <c r="FY425" i="16"/>
  <c r="EQ173" i="16"/>
  <c r="ES173" i="16"/>
  <c r="FL216" i="16"/>
  <c r="FN216" i="16"/>
  <c r="FS216" i="16" s="1"/>
  <c r="FA257" i="16"/>
  <c r="FD257" i="16"/>
  <c r="EV257" i="16"/>
  <c r="ET257" i="16"/>
  <c r="EU257" i="16" s="1"/>
  <c r="FC257" i="16"/>
  <c r="EZ257" i="16"/>
  <c r="T439" i="16"/>
  <c r="AV441" i="16"/>
  <c r="EQ384" i="16"/>
  <c r="ES384" i="16"/>
  <c r="CJ314" i="16"/>
  <c r="CI314" i="16"/>
  <c r="EV201" i="16"/>
  <c r="FC201" i="16"/>
  <c r="ET201" i="16"/>
  <c r="EU201" i="16" s="1"/>
  <c r="FA201" i="16"/>
  <c r="EZ201" i="16"/>
  <c r="FD201" i="16"/>
  <c r="BP157" i="16"/>
  <c r="BN162" i="16"/>
  <c r="BP160" i="16" s="1"/>
  <c r="BH408" i="16"/>
  <c r="R408" i="16" s="1"/>
  <c r="S416" i="16"/>
  <c r="BG408" i="16"/>
  <c r="C408" i="16" s="1"/>
  <c r="D415" i="16"/>
  <c r="AA416" i="16"/>
  <c r="D416" i="16"/>
  <c r="S415" i="16"/>
  <c r="AJ274" i="16"/>
  <c r="B272" i="16"/>
  <c r="EQ440" i="16"/>
  <c r="ES440" i="16"/>
  <c r="EX440" i="16" s="1"/>
  <c r="CT439" i="16"/>
  <c r="BZ313" i="16"/>
  <c r="CA313" i="16"/>
  <c r="CI286" i="16"/>
  <c r="CJ286" i="16"/>
  <c r="CJ468" i="16"/>
  <c r="CI468" i="16"/>
  <c r="AL21" i="16"/>
  <c r="AL22" i="16" s="1"/>
  <c r="DZ118" i="16"/>
  <c r="EE118" i="16" s="1"/>
  <c r="DZ48" i="16"/>
  <c r="EE48" i="16" s="1"/>
  <c r="FV468" i="16"/>
  <c r="FY468" i="16"/>
  <c r="FQ468" i="16"/>
  <c r="FO468" i="16"/>
  <c r="FP468" i="16" s="1"/>
  <c r="FX468" i="16"/>
  <c r="FU468" i="16"/>
  <c r="T313" i="16"/>
  <c r="AV315" i="16"/>
  <c r="CT244" i="16"/>
  <c r="FA454" i="16"/>
  <c r="ET454" i="16"/>
  <c r="EU454" i="16" s="1"/>
  <c r="EZ454" i="16"/>
  <c r="FD454" i="16"/>
  <c r="FC454" i="16"/>
  <c r="EV454" i="16"/>
  <c r="ES230" i="16"/>
  <c r="EX230" i="16" s="1"/>
  <c r="EQ230" i="16"/>
  <c r="FL159" i="16"/>
  <c r="FN159" i="16"/>
  <c r="FS159" i="16" s="1"/>
  <c r="FX271" i="16"/>
  <c r="FV271" i="16"/>
  <c r="FQ271" i="16"/>
  <c r="FO271" i="16"/>
  <c r="FP271" i="16" s="1"/>
  <c r="FU271" i="16"/>
  <c r="FY271" i="16"/>
  <c r="FV327" i="16"/>
  <c r="FO327" i="16"/>
  <c r="FP327" i="16" s="1"/>
  <c r="FX327" i="16"/>
  <c r="FU327" i="16"/>
  <c r="FQ327" i="16"/>
  <c r="FY327" i="16"/>
  <c r="FN299" i="16"/>
  <c r="FL299" i="16"/>
  <c r="FL258" i="16"/>
  <c r="FN258" i="16"/>
  <c r="FS258" i="16" s="1"/>
  <c r="FL328" i="16"/>
  <c r="FN328" i="16"/>
  <c r="FS328" i="16" s="1"/>
  <c r="EC174" i="16"/>
  <c r="ED174" i="16" s="1"/>
  <c r="CJ341" i="16"/>
  <c r="CI341" i="16"/>
  <c r="FL384" i="16"/>
  <c r="FN384" i="16"/>
  <c r="CJ201" i="16"/>
  <c r="CI201" i="16"/>
  <c r="BZ426" i="16"/>
  <c r="CA426" i="16"/>
  <c r="T425" i="16"/>
  <c r="AV427" i="16"/>
  <c r="ES453" i="16"/>
  <c r="EX453" i="16" s="1"/>
  <c r="EQ453" i="16"/>
  <c r="DZ132" i="16"/>
  <c r="EE132" i="16" s="1"/>
  <c r="BZ370" i="16"/>
  <c r="CA370" i="16"/>
  <c r="FC369" i="16"/>
  <c r="FA369" i="16"/>
  <c r="EZ369" i="16"/>
  <c r="ET369" i="16"/>
  <c r="EU369" i="16" s="1"/>
  <c r="EV369" i="16"/>
  <c r="FD369" i="16"/>
  <c r="CA173" i="16"/>
  <c r="BZ173" i="16"/>
  <c r="CT229" i="16"/>
  <c r="AF413" i="16"/>
  <c r="AE413" i="16" s="1"/>
  <c r="FD327" i="16"/>
  <c r="FC327" i="16"/>
  <c r="FA327" i="16"/>
  <c r="EZ327" i="16"/>
  <c r="EV327" i="16"/>
  <c r="ET327" i="16"/>
  <c r="EU327" i="16" s="1"/>
  <c r="FY215" i="16"/>
  <c r="FQ215" i="16"/>
  <c r="FU215" i="16"/>
  <c r="FO215" i="16"/>
  <c r="FP215" i="16" s="1"/>
  <c r="FX215" i="16"/>
  <c r="FV215" i="16"/>
  <c r="CJ173" i="16"/>
  <c r="CI173" i="16"/>
  <c r="AT175" i="16"/>
  <c r="BA176" i="16" s="1"/>
  <c r="DZ398" i="16"/>
  <c r="EE398" i="16" s="1"/>
  <c r="CI383" i="16"/>
  <c r="CJ383" i="16"/>
  <c r="E425" i="16"/>
  <c r="AH427" i="16"/>
  <c r="AH428" i="16" s="1"/>
  <c r="BO431" i="16" s="1"/>
  <c r="EV453" i="16"/>
  <c r="FD453" i="16"/>
  <c r="FA453" i="16"/>
  <c r="EZ453" i="16"/>
  <c r="FC453" i="16"/>
  <c r="ET453" i="16"/>
  <c r="EU453" i="16" s="1"/>
  <c r="AT133" i="16"/>
  <c r="BA134" i="16" s="1"/>
  <c r="BZ188" i="16"/>
  <c r="CA188" i="16"/>
  <c r="FO258" i="16"/>
  <c r="FP258" i="16" s="1"/>
  <c r="FV258" i="16"/>
  <c r="FY258" i="16"/>
  <c r="FQ258" i="16"/>
  <c r="FX258" i="16"/>
  <c r="FU258" i="16"/>
  <c r="BA83" i="16"/>
  <c r="EQ145" i="16"/>
  <c r="ES145" i="16"/>
  <c r="FN313" i="16"/>
  <c r="FL313" i="16"/>
  <c r="FL146" i="16"/>
  <c r="FN146" i="16"/>
  <c r="FW146" i="16" s="1"/>
  <c r="AJ148" i="16"/>
  <c r="B146" i="16"/>
  <c r="T341" i="16"/>
  <c r="AV343" i="16"/>
  <c r="AV203" i="16"/>
  <c r="T201" i="16"/>
  <c r="EQ202" i="16"/>
  <c r="ES202" i="16"/>
  <c r="EX202" i="16" s="1"/>
  <c r="DZ426" i="16"/>
  <c r="EE426" i="16" s="1"/>
  <c r="EV299" i="16"/>
  <c r="FC299" i="16"/>
  <c r="FA299" i="16"/>
  <c r="EZ299" i="16"/>
  <c r="ET299" i="16"/>
  <c r="EU299" i="16" s="1"/>
  <c r="FD299" i="16"/>
  <c r="CA258" i="16"/>
  <c r="BZ258" i="16"/>
  <c r="FY314" i="16"/>
  <c r="FQ314" i="16"/>
  <c r="FX314" i="16"/>
  <c r="FO314" i="16"/>
  <c r="FP314" i="16" s="1"/>
  <c r="FV314" i="16"/>
  <c r="FU314" i="16"/>
  <c r="CT271" i="16"/>
  <c r="BP143" i="16"/>
  <c r="BN148" i="16"/>
  <c r="BP146" i="16" s="1"/>
  <c r="BO148" i="16"/>
  <c r="BZ468" i="16"/>
  <c r="CA468" i="16"/>
  <c r="ES355" i="16"/>
  <c r="EQ355" i="16"/>
  <c r="EV313" i="16"/>
  <c r="ET313" i="16"/>
  <c r="EU313" i="16" s="1"/>
  <c r="EZ313" i="16"/>
  <c r="FC313" i="16"/>
  <c r="FA313" i="16"/>
  <c r="FD313" i="16"/>
  <c r="AJ246" i="16"/>
  <c r="B244" i="16"/>
  <c r="BZ243" i="16"/>
  <c r="CA243" i="16"/>
  <c r="FL202" i="16"/>
  <c r="FN202" i="16"/>
  <c r="EC230" i="16"/>
  <c r="ED230" i="16" s="1"/>
  <c r="BZ131" i="16"/>
  <c r="CA131" i="16"/>
  <c r="BO134" i="16"/>
  <c r="T187" i="16"/>
  <c r="AV189" i="16"/>
  <c r="CI272" i="16"/>
  <c r="CJ272" i="16"/>
  <c r="CA271" i="16"/>
  <c r="BZ271" i="16"/>
  <c r="CT356" i="16"/>
  <c r="CS313" i="16"/>
  <c r="CT342" i="16"/>
  <c r="FX383" i="16"/>
  <c r="FV383" i="16"/>
  <c r="FU383" i="16"/>
  <c r="FY383" i="16"/>
  <c r="FQ383" i="16"/>
  <c r="FO383" i="16"/>
  <c r="FP383" i="16" s="1"/>
  <c r="CJ453" i="16"/>
  <c r="CI453" i="16"/>
  <c r="BO162" i="16"/>
  <c r="EQ412" i="16"/>
  <c r="ES412" i="16"/>
  <c r="EQ328" i="16"/>
  <c r="ES328" i="16"/>
  <c r="EZ216" i="16"/>
  <c r="FC216" i="16"/>
  <c r="EV216" i="16"/>
  <c r="ET216" i="16"/>
  <c r="EU216" i="16" s="1"/>
  <c r="FA216" i="16"/>
  <c r="FD216" i="16"/>
  <c r="FH19" i="16"/>
  <c r="EO19" i="16"/>
  <c r="ES103" i="16"/>
  <c r="EX103" i="16" s="1"/>
  <c r="EQ103" i="16"/>
  <c r="BO64" i="16"/>
  <c r="T103" i="16"/>
  <c r="AV105" i="16"/>
  <c r="AF77" i="16"/>
  <c r="AE77" i="16" s="1"/>
  <c r="BZ62" i="16"/>
  <c r="CA62" i="16"/>
  <c r="FN61" i="16"/>
  <c r="FS61" i="16" s="1"/>
  <c r="FL61" i="16"/>
  <c r="ET118" i="16"/>
  <c r="EU118" i="16" s="1"/>
  <c r="FD118" i="16"/>
  <c r="EV118" i="16"/>
  <c r="FA118" i="16"/>
  <c r="FC118" i="16"/>
  <c r="EZ118" i="16"/>
  <c r="FN62" i="16"/>
  <c r="FL62" i="16"/>
  <c r="B118" i="16"/>
  <c r="AJ120" i="16"/>
  <c r="DZ47" i="16"/>
  <c r="EE47" i="16" s="1"/>
  <c r="CT34" i="16"/>
  <c r="AT105" i="16"/>
  <c r="AS105" i="16" s="1"/>
  <c r="CJ76" i="16"/>
  <c r="CI76" i="16"/>
  <c r="CJ118" i="16"/>
  <c r="CI118" i="16"/>
  <c r="EV61" i="16"/>
  <c r="EZ61" i="16"/>
  <c r="FD61" i="16"/>
  <c r="ET61" i="16"/>
  <c r="EU61" i="16" s="1"/>
  <c r="FC61" i="16"/>
  <c r="FA61" i="16"/>
  <c r="FN117" i="16"/>
  <c r="FL117" i="16"/>
  <c r="AV35" i="16"/>
  <c r="T33" i="16"/>
  <c r="EQ117" i="16"/>
  <c r="ES117" i="16"/>
  <c r="EQ61" i="16"/>
  <c r="ES61" i="16"/>
  <c r="AF35" i="16"/>
  <c r="AM36" i="16" s="1"/>
  <c r="DZ76" i="16"/>
  <c r="EE76" i="16" s="1"/>
  <c r="FL47" i="16"/>
  <c r="FN47" i="16"/>
  <c r="FW47" i="16" s="1"/>
  <c r="CA47" i="16"/>
  <c r="BZ47" i="16"/>
  <c r="FL104" i="16"/>
  <c r="FN104" i="16"/>
  <c r="FS104" i="16" s="1"/>
  <c r="BP59" i="16"/>
  <c r="BN64" i="16"/>
  <c r="BP62" i="16" s="1"/>
  <c r="AF49" i="16"/>
  <c r="AM50" i="16" s="1"/>
  <c r="CI89" i="16"/>
  <c r="CJ89" i="16"/>
  <c r="AF63" i="16"/>
  <c r="AM64" i="16" s="1"/>
  <c r="EQ34" i="16"/>
  <c r="ES34" i="16"/>
  <c r="EX34" i="16" s="1"/>
  <c r="FY47" i="16"/>
  <c r="FV47" i="16"/>
  <c r="FQ47" i="16"/>
  <c r="FX47" i="16"/>
  <c r="FO47" i="16"/>
  <c r="FP47" i="16" s="1"/>
  <c r="FU47" i="16"/>
  <c r="CI62" i="16"/>
  <c r="CJ62" i="16"/>
  <c r="EC47" i="16"/>
  <c r="ED47" i="16" s="1"/>
  <c r="FL89" i="16"/>
  <c r="FN89" i="16"/>
  <c r="FS89" i="16" s="1"/>
  <c r="BF55" i="11"/>
  <c r="BG55" i="11" s="1"/>
  <c r="AX21" i="16"/>
  <c r="AX22" i="16" s="1"/>
  <c r="AV19" i="16"/>
  <c r="B19" i="16"/>
  <c r="BZ90" i="16"/>
  <c r="CA90" i="16"/>
  <c r="T61" i="16"/>
  <c r="AV63" i="16"/>
  <c r="T89" i="16"/>
  <c r="AV91" i="16"/>
  <c r="CI48" i="16"/>
  <c r="CJ48" i="16"/>
  <c r="AT91" i="16"/>
  <c r="AS91" i="16" s="1"/>
  <c r="DZ104" i="16"/>
  <c r="EE104" i="16" s="1"/>
  <c r="AT63" i="16"/>
  <c r="BA64" i="16" s="1"/>
  <c r="FQ34" i="16"/>
  <c r="FV34" i="16"/>
  <c r="FU34" i="16"/>
  <c r="FX34" i="16"/>
  <c r="FO34" i="16"/>
  <c r="FP34" i="16" s="1"/>
  <c r="FY34" i="16"/>
  <c r="BP45" i="16"/>
  <c r="BN50" i="16"/>
  <c r="BP48" i="16" s="1"/>
  <c r="T75" i="16"/>
  <c r="AV77" i="16"/>
  <c r="FY76" i="16"/>
  <c r="FQ76" i="16"/>
  <c r="FV76" i="16"/>
  <c r="FU76" i="16"/>
  <c r="FX76" i="16"/>
  <c r="FO76" i="16"/>
  <c r="FP76" i="16" s="1"/>
  <c r="EQ89" i="16"/>
  <c r="ES89" i="16"/>
  <c r="EX89" i="16" s="1"/>
  <c r="FN118" i="16"/>
  <c r="FS118" i="16" s="1"/>
  <c r="FL118" i="16"/>
  <c r="B76" i="16"/>
  <c r="AJ78" i="16"/>
  <c r="B62" i="16"/>
  <c r="AJ64" i="16"/>
  <c r="FD89" i="16"/>
  <c r="EV89" i="16"/>
  <c r="ET89" i="16"/>
  <c r="EU89" i="16" s="1"/>
  <c r="FC89" i="16"/>
  <c r="EZ89" i="16"/>
  <c r="FA89" i="16"/>
  <c r="EQ90" i="16"/>
  <c r="ES90" i="16"/>
  <c r="EX90" i="16" s="1"/>
  <c r="FY104" i="16"/>
  <c r="FO104" i="16"/>
  <c r="FP104" i="16" s="1"/>
  <c r="FQ104" i="16"/>
  <c r="FX104" i="16"/>
  <c r="FV104" i="16"/>
  <c r="FU104" i="16"/>
  <c r="AT49" i="16"/>
  <c r="BA50" i="16" s="1"/>
  <c r="FY117" i="16"/>
  <c r="FQ117" i="16"/>
  <c r="FU117" i="16"/>
  <c r="FX117" i="16"/>
  <c r="FO117" i="16"/>
  <c r="FP117" i="16" s="1"/>
  <c r="FV117" i="16"/>
  <c r="FU61" i="16"/>
  <c r="FV61" i="16"/>
  <c r="FY61" i="16"/>
  <c r="FX61" i="16"/>
  <c r="FO61" i="16"/>
  <c r="FP61" i="16" s="1"/>
  <c r="FQ61" i="16"/>
  <c r="AF91" i="16"/>
  <c r="AE91" i="16" s="1"/>
  <c r="E33" i="16"/>
  <c r="AH35" i="16"/>
  <c r="AH36" i="16" s="1"/>
  <c r="AT119" i="16"/>
  <c r="AS119" i="16" s="1"/>
  <c r="BP87" i="16"/>
  <c r="BN92" i="16"/>
  <c r="BP90" i="16" s="1"/>
  <c r="EC75" i="16"/>
  <c r="ED75" i="16" s="1"/>
  <c r="FQ103" i="16"/>
  <c r="FO103" i="16"/>
  <c r="FP103" i="16" s="1"/>
  <c r="FX103" i="16"/>
  <c r="FV103" i="16"/>
  <c r="FU103" i="16"/>
  <c r="FY103" i="16"/>
  <c r="EQ33" i="16"/>
  <c r="ES33" i="16"/>
  <c r="EX33" i="16" s="1"/>
  <c r="BO92" i="16"/>
  <c r="FL48" i="16"/>
  <c r="FN48" i="16"/>
  <c r="FS48" i="16" s="1"/>
  <c r="EQ47" i="16"/>
  <c r="ES47" i="16"/>
  <c r="CT103" i="16"/>
  <c r="DE103" i="16" s="1"/>
  <c r="EC118" i="16"/>
  <c r="ED118" i="16" s="1"/>
  <c r="FD117" i="16"/>
  <c r="EZ117" i="16"/>
  <c r="EV117" i="16"/>
  <c r="FA117" i="16"/>
  <c r="ET117" i="16"/>
  <c r="EU117" i="16" s="1"/>
  <c r="FC117" i="16"/>
  <c r="DZ61" i="16"/>
  <c r="EE61" i="16" s="1"/>
  <c r="AV119" i="16"/>
  <c r="T117" i="16"/>
  <c r="FQ33" i="16"/>
  <c r="FX33" i="16"/>
  <c r="FO33" i="16"/>
  <c r="FP33" i="16" s="1"/>
  <c r="FV33" i="16"/>
  <c r="FU33" i="16"/>
  <c r="FY33" i="16"/>
  <c r="T47" i="16"/>
  <c r="AV49" i="16"/>
  <c r="CA117" i="16"/>
  <c r="BZ117" i="16"/>
  <c r="CT33" i="16"/>
  <c r="DE33" i="16" s="1"/>
  <c r="FA48" i="16"/>
  <c r="FC48" i="16"/>
  <c r="EZ48" i="16"/>
  <c r="EV48" i="16"/>
  <c r="FD48" i="16"/>
  <c r="ET48" i="16"/>
  <c r="EU48" i="16" s="1"/>
  <c r="BZ104" i="16"/>
  <c r="CA104" i="16"/>
  <c r="EQ118" i="16"/>
  <c r="ES118" i="16"/>
  <c r="EX118" i="16" s="1"/>
  <c r="CI34" i="16"/>
  <c r="CJ34" i="16"/>
  <c r="BO78" i="16"/>
  <c r="FY62" i="16"/>
  <c r="FQ62" i="16"/>
  <c r="FU62" i="16"/>
  <c r="FO62" i="16"/>
  <c r="FP62" i="16" s="1"/>
  <c r="FV62" i="16"/>
  <c r="FX62" i="16"/>
  <c r="AF105" i="16"/>
  <c r="AE105" i="16" s="1"/>
  <c r="B90" i="16"/>
  <c r="AJ92" i="16"/>
  <c r="BZ75" i="16"/>
  <c r="CA75" i="16"/>
  <c r="EQ62" i="16"/>
  <c r="ES62" i="16"/>
  <c r="EX62" i="16" s="1"/>
  <c r="BP31" i="16"/>
  <c r="BN36" i="16"/>
  <c r="BP34" i="16" s="1"/>
  <c r="FL103" i="16"/>
  <c r="FN103" i="16"/>
  <c r="FS103" i="16" s="1"/>
  <c r="FC34" i="16"/>
  <c r="ET34" i="16"/>
  <c r="EU34" i="16" s="1"/>
  <c r="FA34" i="16"/>
  <c r="EZ34" i="16"/>
  <c r="FD34" i="16"/>
  <c r="EV34" i="16"/>
  <c r="CJ90" i="16"/>
  <c r="CI90" i="16"/>
  <c r="BZ48" i="16"/>
  <c r="CA48" i="16"/>
  <c r="BP115" i="16"/>
  <c r="BN120" i="16"/>
  <c r="BP118" i="16" s="1"/>
  <c r="AT77" i="16"/>
  <c r="AS77" i="16" s="1"/>
  <c r="EC103" i="16"/>
  <c r="ED103" i="16" s="1"/>
  <c r="AT35" i="16"/>
  <c r="BA36" i="16" s="1"/>
  <c r="FU75" i="16"/>
  <c r="FX75" i="16"/>
  <c r="FO75" i="16"/>
  <c r="FP75" i="16" s="1"/>
  <c r="FV75" i="16"/>
  <c r="FY75" i="16"/>
  <c r="FQ75" i="16"/>
  <c r="BZ89" i="16"/>
  <c r="CA89" i="16"/>
  <c r="FI19" i="16"/>
  <c r="FO19" i="16" s="1"/>
  <c r="FP19" i="16" s="1"/>
  <c r="BS19" i="16"/>
  <c r="FO118" i="16"/>
  <c r="FP118" i="16" s="1"/>
  <c r="FV118" i="16"/>
  <c r="FY118" i="16"/>
  <c r="FX118" i="16"/>
  <c r="FU118" i="16"/>
  <c r="FQ118" i="16"/>
  <c r="BA28" i="16"/>
  <c r="AM28" i="16"/>
  <c r="AF38" i="16" s="1"/>
  <c r="C38" i="16" s="1"/>
  <c r="B104" i="16"/>
  <c r="AJ106" i="16"/>
  <c r="BZ76" i="16"/>
  <c r="CA76" i="16"/>
  <c r="FL33" i="16"/>
  <c r="FN33" i="16"/>
  <c r="FW33" i="16" s="1"/>
  <c r="FV90" i="16"/>
  <c r="FX90" i="16"/>
  <c r="FU90" i="16"/>
  <c r="FO90" i="16"/>
  <c r="FP90" i="16" s="1"/>
  <c r="FY90" i="16"/>
  <c r="FQ90" i="16"/>
  <c r="FL76" i="16"/>
  <c r="FN76" i="16"/>
  <c r="CA61" i="16"/>
  <c r="BZ61" i="16"/>
  <c r="BF53" i="11"/>
  <c r="BG53" i="11" s="1"/>
  <c r="CX19" i="16"/>
  <c r="CA34" i="16"/>
  <c r="BZ34" i="16"/>
  <c r="EC76" i="16"/>
  <c r="ED76" i="16" s="1"/>
  <c r="BZ33" i="16"/>
  <c r="CA33" i="16"/>
  <c r="EQ48" i="16"/>
  <c r="ES48" i="16"/>
  <c r="EX48" i="16" s="1"/>
  <c r="EQ104" i="16"/>
  <c r="ES104" i="16"/>
  <c r="EX104" i="16" s="1"/>
  <c r="FD104" i="16"/>
  <c r="EZ104" i="16"/>
  <c r="EV104" i="16"/>
  <c r="ET104" i="16"/>
  <c r="EU104" i="16" s="1"/>
  <c r="FA104" i="16"/>
  <c r="FC104" i="16"/>
  <c r="AF119" i="16"/>
  <c r="AE119" i="16" s="1"/>
  <c r="BO120" i="16"/>
  <c r="FC47" i="16"/>
  <c r="ET47" i="16"/>
  <c r="EU47" i="16" s="1"/>
  <c r="FA47" i="16"/>
  <c r="EZ47" i="16"/>
  <c r="EV47" i="16"/>
  <c r="FD47" i="16"/>
  <c r="DZ89" i="16"/>
  <c r="EE89" i="16" s="1"/>
  <c r="FC75" i="16"/>
  <c r="ET75" i="16"/>
  <c r="EU75" i="16" s="1"/>
  <c r="EV75" i="16"/>
  <c r="FD75" i="16"/>
  <c r="FA75" i="16"/>
  <c r="EZ75" i="16"/>
  <c r="FY48" i="16"/>
  <c r="FQ48" i="16"/>
  <c r="FX48" i="16"/>
  <c r="FU48" i="16"/>
  <c r="FO48" i="16"/>
  <c r="FP48" i="16" s="1"/>
  <c r="FV48" i="16"/>
  <c r="FC103" i="16"/>
  <c r="ET103" i="16"/>
  <c r="EU103" i="16" s="1"/>
  <c r="FA103" i="16"/>
  <c r="FD103" i="16"/>
  <c r="EZ103" i="16"/>
  <c r="EV103" i="16"/>
  <c r="DZ90" i="16"/>
  <c r="EE90" i="16" s="1"/>
  <c r="CI75" i="16"/>
  <c r="CJ75" i="16"/>
  <c r="CA103" i="16"/>
  <c r="BZ103" i="16"/>
  <c r="FC62" i="16"/>
  <c r="EV62" i="16"/>
  <c r="EZ62" i="16"/>
  <c r="ET62" i="16"/>
  <c r="EU62" i="16" s="1"/>
  <c r="FD62" i="16"/>
  <c r="FA62" i="16"/>
  <c r="FN90" i="16"/>
  <c r="FS90" i="16" s="1"/>
  <c r="FL90" i="16"/>
  <c r="ET76" i="16"/>
  <c r="EU76" i="16" s="1"/>
  <c r="FA76" i="16"/>
  <c r="FD76" i="16"/>
  <c r="EZ76" i="16"/>
  <c r="EV76" i="16"/>
  <c r="FC76" i="16"/>
  <c r="CJ47" i="16"/>
  <c r="CI47" i="16"/>
  <c r="EQ76" i="16"/>
  <c r="ES76" i="16"/>
  <c r="EX76" i="16" s="1"/>
  <c r="B34" i="16"/>
  <c r="AJ36" i="16"/>
  <c r="FY89" i="16"/>
  <c r="FQ89" i="16"/>
  <c r="FU89" i="16"/>
  <c r="FX89" i="16"/>
  <c r="FO89" i="16"/>
  <c r="FP89" i="16" s="1"/>
  <c r="FV89" i="16"/>
  <c r="BO106" i="16"/>
  <c r="EZ33" i="16"/>
  <c r="FD33" i="16"/>
  <c r="FC33" i="16"/>
  <c r="EV33" i="16"/>
  <c r="ET33" i="16"/>
  <c r="EU33" i="16" s="1"/>
  <c r="FA33" i="16"/>
  <c r="B48" i="16"/>
  <c r="AJ50" i="16"/>
  <c r="CJ103" i="16"/>
  <c r="CJ105" i="16" s="1"/>
  <c r="AY108" i="16" s="1"/>
  <c r="CI103" i="16"/>
  <c r="CI61" i="16"/>
  <c r="CJ61" i="16"/>
  <c r="BZ118" i="16"/>
  <c r="CA118" i="16"/>
  <c r="CT90" i="16"/>
  <c r="CJ117" i="16"/>
  <c r="CI117" i="16"/>
  <c r="AH105" i="16"/>
  <c r="AH106" i="16" s="1"/>
  <c r="CJ33" i="16"/>
  <c r="CI33" i="16"/>
  <c r="EC89" i="16"/>
  <c r="ED89" i="16" s="1"/>
  <c r="BP73" i="16"/>
  <c r="BN78" i="16"/>
  <c r="BP76" i="16" s="1"/>
  <c r="BP101" i="16"/>
  <c r="BN106" i="16"/>
  <c r="BP104" i="16" s="1"/>
  <c r="FN34" i="16"/>
  <c r="FL34" i="16"/>
  <c r="EV90" i="16"/>
  <c r="FC90" i="16"/>
  <c r="EZ90" i="16"/>
  <c r="ET90" i="16"/>
  <c r="EU90" i="16" s="1"/>
  <c r="FA90" i="16"/>
  <c r="FD90" i="16"/>
  <c r="FL75" i="16"/>
  <c r="FN75" i="16"/>
  <c r="EC62" i="16"/>
  <c r="ED62" i="16" s="1"/>
  <c r="EQ75" i="16"/>
  <c r="ES75" i="16"/>
  <c r="EX75" i="16" s="1"/>
  <c r="EB20" i="16"/>
  <c r="B18" i="16"/>
  <c r="FF20" i="16"/>
  <c r="AH20" i="16"/>
  <c r="DY20" i="16"/>
  <c r="EO20" i="16"/>
  <c r="EQ20" i="16" s="1"/>
  <c r="AI21" i="16"/>
  <c r="AI22" i="16" s="1"/>
  <c r="AH19" i="16"/>
  <c r="GR17" i="16" s="1"/>
  <c r="EN19" i="16"/>
  <c r="FA19" i="16" s="1"/>
  <c r="BO19" i="16"/>
  <c r="BN19" i="16"/>
  <c r="BP17" i="16" s="1"/>
  <c r="AZ21" i="16"/>
  <c r="AZ22" i="16" s="1"/>
  <c r="DI19" i="16"/>
  <c r="DJ19" i="16" s="1"/>
  <c r="EA19" i="16"/>
  <c r="EC19" i="16" s="1"/>
  <c r="ED19" i="16" s="1"/>
  <c r="FI20" i="16"/>
  <c r="FY20" i="16" s="1"/>
  <c r="EM19" i="16"/>
  <c r="AK21" i="16"/>
  <c r="AK22" i="16" s="1"/>
  <c r="DY19" i="16"/>
  <c r="AV20" i="16"/>
  <c r="GV19" i="16" s="1"/>
  <c r="AY21" i="16"/>
  <c r="AY22" i="16" s="1"/>
  <c r="AB20" i="16"/>
  <c r="CD25" i="16"/>
  <c r="BL25" i="16" s="1"/>
  <c r="BO20" i="16"/>
  <c r="BF25" i="9"/>
  <c r="BG25" i="9" s="1"/>
  <c r="AM13" i="16"/>
  <c r="AF23" i="16" s="1"/>
  <c r="C23" i="16" s="1"/>
  <c r="AM21" i="16"/>
  <c r="AM14" i="16"/>
  <c r="AF24" i="16" s="1"/>
  <c r="C24" i="16" s="1"/>
  <c r="BF23" i="11"/>
  <c r="BG23" i="11" s="1"/>
  <c r="BF25" i="11"/>
  <c r="BG25" i="11" s="1"/>
  <c r="AW39" i="11"/>
  <c r="AX39" i="11" s="1"/>
  <c r="BA13" i="16"/>
  <c r="AT23" i="16" s="1"/>
  <c r="R23" i="16" s="1"/>
  <c r="BA21" i="16"/>
  <c r="BF35" i="11"/>
  <c r="BG35" i="11" s="1"/>
  <c r="BF47" i="11"/>
  <c r="BG47" i="11" s="1"/>
  <c r="T83" i="9"/>
  <c r="M83" i="9" s="1"/>
  <c r="O83" i="9" s="1"/>
  <c r="T83" i="11"/>
  <c r="M83" i="11" s="1"/>
  <c r="O83" i="11" s="1"/>
  <c r="BF47" i="9"/>
  <c r="BG47" i="9" s="1"/>
  <c r="BF39" i="11"/>
  <c r="BG39" i="11" s="1"/>
  <c r="AW41" i="11"/>
  <c r="AX41" i="11" s="1"/>
  <c r="AW25" i="11"/>
  <c r="AW37" i="11"/>
  <c r="AY37" i="11" s="1"/>
  <c r="AW23" i="11"/>
  <c r="AY23" i="11" s="1"/>
  <c r="T75" i="9"/>
  <c r="M75" i="9" s="1"/>
  <c r="O75" i="9" s="1"/>
  <c r="AY55" i="11"/>
  <c r="BF87" i="11"/>
  <c r="BG87" i="11" s="1"/>
  <c r="T81" i="11"/>
  <c r="M81" i="11" s="1"/>
  <c r="O81" i="11" s="1"/>
  <c r="AX35" i="11"/>
  <c r="AW85" i="11"/>
  <c r="AY85" i="11" s="1"/>
  <c r="T79" i="11"/>
  <c r="M79" i="11" s="1"/>
  <c r="O79" i="11" s="1"/>
  <c r="AX15" i="11"/>
  <c r="AX75" i="11"/>
  <c r="AW83" i="11"/>
  <c r="AY83" i="11" s="1"/>
  <c r="M85" i="11"/>
  <c r="BH85" i="11" s="1"/>
  <c r="BI85" i="11" s="1"/>
  <c r="BJ85" i="11" s="1"/>
  <c r="AW45" i="11"/>
  <c r="AY45" i="11" s="1"/>
  <c r="AW47" i="9"/>
  <c r="AW47" i="11"/>
  <c r="AW19" i="11"/>
  <c r="AY19" i="11" s="1"/>
  <c r="AW79" i="11"/>
  <c r="AY79" i="11" s="1"/>
  <c r="BF33" i="11"/>
  <c r="BG33" i="11" s="1"/>
  <c r="AW21" i="11"/>
  <c r="AY21" i="11" s="1"/>
  <c r="BH97" i="11"/>
  <c r="BI97" i="11" s="1"/>
  <c r="BJ97" i="11" s="1"/>
  <c r="BF97" i="11"/>
  <c r="BG97" i="11" s="1"/>
  <c r="AW43" i="11"/>
  <c r="AY43" i="11" s="1"/>
  <c r="BH13" i="11"/>
  <c r="T77" i="9"/>
  <c r="M77" i="9" s="1"/>
  <c r="O77" i="9" s="1"/>
  <c r="BF13" i="11"/>
  <c r="BG13" i="11" s="1"/>
  <c r="AW17" i="11"/>
  <c r="AX17" i="11" s="1"/>
  <c r="BH27" i="9"/>
  <c r="BI27" i="9" s="1"/>
  <c r="BJ27" i="9" s="1"/>
  <c r="BF27" i="9"/>
  <c r="BG27" i="9" s="1"/>
  <c r="BH43" i="9"/>
  <c r="BI43" i="9" s="1"/>
  <c r="BJ43" i="9" s="1"/>
  <c r="BH23" i="9"/>
  <c r="BI23" i="9" s="1"/>
  <c r="BJ23" i="9" s="1"/>
  <c r="BH43" i="11"/>
  <c r="BI43" i="11" s="1"/>
  <c r="BJ43" i="11" s="1"/>
  <c r="O107" i="11"/>
  <c r="BH107" i="11"/>
  <c r="BI107" i="11" s="1"/>
  <c r="BJ107" i="11" s="1"/>
  <c r="O101" i="11"/>
  <c r="BH101" i="11"/>
  <c r="BI101" i="11" s="1"/>
  <c r="BJ101" i="11" s="1"/>
  <c r="O105" i="11"/>
  <c r="BH105" i="11"/>
  <c r="BI105" i="11" s="1"/>
  <c r="BJ105" i="11" s="1"/>
  <c r="BF43" i="11"/>
  <c r="BG43" i="11" s="1"/>
  <c r="BF101" i="11"/>
  <c r="BG101" i="11" s="1"/>
  <c r="AW81" i="9"/>
  <c r="AY81" i="9" s="1"/>
  <c r="M85" i="9"/>
  <c r="O85" i="9" s="1"/>
  <c r="BF107" i="11"/>
  <c r="BG107" i="11" s="1"/>
  <c r="BF105" i="11"/>
  <c r="BG105" i="11" s="1"/>
  <c r="BF63" i="9"/>
  <c r="BG63" i="9" s="1"/>
  <c r="BF43" i="9"/>
  <c r="BG43" i="9" s="1"/>
  <c r="O103" i="11"/>
  <c r="BF103" i="11"/>
  <c r="BG103" i="11" s="1"/>
  <c r="BL103" i="11" s="1"/>
  <c r="I103" i="11" s="1"/>
  <c r="BF23" i="9"/>
  <c r="BG23" i="9" s="1"/>
  <c r="T81" i="9"/>
  <c r="M81" i="9" s="1"/>
  <c r="BH81" i="9" s="1"/>
  <c r="BI81" i="9" s="1"/>
  <c r="BJ81" i="9" s="1"/>
  <c r="T79" i="9"/>
  <c r="M79" i="9" s="1"/>
  <c r="BH79" i="9" s="1"/>
  <c r="BI79" i="9" s="1"/>
  <c r="BJ79" i="9" s="1"/>
  <c r="T73" i="9"/>
  <c r="M73" i="9" s="1"/>
  <c r="AW79" i="9"/>
  <c r="AX79" i="9" s="1"/>
  <c r="BB57" i="11"/>
  <c r="BB59" i="11"/>
  <c r="BB55" i="11"/>
  <c r="BB63" i="11"/>
  <c r="BB53" i="11"/>
  <c r="BB61" i="11"/>
  <c r="BB59" i="9"/>
  <c r="BB57" i="9"/>
  <c r="BB63" i="9"/>
  <c r="BB55" i="9"/>
  <c r="BB61" i="9"/>
  <c r="AW43" i="9"/>
  <c r="AY43" i="9" s="1"/>
  <c r="AY75" i="9"/>
  <c r="AW27" i="9"/>
  <c r="AY27" i="9" s="1"/>
  <c r="AW63" i="9"/>
  <c r="AY63" i="9" s="1"/>
  <c r="AW23" i="9"/>
  <c r="AX23" i="9" s="1"/>
  <c r="AW25" i="9"/>
  <c r="AX25" i="9" s="1"/>
  <c r="BF99" i="9"/>
  <c r="BG99" i="9" s="1"/>
  <c r="BH99" i="9"/>
  <c r="BI99" i="9" s="1"/>
  <c r="BJ99" i="9" s="1"/>
  <c r="AW37" i="9"/>
  <c r="AY37" i="9" s="1"/>
  <c r="AW57" i="9"/>
  <c r="AX57" i="9" s="1"/>
  <c r="AW87" i="9"/>
  <c r="AY87" i="9" s="1"/>
  <c r="AW19" i="9"/>
  <c r="AX19" i="9" s="1"/>
  <c r="AW77" i="9"/>
  <c r="AX77" i="9" s="1"/>
  <c r="AW85" i="9"/>
  <c r="AX85" i="9" s="1"/>
  <c r="AW17" i="9"/>
  <c r="AX17" i="9" s="1"/>
  <c r="AW41" i="9"/>
  <c r="AY41" i="9" s="1"/>
  <c r="AW21" i="9"/>
  <c r="AX21" i="9" s="1"/>
  <c r="AW39" i="9"/>
  <c r="AY39" i="9" s="1"/>
  <c r="BF105" i="9"/>
  <c r="BG105" i="9" s="1"/>
  <c r="BH105" i="9"/>
  <c r="BI105" i="9" s="1"/>
  <c r="BJ105" i="9" s="1"/>
  <c r="AW59" i="9"/>
  <c r="AX59" i="9" s="1"/>
  <c r="AW61" i="9"/>
  <c r="AY61" i="9" s="1"/>
  <c r="BB73" i="9"/>
  <c r="BB87" i="9"/>
  <c r="BF103" i="9"/>
  <c r="BG103" i="9" s="1"/>
  <c r="BH103" i="9"/>
  <c r="BI103" i="9" s="1"/>
  <c r="BJ103" i="9" s="1"/>
  <c r="AW83" i="9"/>
  <c r="AX83" i="9" s="1"/>
  <c r="AW45" i="9"/>
  <c r="AY45" i="9" s="1"/>
  <c r="BH97" i="9"/>
  <c r="BI97" i="9" s="1"/>
  <c r="BJ97" i="9" s="1"/>
  <c r="BF97" i="9"/>
  <c r="BG97" i="9" s="1"/>
  <c r="BF101" i="9"/>
  <c r="BG101" i="9" s="1"/>
  <c r="BH101" i="9"/>
  <c r="BI101" i="9" s="1"/>
  <c r="BJ101" i="9" s="1"/>
  <c r="BF107" i="9"/>
  <c r="BG107" i="9" s="1"/>
  <c r="BH107" i="9"/>
  <c r="BI107" i="9" s="1"/>
  <c r="BJ107" i="9" s="1"/>
  <c r="BF61" i="9"/>
  <c r="BG61" i="9" s="1"/>
  <c r="BH61" i="9"/>
  <c r="BF17" i="9"/>
  <c r="BG17" i="9" s="1"/>
  <c r="BH17" i="9"/>
  <c r="BI17" i="9" s="1"/>
  <c r="BJ17" i="9" s="1"/>
  <c r="BF37" i="9"/>
  <c r="BG37" i="9" s="1"/>
  <c r="BH37" i="9"/>
  <c r="BI37" i="9" s="1"/>
  <c r="BJ37" i="9" s="1"/>
  <c r="BF87" i="9"/>
  <c r="BG87" i="9" s="1"/>
  <c r="BH87" i="9"/>
  <c r="M127" i="11"/>
  <c r="I127" i="11"/>
  <c r="G128" i="11"/>
  <c r="O127" i="11"/>
  <c r="K127" i="11"/>
  <c r="BH41" i="9"/>
  <c r="BI41" i="9" s="1"/>
  <c r="BJ41" i="9" s="1"/>
  <c r="BF41" i="9"/>
  <c r="BG41" i="9" s="1"/>
  <c r="BB25" i="11"/>
  <c r="BB27" i="11"/>
  <c r="K126" i="9"/>
  <c r="M126" i="9"/>
  <c r="G127" i="9"/>
  <c r="O126" i="9"/>
  <c r="I126" i="9"/>
  <c r="BF59" i="9"/>
  <c r="BG59" i="9" s="1"/>
  <c r="BH59" i="9"/>
  <c r="BI59" i="9" s="1"/>
  <c r="BJ59" i="9" s="1"/>
  <c r="BH53" i="9"/>
  <c r="BI53" i="9" s="1"/>
  <c r="BJ53" i="9" s="1"/>
  <c r="BF53" i="9"/>
  <c r="BG53" i="9" s="1"/>
  <c r="BF57" i="9"/>
  <c r="BG57" i="9" s="1"/>
  <c r="BH57" i="9"/>
  <c r="BI57" i="9" s="1"/>
  <c r="BJ57" i="9" s="1"/>
  <c r="AY55" i="9"/>
  <c r="AX55" i="9"/>
  <c r="BF21" i="9"/>
  <c r="BG21" i="9" s="1"/>
  <c r="BH21" i="9"/>
  <c r="BF19" i="9"/>
  <c r="BG19" i="9" s="1"/>
  <c r="BH19" i="9"/>
  <c r="BI19" i="9" s="1"/>
  <c r="BJ19" i="9" s="1"/>
  <c r="BH39" i="9"/>
  <c r="BI39" i="9" s="1"/>
  <c r="BJ39" i="9" s="1"/>
  <c r="BF39" i="9"/>
  <c r="BG39" i="9" s="1"/>
  <c r="BF45" i="9"/>
  <c r="BG45" i="9" s="1"/>
  <c r="BH45" i="9"/>
  <c r="BI45" i="9" s="1"/>
  <c r="BJ45" i="9" s="1"/>
  <c r="BF55" i="9"/>
  <c r="BG55" i="9" s="1"/>
  <c r="BH55" i="9"/>
  <c r="BI55" i="9" s="1"/>
  <c r="BJ55" i="9" s="1"/>
  <c r="BB65" i="11"/>
  <c r="BB67" i="11"/>
  <c r="BF15" i="9"/>
  <c r="BG15" i="9" s="1"/>
  <c r="BH15" i="9"/>
  <c r="BF13" i="9"/>
  <c r="BG13" i="9" s="1"/>
  <c r="BH13" i="9"/>
  <c r="BH35" i="9"/>
  <c r="BF35" i="9"/>
  <c r="BG35" i="9" s="1"/>
  <c r="BF33" i="9"/>
  <c r="BG33" i="9" s="1"/>
  <c r="BH33" i="9"/>
  <c r="AX15" i="9"/>
  <c r="AY15" i="9"/>
  <c r="BB27" i="9"/>
  <c r="BB25" i="9"/>
  <c r="BB53" i="9"/>
  <c r="BB67" i="9"/>
  <c r="BB65" i="9"/>
  <c r="AX35" i="9"/>
  <c r="AY35" i="9"/>
  <c r="BL99" i="11" l="1"/>
  <c r="I99" i="11" s="1"/>
  <c r="BC99" i="11" s="1"/>
  <c r="BD99" i="11" s="1"/>
  <c r="BA378" i="16"/>
  <c r="AT388" i="16" s="1"/>
  <c r="R388" i="16" s="1"/>
  <c r="BA400" i="16"/>
  <c r="Y400" i="16" s="1"/>
  <c r="BA386" i="16"/>
  <c r="Y386" i="16" s="1"/>
  <c r="AM378" i="16"/>
  <c r="AF388" i="16" s="1"/>
  <c r="C388" i="16" s="1"/>
  <c r="E388" i="16" s="1"/>
  <c r="AM386" i="16"/>
  <c r="J386" i="16" s="1"/>
  <c r="AM84" i="16"/>
  <c r="AF94" i="16" s="1"/>
  <c r="C94" i="16" s="1"/>
  <c r="GE88" i="16" s="1"/>
  <c r="BA84" i="16"/>
  <c r="AT94" i="16" s="1"/>
  <c r="R94" i="16" s="1"/>
  <c r="GE90" i="16" s="1"/>
  <c r="AM280" i="16"/>
  <c r="AF290" i="16" s="1"/>
  <c r="C290" i="16" s="1"/>
  <c r="E290" i="16" s="1"/>
  <c r="BA70" i="16"/>
  <c r="AT80" i="16" s="1"/>
  <c r="R80" i="16" s="1"/>
  <c r="AM70" i="16"/>
  <c r="AF80" i="16" s="1"/>
  <c r="C80" i="16" s="1"/>
  <c r="BA112" i="16"/>
  <c r="AT122" i="16" s="1"/>
  <c r="R122" i="16" s="1"/>
  <c r="AM274" i="16"/>
  <c r="J274" i="16" s="1"/>
  <c r="AM106" i="16"/>
  <c r="J106" i="16" s="1"/>
  <c r="BA78" i="16"/>
  <c r="Y78" i="16" s="1"/>
  <c r="BA288" i="16"/>
  <c r="Y288" i="16" s="1"/>
  <c r="BA92" i="16"/>
  <c r="Y92" i="16" s="1"/>
  <c r="AM246" i="16"/>
  <c r="J246" i="16" s="1"/>
  <c r="AM266" i="16"/>
  <c r="AF276" i="16" s="1"/>
  <c r="C276" i="16" s="1"/>
  <c r="E276" i="16" s="1"/>
  <c r="BA120" i="16"/>
  <c r="Y120" i="16" s="1"/>
  <c r="AM78" i="16"/>
  <c r="J78" i="16" s="1"/>
  <c r="AM288" i="16"/>
  <c r="J288" i="16" s="1"/>
  <c r="BA274" i="16"/>
  <c r="Y274" i="16" s="1"/>
  <c r="BA260" i="16"/>
  <c r="Y260" i="16" s="1"/>
  <c r="AM120" i="16"/>
  <c r="J120" i="16" s="1"/>
  <c r="BA98" i="16"/>
  <c r="AT108" i="16" s="1"/>
  <c r="R108" i="16" s="1"/>
  <c r="AM92" i="16"/>
  <c r="J92" i="16" s="1"/>
  <c r="BA106" i="16"/>
  <c r="Y106" i="16" s="1"/>
  <c r="AM260" i="16"/>
  <c r="J260" i="16" s="1"/>
  <c r="AM98" i="16"/>
  <c r="AF108" i="16" s="1"/>
  <c r="C108" i="16" s="1"/>
  <c r="GE102" i="16" s="1"/>
  <c r="BA238" i="16"/>
  <c r="AT248" i="16" s="1"/>
  <c r="R248" i="16" s="1"/>
  <c r="BA91" i="16"/>
  <c r="BB93" i="16" s="1"/>
  <c r="BI13" i="11"/>
  <c r="BJ13" i="11" s="1"/>
  <c r="BL13" i="11" s="1"/>
  <c r="BK13" i="11" s="1"/>
  <c r="DS104" i="16"/>
  <c r="DU104" i="16" s="1"/>
  <c r="DW104" i="16" s="1"/>
  <c r="DO104" i="16"/>
  <c r="S104" i="16" s="1"/>
  <c r="DD104" i="16"/>
  <c r="DC104" i="16"/>
  <c r="DN104" i="16"/>
  <c r="D104" i="16" s="1"/>
  <c r="DR104" i="16"/>
  <c r="DO103" i="16"/>
  <c r="S103" i="16" s="1"/>
  <c r="DS103" i="16"/>
  <c r="DU103" i="16" s="1"/>
  <c r="DW103" i="16" s="1"/>
  <c r="DD103" i="16"/>
  <c r="DC103" i="16"/>
  <c r="DN103" i="16"/>
  <c r="D103" i="16" s="1"/>
  <c r="DR103" i="16"/>
  <c r="CI105" i="16"/>
  <c r="AY107" i="16" s="1"/>
  <c r="P107" i="16" s="1"/>
  <c r="G149" i="19"/>
  <c r="G77" i="19"/>
  <c r="G137" i="19"/>
  <c r="G101" i="19"/>
  <c r="G65" i="19"/>
  <c r="G125" i="19"/>
  <c r="G89" i="19"/>
  <c r="G113" i="19"/>
  <c r="G185" i="19"/>
  <c r="G173" i="19"/>
  <c r="G161" i="19"/>
  <c r="L149" i="19"/>
  <c r="G154" i="19"/>
  <c r="G178" i="19"/>
  <c r="L185" i="19"/>
  <c r="G190" i="19"/>
  <c r="L161" i="19"/>
  <c r="G166" i="19"/>
  <c r="G142" i="19"/>
  <c r="L101" i="19"/>
  <c r="G106" i="19"/>
  <c r="E17" i="19"/>
  <c r="H19" i="19" s="1"/>
  <c r="G22" i="19"/>
  <c r="G17" i="19"/>
  <c r="E65" i="19"/>
  <c r="H67" i="19" s="1"/>
  <c r="G70" i="19"/>
  <c r="G130" i="19"/>
  <c r="G94" i="19"/>
  <c r="E53" i="19"/>
  <c r="A55" i="19" s="1"/>
  <c r="G58" i="19"/>
  <c r="G53" i="19"/>
  <c r="E113" i="19"/>
  <c r="A115" i="19" s="1"/>
  <c r="G118" i="19"/>
  <c r="L29" i="19"/>
  <c r="G34" i="19"/>
  <c r="G29" i="19"/>
  <c r="L77" i="19"/>
  <c r="G82" i="19"/>
  <c r="E41" i="19"/>
  <c r="H43" i="19" s="1"/>
  <c r="G46" i="19"/>
  <c r="G41" i="19"/>
  <c r="L5" i="19"/>
  <c r="G5" i="19"/>
  <c r="G10" i="19"/>
  <c r="HF313" i="16"/>
  <c r="HG313" i="16" s="1"/>
  <c r="HB311" i="16"/>
  <c r="HB314" i="16"/>
  <c r="HB313" i="16"/>
  <c r="HB312" i="16"/>
  <c r="HE101" i="16"/>
  <c r="HB104" i="16"/>
  <c r="HB103" i="16"/>
  <c r="HE229" i="16"/>
  <c r="HC243" i="16"/>
  <c r="HE185" i="16"/>
  <c r="HB426" i="16"/>
  <c r="HB423" i="16"/>
  <c r="HB425" i="16"/>
  <c r="HB424" i="16"/>
  <c r="HC381" i="16"/>
  <c r="HB381" i="16"/>
  <c r="HC160" i="16"/>
  <c r="HB326" i="16"/>
  <c r="HB325" i="16"/>
  <c r="HB328" i="16"/>
  <c r="HB327" i="16"/>
  <c r="HC340" i="16"/>
  <c r="HB342" i="16"/>
  <c r="HB341" i="16"/>
  <c r="HB339" i="16"/>
  <c r="HB340" i="16"/>
  <c r="HC88" i="16"/>
  <c r="HB438" i="16"/>
  <c r="HB437" i="16"/>
  <c r="HB439" i="16"/>
  <c r="HB440" i="16"/>
  <c r="HB370" i="16"/>
  <c r="HB369" i="16"/>
  <c r="HB368" i="16"/>
  <c r="HB367" i="16"/>
  <c r="HB454" i="16"/>
  <c r="HB453" i="16"/>
  <c r="HB452" i="16"/>
  <c r="HB451" i="16"/>
  <c r="HC467" i="16"/>
  <c r="HF271" i="16"/>
  <c r="HG271" i="16" s="1"/>
  <c r="HB298" i="16"/>
  <c r="HB300" i="16"/>
  <c r="HB297" i="16"/>
  <c r="HB299" i="16"/>
  <c r="BL57" i="11"/>
  <c r="BM57" i="11" s="1"/>
  <c r="DC33" i="16"/>
  <c r="DD33" i="16"/>
  <c r="DS33" i="16"/>
  <c r="DU33" i="16" s="1"/>
  <c r="DW33" i="16" s="1"/>
  <c r="DO33" i="16"/>
  <c r="S33" i="16" s="1"/>
  <c r="DN33" i="16"/>
  <c r="D33" i="16" s="1"/>
  <c r="DR33" i="16"/>
  <c r="GA19" i="16"/>
  <c r="BL55" i="11"/>
  <c r="BK55" i="11" s="1"/>
  <c r="BL61" i="11"/>
  <c r="BK61" i="11" s="1"/>
  <c r="E101" i="19"/>
  <c r="E5" i="19"/>
  <c r="A7" i="19" s="1"/>
  <c r="L137" i="19"/>
  <c r="BL53" i="11"/>
  <c r="BM53" i="11" s="1"/>
  <c r="I53" i="11" s="1"/>
  <c r="BL15" i="11"/>
  <c r="BM15" i="11" s="1"/>
  <c r="I15" i="11" s="1"/>
  <c r="AN93" i="16"/>
  <c r="E137" i="19"/>
  <c r="H139" i="19" s="1"/>
  <c r="L113" i="19"/>
  <c r="AN94" i="16"/>
  <c r="HE157" i="16"/>
  <c r="HF157" i="16"/>
  <c r="HG157" i="16" s="1"/>
  <c r="L53" i="19"/>
  <c r="AM93" i="16"/>
  <c r="J93" i="16" s="1"/>
  <c r="L125" i="19"/>
  <c r="L89" i="19"/>
  <c r="E185" i="19"/>
  <c r="F187" i="19" s="1"/>
  <c r="HC269" i="16"/>
  <c r="HE269" i="16"/>
  <c r="L65" i="19"/>
  <c r="E29" i="19"/>
  <c r="E77" i="19"/>
  <c r="H79" i="19" s="1"/>
  <c r="HF89" i="16"/>
  <c r="HG89" i="16" s="1"/>
  <c r="HC90" i="16"/>
  <c r="HE89" i="16"/>
  <c r="HC89" i="16"/>
  <c r="HC87" i="16"/>
  <c r="HE87" i="16"/>
  <c r="E149" i="19"/>
  <c r="F151" i="19" s="1"/>
  <c r="B151" i="19" s="1"/>
  <c r="C151" i="19" s="1"/>
  <c r="HF87" i="16"/>
  <c r="HG87" i="16" s="1"/>
  <c r="HC159" i="16"/>
  <c r="HE271" i="16"/>
  <c r="HC272" i="16"/>
  <c r="HF159" i="16"/>
  <c r="HG159" i="16" s="1"/>
  <c r="HE159" i="16"/>
  <c r="HC270" i="16"/>
  <c r="E173" i="19"/>
  <c r="H175" i="19" s="1"/>
  <c r="E89" i="19"/>
  <c r="E125" i="19"/>
  <c r="H127" i="19" s="1"/>
  <c r="HD271" i="16"/>
  <c r="HC271" i="16"/>
  <c r="L173" i="19"/>
  <c r="HC158" i="16"/>
  <c r="HD157" i="16"/>
  <c r="HC157" i="16"/>
  <c r="BL59" i="11"/>
  <c r="BK59" i="11" s="1"/>
  <c r="L17" i="19"/>
  <c r="L41" i="19"/>
  <c r="BA93" i="16"/>
  <c r="Y93" i="16" s="1"/>
  <c r="E161" i="19"/>
  <c r="BL37" i="11"/>
  <c r="BK37" i="11" s="1"/>
  <c r="AM414" i="16"/>
  <c r="J414" i="16" s="1"/>
  <c r="BB331" i="16"/>
  <c r="BA331" i="16"/>
  <c r="Y331" i="16" s="1"/>
  <c r="BB332" i="16"/>
  <c r="AV64" i="16"/>
  <c r="CB67" i="16" s="1"/>
  <c r="AV36" i="16"/>
  <c r="CB39" i="16" s="1"/>
  <c r="AV190" i="16"/>
  <c r="CB193" i="16" s="1"/>
  <c r="AV246" i="16"/>
  <c r="CB249" i="16" s="1"/>
  <c r="AV414" i="16"/>
  <c r="CB417" i="16" s="1"/>
  <c r="AV148" i="16"/>
  <c r="CB151" i="16" s="1"/>
  <c r="AV288" i="16"/>
  <c r="CB291" i="16" s="1"/>
  <c r="AY360" i="16"/>
  <c r="P360" i="16" s="1"/>
  <c r="HB356" i="16" s="1"/>
  <c r="AV470" i="16"/>
  <c r="CB473" i="16" s="1"/>
  <c r="AV302" i="16"/>
  <c r="CB305" i="16" s="1"/>
  <c r="AV274" i="16"/>
  <c r="CB277" i="16" s="1"/>
  <c r="AV162" i="16"/>
  <c r="CB165" i="16" s="1"/>
  <c r="AV386" i="16"/>
  <c r="CB389" i="16" s="1"/>
  <c r="AV358" i="16"/>
  <c r="CB361" i="16" s="1"/>
  <c r="AV456" i="16"/>
  <c r="CB459" i="16" s="1"/>
  <c r="AV442" i="16"/>
  <c r="CB445" i="16" s="1"/>
  <c r="AV134" i="16"/>
  <c r="CB137" i="16" s="1"/>
  <c r="AV372" i="16"/>
  <c r="CB375" i="16" s="1"/>
  <c r="AV218" i="16"/>
  <c r="CB221" i="16" s="1"/>
  <c r="AV50" i="16"/>
  <c r="CB53" i="16" s="1"/>
  <c r="AV204" i="16"/>
  <c r="CB207" i="16" s="1"/>
  <c r="AV400" i="16"/>
  <c r="CB403" i="16" s="1"/>
  <c r="AV176" i="16"/>
  <c r="CB179" i="16" s="1"/>
  <c r="AV92" i="16"/>
  <c r="CB95" i="16" s="1"/>
  <c r="AV232" i="16"/>
  <c r="CB235" i="16" s="1"/>
  <c r="AM94" i="16"/>
  <c r="J94" i="16" s="1"/>
  <c r="BA332" i="16"/>
  <c r="Y332" i="16" s="1"/>
  <c r="BA190" i="16"/>
  <c r="Y190" i="16" s="1"/>
  <c r="AV120" i="16"/>
  <c r="CB123" i="16" s="1"/>
  <c r="AV344" i="16"/>
  <c r="CB347" i="16" s="1"/>
  <c r="AV260" i="16"/>
  <c r="CB263" i="16" s="1"/>
  <c r="AV78" i="16"/>
  <c r="CB81" i="16" s="1"/>
  <c r="AV106" i="16"/>
  <c r="CB109" i="16" s="1"/>
  <c r="AY359" i="16"/>
  <c r="P359" i="16" s="1"/>
  <c r="HB355" i="16" s="1"/>
  <c r="BA232" i="16"/>
  <c r="Y232" i="16" s="1"/>
  <c r="BA470" i="16"/>
  <c r="Y470" i="16" s="1"/>
  <c r="AM190" i="16"/>
  <c r="J190" i="16" s="1"/>
  <c r="AM232" i="16"/>
  <c r="J232" i="16" s="1"/>
  <c r="AV428" i="16"/>
  <c r="CB431" i="16" s="1"/>
  <c r="AV316" i="16"/>
  <c r="CB319" i="16" s="1"/>
  <c r="AV330" i="16"/>
  <c r="CB333" i="16" s="1"/>
  <c r="AY164" i="16"/>
  <c r="P164" i="16" s="1"/>
  <c r="HB160" i="16" s="1"/>
  <c r="AM470" i="16"/>
  <c r="J470" i="16" s="1"/>
  <c r="T457" i="16"/>
  <c r="GD453" i="16" s="1"/>
  <c r="GE453" i="16"/>
  <c r="T443" i="16"/>
  <c r="GD439" i="16" s="1"/>
  <c r="GE439" i="16"/>
  <c r="AT51" i="16"/>
  <c r="R51" i="16" s="1"/>
  <c r="GE47" i="16" s="1"/>
  <c r="AT304" i="16"/>
  <c r="R304" i="16" s="1"/>
  <c r="AT163" i="16"/>
  <c r="R163" i="16" s="1"/>
  <c r="AT429" i="16"/>
  <c r="R429" i="16" s="1"/>
  <c r="AT149" i="16"/>
  <c r="R149" i="16" s="1"/>
  <c r="AT65" i="16"/>
  <c r="R65" i="16" s="1"/>
  <c r="AT93" i="16"/>
  <c r="R93" i="16" s="1"/>
  <c r="AT107" i="16"/>
  <c r="R107" i="16" s="1"/>
  <c r="AT261" i="16"/>
  <c r="R261" i="16" s="1"/>
  <c r="AT332" i="16"/>
  <c r="R332" i="16" s="1"/>
  <c r="AT345" i="16"/>
  <c r="R345" i="16" s="1"/>
  <c r="AT178" i="16"/>
  <c r="R178" i="16" s="1"/>
  <c r="AT317" i="16"/>
  <c r="R317" i="16" s="1"/>
  <c r="AT303" i="16"/>
  <c r="R303" i="16" s="1"/>
  <c r="AT233" i="16"/>
  <c r="R233" i="16" s="1"/>
  <c r="AT247" i="16"/>
  <c r="R247" i="16" s="1"/>
  <c r="AT177" i="16"/>
  <c r="R177" i="16" s="1"/>
  <c r="AT262" i="16"/>
  <c r="R262" i="16" s="1"/>
  <c r="AT205" i="16"/>
  <c r="R205" i="16" s="1"/>
  <c r="AT346" i="16"/>
  <c r="R346" i="16" s="1"/>
  <c r="AT318" i="16"/>
  <c r="R318" i="16" s="1"/>
  <c r="AT374" i="16"/>
  <c r="R374" i="16" s="1"/>
  <c r="AT444" i="16"/>
  <c r="R444" i="16" s="1"/>
  <c r="AT121" i="16"/>
  <c r="R121" i="16" s="1"/>
  <c r="AT276" i="16"/>
  <c r="R276" i="16" s="1"/>
  <c r="AT79" i="16"/>
  <c r="R79" i="16" s="1"/>
  <c r="AT37" i="16"/>
  <c r="R37" i="16" s="1"/>
  <c r="AT430" i="16"/>
  <c r="R430" i="16" s="1"/>
  <c r="AT290" i="16"/>
  <c r="R290" i="16" s="1"/>
  <c r="AT401" i="16"/>
  <c r="R401" i="16" s="1"/>
  <c r="AT38" i="16"/>
  <c r="R38" i="16" s="1"/>
  <c r="AT191" i="16"/>
  <c r="R191" i="16" s="1"/>
  <c r="AT402" i="16"/>
  <c r="R402" i="16" s="1"/>
  <c r="AT387" i="16"/>
  <c r="R387" i="16" s="1"/>
  <c r="AT135" i="16"/>
  <c r="R135" i="16" s="1"/>
  <c r="AT458" i="16"/>
  <c r="R458" i="16" s="1"/>
  <c r="AT52" i="16"/>
  <c r="R52" i="16" s="1"/>
  <c r="AT331" i="16"/>
  <c r="R331" i="16" s="1"/>
  <c r="AN458" i="16"/>
  <c r="AN457" i="16"/>
  <c r="AM458" i="16"/>
  <c r="J458" i="16" s="1"/>
  <c r="AM457" i="16"/>
  <c r="J457" i="16" s="1"/>
  <c r="BB458" i="16"/>
  <c r="BB457" i="16"/>
  <c r="BA458" i="16"/>
  <c r="Y458" i="16" s="1"/>
  <c r="BA457" i="16"/>
  <c r="Y457" i="16" s="1"/>
  <c r="AN444" i="16"/>
  <c r="AN443" i="16"/>
  <c r="AM444" i="16"/>
  <c r="J444" i="16" s="1"/>
  <c r="AM443" i="16"/>
  <c r="J443" i="16" s="1"/>
  <c r="BB444" i="16"/>
  <c r="BB443" i="16"/>
  <c r="BA444" i="16"/>
  <c r="Y444" i="16" s="1"/>
  <c r="BA443" i="16"/>
  <c r="Y443" i="16" s="1"/>
  <c r="AM429" i="16"/>
  <c r="J429" i="16" s="1"/>
  <c r="AN430" i="16"/>
  <c r="AN429" i="16"/>
  <c r="AM430" i="16"/>
  <c r="J430" i="16" s="1"/>
  <c r="BB430" i="16"/>
  <c r="BB429" i="16"/>
  <c r="BA430" i="16"/>
  <c r="Y430" i="16" s="1"/>
  <c r="BA429" i="16"/>
  <c r="Y429" i="16" s="1"/>
  <c r="BB402" i="16"/>
  <c r="BB401" i="16"/>
  <c r="BA402" i="16"/>
  <c r="Y402" i="16" s="1"/>
  <c r="BA401" i="16"/>
  <c r="Y401" i="16" s="1"/>
  <c r="AN402" i="16"/>
  <c r="AN401" i="16"/>
  <c r="AM402" i="16"/>
  <c r="J402" i="16" s="1"/>
  <c r="AM401" i="16"/>
  <c r="J401" i="16" s="1"/>
  <c r="AM387" i="16"/>
  <c r="J387" i="16" s="1"/>
  <c r="AN388" i="16"/>
  <c r="AN387" i="16"/>
  <c r="AM388" i="16"/>
  <c r="J388" i="16" s="1"/>
  <c r="BB388" i="16"/>
  <c r="BB387" i="16"/>
  <c r="BA388" i="16"/>
  <c r="Y388" i="16" s="1"/>
  <c r="BA387" i="16"/>
  <c r="Y387" i="16" s="1"/>
  <c r="BB374" i="16"/>
  <c r="BB373" i="16"/>
  <c r="BA374" i="16"/>
  <c r="Y374" i="16" s="1"/>
  <c r="BA373" i="16"/>
  <c r="Y373" i="16" s="1"/>
  <c r="AM373" i="16"/>
  <c r="J373" i="16" s="1"/>
  <c r="AN374" i="16"/>
  <c r="AN373" i="16"/>
  <c r="AM374" i="16"/>
  <c r="J374" i="16" s="1"/>
  <c r="BB346" i="16"/>
  <c r="BB345" i="16"/>
  <c r="BA346" i="16"/>
  <c r="Y346" i="16" s="1"/>
  <c r="BA345" i="16"/>
  <c r="Y345" i="16" s="1"/>
  <c r="AM345" i="16"/>
  <c r="J345" i="16" s="1"/>
  <c r="AN346" i="16"/>
  <c r="AN345" i="16"/>
  <c r="AM346" i="16"/>
  <c r="J346" i="16" s="1"/>
  <c r="AN332" i="16"/>
  <c r="AN331" i="16"/>
  <c r="AM332" i="16"/>
  <c r="J332" i="16" s="1"/>
  <c r="AM331" i="16"/>
  <c r="J331" i="16" s="1"/>
  <c r="BB318" i="16"/>
  <c r="BB317" i="16"/>
  <c r="BA318" i="16"/>
  <c r="Y318" i="16" s="1"/>
  <c r="BA317" i="16"/>
  <c r="Y317" i="16" s="1"/>
  <c r="AM318" i="16"/>
  <c r="J318" i="16" s="1"/>
  <c r="AM317" i="16"/>
  <c r="J317" i="16" s="1"/>
  <c r="AN317" i="16"/>
  <c r="AN318" i="16"/>
  <c r="BB304" i="16"/>
  <c r="BB303" i="16"/>
  <c r="BA304" i="16"/>
  <c r="Y304" i="16" s="1"/>
  <c r="BA303" i="16"/>
  <c r="Y303" i="16" s="1"/>
  <c r="AN303" i="16"/>
  <c r="AM304" i="16"/>
  <c r="J304" i="16" s="1"/>
  <c r="AN304" i="16"/>
  <c r="AM303" i="16"/>
  <c r="J303" i="16" s="1"/>
  <c r="BB290" i="16"/>
  <c r="BB289" i="16"/>
  <c r="BA290" i="16"/>
  <c r="Y290" i="16" s="1"/>
  <c r="BA289" i="16"/>
  <c r="Y289" i="16" s="1"/>
  <c r="AN290" i="16"/>
  <c r="AN289" i="16"/>
  <c r="AM290" i="16"/>
  <c r="J290" i="16" s="1"/>
  <c r="AM289" i="16"/>
  <c r="J289" i="16" s="1"/>
  <c r="AM275" i="16"/>
  <c r="J275" i="16" s="1"/>
  <c r="AN276" i="16"/>
  <c r="AN275" i="16"/>
  <c r="AM276" i="16"/>
  <c r="J276" i="16" s="1"/>
  <c r="BB276" i="16"/>
  <c r="BB275" i="16"/>
  <c r="BA276" i="16"/>
  <c r="Y276" i="16" s="1"/>
  <c r="BA275" i="16"/>
  <c r="Y275" i="16" s="1"/>
  <c r="BB262" i="16"/>
  <c r="BB261" i="16"/>
  <c r="BA262" i="16"/>
  <c r="Y262" i="16" s="1"/>
  <c r="BA261" i="16"/>
  <c r="Y261" i="16" s="1"/>
  <c r="AM261" i="16"/>
  <c r="J261" i="16" s="1"/>
  <c r="AN262" i="16"/>
  <c r="AN261" i="16"/>
  <c r="AM262" i="16"/>
  <c r="J262" i="16" s="1"/>
  <c r="BB248" i="16"/>
  <c r="BB247" i="16"/>
  <c r="BA248" i="16"/>
  <c r="Y248" i="16" s="1"/>
  <c r="BA247" i="16"/>
  <c r="Y247" i="16" s="1"/>
  <c r="AN248" i="16"/>
  <c r="AN247" i="16"/>
  <c r="AM248" i="16"/>
  <c r="J248" i="16" s="1"/>
  <c r="AM247" i="16"/>
  <c r="J247" i="16" s="1"/>
  <c r="AN178" i="16"/>
  <c r="AN177" i="16"/>
  <c r="AM178" i="16"/>
  <c r="J178" i="16" s="1"/>
  <c r="AM177" i="16"/>
  <c r="J177" i="16" s="1"/>
  <c r="BB178" i="16"/>
  <c r="BB177" i="16"/>
  <c r="BA178" i="16"/>
  <c r="Y178" i="16" s="1"/>
  <c r="BA177" i="16"/>
  <c r="Y177" i="16" s="1"/>
  <c r="AN122" i="16"/>
  <c r="AN121" i="16"/>
  <c r="AM122" i="16"/>
  <c r="J122" i="16" s="1"/>
  <c r="AM121" i="16"/>
  <c r="J121" i="16" s="1"/>
  <c r="BB122" i="16"/>
  <c r="BB121" i="16"/>
  <c r="BA122" i="16"/>
  <c r="Y122" i="16" s="1"/>
  <c r="BA121" i="16"/>
  <c r="Y121" i="16" s="1"/>
  <c r="AM107" i="16"/>
  <c r="J107" i="16" s="1"/>
  <c r="AN108" i="16"/>
  <c r="AN107" i="16"/>
  <c r="AM108" i="16"/>
  <c r="J108" i="16" s="1"/>
  <c r="BB108" i="16"/>
  <c r="BB107" i="16"/>
  <c r="BA108" i="16"/>
  <c r="Y108" i="16" s="1"/>
  <c r="BA107" i="16"/>
  <c r="Y107" i="16" s="1"/>
  <c r="AM79" i="16"/>
  <c r="J79" i="16" s="1"/>
  <c r="AN80" i="16"/>
  <c r="AN79" i="16"/>
  <c r="AM80" i="16"/>
  <c r="J80" i="16" s="1"/>
  <c r="BB80" i="16"/>
  <c r="BB79" i="16"/>
  <c r="BA80" i="16"/>
  <c r="Y80" i="16" s="1"/>
  <c r="BA79" i="16"/>
  <c r="Y79" i="16" s="1"/>
  <c r="BB52" i="16"/>
  <c r="BB51" i="16"/>
  <c r="BA52" i="16"/>
  <c r="Y52" i="16" s="1"/>
  <c r="BA51" i="16"/>
  <c r="Y51" i="16" s="1"/>
  <c r="AM51" i="16"/>
  <c r="J51" i="16" s="1"/>
  <c r="AM52" i="16"/>
  <c r="J52" i="16" s="1"/>
  <c r="AN51" i="16"/>
  <c r="AN52" i="16"/>
  <c r="BB38" i="16"/>
  <c r="BB37" i="16"/>
  <c r="BA38" i="16"/>
  <c r="Y38" i="16" s="1"/>
  <c r="BA37" i="16"/>
  <c r="Y37" i="16" s="1"/>
  <c r="AM37" i="16"/>
  <c r="J37" i="16" s="1"/>
  <c r="AN38" i="16"/>
  <c r="AN37" i="16"/>
  <c r="AM38" i="16"/>
  <c r="J38" i="16" s="1"/>
  <c r="BB24" i="16"/>
  <c r="BB23" i="16"/>
  <c r="AN23" i="16"/>
  <c r="AM23" i="16"/>
  <c r="J23" i="16" s="1"/>
  <c r="AN24" i="16"/>
  <c r="AM24" i="16"/>
  <c r="J24" i="16" s="1"/>
  <c r="BA24" i="16"/>
  <c r="Y24" i="16" s="1"/>
  <c r="BA203" i="16"/>
  <c r="CJ20" i="16"/>
  <c r="BL23" i="11"/>
  <c r="BK23" i="11" s="1"/>
  <c r="BH83" i="11"/>
  <c r="BI83" i="11" s="1"/>
  <c r="BJ83" i="11" s="1"/>
  <c r="FL20" i="16"/>
  <c r="FN20" i="16"/>
  <c r="FW20" i="16" s="1"/>
  <c r="HG424" i="16"/>
  <c r="HG426" i="16" s="1"/>
  <c r="BL424" i="16"/>
  <c r="BM424" i="16" s="1"/>
  <c r="AP424" i="16" s="1"/>
  <c r="N424" i="16" s="1"/>
  <c r="BL214" i="16"/>
  <c r="BA214" i="16" s="1"/>
  <c r="Y214" i="16" s="1"/>
  <c r="BL298" i="16"/>
  <c r="BA298" i="16" s="1"/>
  <c r="Y298" i="16" s="1"/>
  <c r="BL200" i="16"/>
  <c r="BM200" i="16" s="1"/>
  <c r="AP200" i="16" s="1"/>
  <c r="N200" i="16" s="1"/>
  <c r="BL130" i="16"/>
  <c r="BM130" i="16" s="1"/>
  <c r="AP130" i="16" s="1"/>
  <c r="N130" i="16" s="1"/>
  <c r="BL74" i="16"/>
  <c r="BA74" i="16" s="1"/>
  <c r="Y74" i="16" s="1"/>
  <c r="BL18" i="16"/>
  <c r="BA18" i="16" s="1"/>
  <c r="Y18" i="16" s="1"/>
  <c r="HF381" i="16"/>
  <c r="HG381" i="16" s="1"/>
  <c r="BL340" i="16"/>
  <c r="BA340" i="16" s="1"/>
  <c r="Y340" i="16" s="1"/>
  <c r="BL228" i="16"/>
  <c r="BA228" i="16" s="1"/>
  <c r="Y228" i="16" s="1"/>
  <c r="BL256" i="16"/>
  <c r="BM256" i="16" s="1"/>
  <c r="AP256" i="16" s="1"/>
  <c r="N256" i="16" s="1"/>
  <c r="BL284" i="16"/>
  <c r="BM284" i="16" s="1"/>
  <c r="AP284" i="16" s="1"/>
  <c r="N284" i="16" s="1"/>
  <c r="BL186" i="16"/>
  <c r="BM186" i="16" s="1"/>
  <c r="AP186" i="16" s="1"/>
  <c r="N186" i="16" s="1"/>
  <c r="BL438" i="16"/>
  <c r="BM438" i="16" s="1"/>
  <c r="AP438" i="16" s="1"/>
  <c r="N438" i="16" s="1"/>
  <c r="BL116" i="16"/>
  <c r="BM116" i="16" s="1"/>
  <c r="AP116" i="16" s="1"/>
  <c r="N116" i="16" s="1"/>
  <c r="BL46" i="16"/>
  <c r="BM46" i="16" s="1"/>
  <c r="AP46" i="16" s="1"/>
  <c r="N46" i="16" s="1"/>
  <c r="BO109" i="16"/>
  <c r="BL452" i="16"/>
  <c r="BM452" i="16" s="1"/>
  <c r="AP452" i="16" s="1"/>
  <c r="N452" i="16" s="1"/>
  <c r="BL88" i="16"/>
  <c r="BM88" i="16" s="1"/>
  <c r="AP88" i="16" s="1"/>
  <c r="N88" i="16" s="1"/>
  <c r="BL270" i="16"/>
  <c r="BM270" i="16" s="1"/>
  <c r="AP270" i="16" s="1"/>
  <c r="N270" i="16" s="1"/>
  <c r="BL382" i="16"/>
  <c r="BM382" i="16" s="1"/>
  <c r="AP382" i="16" s="1"/>
  <c r="N382" i="16" s="1"/>
  <c r="BL368" i="16"/>
  <c r="BA368" i="16" s="1"/>
  <c r="Y368" i="16" s="1"/>
  <c r="BL32" i="16"/>
  <c r="BA32" i="16" s="1"/>
  <c r="Y32" i="16" s="1"/>
  <c r="BL242" i="16"/>
  <c r="BA242" i="16" s="1"/>
  <c r="Y242" i="16" s="1"/>
  <c r="BL60" i="16"/>
  <c r="BM60" i="16" s="1"/>
  <c r="AP60" i="16" s="1"/>
  <c r="N60" i="16" s="1"/>
  <c r="BL396" i="16"/>
  <c r="BM396" i="16" s="1"/>
  <c r="AP396" i="16" s="1"/>
  <c r="N396" i="16" s="1"/>
  <c r="BL410" i="16"/>
  <c r="BA410" i="16" s="1"/>
  <c r="Y410" i="16" s="1"/>
  <c r="BL144" i="16"/>
  <c r="BA144" i="16" s="1"/>
  <c r="Y144" i="16" s="1"/>
  <c r="BL326" i="16"/>
  <c r="BA326" i="16" s="1"/>
  <c r="Y326" i="16" s="1"/>
  <c r="BL172" i="16"/>
  <c r="BM172" i="16" s="1"/>
  <c r="AP172" i="16" s="1"/>
  <c r="N172" i="16" s="1"/>
  <c r="BL466" i="16"/>
  <c r="BA466" i="16" s="1"/>
  <c r="Y466" i="16" s="1"/>
  <c r="BL158" i="16"/>
  <c r="BA158" i="16" s="1"/>
  <c r="Y158" i="16" s="1"/>
  <c r="BL354" i="16"/>
  <c r="BM354" i="16" s="1"/>
  <c r="AP354" i="16" s="1"/>
  <c r="N354" i="16" s="1"/>
  <c r="BL312" i="16"/>
  <c r="BM312" i="16" s="1"/>
  <c r="AP312" i="16" s="1"/>
  <c r="N312" i="16" s="1"/>
  <c r="BA209" i="16"/>
  <c r="AM18" i="16"/>
  <c r="J18" i="16" s="1"/>
  <c r="HE241" i="16"/>
  <c r="BM102" i="16"/>
  <c r="AP102" i="16" s="1"/>
  <c r="N102" i="16" s="1"/>
  <c r="BA102" i="16"/>
  <c r="Y102" i="16" s="1"/>
  <c r="BO95" i="16"/>
  <c r="BO81" i="16"/>
  <c r="HL186" i="16"/>
  <c r="BO67" i="16"/>
  <c r="AM217" i="16"/>
  <c r="HF241" i="16"/>
  <c r="HG241" i="16" s="1"/>
  <c r="HE243" i="16"/>
  <c r="HC241" i="16"/>
  <c r="HC244" i="16"/>
  <c r="HF243" i="16"/>
  <c r="HG243" i="16" s="1"/>
  <c r="HC242" i="16"/>
  <c r="T77" i="11"/>
  <c r="M77" i="11" s="1"/>
  <c r="BH77" i="11" s="1"/>
  <c r="BI77" i="11" s="1"/>
  <c r="BJ77" i="11" s="1"/>
  <c r="HF145" i="16"/>
  <c r="HG145" i="16" s="1"/>
  <c r="HH312" i="16"/>
  <c r="HP312" i="16"/>
  <c r="HO312" i="16"/>
  <c r="HP256" i="16"/>
  <c r="HO256" i="16"/>
  <c r="HH256" i="16"/>
  <c r="HP242" i="16"/>
  <c r="HO242" i="16"/>
  <c r="HH242" i="16"/>
  <c r="HH186" i="16"/>
  <c r="HP186" i="16"/>
  <c r="HO186" i="16"/>
  <c r="HH214" i="16"/>
  <c r="HP214" i="16"/>
  <c r="HO214" i="16"/>
  <c r="HM116" i="16"/>
  <c r="HO116" i="16"/>
  <c r="HP116" i="16"/>
  <c r="HH116" i="16"/>
  <c r="HL284" i="16"/>
  <c r="HO284" i="16"/>
  <c r="HH284" i="16"/>
  <c r="HP284" i="16"/>
  <c r="HH424" i="16"/>
  <c r="HP424" i="16"/>
  <c r="HO424" i="16"/>
  <c r="HP382" i="16"/>
  <c r="HO382" i="16"/>
  <c r="HH382" i="16"/>
  <c r="HM326" i="16"/>
  <c r="HH326" i="16"/>
  <c r="HP326" i="16"/>
  <c r="HO326" i="16"/>
  <c r="HL228" i="16"/>
  <c r="HO228" i="16"/>
  <c r="HP228" i="16"/>
  <c r="HH228" i="16"/>
  <c r="HO396" i="16"/>
  <c r="HP396" i="16"/>
  <c r="HH396" i="16"/>
  <c r="HP466" i="16"/>
  <c r="HO466" i="16"/>
  <c r="HH466" i="16"/>
  <c r="HH438" i="16"/>
  <c r="HP438" i="16"/>
  <c r="HO438" i="16"/>
  <c r="HP270" i="16"/>
  <c r="HO270" i="16"/>
  <c r="HH270" i="16"/>
  <c r="HM158" i="16"/>
  <c r="HP158" i="16"/>
  <c r="HO158" i="16"/>
  <c r="HH158" i="16"/>
  <c r="HM17" i="16"/>
  <c r="HF17" i="16" s="1"/>
  <c r="HL368" i="16"/>
  <c r="HP368" i="16"/>
  <c r="HO368" i="16"/>
  <c r="HH368" i="16"/>
  <c r="HC452" i="16"/>
  <c r="HP130" i="16"/>
  <c r="HO130" i="16"/>
  <c r="HH130" i="16"/>
  <c r="HH298" i="16"/>
  <c r="HP298" i="16"/>
  <c r="HO298" i="16"/>
  <c r="HL410" i="16"/>
  <c r="HH410" i="16"/>
  <c r="HP410" i="16"/>
  <c r="HO410" i="16"/>
  <c r="HL200" i="16"/>
  <c r="HH200" i="16"/>
  <c r="HP200" i="16"/>
  <c r="HO200" i="16"/>
  <c r="HE425" i="16"/>
  <c r="HO340" i="16"/>
  <c r="HH340" i="16"/>
  <c r="HP340" i="16"/>
  <c r="HP354" i="16"/>
  <c r="HO354" i="16"/>
  <c r="HH354" i="16"/>
  <c r="HO172" i="16"/>
  <c r="HP172" i="16"/>
  <c r="HH172" i="16"/>
  <c r="HL452" i="16"/>
  <c r="HO452" i="16"/>
  <c r="HP452" i="16"/>
  <c r="HH452" i="16"/>
  <c r="HR452" i="16" s="1"/>
  <c r="AY114" i="13" s="1"/>
  <c r="HM144" i="16"/>
  <c r="HP144" i="16"/>
  <c r="HO144" i="16"/>
  <c r="HH144" i="16"/>
  <c r="BO53" i="16"/>
  <c r="HG45" i="16"/>
  <c r="HG31" i="16"/>
  <c r="HG186" i="16"/>
  <c r="HG188" i="16" s="1"/>
  <c r="DO20" i="16"/>
  <c r="S20" i="16" s="1"/>
  <c r="HM368" i="16"/>
  <c r="HM410" i="16"/>
  <c r="HM200" i="16"/>
  <c r="AM133" i="16"/>
  <c r="HL144" i="16"/>
  <c r="BA126" i="16"/>
  <c r="AM126" i="16"/>
  <c r="AF136" i="16" s="1"/>
  <c r="C136" i="16" s="1"/>
  <c r="GE130" i="16" s="1"/>
  <c r="HE115" i="16"/>
  <c r="AM203" i="16"/>
  <c r="HL158" i="16"/>
  <c r="HM228" i="16"/>
  <c r="HM452" i="16"/>
  <c r="HF227" i="16"/>
  <c r="HG227" i="16" s="1"/>
  <c r="BA63" i="16"/>
  <c r="AM196" i="16"/>
  <c r="AF206" i="16" s="1"/>
  <c r="C206" i="16" s="1"/>
  <c r="E206" i="16" s="1"/>
  <c r="BA196" i="16"/>
  <c r="BA217" i="16"/>
  <c r="HC115" i="16"/>
  <c r="HD439" i="16"/>
  <c r="HF117" i="16"/>
  <c r="HG117" i="16" s="1"/>
  <c r="HC118" i="16"/>
  <c r="E248" i="16"/>
  <c r="HF213" i="16"/>
  <c r="HG213" i="16" s="1"/>
  <c r="AM154" i="16"/>
  <c r="AF164" i="16" s="1"/>
  <c r="C164" i="16" s="1"/>
  <c r="E164" i="16" s="1"/>
  <c r="HE215" i="16"/>
  <c r="BA154" i="16"/>
  <c r="HC213" i="16"/>
  <c r="HD215" i="16"/>
  <c r="HC216" i="16"/>
  <c r="BL21" i="11"/>
  <c r="BM21" i="11" s="1"/>
  <c r="I21" i="11" s="1"/>
  <c r="HM284" i="16"/>
  <c r="BL17" i="11"/>
  <c r="BK17" i="11" s="1"/>
  <c r="BA210" i="16"/>
  <c r="AM210" i="16"/>
  <c r="AF220" i="16" s="1"/>
  <c r="C220" i="16" s="1"/>
  <c r="GE214" i="16" s="1"/>
  <c r="HD159" i="16"/>
  <c r="HC214" i="16"/>
  <c r="HL326" i="16"/>
  <c r="HC215" i="16"/>
  <c r="HF115" i="16"/>
  <c r="HG115" i="16" s="1"/>
  <c r="HC117" i="16"/>
  <c r="BL63" i="11"/>
  <c r="I63" i="11" s="1"/>
  <c r="Q70" i="13" s="1"/>
  <c r="BC70" i="13" s="1"/>
  <c r="HE213" i="16"/>
  <c r="HE117" i="16"/>
  <c r="HF215" i="16"/>
  <c r="HG215" i="16" s="1"/>
  <c r="HE199" i="16"/>
  <c r="BL39" i="11"/>
  <c r="BK39" i="11" s="1"/>
  <c r="HC116" i="16"/>
  <c r="HC202" i="16"/>
  <c r="HC230" i="16"/>
  <c r="CJ19" i="16"/>
  <c r="HE201" i="16"/>
  <c r="HL116" i="16"/>
  <c r="HC199" i="16"/>
  <c r="HF283" i="16"/>
  <c r="HG283" i="16" s="1"/>
  <c r="HC201" i="16"/>
  <c r="HM312" i="16"/>
  <c r="HL312" i="16"/>
  <c r="HM340" i="16"/>
  <c r="HL340" i="16"/>
  <c r="HL214" i="16"/>
  <c r="HM214" i="16"/>
  <c r="HC284" i="16"/>
  <c r="HC200" i="16"/>
  <c r="HM424" i="16"/>
  <c r="HL424" i="16"/>
  <c r="HM130" i="16"/>
  <c r="HL130" i="16"/>
  <c r="HM382" i="16"/>
  <c r="HL382" i="16"/>
  <c r="HM242" i="16"/>
  <c r="HL242" i="16"/>
  <c r="BA357" i="16"/>
  <c r="HF101" i="16"/>
  <c r="HG101" i="16" s="1"/>
  <c r="HF199" i="16"/>
  <c r="HG199" i="16" s="1"/>
  <c r="HM354" i="16"/>
  <c r="HL354" i="16"/>
  <c r="HM438" i="16"/>
  <c r="HL438" i="16"/>
  <c r="HM256" i="16"/>
  <c r="HL256" i="16"/>
  <c r="HF201" i="16"/>
  <c r="HG201" i="16" s="1"/>
  <c r="HM396" i="16"/>
  <c r="HL396" i="16"/>
  <c r="HM466" i="16"/>
  <c r="HL466" i="16"/>
  <c r="HM172" i="16"/>
  <c r="HL172" i="16"/>
  <c r="HM270" i="16"/>
  <c r="HL270" i="16"/>
  <c r="HM298" i="16"/>
  <c r="HL298" i="16"/>
  <c r="HC185" i="16"/>
  <c r="GE340" i="16"/>
  <c r="HE395" i="16"/>
  <c r="HC227" i="16"/>
  <c r="HC228" i="16"/>
  <c r="HE339" i="16"/>
  <c r="HC229" i="16"/>
  <c r="HC342" i="16"/>
  <c r="HE227" i="16"/>
  <c r="HF229" i="16"/>
  <c r="HG229" i="16" s="1"/>
  <c r="HC299" i="16"/>
  <c r="HF383" i="16"/>
  <c r="HG383" i="16" s="1"/>
  <c r="HC382" i="16"/>
  <c r="HC188" i="16"/>
  <c r="HE285" i="16"/>
  <c r="HC283" i="16"/>
  <c r="HC186" i="16"/>
  <c r="HC104" i="16"/>
  <c r="HE283" i="16"/>
  <c r="HF185" i="16"/>
  <c r="HG185" i="16" s="1"/>
  <c r="HD103" i="16"/>
  <c r="HC101" i="16"/>
  <c r="HE187" i="16"/>
  <c r="HC102" i="16"/>
  <c r="HC286" i="16"/>
  <c r="HD255" i="16"/>
  <c r="HE381" i="16"/>
  <c r="HC383" i="16"/>
  <c r="BM65" i="11"/>
  <c r="I65" i="11"/>
  <c r="HE143" i="16"/>
  <c r="HC453" i="16"/>
  <c r="HC384" i="16"/>
  <c r="HE383" i="16"/>
  <c r="BK65" i="11"/>
  <c r="HF397" i="16"/>
  <c r="HG397" i="16" s="1"/>
  <c r="BL41" i="11"/>
  <c r="BK41" i="11" s="1"/>
  <c r="HF395" i="16"/>
  <c r="HG395" i="16" s="1"/>
  <c r="HC440" i="16"/>
  <c r="HC397" i="16"/>
  <c r="BL67" i="9"/>
  <c r="BK67" i="9" s="1"/>
  <c r="E458" i="16"/>
  <c r="GE116" i="16"/>
  <c r="HF451" i="16"/>
  <c r="HG451" i="16" s="1"/>
  <c r="HF341" i="16"/>
  <c r="HG341" i="16" s="1"/>
  <c r="HC423" i="16"/>
  <c r="I72" i="13"/>
  <c r="BB72" i="13" s="1"/>
  <c r="BM72" i="13" s="1"/>
  <c r="HF453" i="16"/>
  <c r="HG453" i="16" s="1"/>
  <c r="HC424" i="16"/>
  <c r="HE341" i="16"/>
  <c r="HE453" i="16"/>
  <c r="HE451" i="16"/>
  <c r="HF339" i="16"/>
  <c r="HG339" i="16" s="1"/>
  <c r="HC339" i="16"/>
  <c r="HC451" i="16"/>
  <c r="HC454" i="16"/>
  <c r="HC341" i="16"/>
  <c r="HD173" i="16"/>
  <c r="GZ395" i="16"/>
  <c r="HF423" i="16"/>
  <c r="HG423" i="16" s="1"/>
  <c r="HE439" i="16"/>
  <c r="BL87" i="11"/>
  <c r="BK87" i="11" s="1"/>
  <c r="HF425" i="16"/>
  <c r="HG425" i="16" s="1"/>
  <c r="GZ215" i="16"/>
  <c r="HC437" i="16"/>
  <c r="HE369" i="16"/>
  <c r="BL33" i="11"/>
  <c r="BK33" i="11" s="1"/>
  <c r="DZ19" i="16"/>
  <c r="EE19" i="16" s="1"/>
  <c r="HE423" i="16"/>
  <c r="HC425" i="16"/>
  <c r="HC438" i="16"/>
  <c r="HC367" i="16"/>
  <c r="GZ369" i="16"/>
  <c r="HF437" i="16"/>
  <c r="HG437" i="16" s="1"/>
  <c r="HC370" i="16"/>
  <c r="HC426" i="16"/>
  <c r="HF439" i="16"/>
  <c r="HG439" i="16" s="1"/>
  <c r="HC439" i="16"/>
  <c r="BL35" i="11"/>
  <c r="BM35" i="11" s="1"/>
  <c r="HE437" i="16"/>
  <c r="BL67" i="11"/>
  <c r="BK67" i="11" s="1"/>
  <c r="BL27" i="11"/>
  <c r="I27" i="11" s="1"/>
  <c r="BC27" i="11" s="1"/>
  <c r="BD27" i="11" s="1"/>
  <c r="BH77" i="9"/>
  <c r="BI77" i="9" s="1"/>
  <c r="BJ77" i="9" s="1"/>
  <c r="HF257" i="16"/>
  <c r="HG257" i="16" s="1"/>
  <c r="BH83" i="9"/>
  <c r="BI83" i="9" s="1"/>
  <c r="BJ83" i="9" s="1"/>
  <c r="BH73" i="11"/>
  <c r="BI73" i="11" s="1"/>
  <c r="BJ73" i="11" s="1"/>
  <c r="AY57" i="11"/>
  <c r="BL25" i="9"/>
  <c r="BM25" i="9" s="1"/>
  <c r="I25" i="9" s="1"/>
  <c r="BC25" i="9" s="1"/>
  <c r="BD25" i="9" s="1"/>
  <c r="B25" i="9" s="1"/>
  <c r="GE256" i="16"/>
  <c r="E191" i="16"/>
  <c r="GD185" i="16" s="1"/>
  <c r="E52" i="16"/>
  <c r="HC466" i="16"/>
  <c r="HC468" i="16"/>
  <c r="HF465" i="16"/>
  <c r="HG465" i="16" s="1"/>
  <c r="BA161" i="16"/>
  <c r="HE465" i="16"/>
  <c r="AM161" i="16"/>
  <c r="HC465" i="16"/>
  <c r="HD185" i="16"/>
  <c r="HE145" i="16"/>
  <c r="HD143" i="16"/>
  <c r="HC143" i="16"/>
  <c r="HF143" i="16"/>
  <c r="HG143" i="16" s="1"/>
  <c r="HC144" i="16"/>
  <c r="HD145" i="16"/>
  <c r="HC145" i="16"/>
  <c r="HC146" i="16"/>
  <c r="AM182" i="16"/>
  <c r="AF192" i="16" s="1"/>
  <c r="C192" i="16" s="1"/>
  <c r="E192" i="16" s="1"/>
  <c r="CI175" i="16"/>
  <c r="HD451" i="16"/>
  <c r="HD213" i="16"/>
  <c r="HC285" i="16"/>
  <c r="HC19" i="16"/>
  <c r="GZ271" i="16"/>
  <c r="HD437" i="16"/>
  <c r="HF285" i="16"/>
  <c r="HG285" i="16" s="1"/>
  <c r="BL25" i="11"/>
  <c r="BM25" i="11" s="1"/>
  <c r="HC313" i="16"/>
  <c r="AS413" i="16"/>
  <c r="Y414" i="16"/>
  <c r="BA56" i="16"/>
  <c r="GZ339" i="16"/>
  <c r="HD339" i="16"/>
  <c r="HC300" i="16"/>
  <c r="HC298" i="16"/>
  <c r="HC297" i="16"/>
  <c r="HE299" i="16"/>
  <c r="HF297" i="16"/>
  <c r="HG297" i="16" s="1"/>
  <c r="HF299" i="16"/>
  <c r="HG299" i="16" s="1"/>
  <c r="HE297" i="16"/>
  <c r="HE257" i="16"/>
  <c r="HC396" i="16"/>
  <c r="HC395" i="16"/>
  <c r="HE397" i="16"/>
  <c r="HC398" i="16"/>
  <c r="EQ19" i="16"/>
  <c r="FF19" i="16"/>
  <c r="HF311" i="16"/>
  <c r="HG311" i="16" s="1"/>
  <c r="HE313" i="16"/>
  <c r="HC311" i="16"/>
  <c r="HC312" i="16"/>
  <c r="HE311" i="16"/>
  <c r="GZ451" i="16"/>
  <c r="BA224" i="16"/>
  <c r="HD101" i="16"/>
  <c r="GZ101" i="16"/>
  <c r="HC314" i="16"/>
  <c r="HC257" i="16"/>
  <c r="HC258" i="16"/>
  <c r="HE255" i="16"/>
  <c r="HC255" i="16"/>
  <c r="HC256" i="16"/>
  <c r="FD20" i="16"/>
  <c r="FA20" i="16"/>
  <c r="GZ199" i="16"/>
  <c r="HD311" i="16"/>
  <c r="HC103" i="16"/>
  <c r="HD425" i="16"/>
  <c r="GZ283" i="16"/>
  <c r="HC187" i="16"/>
  <c r="HF467" i="16"/>
  <c r="HG467" i="16" s="1"/>
  <c r="HD201" i="16"/>
  <c r="GZ243" i="16"/>
  <c r="HF369" i="16"/>
  <c r="HG369" i="16" s="1"/>
  <c r="HC368" i="16"/>
  <c r="HD423" i="16"/>
  <c r="HF187" i="16"/>
  <c r="HG187" i="16" s="1"/>
  <c r="HF103" i="16"/>
  <c r="HG103" i="16" s="1"/>
  <c r="HE467" i="16"/>
  <c r="HF367" i="16"/>
  <c r="HG367" i="16" s="1"/>
  <c r="HC369" i="16"/>
  <c r="HD367" i="16"/>
  <c r="HE103" i="16"/>
  <c r="HE367" i="16"/>
  <c r="CA385" i="16"/>
  <c r="AK388" i="16" s="1"/>
  <c r="L388" i="16" s="1"/>
  <c r="HB382" i="16" s="1"/>
  <c r="EC20" i="16"/>
  <c r="ED20" i="16" s="1"/>
  <c r="HD341" i="16"/>
  <c r="HD397" i="16"/>
  <c r="HD31" i="16"/>
  <c r="GZ325" i="16"/>
  <c r="HD285" i="16"/>
  <c r="HD465" i="16"/>
  <c r="AX61" i="11"/>
  <c r="GZ145" i="16"/>
  <c r="AY59" i="11"/>
  <c r="HD313" i="16"/>
  <c r="GZ33" i="16"/>
  <c r="GZ187" i="16"/>
  <c r="GZ131" i="16"/>
  <c r="HD467" i="16"/>
  <c r="HD229" i="16"/>
  <c r="AX37" i="11"/>
  <c r="GZ367" i="16"/>
  <c r="HD453" i="16"/>
  <c r="GZ381" i="16"/>
  <c r="HD395" i="16"/>
  <c r="HD227" i="16"/>
  <c r="GZ423" i="16"/>
  <c r="GZ437" i="16"/>
  <c r="GZ383" i="16"/>
  <c r="HD299" i="16"/>
  <c r="GZ159" i="16"/>
  <c r="GZ31" i="16"/>
  <c r="GZ255" i="16"/>
  <c r="BA133" i="16"/>
  <c r="HD187" i="16"/>
  <c r="HD269" i="16"/>
  <c r="HC76" i="16"/>
  <c r="HE73" i="16"/>
  <c r="HC75" i="16"/>
  <c r="HC74" i="16"/>
  <c r="HD75" i="16"/>
  <c r="HC73" i="16"/>
  <c r="HE75" i="16"/>
  <c r="HD73" i="16"/>
  <c r="HF75" i="16"/>
  <c r="HG75" i="16" s="1"/>
  <c r="HF73" i="16"/>
  <c r="HG73" i="16" s="1"/>
  <c r="HF255" i="16"/>
  <c r="HG255" i="16" s="1"/>
  <c r="GZ115" i="16"/>
  <c r="HD115" i="16"/>
  <c r="GZ59" i="16"/>
  <c r="GZ297" i="16"/>
  <c r="HD243" i="16"/>
  <c r="GZ89" i="16"/>
  <c r="HD89" i="16"/>
  <c r="GZ425" i="16"/>
  <c r="GZ341" i="16"/>
  <c r="GZ229" i="16"/>
  <c r="GZ241" i="16"/>
  <c r="HD381" i="16"/>
  <c r="HC412" i="16"/>
  <c r="HE409" i="16"/>
  <c r="HF411" i="16"/>
  <c r="HG411" i="16" s="1"/>
  <c r="HC411" i="16"/>
  <c r="HF409" i="16"/>
  <c r="HG409" i="16" s="1"/>
  <c r="HC410" i="16"/>
  <c r="HC409" i="16"/>
  <c r="HD411" i="16"/>
  <c r="HD409" i="16"/>
  <c r="HE411" i="16"/>
  <c r="HC132" i="16"/>
  <c r="HD129" i="16"/>
  <c r="HC129" i="16"/>
  <c r="HE129" i="16"/>
  <c r="HF131" i="16"/>
  <c r="HG131" i="16" s="1"/>
  <c r="HC131" i="16"/>
  <c r="HF129" i="16"/>
  <c r="HG129" i="16" s="1"/>
  <c r="HC130" i="16"/>
  <c r="HD131" i="16"/>
  <c r="HE131" i="16"/>
  <c r="GZ213" i="16"/>
  <c r="GZ311" i="16"/>
  <c r="GZ185" i="16"/>
  <c r="HD297" i="16"/>
  <c r="GZ75" i="16"/>
  <c r="HD383" i="16"/>
  <c r="HD283" i="16"/>
  <c r="GZ45" i="16"/>
  <c r="HD45" i="16"/>
  <c r="HF269" i="16"/>
  <c r="HG269" i="16" s="1"/>
  <c r="GZ257" i="16"/>
  <c r="HD257" i="16"/>
  <c r="GZ439" i="16"/>
  <c r="GZ409" i="16"/>
  <c r="GZ61" i="16"/>
  <c r="HD241" i="16"/>
  <c r="GZ73" i="16"/>
  <c r="GZ327" i="16"/>
  <c r="GZ117" i="16"/>
  <c r="HD117" i="16"/>
  <c r="GZ47" i="16"/>
  <c r="HD47" i="16"/>
  <c r="GZ201" i="16"/>
  <c r="HC62" i="16"/>
  <c r="HE59" i="16"/>
  <c r="HC61" i="16"/>
  <c r="HF59" i="16"/>
  <c r="HG59" i="16" s="1"/>
  <c r="HC60" i="16"/>
  <c r="HC59" i="16"/>
  <c r="HD61" i="16"/>
  <c r="HD59" i="16"/>
  <c r="HE61" i="16"/>
  <c r="HF61" i="16"/>
  <c r="HG61" i="16" s="1"/>
  <c r="HD369" i="16"/>
  <c r="HC356" i="16"/>
  <c r="HC355" i="16"/>
  <c r="HC354" i="16"/>
  <c r="HD355" i="16"/>
  <c r="HC353" i="16"/>
  <c r="HD353" i="16"/>
  <c r="HE355" i="16"/>
  <c r="HE353" i="16"/>
  <c r="HF355" i="16"/>
  <c r="HG355" i="16" s="1"/>
  <c r="HF353" i="16"/>
  <c r="HG353" i="16" s="1"/>
  <c r="GZ313" i="16"/>
  <c r="GZ299" i="16"/>
  <c r="GZ87" i="16"/>
  <c r="HD87" i="16"/>
  <c r="GZ465" i="16"/>
  <c r="HC328" i="16"/>
  <c r="HF325" i="16"/>
  <c r="HG325" i="16" s="1"/>
  <c r="HC326" i="16"/>
  <c r="HC325" i="16"/>
  <c r="HD327" i="16"/>
  <c r="HD325" i="16"/>
  <c r="HE327" i="16"/>
  <c r="HE325" i="16"/>
  <c r="HC327" i="16"/>
  <c r="HF327" i="16"/>
  <c r="HG327" i="16" s="1"/>
  <c r="HD199" i="16"/>
  <c r="GZ411" i="16"/>
  <c r="DK19" i="16"/>
  <c r="DL19" i="16"/>
  <c r="BO39" i="16"/>
  <c r="E247" i="16"/>
  <c r="GD241" i="16" s="1"/>
  <c r="GE241" i="16"/>
  <c r="E430" i="16"/>
  <c r="GE424" i="16"/>
  <c r="E178" i="16"/>
  <c r="GE172" i="16"/>
  <c r="E205" i="16"/>
  <c r="GD199" i="16" s="1"/>
  <c r="GE199" i="16"/>
  <c r="E374" i="16"/>
  <c r="GE368" i="16"/>
  <c r="E121" i="16"/>
  <c r="GD115" i="16" s="1"/>
  <c r="GE115" i="16"/>
  <c r="E38" i="16"/>
  <c r="GE32" i="16"/>
  <c r="E233" i="16"/>
  <c r="GD227" i="16" s="1"/>
  <c r="GE227" i="16"/>
  <c r="E304" i="16"/>
  <c r="GE298" i="16"/>
  <c r="E51" i="16"/>
  <c r="GD45" i="16" s="1"/>
  <c r="GE45" i="16"/>
  <c r="E219" i="16"/>
  <c r="GD213" i="16" s="1"/>
  <c r="GE213" i="16"/>
  <c r="E163" i="16"/>
  <c r="GD157" i="16" s="1"/>
  <c r="GE157" i="16"/>
  <c r="E80" i="16"/>
  <c r="GE74" i="16"/>
  <c r="E149" i="16"/>
  <c r="GD143" i="16" s="1"/>
  <c r="GE143" i="16"/>
  <c r="E93" i="16"/>
  <c r="GD87" i="16" s="1"/>
  <c r="GE87" i="16"/>
  <c r="E37" i="16"/>
  <c r="GD31" i="16" s="1"/>
  <c r="GE31" i="16"/>
  <c r="E303" i="16"/>
  <c r="GD297" i="16" s="1"/>
  <c r="GE297" i="16"/>
  <c r="E79" i="16"/>
  <c r="GD73" i="16" s="1"/>
  <c r="GE73" i="16"/>
  <c r="E401" i="16"/>
  <c r="GD395" i="16" s="1"/>
  <c r="GE395" i="16"/>
  <c r="E107" i="16"/>
  <c r="GD101" i="16" s="1"/>
  <c r="GE101" i="16"/>
  <c r="E135" i="16"/>
  <c r="GD129" i="16" s="1"/>
  <c r="GE129" i="16"/>
  <c r="E317" i="16"/>
  <c r="GD311" i="16" s="1"/>
  <c r="GE311" i="16"/>
  <c r="E318" i="16"/>
  <c r="GE312" i="16"/>
  <c r="E331" i="16"/>
  <c r="GD325" i="16" s="1"/>
  <c r="GE325" i="16"/>
  <c r="E65" i="16"/>
  <c r="GD59" i="16" s="1"/>
  <c r="GE59" i="16"/>
  <c r="E261" i="16"/>
  <c r="GD255" i="16" s="1"/>
  <c r="GE255" i="16"/>
  <c r="E332" i="16"/>
  <c r="GE326" i="16"/>
  <c r="E444" i="16"/>
  <c r="GE438" i="16"/>
  <c r="E402" i="16"/>
  <c r="GE396" i="16"/>
  <c r="E177" i="16"/>
  <c r="GD171" i="16" s="1"/>
  <c r="GE171" i="16"/>
  <c r="E345" i="16"/>
  <c r="GD339" i="16" s="1"/>
  <c r="GE339" i="16"/>
  <c r="E387" i="16"/>
  <c r="GD381" i="16" s="1"/>
  <c r="GE381" i="16"/>
  <c r="AW69" i="11"/>
  <c r="AY63" i="11"/>
  <c r="AY67" i="9"/>
  <c r="AX67" i="9"/>
  <c r="AY65" i="9"/>
  <c r="AX65" i="9"/>
  <c r="B65" i="9" s="1"/>
  <c r="AX87" i="11"/>
  <c r="AX77" i="11"/>
  <c r="AY65" i="11"/>
  <c r="AX65" i="11"/>
  <c r="T19" i="16"/>
  <c r="GR19" i="16"/>
  <c r="BA147" i="16"/>
  <c r="HC17" i="16"/>
  <c r="HH17" i="16"/>
  <c r="HA17" i="16"/>
  <c r="GT20" i="16"/>
  <c r="HL19" i="16" s="1"/>
  <c r="HM20" i="16" s="1"/>
  <c r="HA19" i="16"/>
  <c r="HE19" i="16"/>
  <c r="AX67" i="11"/>
  <c r="E24" i="16"/>
  <c r="GE18" i="16"/>
  <c r="E20" i="16"/>
  <c r="GV17" i="16"/>
  <c r="GZ17" i="16" s="1"/>
  <c r="CI203" i="16"/>
  <c r="AM231" i="16"/>
  <c r="AM469" i="16"/>
  <c r="CJ413" i="16"/>
  <c r="E23" i="16"/>
  <c r="GD17" i="16" s="1"/>
  <c r="GE17" i="16"/>
  <c r="HG18" i="16" s="1"/>
  <c r="T24" i="16"/>
  <c r="GE20" i="16"/>
  <c r="T23" i="16"/>
  <c r="GD19" i="16" s="1"/>
  <c r="GE19" i="16"/>
  <c r="CJ441" i="16"/>
  <c r="AY444" i="16" s="1"/>
  <c r="AM56" i="16"/>
  <c r="AF66" i="16" s="1"/>
  <c r="C66" i="16" s="1"/>
  <c r="BL47" i="11"/>
  <c r="BK47" i="11" s="1"/>
  <c r="AY27" i="11"/>
  <c r="AX27" i="11"/>
  <c r="AM63" i="16"/>
  <c r="CA455" i="16"/>
  <c r="AK458" i="16" s="1"/>
  <c r="BA231" i="16"/>
  <c r="CJ175" i="16"/>
  <c r="CI161" i="16"/>
  <c r="B20" i="16"/>
  <c r="CI441" i="16"/>
  <c r="AY443" i="16" s="1"/>
  <c r="BZ19" i="16"/>
  <c r="BZ21" i="16" s="1"/>
  <c r="CJ217" i="16"/>
  <c r="BH75" i="11"/>
  <c r="BI75" i="11" s="1"/>
  <c r="BJ75" i="11" s="1"/>
  <c r="BH79" i="11"/>
  <c r="BI79" i="11" s="1"/>
  <c r="BJ79" i="11" s="1"/>
  <c r="BZ245" i="16"/>
  <c r="AK247" i="16" s="1"/>
  <c r="L247" i="16" s="1"/>
  <c r="HB241" i="16" s="1"/>
  <c r="CI217" i="16"/>
  <c r="AM357" i="16"/>
  <c r="FV19" i="16"/>
  <c r="FR174" i="16"/>
  <c r="BA469" i="16"/>
  <c r="BZ287" i="16"/>
  <c r="BP285" i="16" s="1"/>
  <c r="FC20" i="16"/>
  <c r="EV20" i="16"/>
  <c r="CA273" i="16"/>
  <c r="AK276" i="16" s="1"/>
  <c r="L276" i="16" s="1"/>
  <c r="HB270" i="16" s="1"/>
  <c r="EZ20" i="16"/>
  <c r="DZ20" i="16"/>
  <c r="EE20" i="16" s="1"/>
  <c r="AY39" i="11"/>
  <c r="BF73" i="11"/>
  <c r="BG73" i="11" s="1"/>
  <c r="BL47" i="9"/>
  <c r="BK47" i="9" s="1"/>
  <c r="ET20" i="16"/>
  <c r="EU20" i="16" s="1"/>
  <c r="BA189" i="16"/>
  <c r="BF75" i="11"/>
  <c r="BG75" i="11" s="1"/>
  <c r="CJ119" i="16"/>
  <c r="AY122" i="16" s="1"/>
  <c r="P122" i="16" s="1"/>
  <c r="HB118" i="16" s="1"/>
  <c r="FR118" i="16"/>
  <c r="CJ203" i="16"/>
  <c r="AM413" i="16"/>
  <c r="EW104" i="16"/>
  <c r="BZ63" i="16"/>
  <c r="AK65" i="16" s="1"/>
  <c r="L65" i="16" s="1"/>
  <c r="HB59" i="16" s="1"/>
  <c r="EW159" i="16"/>
  <c r="FR328" i="16"/>
  <c r="AM147" i="16"/>
  <c r="CA315" i="16"/>
  <c r="AK318" i="16" s="1"/>
  <c r="BA413" i="16"/>
  <c r="FR272" i="16"/>
  <c r="BZ315" i="16"/>
  <c r="AK317" i="16" s="1"/>
  <c r="EW300" i="16"/>
  <c r="EW341" i="16"/>
  <c r="FR356" i="16"/>
  <c r="FR89" i="16"/>
  <c r="BZ35" i="16"/>
  <c r="AK37" i="16" s="1"/>
  <c r="L37" i="16" s="1"/>
  <c r="HB31" i="16" s="1"/>
  <c r="BL19" i="11"/>
  <c r="BM19" i="11" s="1"/>
  <c r="I19" i="11" s="1"/>
  <c r="BC19" i="11" s="1"/>
  <c r="BD19" i="11" s="1"/>
  <c r="FR202" i="16"/>
  <c r="BZ203" i="16"/>
  <c r="BP201" i="16" s="1"/>
  <c r="AS203" i="16"/>
  <c r="Y204" i="16"/>
  <c r="FR341" i="16"/>
  <c r="AE217" i="16"/>
  <c r="J218" i="16"/>
  <c r="CA133" i="16"/>
  <c r="AK136" i="16" s="1"/>
  <c r="L136" i="16" s="1"/>
  <c r="HB130" i="16" s="1"/>
  <c r="BF75" i="9"/>
  <c r="BG75" i="9" s="1"/>
  <c r="ES19" i="16"/>
  <c r="EX19" i="16" s="1"/>
  <c r="AF21" i="16"/>
  <c r="FQ19" i="16"/>
  <c r="FR19" i="16" s="1"/>
  <c r="CA91" i="16"/>
  <c r="AK94" i="16" s="1"/>
  <c r="L94" i="16" s="1"/>
  <c r="HB88" i="16" s="1"/>
  <c r="FR33" i="16"/>
  <c r="BZ133" i="16"/>
  <c r="AK135" i="16" s="1"/>
  <c r="L135" i="16" s="1"/>
  <c r="HB129" i="16" s="1"/>
  <c r="CA231" i="16"/>
  <c r="AK234" i="16" s="1"/>
  <c r="L234" i="16" s="1"/>
  <c r="HB228" i="16" s="1"/>
  <c r="CA63" i="16"/>
  <c r="AK66" i="16" s="1"/>
  <c r="L66" i="16" s="1"/>
  <c r="HB60" i="16" s="1"/>
  <c r="FX19" i="16"/>
  <c r="AV21" i="16"/>
  <c r="AV22" i="16" s="1"/>
  <c r="CB25" i="16" s="1"/>
  <c r="CI91" i="16"/>
  <c r="AY93" i="16" s="1"/>
  <c r="P93" i="16" s="1"/>
  <c r="HB89" i="16" s="1"/>
  <c r="EW132" i="16"/>
  <c r="EW131" i="16"/>
  <c r="FZ384" i="16"/>
  <c r="EW174" i="16"/>
  <c r="FN19" i="16"/>
  <c r="FS19" i="16" s="1"/>
  <c r="FU19" i="16"/>
  <c r="BO22" i="16"/>
  <c r="FY19" i="16"/>
  <c r="CJ77" i="16"/>
  <c r="AY80" i="16" s="1"/>
  <c r="P80" i="16" s="1"/>
  <c r="HB76" i="16" s="1"/>
  <c r="EW117" i="16"/>
  <c r="FZ159" i="16"/>
  <c r="CI301" i="16"/>
  <c r="AY303" i="16" s="1"/>
  <c r="CI189" i="16"/>
  <c r="FR145" i="16"/>
  <c r="EW355" i="16"/>
  <c r="AM189" i="16"/>
  <c r="AM224" i="16"/>
  <c r="AF234" i="16" s="1"/>
  <c r="C234" i="16" s="1"/>
  <c r="AS217" i="16"/>
  <c r="Y218" i="16"/>
  <c r="CA189" i="16"/>
  <c r="AK192" i="16" s="1"/>
  <c r="L192" i="16" s="1"/>
  <c r="HB186" i="16" s="1"/>
  <c r="FR159" i="16"/>
  <c r="CJ301" i="16"/>
  <c r="AY304" i="16" s="1"/>
  <c r="AE203" i="16"/>
  <c r="J204" i="16"/>
  <c r="FR201" i="16"/>
  <c r="BA182" i="16"/>
  <c r="EW453" i="16"/>
  <c r="EW383" i="16"/>
  <c r="CJ371" i="16"/>
  <c r="EW370" i="16"/>
  <c r="CI371" i="16"/>
  <c r="EW384" i="16"/>
  <c r="CJ385" i="16"/>
  <c r="CI385" i="16"/>
  <c r="FR397" i="16"/>
  <c r="CI413" i="16"/>
  <c r="EW412" i="16"/>
  <c r="BH75" i="9"/>
  <c r="BI75" i="9" s="1"/>
  <c r="BJ75" i="9" s="1"/>
  <c r="BH81" i="11"/>
  <c r="BI81" i="11" s="1"/>
  <c r="BJ81" i="11" s="1"/>
  <c r="FR47" i="16"/>
  <c r="AS357" i="16"/>
  <c r="Y358" i="16"/>
  <c r="BZ217" i="16"/>
  <c r="AK219" i="16" s="1"/>
  <c r="L219" i="16" s="1"/>
  <c r="HB213" i="16" s="1"/>
  <c r="CI231" i="16"/>
  <c r="CJ245" i="16"/>
  <c r="BA140" i="16"/>
  <c r="AM140" i="16"/>
  <c r="AF150" i="16" s="1"/>
  <c r="C150" i="16" s="1"/>
  <c r="FR104" i="16"/>
  <c r="CI35" i="16"/>
  <c r="FU20" i="16"/>
  <c r="CA105" i="16"/>
  <c r="AK108" i="16" s="1"/>
  <c r="L108" i="16" s="1"/>
  <c r="HB102" i="16" s="1"/>
  <c r="EW216" i="16"/>
  <c r="EW369" i="16"/>
  <c r="FR187" i="16"/>
  <c r="BZ231" i="16"/>
  <c r="BP229" i="16" s="1"/>
  <c r="CI329" i="16"/>
  <c r="AY331" i="16" s="1"/>
  <c r="EW215" i="16"/>
  <c r="CJ231" i="16"/>
  <c r="EW286" i="16"/>
  <c r="FR369" i="16"/>
  <c r="FR384" i="16"/>
  <c r="CA20" i="16"/>
  <c r="CA21" i="16" s="1"/>
  <c r="AK24" i="16" s="1"/>
  <c r="L24" i="16" s="1"/>
  <c r="HB18" i="16" s="1"/>
  <c r="BZ91" i="16"/>
  <c r="AK93" i="16" s="1"/>
  <c r="L93" i="16" s="1"/>
  <c r="HB87" i="16" s="1"/>
  <c r="FR117" i="16"/>
  <c r="EW243" i="16"/>
  <c r="AE357" i="16"/>
  <c r="J358" i="16"/>
  <c r="CA161" i="16"/>
  <c r="AK164" i="16" s="1"/>
  <c r="L164" i="16" s="1"/>
  <c r="HB158" i="16" s="1"/>
  <c r="CA399" i="16"/>
  <c r="AK402" i="16" s="1"/>
  <c r="L402" i="16" s="1"/>
  <c r="HB396" i="16" s="1"/>
  <c r="FR131" i="16"/>
  <c r="EW271" i="16"/>
  <c r="FR173" i="16"/>
  <c r="FZ230" i="16"/>
  <c r="FR90" i="16"/>
  <c r="FR299" i="16"/>
  <c r="EW411" i="16"/>
  <c r="FR243" i="16"/>
  <c r="FR257" i="16"/>
  <c r="FR300" i="16"/>
  <c r="BZ301" i="16"/>
  <c r="AK303" i="16" s="1"/>
  <c r="EW244" i="16"/>
  <c r="BZ399" i="16"/>
  <c r="AK401" i="16" s="1"/>
  <c r="L401" i="16" s="1"/>
  <c r="HB395" i="16" s="1"/>
  <c r="EW272" i="16"/>
  <c r="EW398" i="16"/>
  <c r="EW426" i="16"/>
  <c r="FR426" i="16"/>
  <c r="AE427" i="16"/>
  <c r="J428" i="16"/>
  <c r="AS427" i="16"/>
  <c r="Y428" i="16"/>
  <c r="FW286" i="16"/>
  <c r="FZ286" i="16"/>
  <c r="FZ229" i="16"/>
  <c r="FW229" i="16"/>
  <c r="FO20" i="16"/>
  <c r="FP20" i="16" s="1"/>
  <c r="FC19" i="16"/>
  <c r="CI119" i="16"/>
  <c r="AY121" i="16" s="1"/>
  <c r="P121" i="16" s="1"/>
  <c r="HB117" i="16" s="1"/>
  <c r="BZ105" i="16"/>
  <c r="BP103" i="16" s="1"/>
  <c r="EW47" i="16"/>
  <c r="CA35" i="16"/>
  <c r="AK38" i="16" s="1"/>
  <c r="L38" i="16" s="1"/>
  <c r="HB32" i="16" s="1"/>
  <c r="FR62" i="16"/>
  <c r="FS33" i="16"/>
  <c r="EW118" i="16"/>
  <c r="FB412" i="16"/>
  <c r="FR258" i="16"/>
  <c r="FR215" i="16"/>
  <c r="FW384" i="16"/>
  <c r="EW454" i="16"/>
  <c r="EW257" i="16"/>
  <c r="FE313" i="16"/>
  <c r="FB313" i="16"/>
  <c r="FB159" i="16"/>
  <c r="FE159" i="16"/>
  <c r="FR160" i="16"/>
  <c r="EX299" i="16"/>
  <c r="FB299" i="16"/>
  <c r="FE299" i="16"/>
  <c r="FS215" i="16"/>
  <c r="FZ215" i="16"/>
  <c r="FW215" i="16"/>
  <c r="FW453" i="16"/>
  <c r="FZ453" i="16"/>
  <c r="EW314" i="16"/>
  <c r="EW425" i="16"/>
  <c r="FR285" i="16"/>
  <c r="FZ398" i="16"/>
  <c r="FW398" i="16"/>
  <c r="BZ469" i="16"/>
  <c r="FW454" i="16"/>
  <c r="FZ454" i="16"/>
  <c r="EX146" i="16"/>
  <c r="FE146" i="16"/>
  <c r="FB146" i="16"/>
  <c r="FR229" i="16"/>
  <c r="FB426" i="16"/>
  <c r="FE426" i="16"/>
  <c r="FB286" i="16"/>
  <c r="FE286" i="16"/>
  <c r="FW369" i="16"/>
  <c r="FZ369" i="16"/>
  <c r="CJ189" i="16"/>
  <c r="EW145" i="16"/>
  <c r="FW132" i="16"/>
  <c r="FZ132" i="16"/>
  <c r="BZ161" i="16"/>
  <c r="FR146" i="16"/>
  <c r="FW187" i="16"/>
  <c r="FZ187" i="16"/>
  <c r="EW187" i="16"/>
  <c r="FW439" i="16"/>
  <c r="FZ439" i="16"/>
  <c r="CA259" i="16"/>
  <c r="AK262" i="16" s="1"/>
  <c r="L262" i="16" s="1"/>
  <c r="HB256" i="16" s="1"/>
  <c r="BZ371" i="16"/>
  <c r="FS467" i="16"/>
  <c r="FZ467" i="16"/>
  <c r="FW467" i="16"/>
  <c r="EW356" i="16"/>
  <c r="FD19" i="16"/>
  <c r="BZ49" i="16"/>
  <c r="AK51" i="16" s="1"/>
  <c r="L51" i="16" s="1"/>
  <c r="HB45" i="16" s="1"/>
  <c r="FE355" i="16"/>
  <c r="FB355" i="16"/>
  <c r="FE202" i="16"/>
  <c r="FB202" i="16"/>
  <c r="FE453" i="16"/>
  <c r="FB453" i="16"/>
  <c r="FR327" i="16"/>
  <c r="FB243" i="16"/>
  <c r="FE243" i="16"/>
  <c r="CA287" i="16"/>
  <c r="AK290" i="16" s="1"/>
  <c r="L290" i="16" s="1"/>
  <c r="HB284" i="16" s="1"/>
  <c r="FZ257" i="16"/>
  <c r="FW257" i="16"/>
  <c r="FS257" i="16"/>
  <c r="FB342" i="16"/>
  <c r="FE342" i="16"/>
  <c r="EW230" i="16"/>
  <c r="CI273" i="16"/>
  <c r="FW243" i="16"/>
  <c r="FZ243" i="16"/>
  <c r="CA469" i="16"/>
  <c r="AK472" i="16" s="1"/>
  <c r="L472" i="16" s="1"/>
  <c r="HB466" i="16" s="1"/>
  <c r="FB300" i="16"/>
  <c r="FE300" i="16"/>
  <c r="FR453" i="16"/>
  <c r="CJ259" i="16"/>
  <c r="FE131" i="16"/>
  <c r="FB131" i="16"/>
  <c r="FW201" i="16"/>
  <c r="FZ201" i="16"/>
  <c r="FZ370" i="16"/>
  <c r="AE161" i="16"/>
  <c r="J162" i="16"/>
  <c r="FZ146" i="16"/>
  <c r="EX355" i="16"/>
  <c r="EW440" i="16"/>
  <c r="FW342" i="16"/>
  <c r="FZ342" i="16"/>
  <c r="BZ259" i="16"/>
  <c r="FE285" i="16"/>
  <c r="FB285" i="16"/>
  <c r="FS369" i="16"/>
  <c r="CA371" i="16"/>
  <c r="AK374" i="16" s="1"/>
  <c r="L374" i="16" s="1"/>
  <c r="CA203" i="16"/>
  <c r="AK206" i="16" s="1"/>
  <c r="L206" i="16" s="1"/>
  <c r="HB200" i="16" s="1"/>
  <c r="EW439" i="16"/>
  <c r="BZ357" i="16"/>
  <c r="FR411" i="16"/>
  <c r="FB173" i="16"/>
  <c r="FE173" i="16"/>
  <c r="EX468" i="16"/>
  <c r="FE468" i="16"/>
  <c r="FB468" i="16"/>
  <c r="FW244" i="16"/>
  <c r="FZ244" i="16"/>
  <c r="FS426" i="16"/>
  <c r="FW426" i="16"/>
  <c r="FZ426" i="16"/>
  <c r="CJ49" i="16"/>
  <c r="CA49" i="16"/>
  <c r="AK52" i="16" s="1"/>
  <c r="L52" i="16" s="1"/>
  <c r="HB46" i="16" s="1"/>
  <c r="FW202" i="16"/>
  <c r="FZ202" i="16"/>
  <c r="AS175" i="16"/>
  <c r="Y176" i="16"/>
  <c r="FS299" i="16"/>
  <c r="FZ299" i="16"/>
  <c r="FW299" i="16"/>
  <c r="FE384" i="16"/>
  <c r="FB384" i="16"/>
  <c r="CJ455" i="16"/>
  <c r="AY458" i="16" s="1"/>
  <c r="EX384" i="16"/>
  <c r="EX173" i="16"/>
  <c r="AE147" i="16"/>
  <c r="J148" i="16"/>
  <c r="BZ427" i="16"/>
  <c r="FR355" i="16"/>
  <c r="CJ273" i="16"/>
  <c r="FW341" i="16"/>
  <c r="FZ341" i="16"/>
  <c r="FS425" i="16"/>
  <c r="FZ425" i="16"/>
  <c r="FW425" i="16"/>
  <c r="BZ329" i="16"/>
  <c r="EW188" i="16"/>
  <c r="CI259" i="16"/>
  <c r="FB244" i="16"/>
  <c r="FE244" i="16"/>
  <c r="FZ131" i="16"/>
  <c r="FW131" i="16"/>
  <c r="FS145" i="16"/>
  <c r="FZ145" i="16"/>
  <c r="FW145" i="16"/>
  <c r="FB454" i="16"/>
  <c r="FE454" i="16"/>
  <c r="CA357" i="16"/>
  <c r="AK360" i="16" s="1"/>
  <c r="L360" i="16" s="1"/>
  <c r="HB354" i="16" s="1"/>
  <c r="BZ189" i="16"/>
  <c r="AK387" i="16"/>
  <c r="L387" i="16" s="1"/>
  <c r="BP383" i="16"/>
  <c r="CI399" i="16"/>
  <c r="FR439" i="16"/>
  <c r="FS384" i="16"/>
  <c r="FR286" i="16"/>
  <c r="FS229" i="16"/>
  <c r="CI49" i="16"/>
  <c r="EW61" i="16"/>
  <c r="EW299" i="16"/>
  <c r="FW159" i="16"/>
  <c r="CI455" i="16"/>
  <c r="AY457" i="16" s="1"/>
  <c r="FW314" i="16"/>
  <c r="FZ314" i="16"/>
  <c r="AE175" i="16"/>
  <c r="J176" i="16"/>
  <c r="CJ287" i="16"/>
  <c r="CA427" i="16"/>
  <c r="AK430" i="16" s="1"/>
  <c r="L430" i="16" s="1"/>
  <c r="FW272" i="16"/>
  <c r="FZ272" i="16"/>
  <c r="CA301" i="16"/>
  <c r="AK304" i="16" s="1"/>
  <c r="FB272" i="16"/>
  <c r="FE272" i="16"/>
  <c r="CI315" i="16"/>
  <c r="AY317" i="16" s="1"/>
  <c r="FR132" i="16"/>
  <c r="FB398" i="16"/>
  <c r="FE398" i="16"/>
  <c r="FE412" i="16"/>
  <c r="CA329" i="16"/>
  <c r="AK332" i="16" s="1"/>
  <c r="AS147" i="16"/>
  <c r="Y148" i="16"/>
  <c r="CI133" i="16"/>
  <c r="CJ329" i="16"/>
  <c r="AY332" i="16" s="1"/>
  <c r="FB258" i="16"/>
  <c r="FE258" i="16"/>
  <c r="FR370" i="16"/>
  <c r="FS341" i="16"/>
  <c r="FS398" i="16"/>
  <c r="FE216" i="16"/>
  <c r="FB216" i="16"/>
  <c r="EW202" i="16"/>
  <c r="FB467" i="16"/>
  <c r="FE467" i="16"/>
  <c r="CI147" i="16"/>
  <c r="FS244" i="16"/>
  <c r="CJ399" i="16"/>
  <c r="FE397" i="16"/>
  <c r="FB397" i="16"/>
  <c r="FZ383" i="16"/>
  <c r="FW383" i="16"/>
  <c r="FW173" i="16"/>
  <c r="FZ173" i="16"/>
  <c r="EW146" i="16"/>
  <c r="FW370" i="16"/>
  <c r="FB341" i="16"/>
  <c r="FE341" i="16"/>
  <c r="ES20" i="16"/>
  <c r="EX20" i="16" s="1"/>
  <c r="EZ19" i="16"/>
  <c r="EW62" i="16"/>
  <c r="EW103" i="16"/>
  <c r="CA245" i="16"/>
  <c r="AK248" i="16" s="1"/>
  <c r="L248" i="16" s="1"/>
  <c r="HB242" i="16" s="1"/>
  <c r="FR314" i="16"/>
  <c r="AS133" i="16"/>
  <c r="Y134" i="16"/>
  <c r="EW327" i="16"/>
  <c r="FR468" i="16"/>
  <c r="EW201" i="16"/>
  <c r="FR425" i="16"/>
  <c r="EX425" i="16"/>
  <c r="FB425" i="16"/>
  <c r="FE425" i="16"/>
  <c r="FS271" i="16"/>
  <c r="FW271" i="16"/>
  <c r="FZ271" i="16"/>
  <c r="EW173" i="16"/>
  <c r="CI287" i="16"/>
  <c r="CI343" i="16"/>
  <c r="AY345" i="16" s="1"/>
  <c r="FR454" i="16"/>
  <c r="FR467" i="16"/>
  <c r="FE230" i="16"/>
  <c r="CJ315" i="16"/>
  <c r="AY318" i="16" s="1"/>
  <c r="EW229" i="16"/>
  <c r="FW174" i="16"/>
  <c r="FB370" i="16"/>
  <c r="FE370" i="16"/>
  <c r="CA217" i="16"/>
  <c r="AK220" i="16" s="1"/>
  <c r="L220" i="16" s="1"/>
  <c r="HB214" i="16" s="1"/>
  <c r="EW258" i="16"/>
  <c r="EX132" i="16"/>
  <c r="FB132" i="16"/>
  <c r="FE132" i="16"/>
  <c r="FR342" i="16"/>
  <c r="EX187" i="16"/>
  <c r="FE187" i="16"/>
  <c r="FB187" i="16"/>
  <c r="CJ133" i="16"/>
  <c r="FS453" i="16"/>
  <c r="EW468" i="16"/>
  <c r="BZ441" i="16"/>
  <c r="BZ413" i="16"/>
  <c r="EX426" i="16"/>
  <c r="CA147" i="16"/>
  <c r="AK150" i="16" s="1"/>
  <c r="L150" i="16" s="1"/>
  <c r="HB144" i="16" s="1"/>
  <c r="FR398" i="16"/>
  <c r="FB356" i="16"/>
  <c r="FE356" i="16"/>
  <c r="EW467" i="16"/>
  <c r="EW160" i="16"/>
  <c r="FR216" i="16"/>
  <c r="EX342" i="16"/>
  <c r="EX285" i="16"/>
  <c r="FR313" i="16"/>
  <c r="CJ147" i="16"/>
  <c r="CJ427" i="16"/>
  <c r="EX159" i="16"/>
  <c r="EX160" i="16"/>
  <c r="FE160" i="16"/>
  <c r="FB160" i="16"/>
  <c r="FR244" i="16"/>
  <c r="FS439" i="16"/>
  <c r="CJ469" i="16"/>
  <c r="CI245" i="16"/>
  <c r="EX145" i="16"/>
  <c r="FE145" i="16"/>
  <c r="FB145" i="16"/>
  <c r="EV19" i="16"/>
  <c r="EW33" i="16"/>
  <c r="EW76" i="16"/>
  <c r="FR76" i="16"/>
  <c r="FW328" i="16"/>
  <c r="FZ328" i="16"/>
  <c r="FR271" i="16"/>
  <c r="FB440" i="16"/>
  <c r="FE440" i="16"/>
  <c r="FW216" i="16"/>
  <c r="FZ216" i="16"/>
  <c r="AS161" i="16"/>
  <c r="Y162" i="16"/>
  <c r="EW397" i="16"/>
  <c r="FZ412" i="16"/>
  <c r="FW412" i="16"/>
  <c r="FE439" i="16"/>
  <c r="FB439" i="16"/>
  <c r="CJ343" i="16"/>
  <c r="AY346" i="16" s="1"/>
  <c r="EX257" i="16"/>
  <c r="FE257" i="16"/>
  <c r="FB257" i="16"/>
  <c r="BZ455" i="16"/>
  <c r="FE411" i="16"/>
  <c r="FB411" i="16"/>
  <c r="FZ188" i="16"/>
  <c r="FW188" i="16"/>
  <c r="FR440" i="16"/>
  <c r="FE201" i="16"/>
  <c r="FB201" i="16"/>
  <c r="FS327" i="16"/>
  <c r="FZ327" i="16"/>
  <c r="FW327" i="16"/>
  <c r="EX412" i="16"/>
  <c r="FB229" i="16"/>
  <c r="FE229" i="16"/>
  <c r="FR412" i="16"/>
  <c r="FW397" i="16"/>
  <c r="FZ397" i="16"/>
  <c r="FR188" i="16"/>
  <c r="EW328" i="16"/>
  <c r="CA441" i="16"/>
  <c r="AK444" i="16" s="1"/>
  <c r="CA413" i="16"/>
  <c r="AK416" i="16" s="1"/>
  <c r="L416" i="16" s="1"/>
  <c r="HB410" i="16" s="1"/>
  <c r="FW230" i="16"/>
  <c r="BZ147" i="16"/>
  <c r="FW411" i="16"/>
  <c r="FZ411" i="16"/>
  <c r="EX188" i="16"/>
  <c r="FE188" i="16"/>
  <c r="FB188" i="16"/>
  <c r="FR230" i="16"/>
  <c r="FE174" i="16"/>
  <c r="FB174" i="16"/>
  <c r="FS146" i="16"/>
  <c r="BZ343" i="16"/>
  <c r="EW285" i="16"/>
  <c r="EX272" i="16"/>
  <c r="FW468" i="16"/>
  <c r="FZ468" i="16"/>
  <c r="CI427" i="16"/>
  <c r="FZ174" i="16"/>
  <c r="FS131" i="16"/>
  <c r="FW355" i="16"/>
  <c r="FZ355" i="16"/>
  <c r="FS411" i="16"/>
  <c r="CI469" i="16"/>
  <c r="EX356" i="16"/>
  <c r="EX341" i="16"/>
  <c r="ET19" i="16"/>
  <c r="EU19" i="16" s="1"/>
  <c r="FW258" i="16"/>
  <c r="FZ258" i="16"/>
  <c r="BZ273" i="16"/>
  <c r="EX369" i="16"/>
  <c r="FE369" i="16"/>
  <c r="FB369" i="16"/>
  <c r="EX328" i="16"/>
  <c r="FB328" i="16"/>
  <c r="FE328" i="16"/>
  <c r="FR383" i="16"/>
  <c r="EW313" i="16"/>
  <c r="FS313" i="16"/>
  <c r="FZ313" i="16"/>
  <c r="FW313" i="16"/>
  <c r="CA175" i="16"/>
  <c r="AK178" i="16" s="1"/>
  <c r="L178" i="16" s="1"/>
  <c r="HB172" i="16" s="1"/>
  <c r="FB230" i="16"/>
  <c r="FS202" i="16"/>
  <c r="FW160" i="16"/>
  <c r="FZ160" i="16"/>
  <c r="EX314" i="16"/>
  <c r="FE314" i="16"/>
  <c r="FB314" i="16"/>
  <c r="FW440" i="16"/>
  <c r="FZ440" i="16"/>
  <c r="FW300" i="16"/>
  <c r="FZ300" i="16"/>
  <c r="FW356" i="16"/>
  <c r="FZ356" i="16"/>
  <c r="FB271" i="16"/>
  <c r="FE271" i="16"/>
  <c r="AE133" i="16"/>
  <c r="J134" i="16"/>
  <c r="CA343" i="16"/>
  <c r="AK346" i="16" s="1"/>
  <c r="FZ285" i="16"/>
  <c r="FW285" i="16"/>
  <c r="EW342" i="16"/>
  <c r="EX215" i="16"/>
  <c r="FB215" i="16"/>
  <c r="FE215" i="16"/>
  <c r="FB383" i="16"/>
  <c r="FE383" i="16"/>
  <c r="EX327" i="16"/>
  <c r="FB327" i="16"/>
  <c r="FE327" i="16"/>
  <c r="BZ175" i="16"/>
  <c r="FS286" i="16"/>
  <c r="AS63" i="16"/>
  <c r="Y64" i="16"/>
  <c r="AE49" i="16"/>
  <c r="J50" i="16"/>
  <c r="CJ63" i="16"/>
  <c r="CI77" i="16"/>
  <c r="AY79" i="16" s="1"/>
  <c r="P79" i="16" s="1"/>
  <c r="HB75" i="16" s="1"/>
  <c r="FB47" i="16"/>
  <c r="FE47" i="16"/>
  <c r="FB34" i="16"/>
  <c r="FE34" i="16"/>
  <c r="FB117" i="16"/>
  <c r="FE117" i="16"/>
  <c r="FS76" i="16"/>
  <c r="FZ76" i="16"/>
  <c r="FW76" i="16"/>
  <c r="FW34" i="16"/>
  <c r="FZ34" i="16"/>
  <c r="EX47" i="16"/>
  <c r="FR75" i="16"/>
  <c r="FW48" i="16"/>
  <c r="FZ48" i="16"/>
  <c r="FR61" i="16"/>
  <c r="FS34" i="16"/>
  <c r="AE63" i="16"/>
  <c r="J64" i="16"/>
  <c r="FZ61" i="16"/>
  <c r="FW61" i="16"/>
  <c r="EW75" i="16"/>
  <c r="CJ91" i="16"/>
  <c r="AY94" i="16" s="1"/>
  <c r="P94" i="16" s="1"/>
  <c r="HB90" i="16" s="1"/>
  <c r="CT19" i="16"/>
  <c r="DE19" i="16" s="1"/>
  <c r="FB104" i="16"/>
  <c r="FE104" i="16"/>
  <c r="BZ119" i="16"/>
  <c r="FS47" i="16"/>
  <c r="FB103" i="16"/>
  <c r="FE103" i="16"/>
  <c r="FB90" i="16"/>
  <c r="FE90" i="16"/>
  <c r="EX61" i="16"/>
  <c r="FB61" i="16"/>
  <c r="FE61" i="16"/>
  <c r="FB76" i="16"/>
  <c r="FZ62" i="16"/>
  <c r="FW62" i="16"/>
  <c r="FS75" i="16"/>
  <c r="FZ75" i="16"/>
  <c r="FW75" i="16"/>
  <c r="CI63" i="16"/>
  <c r="FZ103" i="16"/>
  <c r="FW103" i="16"/>
  <c r="EW90" i="16"/>
  <c r="FZ89" i="16"/>
  <c r="FE76" i="16"/>
  <c r="EW48" i="16"/>
  <c r="CA119" i="16"/>
  <c r="AK122" i="16" s="1"/>
  <c r="L122" i="16" s="1"/>
  <c r="HB116" i="16" s="1"/>
  <c r="FZ33" i="16"/>
  <c r="FR103" i="16"/>
  <c r="EW89" i="16"/>
  <c r="FZ118" i="16"/>
  <c r="FW118" i="16"/>
  <c r="FR34" i="16"/>
  <c r="FW89" i="16"/>
  <c r="FZ47" i="16"/>
  <c r="FW104" i="16"/>
  <c r="FZ104" i="16"/>
  <c r="AE35" i="16"/>
  <c r="J36" i="16"/>
  <c r="AS49" i="16"/>
  <c r="Y50" i="16"/>
  <c r="CA77" i="16"/>
  <c r="AK80" i="16" s="1"/>
  <c r="L80" i="16" s="1"/>
  <c r="HB74" i="16" s="1"/>
  <c r="FB118" i="16"/>
  <c r="FE118" i="16"/>
  <c r="BZ77" i="16"/>
  <c r="FE75" i="16"/>
  <c r="FB75" i="16"/>
  <c r="FW90" i="16"/>
  <c r="FZ90" i="16"/>
  <c r="FR48" i="16"/>
  <c r="FB48" i="16"/>
  <c r="FE48" i="16"/>
  <c r="AS35" i="16"/>
  <c r="Y36" i="16"/>
  <c r="EW34" i="16"/>
  <c r="FE62" i="16"/>
  <c r="FB62" i="16"/>
  <c r="FS62" i="16"/>
  <c r="CJ35" i="16"/>
  <c r="EX117" i="16"/>
  <c r="FE33" i="16"/>
  <c r="FB33" i="16"/>
  <c r="FB89" i="16"/>
  <c r="FE89" i="16"/>
  <c r="FS117" i="16"/>
  <c r="FZ117" i="16"/>
  <c r="FW117" i="16"/>
  <c r="BN22" i="16"/>
  <c r="BP20" i="16" s="1"/>
  <c r="CS19" i="16"/>
  <c r="E19" i="16"/>
  <c r="AH21" i="16"/>
  <c r="AH22" i="16" s="1"/>
  <c r="BO25" i="16" s="1"/>
  <c r="AT21" i="16"/>
  <c r="AS21" i="16" s="1"/>
  <c r="CS20" i="16"/>
  <c r="FQ20" i="16"/>
  <c r="FX20" i="16"/>
  <c r="FV20" i="16"/>
  <c r="T20" i="16"/>
  <c r="CT20" i="16"/>
  <c r="DE20" i="16" s="1"/>
  <c r="CI21" i="16"/>
  <c r="AY23" i="16" s="1"/>
  <c r="P23" i="16" s="1"/>
  <c r="HB19" i="16" s="1"/>
  <c r="BA23" i="16"/>
  <c r="Y23" i="16" s="1"/>
  <c r="AY17" i="11"/>
  <c r="BL23" i="9"/>
  <c r="BK23" i="9" s="1"/>
  <c r="BF83" i="11"/>
  <c r="BG83" i="11" s="1"/>
  <c r="BF83" i="9"/>
  <c r="BG83" i="9" s="1"/>
  <c r="AY41" i="11"/>
  <c r="BF79" i="11"/>
  <c r="BG79" i="11" s="1"/>
  <c r="AX23" i="11"/>
  <c r="AY25" i="11"/>
  <c r="AX25" i="11"/>
  <c r="BF81" i="11"/>
  <c r="BG81" i="11" s="1"/>
  <c r="AX85" i="11"/>
  <c r="AX45" i="11"/>
  <c r="AX19" i="11"/>
  <c r="BF85" i="11"/>
  <c r="BG85" i="11" s="1"/>
  <c r="BL85" i="11" s="1"/>
  <c r="BM85" i="11" s="1"/>
  <c r="I85" i="11" s="1"/>
  <c r="Q92" i="13" s="1"/>
  <c r="BC92" i="13" s="1"/>
  <c r="O85" i="11"/>
  <c r="AX83" i="11"/>
  <c r="AY81" i="11"/>
  <c r="AX47" i="11"/>
  <c r="AY47" i="11"/>
  <c r="AX47" i="9"/>
  <c r="AY47" i="9"/>
  <c r="BF77" i="9"/>
  <c r="BG77" i="9" s="1"/>
  <c r="AW89" i="11"/>
  <c r="AX79" i="11"/>
  <c r="AX21" i="11"/>
  <c r="BL43" i="11"/>
  <c r="BM43" i="11" s="1"/>
  <c r="I43" i="11" s="1"/>
  <c r="Q50" i="13" s="1"/>
  <c r="BC50" i="13" s="1"/>
  <c r="BI50" i="13" s="1"/>
  <c r="BL97" i="11"/>
  <c r="I97" i="11" s="1"/>
  <c r="Q104" i="13" s="1"/>
  <c r="BC104" i="13" s="1"/>
  <c r="BK99" i="11"/>
  <c r="BL27" i="9"/>
  <c r="BM27" i="9" s="1"/>
  <c r="AW29" i="11"/>
  <c r="Q106" i="13"/>
  <c r="BC106" i="13" s="1"/>
  <c r="BK103" i="11"/>
  <c r="BM99" i="11"/>
  <c r="BM103" i="11"/>
  <c r="AW49" i="11"/>
  <c r="AX43" i="11"/>
  <c r="BL105" i="11"/>
  <c r="I105" i="11" s="1"/>
  <c r="Q112" i="13" s="1"/>
  <c r="BC112" i="13" s="1"/>
  <c r="BH85" i="9"/>
  <c r="BI85" i="9" s="1"/>
  <c r="BJ85" i="9" s="1"/>
  <c r="BF85" i="9"/>
  <c r="BG85" i="9" s="1"/>
  <c r="BL101" i="11"/>
  <c r="BM101" i="11" s="1"/>
  <c r="O73" i="9"/>
  <c r="BH73" i="9"/>
  <c r="BL107" i="11"/>
  <c r="BL63" i="9"/>
  <c r="BM63" i="9" s="1"/>
  <c r="AX81" i="9"/>
  <c r="BL43" i="9"/>
  <c r="BK43" i="9" s="1"/>
  <c r="AY79" i="9"/>
  <c r="BC103" i="11"/>
  <c r="BD103" i="11" s="1"/>
  <c r="Q110" i="13"/>
  <c r="BC110" i="13" s="1"/>
  <c r="BF81" i="9"/>
  <c r="BG81" i="9" s="1"/>
  <c r="BL81" i="9" s="1"/>
  <c r="BK81" i="9" s="1"/>
  <c r="O81" i="9"/>
  <c r="BF79" i="9"/>
  <c r="BG79" i="9" s="1"/>
  <c r="BL79" i="9" s="1"/>
  <c r="BM79" i="9" s="1"/>
  <c r="I79" i="9" s="1"/>
  <c r="O79" i="9"/>
  <c r="AX43" i="9"/>
  <c r="AX27" i="9"/>
  <c r="AY23" i="9"/>
  <c r="AX63" i="9"/>
  <c r="AX37" i="9"/>
  <c r="AY25" i="9"/>
  <c r="AY19" i="9"/>
  <c r="AY77" i="9"/>
  <c r="AY85" i="9"/>
  <c r="AX61" i="9"/>
  <c r="AY21" i="9"/>
  <c r="AY83" i="9"/>
  <c r="BI61" i="9"/>
  <c r="BJ61" i="9" s="1"/>
  <c r="BL61" i="9" s="1"/>
  <c r="BK61" i="9" s="1"/>
  <c r="BL99" i="9"/>
  <c r="I99" i="9" s="1"/>
  <c r="AY57" i="9"/>
  <c r="AW89" i="9"/>
  <c r="AX87" i="9"/>
  <c r="AX39" i="9"/>
  <c r="BL41" i="9"/>
  <c r="BM41" i="9" s="1"/>
  <c r="I41" i="9" s="1"/>
  <c r="AX45" i="9"/>
  <c r="BL37" i="9"/>
  <c r="I37" i="9" s="1"/>
  <c r="AW69" i="9"/>
  <c r="AY59" i="9"/>
  <c r="AW29" i="9"/>
  <c r="AY17" i="9"/>
  <c r="AW49" i="9"/>
  <c r="BL45" i="9"/>
  <c r="BM45" i="9" s="1"/>
  <c r="BM45" i="11"/>
  <c r="AX41" i="9"/>
  <c r="BI87" i="9"/>
  <c r="BJ87" i="9" s="1"/>
  <c r="BL87" i="9" s="1"/>
  <c r="BI33" i="9"/>
  <c r="BJ33" i="9" s="1"/>
  <c r="BL33" i="9" s="1"/>
  <c r="BK33" i="9" s="1"/>
  <c r="BI35" i="9"/>
  <c r="BJ35" i="9" s="1"/>
  <c r="BL35" i="9" s="1"/>
  <c r="BK35" i="9" s="1"/>
  <c r="BI13" i="9"/>
  <c r="BJ13" i="9" s="1"/>
  <c r="BL13" i="9" s="1"/>
  <c r="BL39" i="9"/>
  <c r="BK39" i="9" s="1"/>
  <c r="BI21" i="9"/>
  <c r="BJ21" i="9" s="1"/>
  <c r="BL21" i="9" s="1"/>
  <c r="I45" i="11"/>
  <c r="BL103" i="9"/>
  <c r="BM103" i="9" s="1"/>
  <c r="BI15" i="9"/>
  <c r="BJ15" i="9" s="1"/>
  <c r="BL15" i="9" s="1"/>
  <c r="BL97" i="9"/>
  <c r="BL55" i="9"/>
  <c r="BM55" i="9" s="1"/>
  <c r="I55" i="9" s="1"/>
  <c r="BL105" i="9"/>
  <c r="BL107" i="9"/>
  <c r="BL101" i="9"/>
  <c r="O128" i="11"/>
  <c r="M128" i="11"/>
  <c r="K128" i="11"/>
  <c r="G129" i="11"/>
  <c r="I128" i="11"/>
  <c r="BL59" i="9"/>
  <c r="BL57" i="9"/>
  <c r="BL17" i="9"/>
  <c r="M127" i="9"/>
  <c r="O127" i="9"/>
  <c r="G128" i="9"/>
  <c r="K127" i="9"/>
  <c r="I127" i="9"/>
  <c r="BL19" i="9"/>
  <c r="BL53" i="9"/>
  <c r="BB94" i="16" l="1"/>
  <c r="GE270" i="16"/>
  <c r="GE382" i="16"/>
  <c r="E108" i="16"/>
  <c r="T94" i="16"/>
  <c r="GE284" i="16"/>
  <c r="E94" i="16"/>
  <c r="BA94" i="16"/>
  <c r="Y94" i="16" s="1"/>
  <c r="I164" i="19"/>
  <c r="M103" i="19"/>
  <c r="F115" i="19"/>
  <c r="H115" i="19"/>
  <c r="A43" i="19"/>
  <c r="M67" i="19"/>
  <c r="A19" i="19"/>
  <c r="M18" i="19"/>
  <c r="F67" i="19"/>
  <c r="B67" i="19" s="1"/>
  <c r="C67" i="19" s="1"/>
  <c r="H55" i="19"/>
  <c r="A67" i="19"/>
  <c r="M31" i="19"/>
  <c r="F42" i="19"/>
  <c r="I67" i="19"/>
  <c r="J67" i="19" s="1"/>
  <c r="I56" i="19"/>
  <c r="M55" i="19"/>
  <c r="I55" i="19" s="1"/>
  <c r="J55" i="19" s="1"/>
  <c r="B68" i="19"/>
  <c r="B55" i="19"/>
  <c r="C55" i="19" s="1"/>
  <c r="F55" i="19"/>
  <c r="M19" i="19"/>
  <c r="BK57" i="11"/>
  <c r="I57" i="11"/>
  <c r="Q64" i="13" s="1"/>
  <c r="BC64" i="13" s="1"/>
  <c r="BM55" i="11"/>
  <c r="R66" i="17"/>
  <c r="D66" i="17"/>
  <c r="D65" i="17"/>
  <c r="D67" i="17"/>
  <c r="R65" i="17"/>
  <c r="D73" i="17"/>
  <c r="D82" i="17"/>
  <c r="R68" i="17"/>
  <c r="D69" i="17"/>
  <c r="R86" i="17"/>
  <c r="D83" i="17"/>
  <c r="D68" i="17"/>
  <c r="D80" i="17"/>
  <c r="R72" i="17"/>
  <c r="R73" i="17"/>
  <c r="R82" i="17"/>
  <c r="R79" i="17"/>
  <c r="D72" i="17"/>
  <c r="D87" i="17"/>
  <c r="D79" i="17"/>
  <c r="R83" i="17"/>
  <c r="R71" i="17"/>
  <c r="R87" i="17"/>
  <c r="D71" i="17"/>
  <c r="R78" i="17"/>
  <c r="R85" i="17"/>
  <c r="D70" i="17"/>
  <c r="R74" i="17"/>
  <c r="R84" i="17"/>
  <c r="D86" i="17"/>
  <c r="R77" i="17"/>
  <c r="D74" i="17"/>
  <c r="R75" i="17"/>
  <c r="D84" i="17"/>
  <c r="R69" i="17"/>
  <c r="R70" i="17"/>
  <c r="D75" i="17"/>
  <c r="R76" i="17"/>
  <c r="D77" i="17"/>
  <c r="D85" i="17"/>
  <c r="R80" i="17"/>
  <c r="R67" i="17"/>
  <c r="D76" i="17"/>
  <c r="R81" i="17"/>
  <c r="D78" i="17"/>
  <c r="D81" i="17"/>
  <c r="I55" i="11"/>
  <c r="BC55" i="11" s="1"/>
  <c r="BD55" i="11" s="1"/>
  <c r="BM61" i="11"/>
  <c r="I61" i="11" s="1"/>
  <c r="BC61" i="11" s="1"/>
  <c r="BD61" i="11" s="1"/>
  <c r="B61" i="11" s="1"/>
  <c r="F43" i="19"/>
  <c r="M43" i="19"/>
  <c r="F19" i="19"/>
  <c r="B19" i="19" s="1"/>
  <c r="C19" i="19" s="1"/>
  <c r="I104" i="19"/>
  <c r="B104" i="19"/>
  <c r="H103" i="19"/>
  <c r="F6" i="19"/>
  <c r="F102" i="19"/>
  <c r="A103" i="19"/>
  <c r="F103" i="19"/>
  <c r="B103" i="19" s="1"/>
  <c r="C103" i="19" s="1"/>
  <c r="M102" i="19"/>
  <c r="I8" i="19"/>
  <c r="BK53" i="11"/>
  <c r="M6" i="19"/>
  <c r="B8" i="19"/>
  <c r="H7" i="19"/>
  <c r="M7" i="19"/>
  <c r="I7" i="19" s="1"/>
  <c r="J7" i="19" s="1"/>
  <c r="F7" i="19"/>
  <c r="B7" i="19" s="1"/>
  <c r="C7" i="19" s="1"/>
  <c r="BK15" i="11"/>
  <c r="F79" i="19"/>
  <c r="I140" i="19"/>
  <c r="B140" i="19"/>
  <c r="M138" i="19"/>
  <c r="A139" i="19"/>
  <c r="FS20" i="16"/>
  <c r="M115" i="19"/>
  <c r="M162" i="19"/>
  <c r="M186" i="19"/>
  <c r="F162" i="19"/>
  <c r="A187" i="19"/>
  <c r="M163" i="19"/>
  <c r="I163" i="19" s="1"/>
  <c r="J163" i="19" s="1"/>
  <c r="BL83" i="11"/>
  <c r="BM83" i="11" s="1"/>
  <c r="I83" i="11" s="1"/>
  <c r="Q90" i="13" s="1"/>
  <c r="BC90" i="13" s="1"/>
  <c r="BI90" i="13" s="1"/>
  <c r="BJ90" i="13" s="1"/>
  <c r="H163" i="19"/>
  <c r="B187" i="19"/>
  <c r="C187" i="19" s="1"/>
  <c r="M187" i="19"/>
  <c r="I187" i="19" s="1"/>
  <c r="J187" i="19" s="1"/>
  <c r="A163" i="19"/>
  <c r="B188" i="19"/>
  <c r="BM59" i="11"/>
  <c r="I59" i="11" s="1"/>
  <c r="Q66" i="13" s="1"/>
  <c r="BC66" i="13" s="1"/>
  <c r="B164" i="19"/>
  <c r="F186" i="19"/>
  <c r="F54" i="19"/>
  <c r="B56" i="19"/>
  <c r="B116" i="19"/>
  <c r="M139" i="19"/>
  <c r="F163" i="19"/>
  <c r="B163" i="19" s="1"/>
  <c r="C163" i="19" s="1"/>
  <c r="I188" i="19"/>
  <c r="H187" i="19"/>
  <c r="I116" i="19"/>
  <c r="F138" i="19"/>
  <c r="M114" i="19"/>
  <c r="F139" i="19"/>
  <c r="B139" i="19" s="1"/>
  <c r="C139" i="19" s="1"/>
  <c r="F114" i="19"/>
  <c r="I68" i="19"/>
  <c r="BM23" i="11"/>
  <c r="I23" i="11" s="1"/>
  <c r="Q30" i="13" s="1"/>
  <c r="BC30" i="13" s="1"/>
  <c r="A79" i="19"/>
  <c r="CJ21" i="16"/>
  <c r="AY24" i="16" s="1"/>
  <c r="P24" i="16" s="1"/>
  <c r="HB20" i="16" s="1"/>
  <c r="A31" i="19"/>
  <c r="M54" i="19"/>
  <c r="E42" i="17"/>
  <c r="B32" i="19"/>
  <c r="F127" i="19"/>
  <c r="I128" i="19"/>
  <c r="B20" i="19"/>
  <c r="I20" i="19"/>
  <c r="M30" i="19"/>
  <c r="M127" i="19"/>
  <c r="F31" i="19"/>
  <c r="B31" i="19" s="1"/>
  <c r="C31" i="19" s="1"/>
  <c r="F126" i="19"/>
  <c r="B128" i="19"/>
  <c r="I32" i="19"/>
  <c r="A127" i="19"/>
  <c r="F30" i="19"/>
  <c r="M126" i="19"/>
  <c r="H31" i="19"/>
  <c r="M78" i="19"/>
  <c r="I80" i="19"/>
  <c r="I92" i="19"/>
  <c r="F78" i="19"/>
  <c r="B79" i="19"/>
  <c r="C79" i="19" s="1"/>
  <c r="M79" i="19"/>
  <c r="I79" i="19" s="1"/>
  <c r="J79" i="19" s="1"/>
  <c r="B80" i="19"/>
  <c r="M150" i="19"/>
  <c r="I152" i="19"/>
  <c r="F150" i="19"/>
  <c r="A151" i="19"/>
  <c r="F91" i="19"/>
  <c r="B152" i="19"/>
  <c r="F18" i="19"/>
  <c r="H151" i="19"/>
  <c r="M151" i="19"/>
  <c r="I151" i="19" s="1"/>
  <c r="J151" i="19" s="1"/>
  <c r="FZ20" i="16"/>
  <c r="H91" i="19"/>
  <c r="M91" i="19"/>
  <c r="I91" i="19" s="1"/>
  <c r="J91" i="19" s="1"/>
  <c r="M66" i="19"/>
  <c r="B92" i="19"/>
  <c r="F66" i="19"/>
  <c r="F90" i="19"/>
  <c r="B91" i="19"/>
  <c r="C91" i="19" s="1"/>
  <c r="A91" i="19"/>
  <c r="M90" i="19"/>
  <c r="M42" i="19"/>
  <c r="B44" i="19"/>
  <c r="I44" i="19"/>
  <c r="F174" i="19"/>
  <c r="F175" i="19"/>
  <c r="B175" i="19" s="1"/>
  <c r="C175" i="19" s="1"/>
  <c r="M174" i="19"/>
  <c r="A175" i="19"/>
  <c r="M175" i="19"/>
  <c r="I175" i="19" s="1"/>
  <c r="J175" i="19" s="1"/>
  <c r="B176" i="19"/>
  <c r="I176" i="19"/>
  <c r="BM37" i="11"/>
  <c r="I37" i="11" s="1"/>
  <c r="BC37" i="11" s="1"/>
  <c r="BD37" i="11" s="1"/>
  <c r="B37" i="11" s="1"/>
  <c r="I47" i="9"/>
  <c r="I54" i="13" s="1"/>
  <c r="BB54" i="13" s="1"/>
  <c r="F25" i="17"/>
  <c r="T25" i="17"/>
  <c r="T42" i="17"/>
  <c r="T34" i="17"/>
  <c r="E41" i="17"/>
  <c r="I34" i="17"/>
  <c r="I33" i="17"/>
  <c r="S25" i="17"/>
  <c r="W33" i="17"/>
  <c r="F41" i="17"/>
  <c r="H25" i="17"/>
  <c r="Y42" i="17"/>
  <c r="Y26" i="17"/>
  <c r="H26" i="17"/>
  <c r="V25" i="17"/>
  <c r="E33" i="17"/>
  <c r="W41" i="17"/>
  <c r="S26" i="17"/>
  <c r="V34" i="17"/>
  <c r="T26" i="17"/>
  <c r="F33" i="17"/>
  <c r="I41" i="17"/>
  <c r="F26" i="17"/>
  <c r="E25" i="17"/>
  <c r="S34" i="17"/>
  <c r="S42" i="17"/>
  <c r="E26" i="17"/>
  <c r="F34" i="17"/>
  <c r="T41" i="17"/>
  <c r="G42" i="17"/>
  <c r="H34" i="17"/>
  <c r="V42" i="17"/>
  <c r="T33" i="17"/>
  <c r="I26" i="17"/>
  <c r="W26" i="17"/>
  <c r="W34" i="17"/>
  <c r="V33" i="17"/>
  <c r="V41" i="17"/>
  <c r="S41" i="17"/>
  <c r="H42" i="17"/>
  <c r="F42" i="17"/>
  <c r="Y41" i="17"/>
  <c r="H41" i="17"/>
  <c r="H33" i="17"/>
  <c r="W42" i="17"/>
  <c r="W25" i="17"/>
  <c r="E34" i="17"/>
  <c r="I25" i="17"/>
  <c r="G41" i="17"/>
  <c r="V26" i="17"/>
  <c r="S33" i="17"/>
  <c r="I42" i="17"/>
  <c r="P290" i="16"/>
  <c r="HB286" i="16" s="1"/>
  <c r="AY290" i="16"/>
  <c r="AY192" i="16"/>
  <c r="P192" i="16" s="1"/>
  <c r="HB188" i="16" s="1"/>
  <c r="AY416" i="16"/>
  <c r="P416" i="16" s="1"/>
  <c r="HB412" i="16" s="1"/>
  <c r="P429" i="16"/>
  <c r="AY429" i="16"/>
  <c r="AY135" i="16"/>
  <c r="P135" i="16" s="1"/>
  <c r="HB131" i="16" s="1"/>
  <c r="U3" i="17" s="1"/>
  <c r="AY206" i="16"/>
  <c r="P206" i="16" s="1"/>
  <c r="AY220" i="16"/>
  <c r="P220" i="16" s="1"/>
  <c r="HB216" i="16" s="1"/>
  <c r="AY65" i="16"/>
  <c r="P65" i="16" s="1"/>
  <c r="HB61" i="16" s="1"/>
  <c r="U22" i="17" s="1"/>
  <c r="AY38" i="16"/>
  <c r="P38" i="16" s="1"/>
  <c r="HB34" i="16" s="1"/>
  <c r="AY471" i="16"/>
  <c r="P471" i="16" s="1"/>
  <c r="HB467" i="16" s="1"/>
  <c r="P402" i="16"/>
  <c r="HB398" i="16" s="1"/>
  <c r="AY402" i="16"/>
  <c r="AY205" i="16"/>
  <c r="P205" i="16" s="1"/>
  <c r="HB201" i="16" s="1"/>
  <c r="AY247" i="16"/>
  <c r="P247" i="16" s="1"/>
  <c r="HB243" i="16" s="1"/>
  <c r="U31" i="17" s="1"/>
  <c r="AY136" i="16"/>
  <c r="P136" i="16" s="1"/>
  <c r="HB132" i="16" s="1"/>
  <c r="P388" i="16"/>
  <c r="HB384" i="16" s="1"/>
  <c r="AY388" i="16"/>
  <c r="AY191" i="16"/>
  <c r="P191" i="16" s="1"/>
  <c r="HB187" i="16" s="1"/>
  <c r="AY289" i="16"/>
  <c r="P289" i="16" s="1"/>
  <c r="HB285" i="16" s="1"/>
  <c r="U34" i="17" s="1"/>
  <c r="AY261" i="16"/>
  <c r="P261" i="16" s="1"/>
  <c r="HB257" i="16" s="1"/>
  <c r="P276" i="16"/>
  <c r="HB272" i="16" s="1"/>
  <c r="AY276" i="16"/>
  <c r="P373" i="16"/>
  <c r="AY373" i="16"/>
  <c r="O77" i="11"/>
  <c r="AY37" i="16"/>
  <c r="P37" i="16" s="1"/>
  <c r="HB33" i="16" s="1"/>
  <c r="U20" i="17" s="1"/>
  <c r="AY150" i="16"/>
  <c r="P150" i="16" s="1"/>
  <c r="HB146" i="16" s="1"/>
  <c r="AY387" i="16"/>
  <c r="P387" i="16" s="1"/>
  <c r="HB383" i="16" s="1"/>
  <c r="U41" i="17" s="1"/>
  <c r="C25" i="17"/>
  <c r="AY66" i="16"/>
  <c r="P66" i="16" s="1"/>
  <c r="HB62" i="16" s="1"/>
  <c r="AY149" i="16"/>
  <c r="P149" i="16" s="1"/>
  <c r="HB145" i="16" s="1"/>
  <c r="U11" i="17" s="1"/>
  <c r="AY275" i="16"/>
  <c r="P275" i="16" s="1"/>
  <c r="HB271" i="16" s="1"/>
  <c r="U33" i="17" s="1"/>
  <c r="AY219" i="16"/>
  <c r="P219" i="16" s="1"/>
  <c r="HB215" i="16" s="1"/>
  <c r="U29" i="17" s="1"/>
  <c r="AY177" i="16"/>
  <c r="P177" i="16" s="1"/>
  <c r="HB173" i="16" s="1"/>
  <c r="U26" i="17" s="1"/>
  <c r="AY472" i="16"/>
  <c r="P472" i="16" s="1"/>
  <c r="HB468" i="16" s="1"/>
  <c r="P401" i="16"/>
  <c r="HB397" i="16" s="1"/>
  <c r="U42" i="17" s="1"/>
  <c r="AY401" i="16"/>
  <c r="AY52" i="16"/>
  <c r="P52" i="16" s="1"/>
  <c r="HB48" i="16" s="1"/>
  <c r="AY262" i="16"/>
  <c r="P262" i="16" s="1"/>
  <c r="HB258" i="16" s="1"/>
  <c r="P248" i="16"/>
  <c r="HB244" i="16" s="1"/>
  <c r="AY248" i="16"/>
  <c r="P374" i="16"/>
  <c r="AY374" i="16"/>
  <c r="AY163" i="16"/>
  <c r="P163" i="16" s="1"/>
  <c r="HB159" i="16" s="1"/>
  <c r="U25" i="17" s="1"/>
  <c r="C41" i="17"/>
  <c r="C42" i="17"/>
  <c r="P430" i="16"/>
  <c r="AY430" i="16"/>
  <c r="AY51" i="16"/>
  <c r="P51" i="16" s="1"/>
  <c r="HB47" i="16" s="1"/>
  <c r="U21" i="17" s="1"/>
  <c r="AY234" i="16"/>
  <c r="P234" i="16" s="1"/>
  <c r="HB230" i="16" s="1"/>
  <c r="AY233" i="16"/>
  <c r="P233" i="16" s="1"/>
  <c r="HB229" i="16" s="1"/>
  <c r="U17" i="17" s="1"/>
  <c r="AY415" i="16"/>
  <c r="P415" i="16" s="1"/>
  <c r="HB411" i="16" s="1"/>
  <c r="U39" i="17" s="1"/>
  <c r="AY178" i="16"/>
  <c r="P178" i="16" s="1"/>
  <c r="HB174" i="16" s="1"/>
  <c r="GE397" i="16"/>
  <c r="Q42" i="17" s="1"/>
  <c r="T401" i="16"/>
  <c r="GD397" i="16" s="1"/>
  <c r="K42" i="17" s="1"/>
  <c r="T107" i="16"/>
  <c r="GD103" i="16" s="1"/>
  <c r="GE103" i="16"/>
  <c r="GE48" i="16"/>
  <c r="T52" i="16"/>
  <c r="GE117" i="16"/>
  <c r="T121" i="16"/>
  <c r="GD117" i="16" s="1"/>
  <c r="T247" i="16"/>
  <c r="GD243" i="16" s="1"/>
  <c r="GE243" i="16"/>
  <c r="T79" i="16"/>
  <c r="GD75" i="16" s="1"/>
  <c r="GE75" i="16"/>
  <c r="T178" i="16"/>
  <c r="GE174" i="16"/>
  <c r="GE425" i="16"/>
  <c r="T429" i="16"/>
  <c r="GD425" i="16" s="1"/>
  <c r="T346" i="16"/>
  <c r="GE342" i="16"/>
  <c r="GE383" i="16"/>
  <c r="Q41" i="17" s="1"/>
  <c r="T387" i="16"/>
  <c r="GD383" i="16" s="1"/>
  <c r="K41" i="17" s="1"/>
  <c r="T51" i="16"/>
  <c r="GD47" i="16" s="1"/>
  <c r="T38" i="16"/>
  <c r="GE34" i="16"/>
  <c r="GE244" i="16"/>
  <c r="T248" i="16"/>
  <c r="T303" i="16"/>
  <c r="GD299" i="16" s="1"/>
  <c r="GE299" i="16"/>
  <c r="T108" i="16"/>
  <c r="GE104" i="16"/>
  <c r="GE384" i="16"/>
  <c r="T388" i="16"/>
  <c r="T276" i="16"/>
  <c r="GE272" i="16"/>
  <c r="T317" i="16"/>
  <c r="GD313" i="16" s="1"/>
  <c r="GE313" i="16"/>
  <c r="T93" i="16"/>
  <c r="GD89" i="16" s="1"/>
  <c r="GE89" i="16"/>
  <c r="T458" i="16"/>
  <c r="GE454" i="16"/>
  <c r="T122" i="16"/>
  <c r="GE118" i="16"/>
  <c r="T205" i="16"/>
  <c r="GD201" i="16" s="1"/>
  <c r="GE201" i="16"/>
  <c r="GE61" i="16"/>
  <c r="Q64" i="17" s="1"/>
  <c r="T65" i="16"/>
  <c r="GD61" i="16" s="1"/>
  <c r="T135" i="16"/>
  <c r="GD131" i="16" s="1"/>
  <c r="K3" i="17" s="1"/>
  <c r="GE131" i="16"/>
  <c r="Q3" i="17" s="1"/>
  <c r="T290" i="16"/>
  <c r="GE286" i="16"/>
  <c r="T262" i="16"/>
  <c r="GE258" i="16"/>
  <c r="T149" i="16"/>
  <c r="GD145" i="16" s="1"/>
  <c r="GE145" i="16"/>
  <c r="GE76" i="16"/>
  <c r="T80" i="16"/>
  <c r="GE426" i="16"/>
  <c r="T430" i="16"/>
  <c r="GE173" i="16"/>
  <c r="T177" i="16"/>
  <c r="GD173" i="16" s="1"/>
  <c r="GE341" i="16"/>
  <c r="T345" i="16"/>
  <c r="GD341" i="16" s="1"/>
  <c r="GE33" i="16"/>
  <c r="T37" i="16"/>
  <c r="GD33" i="16" s="1"/>
  <c r="GE440" i="16"/>
  <c r="T444" i="16"/>
  <c r="T332" i="16"/>
  <c r="GE328" i="16"/>
  <c r="GE327" i="16"/>
  <c r="T331" i="16"/>
  <c r="GD327" i="16" s="1"/>
  <c r="GE398" i="16"/>
  <c r="T402" i="16"/>
  <c r="GE370" i="16"/>
  <c r="T374" i="16"/>
  <c r="T261" i="16"/>
  <c r="GD257" i="16" s="1"/>
  <c r="K32" i="17" s="1"/>
  <c r="GE257" i="16"/>
  <c r="Q77" i="17" s="1"/>
  <c r="T163" i="16"/>
  <c r="GD159" i="16" s="1"/>
  <c r="GE159" i="16"/>
  <c r="Q7" i="17" s="1"/>
  <c r="T191" i="16"/>
  <c r="GD187" i="16" s="1"/>
  <c r="GE187" i="16"/>
  <c r="T318" i="16"/>
  <c r="GE314" i="16"/>
  <c r="T233" i="16"/>
  <c r="GD229" i="16" s="1"/>
  <c r="K17" i="17" s="1"/>
  <c r="GE229" i="16"/>
  <c r="Q17" i="17" s="1"/>
  <c r="GE300" i="16"/>
  <c r="T304" i="16"/>
  <c r="AT206" i="16"/>
  <c r="R206" i="16" s="1"/>
  <c r="AT150" i="16"/>
  <c r="R150" i="16" s="1"/>
  <c r="AT192" i="16"/>
  <c r="R192" i="16" s="1"/>
  <c r="AT220" i="16"/>
  <c r="R220" i="16" s="1"/>
  <c r="AT136" i="16"/>
  <c r="R136" i="16" s="1"/>
  <c r="GE132" i="16" s="1"/>
  <c r="Q4" i="17" s="1"/>
  <c r="AT66" i="16"/>
  <c r="R66" i="16" s="1"/>
  <c r="AT234" i="16"/>
  <c r="R234" i="16" s="1"/>
  <c r="AT164" i="16"/>
  <c r="R164" i="16" s="1"/>
  <c r="AT219" i="16"/>
  <c r="R219" i="16" s="1"/>
  <c r="BB472" i="16"/>
  <c r="BB471" i="16"/>
  <c r="BA472" i="16"/>
  <c r="Y472" i="16" s="1"/>
  <c r="BA471" i="16"/>
  <c r="Y471" i="16" s="1"/>
  <c r="AN472" i="16"/>
  <c r="AN471" i="16"/>
  <c r="AM472" i="16"/>
  <c r="J472" i="16" s="1"/>
  <c r="AM471" i="16"/>
  <c r="J471" i="16" s="1"/>
  <c r="AN416" i="16"/>
  <c r="AN415" i="16"/>
  <c r="AM416" i="16"/>
  <c r="J416" i="16" s="1"/>
  <c r="AM415" i="16"/>
  <c r="J415" i="16" s="1"/>
  <c r="BB416" i="16"/>
  <c r="BB415" i="16"/>
  <c r="BA416" i="16"/>
  <c r="Y416" i="16" s="1"/>
  <c r="BA415" i="16"/>
  <c r="Y415" i="16" s="1"/>
  <c r="AN360" i="16"/>
  <c r="AN359" i="16"/>
  <c r="AM360" i="16"/>
  <c r="J360" i="16" s="1"/>
  <c r="AM359" i="16"/>
  <c r="J359" i="16" s="1"/>
  <c r="BB360" i="16"/>
  <c r="BB359" i="16"/>
  <c r="BA360" i="16"/>
  <c r="Y360" i="16" s="1"/>
  <c r="BA359" i="16"/>
  <c r="Y359" i="16" s="1"/>
  <c r="BB234" i="16"/>
  <c r="BB233" i="16"/>
  <c r="BA234" i="16"/>
  <c r="Y234" i="16" s="1"/>
  <c r="BA233" i="16"/>
  <c r="Y233" i="16" s="1"/>
  <c r="AN234" i="16"/>
  <c r="AN233" i="16"/>
  <c r="AM234" i="16"/>
  <c r="J234" i="16" s="1"/>
  <c r="AM233" i="16"/>
  <c r="J233" i="16" s="1"/>
  <c r="AM219" i="16"/>
  <c r="J219" i="16" s="1"/>
  <c r="AN220" i="16"/>
  <c r="AN219" i="16"/>
  <c r="AM220" i="16"/>
  <c r="J220" i="16" s="1"/>
  <c r="BB220" i="16"/>
  <c r="BB219" i="16"/>
  <c r="BA220" i="16"/>
  <c r="Y220" i="16" s="1"/>
  <c r="BA219" i="16"/>
  <c r="Y219" i="16" s="1"/>
  <c r="AN206" i="16"/>
  <c r="AN205" i="16"/>
  <c r="AM206" i="16"/>
  <c r="J206" i="16" s="1"/>
  <c r="AM205" i="16"/>
  <c r="J205" i="16" s="1"/>
  <c r="BB206" i="16"/>
  <c r="BB205" i="16"/>
  <c r="BA206" i="16"/>
  <c r="Y206" i="16" s="1"/>
  <c r="BA205" i="16"/>
  <c r="Y205" i="16" s="1"/>
  <c r="AN192" i="16"/>
  <c r="AN191" i="16"/>
  <c r="AM192" i="16"/>
  <c r="J192" i="16" s="1"/>
  <c r="AM191" i="16"/>
  <c r="J191" i="16" s="1"/>
  <c r="BB192" i="16"/>
  <c r="BB191" i="16"/>
  <c r="BA192" i="16"/>
  <c r="Y192" i="16" s="1"/>
  <c r="BA191" i="16"/>
  <c r="Y191" i="16" s="1"/>
  <c r="BM176" i="16"/>
  <c r="BL176" i="16" s="1"/>
  <c r="BB164" i="16"/>
  <c r="BB163" i="16"/>
  <c r="BA164" i="16"/>
  <c r="Y164" i="16" s="1"/>
  <c r="BA163" i="16"/>
  <c r="Y163" i="16" s="1"/>
  <c r="AM163" i="16"/>
  <c r="J163" i="16" s="1"/>
  <c r="AN164" i="16"/>
  <c r="AN163" i="16"/>
  <c r="AM164" i="16"/>
  <c r="J164" i="16" s="1"/>
  <c r="BB150" i="16"/>
  <c r="BB149" i="16"/>
  <c r="BA150" i="16"/>
  <c r="Y150" i="16" s="1"/>
  <c r="BA149" i="16"/>
  <c r="Y149" i="16" s="1"/>
  <c r="AN150" i="16"/>
  <c r="AN149" i="16"/>
  <c r="AM150" i="16"/>
  <c r="J150" i="16" s="1"/>
  <c r="AM149" i="16"/>
  <c r="J149" i="16" s="1"/>
  <c r="BB136" i="16"/>
  <c r="BB135" i="16"/>
  <c r="BA136" i="16"/>
  <c r="Y136" i="16" s="1"/>
  <c r="BA135" i="16"/>
  <c r="Y135" i="16" s="1"/>
  <c r="AM135" i="16"/>
  <c r="J135" i="16" s="1"/>
  <c r="AN136" i="16"/>
  <c r="AN135" i="16"/>
  <c r="AM136" i="16"/>
  <c r="J136" i="16" s="1"/>
  <c r="AM65" i="16"/>
  <c r="J65" i="16" s="1"/>
  <c r="AN66" i="16"/>
  <c r="AN65" i="16"/>
  <c r="AM66" i="16"/>
  <c r="J66" i="16" s="1"/>
  <c r="BB66" i="16"/>
  <c r="BB65" i="16"/>
  <c r="BA66" i="16"/>
  <c r="Y66" i="16" s="1"/>
  <c r="BA65" i="16"/>
  <c r="Y65" i="16" s="1"/>
  <c r="BA382" i="16"/>
  <c r="Y382" i="16" s="1"/>
  <c r="BM326" i="16"/>
  <c r="AP326" i="16" s="1"/>
  <c r="N326" i="16" s="1"/>
  <c r="BM32" i="16"/>
  <c r="AP32" i="16" s="1"/>
  <c r="N32" i="16" s="1"/>
  <c r="HG158" i="16"/>
  <c r="HG160" i="16" s="1"/>
  <c r="HG130" i="16"/>
  <c r="HG132" i="16" s="1"/>
  <c r="HG144" i="16"/>
  <c r="HG146" i="16" s="1"/>
  <c r="HG172" i="16"/>
  <c r="HG174" i="16" s="1"/>
  <c r="HG46" i="16"/>
  <c r="EW20" i="16"/>
  <c r="BA452" i="16"/>
  <c r="Y452" i="16" s="1"/>
  <c r="BA396" i="16"/>
  <c r="Y396" i="16" s="1"/>
  <c r="BA130" i="16"/>
  <c r="Y130" i="16" s="1"/>
  <c r="BM410" i="16"/>
  <c r="AP410" i="16" s="1"/>
  <c r="N410" i="16" s="1"/>
  <c r="BM228" i="16"/>
  <c r="AP228" i="16" s="1"/>
  <c r="N228" i="16" s="1"/>
  <c r="BM74" i="16"/>
  <c r="AP74" i="16" s="1"/>
  <c r="N74" i="16" s="1"/>
  <c r="BA172" i="16"/>
  <c r="Y172" i="16" s="1"/>
  <c r="BA60" i="16"/>
  <c r="Y60" i="16" s="1"/>
  <c r="BA424" i="16"/>
  <c r="Y424" i="16" s="1"/>
  <c r="BM466" i="16"/>
  <c r="AP466" i="16" s="1"/>
  <c r="N466" i="16" s="1"/>
  <c r="BA438" i="16"/>
  <c r="Y438" i="16" s="1"/>
  <c r="BF77" i="11"/>
  <c r="BG77" i="11" s="1"/>
  <c r="BL77" i="11" s="1"/>
  <c r="BM77" i="11" s="1"/>
  <c r="BM368" i="16"/>
  <c r="AP368" i="16" s="1"/>
  <c r="N368" i="16" s="1"/>
  <c r="BA312" i="16"/>
  <c r="Y312" i="16" s="1"/>
  <c r="BM340" i="16"/>
  <c r="AP340" i="16" s="1"/>
  <c r="N340" i="16" s="1"/>
  <c r="BA354" i="16"/>
  <c r="Y354" i="16" s="1"/>
  <c r="BA200" i="16"/>
  <c r="Y200" i="16" s="1"/>
  <c r="BA46" i="16"/>
  <c r="Y46" i="16" s="1"/>
  <c r="BM158" i="16"/>
  <c r="AP158" i="16" s="1"/>
  <c r="N158" i="16" s="1"/>
  <c r="BA270" i="16"/>
  <c r="Y270" i="16" s="1"/>
  <c r="BM144" i="16"/>
  <c r="AP144" i="16" s="1"/>
  <c r="N144" i="16" s="1"/>
  <c r="BM18" i="16"/>
  <c r="AP18" i="16" s="1"/>
  <c r="N18" i="16" s="1"/>
  <c r="BM298" i="16"/>
  <c r="AP298" i="16" s="1"/>
  <c r="N298" i="16" s="1"/>
  <c r="BA116" i="16"/>
  <c r="Y116" i="16" s="1"/>
  <c r="BA256" i="16"/>
  <c r="Y256" i="16" s="1"/>
  <c r="BA284" i="16"/>
  <c r="Y284" i="16" s="1"/>
  <c r="BM214" i="16"/>
  <c r="AP214" i="16" s="1"/>
  <c r="N214" i="16" s="1"/>
  <c r="BM242" i="16"/>
  <c r="AP242" i="16" s="1"/>
  <c r="N242" i="16" s="1"/>
  <c r="BA88" i="16"/>
  <c r="Y88" i="16" s="1"/>
  <c r="BA186" i="16"/>
  <c r="Y186" i="16" s="1"/>
  <c r="E65" i="17"/>
  <c r="F65" i="17" s="1"/>
  <c r="HU438" i="16"/>
  <c r="HR438" i="16"/>
  <c r="AY112" i="13" s="1"/>
  <c r="N112" i="13" s="1"/>
  <c r="E66" i="17"/>
  <c r="F66" i="17" s="1"/>
  <c r="I19" i="17"/>
  <c r="BM39" i="11"/>
  <c r="I39" i="11" s="1"/>
  <c r="Q46" i="13" s="1"/>
  <c r="BC46" i="13" s="1"/>
  <c r="BK21" i="11"/>
  <c r="HM16" i="16"/>
  <c r="HK18" i="16" s="1"/>
  <c r="S66" i="17"/>
  <c r="T66" i="17" s="1"/>
  <c r="C64" i="17"/>
  <c r="I67" i="11"/>
  <c r="BC67" i="11" s="1"/>
  <c r="BD67" i="11" s="1"/>
  <c r="S65" i="17"/>
  <c r="T65" i="17" s="1"/>
  <c r="BC63" i="11"/>
  <c r="BD63" i="11" s="1"/>
  <c r="BK63" i="11"/>
  <c r="BM63" i="11"/>
  <c r="S78" i="17"/>
  <c r="T78" i="17" s="1"/>
  <c r="HR186" i="16"/>
  <c r="HQ438" i="16"/>
  <c r="AX112" i="13" s="1"/>
  <c r="K112" i="13" s="1"/>
  <c r="HQ452" i="16"/>
  <c r="AX114" i="13" s="1"/>
  <c r="K114" i="13" s="1"/>
  <c r="HU424" i="16"/>
  <c r="HR424" i="16"/>
  <c r="HQ424" i="16"/>
  <c r="HV438" i="16"/>
  <c r="HU186" i="16"/>
  <c r="HV186" i="16"/>
  <c r="HV424" i="16"/>
  <c r="HQ186" i="16"/>
  <c r="S84" i="17"/>
  <c r="T84" i="17" s="1"/>
  <c r="S71" i="17"/>
  <c r="T71" i="17" s="1"/>
  <c r="S74" i="17"/>
  <c r="T74" i="17" s="1"/>
  <c r="S87" i="17"/>
  <c r="T87" i="17" s="1"/>
  <c r="S80" i="17"/>
  <c r="T80" i="17" s="1"/>
  <c r="E68" i="17"/>
  <c r="F68" i="17" s="1"/>
  <c r="E72" i="17"/>
  <c r="F72" i="17" s="1"/>
  <c r="E85" i="17"/>
  <c r="F85" i="17" s="1"/>
  <c r="S67" i="17"/>
  <c r="T67" i="17" s="1"/>
  <c r="S72" i="17"/>
  <c r="T72" i="17" s="1"/>
  <c r="E71" i="17"/>
  <c r="F71" i="17" s="1"/>
  <c r="E74" i="17"/>
  <c r="F74" i="17" s="1"/>
  <c r="E73" i="17"/>
  <c r="F73" i="17" s="1"/>
  <c r="S76" i="17"/>
  <c r="T76" i="17" s="1"/>
  <c r="E78" i="17"/>
  <c r="F78" i="17" s="1"/>
  <c r="E86" i="17"/>
  <c r="F86" i="17" s="1"/>
  <c r="E76" i="17"/>
  <c r="F76" i="17" s="1"/>
  <c r="S70" i="17"/>
  <c r="T70" i="17" s="1"/>
  <c r="HG17" i="16"/>
  <c r="D64" i="17" s="1"/>
  <c r="E64" i="17"/>
  <c r="F64" i="17" s="1"/>
  <c r="E79" i="17"/>
  <c r="F79" i="17" s="1"/>
  <c r="E69" i="17"/>
  <c r="F69" i="17" s="1"/>
  <c r="E84" i="17"/>
  <c r="F84" i="17" s="1"/>
  <c r="E80" i="17"/>
  <c r="F80" i="17" s="1"/>
  <c r="S86" i="17"/>
  <c r="T86" i="17" s="1"/>
  <c r="S82" i="17"/>
  <c r="T82" i="17" s="1"/>
  <c r="S83" i="17"/>
  <c r="T83" i="17" s="1"/>
  <c r="S77" i="17"/>
  <c r="T77" i="17" s="1"/>
  <c r="E77" i="17"/>
  <c r="F77" i="17" s="1"/>
  <c r="E81" i="17"/>
  <c r="F81" i="17" s="1"/>
  <c r="HU452" i="16"/>
  <c r="HV452" i="16"/>
  <c r="C72" i="17"/>
  <c r="S79" i="17"/>
  <c r="T79" i="17" s="1"/>
  <c r="S75" i="17"/>
  <c r="T75" i="17" s="1"/>
  <c r="S69" i="17"/>
  <c r="T69" i="17" s="1"/>
  <c r="E82" i="17"/>
  <c r="F82" i="17" s="1"/>
  <c r="S68" i="17"/>
  <c r="T68" i="17" s="1"/>
  <c r="S73" i="17"/>
  <c r="T73" i="17" s="1"/>
  <c r="E70" i="17"/>
  <c r="F70" i="17" s="1"/>
  <c r="E75" i="17"/>
  <c r="F75" i="17" s="1"/>
  <c r="E83" i="17"/>
  <c r="F83" i="17" s="1"/>
  <c r="S85" i="17"/>
  <c r="T85" i="17" s="1"/>
  <c r="E87" i="17"/>
  <c r="F87" i="17" s="1"/>
  <c r="S81" i="17"/>
  <c r="T81" i="17" s="1"/>
  <c r="E67" i="17"/>
  <c r="F67" i="17" s="1"/>
  <c r="HG256" i="16"/>
  <c r="HG258" i="16" s="1"/>
  <c r="C77" i="17"/>
  <c r="HG74" i="16"/>
  <c r="C68" i="17"/>
  <c r="HG60" i="16"/>
  <c r="C67" i="17"/>
  <c r="HG298" i="16"/>
  <c r="HG300" i="16" s="1"/>
  <c r="HG88" i="16"/>
  <c r="C69" i="17"/>
  <c r="C66" i="17"/>
  <c r="HG242" i="16"/>
  <c r="HG244" i="16" s="1"/>
  <c r="C76" i="17"/>
  <c r="HG382" i="16"/>
  <c r="HG384" i="16" s="1"/>
  <c r="C86" i="17"/>
  <c r="HG326" i="16"/>
  <c r="HG328" i="16" s="1"/>
  <c r="C82" i="17"/>
  <c r="HG32" i="16"/>
  <c r="C65" i="17"/>
  <c r="HG228" i="16"/>
  <c r="HG230" i="16" s="1"/>
  <c r="HG200" i="16"/>
  <c r="HG202" i="16" s="1"/>
  <c r="C73" i="17"/>
  <c r="HG214" i="16"/>
  <c r="HG216" i="16" s="1"/>
  <c r="HG116" i="16"/>
  <c r="HG118" i="16" s="1"/>
  <c r="C71" i="17"/>
  <c r="HG102" i="16"/>
  <c r="C70" i="17"/>
  <c r="HG396" i="16"/>
  <c r="HG398" i="16" s="1"/>
  <c r="C87" i="17"/>
  <c r="HG340" i="16"/>
  <c r="HG342" i="16" s="1"/>
  <c r="C83" i="17"/>
  <c r="HG312" i="16"/>
  <c r="HG314" i="16" s="1"/>
  <c r="E136" i="16"/>
  <c r="DD20" i="16"/>
  <c r="DC20" i="16"/>
  <c r="E220" i="16"/>
  <c r="BM33" i="11"/>
  <c r="I33" i="11" s="1"/>
  <c r="BC33" i="11" s="1"/>
  <c r="BD33" i="11" s="1"/>
  <c r="B33" i="11" s="1"/>
  <c r="GE200" i="16"/>
  <c r="GE158" i="16"/>
  <c r="BM17" i="11"/>
  <c r="I17" i="11" s="1"/>
  <c r="BC17" i="11" s="1"/>
  <c r="BD17" i="11" s="1"/>
  <c r="B17" i="11" s="1"/>
  <c r="BN72" i="13"/>
  <c r="HR396" i="16"/>
  <c r="HV396" i="16"/>
  <c r="IC396" i="16" s="1"/>
  <c r="HQ396" i="16"/>
  <c r="HU396" i="16"/>
  <c r="HV382" i="16"/>
  <c r="IC382" i="16" s="1"/>
  <c r="HU382" i="16"/>
  <c r="HR382" i="16"/>
  <c r="HQ382" i="16"/>
  <c r="HV340" i="16"/>
  <c r="IC340" i="16" s="1"/>
  <c r="HU340" i="16"/>
  <c r="HR340" i="16"/>
  <c r="HQ340" i="16"/>
  <c r="HV326" i="16"/>
  <c r="IC326" i="16" s="1"/>
  <c r="HQ326" i="16"/>
  <c r="HU326" i="16"/>
  <c r="HR326" i="16"/>
  <c r="HV312" i="16"/>
  <c r="IC312" i="16" s="1"/>
  <c r="HU312" i="16"/>
  <c r="HQ312" i="16"/>
  <c r="HR312" i="16"/>
  <c r="HU298" i="16"/>
  <c r="HR298" i="16"/>
  <c r="HQ298" i="16"/>
  <c r="HV298" i="16"/>
  <c r="IC298" i="16" s="1"/>
  <c r="HQ256" i="16"/>
  <c r="AX70" i="13" s="1"/>
  <c r="HV256" i="16"/>
  <c r="IC256" i="16" s="1"/>
  <c r="HU256" i="16"/>
  <c r="HR256" i="16"/>
  <c r="AY70" i="13" s="1"/>
  <c r="HR242" i="16"/>
  <c r="HV242" i="16"/>
  <c r="IC242" i="16" s="1"/>
  <c r="HU242" i="16"/>
  <c r="HQ242" i="16"/>
  <c r="HV228" i="16"/>
  <c r="IC228" i="16" s="1"/>
  <c r="HU228" i="16"/>
  <c r="HQ228" i="16"/>
  <c r="AX66" i="13" s="1"/>
  <c r="HR228" i="16"/>
  <c r="AY66" i="13" s="1"/>
  <c r="HR214" i="16"/>
  <c r="HV214" i="16"/>
  <c r="IC214" i="16" s="1"/>
  <c r="HQ214" i="16"/>
  <c r="HU214" i="16"/>
  <c r="HV200" i="16"/>
  <c r="IC200" i="16" s="1"/>
  <c r="HR200" i="16"/>
  <c r="AY62" i="13" s="1"/>
  <c r="HQ200" i="16"/>
  <c r="AX62" i="13" s="1"/>
  <c r="HU200" i="16"/>
  <c r="HV172" i="16"/>
  <c r="IC172" i="16" s="1"/>
  <c r="HU172" i="16"/>
  <c r="IA172" i="16" s="1"/>
  <c r="HR172" i="16"/>
  <c r="HQ172" i="16"/>
  <c r="HR158" i="16"/>
  <c r="HQ158" i="16"/>
  <c r="HV158" i="16"/>
  <c r="IC158" i="16" s="1"/>
  <c r="HU158" i="16"/>
  <c r="IA158" i="16" s="1"/>
  <c r="HV144" i="16"/>
  <c r="IC144" i="16" s="1"/>
  <c r="HU144" i="16"/>
  <c r="IA144" i="16" s="1"/>
  <c r="HQ144" i="16"/>
  <c r="HR144" i="16"/>
  <c r="HV130" i="16"/>
  <c r="IC130" i="16" s="1"/>
  <c r="HU130" i="16"/>
  <c r="IA130" i="16" s="1"/>
  <c r="HR130" i="16"/>
  <c r="HQ130" i="16"/>
  <c r="HV116" i="16"/>
  <c r="IC116" i="16" s="1"/>
  <c r="HQ116" i="16"/>
  <c r="HU116" i="16"/>
  <c r="HR116" i="16"/>
  <c r="BK25" i="9"/>
  <c r="I32" i="13"/>
  <c r="BB32" i="13" s="1"/>
  <c r="BM67" i="9"/>
  <c r="I67" i="9" s="1"/>
  <c r="BC67" i="9" s="1"/>
  <c r="BD67" i="9" s="1"/>
  <c r="B67" i="9" s="1"/>
  <c r="BC65" i="11"/>
  <c r="BD65" i="11" s="1"/>
  <c r="B65" i="11" s="1"/>
  <c r="Q72" i="13"/>
  <c r="BC72" i="13" s="1"/>
  <c r="BM27" i="11"/>
  <c r="B27" i="11" s="1"/>
  <c r="BM41" i="11"/>
  <c r="I41" i="11" s="1"/>
  <c r="Q48" i="13" s="1"/>
  <c r="BC48" i="13" s="1"/>
  <c r="BK27" i="11"/>
  <c r="BM87" i="11"/>
  <c r="I87" i="11" s="1"/>
  <c r="Q94" i="13" s="1"/>
  <c r="BC94" i="13" s="1"/>
  <c r="BI94" i="13" s="1"/>
  <c r="BL73" i="11"/>
  <c r="BM73" i="11" s="1"/>
  <c r="H17" i="17"/>
  <c r="Q34" i="13"/>
  <c r="BC34" i="13" s="1"/>
  <c r="BI34" i="13" s="1"/>
  <c r="BJ34" i="13" s="1"/>
  <c r="I35" i="11"/>
  <c r="BC35" i="11" s="1"/>
  <c r="BD35" i="11" s="1"/>
  <c r="B35" i="11" s="1"/>
  <c r="BK35" i="11"/>
  <c r="BM47" i="9"/>
  <c r="Y17" i="17"/>
  <c r="W17" i="17"/>
  <c r="V18" i="17"/>
  <c r="H18" i="17"/>
  <c r="C17" i="17"/>
  <c r="V12" i="17"/>
  <c r="G18" i="17"/>
  <c r="F17" i="17"/>
  <c r="S17" i="17"/>
  <c r="T17" i="17"/>
  <c r="V17" i="17"/>
  <c r="E17" i="17"/>
  <c r="BI112" i="13"/>
  <c r="BJ112" i="13" s="1"/>
  <c r="I17" i="17"/>
  <c r="Y19" i="17"/>
  <c r="BM67" i="11"/>
  <c r="W20" i="17"/>
  <c r="I21" i="17"/>
  <c r="V20" i="17"/>
  <c r="H11" i="17"/>
  <c r="E15" i="17"/>
  <c r="E13" i="17"/>
  <c r="U15" i="17"/>
  <c r="F13" i="17"/>
  <c r="BJ50" i="13"/>
  <c r="Y25" i="17"/>
  <c r="F20" i="17"/>
  <c r="S21" i="17"/>
  <c r="H13" i="17"/>
  <c r="H16" i="17"/>
  <c r="H20" i="17"/>
  <c r="F22" i="17"/>
  <c r="C11" i="17"/>
  <c r="Y15" i="17"/>
  <c r="C13" i="17"/>
  <c r="Y22" i="17"/>
  <c r="Y23" i="17"/>
  <c r="F21" i="17"/>
  <c r="W11" i="17"/>
  <c r="W13" i="17"/>
  <c r="H15" i="17"/>
  <c r="G14" i="17"/>
  <c r="C16" i="17"/>
  <c r="T13" i="17"/>
  <c r="T21" i="17"/>
  <c r="W15" i="17"/>
  <c r="BI110" i="13"/>
  <c r="BJ110" i="13" s="1"/>
  <c r="T20" i="17"/>
  <c r="T11" i="17"/>
  <c r="S13" i="17"/>
  <c r="V11" i="17"/>
  <c r="F11" i="17"/>
  <c r="I15" i="17"/>
  <c r="I20" i="17"/>
  <c r="I22" i="17"/>
  <c r="H12" i="17"/>
  <c r="Y11" i="17"/>
  <c r="V13" i="17"/>
  <c r="I11" i="17"/>
  <c r="C15" i="17"/>
  <c r="H21" i="17"/>
  <c r="V21" i="17"/>
  <c r="F15" i="17"/>
  <c r="G12" i="17"/>
  <c r="V14" i="17"/>
  <c r="V16" i="17"/>
  <c r="Y13" i="17"/>
  <c r="E11" i="17"/>
  <c r="S15" i="17"/>
  <c r="BI106" i="13"/>
  <c r="BJ106" i="13" s="1"/>
  <c r="BI104" i="13"/>
  <c r="BJ104" i="13" s="1"/>
  <c r="Y20" i="17"/>
  <c r="Y21" i="17"/>
  <c r="W21" i="17"/>
  <c r="I13" i="17"/>
  <c r="V15" i="17"/>
  <c r="G16" i="17"/>
  <c r="T15" i="17"/>
  <c r="S11" i="17"/>
  <c r="H14" i="17"/>
  <c r="BL75" i="11"/>
  <c r="BM75" i="11" s="1"/>
  <c r="I75" i="11" s="1"/>
  <c r="Q82" i="13" s="1"/>
  <c r="BC82" i="13" s="1"/>
  <c r="BI82" i="13" s="1"/>
  <c r="BJ82" i="13" s="1"/>
  <c r="I25" i="11"/>
  <c r="BC25" i="11" s="1"/>
  <c r="BD25" i="11" s="1"/>
  <c r="B25" i="11" s="1"/>
  <c r="BC15" i="11"/>
  <c r="BD15" i="11" s="1"/>
  <c r="B15" i="11" s="1"/>
  <c r="Q22" i="13"/>
  <c r="BC22" i="13" s="1"/>
  <c r="BI70" i="13"/>
  <c r="BJ70" i="13" s="1"/>
  <c r="BI92" i="13"/>
  <c r="BJ92" i="13" s="1"/>
  <c r="BK25" i="11"/>
  <c r="E24" i="17"/>
  <c r="Y9" i="17"/>
  <c r="GE186" i="16"/>
  <c r="W23" i="17"/>
  <c r="Y24" i="17"/>
  <c r="T24" i="17"/>
  <c r="H22" i="17"/>
  <c r="S24" i="17"/>
  <c r="T31" i="17"/>
  <c r="F32" i="17"/>
  <c r="E22" i="17"/>
  <c r="E20" i="17"/>
  <c r="S20" i="17"/>
  <c r="E27" i="17"/>
  <c r="H19" i="17"/>
  <c r="E31" i="17"/>
  <c r="T38" i="17"/>
  <c r="S37" i="17"/>
  <c r="V27" i="17"/>
  <c r="H9" i="17"/>
  <c r="F31" i="17"/>
  <c r="T40" i="17"/>
  <c r="W28" i="17"/>
  <c r="V19" i="17"/>
  <c r="I36" i="17"/>
  <c r="E21" i="17"/>
  <c r="H35" i="17"/>
  <c r="F23" i="17"/>
  <c r="T32" i="17"/>
  <c r="U24" i="17"/>
  <c r="H40" i="17"/>
  <c r="I24" i="17"/>
  <c r="W30" i="17"/>
  <c r="H28" i="17"/>
  <c r="T29" i="17"/>
  <c r="V38" i="17"/>
  <c r="U36" i="17"/>
  <c r="S35" i="17"/>
  <c r="Y7" i="17"/>
  <c r="T19" i="17"/>
  <c r="E28" i="17"/>
  <c r="S31" i="17"/>
  <c r="E30" i="17"/>
  <c r="F30" i="17"/>
  <c r="E23" i="17"/>
  <c r="T30" i="17"/>
  <c r="S22" i="17"/>
  <c r="F38" i="17"/>
  <c r="E39" i="17"/>
  <c r="E36" i="17"/>
  <c r="T27" i="17"/>
  <c r="I9" i="17"/>
  <c r="H37" i="17"/>
  <c r="H23" i="17"/>
  <c r="F36" i="17"/>
  <c r="I38" i="17"/>
  <c r="Y5" i="17"/>
  <c r="W27" i="17"/>
  <c r="I40" i="17"/>
  <c r="H39" i="17"/>
  <c r="E32" i="17"/>
  <c r="T39" i="17"/>
  <c r="S28" i="17"/>
  <c r="S32" i="17"/>
  <c r="I35" i="17"/>
  <c r="S29" i="17"/>
  <c r="G10" i="17"/>
  <c r="V39" i="17"/>
  <c r="I31" i="17"/>
  <c r="I27" i="17"/>
  <c r="V10" i="17"/>
  <c r="U40" i="17"/>
  <c r="E19" i="17"/>
  <c r="Y37" i="17"/>
  <c r="V40" i="17"/>
  <c r="W24" i="17"/>
  <c r="E29" i="17"/>
  <c r="E35" i="17"/>
  <c r="W40" i="17"/>
  <c r="T28" i="17"/>
  <c r="I32" i="17"/>
  <c r="I39" i="17"/>
  <c r="H10" i="17"/>
  <c r="H24" i="17"/>
  <c r="W31" i="17"/>
  <c r="F28" i="17"/>
  <c r="V24" i="17"/>
  <c r="H38" i="17"/>
  <c r="V9" i="17"/>
  <c r="H29" i="17"/>
  <c r="G38" i="17"/>
  <c r="I29" i="17"/>
  <c r="Y3" i="17"/>
  <c r="Y28" i="17"/>
  <c r="Y31" i="17"/>
  <c r="U35" i="17"/>
  <c r="T37" i="17"/>
  <c r="S9" i="17"/>
  <c r="E38" i="17"/>
  <c r="V36" i="17"/>
  <c r="G29" i="17"/>
  <c r="V22" i="17"/>
  <c r="I23" i="17"/>
  <c r="U9" i="17"/>
  <c r="V37" i="17"/>
  <c r="V35" i="17"/>
  <c r="F29" i="17"/>
  <c r="S30" i="17"/>
  <c r="H36" i="17"/>
  <c r="H30" i="17"/>
  <c r="V32" i="17"/>
  <c r="H31" i="17"/>
  <c r="G37" i="17"/>
  <c r="V30" i="17"/>
  <c r="W9" i="17"/>
  <c r="S23" i="17"/>
  <c r="U32" i="17"/>
  <c r="U37" i="17"/>
  <c r="W38" i="17"/>
  <c r="I28" i="17"/>
  <c r="F9" i="17"/>
  <c r="T36" i="17"/>
  <c r="W36" i="17"/>
  <c r="G40" i="17"/>
  <c r="U19" i="17"/>
  <c r="Y38" i="17"/>
  <c r="Y32" i="17"/>
  <c r="T3" i="17"/>
  <c r="W37" i="17"/>
  <c r="G31" i="17"/>
  <c r="S27" i="17"/>
  <c r="I30" i="17"/>
  <c r="V31" i="17"/>
  <c r="Y27" i="17"/>
  <c r="V29" i="17"/>
  <c r="W35" i="17"/>
  <c r="F27" i="17"/>
  <c r="F24" i="17"/>
  <c r="S40" i="17"/>
  <c r="F39" i="17"/>
  <c r="S36" i="17"/>
  <c r="F19" i="17"/>
  <c r="F40" i="17"/>
  <c r="H27" i="17"/>
  <c r="H32" i="17"/>
  <c r="W39" i="17"/>
  <c r="I37" i="17"/>
  <c r="V28" i="17"/>
  <c r="F35" i="17"/>
  <c r="W29" i="17"/>
  <c r="T35" i="17"/>
  <c r="W32" i="17"/>
  <c r="V23" i="17"/>
  <c r="W22" i="17"/>
  <c r="E40" i="17"/>
  <c r="E37" i="17"/>
  <c r="F37" i="17"/>
  <c r="S38" i="17"/>
  <c r="T22" i="17"/>
  <c r="T23" i="17"/>
  <c r="E9" i="17"/>
  <c r="T9" i="17"/>
  <c r="S39" i="17"/>
  <c r="C9" i="17"/>
  <c r="S7" i="17"/>
  <c r="V6" i="17"/>
  <c r="H8" i="17"/>
  <c r="S5" i="17"/>
  <c r="T7" i="17"/>
  <c r="I3" i="17"/>
  <c r="G6" i="17"/>
  <c r="H4" i="17"/>
  <c r="H6" i="17"/>
  <c r="H44" i="17"/>
  <c r="V4" i="17"/>
  <c r="I5" i="17"/>
  <c r="F5" i="17"/>
  <c r="E5" i="17"/>
  <c r="H3" i="17"/>
  <c r="F3" i="17"/>
  <c r="V7" i="17"/>
  <c r="V3" i="17"/>
  <c r="V43" i="17"/>
  <c r="E3" i="17"/>
  <c r="F7" i="17"/>
  <c r="T5" i="17"/>
  <c r="E7" i="17"/>
  <c r="F43" i="17"/>
  <c r="E43" i="17"/>
  <c r="H5" i="17"/>
  <c r="W5" i="17"/>
  <c r="S43" i="17"/>
  <c r="G44" i="17"/>
  <c r="G4" i="17"/>
  <c r="I43" i="17"/>
  <c r="U43" i="17"/>
  <c r="U7" i="17"/>
  <c r="V44" i="17"/>
  <c r="W43" i="17"/>
  <c r="V5" i="17"/>
  <c r="V8" i="17"/>
  <c r="I7" i="17"/>
  <c r="G8" i="17"/>
  <c r="T43" i="17"/>
  <c r="H43" i="17"/>
  <c r="C3" i="17"/>
  <c r="H7" i="17"/>
  <c r="W7" i="17"/>
  <c r="C23" i="17"/>
  <c r="C5" i="17"/>
  <c r="C7" i="17"/>
  <c r="C22" i="17"/>
  <c r="C27" i="17"/>
  <c r="C4" i="17"/>
  <c r="C37" i="17"/>
  <c r="C21" i="17"/>
  <c r="C38" i="17"/>
  <c r="C32" i="17"/>
  <c r="C19" i="17"/>
  <c r="C28" i="17"/>
  <c r="C31" i="17"/>
  <c r="C20" i="17"/>
  <c r="C24" i="17"/>
  <c r="BM47" i="11"/>
  <c r="I47" i="11"/>
  <c r="BC47" i="11" s="1"/>
  <c r="BD47" i="11" s="1"/>
  <c r="Q26" i="13"/>
  <c r="BC26" i="13" s="1"/>
  <c r="AK205" i="16"/>
  <c r="L205" i="16" s="1"/>
  <c r="N114" i="13"/>
  <c r="AV112" i="13"/>
  <c r="HF19" i="16"/>
  <c r="BP243" i="16"/>
  <c r="DD19" i="16"/>
  <c r="DC19" i="16"/>
  <c r="FB19" i="16"/>
  <c r="DO19" i="16"/>
  <c r="S19" i="16" s="1"/>
  <c r="DS19" i="16"/>
  <c r="DU19" i="16" s="1"/>
  <c r="DW19" i="16" s="1"/>
  <c r="DR19" i="16"/>
  <c r="DN19" i="16"/>
  <c r="D19" i="16" s="1"/>
  <c r="E234" i="16"/>
  <c r="GE228" i="16"/>
  <c r="C18" i="17" s="1"/>
  <c r="E150" i="16"/>
  <c r="GE144" i="16"/>
  <c r="B115" i="19" s="1"/>
  <c r="C115" i="19" s="1"/>
  <c r="E66" i="16"/>
  <c r="GE60" i="16"/>
  <c r="BL79" i="11"/>
  <c r="BM79" i="11" s="1"/>
  <c r="I79" i="11" s="1"/>
  <c r="Q86" i="13" s="1"/>
  <c r="BC86" i="13" s="1"/>
  <c r="BP89" i="16"/>
  <c r="AK289" i="16"/>
  <c r="L289" i="16" s="1"/>
  <c r="HB283" i="16" s="1"/>
  <c r="G36" i="17" s="1"/>
  <c r="BP33" i="16"/>
  <c r="HD17" i="16"/>
  <c r="BP313" i="16"/>
  <c r="GZ19" i="16"/>
  <c r="S3" i="17" s="1"/>
  <c r="HD19" i="16"/>
  <c r="HH19" i="16"/>
  <c r="W19" i="17" s="1"/>
  <c r="BL75" i="9"/>
  <c r="BK75" i="9" s="1"/>
  <c r="EY230" i="16"/>
  <c r="AK233" i="16"/>
  <c r="L233" i="16" s="1"/>
  <c r="BK19" i="11"/>
  <c r="FT33" i="16"/>
  <c r="FT230" i="16"/>
  <c r="BL230" i="16" s="1"/>
  <c r="EY159" i="16"/>
  <c r="FZ19" i="16"/>
  <c r="EY286" i="16"/>
  <c r="FT454" i="16"/>
  <c r="BL454" i="16" s="1"/>
  <c r="FT103" i="16"/>
  <c r="BP131" i="16"/>
  <c r="EY285" i="16"/>
  <c r="BP61" i="16"/>
  <c r="EY243" i="16"/>
  <c r="FW19" i="16"/>
  <c r="EY356" i="16"/>
  <c r="EY104" i="16"/>
  <c r="FT370" i="16"/>
  <c r="BL370" i="16" s="1"/>
  <c r="FT160" i="16"/>
  <c r="BL160" i="16" s="1"/>
  <c r="FT342" i="16"/>
  <c r="BL342" i="16" s="1"/>
  <c r="FT90" i="16"/>
  <c r="BL90" i="16" s="1"/>
  <c r="FT104" i="16"/>
  <c r="BL104" i="16" s="1"/>
  <c r="FT48" i="16"/>
  <c r="BL48" i="16" s="1"/>
  <c r="FT440" i="16"/>
  <c r="BL440" i="16" s="1"/>
  <c r="EY467" i="16"/>
  <c r="BK467" i="16" s="1"/>
  <c r="EY398" i="16"/>
  <c r="BK398" i="16" s="1"/>
  <c r="FE19" i="16"/>
  <c r="FT159" i="16"/>
  <c r="FT117" i="16"/>
  <c r="EY188" i="16"/>
  <c r="BK188" i="16" s="1"/>
  <c r="FT355" i="16"/>
  <c r="FT412" i="16"/>
  <c r="BL412" i="16" s="1"/>
  <c r="FT341" i="16"/>
  <c r="EY34" i="16"/>
  <c r="EY48" i="16"/>
  <c r="FT299" i="16"/>
  <c r="AE21" i="16"/>
  <c r="AM22" i="16"/>
  <c r="J22" i="16" s="1"/>
  <c r="BL81" i="11"/>
  <c r="BM81" i="11" s="1"/>
  <c r="FR20" i="16"/>
  <c r="EY118" i="16"/>
  <c r="EY103" i="16"/>
  <c r="FT34" i="16"/>
  <c r="BL34" i="16" s="1"/>
  <c r="EY271" i="16"/>
  <c r="EY229" i="16"/>
  <c r="FT188" i="16"/>
  <c r="BL188" i="16" s="1"/>
  <c r="BP299" i="16"/>
  <c r="EY300" i="16"/>
  <c r="FT286" i="16"/>
  <c r="BL286" i="16" s="1"/>
  <c r="EY216" i="16"/>
  <c r="FT75" i="16"/>
  <c r="FT285" i="16"/>
  <c r="FT89" i="16"/>
  <c r="FT61" i="16"/>
  <c r="FT131" i="16"/>
  <c r="FT314" i="16"/>
  <c r="BL314" i="16" s="1"/>
  <c r="FT229" i="16"/>
  <c r="EY244" i="16"/>
  <c r="BP215" i="16"/>
  <c r="EY440" i="16"/>
  <c r="BK440" i="16" s="1"/>
  <c r="FT411" i="16"/>
  <c r="BL411" i="16" s="1"/>
  <c r="EY412" i="16"/>
  <c r="BK412" i="16" s="1"/>
  <c r="EY411" i="16"/>
  <c r="BK411" i="16" s="1"/>
  <c r="BP397" i="16"/>
  <c r="EY384" i="16"/>
  <c r="BK384" i="16" s="1"/>
  <c r="EY370" i="16"/>
  <c r="BK370" i="16" s="1"/>
  <c r="EY383" i="16"/>
  <c r="BK383" i="16" s="1"/>
  <c r="BM23" i="9"/>
  <c r="I23" i="9" s="1"/>
  <c r="BC23" i="9" s="1"/>
  <c r="BD23" i="9" s="1"/>
  <c r="B23" i="9" s="1"/>
  <c r="EY33" i="16"/>
  <c r="EY61" i="16"/>
  <c r="EY327" i="16"/>
  <c r="FT300" i="16"/>
  <c r="BL300" i="16" s="1"/>
  <c r="FT468" i="16"/>
  <c r="BL468" i="16" s="1"/>
  <c r="FT216" i="16"/>
  <c r="BL216" i="16" s="1"/>
  <c r="FT271" i="16"/>
  <c r="FT244" i="16"/>
  <c r="BL244" i="16" s="1"/>
  <c r="FT398" i="16"/>
  <c r="BL398" i="16" s="1"/>
  <c r="FT201" i="16"/>
  <c r="FT257" i="16"/>
  <c r="FT187" i="16"/>
  <c r="FT369" i="16"/>
  <c r="BL369" i="16" s="1"/>
  <c r="EY146" i="16"/>
  <c r="BA22" i="16"/>
  <c r="Y22" i="16" s="1"/>
  <c r="FT202" i="16"/>
  <c r="BL202" i="16" s="1"/>
  <c r="FT258" i="16"/>
  <c r="BL258" i="16" s="1"/>
  <c r="EY272" i="16"/>
  <c r="EY313" i="16"/>
  <c r="EY257" i="16"/>
  <c r="BK257" i="16" s="1"/>
  <c r="FT272" i="16"/>
  <c r="BL272" i="16" s="1"/>
  <c r="FT243" i="16"/>
  <c r="FE20" i="16"/>
  <c r="EY328" i="16"/>
  <c r="FT174" i="16"/>
  <c r="BL174" i="16" s="1"/>
  <c r="FT383" i="16"/>
  <c r="BL383" i="16" s="1"/>
  <c r="EY258" i="16"/>
  <c r="FT384" i="16"/>
  <c r="BL384" i="16" s="1"/>
  <c r="FT132" i="16"/>
  <c r="BL132" i="16" s="1"/>
  <c r="EY314" i="16"/>
  <c r="EY369" i="16"/>
  <c r="BK369" i="16" s="1"/>
  <c r="EW19" i="16"/>
  <c r="EY174" i="16"/>
  <c r="FT397" i="16"/>
  <c r="BL397" i="16" s="1"/>
  <c r="EY341" i="16"/>
  <c r="EY397" i="16"/>
  <c r="BK397" i="16" s="1"/>
  <c r="EY299" i="16"/>
  <c r="EY75" i="16"/>
  <c r="EY201" i="16"/>
  <c r="EY202" i="16"/>
  <c r="EY132" i="16"/>
  <c r="EY468" i="16"/>
  <c r="BK468" i="16" s="1"/>
  <c r="EY454" i="16"/>
  <c r="BK454" i="16" s="1"/>
  <c r="EY453" i="16"/>
  <c r="BK453" i="16" s="1"/>
  <c r="EY439" i="16"/>
  <c r="BK439" i="16" s="1"/>
  <c r="FT439" i="16"/>
  <c r="BL439" i="16" s="1"/>
  <c r="EY426" i="16"/>
  <c r="BK426" i="16" s="1"/>
  <c r="EY425" i="16"/>
  <c r="BK425" i="16" s="1"/>
  <c r="FT425" i="16"/>
  <c r="BL425" i="16" s="1"/>
  <c r="BP425" i="16"/>
  <c r="AK429" i="16"/>
  <c r="L429" i="16" s="1"/>
  <c r="FB20" i="16"/>
  <c r="EY89" i="16"/>
  <c r="BK89" i="16" s="1"/>
  <c r="FT47" i="16"/>
  <c r="EY76" i="16"/>
  <c r="BK76" i="16" s="1"/>
  <c r="BP173" i="16"/>
  <c r="AK177" i="16"/>
  <c r="L177" i="16" s="1"/>
  <c r="EY215" i="16"/>
  <c r="BK215" i="16" s="1"/>
  <c r="FT327" i="16"/>
  <c r="BP439" i="16"/>
  <c r="AK443" i="16"/>
  <c r="EY131" i="16"/>
  <c r="EY355" i="16"/>
  <c r="BK355" i="16" s="1"/>
  <c r="FT467" i="16"/>
  <c r="BL467" i="16" s="1"/>
  <c r="FT215" i="16"/>
  <c r="FT426" i="16"/>
  <c r="BL426" i="16" s="1"/>
  <c r="EY173" i="16"/>
  <c r="AK107" i="16"/>
  <c r="L107" i="16" s="1"/>
  <c r="HB101" i="16" s="1"/>
  <c r="AK149" i="16"/>
  <c r="L149" i="16" s="1"/>
  <c r="BP145" i="16"/>
  <c r="FT173" i="16"/>
  <c r="AK373" i="16"/>
  <c r="L373" i="16" s="1"/>
  <c r="BP369" i="16"/>
  <c r="BP467" i="16"/>
  <c r="AK471" i="16"/>
  <c r="L471" i="16" s="1"/>
  <c r="HB465" i="16" s="1"/>
  <c r="EY47" i="16"/>
  <c r="BK47" i="16" s="1"/>
  <c r="FT145" i="16"/>
  <c r="BP355" i="16"/>
  <c r="AK359" i="16"/>
  <c r="L359" i="16" s="1"/>
  <c r="HB353" i="16" s="1"/>
  <c r="AK261" i="16"/>
  <c r="L261" i="16" s="1"/>
  <c r="HB255" i="16" s="1"/>
  <c r="G32" i="17" s="1"/>
  <c r="BP257" i="16"/>
  <c r="BP271" i="16"/>
  <c r="AK275" i="16"/>
  <c r="L275" i="16" s="1"/>
  <c r="HB269" i="16" s="1"/>
  <c r="G33" i="17" s="1"/>
  <c r="BL83" i="9"/>
  <c r="BM83" i="9" s="1"/>
  <c r="I83" i="9" s="1"/>
  <c r="I90" i="13" s="1"/>
  <c r="BB90" i="13" s="1"/>
  <c r="FT118" i="16"/>
  <c r="BL118" i="16" s="1"/>
  <c r="EY90" i="16"/>
  <c r="BK90" i="16" s="1"/>
  <c r="BP47" i="16"/>
  <c r="FT356" i="16"/>
  <c r="BL356" i="16" s="1"/>
  <c r="AK457" i="16"/>
  <c r="BP453" i="16"/>
  <c r="FT328" i="16"/>
  <c r="BL328" i="16" s="1"/>
  <c r="EY342" i="16"/>
  <c r="BK342" i="16" s="1"/>
  <c r="EY187" i="16"/>
  <c r="BK187" i="16" s="1"/>
  <c r="BP159" i="16"/>
  <c r="AK163" i="16"/>
  <c r="L163" i="16" s="1"/>
  <c r="EY62" i="16"/>
  <c r="BK62" i="16" s="1"/>
  <c r="FT76" i="16"/>
  <c r="BL76" i="16" s="1"/>
  <c r="FT313" i="16"/>
  <c r="AK345" i="16"/>
  <c r="BP341" i="16"/>
  <c r="EY145" i="16"/>
  <c r="EY160" i="16"/>
  <c r="AK331" i="16"/>
  <c r="BP327" i="16"/>
  <c r="FT453" i="16"/>
  <c r="BL453" i="16" s="1"/>
  <c r="FT146" i="16"/>
  <c r="BL146" i="16" s="1"/>
  <c r="BP411" i="16"/>
  <c r="AK415" i="16"/>
  <c r="L415" i="16" s="1"/>
  <c r="HB409" i="16" s="1"/>
  <c r="AK191" i="16"/>
  <c r="L191" i="16" s="1"/>
  <c r="HB185" i="16" s="1"/>
  <c r="BP187" i="16"/>
  <c r="FT62" i="16"/>
  <c r="BL62" i="16" s="1"/>
  <c r="AK79" i="16"/>
  <c r="L79" i="16" s="1"/>
  <c r="HB73" i="16" s="1"/>
  <c r="G20" i="17" s="1"/>
  <c r="BP75" i="16"/>
  <c r="EY117" i="16"/>
  <c r="BK117" i="16" s="1"/>
  <c r="AK121" i="16"/>
  <c r="L121" i="16" s="1"/>
  <c r="HB115" i="16" s="1"/>
  <c r="BP117" i="16"/>
  <c r="BP19" i="16"/>
  <c r="AK23" i="16"/>
  <c r="L23" i="16" s="1"/>
  <c r="BL77" i="9"/>
  <c r="BM77" i="9" s="1"/>
  <c r="I77" i="9" s="1"/>
  <c r="I84" i="13" s="1"/>
  <c r="BB84" i="13" s="1"/>
  <c r="BC43" i="11"/>
  <c r="BD43" i="11" s="1"/>
  <c r="B43" i="11" s="1"/>
  <c r="B19" i="11"/>
  <c r="BK85" i="11"/>
  <c r="BK43" i="11"/>
  <c r="BK97" i="11"/>
  <c r="BM97" i="11"/>
  <c r="BM13" i="11"/>
  <c r="I13" i="11" s="1"/>
  <c r="BC13" i="11" s="1"/>
  <c r="K85" i="11"/>
  <c r="BC85" i="11"/>
  <c r="BD85" i="11" s="1"/>
  <c r="B85" i="11" s="1"/>
  <c r="BK107" i="11"/>
  <c r="I107" i="11"/>
  <c r="BK63" i="9"/>
  <c r="BC97" i="11"/>
  <c r="BD97" i="11" s="1"/>
  <c r="BC105" i="11"/>
  <c r="BD105" i="11" s="1"/>
  <c r="BK27" i="9"/>
  <c r="I27" i="9"/>
  <c r="I63" i="9"/>
  <c r="I70" i="13" s="1"/>
  <c r="BB70" i="13" s="1"/>
  <c r="BM105" i="11"/>
  <c r="BK105" i="11"/>
  <c r="BL85" i="9"/>
  <c r="BK85" i="9" s="1"/>
  <c r="BM107" i="11"/>
  <c r="BK101" i="11"/>
  <c r="I101" i="11"/>
  <c r="BM43" i="9"/>
  <c r="I43" i="9" s="1"/>
  <c r="BC43" i="9" s="1"/>
  <c r="BD43" i="9" s="1"/>
  <c r="B43" i="9" s="1"/>
  <c r="BM81" i="9"/>
  <c r="I81" i="9" s="1"/>
  <c r="I88" i="13" s="1"/>
  <c r="BB88" i="13" s="1"/>
  <c r="BC41" i="9"/>
  <c r="BD41" i="9" s="1"/>
  <c r="B41" i="9" s="1"/>
  <c r="I48" i="13"/>
  <c r="BB48" i="13" s="1"/>
  <c r="BC55" i="9"/>
  <c r="BD55" i="9" s="1"/>
  <c r="B55" i="9" s="1"/>
  <c r="I62" i="13"/>
  <c r="BB62" i="13" s="1"/>
  <c r="BC21" i="11"/>
  <c r="BD21" i="11" s="1"/>
  <c r="B21" i="11" s="1"/>
  <c r="Q28" i="13"/>
  <c r="BC28" i="13" s="1"/>
  <c r="BC45" i="11"/>
  <c r="BD45" i="11" s="1"/>
  <c r="B45" i="11" s="1"/>
  <c r="Q52" i="13"/>
  <c r="BC52" i="13" s="1"/>
  <c r="BI52" i="13" s="1"/>
  <c r="BC37" i="9"/>
  <c r="BD37" i="9" s="1"/>
  <c r="I44" i="13"/>
  <c r="BB44" i="13" s="1"/>
  <c r="BC99" i="9"/>
  <c r="BD99" i="9" s="1"/>
  <c r="I106" i="13"/>
  <c r="BB106" i="13" s="1"/>
  <c r="BH106" i="13" s="1"/>
  <c r="K79" i="9"/>
  <c r="I86" i="13"/>
  <c r="BB86" i="13" s="1"/>
  <c r="BC53" i="11"/>
  <c r="BD53" i="11" s="1"/>
  <c r="B53" i="11" s="1"/>
  <c r="Q60" i="13"/>
  <c r="BC60" i="13" s="1"/>
  <c r="BC79" i="9"/>
  <c r="BD79" i="9" s="1"/>
  <c r="B79" i="9" s="1"/>
  <c r="BK79" i="9"/>
  <c r="BK41" i="9"/>
  <c r="BM61" i="9"/>
  <c r="I61" i="9" s="1"/>
  <c r="BK37" i="9"/>
  <c r="BM37" i="9"/>
  <c r="BM99" i="9"/>
  <c r="BK99" i="9"/>
  <c r="BK103" i="9"/>
  <c r="BM35" i="9"/>
  <c r="I35" i="9" s="1"/>
  <c r="BM13" i="9"/>
  <c r="I13" i="9" s="1"/>
  <c r="BK13" i="9"/>
  <c r="I103" i="9"/>
  <c r="BK55" i="9"/>
  <c r="I45" i="9"/>
  <c r="BK45" i="9"/>
  <c r="I39" i="9"/>
  <c r="BM39" i="9"/>
  <c r="BM21" i="9"/>
  <c r="I21" i="9" s="1"/>
  <c r="BK21" i="9"/>
  <c r="I97" i="9"/>
  <c r="BM97" i="9"/>
  <c r="BK97" i="9"/>
  <c r="BM33" i="9"/>
  <c r="I33" i="9" s="1"/>
  <c r="BK107" i="9"/>
  <c r="BM107" i="9"/>
  <c r="I107" i="9" s="1"/>
  <c r="I105" i="9"/>
  <c r="BK105" i="9"/>
  <c r="BM105" i="9"/>
  <c r="I101" i="9"/>
  <c r="BK101" i="9"/>
  <c r="BM101" i="9"/>
  <c r="I128" i="9"/>
  <c r="G129" i="9"/>
  <c r="O128" i="9"/>
  <c r="K128" i="9"/>
  <c r="M128" i="9"/>
  <c r="BK59" i="9"/>
  <c r="I59" i="9"/>
  <c r="BM59" i="9"/>
  <c r="BK57" i="9"/>
  <c r="BM57" i="9"/>
  <c r="I57" i="9"/>
  <c r="BK15" i="9"/>
  <c r="BM15" i="9"/>
  <c r="I15" i="9"/>
  <c r="BK19" i="9"/>
  <c r="BM19" i="9"/>
  <c r="I19" i="9"/>
  <c r="BK17" i="9"/>
  <c r="BM17" i="9"/>
  <c r="I17" i="9"/>
  <c r="G130" i="11"/>
  <c r="O129" i="11"/>
  <c r="M129" i="11"/>
  <c r="K129" i="11"/>
  <c r="I129" i="11"/>
  <c r="BK87" i="9"/>
  <c r="BM87" i="9"/>
  <c r="I87" i="9" s="1"/>
  <c r="I94" i="13" s="1"/>
  <c r="BB94" i="13" s="1"/>
  <c r="BK53" i="9"/>
  <c r="BM53" i="9"/>
  <c r="I53" i="9" s="1"/>
  <c r="U30" i="17" l="1"/>
  <c r="G22" i="17"/>
  <c r="U38" i="17"/>
  <c r="G21" i="17"/>
  <c r="U28" i="17"/>
  <c r="G34" i="17"/>
  <c r="G23" i="17"/>
  <c r="U27" i="17"/>
  <c r="B43" i="19"/>
  <c r="C43" i="19" s="1"/>
  <c r="I19" i="19"/>
  <c r="J19" i="19" s="1"/>
  <c r="I31" i="19"/>
  <c r="J31" i="19" s="1"/>
  <c r="U23" i="17"/>
  <c r="IC452" i="16"/>
  <c r="HW453" i="16" s="1"/>
  <c r="IC424" i="16"/>
  <c r="HW425" i="16" s="1"/>
  <c r="IB186" i="16"/>
  <c r="IC186" i="16"/>
  <c r="IC438" i="16"/>
  <c r="HW439" i="16" s="1"/>
  <c r="B55" i="11"/>
  <c r="K83" i="11"/>
  <c r="BC57" i="11"/>
  <c r="BD57" i="11" s="1"/>
  <c r="B57" i="11" s="1"/>
  <c r="BK69" i="11"/>
  <c r="BL69" i="11" s="1"/>
  <c r="U5" i="17"/>
  <c r="U13" i="17"/>
  <c r="Q68" i="13"/>
  <c r="BC68" i="13" s="1"/>
  <c r="BI68" i="13" s="1"/>
  <c r="BJ68" i="13" s="1"/>
  <c r="Q62" i="13"/>
  <c r="BC62" i="13" s="1"/>
  <c r="BH62" i="13" s="1"/>
  <c r="K19" i="17"/>
  <c r="AF19" i="17" s="1"/>
  <c r="HB199" i="16"/>
  <c r="G28" i="17" s="1"/>
  <c r="HB17" i="16"/>
  <c r="G3" i="17" s="1"/>
  <c r="HB227" i="16"/>
  <c r="G30" i="17" s="1"/>
  <c r="HB202" i="16"/>
  <c r="U14" i="17" s="1"/>
  <c r="HB157" i="16"/>
  <c r="G25" i="17" s="1"/>
  <c r="HB143" i="16"/>
  <c r="G5" i="17" s="1"/>
  <c r="HB171" i="16"/>
  <c r="G15" i="17" s="1"/>
  <c r="K11" i="17"/>
  <c r="AF11" i="17" s="1"/>
  <c r="HZ298" i="16"/>
  <c r="IA298" i="16"/>
  <c r="HZ200" i="16"/>
  <c r="IA200" i="16"/>
  <c r="HZ396" i="16"/>
  <c r="IA396" i="16"/>
  <c r="HZ256" i="16"/>
  <c r="IA256" i="16"/>
  <c r="IA424" i="16"/>
  <c r="HW423" i="16" s="1"/>
  <c r="HZ228" i="16"/>
  <c r="IA228" i="16"/>
  <c r="HZ312" i="16"/>
  <c r="IA312" i="16"/>
  <c r="HZ340" i="16"/>
  <c r="IA340" i="16"/>
  <c r="IA452" i="16"/>
  <c r="HW451" i="16" s="1"/>
  <c r="IA438" i="16"/>
  <c r="HW437" i="16" s="1"/>
  <c r="HZ214" i="16"/>
  <c r="IA214" i="16"/>
  <c r="HZ116" i="16"/>
  <c r="IA116" i="16"/>
  <c r="HZ242" i="16"/>
  <c r="IA242" i="16"/>
  <c r="HZ326" i="16"/>
  <c r="IA326" i="16"/>
  <c r="HZ186" i="16"/>
  <c r="IA186" i="16"/>
  <c r="HZ382" i="16"/>
  <c r="IA382" i="16"/>
  <c r="IB116" i="16"/>
  <c r="IB382" i="16"/>
  <c r="IB256" i="16"/>
  <c r="IB396" i="16"/>
  <c r="IB326" i="16"/>
  <c r="IB200" i="16"/>
  <c r="IB228" i="16"/>
  <c r="IB312" i="16"/>
  <c r="IB340" i="16"/>
  <c r="IB298" i="16"/>
  <c r="IB214" i="16"/>
  <c r="IB242" i="16"/>
  <c r="BC59" i="11"/>
  <c r="BD59" i="11" s="1"/>
  <c r="B59" i="11" s="1"/>
  <c r="HG20" i="16"/>
  <c r="HH18" i="16" s="1"/>
  <c r="BK83" i="11"/>
  <c r="Q44" i="13"/>
  <c r="BC44" i="13" s="1"/>
  <c r="BH44" i="13" s="1"/>
  <c r="BC83" i="11"/>
  <c r="BD83" i="11" s="1"/>
  <c r="B83" i="11" s="1"/>
  <c r="Q71" i="17"/>
  <c r="K13" i="17"/>
  <c r="AC13" i="17" s="1"/>
  <c r="Q5" i="17"/>
  <c r="K9" i="17"/>
  <c r="AC9" i="17" s="1"/>
  <c r="K27" i="17"/>
  <c r="AC27" i="17" s="1"/>
  <c r="Q24" i="17"/>
  <c r="Q23" i="17"/>
  <c r="FT20" i="16"/>
  <c r="BL20" i="16" s="1"/>
  <c r="BA20" i="16" s="1"/>
  <c r="Y20" i="16" s="1"/>
  <c r="I139" i="19"/>
  <c r="J139" i="19" s="1"/>
  <c r="BC47" i="9"/>
  <c r="BD47" i="9" s="1"/>
  <c r="B47" i="9" s="1"/>
  <c r="I103" i="19"/>
  <c r="J103" i="19" s="1"/>
  <c r="K38" i="17"/>
  <c r="AC38" i="17" s="1"/>
  <c r="Q69" i="17"/>
  <c r="K24" i="17"/>
  <c r="AC24" i="17" s="1"/>
  <c r="Q73" i="17"/>
  <c r="K25" i="17"/>
  <c r="AF25" i="17" s="1"/>
  <c r="K28" i="17"/>
  <c r="AF28" i="17" s="1"/>
  <c r="Q76" i="17"/>
  <c r="U4" i="17"/>
  <c r="K31" i="17"/>
  <c r="M31" i="17" s="1"/>
  <c r="L31" i="17" s="1"/>
  <c r="U10" i="17"/>
  <c r="Q9" i="17"/>
  <c r="Q26" i="17"/>
  <c r="Q13" i="17"/>
  <c r="BC23" i="11"/>
  <c r="BD23" i="11" s="1"/>
  <c r="B23" i="11" s="1"/>
  <c r="Q87" i="17"/>
  <c r="K21" i="17"/>
  <c r="AF21" i="17" s="1"/>
  <c r="Q86" i="17"/>
  <c r="K23" i="17"/>
  <c r="AF23" i="17" s="1"/>
  <c r="BC75" i="11"/>
  <c r="BD75" i="11" s="1"/>
  <c r="B75" i="11" s="1"/>
  <c r="Q65" i="17"/>
  <c r="M42" i="17"/>
  <c r="L42" i="17" s="1"/>
  <c r="AA25" i="17"/>
  <c r="K7" i="17"/>
  <c r="AF7" i="17" s="1"/>
  <c r="AA26" i="17"/>
  <c r="AA41" i="17"/>
  <c r="Z41" i="17" s="1"/>
  <c r="AA42" i="17"/>
  <c r="Z42" i="17" s="1"/>
  <c r="Q83" i="17"/>
  <c r="Q82" i="17"/>
  <c r="K20" i="17"/>
  <c r="AC20" i="17" s="1"/>
  <c r="K22" i="17"/>
  <c r="AC22" i="17" s="1"/>
  <c r="K37" i="17"/>
  <c r="AC37" i="17" s="1"/>
  <c r="K26" i="17"/>
  <c r="AF26" i="17" s="1"/>
  <c r="M41" i="17"/>
  <c r="L41" i="17" s="1"/>
  <c r="K5" i="17"/>
  <c r="AC5" i="17" s="1"/>
  <c r="Q68" i="17"/>
  <c r="Q32" i="17"/>
  <c r="Q31" i="17"/>
  <c r="Q19" i="17"/>
  <c r="Q20" i="17"/>
  <c r="Q37" i="17"/>
  <c r="Q38" i="17"/>
  <c r="Q28" i="17"/>
  <c r="BM134" i="16"/>
  <c r="BL134" i="16" s="1"/>
  <c r="CF137" i="16" s="1"/>
  <c r="P128" i="16" s="1"/>
  <c r="P130" i="16" s="1"/>
  <c r="U12" i="17"/>
  <c r="U44" i="17"/>
  <c r="U16" i="17"/>
  <c r="U6" i="17"/>
  <c r="U8" i="17"/>
  <c r="Q67" i="17"/>
  <c r="Q22" i="17"/>
  <c r="Q70" i="17"/>
  <c r="U18" i="17"/>
  <c r="Q11" i="17"/>
  <c r="Q72" i="17"/>
  <c r="Q27" i="17"/>
  <c r="Q66" i="17"/>
  <c r="Q21" i="17"/>
  <c r="T192" i="16"/>
  <c r="GE188" i="16"/>
  <c r="T150" i="16"/>
  <c r="GE146" i="16"/>
  <c r="Q6" i="17" s="1"/>
  <c r="GE202" i="16"/>
  <c r="T206" i="16"/>
  <c r="GE230" i="16"/>
  <c r="T234" i="16"/>
  <c r="T136" i="16"/>
  <c r="T220" i="16"/>
  <c r="GE216" i="16"/>
  <c r="Q16" i="17" s="1"/>
  <c r="T66" i="16"/>
  <c r="GE62" i="16"/>
  <c r="Q10" i="17" s="1"/>
  <c r="T219" i="16"/>
  <c r="GD215" i="16" s="1"/>
  <c r="K15" i="17" s="1"/>
  <c r="AF15" i="17" s="1"/>
  <c r="GE215" i="16"/>
  <c r="Q15" i="17" s="1"/>
  <c r="T164" i="16"/>
  <c r="GE160" i="16"/>
  <c r="BM162" i="16"/>
  <c r="BL162" i="16" s="1"/>
  <c r="BM148" i="16"/>
  <c r="BL148" i="16" s="1"/>
  <c r="CF151" i="16" s="1"/>
  <c r="P142" i="16" s="1"/>
  <c r="P144" i="16" s="1"/>
  <c r="BC39" i="11"/>
  <c r="BD39" i="11" s="1"/>
  <c r="B39" i="11" s="1"/>
  <c r="C8" i="17"/>
  <c r="B127" i="19"/>
  <c r="C127" i="19" s="1"/>
  <c r="AE25" i="17"/>
  <c r="AD25" i="17"/>
  <c r="AF41" i="17"/>
  <c r="AC41" i="17"/>
  <c r="AD5" i="17"/>
  <c r="AE5" i="17"/>
  <c r="AD24" i="17"/>
  <c r="AE24" i="17"/>
  <c r="AE19" i="17"/>
  <c r="AD19" i="17"/>
  <c r="AD32" i="17"/>
  <c r="AE32" i="17"/>
  <c r="AE31" i="17"/>
  <c r="AD31" i="17"/>
  <c r="AD13" i="17"/>
  <c r="AE13" i="17"/>
  <c r="AE23" i="17"/>
  <c r="AD23" i="17"/>
  <c r="AC17" i="17"/>
  <c r="AF17" i="17"/>
  <c r="AD38" i="17"/>
  <c r="AE38" i="17"/>
  <c r="AD28" i="17"/>
  <c r="AE28" i="17"/>
  <c r="AE41" i="17"/>
  <c r="AD41" i="17"/>
  <c r="AE21" i="17"/>
  <c r="AD21" i="17"/>
  <c r="AD22" i="17"/>
  <c r="AE22" i="17"/>
  <c r="AC3" i="17"/>
  <c r="AD26" i="17"/>
  <c r="AE26" i="17"/>
  <c r="AC42" i="17"/>
  <c r="AF42" i="17"/>
  <c r="AD20" i="17"/>
  <c r="AE20" i="17"/>
  <c r="AD17" i="17"/>
  <c r="AE17" i="17"/>
  <c r="AF44" i="17"/>
  <c r="AD44" i="17"/>
  <c r="AE44" i="17"/>
  <c r="AC44" i="17"/>
  <c r="AE15" i="17"/>
  <c r="AD15" i="17"/>
  <c r="AE3" i="17"/>
  <c r="AE37" i="17"/>
  <c r="AD37" i="17"/>
  <c r="AE7" i="17"/>
  <c r="AD7" i="17"/>
  <c r="AD9" i="17"/>
  <c r="AE9" i="17"/>
  <c r="AD42" i="17"/>
  <c r="AE42" i="17"/>
  <c r="AE27" i="17"/>
  <c r="AD27" i="17"/>
  <c r="AC32" i="17"/>
  <c r="AF32" i="17"/>
  <c r="AE11" i="17"/>
  <c r="AD11" i="17"/>
  <c r="BK75" i="16"/>
  <c r="AM75" i="16" s="1"/>
  <c r="J75" i="16" s="1"/>
  <c r="BK34" i="16"/>
  <c r="AM34" i="16" s="1"/>
  <c r="J34" i="16" s="1"/>
  <c r="BK299" i="16"/>
  <c r="AM299" i="16" s="1"/>
  <c r="J299" i="16" s="1"/>
  <c r="BK244" i="16"/>
  <c r="BM244" i="16" s="1"/>
  <c r="AP244" i="16" s="1"/>
  <c r="N244" i="16" s="1"/>
  <c r="BK285" i="16"/>
  <c r="AM285" i="16" s="1"/>
  <c r="J285" i="16" s="1"/>
  <c r="BK104" i="16"/>
  <c r="AM104" i="16" s="1"/>
  <c r="J104" i="16" s="1"/>
  <c r="BL47" i="16"/>
  <c r="BA47" i="16" s="1"/>
  <c r="Y47" i="16" s="1"/>
  <c r="BL229" i="16"/>
  <c r="BA229" i="16" s="1"/>
  <c r="Y229" i="16" s="1"/>
  <c r="BL341" i="16"/>
  <c r="BA341" i="16" s="1"/>
  <c r="Y341" i="16" s="1"/>
  <c r="BK300" i="16"/>
  <c r="AM300" i="16" s="1"/>
  <c r="J300" i="16" s="1"/>
  <c r="BL103" i="16"/>
  <c r="BA103" i="16" s="1"/>
  <c r="Y103" i="16" s="1"/>
  <c r="BL327" i="16"/>
  <c r="BA327" i="16" s="1"/>
  <c r="Y327" i="16" s="1"/>
  <c r="BK341" i="16"/>
  <c r="AM341" i="16" s="1"/>
  <c r="J341" i="16" s="1"/>
  <c r="BK258" i="16"/>
  <c r="AM258" i="16" s="1"/>
  <c r="J258" i="16" s="1"/>
  <c r="BK313" i="16"/>
  <c r="BL257" i="16"/>
  <c r="BA257" i="16" s="1"/>
  <c r="Y257" i="16" s="1"/>
  <c r="BK327" i="16"/>
  <c r="AM327" i="16" s="1"/>
  <c r="J327" i="16" s="1"/>
  <c r="BL355" i="16"/>
  <c r="BA355" i="16" s="1"/>
  <c r="Y355" i="16" s="1"/>
  <c r="BK356" i="16"/>
  <c r="BM356" i="16" s="1"/>
  <c r="AP356" i="16" s="1"/>
  <c r="N356" i="16" s="1"/>
  <c r="BL243" i="16"/>
  <c r="BA243" i="16" s="1"/>
  <c r="Y243" i="16" s="1"/>
  <c r="BK216" i="16"/>
  <c r="AM216" i="16" s="1"/>
  <c r="J216" i="16" s="1"/>
  <c r="BK118" i="16"/>
  <c r="AM118" i="16" s="1"/>
  <c r="J118" i="16" s="1"/>
  <c r="BL187" i="16"/>
  <c r="BM187" i="16" s="1"/>
  <c r="BL33" i="16"/>
  <c r="BA33" i="16" s="1"/>
  <c r="Y33" i="16" s="1"/>
  <c r="BL313" i="16"/>
  <c r="BA313" i="16" s="1"/>
  <c r="Y313" i="16" s="1"/>
  <c r="BK272" i="16"/>
  <c r="AM272" i="16" s="1"/>
  <c r="J272" i="16" s="1"/>
  <c r="BL201" i="16"/>
  <c r="BA201" i="16" s="1"/>
  <c r="Y201" i="16" s="1"/>
  <c r="BK61" i="16"/>
  <c r="AM61" i="16" s="1"/>
  <c r="J61" i="16" s="1"/>
  <c r="BL61" i="16"/>
  <c r="BA61" i="16" s="1"/>
  <c r="Y61" i="16" s="1"/>
  <c r="BK286" i="16"/>
  <c r="AM286" i="16" s="1"/>
  <c r="J286" i="16" s="1"/>
  <c r="BL215" i="16"/>
  <c r="BM215" i="16" s="1"/>
  <c r="BK33" i="16"/>
  <c r="AM33" i="16" s="1"/>
  <c r="J33" i="16" s="1"/>
  <c r="BL89" i="16"/>
  <c r="BA89" i="16" s="1"/>
  <c r="Y89" i="16" s="1"/>
  <c r="BL117" i="16"/>
  <c r="BA117" i="16" s="1"/>
  <c r="Y117" i="16" s="1"/>
  <c r="BK243" i="16"/>
  <c r="I77" i="11"/>
  <c r="BK314" i="16"/>
  <c r="AM314" i="16" s="1"/>
  <c r="J314" i="16" s="1"/>
  <c r="BK229" i="16"/>
  <c r="AM229" i="16" s="1"/>
  <c r="J229" i="16" s="1"/>
  <c r="BK202" i="16"/>
  <c r="BM202" i="16" s="1"/>
  <c r="AP202" i="16" s="1"/>
  <c r="N202" i="16" s="1"/>
  <c r="BK328" i="16"/>
  <c r="AM328" i="16" s="1"/>
  <c r="J328" i="16" s="1"/>
  <c r="BL285" i="16"/>
  <c r="BA285" i="16" s="1"/>
  <c r="Y285" i="16" s="1"/>
  <c r="BK271" i="16"/>
  <c r="AM271" i="16" s="1"/>
  <c r="J271" i="16" s="1"/>
  <c r="BL299" i="16"/>
  <c r="BA299" i="16" s="1"/>
  <c r="Y299" i="16" s="1"/>
  <c r="BK103" i="16"/>
  <c r="AM103" i="16" s="1"/>
  <c r="J103" i="16" s="1"/>
  <c r="BK201" i="16"/>
  <c r="AM201" i="16" s="1"/>
  <c r="J201" i="16" s="1"/>
  <c r="BL271" i="16"/>
  <c r="BA271" i="16" s="1"/>
  <c r="Y271" i="16" s="1"/>
  <c r="BL75" i="16"/>
  <c r="BA75" i="16" s="1"/>
  <c r="Y75" i="16" s="1"/>
  <c r="BK48" i="16"/>
  <c r="AM48" i="16" s="1"/>
  <c r="J48" i="16" s="1"/>
  <c r="BK230" i="16"/>
  <c r="BM230" i="16" s="1"/>
  <c r="AP230" i="16" s="1"/>
  <c r="N230" i="16" s="1"/>
  <c r="BK77" i="11"/>
  <c r="B63" i="11"/>
  <c r="AZ112" i="13"/>
  <c r="BV112" i="13" s="1"/>
  <c r="ID172" i="16"/>
  <c r="AX60" i="13"/>
  <c r="K60" i="13" s="1"/>
  <c r="AM426" i="16"/>
  <c r="J426" i="16" s="1"/>
  <c r="BA160" i="16"/>
  <c r="Y160" i="16" s="1"/>
  <c r="BA216" i="16"/>
  <c r="Y216" i="16" s="1"/>
  <c r="BA118" i="16"/>
  <c r="Y118" i="16" s="1"/>
  <c r="BA132" i="16"/>
  <c r="Y132" i="16" s="1"/>
  <c r="BA369" i="16"/>
  <c r="Y369" i="16" s="1"/>
  <c r="BA468" i="16"/>
  <c r="Y468" i="16" s="1"/>
  <c r="BA286" i="16"/>
  <c r="Y286" i="16" s="1"/>
  <c r="AM467" i="16"/>
  <c r="J467" i="16" s="1"/>
  <c r="BA230" i="16"/>
  <c r="Y230" i="16" s="1"/>
  <c r="AY60" i="13"/>
  <c r="N60" i="13" s="1"/>
  <c r="BA62" i="16"/>
  <c r="Y62" i="16" s="1"/>
  <c r="AM439" i="16"/>
  <c r="J439" i="16" s="1"/>
  <c r="BA272" i="16"/>
  <c r="Y272" i="16" s="1"/>
  <c r="AM384" i="16"/>
  <c r="J384" i="16" s="1"/>
  <c r="BM384" i="16"/>
  <c r="AP384" i="16" s="1"/>
  <c r="N384" i="16" s="1"/>
  <c r="BA300" i="16"/>
  <c r="Y300" i="16" s="1"/>
  <c r="BA314" i="16"/>
  <c r="Y314" i="16" s="1"/>
  <c r="BA412" i="16"/>
  <c r="Y412" i="16" s="1"/>
  <c r="BA440" i="16"/>
  <c r="Y440" i="16" s="1"/>
  <c r="BA328" i="16"/>
  <c r="Y328" i="16" s="1"/>
  <c r="BA48" i="16"/>
  <c r="Y48" i="16" s="1"/>
  <c r="BA454" i="16"/>
  <c r="Y454" i="16" s="1"/>
  <c r="AX110" i="13"/>
  <c r="K110" i="13" s="1"/>
  <c r="AM383" i="16"/>
  <c r="J383" i="16" s="1"/>
  <c r="BA34" i="16"/>
  <c r="Y34" i="16" s="1"/>
  <c r="BA439" i="16"/>
  <c r="Y439" i="16" s="1"/>
  <c r="AM370" i="16"/>
  <c r="J370" i="16" s="1"/>
  <c r="AM398" i="16"/>
  <c r="J398" i="16" s="1"/>
  <c r="BA370" i="16"/>
  <c r="Y370" i="16" s="1"/>
  <c r="BA146" i="16"/>
  <c r="Y146" i="16" s="1"/>
  <c r="AM468" i="16"/>
  <c r="J468" i="16" s="1"/>
  <c r="BA397" i="16"/>
  <c r="Y397" i="16" s="1"/>
  <c r="BA383" i="16"/>
  <c r="Y383" i="16" s="1"/>
  <c r="AM412" i="16"/>
  <c r="J412" i="16" s="1"/>
  <c r="BA104" i="16"/>
  <c r="Y104" i="16" s="1"/>
  <c r="BA76" i="16"/>
  <c r="Y76" i="16" s="1"/>
  <c r="BA425" i="16"/>
  <c r="Y425" i="16" s="1"/>
  <c r="AY110" i="13"/>
  <c r="N110" i="13" s="1"/>
  <c r="BA426" i="16"/>
  <c r="Y426" i="16" s="1"/>
  <c r="BA188" i="16"/>
  <c r="Y188" i="16" s="1"/>
  <c r="BA453" i="16"/>
  <c r="Y453" i="16" s="1"/>
  <c r="BA174" i="16"/>
  <c r="Y174" i="16" s="1"/>
  <c r="BA258" i="16"/>
  <c r="Y258" i="16" s="1"/>
  <c r="BA398" i="16"/>
  <c r="Y398" i="16" s="1"/>
  <c r="BA411" i="16"/>
  <c r="Y411" i="16" s="1"/>
  <c r="BA90" i="16"/>
  <c r="Y90" i="16" s="1"/>
  <c r="BA356" i="16"/>
  <c r="Y356" i="16" s="1"/>
  <c r="BA467" i="16"/>
  <c r="Y467" i="16" s="1"/>
  <c r="BA202" i="16"/>
  <c r="Y202" i="16" s="1"/>
  <c r="BA244" i="16"/>
  <c r="Y244" i="16" s="1"/>
  <c r="AM440" i="16"/>
  <c r="J440" i="16" s="1"/>
  <c r="BA342" i="16"/>
  <c r="Y342" i="16" s="1"/>
  <c r="HG104" i="16"/>
  <c r="HH102" i="16" s="1"/>
  <c r="HM102" i="16"/>
  <c r="HL102" i="16"/>
  <c r="HG90" i="16"/>
  <c r="HH88" i="16" s="1"/>
  <c r="HL88" i="16"/>
  <c r="HM88" i="16"/>
  <c r="HG76" i="16"/>
  <c r="HH74" i="16" s="1"/>
  <c r="HM74" i="16"/>
  <c r="HL74" i="16"/>
  <c r="HG62" i="16"/>
  <c r="HH60" i="16" s="1"/>
  <c r="HL60" i="16"/>
  <c r="HM60" i="16"/>
  <c r="HG34" i="16"/>
  <c r="HH32" i="16" s="1"/>
  <c r="HM32" i="16"/>
  <c r="BK73" i="11"/>
  <c r="AX64" i="13"/>
  <c r="I73" i="11"/>
  <c r="K73" i="11" s="1"/>
  <c r="Q40" i="13"/>
  <c r="BC40" i="13" s="1"/>
  <c r="BI40" i="13" s="1"/>
  <c r="BJ40" i="13" s="1"/>
  <c r="AY80" i="13"/>
  <c r="AY64" i="13"/>
  <c r="C14" i="17"/>
  <c r="HL32" i="16"/>
  <c r="AX48" i="13"/>
  <c r="AY48" i="13"/>
  <c r="AX68" i="13"/>
  <c r="AX34" i="13"/>
  <c r="AX92" i="13"/>
  <c r="AX104" i="13"/>
  <c r="AX80" i="13"/>
  <c r="AY68" i="13"/>
  <c r="AY82" i="13"/>
  <c r="Q74" i="13"/>
  <c r="BC74" i="13" s="1"/>
  <c r="BI74" i="13" s="1"/>
  <c r="BJ74" i="13" s="1"/>
  <c r="AY34" i="13"/>
  <c r="AY50" i="13"/>
  <c r="AX52" i="13"/>
  <c r="AX54" i="13"/>
  <c r="BC41" i="11"/>
  <c r="BD41" i="11" s="1"/>
  <c r="B41" i="11" s="1"/>
  <c r="AX50" i="13"/>
  <c r="AY52" i="13"/>
  <c r="AY54" i="13"/>
  <c r="AX82" i="13"/>
  <c r="AX94" i="13"/>
  <c r="AX106" i="13"/>
  <c r="AY94" i="13"/>
  <c r="AY106" i="13"/>
  <c r="AY92" i="13"/>
  <c r="AY104" i="13"/>
  <c r="BM32" i="13"/>
  <c r="BN32" i="13" s="1"/>
  <c r="CF179" i="16"/>
  <c r="P170" i="16" s="1"/>
  <c r="P172" i="16" s="1"/>
  <c r="BS179" i="16"/>
  <c r="HG19" i="16"/>
  <c r="R64" i="17" s="1"/>
  <c r="S64" i="17"/>
  <c r="T64" i="17" s="1"/>
  <c r="HG48" i="16"/>
  <c r="HH46" i="16" s="1"/>
  <c r="HM46" i="16"/>
  <c r="HL46" i="16"/>
  <c r="HW157" i="16"/>
  <c r="HW143" i="16"/>
  <c r="HW159" i="16"/>
  <c r="HW173" i="16"/>
  <c r="HW145" i="16"/>
  <c r="HW129" i="16"/>
  <c r="HW131" i="16"/>
  <c r="HW171" i="16"/>
  <c r="F46" i="17"/>
  <c r="L129" i="13" s="1"/>
  <c r="E46" i="17"/>
  <c r="L128" i="13" s="1"/>
  <c r="T46" i="17"/>
  <c r="M129" i="13" s="1"/>
  <c r="BH86" i="13"/>
  <c r="Q24" i="13"/>
  <c r="BC24" i="13" s="1"/>
  <c r="BI24" i="13" s="1"/>
  <c r="BJ24" i="13" s="1"/>
  <c r="B67" i="11"/>
  <c r="BI72" i="13"/>
  <c r="BJ72" i="13" s="1"/>
  <c r="I74" i="13"/>
  <c r="BB74" i="13" s="1"/>
  <c r="BM74" i="13" s="1"/>
  <c r="BN74" i="13" s="1"/>
  <c r="C12" i="17"/>
  <c r="K87" i="11"/>
  <c r="BM90" i="13"/>
  <c r="BN90" i="13" s="1"/>
  <c r="BH90" i="13"/>
  <c r="L112" i="13"/>
  <c r="BW112" i="13"/>
  <c r="BM48" i="13"/>
  <c r="BN48" i="13" s="1"/>
  <c r="BH48" i="13"/>
  <c r="BM62" i="13"/>
  <c r="BN62" i="13" s="1"/>
  <c r="BM88" i="13"/>
  <c r="BN88" i="13" s="1"/>
  <c r="BM70" i="13"/>
  <c r="BN70" i="13" s="1"/>
  <c r="BH70" i="13"/>
  <c r="BM84" i="13"/>
  <c r="BN84" i="13" s="1"/>
  <c r="BH72" i="13"/>
  <c r="HM18" i="16"/>
  <c r="BM94" i="13"/>
  <c r="BN94" i="13" s="1"/>
  <c r="BH94" i="13"/>
  <c r="HL18" i="16"/>
  <c r="AW106" i="13"/>
  <c r="BA106" i="13"/>
  <c r="AV104" i="13"/>
  <c r="AZ104" i="13"/>
  <c r="BV104" i="13" s="1"/>
  <c r="AV60" i="13"/>
  <c r="AZ60" i="13"/>
  <c r="W3" i="17"/>
  <c r="AF3" i="17" s="1"/>
  <c r="HH20" i="16"/>
  <c r="BM412" i="16"/>
  <c r="AP412" i="16" s="1"/>
  <c r="N412" i="16" s="1"/>
  <c r="BC87" i="11"/>
  <c r="BD87" i="11" s="1"/>
  <c r="B87" i="11" s="1"/>
  <c r="AA21" i="17"/>
  <c r="Q42" i="13"/>
  <c r="BC42" i="13" s="1"/>
  <c r="BI42" i="13" s="1"/>
  <c r="BJ42" i="13" s="1"/>
  <c r="BM411" i="16"/>
  <c r="AA23" i="17"/>
  <c r="AA22" i="17"/>
  <c r="G17" i="17"/>
  <c r="G35" i="17"/>
  <c r="BK49" i="11"/>
  <c r="BL49" i="11" s="1"/>
  <c r="K75" i="11"/>
  <c r="C10" i="17"/>
  <c r="G39" i="17"/>
  <c r="Q32" i="13"/>
  <c r="BC32" i="13" s="1"/>
  <c r="G24" i="17"/>
  <c r="BK75" i="11"/>
  <c r="BM54" i="13"/>
  <c r="BN54" i="13" s="1"/>
  <c r="AA38" i="17"/>
  <c r="AA20" i="17"/>
  <c r="BI46" i="13"/>
  <c r="BJ46" i="13" s="1"/>
  <c r="G43" i="17"/>
  <c r="G11" i="17"/>
  <c r="BM106" i="13"/>
  <c r="BN106" i="13" s="1"/>
  <c r="AA37" i="17"/>
  <c r="BK29" i="11"/>
  <c r="BL29" i="11" s="1"/>
  <c r="AA31" i="17"/>
  <c r="M32" i="17"/>
  <c r="L32" i="17" s="1"/>
  <c r="B47" i="11"/>
  <c r="BM86" i="13"/>
  <c r="BN86" i="13" s="1"/>
  <c r="BI22" i="13"/>
  <c r="BJ22" i="13" s="1"/>
  <c r="BM44" i="13"/>
  <c r="BN44" i="13" s="1"/>
  <c r="BI60" i="13"/>
  <c r="BJ60" i="13" s="1"/>
  <c r="BI48" i="13"/>
  <c r="BJ48" i="13" s="1"/>
  <c r="BI28" i="13"/>
  <c r="BJ28" i="13" s="1"/>
  <c r="BI30" i="13"/>
  <c r="BJ30" i="13" s="1"/>
  <c r="BI66" i="13"/>
  <c r="BJ66" i="13" s="1"/>
  <c r="BJ52" i="13"/>
  <c r="BI86" i="13"/>
  <c r="BJ86" i="13" s="1"/>
  <c r="Q54" i="13"/>
  <c r="BC54" i="13" s="1"/>
  <c r="BJ94" i="13"/>
  <c r="BI64" i="13"/>
  <c r="BJ64" i="13" s="1"/>
  <c r="BI26" i="13"/>
  <c r="BJ26" i="13" s="1"/>
  <c r="AA24" i="17"/>
  <c r="AA32" i="17"/>
  <c r="Z32" i="17" s="1"/>
  <c r="S19" i="17"/>
  <c r="AA19" i="17" s="1"/>
  <c r="G27" i="17"/>
  <c r="AA27" i="17"/>
  <c r="AA28" i="17"/>
  <c r="C6" i="17"/>
  <c r="BK79" i="11"/>
  <c r="BM75" i="9"/>
  <c r="I75" i="9" s="1"/>
  <c r="K75" i="9" s="1"/>
  <c r="EY19" i="16"/>
  <c r="BK19" i="16" s="1"/>
  <c r="AM19" i="16" s="1"/>
  <c r="J19" i="16" s="1"/>
  <c r="AZ94" i="13"/>
  <c r="AW94" i="13"/>
  <c r="AV94" i="13"/>
  <c r="BA70" i="13"/>
  <c r="AZ70" i="13"/>
  <c r="BV70" i="13" s="1"/>
  <c r="N70" i="13"/>
  <c r="K70" i="13"/>
  <c r="AV70" i="13"/>
  <c r="AW70" i="13"/>
  <c r="AZ66" i="13"/>
  <c r="N66" i="13"/>
  <c r="K66" i="13"/>
  <c r="AV66" i="13"/>
  <c r="BA62" i="13"/>
  <c r="N62" i="13"/>
  <c r="K62" i="13"/>
  <c r="AW62" i="13"/>
  <c r="BA54" i="13"/>
  <c r="AW54" i="13"/>
  <c r="AZ34" i="13"/>
  <c r="BV34" i="13" s="1"/>
  <c r="AV34" i="13"/>
  <c r="BW34" i="13" s="1"/>
  <c r="AP94" i="13"/>
  <c r="V94" i="13" s="1"/>
  <c r="AP86" i="13"/>
  <c r="V86" i="13" s="1"/>
  <c r="AP74" i="13"/>
  <c r="V74" i="13" s="1"/>
  <c r="AP66" i="13"/>
  <c r="V66" i="13" s="1"/>
  <c r="AP34" i="13"/>
  <c r="V34" i="13" s="1"/>
  <c r="AP26" i="13"/>
  <c r="V26" i="13" s="1"/>
  <c r="AO62" i="13"/>
  <c r="E62" i="13" s="1"/>
  <c r="AO94" i="13"/>
  <c r="E94" i="13" s="1"/>
  <c r="AO86" i="13"/>
  <c r="E86" i="13" s="1"/>
  <c r="AO74" i="13"/>
  <c r="E74" i="13" s="1"/>
  <c r="AO66" i="13"/>
  <c r="E66" i="13" s="1"/>
  <c r="AO34" i="13"/>
  <c r="E34" i="13" s="1"/>
  <c r="AO26" i="13"/>
  <c r="E26" i="13" s="1"/>
  <c r="AO82" i="13"/>
  <c r="E82" i="13" s="1"/>
  <c r="AP120" i="13"/>
  <c r="V120" i="13" s="1"/>
  <c r="AP88" i="13"/>
  <c r="V88" i="13" s="1"/>
  <c r="AP68" i="13"/>
  <c r="V68" i="13" s="1"/>
  <c r="AP40" i="13"/>
  <c r="V40" i="13" s="1"/>
  <c r="AO120" i="13"/>
  <c r="E120" i="13" s="1"/>
  <c r="AO88" i="13"/>
  <c r="E88" i="13" s="1"/>
  <c r="AO68" i="13"/>
  <c r="E68" i="13" s="1"/>
  <c r="AO48" i="13"/>
  <c r="E48" i="13" s="1"/>
  <c r="AO28" i="13"/>
  <c r="E28" i="13" s="1"/>
  <c r="AP92" i="13"/>
  <c r="V92" i="13" s="1"/>
  <c r="AP84" i="13"/>
  <c r="V84" i="13" s="1"/>
  <c r="AP72" i="13"/>
  <c r="V72" i="13" s="1"/>
  <c r="AP64" i="13"/>
  <c r="V64" i="13" s="1"/>
  <c r="AP52" i="13"/>
  <c r="V52" i="13" s="1"/>
  <c r="AP44" i="13"/>
  <c r="V44" i="13" s="1"/>
  <c r="AP32" i="13"/>
  <c r="V32" i="13" s="1"/>
  <c r="AP24" i="13"/>
  <c r="V24" i="13" s="1"/>
  <c r="AO70" i="13"/>
  <c r="E70" i="13" s="1"/>
  <c r="AO92" i="13"/>
  <c r="E92" i="13" s="1"/>
  <c r="AO84" i="13"/>
  <c r="E84" i="13" s="1"/>
  <c r="AO72" i="13"/>
  <c r="E72" i="13" s="1"/>
  <c r="AO64" i="13"/>
  <c r="E64" i="13" s="1"/>
  <c r="AO52" i="13"/>
  <c r="E52" i="13" s="1"/>
  <c r="AO44" i="13"/>
  <c r="E44" i="13" s="1"/>
  <c r="AO32" i="13"/>
  <c r="E32" i="13" s="1"/>
  <c r="AO24" i="13"/>
  <c r="E24" i="13" s="1"/>
  <c r="AO90" i="13"/>
  <c r="E90" i="13" s="1"/>
  <c r="AO20" i="13"/>
  <c r="E20" i="13" s="1"/>
  <c r="AP60" i="13"/>
  <c r="V60" i="13" s="1"/>
  <c r="AP90" i="13"/>
  <c r="V90" i="13" s="1"/>
  <c r="AP82" i="13"/>
  <c r="V82" i="13" s="1"/>
  <c r="AP70" i="13"/>
  <c r="V70" i="13" s="1"/>
  <c r="AP62" i="13"/>
  <c r="V62" i="13" s="1"/>
  <c r="AP30" i="13"/>
  <c r="V30" i="13" s="1"/>
  <c r="AO30" i="13"/>
  <c r="E30" i="13" s="1"/>
  <c r="AP80" i="13"/>
  <c r="V80" i="13" s="1"/>
  <c r="AP48" i="13"/>
  <c r="V48" i="13" s="1"/>
  <c r="AP28" i="13"/>
  <c r="V28" i="13" s="1"/>
  <c r="AO80" i="13"/>
  <c r="E80" i="13" s="1"/>
  <c r="AO60" i="13"/>
  <c r="E60" i="13" s="1"/>
  <c r="AO40" i="13"/>
  <c r="E40" i="13" s="1"/>
  <c r="AO22" i="13"/>
  <c r="E22" i="13" s="1"/>
  <c r="AP22" i="13"/>
  <c r="V22" i="13" s="1"/>
  <c r="BC79" i="11"/>
  <c r="BD79" i="11" s="1"/>
  <c r="B79" i="11" s="1"/>
  <c r="K79" i="11"/>
  <c r="BM369" i="16"/>
  <c r="BM188" i="16"/>
  <c r="AP188" i="16" s="1"/>
  <c r="N188" i="16" s="1"/>
  <c r="AM188" i="16"/>
  <c r="J188" i="16" s="1"/>
  <c r="FT19" i="16"/>
  <c r="BL19" i="16" s="1"/>
  <c r="BA19" i="16" s="1"/>
  <c r="Y19" i="16" s="1"/>
  <c r="BM454" i="16"/>
  <c r="AP454" i="16" s="1"/>
  <c r="N454" i="16" s="1"/>
  <c r="BM425" i="16"/>
  <c r="AM257" i="16"/>
  <c r="J257" i="16" s="1"/>
  <c r="I30" i="13"/>
  <c r="BB30" i="13" s="1"/>
  <c r="BH30" i="13" s="1"/>
  <c r="BK81" i="11"/>
  <c r="EY20" i="16"/>
  <c r="BK20" i="16" s="1"/>
  <c r="AM20" i="16" s="1"/>
  <c r="J20" i="16" s="1"/>
  <c r="AM369" i="16"/>
  <c r="J369" i="16" s="1"/>
  <c r="AM411" i="16"/>
  <c r="J411" i="16" s="1"/>
  <c r="BC83" i="9"/>
  <c r="BD83" i="9" s="1"/>
  <c r="B83" i="9" s="1"/>
  <c r="K83" i="9"/>
  <c r="I81" i="11"/>
  <c r="BC81" i="11" s="1"/>
  <c r="BD81" i="11" s="1"/>
  <c r="B81" i="11" s="1"/>
  <c r="BM468" i="16"/>
  <c r="AP468" i="16" s="1"/>
  <c r="N468" i="16" s="1"/>
  <c r="BM398" i="16"/>
  <c r="AP398" i="16" s="1"/>
  <c r="N398" i="16" s="1"/>
  <c r="BM383" i="16"/>
  <c r="AM425" i="16"/>
  <c r="J425" i="16" s="1"/>
  <c r="AM454" i="16"/>
  <c r="J454" i="16" s="1"/>
  <c r="AM355" i="16"/>
  <c r="J355" i="16" s="1"/>
  <c r="AM76" i="16"/>
  <c r="J76" i="16" s="1"/>
  <c r="BM76" i="16"/>
  <c r="AP76" i="16" s="1"/>
  <c r="N76" i="16" s="1"/>
  <c r="BK83" i="9"/>
  <c r="AM90" i="16"/>
  <c r="J90" i="16" s="1"/>
  <c r="BM90" i="16"/>
  <c r="AP90" i="16" s="1"/>
  <c r="N90" i="16" s="1"/>
  <c r="AM187" i="16"/>
  <c r="J187" i="16" s="1"/>
  <c r="AM89" i="16"/>
  <c r="J89" i="16" s="1"/>
  <c r="BM467" i="16"/>
  <c r="AM342" i="16"/>
  <c r="J342" i="16" s="1"/>
  <c r="BM342" i="16"/>
  <c r="AP342" i="16" s="1"/>
  <c r="N342" i="16" s="1"/>
  <c r="AM47" i="16"/>
  <c r="J47" i="16" s="1"/>
  <c r="AM62" i="16"/>
  <c r="J62" i="16" s="1"/>
  <c r="BM62" i="16"/>
  <c r="AP62" i="16" s="1"/>
  <c r="N62" i="16" s="1"/>
  <c r="AM215" i="16"/>
  <c r="J215" i="16" s="1"/>
  <c r="AM117" i="16"/>
  <c r="J117" i="16" s="1"/>
  <c r="BK77" i="9"/>
  <c r="BC63" i="9"/>
  <c r="BD63" i="9" s="1"/>
  <c r="B63" i="9" s="1"/>
  <c r="Q20" i="13"/>
  <c r="BC20" i="13" s="1"/>
  <c r="BC107" i="11"/>
  <c r="BD107" i="11" s="1"/>
  <c r="Q114" i="13"/>
  <c r="BC114" i="13" s="1"/>
  <c r="BM85" i="9"/>
  <c r="I85" i="9"/>
  <c r="BC27" i="9"/>
  <c r="BD27" i="9" s="1"/>
  <c r="B27" i="9" s="1"/>
  <c r="I34" i="13"/>
  <c r="BB34" i="13" s="1"/>
  <c r="BH34" i="13" s="1"/>
  <c r="I50" i="13"/>
  <c r="BB50" i="13" s="1"/>
  <c r="BH50" i="13" s="1"/>
  <c r="BC101" i="11"/>
  <c r="BD101" i="11" s="1"/>
  <c r="Q108" i="13"/>
  <c r="BC108" i="13" s="1"/>
  <c r="K81" i="9"/>
  <c r="BC81" i="9"/>
  <c r="BD81" i="9" s="1"/>
  <c r="B81" i="9" s="1"/>
  <c r="B37" i="9"/>
  <c r="BD13" i="11"/>
  <c r="B13" i="11" s="1"/>
  <c r="BC15" i="9"/>
  <c r="BD15" i="9" s="1"/>
  <c r="B15" i="9" s="1"/>
  <c r="I22" i="13"/>
  <c r="BB22" i="13" s="1"/>
  <c r="BH22" i="13" s="1"/>
  <c r="BC59" i="9"/>
  <c r="BD59" i="9" s="1"/>
  <c r="B59" i="9" s="1"/>
  <c r="I66" i="13"/>
  <c r="BB66" i="13" s="1"/>
  <c r="BC13" i="9"/>
  <c r="BD13" i="9" s="1"/>
  <c r="B13" i="9" s="1"/>
  <c r="I20" i="13"/>
  <c r="BB20" i="13" s="1"/>
  <c r="BC105" i="9"/>
  <c r="BD105" i="9" s="1"/>
  <c r="I112" i="13"/>
  <c r="BB112" i="13" s="1"/>
  <c r="BC39" i="9"/>
  <c r="BD39" i="9" s="1"/>
  <c r="B39" i="9" s="1"/>
  <c r="I46" i="13"/>
  <c r="BB46" i="13" s="1"/>
  <c r="BH46" i="13" s="1"/>
  <c r="BC35" i="9"/>
  <c r="BD35" i="9" s="1"/>
  <c r="B35" i="9" s="1"/>
  <c r="I42" i="13"/>
  <c r="BB42" i="13" s="1"/>
  <c r="BC103" i="9"/>
  <c r="BD103" i="9" s="1"/>
  <c r="I110" i="13"/>
  <c r="BB110" i="13" s="1"/>
  <c r="BH110" i="13" s="1"/>
  <c r="BC53" i="9"/>
  <c r="BD53" i="9" s="1"/>
  <c r="B53" i="9" s="1"/>
  <c r="I60" i="13"/>
  <c r="BB60" i="13" s="1"/>
  <c r="BC107" i="9"/>
  <c r="BD107" i="9" s="1"/>
  <c r="I114" i="13"/>
  <c r="BB114" i="13" s="1"/>
  <c r="BC33" i="9"/>
  <c r="BD33" i="9" s="1"/>
  <c r="B33" i="9" s="1"/>
  <c r="I40" i="13"/>
  <c r="BB40" i="13" s="1"/>
  <c r="BC21" i="9"/>
  <c r="BD21" i="9" s="1"/>
  <c r="B21" i="9" s="1"/>
  <c r="I28" i="13"/>
  <c r="BB28" i="13" s="1"/>
  <c r="BH28" i="13" s="1"/>
  <c r="BC101" i="9"/>
  <c r="BD101" i="9" s="1"/>
  <c r="I108" i="13"/>
  <c r="BB108" i="13" s="1"/>
  <c r="BC45" i="9"/>
  <c r="BD45" i="9" s="1"/>
  <c r="B45" i="9" s="1"/>
  <c r="I52" i="13"/>
  <c r="BB52" i="13" s="1"/>
  <c r="BC17" i="9"/>
  <c r="BD17" i="9" s="1"/>
  <c r="B17" i="9" s="1"/>
  <c r="I24" i="13"/>
  <c r="BB24" i="13" s="1"/>
  <c r="BC57" i="9"/>
  <c r="BD57" i="9" s="1"/>
  <c r="B57" i="9" s="1"/>
  <c r="I64" i="13"/>
  <c r="BB64" i="13" s="1"/>
  <c r="BC97" i="9"/>
  <c r="BD97" i="9" s="1"/>
  <c r="I104" i="13"/>
  <c r="BB104" i="13" s="1"/>
  <c r="BH104" i="13" s="1"/>
  <c r="BC19" i="9"/>
  <c r="BD19" i="9" s="1"/>
  <c r="B19" i="9" s="1"/>
  <c r="I26" i="13"/>
  <c r="BB26" i="13" s="1"/>
  <c r="BH26" i="13" s="1"/>
  <c r="BC61" i="9"/>
  <c r="BD61" i="9" s="1"/>
  <c r="B61" i="9" s="1"/>
  <c r="I68" i="13"/>
  <c r="BB68" i="13" s="1"/>
  <c r="BK49" i="9"/>
  <c r="BL49" i="9" s="1"/>
  <c r="BK69" i="9"/>
  <c r="BL69" i="9" s="1"/>
  <c r="BK29" i="9"/>
  <c r="BL29" i="9" s="1"/>
  <c r="O129" i="9"/>
  <c r="G130" i="9"/>
  <c r="I129" i="9"/>
  <c r="K129" i="9"/>
  <c r="M129" i="9"/>
  <c r="K87" i="9"/>
  <c r="BC87" i="9"/>
  <c r="BD87" i="9" s="1"/>
  <c r="B87" i="9" s="1"/>
  <c r="O130" i="11"/>
  <c r="M130" i="11"/>
  <c r="K130" i="11"/>
  <c r="I130" i="11"/>
  <c r="G131" i="11"/>
  <c r="K77" i="9"/>
  <c r="BC77" i="9"/>
  <c r="BD77" i="9" s="1"/>
  <c r="B77" i="9" s="1"/>
  <c r="G9" i="17" l="1"/>
  <c r="HW297" i="16"/>
  <c r="I43" i="19"/>
  <c r="J43" i="19" s="1"/>
  <c r="M19" i="17"/>
  <c r="L19" i="17" s="1"/>
  <c r="G13" i="17"/>
  <c r="G19" i="17"/>
  <c r="AC19" i="17"/>
  <c r="Z19" i="17"/>
  <c r="G26" i="17"/>
  <c r="HW215" i="16"/>
  <c r="HW213" i="16"/>
  <c r="HW227" i="16"/>
  <c r="HW185" i="16"/>
  <c r="HW229" i="16"/>
  <c r="HW257" i="16"/>
  <c r="HW199" i="16"/>
  <c r="AV62" i="13"/>
  <c r="AZ62" i="13"/>
  <c r="G7" i="17"/>
  <c r="BI62" i="13"/>
  <c r="BJ62" i="13" s="1"/>
  <c r="HW325" i="16"/>
  <c r="HW201" i="16"/>
  <c r="X28" i="17" s="1"/>
  <c r="HW383" i="16"/>
  <c r="X41" i="17" s="1"/>
  <c r="BI44" i="13"/>
  <c r="BJ44" i="13" s="1"/>
  <c r="HW299" i="16"/>
  <c r="BC69" i="11"/>
  <c r="HW395" i="16"/>
  <c r="J42" i="17" s="1"/>
  <c r="HW339" i="16"/>
  <c r="AC11" i="17"/>
  <c r="HW311" i="16"/>
  <c r="HW341" i="16"/>
  <c r="HW327" i="16"/>
  <c r="HW117" i="16"/>
  <c r="X26" i="17" s="1"/>
  <c r="HW241" i="16"/>
  <c r="J31" i="17" s="1"/>
  <c r="HW255" i="16"/>
  <c r="HW381" i="16"/>
  <c r="HW115" i="16"/>
  <c r="J26" i="17" s="1"/>
  <c r="HW243" i="16"/>
  <c r="HW313" i="16"/>
  <c r="HW397" i="16"/>
  <c r="X42" i="17" s="1"/>
  <c r="AF13" i="17"/>
  <c r="BM300" i="16"/>
  <c r="AP300" i="16" s="1"/>
  <c r="N300" i="16" s="1"/>
  <c r="Z27" i="17"/>
  <c r="AF27" i="17"/>
  <c r="M27" i="17"/>
  <c r="L27" i="17" s="1"/>
  <c r="AF9" i="17"/>
  <c r="Z38" i="17"/>
  <c r="M38" i="17"/>
  <c r="L38" i="17" s="1"/>
  <c r="AF38" i="17"/>
  <c r="Z22" i="17"/>
  <c r="M22" i="17"/>
  <c r="L22" i="17" s="1"/>
  <c r="BM386" i="16"/>
  <c r="BL386" i="16" s="1"/>
  <c r="BC29" i="11"/>
  <c r="Q14" i="17"/>
  <c r="AF24" i="17"/>
  <c r="Z24" i="17"/>
  <c r="BM33" i="16"/>
  <c r="AP33" i="16" s="1"/>
  <c r="N33" i="16" s="1"/>
  <c r="M24" i="17"/>
  <c r="L24" i="17" s="1"/>
  <c r="BM328" i="16"/>
  <c r="AP328" i="16" s="1"/>
  <c r="N328" i="16" s="1"/>
  <c r="BM257" i="16"/>
  <c r="AP257" i="16" s="1"/>
  <c r="N257" i="16" s="1"/>
  <c r="BM75" i="16"/>
  <c r="BM78" i="16" s="1"/>
  <c r="BL78" i="16" s="1"/>
  <c r="BM89" i="16"/>
  <c r="BM92" i="16" s="1"/>
  <c r="BL92" i="16" s="1"/>
  <c r="BM272" i="16"/>
  <c r="AP272" i="16" s="1"/>
  <c r="N272" i="16" s="1"/>
  <c r="Z28" i="17"/>
  <c r="Z20" i="17"/>
  <c r="M21" i="17"/>
  <c r="L21" i="17" s="1"/>
  <c r="M28" i="17"/>
  <c r="L28" i="17" s="1"/>
  <c r="Z21" i="17"/>
  <c r="Z37" i="17"/>
  <c r="BM117" i="16"/>
  <c r="AP117" i="16" s="1"/>
  <c r="N117" i="16" s="1"/>
  <c r="BM355" i="16"/>
  <c r="BM358" i="16" s="1"/>
  <c r="BL358" i="16" s="1"/>
  <c r="AC21" i="17"/>
  <c r="M37" i="17"/>
  <c r="L37" i="17" s="1"/>
  <c r="AC28" i="17"/>
  <c r="BM216" i="16"/>
  <c r="AP216" i="16" s="1"/>
  <c r="N216" i="16" s="1"/>
  <c r="BM341" i="16"/>
  <c r="AP341" i="16" s="1"/>
  <c r="N341" i="16" s="1"/>
  <c r="BM314" i="16"/>
  <c r="AP314" i="16" s="1"/>
  <c r="N314" i="16" s="1"/>
  <c r="BM34" i="16"/>
  <c r="AP34" i="16" s="1"/>
  <c r="N34" i="16" s="1"/>
  <c r="BM258" i="16"/>
  <c r="AP258" i="16" s="1"/>
  <c r="N258" i="16" s="1"/>
  <c r="BM118" i="16"/>
  <c r="AP118" i="16" s="1"/>
  <c r="N118" i="16" s="1"/>
  <c r="BM47" i="16"/>
  <c r="AP47" i="16" s="1"/>
  <c r="N47" i="16" s="1"/>
  <c r="BM271" i="16"/>
  <c r="BM286" i="16"/>
  <c r="AP286" i="16" s="1"/>
  <c r="N286" i="16" s="1"/>
  <c r="BM229" i="16"/>
  <c r="BM232" i="16" s="1"/>
  <c r="BL232" i="16" s="1"/>
  <c r="M25" i="17"/>
  <c r="L25" i="17" s="1"/>
  <c r="AC25" i="17"/>
  <c r="Z25" i="17"/>
  <c r="I127" i="19"/>
  <c r="J127" i="19" s="1"/>
  <c r="I115" i="19"/>
  <c r="J115" i="19" s="1"/>
  <c r="Z26" i="17"/>
  <c r="Z23" i="17"/>
  <c r="Z31" i="17"/>
  <c r="AC23" i="17"/>
  <c r="AC31" i="17"/>
  <c r="M23" i="17"/>
  <c r="L23" i="17" s="1"/>
  <c r="AF31" i="17"/>
  <c r="BM285" i="16"/>
  <c r="BM299" i="16"/>
  <c r="AC26" i="17"/>
  <c r="AC7" i="17"/>
  <c r="AF37" i="17"/>
  <c r="AF22" i="17"/>
  <c r="AF20" i="17"/>
  <c r="M20" i="17"/>
  <c r="L20" i="17" s="1"/>
  <c r="Q8" i="17"/>
  <c r="AF5" i="17"/>
  <c r="BV66" i="13"/>
  <c r="M26" i="17"/>
  <c r="L26" i="17" s="1"/>
  <c r="BS137" i="16"/>
  <c r="L128" i="16" s="1"/>
  <c r="L130" i="16" s="1"/>
  <c r="ID130" i="16"/>
  <c r="BM470" i="16"/>
  <c r="BL470" i="16" s="1"/>
  <c r="BM414" i="16"/>
  <c r="BL414" i="16" s="1"/>
  <c r="Q80" i="13"/>
  <c r="BC80" i="13" s="1"/>
  <c r="AV80" i="13" s="1"/>
  <c r="BM190" i="16"/>
  <c r="BL190" i="16" s="1"/>
  <c r="Q18" i="17"/>
  <c r="AC15" i="17"/>
  <c r="Q12" i="17"/>
  <c r="BC49" i="11"/>
  <c r="BY70" i="13"/>
  <c r="BM103" i="16"/>
  <c r="AP103" i="16" s="1"/>
  <c r="N103" i="16" s="1"/>
  <c r="AM230" i="16"/>
  <c r="J230" i="16" s="1"/>
  <c r="BY62" i="13"/>
  <c r="BH40" i="13"/>
  <c r="BC73" i="11"/>
  <c r="BD73" i="11" s="1"/>
  <c r="B73" i="11" s="1"/>
  <c r="BM61" i="16"/>
  <c r="AP61" i="16" s="1"/>
  <c r="N61" i="16" s="1"/>
  <c r="ID144" i="16"/>
  <c r="BM104" i="16"/>
  <c r="AP104" i="16" s="1"/>
  <c r="N104" i="16" s="1"/>
  <c r="BS151" i="16"/>
  <c r="AX151" i="16" s="1"/>
  <c r="BM48" i="16"/>
  <c r="AP48" i="16" s="1"/>
  <c r="N48" i="16" s="1"/>
  <c r="BM243" i="16"/>
  <c r="BM246" i="16" s="1"/>
  <c r="BL246" i="16" s="1"/>
  <c r="BM313" i="16"/>
  <c r="BM327" i="16"/>
  <c r="AD3" i="17"/>
  <c r="BM201" i="16"/>
  <c r="BM204" i="16" s="1"/>
  <c r="BL204" i="16" s="1"/>
  <c r="AM243" i="16"/>
  <c r="J243" i="16" s="1"/>
  <c r="BA215" i="16"/>
  <c r="Y215" i="16" s="1"/>
  <c r="BA187" i="16"/>
  <c r="Y187" i="16" s="1"/>
  <c r="AM356" i="16"/>
  <c r="J356" i="16" s="1"/>
  <c r="AM313" i="16"/>
  <c r="J313" i="16" s="1"/>
  <c r="AM244" i="16"/>
  <c r="J244" i="16" s="1"/>
  <c r="AM202" i="16"/>
  <c r="J202" i="16" s="1"/>
  <c r="ID158" i="16"/>
  <c r="Q84" i="13"/>
  <c r="BC84" i="13" s="1"/>
  <c r="BC77" i="11"/>
  <c r="BD77" i="11" s="1"/>
  <c r="B77" i="11" s="1"/>
  <c r="K77" i="11"/>
  <c r="BH20" i="13"/>
  <c r="BH24" i="13"/>
  <c r="BH42" i="13"/>
  <c r="BA384" i="16"/>
  <c r="Y384" i="16" s="1"/>
  <c r="BM397" i="16"/>
  <c r="BM370" i="16"/>
  <c r="AP370" i="16" s="1"/>
  <c r="N370" i="16" s="1"/>
  <c r="BM426" i="16"/>
  <c r="AP426" i="16" s="1"/>
  <c r="N426" i="16" s="1"/>
  <c r="BM440" i="16"/>
  <c r="AP440" i="16" s="1"/>
  <c r="N440" i="16" s="1"/>
  <c r="AM397" i="16"/>
  <c r="J397" i="16" s="1"/>
  <c r="BM439" i="16"/>
  <c r="BM453" i="16"/>
  <c r="BM456" i="16" s="1"/>
  <c r="BL456" i="16" s="1"/>
  <c r="HV32" i="16"/>
  <c r="AM453" i="16"/>
  <c r="J453" i="16" s="1"/>
  <c r="HW187" i="16"/>
  <c r="X27" i="17" s="1"/>
  <c r="HO102" i="16"/>
  <c r="AV46" i="13" s="1"/>
  <c r="L46" i="13" s="1"/>
  <c r="HP102" i="16"/>
  <c r="AW46" i="13" s="1"/>
  <c r="M46" i="13" s="1"/>
  <c r="HV102" i="16"/>
  <c r="HU102" i="16"/>
  <c r="HQ102" i="16"/>
  <c r="HR102" i="16"/>
  <c r="HO88" i="16"/>
  <c r="AV30" i="13" s="1"/>
  <c r="BW30" i="13" s="1"/>
  <c r="HP88" i="16"/>
  <c r="AW30" i="13" s="1"/>
  <c r="HV88" i="16"/>
  <c r="HR88" i="16"/>
  <c r="AY30" i="13" s="1"/>
  <c r="N30" i="13" s="1"/>
  <c r="HQ88" i="16"/>
  <c r="AX30" i="13" s="1"/>
  <c r="K30" i="13" s="1"/>
  <c r="HU88" i="16"/>
  <c r="HP32" i="16"/>
  <c r="HO32" i="16"/>
  <c r="AV22" i="13" s="1"/>
  <c r="BW22" i="13" s="1"/>
  <c r="HQ32" i="16"/>
  <c r="AX22" i="13" s="1"/>
  <c r="K22" i="13" s="1"/>
  <c r="HR32" i="16"/>
  <c r="AY22" i="13" s="1"/>
  <c r="N22" i="13" s="1"/>
  <c r="HP74" i="16"/>
  <c r="HO74" i="16"/>
  <c r="HR74" i="16"/>
  <c r="HQ74" i="16"/>
  <c r="HU74" i="16"/>
  <c r="HV74" i="16"/>
  <c r="HU32" i="16"/>
  <c r="HO60" i="16"/>
  <c r="AV26" i="13" s="1"/>
  <c r="BW26" i="13" s="1"/>
  <c r="HP60" i="16"/>
  <c r="AW40" i="13" s="1"/>
  <c r="HV60" i="16"/>
  <c r="HU60" i="16"/>
  <c r="HR60" i="16"/>
  <c r="HQ60" i="16"/>
  <c r="BH54" i="13"/>
  <c r="BI54" i="13"/>
  <c r="BJ54" i="13" s="1"/>
  <c r="BH32" i="13"/>
  <c r="L130" i="13"/>
  <c r="BH74" i="13"/>
  <c r="AP383" i="16"/>
  <c r="N383" i="16" s="1"/>
  <c r="AP369" i="16"/>
  <c r="N369" i="16" s="1"/>
  <c r="AJ179" i="16"/>
  <c r="BA179" i="16"/>
  <c r="AM179" i="16"/>
  <c r="L170" i="16"/>
  <c r="L172" i="16" s="1"/>
  <c r="AX179" i="16"/>
  <c r="AP425" i="16"/>
  <c r="N425" i="16" s="1"/>
  <c r="HP46" i="16"/>
  <c r="HO46" i="16"/>
  <c r="HV46" i="16"/>
  <c r="HU46" i="16"/>
  <c r="HR46" i="16"/>
  <c r="HQ46" i="16"/>
  <c r="S46" i="17"/>
  <c r="M128" i="13" s="1"/>
  <c r="M130" i="13" s="1"/>
  <c r="BH52" i="13"/>
  <c r="BM52" i="13"/>
  <c r="BN52" i="13" s="1"/>
  <c r="BM34" i="13"/>
  <c r="BN34" i="13" s="1"/>
  <c r="BI32" i="13"/>
  <c r="BJ32" i="13" s="1"/>
  <c r="AP411" i="16"/>
  <c r="N411" i="16" s="1"/>
  <c r="BZ70" i="13"/>
  <c r="M70" i="13" s="1"/>
  <c r="BW70" i="13"/>
  <c r="L70" i="13" s="1"/>
  <c r="BH108" i="13"/>
  <c r="BW66" i="13"/>
  <c r="BZ62" i="13"/>
  <c r="M62" i="13" s="1"/>
  <c r="BM26" i="13"/>
  <c r="BN26" i="13" s="1"/>
  <c r="BM22" i="13"/>
  <c r="BN22" i="13" s="1"/>
  <c r="BM30" i="13"/>
  <c r="BN30" i="13" s="1"/>
  <c r="BM60" i="13"/>
  <c r="BN60" i="13" s="1"/>
  <c r="BH60" i="13"/>
  <c r="BM66" i="13"/>
  <c r="BN66" i="13" s="1"/>
  <c r="BH66" i="13"/>
  <c r="BV94" i="13"/>
  <c r="BZ54" i="13"/>
  <c r="BZ94" i="13"/>
  <c r="M94" i="13" s="1"/>
  <c r="BM64" i="13"/>
  <c r="BN64" i="13" s="1"/>
  <c r="BH64" i="13"/>
  <c r="BM28" i="13"/>
  <c r="BN28" i="13" s="1"/>
  <c r="BM20" i="13"/>
  <c r="BN20" i="13" s="1"/>
  <c r="BY54" i="13"/>
  <c r="BH68" i="13"/>
  <c r="BM68" i="13"/>
  <c r="BN68" i="13" s="1"/>
  <c r="BW94" i="13"/>
  <c r="L94" i="13" s="1"/>
  <c r="L34" i="13"/>
  <c r="BV60" i="13"/>
  <c r="BW60" i="13"/>
  <c r="BW104" i="13"/>
  <c r="L104" i="13" s="1"/>
  <c r="BY106" i="13"/>
  <c r="BZ106" i="13"/>
  <c r="M106" i="13" s="1"/>
  <c r="AV52" i="13"/>
  <c r="BA94" i="13"/>
  <c r="BY94" i="13" s="1"/>
  <c r="AZ52" i="13"/>
  <c r="BV52" i="13" s="1"/>
  <c r="AV92" i="13"/>
  <c r="BK89" i="11"/>
  <c r="BL89" i="11" s="1"/>
  <c r="AV50" i="13"/>
  <c r="BC75" i="9"/>
  <c r="BD75" i="9" s="1"/>
  <c r="B75" i="9" s="1"/>
  <c r="BM114" i="13"/>
  <c r="BN114" i="13" s="1"/>
  <c r="BA114" i="13"/>
  <c r="AW114" i="13"/>
  <c r="BI114" i="13"/>
  <c r="BJ114" i="13" s="1"/>
  <c r="AZ114" i="13"/>
  <c r="AV114" i="13"/>
  <c r="AZ92" i="13"/>
  <c r="BV92" i="13" s="1"/>
  <c r="BM112" i="13"/>
  <c r="BN112" i="13" s="1"/>
  <c r="BA112" i="13"/>
  <c r="AW112" i="13"/>
  <c r="AZ50" i="13"/>
  <c r="BV50" i="13" s="1"/>
  <c r="AZ54" i="13"/>
  <c r="AV54" i="13"/>
  <c r="AV68" i="13"/>
  <c r="AZ68" i="13"/>
  <c r="BV68" i="13" s="1"/>
  <c r="AV64" i="13"/>
  <c r="AZ64" i="13"/>
  <c r="BV64" i="13" s="1"/>
  <c r="AW48" i="13"/>
  <c r="N48" i="13"/>
  <c r="K82" i="13"/>
  <c r="K64" i="13"/>
  <c r="BM46" i="13"/>
  <c r="BN46" i="13" s="1"/>
  <c r="BI108" i="13"/>
  <c r="BJ108" i="13" s="1"/>
  <c r="AZ48" i="13"/>
  <c r="BV48" i="13" s="1"/>
  <c r="N82" i="13"/>
  <c r="AV48" i="13"/>
  <c r="N64" i="13"/>
  <c r="AZ82" i="13"/>
  <c r="BV82" i="13" s="1"/>
  <c r="AZ106" i="13"/>
  <c r="BV106" i="13" s="1"/>
  <c r="AV110" i="13"/>
  <c r="AW104" i="13"/>
  <c r="BA104" i="13"/>
  <c r="BM104" i="13"/>
  <c r="BN104" i="13" s="1"/>
  <c r="BM108" i="13"/>
  <c r="BN108" i="13" s="1"/>
  <c r="BA50" i="13"/>
  <c r="AW50" i="13"/>
  <c r="BM50" i="13"/>
  <c r="BN50" i="13" s="1"/>
  <c r="BA48" i="13"/>
  <c r="BY48" i="13" s="1"/>
  <c r="BA110" i="13"/>
  <c r="AW110" i="13"/>
  <c r="BM110" i="13"/>
  <c r="BN110" i="13" s="1"/>
  <c r="AV82" i="13"/>
  <c r="AV106" i="13"/>
  <c r="AZ110" i="13"/>
  <c r="BV110" i="13" s="1"/>
  <c r="BM42" i="13"/>
  <c r="BN42" i="13" s="1"/>
  <c r="K48" i="13"/>
  <c r="N68" i="13"/>
  <c r="AW64" i="13"/>
  <c r="BA52" i="13"/>
  <c r="AW52" i="13"/>
  <c r="BA68" i="13"/>
  <c r="BA66" i="13"/>
  <c r="BA34" i="13"/>
  <c r="AW34" i="13"/>
  <c r="BA64" i="13"/>
  <c r="AW68" i="13"/>
  <c r="BA60" i="13"/>
  <c r="BM24" i="13"/>
  <c r="BN24" i="13" s="1"/>
  <c r="BM40" i="13"/>
  <c r="BN40" i="13" s="1"/>
  <c r="AW66" i="13"/>
  <c r="AW60" i="13"/>
  <c r="BI20" i="13"/>
  <c r="BJ20" i="13" s="1"/>
  <c r="N52" i="13"/>
  <c r="N34" i="13"/>
  <c r="K50" i="13"/>
  <c r="N94" i="13"/>
  <c r="N106" i="13"/>
  <c r="N50" i="13"/>
  <c r="K80" i="13"/>
  <c r="K92" i="13"/>
  <c r="K104" i="13"/>
  <c r="N80" i="13"/>
  <c r="N92" i="13"/>
  <c r="N104" i="13"/>
  <c r="K94" i="13"/>
  <c r="K106" i="13"/>
  <c r="I82" i="13"/>
  <c r="BB82" i="13" s="1"/>
  <c r="K34" i="13"/>
  <c r="K52" i="13"/>
  <c r="K68" i="13"/>
  <c r="BM20" i="16"/>
  <c r="AP20" i="16" s="1"/>
  <c r="N20" i="16" s="1"/>
  <c r="K85" i="9"/>
  <c r="BC85" i="9"/>
  <c r="BD85" i="9" s="1"/>
  <c r="B85" i="9" s="1"/>
  <c r="BM19" i="16"/>
  <c r="Q88" i="13"/>
  <c r="BC88" i="13" s="1"/>
  <c r="BH88" i="13" s="1"/>
  <c r="K81" i="11"/>
  <c r="AP215" i="16"/>
  <c r="N215" i="16" s="1"/>
  <c r="AP467" i="16"/>
  <c r="N467" i="16" s="1"/>
  <c r="AP187" i="16"/>
  <c r="N187" i="16" s="1"/>
  <c r="I92" i="13"/>
  <c r="BB92" i="13" s="1"/>
  <c r="BC69" i="9"/>
  <c r="BC49" i="9"/>
  <c r="BC29" i="9"/>
  <c r="G132" i="11"/>
  <c r="O131" i="11"/>
  <c r="M131" i="11"/>
  <c r="K131" i="11"/>
  <c r="I131" i="11"/>
  <c r="G131" i="9"/>
  <c r="I130" i="9"/>
  <c r="O130" i="9"/>
  <c r="K130" i="9"/>
  <c r="M130" i="9"/>
  <c r="IC88" i="16" l="1"/>
  <c r="X32" i="17"/>
  <c r="BW62" i="13"/>
  <c r="BV62" i="13"/>
  <c r="IC46" i="16"/>
  <c r="IC74" i="16"/>
  <c r="IC32" i="16"/>
  <c r="IC102" i="16"/>
  <c r="IC60" i="16"/>
  <c r="J28" i="17"/>
  <c r="L62" i="13"/>
  <c r="J27" i="17"/>
  <c r="J32" i="17"/>
  <c r="J37" i="17"/>
  <c r="J38" i="17"/>
  <c r="BM288" i="16"/>
  <c r="BL288" i="16" s="1"/>
  <c r="BS291" i="16" s="1"/>
  <c r="BA291" i="16" s="1"/>
  <c r="X37" i="17"/>
  <c r="X31" i="17"/>
  <c r="IB46" i="16"/>
  <c r="J41" i="17"/>
  <c r="X38" i="17"/>
  <c r="IA102" i="16"/>
  <c r="IA46" i="16"/>
  <c r="HZ32" i="16"/>
  <c r="IA32" i="16"/>
  <c r="IA74" i="16"/>
  <c r="IA88" i="16"/>
  <c r="IA60" i="16"/>
  <c r="IB74" i="16"/>
  <c r="HZ46" i="16"/>
  <c r="IB32" i="16"/>
  <c r="HZ74" i="16"/>
  <c r="HZ88" i="16"/>
  <c r="HZ102" i="16"/>
  <c r="HZ60" i="16"/>
  <c r="IB102" i="16"/>
  <c r="BA26" i="13"/>
  <c r="BY26" i="13" s="1"/>
  <c r="IB60" i="16"/>
  <c r="BA30" i="13"/>
  <c r="BY30" i="13" s="1"/>
  <c r="IB88" i="16"/>
  <c r="AZ22" i="13"/>
  <c r="BV22" i="13" s="1"/>
  <c r="BA22" i="13"/>
  <c r="BY22" i="13" s="1"/>
  <c r="BM302" i="16"/>
  <c r="BL302" i="16" s="1"/>
  <c r="CF305" i="16" s="1"/>
  <c r="P296" i="16" s="1"/>
  <c r="P298" i="16" s="1"/>
  <c r="AV42" i="13"/>
  <c r="BW42" i="13" s="1"/>
  <c r="AP355" i="16"/>
  <c r="N355" i="16" s="1"/>
  <c r="BM274" i="16"/>
  <c r="BL274" i="16" s="1"/>
  <c r="BS277" i="16" s="1"/>
  <c r="AX277" i="16" s="1"/>
  <c r="AP285" i="16"/>
  <c r="N285" i="16" s="1"/>
  <c r="AP271" i="16"/>
  <c r="N271" i="16" s="1"/>
  <c r="AP75" i="16"/>
  <c r="N75" i="16" s="1"/>
  <c r="BM316" i="16"/>
  <c r="BL316" i="16" s="1"/>
  <c r="CF319" i="16" s="1"/>
  <c r="P310" i="16" s="1"/>
  <c r="P312" i="16" s="1"/>
  <c r="BM218" i="16"/>
  <c r="BL218" i="16" s="1"/>
  <c r="CF221" i="16" s="1"/>
  <c r="P212" i="16" s="1"/>
  <c r="P214" i="16" s="1"/>
  <c r="AP89" i="16"/>
  <c r="N89" i="16" s="1"/>
  <c r="BM344" i="16"/>
  <c r="BL344" i="16" s="1"/>
  <c r="BS347" i="16" s="1"/>
  <c r="AP229" i="16"/>
  <c r="N229" i="16" s="1"/>
  <c r="AP313" i="16"/>
  <c r="N313" i="16" s="1"/>
  <c r="AP299" i="16"/>
  <c r="N299" i="16" s="1"/>
  <c r="BM120" i="16"/>
  <c r="BL120" i="16" s="1"/>
  <c r="BS123" i="16" s="1"/>
  <c r="BM260" i="16"/>
  <c r="BL260" i="16" s="1"/>
  <c r="CF263" i="16" s="1"/>
  <c r="P254" i="16" s="1"/>
  <c r="P256" i="16" s="1"/>
  <c r="BM36" i="16"/>
  <c r="BL36" i="16" s="1"/>
  <c r="CF39" i="16" s="1"/>
  <c r="P30" i="16" s="1"/>
  <c r="P32" i="16" s="1"/>
  <c r="BI80" i="13"/>
  <c r="BJ80" i="13" s="1"/>
  <c r="BW80" i="13" s="1"/>
  <c r="AZ80" i="13"/>
  <c r="AM137" i="16"/>
  <c r="AP243" i="16"/>
  <c r="N243" i="16" s="1"/>
  <c r="BA137" i="16"/>
  <c r="AX137" i="16"/>
  <c r="AJ137" i="16"/>
  <c r="AP201" i="16"/>
  <c r="N201" i="16" s="1"/>
  <c r="BM64" i="16"/>
  <c r="BL64" i="16" s="1"/>
  <c r="CF67" i="16" s="1"/>
  <c r="P58" i="16" s="1"/>
  <c r="P60" i="16" s="1"/>
  <c r="BM372" i="16"/>
  <c r="BL372" i="16" s="1"/>
  <c r="CF375" i="16" s="1"/>
  <c r="P366" i="16" s="1"/>
  <c r="P368" i="16" s="1"/>
  <c r="BM428" i="16"/>
  <c r="BL428" i="16" s="1"/>
  <c r="CF431" i="16" s="1"/>
  <c r="P422" i="16" s="1"/>
  <c r="P424" i="16" s="1"/>
  <c r="BM50" i="16"/>
  <c r="BL50" i="16" s="1"/>
  <c r="CF53" i="16" s="1"/>
  <c r="P44" i="16" s="1"/>
  <c r="P46" i="16" s="1"/>
  <c r="AP397" i="16"/>
  <c r="N397" i="16" s="1"/>
  <c r="BM400" i="16"/>
  <c r="BL400" i="16" s="1"/>
  <c r="CF403" i="16" s="1"/>
  <c r="P394" i="16" s="1"/>
  <c r="P396" i="16" s="1"/>
  <c r="AP327" i="16"/>
  <c r="N327" i="16" s="1"/>
  <c r="BM330" i="16"/>
  <c r="BL330" i="16" s="1"/>
  <c r="CF333" i="16" s="1"/>
  <c r="P324" i="16" s="1"/>
  <c r="P326" i="16" s="1"/>
  <c r="AP439" i="16"/>
  <c r="N439" i="16" s="1"/>
  <c r="BM442" i="16"/>
  <c r="BL442" i="16" s="1"/>
  <c r="CF445" i="16" s="1"/>
  <c r="P436" i="16" s="1"/>
  <c r="P438" i="16" s="1"/>
  <c r="BM106" i="16"/>
  <c r="BL106" i="16" s="1"/>
  <c r="CF109" i="16" s="1"/>
  <c r="P100" i="16" s="1"/>
  <c r="P102" i="16" s="1"/>
  <c r="L142" i="16"/>
  <c r="L144" i="16" s="1"/>
  <c r="BA151" i="16"/>
  <c r="AP19" i="16"/>
  <c r="N19" i="16" s="1"/>
  <c r="BM22" i="16"/>
  <c r="BV114" i="13"/>
  <c r="AJ151" i="16"/>
  <c r="AM151" i="16"/>
  <c r="AW42" i="13"/>
  <c r="M42" i="13" s="1"/>
  <c r="BC89" i="11"/>
  <c r="BZ30" i="13"/>
  <c r="M30" i="13" s="1"/>
  <c r="AV28" i="13"/>
  <c r="BW28" i="13" s="1"/>
  <c r="AW26" i="13"/>
  <c r="BZ26" i="13" s="1"/>
  <c r="AW28" i="13"/>
  <c r="AW22" i="13"/>
  <c r="AZ44" i="13"/>
  <c r="BV44" i="13" s="1"/>
  <c r="AZ30" i="13"/>
  <c r="BV30" i="13" s="1"/>
  <c r="AZ46" i="13"/>
  <c r="BV46" i="13" s="1"/>
  <c r="AZ26" i="13"/>
  <c r="BV26" i="13" s="1"/>
  <c r="BA46" i="13"/>
  <c r="BY46" i="13" s="1"/>
  <c r="BA44" i="13"/>
  <c r="BY44" i="13" s="1"/>
  <c r="M54" i="13"/>
  <c r="AZ28" i="13"/>
  <c r="BV28" i="13" s="1"/>
  <c r="BI84" i="13"/>
  <c r="BJ84" i="13" s="1"/>
  <c r="BH84" i="13"/>
  <c r="BY34" i="13"/>
  <c r="BY60" i="13"/>
  <c r="CF165" i="16"/>
  <c r="P156" i="16" s="1"/>
  <c r="P158" i="16" s="1"/>
  <c r="BS165" i="16"/>
  <c r="AV40" i="13"/>
  <c r="BW40" i="13" s="1"/>
  <c r="L40" i="13" s="1"/>
  <c r="AV44" i="13"/>
  <c r="BW44" i="13" s="1"/>
  <c r="L44" i="13" s="1"/>
  <c r="BA42" i="13"/>
  <c r="BY42" i="13" s="1"/>
  <c r="AV32" i="13"/>
  <c r="AW44" i="13"/>
  <c r="BZ44" i="13" s="1"/>
  <c r="M44" i="13" s="1"/>
  <c r="AW32" i="13"/>
  <c r="BZ32" i="13" s="1"/>
  <c r="AP453" i="16"/>
  <c r="N453" i="16" s="1"/>
  <c r="AX40" i="13"/>
  <c r="K40" i="13" s="1"/>
  <c r="AY40" i="13"/>
  <c r="N40" i="13" s="1"/>
  <c r="AY42" i="13"/>
  <c r="N42" i="13" s="1"/>
  <c r="AX42" i="13"/>
  <c r="K42" i="13" s="1"/>
  <c r="AY44" i="13"/>
  <c r="N44" i="13" s="1"/>
  <c r="AY46" i="13"/>
  <c r="N46" i="13" s="1"/>
  <c r="AX44" i="13"/>
  <c r="K44" i="13" s="1"/>
  <c r="AX46" i="13"/>
  <c r="K46" i="13" s="1"/>
  <c r="AZ42" i="13"/>
  <c r="BV42" i="13" s="1"/>
  <c r="AZ40" i="13"/>
  <c r="BV40" i="13" s="1"/>
  <c r="BA40" i="13"/>
  <c r="BY40" i="13" s="1"/>
  <c r="AY26" i="13"/>
  <c r="N26" i="13" s="1"/>
  <c r="AY32" i="13"/>
  <c r="N32" i="13" s="1"/>
  <c r="BA32" i="13"/>
  <c r="BY32" i="13" s="1"/>
  <c r="AX26" i="13"/>
  <c r="K26" i="13" s="1"/>
  <c r="AX32" i="13"/>
  <c r="K32" i="13" s="1"/>
  <c r="AZ32" i="13"/>
  <c r="BV32" i="13" s="1"/>
  <c r="BV54" i="13"/>
  <c r="BA28" i="13"/>
  <c r="BY28" i="13" s="1"/>
  <c r="AX24" i="13"/>
  <c r="K24" i="13" s="1"/>
  <c r="AX28" i="13"/>
  <c r="K28" i="13" s="1"/>
  <c r="AY24" i="13"/>
  <c r="N24" i="13" s="1"/>
  <c r="AY28" i="13"/>
  <c r="N28" i="13" s="1"/>
  <c r="BZ34" i="13"/>
  <c r="M34" i="13" s="1"/>
  <c r="HV18" i="16"/>
  <c r="HP18" i="16"/>
  <c r="AW20" i="13" s="1"/>
  <c r="HO18" i="16"/>
  <c r="AV20" i="13" s="1"/>
  <c r="HU18" i="16"/>
  <c r="HR18" i="16"/>
  <c r="AY20" i="13" s="1"/>
  <c r="N20" i="13" s="1"/>
  <c r="HQ18" i="16"/>
  <c r="CF235" i="16"/>
  <c r="P226" i="16" s="1"/>
  <c r="P228" i="16" s="1"/>
  <c r="ID228" i="16"/>
  <c r="BS473" i="16"/>
  <c r="ID466" i="16"/>
  <c r="BS193" i="16"/>
  <c r="ID186" i="16"/>
  <c r="BS207" i="16"/>
  <c r="AX207" i="16" s="1"/>
  <c r="ID200" i="16"/>
  <c r="CF249" i="16"/>
  <c r="P240" i="16" s="1"/>
  <c r="P242" i="16" s="1"/>
  <c r="ID242" i="16"/>
  <c r="CF81" i="16"/>
  <c r="P72" i="16" s="1"/>
  <c r="P74" i="16" s="1"/>
  <c r="ID74" i="16"/>
  <c r="CF361" i="16"/>
  <c r="P352" i="16" s="1"/>
  <c r="P354" i="16" s="1"/>
  <c r="ID354" i="16"/>
  <c r="ID410" i="16"/>
  <c r="CF459" i="16"/>
  <c r="P450" i="16" s="1"/>
  <c r="P452" i="16" s="1"/>
  <c r="ID452" i="16"/>
  <c r="CF95" i="16"/>
  <c r="P86" i="16" s="1"/>
  <c r="P88" i="16" s="1"/>
  <c r="ID88" i="16"/>
  <c r="BS389" i="16"/>
  <c r="AX389" i="16" s="1"/>
  <c r="ID382" i="16"/>
  <c r="L60" i="13"/>
  <c r="L66" i="13"/>
  <c r="L30" i="13"/>
  <c r="L26" i="13"/>
  <c r="BY114" i="13"/>
  <c r="BY66" i="13"/>
  <c r="BZ66" i="13"/>
  <c r="M66" i="13" s="1"/>
  <c r="BY64" i="13"/>
  <c r="BW92" i="13"/>
  <c r="BY52" i="13"/>
  <c r="BY112" i="13"/>
  <c r="BM82" i="13"/>
  <c r="BN82" i="13" s="1"/>
  <c r="BH82" i="13"/>
  <c r="M114" i="13"/>
  <c r="BZ114" i="13"/>
  <c r="M112" i="13"/>
  <c r="BZ112" i="13"/>
  <c r="BM92" i="13"/>
  <c r="BN92" i="13" s="1"/>
  <c r="BH92" i="13"/>
  <c r="BW54" i="13"/>
  <c r="L54" i="13" s="1"/>
  <c r="L114" i="13"/>
  <c r="BW114" i="13"/>
  <c r="BW52" i="13"/>
  <c r="L52" i="13" s="1"/>
  <c r="BY68" i="13"/>
  <c r="BZ52" i="13"/>
  <c r="M52" i="13" s="1"/>
  <c r="BY110" i="13"/>
  <c r="BW110" i="13"/>
  <c r="L110" i="13" s="1"/>
  <c r="BZ46" i="13"/>
  <c r="BW82" i="13"/>
  <c r="BZ50" i="13"/>
  <c r="M50" i="13" s="1"/>
  <c r="BW68" i="13"/>
  <c r="L68" i="13" s="1"/>
  <c r="BZ64" i="13"/>
  <c r="M64" i="13" s="1"/>
  <c r="BY50" i="13"/>
  <c r="BZ48" i="13"/>
  <c r="M48" i="13" s="1"/>
  <c r="BW50" i="13"/>
  <c r="L50" i="13" s="1"/>
  <c r="BZ60" i="13"/>
  <c r="M60" i="13" s="1"/>
  <c r="BZ68" i="13"/>
  <c r="M68" i="13" s="1"/>
  <c r="BZ110" i="13"/>
  <c r="M110" i="13" s="1"/>
  <c r="BW48" i="13"/>
  <c r="L48" i="13" s="1"/>
  <c r="BW106" i="13"/>
  <c r="L106" i="13" s="1"/>
  <c r="BY104" i="13"/>
  <c r="L22" i="13"/>
  <c r="BZ40" i="13"/>
  <c r="M40" i="13" s="1"/>
  <c r="BW46" i="13"/>
  <c r="BZ104" i="13"/>
  <c r="M104" i="13" s="1"/>
  <c r="BW64" i="13"/>
  <c r="L64" i="13" s="1"/>
  <c r="K54" i="13"/>
  <c r="N54" i="13"/>
  <c r="BA24" i="13"/>
  <c r="BY24" i="13" s="1"/>
  <c r="AZ24" i="13"/>
  <c r="BV24" i="13" s="1"/>
  <c r="AV24" i="13"/>
  <c r="BW24" i="13" s="1"/>
  <c r="AW24" i="13"/>
  <c r="BZ24" i="13" s="1"/>
  <c r="AW92" i="13"/>
  <c r="AW82" i="13"/>
  <c r="BA92" i="13"/>
  <c r="BA82" i="13"/>
  <c r="BI88" i="13"/>
  <c r="BJ88" i="13" s="1"/>
  <c r="AP20" i="13"/>
  <c r="V20" i="13" s="1"/>
  <c r="K131" i="9"/>
  <c r="G132" i="9"/>
  <c r="M131" i="9"/>
  <c r="O131" i="9"/>
  <c r="I131" i="9"/>
  <c r="G133" i="11"/>
  <c r="O132" i="11"/>
  <c r="M132" i="11"/>
  <c r="K132" i="11"/>
  <c r="I132" i="11"/>
  <c r="IC18" i="16" l="1"/>
  <c r="ID284" i="16"/>
  <c r="L42" i="13"/>
  <c r="IB18" i="16"/>
  <c r="ID298" i="16"/>
  <c r="HW31" i="16"/>
  <c r="AZ20" i="13"/>
  <c r="BV20" i="13" s="1"/>
  <c r="BV36" i="13" s="1"/>
  <c r="L36" i="13" s="1"/>
  <c r="HZ18" i="16"/>
  <c r="HW33" i="16"/>
  <c r="ID340" i="16"/>
  <c r="ID270" i="16"/>
  <c r="ID312" i="16"/>
  <c r="ID116" i="16"/>
  <c r="ID214" i="16"/>
  <c r="ID32" i="16"/>
  <c r="ID256" i="16"/>
  <c r="BV80" i="13"/>
  <c r="ID60" i="16"/>
  <c r="ID368" i="16"/>
  <c r="ID396" i="16"/>
  <c r="ID326" i="16"/>
  <c r="BZ42" i="13"/>
  <c r="ID102" i="16"/>
  <c r="ID46" i="16"/>
  <c r="HW59" i="16"/>
  <c r="BZ22" i="13"/>
  <c r="M22" i="13" s="1"/>
  <c r="M26" i="13"/>
  <c r="L28" i="13"/>
  <c r="HW103" i="16"/>
  <c r="X25" i="17" s="1"/>
  <c r="BZ28" i="13"/>
  <c r="M28" i="13" s="1"/>
  <c r="HW101" i="16"/>
  <c r="J25" i="17" s="1"/>
  <c r="HW73" i="16"/>
  <c r="J23" i="17" s="1"/>
  <c r="HW75" i="16"/>
  <c r="X23" i="17" s="1"/>
  <c r="HW87" i="16"/>
  <c r="J24" i="17" s="1"/>
  <c r="BW32" i="13"/>
  <c r="L32" i="13" s="1"/>
  <c r="HW61" i="16"/>
  <c r="HW89" i="16"/>
  <c r="X24" i="17" s="1"/>
  <c r="AJ165" i="16"/>
  <c r="AM165" i="16"/>
  <c r="BA165" i="16"/>
  <c r="AX165" i="16"/>
  <c r="L156" i="16"/>
  <c r="L158" i="16" s="1"/>
  <c r="M32" i="13"/>
  <c r="ID438" i="16"/>
  <c r="ID424" i="16"/>
  <c r="BV56" i="13"/>
  <c r="L56" i="13" s="1"/>
  <c r="HW47" i="16"/>
  <c r="HW45" i="16"/>
  <c r="BA20" i="13"/>
  <c r="BY20" i="13" s="1"/>
  <c r="BY36" i="13" s="1"/>
  <c r="M36" i="13" s="1"/>
  <c r="IA18" i="16"/>
  <c r="BW20" i="13"/>
  <c r="L20" i="13" s="1"/>
  <c r="BZ20" i="13"/>
  <c r="M20" i="13" s="1"/>
  <c r="CF347" i="16"/>
  <c r="P338" i="16" s="1"/>
  <c r="P340" i="16" s="1"/>
  <c r="BS459" i="16"/>
  <c r="AX459" i="16" s="1"/>
  <c r="BS361" i="16"/>
  <c r="AM361" i="16" s="1"/>
  <c r="CF291" i="16"/>
  <c r="P282" i="16" s="1"/>
  <c r="P284" i="16" s="1"/>
  <c r="AX20" i="13"/>
  <c r="L282" i="16"/>
  <c r="L284" i="16" s="1"/>
  <c r="CF473" i="16"/>
  <c r="P464" i="16" s="1"/>
  <c r="P466" i="16" s="1"/>
  <c r="BS431" i="16"/>
  <c r="L422" i="16" s="1"/>
  <c r="L424" i="16" s="1"/>
  <c r="CF389" i="16"/>
  <c r="P380" i="16" s="1"/>
  <c r="P382" i="16" s="1"/>
  <c r="L380" i="16"/>
  <c r="L382" i="16" s="1"/>
  <c r="BS319" i="16"/>
  <c r="AX319" i="16" s="1"/>
  <c r="AX291" i="16"/>
  <c r="L268" i="16"/>
  <c r="L270" i="16" s="1"/>
  <c r="AJ277" i="16"/>
  <c r="CF277" i="16"/>
  <c r="P268" i="16" s="1"/>
  <c r="P270" i="16" s="1"/>
  <c r="BS263" i="16"/>
  <c r="BA263" i="16" s="1"/>
  <c r="BA207" i="16"/>
  <c r="L198" i="16"/>
  <c r="L200" i="16" s="1"/>
  <c r="CF123" i="16"/>
  <c r="P114" i="16" s="1"/>
  <c r="P116" i="16" s="1"/>
  <c r="BS81" i="16"/>
  <c r="AM81" i="16" s="1"/>
  <c r="BS67" i="16"/>
  <c r="BS39" i="16"/>
  <c r="L30" i="16" s="1"/>
  <c r="L32" i="16" s="1"/>
  <c r="AM277" i="16"/>
  <c r="AM207" i="16"/>
  <c r="AM291" i="16"/>
  <c r="BS221" i="16"/>
  <c r="AX221" i="16" s="1"/>
  <c r="BS333" i="16"/>
  <c r="AJ333" i="16" s="1"/>
  <c r="CF207" i="16"/>
  <c r="P198" i="16" s="1"/>
  <c r="P200" i="16" s="1"/>
  <c r="BA277" i="16"/>
  <c r="AJ207" i="16"/>
  <c r="AJ291" i="16"/>
  <c r="CF193" i="16"/>
  <c r="P184" i="16" s="1"/>
  <c r="P186" i="16" s="1"/>
  <c r="BS95" i="16"/>
  <c r="L86" i="16" s="1"/>
  <c r="L88" i="16" s="1"/>
  <c r="BS403" i="16"/>
  <c r="L394" i="16" s="1"/>
  <c r="L396" i="16" s="1"/>
  <c r="BS235" i="16"/>
  <c r="L226" i="16" s="1"/>
  <c r="L228" i="16" s="1"/>
  <c r="BS375" i="16"/>
  <c r="BA375" i="16" s="1"/>
  <c r="BL22" i="16"/>
  <c r="CF25" i="16" s="1"/>
  <c r="P16" i="16" s="1"/>
  <c r="P18" i="16" s="1"/>
  <c r="ID18" i="16"/>
  <c r="BS417" i="16"/>
  <c r="CF417" i="16"/>
  <c r="P408" i="16" s="1"/>
  <c r="P410" i="16" s="1"/>
  <c r="BS53" i="16"/>
  <c r="L44" i="16" s="1"/>
  <c r="L46" i="16" s="1"/>
  <c r="BA389" i="16"/>
  <c r="BS305" i="16"/>
  <c r="BA305" i="16" s="1"/>
  <c r="BS445" i="16"/>
  <c r="AX445" i="16" s="1"/>
  <c r="BS109" i="16"/>
  <c r="BA109" i="16" s="1"/>
  <c r="AJ389" i="16"/>
  <c r="AM389" i="16"/>
  <c r="BS249" i="16"/>
  <c r="AM249" i="16" s="1"/>
  <c r="L82" i="13"/>
  <c r="L92" i="13"/>
  <c r="BY82" i="13"/>
  <c r="BY92" i="13"/>
  <c r="BZ92" i="13"/>
  <c r="M92" i="13" s="1"/>
  <c r="BY56" i="13"/>
  <c r="M56" i="13" s="1"/>
  <c r="M24" i="13"/>
  <c r="L24" i="13"/>
  <c r="BZ82" i="13"/>
  <c r="M82" i="13" s="1"/>
  <c r="L338" i="16"/>
  <c r="L340" i="16" s="1"/>
  <c r="BA347" i="16"/>
  <c r="AX347" i="16"/>
  <c r="AM347" i="16"/>
  <c r="AJ347" i="16"/>
  <c r="L464" i="16"/>
  <c r="L466" i="16" s="1"/>
  <c r="AX473" i="16"/>
  <c r="BA473" i="16"/>
  <c r="AM473" i="16"/>
  <c r="AJ473" i="16"/>
  <c r="L114" i="16"/>
  <c r="L116" i="16" s="1"/>
  <c r="AJ123" i="16"/>
  <c r="AM123" i="16"/>
  <c r="BA123" i="16"/>
  <c r="AX123" i="16"/>
  <c r="AX193" i="16"/>
  <c r="AJ193" i="16"/>
  <c r="L184" i="16"/>
  <c r="L186" i="16" s="1"/>
  <c r="AM193" i="16"/>
  <c r="BA193" i="16"/>
  <c r="O132" i="9"/>
  <c r="G133" i="9"/>
  <c r="K132" i="9"/>
  <c r="M132" i="9"/>
  <c r="I132" i="9"/>
  <c r="M133" i="11"/>
  <c r="K133" i="11"/>
  <c r="I133" i="11"/>
  <c r="G134" i="11"/>
  <c r="O133" i="11"/>
  <c r="X22" i="17" l="1"/>
  <c r="J22" i="17"/>
  <c r="J20" i="17"/>
  <c r="X20" i="17"/>
  <c r="J21" i="17"/>
  <c r="X21" i="17"/>
  <c r="ID473" i="16"/>
  <c r="M133" i="13" s="1"/>
  <c r="HW17" i="16"/>
  <c r="J19" i="17" s="1"/>
  <c r="HW19" i="16"/>
  <c r="X19" i="17" s="1"/>
  <c r="AM319" i="16"/>
  <c r="BA67" i="16"/>
  <c r="AX67" i="16" s="1"/>
  <c r="AM459" i="16"/>
  <c r="BA459" i="16"/>
  <c r="L450" i="16"/>
  <c r="L452" i="16" s="1"/>
  <c r="AJ459" i="16"/>
  <c r="AJ361" i="16"/>
  <c r="BA431" i="16"/>
  <c r="AJ431" i="16"/>
  <c r="AX361" i="16"/>
  <c r="AX305" i="16"/>
  <c r="BA361" i="16"/>
  <c r="L72" i="16"/>
  <c r="L74" i="16" s="1"/>
  <c r="L352" i="16"/>
  <c r="L354" i="16" s="1"/>
  <c r="BA235" i="16"/>
  <c r="AX431" i="16"/>
  <c r="BA81" i="16"/>
  <c r="AX81" i="16" s="1"/>
  <c r="AM333" i="16"/>
  <c r="AJ235" i="16"/>
  <c r="L366" i="16"/>
  <c r="L368" i="16" s="1"/>
  <c r="AM305" i="16"/>
  <c r="AJ81" i="16"/>
  <c r="L296" i="16"/>
  <c r="L298" i="16" s="1"/>
  <c r="L58" i="16"/>
  <c r="L60" i="16" s="1"/>
  <c r="AM375" i="16"/>
  <c r="AM109" i="16"/>
  <c r="AJ109" i="16" s="1"/>
  <c r="K20" i="13"/>
  <c r="AM67" i="16"/>
  <c r="AJ67" i="16" s="1"/>
  <c r="BA319" i="16"/>
  <c r="L310" i="16"/>
  <c r="L312" i="16" s="1"/>
  <c r="L212" i="16"/>
  <c r="L214" i="16" s="1"/>
  <c r="AJ319" i="16"/>
  <c r="AM403" i="16"/>
  <c r="AX403" i="16"/>
  <c r="AM431" i="16"/>
  <c r="L254" i="16"/>
  <c r="L256" i="16" s="1"/>
  <c r="AM53" i="16"/>
  <c r="AJ53" i="16" s="1"/>
  <c r="BA95" i="16"/>
  <c r="AX95" i="16" s="1"/>
  <c r="AM445" i="16"/>
  <c r="AX375" i="16"/>
  <c r="L324" i="16"/>
  <c r="L326" i="16" s="1"/>
  <c r="BA333" i="16"/>
  <c r="AX333" i="16"/>
  <c r="AJ263" i="16"/>
  <c r="AX263" i="16"/>
  <c r="AM263" i="16"/>
  <c r="AM235" i="16"/>
  <c r="AM221" i="16"/>
  <c r="AJ221" i="16"/>
  <c r="AM39" i="16"/>
  <c r="AJ39" i="16" s="1"/>
  <c r="BA39" i="16"/>
  <c r="AX39" i="16" s="1"/>
  <c r="AM95" i="16"/>
  <c r="AJ95" i="16" s="1"/>
  <c r="BA221" i="16"/>
  <c r="AJ403" i="16"/>
  <c r="BA403" i="16"/>
  <c r="L436" i="16"/>
  <c r="L438" i="16" s="1"/>
  <c r="AJ375" i="16"/>
  <c r="BA53" i="16"/>
  <c r="AX53" i="16" s="1"/>
  <c r="AJ305" i="16"/>
  <c r="AX235" i="16"/>
  <c r="BS25" i="16"/>
  <c r="L16" i="16" s="1"/>
  <c r="L18" i="16" s="1"/>
  <c r="L240" i="16"/>
  <c r="L242" i="16" s="1"/>
  <c r="AX249" i="16"/>
  <c r="AJ249" i="16"/>
  <c r="BA249" i="16"/>
  <c r="AX417" i="16"/>
  <c r="AM417" i="16"/>
  <c r="AJ417" i="16"/>
  <c r="BA417" i="16"/>
  <c r="L408" i="16"/>
  <c r="L410" i="16" s="1"/>
  <c r="AJ445" i="16"/>
  <c r="BA445" i="16"/>
  <c r="AX109" i="16"/>
  <c r="L100" i="16"/>
  <c r="L102" i="16" s="1"/>
  <c r="G134" i="9"/>
  <c r="O133" i="9"/>
  <c r="I133" i="9"/>
  <c r="M133" i="9"/>
  <c r="K133" i="9"/>
  <c r="G135" i="11"/>
  <c r="O134" i="11"/>
  <c r="M134" i="11"/>
  <c r="K134" i="11"/>
  <c r="I134" i="11"/>
  <c r="AM25" i="16" l="1"/>
  <c r="AJ25" i="16" s="1"/>
  <c r="BA25" i="16"/>
  <c r="AX25" i="16" s="1"/>
  <c r="G135" i="9"/>
  <c r="K134" i="9"/>
  <c r="M134" i="9"/>
  <c r="O134" i="9"/>
  <c r="I134" i="9"/>
  <c r="I135" i="11"/>
  <c r="G136" i="11"/>
  <c r="O135" i="11"/>
  <c r="K135" i="11"/>
  <c r="M135" i="11"/>
  <c r="BZ95" i="11" l="1"/>
  <c r="CA95" i="11" s="1"/>
  <c r="O136" i="11"/>
  <c r="M136" i="11"/>
  <c r="K136" i="11"/>
  <c r="I136" i="11"/>
  <c r="G137" i="11"/>
  <c r="G136" i="9"/>
  <c r="K135" i="9"/>
  <c r="M135" i="9"/>
  <c r="I135" i="9"/>
  <c r="O135" i="9"/>
  <c r="G138" i="11" l="1"/>
  <c r="O137" i="11"/>
  <c r="M137" i="11"/>
  <c r="K137" i="11"/>
  <c r="I137" i="11"/>
  <c r="G137" i="9"/>
  <c r="O136" i="9"/>
  <c r="M136" i="9"/>
  <c r="K136" i="9"/>
  <c r="I136" i="9"/>
  <c r="K138" i="11" l="1"/>
  <c r="I138" i="11"/>
  <c r="G139" i="11"/>
  <c r="O138" i="11"/>
  <c r="M138" i="11"/>
  <c r="G138" i="9"/>
  <c r="I137" i="9"/>
  <c r="K137" i="9"/>
  <c r="M137" i="9"/>
  <c r="O137" i="9"/>
  <c r="G139" i="9" l="1"/>
  <c r="O138" i="9"/>
  <c r="I138" i="9"/>
  <c r="K138" i="9"/>
  <c r="M138" i="9"/>
  <c r="G140" i="11"/>
  <c r="O139" i="11"/>
  <c r="M139" i="11"/>
  <c r="K139" i="11"/>
  <c r="I139" i="11"/>
  <c r="G141" i="11" l="1"/>
  <c r="O140" i="11"/>
  <c r="M140" i="11"/>
  <c r="K140" i="11"/>
  <c r="I140" i="11"/>
  <c r="G140" i="9"/>
  <c r="M139" i="9"/>
  <c r="O139" i="9"/>
  <c r="I139" i="9"/>
  <c r="K139" i="9"/>
  <c r="M141" i="11" l="1"/>
  <c r="K141" i="11"/>
  <c r="I141" i="11"/>
  <c r="O141" i="11"/>
  <c r="G142" i="11"/>
  <c r="G141" i="9"/>
  <c r="K140" i="9"/>
  <c r="M140" i="9"/>
  <c r="I140" i="9"/>
  <c r="O140" i="9"/>
  <c r="G142" i="9" l="1"/>
  <c r="M141" i="9"/>
  <c r="O141" i="9"/>
  <c r="I141" i="9"/>
  <c r="K141" i="9"/>
  <c r="G143" i="11"/>
  <c r="O142" i="11"/>
  <c r="M142" i="11"/>
  <c r="K142" i="11"/>
  <c r="I142" i="11"/>
  <c r="G143" i="9" l="1"/>
  <c r="K142" i="9"/>
  <c r="M142" i="9"/>
  <c r="O142" i="9"/>
  <c r="I142" i="9"/>
  <c r="I143" i="11"/>
  <c r="G144" i="11"/>
  <c r="O143" i="11"/>
  <c r="M143" i="11"/>
  <c r="K143" i="11"/>
  <c r="O144" i="11" l="1"/>
  <c r="M144" i="11"/>
  <c r="K144" i="11"/>
  <c r="I144" i="11"/>
  <c r="G145" i="11"/>
  <c r="G144" i="9"/>
  <c r="I143" i="9"/>
  <c r="K143" i="9"/>
  <c r="M143" i="9"/>
  <c r="O143" i="9"/>
  <c r="G146" i="11" l="1"/>
  <c r="O145" i="11"/>
  <c r="M145" i="11"/>
  <c r="K145" i="11"/>
  <c r="I145" i="11"/>
  <c r="G145" i="9"/>
  <c r="O144" i="9"/>
  <c r="I144" i="9"/>
  <c r="K144" i="9"/>
  <c r="M144" i="9"/>
  <c r="G146" i="9" l="1"/>
  <c r="I145" i="9"/>
  <c r="K145" i="9"/>
  <c r="M145" i="9"/>
  <c r="O145" i="9"/>
  <c r="K146" i="11"/>
  <c r="I146" i="11"/>
  <c r="G147" i="11"/>
  <c r="O146" i="11"/>
  <c r="M146" i="11"/>
  <c r="G148" i="11" l="1"/>
  <c r="O147" i="11"/>
  <c r="M147" i="11"/>
  <c r="K147" i="11"/>
  <c r="I147" i="11"/>
  <c r="G147" i="9"/>
  <c r="I146" i="9"/>
  <c r="O146" i="9"/>
  <c r="K146" i="9"/>
  <c r="M146" i="9"/>
  <c r="G149" i="11" l="1"/>
  <c r="O148" i="11"/>
  <c r="M148" i="11"/>
  <c r="I148" i="11"/>
  <c r="K148" i="11"/>
  <c r="G148" i="9"/>
  <c r="M147" i="9"/>
  <c r="K147" i="9"/>
  <c r="O147" i="9"/>
  <c r="I147" i="9"/>
  <c r="G149" i="9" l="1"/>
  <c r="K148" i="9"/>
  <c r="M148" i="9"/>
  <c r="I148" i="9"/>
  <c r="O148" i="9"/>
  <c r="M149" i="11"/>
  <c r="K149" i="11"/>
  <c r="I149" i="11"/>
  <c r="G150" i="11"/>
  <c r="O149" i="11"/>
  <c r="G151" i="11" l="1"/>
  <c r="O150" i="11"/>
  <c r="M150" i="11"/>
  <c r="K150" i="11"/>
  <c r="I150" i="11"/>
  <c r="G150" i="9"/>
  <c r="M149" i="9"/>
  <c r="O149" i="9"/>
  <c r="I149" i="9"/>
  <c r="K149" i="9"/>
  <c r="G151" i="9" l="1"/>
  <c r="K150" i="9"/>
  <c r="M150" i="9"/>
  <c r="O150" i="9"/>
  <c r="I150" i="9"/>
  <c r="I151" i="11"/>
  <c r="G152" i="11"/>
  <c r="O151" i="11"/>
  <c r="M151" i="11"/>
  <c r="K151" i="11"/>
  <c r="O152" i="11" l="1"/>
  <c r="M152" i="11"/>
  <c r="K152" i="11"/>
  <c r="I152" i="11"/>
  <c r="G153" i="11"/>
  <c r="G152" i="9"/>
  <c r="I151" i="9"/>
  <c r="K151" i="9"/>
  <c r="M151" i="9"/>
  <c r="O151" i="9"/>
  <c r="G153" i="9" l="1"/>
  <c r="O152" i="9"/>
  <c r="I152" i="9"/>
  <c r="K152" i="9"/>
  <c r="M152" i="9"/>
  <c r="G154" i="11"/>
  <c r="O153" i="11"/>
  <c r="M153" i="11"/>
  <c r="K153" i="11"/>
  <c r="I153" i="11"/>
  <c r="K154" i="11" l="1"/>
  <c r="I154" i="11"/>
  <c r="G155" i="11"/>
  <c r="M154" i="11"/>
  <c r="O154" i="11"/>
  <c r="G154" i="9"/>
  <c r="I153" i="9"/>
  <c r="K153" i="9"/>
  <c r="M153" i="9"/>
  <c r="O153" i="9"/>
  <c r="G155" i="9" l="1"/>
  <c r="I154" i="9"/>
  <c r="O154" i="9"/>
  <c r="K154" i="9"/>
  <c r="M154" i="9"/>
  <c r="G156" i="11"/>
  <c r="O155" i="11"/>
  <c r="M155" i="11"/>
  <c r="K155" i="11"/>
  <c r="I155" i="11"/>
  <c r="G156" i="9" l="1"/>
  <c r="M155" i="9"/>
  <c r="O155" i="9"/>
  <c r="I155" i="9"/>
  <c r="K155" i="9"/>
  <c r="G157" i="11"/>
  <c r="O156" i="11"/>
  <c r="M156" i="11"/>
  <c r="K156" i="11"/>
  <c r="I156" i="11"/>
  <c r="M157" i="11" l="1"/>
  <c r="K157" i="11"/>
  <c r="I157" i="11"/>
  <c r="G158" i="11"/>
  <c r="O157" i="11"/>
  <c r="G157" i="9"/>
  <c r="K156" i="9"/>
  <c r="M156" i="9"/>
  <c r="I156" i="9"/>
  <c r="O156" i="9"/>
  <c r="G158" i="9" l="1"/>
  <c r="O157" i="9"/>
  <c r="I157" i="9"/>
  <c r="M157" i="9"/>
  <c r="K157" i="9"/>
  <c r="G159" i="11"/>
  <c r="O158" i="11"/>
  <c r="M158" i="11"/>
  <c r="K158" i="11"/>
  <c r="I158" i="11"/>
  <c r="G159" i="9" l="1"/>
  <c r="K158" i="9"/>
  <c r="M158" i="9"/>
  <c r="I158" i="9"/>
  <c r="O158" i="9"/>
  <c r="I159" i="11"/>
  <c r="G160" i="11"/>
  <c r="O159" i="11"/>
  <c r="M159" i="11"/>
  <c r="K159" i="11"/>
  <c r="O160" i="11" l="1"/>
  <c r="M160" i="11"/>
  <c r="K160" i="11"/>
  <c r="I160" i="11"/>
  <c r="G161" i="11"/>
  <c r="G160" i="9"/>
  <c r="K159" i="9"/>
  <c r="I159" i="9"/>
  <c r="M159" i="9"/>
  <c r="O159" i="9"/>
  <c r="G162" i="11" l="1"/>
  <c r="O161" i="11"/>
  <c r="M161" i="11"/>
  <c r="K161" i="11"/>
  <c r="I161" i="11"/>
  <c r="G161" i="9"/>
  <c r="O160" i="9"/>
  <c r="K160" i="9"/>
  <c r="M160" i="9"/>
  <c r="I160" i="9"/>
  <c r="G162" i="9" l="1"/>
  <c r="I161" i="9"/>
  <c r="K161" i="9"/>
  <c r="M161" i="9"/>
  <c r="O161" i="9"/>
  <c r="K162" i="11"/>
  <c r="I162" i="11"/>
  <c r="G163" i="11"/>
  <c r="O162" i="11"/>
  <c r="M162" i="11"/>
  <c r="G164" i="11" l="1"/>
  <c r="O163" i="11"/>
  <c r="M163" i="11"/>
  <c r="K163" i="11"/>
  <c r="I163" i="11"/>
  <c r="G163" i="9"/>
  <c r="I162" i="9"/>
  <c r="O162" i="9"/>
  <c r="K162" i="9"/>
  <c r="M162" i="9"/>
  <c r="G165" i="11" l="1"/>
  <c r="O164" i="11"/>
  <c r="M164" i="11"/>
  <c r="K164" i="11"/>
  <c r="I164" i="11"/>
  <c r="G164" i="9"/>
  <c r="M163" i="9"/>
  <c r="O163" i="9"/>
  <c r="I163" i="9"/>
  <c r="K163" i="9"/>
  <c r="G165" i="9" l="1"/>
  <c r="K164" i="9"/>
  <c r="M164" i="9"/>
  <c r="I164" i="9"/>
  <c r="O164" i="9"/>
  <c r="M165" i="11"/>
  <c r="K165" i="11"/>
  <c r="I165" i="11"/>
  <c r="G166" i="11"/>
  <c r="O165" i="11"/>
  <c r="G167" i="11" l="1"/>
  <c r="O166" i="11"/>
  <c r="M166" i="11"/>
  <c r="K166" i="11"/>
  <c r="I166" i="11"/>
  <c r="G166" i="9"/>
  <c r="M165" i="9"/>
  <c r="I165" i="9"/>
  <c r="K165" i="9"/>
  <c r="O165" i="9"/>
  <c r="G167" i="9" l="1"/>
  <c r="K166" i="9"/>
  <c r="M166" i="9"/>
  <c r="O166" i="9"/>
  <c r="I166" i="9"/>
  <c r="I167" i="11"/>
  <c r="G168" i="11"/>
  <c r="O167" i="11"/>
  <c r="K167" i="11"/>
  <c r="M167" i="11"/>
  <c r="O168" i="11" l="1"/>
  <c r="M168" i="11"/>
  <c r="K168" i="11"/>
  <c r="I168" i="11"/>
  <c r="G169" i="11"/>
  <c r="G168" i="9"/>
  <c r="I167" i="9"/>
  <c r="K167" i="9"/>
  <c r="M167" i="9"/>
  <c r="O167" i="9"/>
  <c r="G169" i="9" l="1"/>
  <c r="O168" i="9"/>
  <c r="M168" i="9"/>
  <c r="K168" i="9"/>
  <c r="I168" i="9"/>
  <c r="G170" i="11"/>
  <c r="O169" i="11"/>
  <c r="M169" i="11"/>
  <c r="K169" i="11"/>
  <c r="I169" i="11"/>
  <c r="K170" i="11" l="1"/>
  <c r="I170" i="11"/>
  <c r="G171" i="11"/>
  <c r="O170" i="11"/>
  <c r="M170" i="11"/>
  <c r="G170" i="9"/>
  <c r="I169" i="9"/>
  <c r="K169" i="9"/>
  <c r="M169" i="9"/>
  <c r="O169" i="9"/>
  <c r="G171" i="9" l="1"/>
  <c r="I170" i="9"/>
  <c r="O170" i="9"/>
  <c r="K170" i="9"/>
  <c r="M170" i="9"/>
  <c r="G172" i="11"/>
  <c r="O171" i="11"/>
  <c r="M171" i="11"/>
  <c r="K171" i="11"/>
  <c r="I171" i="11"/>
  <c r="O171" i="9" l="1"/>
  <c r="I171" i="9"/>
  <c r="G172" i="9"/>
  <c r="M171" i="9"/>
  <c r="K171" i="9"/>
  <c r="G173" i="11"/>
  <c r="O172" i="11"/>
  <c r="M172" i="11"/>
  <c r="K172" i="11"/>
  <c r="I172" i="11"/>
  <c r="M173" i="11" l="1"/>
  <c r="K173" i="11"/>
  <c r="I173" i="11"/>
  <c r="O173" i="11"/>
  <c r="G174" i="11"/>
  <c r="K172" i="9"/>
  <c r="G173" i="9"/>
  <c r="M172" i="9"/>
  <c r="I172" i="9"/>
  <c r="O172" i="9"/>
  <c r="O173" i="9" l="1"/>
  <c r="G174" i="9"/>
  <c r="M173" i="9"/>
  <c r="I173" i="9"/>
  <c r="K173" i="9"/>
  <c r="G175" i="11"/>
  <c r="O174" i="11"/>
  <c r="M174" i="11"/>
  <c r="K174" i="11"/>
  <c r="I174" i="11"/>
  <c r="I175" i="11" l="1"/>
  <c r="G176" i="11"/>
  <c r="O175" i="11"/>
  <c r="M175" i="11"/>
  <c r="K175" i="11"/>
  <c r="I174" i="9"/>
  <c r="G175" i="9"/>
  <c r="K174" i="9"/>
  <c r="M174" i="9"/>
  <c r="O174" i="9"/>
  <c r="O176" i="11" l="1"/>
  <c r="M176" i="11"/>
  <c r="K176" i="11"/>
  <c r="I176" i="11"/>
  <c r="G177" i="11"/>
  <c r="O175" i="9"/>
  <c r="K175" i="9"/>
  <c r="G176" i="9"/>
  <c r="M175" i="9"/>
  <c r="I175" i="9"/>
  <c r="G177" i="9" l="1"/>
  <c r="K176" i="9"/>
  <c r="O176" i="9"/>
  <c r="M176" i="9"/>
  <c r="I176" i="9"/>
  <c r="G178" i="11"/>
  <c r="O177" i="11"/>
  <c r="M177" i="11"/>
  <c r="K177" i="11"/>
  <c r="I177" i="11"/>
  <c r="K178" i="11" l="1"/>
  <c r="I178" i="11"/>
  <c r="G179" i="11"/>
  <c r="O178" i="11"/>
  <c r="M178" i="11"/>
  <c r="I177" i="9"/>
  <c r="G178" i="9"/>
  <c r="K177" i="9"/>
  <c r="O177" i="9"/>
  <c r="M177" i="9"/>
  <c r="G180" i="11" l="1"/>
  <c r="O179" i="11"/>
  <c r="M179" i="11"/>
  <c r="K179" i="11"/>
  <c r="I179" i="11"/>
  <c r="M178" i="9"/>
  <c r="G179" i="9"/>
  <c r="K178" i="9"/>
  <c r="I178" i="9"/>
  <c r="O178" i="9"/>
  <c r="G181" i="11" l="1"/>
  <c r="O180" i="11"/>
  <c r="M180" i="11"/>
  <c r="I180" i="11"/>
  <c r="K180" i="11"/>
  <c r="O179" i="9"/>
  <c r="M179" i="9"/>
  <c r="G180" i="9"/>
  <c r="I179" i="9"/>
  <c r="K179" i="9"/>
  <c r="M180" i="9" l="1"/>
  <c r="O180" i="9"/>
  <c r="G181" i="9"/>
  <c r="K180" i="9"/>
  <c r="I180" i="9"/>
  <c r="M181" i="11"/>
  <c r="K181" i="11"/>
  <c r="I181" i="11"/>
  <c r="G182" i="11"/>
  <c r="O181" i="11"/>
  <c r="G183" i="11" l="1"/>
  <c r="O182" i="11"/>
  <c r="M182" i="11"/>
  <c r="K182" i="11"/>
  <c r="I182" i="11"/>
  <c r="M181" i="9"/>
  <c r="O181" i="9"/>
  <c r="G182" i="9"/>
  <c r="I181" i="9"/>
  <c r="K181" i="9"/>
  <c r="M182" i="9" l="1"/>
  <c r="G183" i="9"/>
  <c r="K182" i="9"/>
  <c r="I182" i="9"/>
  <c r="O182" i="9"/>
  <c r="I183" i="11"/>
  <c r="G184" i="11"/>
  <c r="O183" i="11"/>
  <c r="M183" i="11"/>
  <c r="K183" i="11"/>
  <c r="O184" i="11" l="1"/>
  <c r="M184" i="11"/>
  <c r="K184" i="11"/>
  <c r="I184" i="11"/>
  <c r="G185" i="11"/>
  <c r="O183" i="9"/>
  <c r="I183" i="9"/>
  <c r="G184" i="9"/>
  <c r="K183" i="9"/>
  <c r="M183" i="9"/>
  <c r="G185" i="9" l="1"/>
  <c r="O184" i="9"/>
  <c r="M184" i="9"/>
  <c r="K184" i="9"/>
  <c r="I184" i="9"/>
  <c r="G186" i="11"/>
  <c r="O185" i="11"/>
  <c r="M185" i="11"/>
  <c r="K185" i="11"/>
  <c r="I185" i="11"/>
  <c r="I185" i="9" l="1"/>
  <c r="K185" i="9"/>
  <c r="G186" i="9"/>
  <c r="M185" i="9"/>
  <c r="O185" i="9"/>
  <c r="K186" i="11"/>
  <c r="I186" i="11"/>
  <c r="G187" i="11"/>
  <c r="M186" i="11"/>
  <c r="O186" i="11"/>
  <c r="G188" i="11" l="1"/>
  <c r="O187" i="11"/>
  <c r="M187" i="11"/>
  <c r="K187" i="11"/>
  <c r="I187" i="11"/>
  <c r="K186" i="9"/>
  <c r="M186" i="9"/>
  <c r="G187" i="9"/>
  <c r="O186" i="9"/>
  <c r="I186" i="9"/>
  <c r="G188" i="9" l="1"/>
  <c r="O187" i="9"/>
  <c r="K187" i="9"/>
  <c r="M187" i="9"/>
  <c r="I187" i="9"/>
  <c r="G189" i="11"/>
  <c r="O188" i="11"/>
  <c r="M188" i="11"/>
  <c r="K188" i="11"/>
  <c r="I188" i="11"/>
  <c r="M189" i="11" l="1"/>
  <c r="K189" i="11"/>
  <c r="I189" i="11"/>
  <c r="G190" i="11"/>
  <c r="O189" i="11"/>
  <c r="G189" i="9"/>
  <c r="K188" i="9"/>
  <c r="M188" i="9"/>
  <c r="I188" i="9"/>
  <c r="O188" i="9"/>
  <c r="G191" i="11" l="1"/>
  <c r="O190" i="11"/>
  <c r="M190" i="11"/>
  <c r="K190" i="11"/>
  <c r="I190" i="11"/>
  <c r="G190" i="9"/>
  <c r="O189" i="9"/>
  <c r="K189" i="9"/>
  <c r="I189" i="9"/>
  <c r="M189" i="9"/>
  <c r="G191" i="9" l="1"/>
  <c r="K190" i="9"/>
  <c r="M190" i="9"/>
  <c r="I190" i="9"/>
  <c r="O190" i="9"/>
  <c r="I191" i="11"/>
  <c r="G192" i="11"/>
  <c r="O191" i="11"/>
  <c r="M191" i="11"/>
  <c r="K191" i="11"/>
  <c r="O192" i="11" l="1"/>
  <c r="M192" i="11"/>
  <c r="K192" i="11"/>
  <c r="I192" i="11"/>
  <c r="G193" i="11"/>
  <c r="I191" i="9"/>
  <c r="O191" i="9"/>
  <c r="M191" i="9"/>
  <c r="G192" i="9"/>
  <c r="K191" i="9"/>
  <c r="G193" i="9" l="1"/>
  <c r="O192" i="9"/>
  <c r="M192" i="9"/>
  <c r="I192" i="9"/>
  <c r="K192" i="9"/>
  <c r="G194" i="11"/>
  <c r="O193" i="11"/>
  <c r="M193" i="11"/>
  <c r="K193" i="11"/>
  <c r="I193" i="11"/>
  <c r="I193" i="9" l="1"/>
  <c r="O193" i="9"/>
  <c r="M193" i="9"/>
  <c r="G194" i="9"/>
  <c r="K193" i="9"/>
  <c r="K194" i="11"/>
  <c r="I194" i="11"/>
  <c r="G195" i="11"/>
  <c r="O194" i="11"/>
  <c r="M194" i="11"/>
  <c r="G196" i="11" l="1"/>
  <c r="O195" i="11"/>
  <c r="M195" i="11"/>
  <c r="K195" i="11"/>
  <c r="I195" i="11"/>
  <c r="G195" i="9"/>
  <c r="I194" i="9"/>
  <c r="O194" i="9"/>
  <c r="M194" i="9"/>
  <c r="K194" i="9"/>
  <c r="G196" i="9" l="1"/>
  <c r="M195" i="9"/>
  <c r="K195" i="9"/>
  <c r="O195" i="9"/>
  <c r="I195" i="9"/>
  <c r="G197" i="11"/>
  <c r="O196" i="11"/>
  <c r="M196" i="11"/>
  <c r="K196" i="11"/>
  <c r="I196" i="11"/>
  <c r="K196" i="9" l="1"/>
  <c r="O196" i="9"/>
  <c r="G197" i="9"/>
  <c r="M196" i="9"/>
  <c r="I196" i="9"/>
  <c r="M197" i="11"/>
  <c r="O197" i="11"/>
  <c r="K197" i="11"/>
  <c r="I197" i="11"/>
  <c r="G198" i="11"/>
  <c r="M197" i="9" l="1"/>
  <c r="G198" i="9"/>
  <c r="K197" i="9"/>
  <c r="O197" i="9"/>
  <c r="I197" i="9"/>
  <c r="G199" i="11"/>
  <c r="O198" i="11"/>
  <c r="M198" i="11"/>
  <c r="K198" i="11"/>
  <c r="I198" i="11"/>
  <c r="G199" i="9" l="1"/>
  <c r="K198" i="9"/>
  <c r="M198" i="9"/>
  <c r="I198" i="9"/>
  <c r="O198" i="9"/>
  <c r="I199" i="11"/>
  <c r="G200" i="11"/>
  <c r="O199" i="11"/>
  <c r="K199" i="11"/>
  <c r="M199" i="11"/>
  <c r="O200" i="11" l="1"/>
  <c r="M200" i="11"/>
  <c r="K200" i="11"/>
  <c r="I200" i="11"/>
  <c r="G201" i="11"/>
  <c r="G200" i="9"/>
  <c r="I199" i="9"/>
  <c r="K199" i="9"/>
  <c r="M199" i="9"/>
  <c r="O199" i="9"/>
  <c r="G202" i="11" l="1"/>
  <c r="O201" i="11"/>
  <c r="M201" i="11"/>
  <c r="K201" i="11"/>
  <c r="I201" i="11"/>
  <c r="G201" i="9"/>
  <c r="O200" i="9"/>
  <c r="K200" i="9"/>
  <c r="M200" i="9"/>
  <c r="I200" i="9"/>
  <c r="K202" i="11" l="1"/>
  <c r="I202" i="11"/>
  <c r="G203" i="11"/>
  <c r="O202" i="11"/>
  <c r="M202" i="11"/>
  <c r="G202" i="9"/>
  <c r="I201" i="9"/>
  <c r="K201" i="9"/>
  <c r="M201" i="9"/>
  <c r="O201" i="9"/>
  <c r="G203" i="9" l="1"/>
  <c r="I202" i="9"/>
  <c r="O202" i="9"/>
  <c r="K202" i="9"/>
  <c r="M202" i="9"/>
  <c r="G204" i="11"/>
  <c r="O203" i="11"/>
  <c r="M203" i="11"/>
  <c r="K203" i="11"/>
  <c r="I203" i="11"/>
  <c r="M203" i="9" l="1"/>
  <c r="O203" i="9"/>
  <c r="G204" i="9"/>
  <c r="I203" i="9"/>
  <c r="K203" i="9"/>
  <c r="G205" i="11"/>
  <c r="O204" i="11"/>
  <c r="M204" i="11"/>
  <c r="K204" i="11"/>
  <c r="I204" i="11"/>
  <c r="M205" i="11" l="1"/>
  <c r="K205" i="11"/>
  <c r="I205" i="11"/>
  <c r="O205" i="11"/>
  <c r="G206" i="11"/>
  <c r="G205" i="9"/>
  <c r="O204" i="9"/>
  <c r="M204" i="9"/>
  <c r="K204" i="9"/>
  <c r="I204" i="9"/>
  <c r="O205" i="9" l="1"/>
  <c r="G206" i="9"/>
  <c r="K205" i="9"/>
  <c r="M205" i="9"/>
  <c r="I205" i="9"/>
  <c r="G207" i="11"/>
  <c r="O206" i="11"/>
  <c r="M206" i="11"/>
  <c r="K206" i="11"/>
  <c r="I206" i="11"/>
  <c r="G207" i="9" l="1"/>
  <c r="M206" i="9"/>
  <c r="K206" i="9"/>
  <c r="O206" i="9"/>
  <c r="I206" i="9"/>
  <c r="I207" i="11"/>
  <c r="G208" i="11"/>
  <c r="O207" i="11"/>
  <c r="M207" i="11"/>
  <c r="K207" i="11"/>
  <c r="O208" i="11" l="1"/>
  <c r="M208" i="11"/>
  <c r="K208" i="11"/>
  <c r="I208" i="11"/>
  <c r="G209" i="11"/>
  <c r="G208" i="9"/>
  <c r="M207" i="9"/>
  <c r="K207" i="9"/>
  <c r="O207" i="9"/>
  <c r="I207" i="9"/>
  <c r="G210" i="11" l="1"/>
  <c r="O209" i="11"/>
  <c r="M209" i="11"/>
  <c r="K209" i="11"/>
  <c r="I209" i="11"/>
  <c r="O208" i="9"/>
  <c r="G209" i="9"/>
  <c r="I208" i="9"/>
  <c r="K208" i="9"/>
  <c r="M208" i="9"/>
  <c r="BF73" i="9"/>
  <c r="K209" i="9" l="1"/>
  <c r="O209" i="9"/>
  <c r="G210" i="9"/>
  <c r="I209" i="9"/>
  <c r="M209" i="9"/>
  <c r="K210" i="11"/>
  <c r="I210" i="11"/>
  <c r="G211" i="11"/>
  <c r="O210" i="11"/>
  <c r="M210" i="11"/>
  <c r="BG73" i="9"/>
  <c r="BI73" i="9"/>
  <c r="BJ73" i="9" s="1"/>
  <c r="G212" i="11" l="1"/>
  <c r="O211" i="11"/>
  <c r="M211" i="11"/>
  <c r="K211" i="11"/>
  <c r="I211" i="11"/>
  <c r="G211" i="9"/>
  <c r="M210" i="9"/>
  <c r="I210" i="9"/>
  <c r="O210" i="9"/>
  <c r="K210" i="9"/>
  <c r="BL73" i="9"/>
  <c r="BK73" i="9" s="1"/>
  <c r="BK89" i="9" s="1"/>
  <c r="BL89" i="9" s="1"/>
  <c r="G213" i="11" l="1"/>
  <c r="O212" i="11"/>
  <c r="M212" i="11"/>
  <c r="I212" i="11"/>
  <c r="K212" i="11"/>
  <c r="M211" i="9"/>
  <c r="O211" i="9"/>
  <c r="G212" i="9"/>
  <c r="I211" i="9"/>
  <c r="K211" i="9"/>
  <c r="BM73" i="9"/>
  <c r="I73" i="9" s="1"/>
  <c r="I80" i="13" s="1"/>
  <c r="BB80" i="13" s="1"/>
  <c r="BH80" i="13" s="1"/>
  <c r="L80" i="13" s="1"/>
  <c r="BM80" i="13" l="1"/>
  <c r="BN80" i="13" s="1"/>
  <c r="BA80" i="13"/>
  <c r="BY80" i="13" s="1"/>
  <c r="AW80" i="13"/>
  <c r="O212" i="9"/>
  <c r="K212" i="9"/>
  <c r="G213" i="9"/>
  <c r="M212" i="9"/>
  <c r="I212" i="9"/>
  <c r="M213" i="11"/>
  <c r="K213" i="11"/>
  <c r="I213" i="11"/>
  <c r="G214" i="11"/>
  <c r="O213" i="11"/>
  <c r="BC73" i="9"/>
  <c r="K73" i="9"/>
  <c r="BZ80" i="13" l="1"/>
  <c r="M80" i="13" s="1"/>
  <c r="G215" i="11"/>
  <c r="O214" i="11"/>
  <c r="M214" i="11"/>
  <c r="K214" i="11"/>
  <c r="I214" i="11"/>
  <c r="I213" i="9"/>
  <c r="G214" i="9"/>
  <c r="O213" i="9"/>
  <c r="K213" i="9"/>
  <c r="M213" i="9"/>
  <c r="BD73" i="9"/>
  <c r="B73" i="9" s="1"/>
  <c r="BC89" i="9"/>
  <c r="K214" i="9" l="1"/>
  <c r="O214" i="9"/>
  <c r="G215" i="9"/>
  <c r="M214" i="9"/>
  <c r="I214" i="9"/>
  <c r="I215" i="11"/>
  <c r="G216" i="11"/>
  <c r="O215" i="11"/>
  <c r="M215" i="11"/>
  <c r="K215" i="11"/>
  <c r="M215" i="9" l="1"/>
  <c r="I215" i="9"/>
  <c r="G216" i="9"/>
  <c r="K215" i="9"/>
  <c r="O215" i="9"/>
  <c r="O216" i="11"/>
  <c r="M216" i="11"/>
  <c r="K216" i="11"/>
  <c r="I216" i="11"/>
  <c r="G217" i="11"/>
  <c r="M216" i="9" l="1"/>
  <c r="G217" i="9"/>
  <c r="I216" i="9"/>
  <c r="O216" i="9"/>
  <c r="K216" i="9"/>
  <c r="G218" i="11"/>
  <c r="O217" i="11"/>
  <c r="M217" i="11"/>
  <c r="K217" i="11"/>
  <c r="I217" i="11"/>
  <c r="K218" i="11" l="1"/>
  <c r="I218" i="11"/>
  <c r="G219" i="11"/>
  <c r="M218" i="11"/>
  <c r="O218" i="11"/>
  <c r="G218" i="9"/>
  <c r="K217" i="9"/>
  <c r="O217" i="9"/>
  <c r="I217" i="9"/>
  <c r="M217" i="9"/>
  <c r="K218" i="9" l="1"/>
  <c r="G219" i="9"/>
  <c r="O218" i="9"/>
  <c r="M218" i="9"/>
  <c r="I218" i="9"/>
  <c r="G220" i="11"/>
  <c r="O219" i="11"/>
  <c r="M219" i="11"/>
  <c r="K219" i="11"/>
  <c r="I219" i="11"/>
  <c r="G221" i="11" l="1"/>
  <c r="O220" i="11"/>
  <c r="M220" i="11"/>
  <c r="K220" i="11"/>
  <c r="I220" i="11"/>
  <c r="M219" i="9"/>
  <c r="G220" i="9"/>
  <c r="K219" i="9"/>
  <c r="O219" i="9"/>
  <c r="I219" i="9"/>
  <c r="G221" i="9" l="1"/>
  <c r="M220" i="9"/>
  <c r="K220" i="9"/>
  <c r="I220" i="9"/>
  <c r="O220" i="9"/>
  <c r="M221" i="11"/>
  <c r="K221" i="11"/>
  <c r="I221" i="11"/>
  <c r="G222" i="11"/>
  <c r="O221" i="11"/>
  <c r="G223" i="11" l="1"/>
  <c r="O222" i="11"/>
  <c r="M222" i="11"/>
  <c r="K222" i="11"/>
  <c r="I222" i="11"/>
  <c r="I221" i="9"/>
  <c r="O221" i="9"/>
  <c r="G222" i="9"/>
  <c r="M221" i="9"/>
  <c r="K221" i="9"/>
  <c r="G223" i="9" l="1"/>
  <c r="K222" i="9"/>
  <c r="M222" i="9"/>
  <c r="O222" i="9"/>
  <c r="I222" i="9"/>
  <c r="I223" i="11"/>
  <c r="G224" i="11"/>
  <c r="O223" i="11"/>
  <c r="M223" i="11"/>
  <c r="K223" i="11"/>
  <c r="G224" i="9" l="1"/>
  <c r="K223" i="9"/>
  <c r="M223" i="9"/>
  <c r="O223" i="9"/>
  <c r="I223" i="9"/>
  <c r="O224" i="11"/>
  <c r="M224" i="11"/>
  <c r="K224" i="11"/>
  <c r="I224" i="11"/>
  <c r="O224" i="9" l="1"/>
  <c r="K224" i="9"/>
  <c r="M224" i="9"/>
  <c r="I224" i="9"/>
  <c r="HR284" i="16" l="1"/>
  <c r="AY86" i="13" s="1"/>
  <c r="N86" i="13" s="1"/>
  <c r="HV284" i="16"/>
  <c r="IC284" i="16" s="1"/>
  <c r="HQ284" i="16"/>
  <c r="AX86" i="13" s="1"/>
  <c r="K86" i="13" s="1"/>
  <c r="HR270" i="16"/>
  <c r="AY84" i="13" s="1"/>
  <c r="HV270" i="16"/>
  <c r="IC270" i="16" s="1"/>
  <c r="HQ270" i="16"/>
  <c r="IB270" i="16" l="1"/>
  <c r="IB284" i="16"/>
  <c r="AX72" i="13"/>
  <c r="K72" i="13" s="1"/>
  <c r="AX84" i="13"/>
  <c r="K84" i="13" s="1"/>
  <c r="N84" i="13"/>
  <c r="AY72" i="13"/>
  <c r="N72" i="13" s="1"/>
  <c r="AX74" i="13"/>
  <c r="K74" i="13" s="1"/>
  <c r="AY74" i="13"/>
  <c r="N74" i="13" s="1"/>
  <c r="AW86" i="13"/>
  <c r="BZ86" i="13" s="1"/>
  <c r="M86" i="13" s="1"/>
  <c r="AW74" i="13"/>
  <c r="BZ74" i="13" s="1"/>
  <c r="M74" i="13" s="1"/>
  <c r="BA86" i="13"/>
  <c r="BY86" i="13" s="1"/>
  <c r="BA74" i="13"/>
  <c r="BY74" i="13" s="1"/>
  <c r="AV86" i="13"/>
  <c r="BW86" i="13" s="1"/>
  <c r="L86" i="13" s="1"/>
  <c r="AV74" i="13"/>
  <c r="BW74" i="13" s="1"/>
  <c r="L74" i="13" s="1"/>
  <c r="AV84" i="13"/>
  <c r="BW84" i="13" s="1"/>
  <c r="L84" i="13" s="1"/>
  <c r="AV72" i="13"/>
  <c r="BW72" i="13" s="1"/>
  <c r="L72" i="13" s="1"/>
  <c r="BA84" i="13"/>
  <c r="BY84" i="13" s="1"/>
  <c r="BA72" i="13"/>
  <c r="BY72" i="13" s="1"/>
  <c r="AW84" i="13"/>
  <c r="BZ84" i="13" s="1"/>
  <c r="M84" i="13" s="1"/>
  <c r="AW72" i="13"/>
  <c r="BZ72" i="13" s="1"/>
  <c r="HW285" i="16" l="1"/>
  <c r="X34" i="17" s="1"/>
  <c r="HW271" i="16"/>
  <c r="X33" i="17" s="1"/>
  <c r="X30" i="17"/>
  <c r="X29" i="17"/>
  <c r="BY76" i="13"/>
  <c r="M76" i="13" s="1"/>
  <c r="M72" i="13"/>
  <c r="HQ368" i="16" l="1"/>
  <c r="HV368" i="16"/>
  <c r="IC368" i="16" s="1"/>
  <c r="HU368" i="16"/>
  <c r="HR368" i="16"/>
  <c r="HV354" i="16"/>
  <c r="HU354" i="16"/>
  <c r="HR354" i="16"/>
  <c r="HQ354" i="16"/>
  <c r="AV88" i="13"/>
  <c r="IB354" i="16" l="1"/>
  <c r="IC354" i="16"/>
  <c r="HZ354" i="16"/>
  <c r="IA354" i="16"/>
  <c r="HZ368" i="16"/>
  <c r="IA368" i="16"/>
  <c r="IB368" i="16"/>
  <c r="AY88" i="13"/>
  <c r="N88" i="13" s="1"/>
  <c r="AY100" i="13"/>
  <c r="N100" i="13" s="1"/>
  <c r="AY90" i="13"/>
  <c r="N90" i="13" s="1"/>
  <c r="AY102" i="13"/>
  <c r="N102" i="13" s="1"/>
  <c r="AX90" i="13"/>
  <c r="K90" i="13" s="1"/>
  <c r="AX102" i="13"/>
  <c r="K102" i="13" s="1"/>
  <c r="AX88" i="13"/>
  <c r="K88" i="13" s="1"/>
  <c r="AX100" i="13"/>
  <c r="K100" i="13" s="1"/>
  <c r="AZ88" i="13"/>
  <c r="BV88" i="13" s="1"/>
  <c r="BA88" i="13"/>
  <c r="BY88" i="13" s="1"/>
  <c r="BW88" i="13"/>
  <c r="L88" i="13" s="1"/>
  <c r="AW88" i="13"/>
  <c r="AV90" i="13"/>
  <c r="BW90" i="13" s="1"/>
  <c r="BA90" i="13"/>
  <c r="BY90" i="13" s="1"/>
  <c r="AZ90" i="13"/>
  <c r="BV90" i="13" s="1"/>
  <c r="AW90" i="13"/>
  <c r="HW367" i="16" l="1"/>
  <c r="J40" i="17" s="1"/>
  <c r="HW353" i="16"/>
  <c r="HW369" i="16"/>
  <c r="X40" i="17" s="1"/>
  <c r="X36" i="17"/>
  <c r="HW355" i="16"/>
  <c r="GC20" i="17"/>
  <c r="BY96" i="13"/>
  <c r="M96" i="13" s="1"/>
  <c r="BZ88" i="13"/>
  <c r="M88" i="13" s="1"/>
  <c r="L90" i="13"/>
  <c r="BZ90" i="13"/>
  <c r="M90" i="13" s="1"/>
  <c r="X35" i="17" l="1"/>
  <c r="HV466" i="16" l="1"/>
  <c r="HU466" i="16"/>
  <c r="HR466" i="16"/>
  <c r="HQ466" i="16"/>
  <c r="AW108" i="13"/>
  <c r="BZ108" i="13" s="1"/>
  <c r="AV108" i="13"/>
  <c r="M108" i="13" l="1"/>
  <c r="BW108" i="13"/>
  <c r="L108" i="13" s="1"/>
  <c r="HR410" i="16" l="1"/>
  <c r="HQ410" i="16"/>
  <c r="HU410" i="16"/>
  <c r="AZ108" i="13" l="1"/>
  <c r="BV108" i="13" s="1"/>
  <c r="IA410" i="16"/>
  <c r="HW409" i="16" s="1"/>
  <c r="J39" i="17" s="1"/>
  <c r="AX120" i="13"/>
  <c r="K120" i="13" s="1"/>
  <c r="AX108" i="13"/>
  <c r="K108" i="13" s="1"/>
  <c r="AY120" i="13"/>
  <c r="N120" i="13" s="1"/>
  <c r="AY108" i="13"/>
  <c r="N108" i="13" s="1"/>
  <c r="AW105" i="9" l="1"/>
  <c r="AY105" i="9" s="1"/>
  <c r="AW107" i="9"/>
  <c r="AW99" i="9"/>
  <c r="AW103" i="9"/>
  <c r="AX105" i="9" l="1"/>
  <c r="AY99" i="9"/>
  <c r="AX99" i="9"/>
  <c r="AX103" i="9"/>
  <c r="AY103" i="9"/>
  <c r="AX107" i="9"/>
  <c r="AY107" i="9"/>
  <c r="BD112" i="13" l="1"/>
  <c r="BD114" i="13"/>
  <c r="BD106" i="13"/>
  <c r="BD108" i="13"/>
  <c r="BD110" i="13"/>
  <c r="HV410" i="16" l="1"/>
  <c r="BA108" i="13"/>
  <c r="BY108" i="13" s="1"/>
  <c r="IC410" i="16" l="1"/>
  <c r="HW411" i="16" s="1"/>
  <c r="X39" i="17" s="1"/>
  <c r="AW101" i="9"/>
  <c r="AX101" i="9" l="1"/>
  <c r="AY101" i="9"/>
  <c r="BZ93" i="11" l="1"/>
  <c r="CA93" i="11" l="1"/>
  <c r="BZ97" i="11"/>
  <c r="BZ95" i="9"/>
  <c r="BZ93" i="9"/>
  <c r="U93" i="11"/>
  <c r="AW103" i="11" l="1"/>
  <c r="CA95" i="9"/>
  <c r="BZ97" i="9"/>
  <c r="CA93" i="9"/>
  <c r="AX103" i="11" l="1"/>
  <c r="AY103" i="11"/>
  <c r="U93" i="9"/>
  <c r="U95" i="9"/>
  <c r="BZ115" i="11" l="1"/>
  <c r="CA115" i="11" s="1"/>
  <c r="BZ113" i="11"/>
  <c r="BZ115" i="9"/>
  <c r="CA115" i="9" s="1"/>
  <c r="BZ113" i="9"/>
  <c r="CA113" i="11" l="1"/>
  <c r="BZ117" i="11"/>
  <c r="CA113" i="9"/>
  <c r="BZ117" i="9"/>
  <c r="BF110" i="13" l="1"/>
  <c r="BF114" i="13"/>
  <c r="BF104" i="13"/>
  <c r="BF112" i="13"/>
  <c r="AW97" i="11" l="1"/>
  <c r="AX97" i="11" s="1"/>
  <c r="AW105" i="11"/>
  <c r="AX105" i="11" s="1"/>
  <c r="AW107" i="11"/>
  <c r="AX107" i="11" s="1"/>
  <c r="AY97" i="11" l="1"/>
  <c r="AY107" i="11"/>
  <c r="AY105" i="11"/>
  <c r="C26" i="17" l="1"/>
  <c r="Q25" i="17"/>
  <c r="BF74" i="13" l="1"/>
  <c r="BF84" i="13"/>
  <c r="BF72" i="13"/>
  <c r="BF90" i="13"/>
  <c r="BF70" i="13"/>
  <c r="BF92" i="13"/>
  <c r="BF68" i="13"/>
  <c r="BF94" i="13"/>
  <c r="BF66" i="13"/>
  <c r="BF64" i="13"/>
  <c r="BF88" i="13"/>
  <c r="BF62" i="13"/>
  <c r="BF54" i="13"/>
  <c r="BF52" i="13"/>
  <c r="BF48" i="13"/>
  <c r="BF50" i="13"/>
  <c r="BF34" i="13"/>
  <c r="BF28" i="13"/>
  <c r="BF30" i="13"/>
  <c r="BF26" i="13"/>
  <c r="BF22" i="13"/>
  <c r="BF24" i="13"/>
  <c r="BF60" i="13"/>
  <c r="BF86" i="13"/>
  <c r="BD64" i="13"/>
  <c r="BD94" i="13"/>
  <c r="BD28" i="13"/>
  <c r="BD70" i="13"/>
  <c r="BD72" i="13"/>
  <c r="BD86" i="13"/>
  <c r="BD34" i="13"/>
  <c r="BD52" i="13"/>
  <c r="BD54" i="13"/>
  <c r="BD74" i="13"/>
  <c r="BD50" i="13"/>
  <c r="BD26" i="13"/>
  <c r="BD84" i="13"/>
  <c r="BD30" i="13"/>
  <c r="BD48" i="13"/>
  <c r="BD92" i="13"/>
  <c r="BD24" i="13"/>
  <c r="BD90" i="13"/>
  <c r="BD68" i="13"/>
  <c r="BD88" i="13"/>
  <c r="AZ86" i="13" l="1"/>
  <c r="BV86" i="13" s="1"/>
  <c r="HU270" i="16"/>
  <c r="HU284" i="16"/>
  <c r="HZ270" i="16" l="1"/>
  <c r="IA270" i="16"/>
  <c r="HZ284" i="16"/>
  <c r="IA284" i="16"/>
  <c r="AZ84" i="13"/>
  <c r="BV84" i="13" s="1"/>
  <c r="BV96" i="13" s="1"/>
  <c r="L96" i="13" s="1"/>
  <c r="AZ74" i="13"/>
  <c r="BV74" i="13" s="1"/>
  <c r="AZ72" i="13"/>
  <c r="BV72" i="13" s="1"/>
  <c r="HW269" i="16" l="1"/>
  <c r="J29" i="17" s="1"/>
  <c r="J33" i="17"/>
  <c r="HW283" i="16"/>
  <c r="J30" i="17" s="1"/>
  <c r="BV76" i="13"/>
  <c r="L76" i="13" s="1"/>
  <c r="J35" i="17" l="1"/>
  <c r="J36" i="17"/>
  <c r="J34" i="17"/>
  <c r="BD22" i="13" l="1"/>
  <c r="AW97" i="9" l="1"/>
  <c r="AY97" i="9" s="1"/>
  <c r="AX97" i="9" l="1"/>
  <c r="BF108" i="13" l="1"/>
  <c r="BF82" i="13"/>
  <c r="BF106" i="13"/>
  <c r="BF80" i="13"/>
  <c r="BD60" i="13"/>
  <c r="BD62" i="13"/>
  <c r="BD82" i="13"/>
  <c r="BD80" i="13"/>
  <c r="BD104" i="13"/>
  <c r="BD66" i="13" l="1"/>
  <c r="AW99" i="11"/>
  <c r="AW101" i="11"/>
  <c r="AY101" i="11" s="1"/>
  <c r="AX101" i="11" l="1"/>
  <c r="AX99" i="11"/>
  <c r="AY99" i="11"/>
  <c r="BF40" i="13" l="1"/>
  <c r="BD44" i="13" l="1"/>
  <c r="BD46" i="13"/>
  <c r="BF44" i="13"/>
  <c r="BF46" i="13"/>
  <c r="BF42" i="13"/>
  <c r="BD32" i="13" l="1"/>
  <c r="BF32" i="13"/>
  <c r="K29" i="17" l="1"/>
  <c r="M29" i="17" s="1"/>
  <c r="B30" i="19"/>
  <c r="C30" i="19" s="1"/>
  <c r="B114" i="19"/>
  <c r="C114" i="19" s="1"/>
  <c r="B162" i="19"/>
  <c r="C162" i="19" s="1"/>
  <c r="B54" i="19"/>
  <c r="C54" i="19" s="1"/>
  <c r="B90" i="19"/>
  <c r="C90" i="19" s="1"/>
  <c r="B138" i="19"/>
  <c r="C138" i="19" s="1"/>
  <c r="B42" i="19"/>
  <c r="C42" i="19" s="1"/>
  <c r="B6" i="19"/>
  <c r="C6" i="19" s="1"/>
  <c r="B18" i="19"/>
  <c r="C18" i="19" s="1"/>
  <c r="B102" i="19"/>
  <c r="C102" i="19" s="1"/>
  <c r="B66" i="19"/>
  <c r="C66" i="19" s="1"/>
  <c r="B174" i="19"/>
  <c r="C174" i="19" s="1"/>
  <c r="B126" i="19"/>
  <c r="C126" i="19" s="1"/>
  <c r="B186" i="19"/>
  <c r="C186" i="19" s="1"/>
  <c r="B150" i="19"/>
  <c r="C150" i="19" s="1"/>
  <c r="B78" i="19"/>
  <c r="C78" i="19" s="1"/>
  <c r="AC29" i="17" l="1"/>
  <c r="AF29" i="17"/>
  <c r="Q29" i="17"/>
  <c r="Q74" i="17"/>
  <c r="I126" i="19"/>
  <c r="J126" i="19" s="1"/>
  <c r="I138" i="19"/>
  <c r="J138" i="19" s="1"/>
  <c r="I174" i="19"/>
  <c r="J174" i="19" s="1"/>
  <c r="I42" i="19"/>
  <c r="J42" i="19" s="1"/>
  <c r="I78" i="19"/>
  <c r="J78" i="19" s="1"/>
  <c r="I162" i="19"/>
  <c r="J162" i="19" s="1"/>
  <c r="I54" i="19"/>
  <c r="J54" i="19" s="1"/>
  <c r="I150" i="19"/>
  <c r="J150" i="19" s="1"/>
  <c r="I90" i="19"/>
  <c r="J90" i="19" s="1"/>
  <c r="I186" i="19"/>
  <c r="J186" i="19" s="1"/>
  <c r="I102" i="19"/>
  <c r="J102" i="19" s="1"/>
  <c r="I66" i="19"/>
  <c r="J66" i="19" s="1"/>
  <c r="I114" i="19"/>
  <c r="J114" i="19" s="1"/>
  <c r="I30" i="19"/>
  <c r="J30" i="19" s="1"/>
  <c r="I18" i="19"/>
  <c r="J18" i="19" s="1"/>
  <c r="I6" i="19"/>
  <c r="J6" i="19" s="1"/>
  <c r="BD42" i="13" l="1"/>
  <c r="BD40" i="13"/>
  <c r="C30" i="17" l="1"/>
  <c r="C75" i="17"/>
  <c r="Y30" i="17"/>
  <c r="Y29" i="17"/>
  <c r="C29" i="17"/>
  <c r="C74" i="17"/>
  <c r="AD29" i="17" l="1"/>
  <c r="AE29" i="17"/>
  <c r="AA29" i="17"/>
  <c r="Z29" i="17" s="1"/>
  <c r="L29" i="17"/>
  <c r="AE30" i="17"/>
  <c r="AD30" i="17"/>
  <c r="AA30" i="17"/>
  <c r="Q30" i="17" l="1"/>
  <c r="Q75" i="17"/>
  <c r="K30" i="17" l="1"/>
  <c r="Z30" i="17" l="1"/>
  <c r="M30" i="17"/>
  <c r="L30" i="17" s="1"/>
  <c r="AC30" i="17"/>
  <c r="AF30" i="17"/>
  <c r="BF20" i="13" l="1"/>
  <c r="BD20" i="13"/>
  <c r="BB105" i="9" l="1"/>
  <c r="B105" i="9" s="1"/>
  <c r="BB107" i="9"/>
  <c r="B107" i="9" s="1"/>
  <c r="BB107" i="11"/>
  <c r="B107" i="11" s="1"/>
  <c r="BB105" i="11"/>
  <c r="B105" i="11" s="1"/>
  <c r="AM461" i="16"/>
  <c r="AF471" i="16" s="1"/>
  <c r="C471" i="16" s="1"/>
  <c r="BA461" i="16"/>
  <c r="AT471" i="16" s="1"/>
  <c r="R471" i="16" s="1"/>
  <c r="GE467" i="16" s="1"/>
  <c r="BA363" i="16"/>
  <c r="AT373" i="16" s="1"/>
  <c r="R373" i="16" s="1"/>
  <c r="AM363" i="16"/>
  <c r="AF373" i="16" s="1"/>
  <c r="C373" i="16" s="1"/>
  <c r="BA462" i="16"/>
  <c r="AT472" i="16" s="1"/>
  <c r="R472" i="16" s="1"/>
  <c r="AM462" i="16"/>
  <c r="AF472" i="16" s="1"/>
  <c r="C472" i="16" s="1"/>
  <c r="GE465" i="16" l="1"/>
  <c r="HG466" i="16" s="1"/>
  <c r="HG468" i="16" s="1"/>
  <c r="E471" i="16"/>
  <c r="GD465" i="16" s="1"/>
  <c r="T471" i="16"/>
  <c r="GD467" i="16" s="1"/>
  <c r="T472" i="16"/>
  <c r="GE468" i="16"/>
  <c r="E472" i="16"/>
  <c r="GE466" i="16"/>
  <c r="GE369" i="16"/>
  <c r="T373" i="16"/>
  <c r="GD369" i="16" s="1"/>
  <c r="K40" i="17" s="1"/>
  <c r="GE367" i="16"/>
  <c r="E373" i="16"/>
  <c r="GD367" i="16" s="1"/>
  <c r="Y40" i="17" s="1"/>
  <c r="AD40" i="17" l="1"/>
  <c r="AA40" i="17"/>
  <c r="Z40" i="17" s="1"/>
  <c r="AE40" i="17"/>
  <c r="C40" i="17"/>
  <c r="C85" i="17"/>
  <c r="HG368" i="16"/>
  <c r="HG370" i="16" s="1"/>
  <c r="M40" i="17"/>
  <c r="L40" i="17" s="1"/>
  <c r="AC40" i="17"/>
  <c r="AF40" i="17"/>
  <c r="Q85" i="17"/>
  <c r="Q40" i="17"/>
  <c r="AS102" i="13" l="1"/>
  <c r="BG102" i="13"/>
  <c r="BG100" i="13"/>
  <c r="AS100" i="13"/>
  <c r="BA265" i="16" l="1"/>
  <c r="AT275" i="16" s="1"/>
  <c r="R275" i="16" s="1"/>
  <c r="BF100" i="13"/>
  <c r="BB103" i="9"/>
  <c r="B103" i="9" s="1"/>
  <c r="BB97" i="9"/>
  <c r="B97" i="9" s="1"/>
  <c r="BB99" i="9"/>
  <c r="B99" i="9" s="1"/>
  <c r="BB101" i="9"/>
  <c r="B101" i="9" s="1"/>
  <c r="BF102" i="13"/>
  <c r="BA279" i="16"/>
  <c r="AT289" i="16" s="1"/>
  <c r="R289" i="16" s="1"/>
  <c r="T275" i="16" l="1"/>
  <c r="GD271" i="16" s="1"/>
  <c r="GE271" i="16"/>
  <c r="GE285" i="16"/>
  <c r="T289" i="16"/>
  <c r="GD285" i="16" s="1"/>
  <c r="K36" i="17" l="1"/>
  <c r="AF36" i="17" s="1"/>
  <c r="K34" i="17"/>
  <c r="Q34" i="17"/>
  <c r="Q79" i="17"/>
  <c r="Q33" i="17"/>
  <c r="Q78" i="17"/>
  <c r="K35" i="17"/>
  <c r="K33" i="17"/>
  <c r="AC36" i="17"/>
  <c r="M36" i="17"/>
  <c r="BB103" i="11"/>
  <c r="B103" i="11" s="1"/>
  <c r="BB99" i="11"/>
  <c r="B99" i="11" s="1"/>
  <c r="BB101" i="11"/>
  <c r="B101" i="11" s="1"/>
  <c r="BB97" i="11"/>
  <c r="B97" i="11" s="1"/>
  <c r="Q81" i="17"/>
  <c r="Q36" i="17"/>
  <c r="BI100" i="13"/>
  <c r="BJ100" i="13" s="1"/>
  <c r="Q80" i="17"/>
  <c r="Q35" i="17"/>
  <c r="AC35" i="17"/>
  <c r="M35" i="17"/>
  <c r="AF35" i="17"/>
  <c r="BI102" i="13"/>
  <c r="BJ102" i="13" s="1"/>
  <c r="AF33" i="17" l="1"/>
  <c r="M33" i="17"/>
  <c r="AC33" i="17"/>
  <c r="AC34" i="17"/>
  <c r="AF34" i="17"/>
  <c r="M34" i="17"/>
  <c r="BV102" i="13"/>
  <c r="BW102" i="13"/>
  <c r="BE100" i="13" l="1"/>
  <c r="AR102" i="13" l="1"/>
  <c r="AR100" i="13"/>
  <c r="BE102" i="13" l="1"/>
  <c r="AM265" i="16"/>
  <c r="AF275" i="16" s="1"/>
  <c r="C275" i="16" s="1"/>
  <c r="BD100" i="13"/>
  <c r="BD102" i="13"/>
  <c r="AM279" i="16"/>
  <c r="AF289" i="16" s="1"/>
  <c r="C289" i="16" s="1"/>
  <c r="BH95" i="9" l="1"/>
  <c r="BI95" i="9" s="1"/>
  <c r="BJ95" i="9" s="1"/>
  <c r="BH93" i="9"/>
  <c r="BI93" i="9" s="1"/>
  <c r="BJ93" i="9" s="1"/>
  <c r="GE283" i="16"/>
  <c r="E289" i="16"/>
  <c r="GD283" i="16" s="1"/>
  <c r="GE269" i="16"/>
  <c r="E275" i="16"/>
  <c r="GD269" i="16" s="1"/>
  <c r="C34" i="17" l="1"/>
  <c r="C79" i="17"/>
  <c r="Y35" i="17"/>
  <c r="Y33" i="17"/>
  <c r="C33" i="17"/>
  <c r="C78" i="17"/>
  <c r="Y36" i="17"/>
  <c r="Y34" i="17"/>
  <c r="C35" i="17"/>
  <c r="C80" i="17"/>
  <c r="HG270" i="16"/>
  <c r="HG272" i="16" s="1"/>
  <c r="AD36" i="17"/>
  <c r="AE36" i="17"/>
  <c r="AA36" i="17"/>
  <c r="Z36" i="17" s="1"/>
  <c r="L36" i="17"/>
  <c r="C81" i="17"/>
  <c r="C36" i="17"/>
  <c r="HG284" i="16"/>
  <c r="HG286" i="16" s="1"/>
  <c r="L35" i="17"/>
  <c r="AA35" i="17"/>
  <c r="Z35" i="17" s="1"/>
  <c r="AD35" i="17"/>
  <c r="AE35" i="17"/>
  <c r="AD34" i="17" l="1"/>
  <c r="AA34" i="17"/>
  <c r="Z34" i="17" s="1"/>
  <c r="AE34" i="17"/>
  <c r="L34" i="17"/>
  <c r="AD33" i="17"/>
  <c r="AA33" i="17"/>
  <c r="Z33" i="17" s="1"/>
  <c r="AE33" i="17"/>
  <c r="L33" i="17"/>
  <c r="BM100" i="13" l="1"/>
  <c r="BN100" i="13" s="1"/>
  <c r="BM102" i="13"/>
  <c r="BN102" i="13" s="1"/>
  <c r="BZ102" i="13" l="1"/>
  <c r="BY102" i="13"/>
  <c r="BH115" i="9" l="1"/>
  <c r="BI115" i="9" s="1"/>
  <c r="BJ115" i="9" s="1"/>
  <c r="BH115" i="11"/>
  <c r="BI115" i="11" s="1"/>
  <c r="BJ115" i="11" s="1"/>
  <c r="BH113" i="11"/>
  <c r="BI113" i="11" s="1"/>
  <c r="BJ113" i="11" s="1"/>
  <c r="BH113" i="9"/>
  <c r="BI113" i="9" s="1"/>
  <c r="BJ113" i="9" s="1"/>
  <c r="AM349" i="16" l="1"/>
  <c r="AF359" i="16" s="1"/>
  <c r="C359" i="16" s="1"/>
  <c r="AM350" i="16"/>
  <c r="AF360" i="16" s="1"/>
  <c r="C360" i="16" s="1"/>
  <c r="GE354" i="16" l="1"/>
  <c r="E360" i="16"/>
  <c r="GE353" i="16"/>
  <c r="E359" i="16"/>
  <c r="GD353" i="16" s="1"/>
  <c r="Y39" i="17" s="1"/>
  <c r="AE39" i="17" l="1"/>
  <c r="AE43" i="17" s="1"/>
  <c r="AE46" i="17" s="1"/>
  <c r="AA39" i="17"/>
  <c r="AD39" i="17"/>
  <c r="AD43" i="17" s="1"/>
  <c r="C84" i="17"/>
  <c r="C39" i="17"/>
  <c r="HG354" i="16"/>
  <c r="HG356" i="16" s="1"/>
  <c r="AD46" i="17" l="1"/>
  <c r="AD49" i="17"/>
  <c r="BV100" i="13"/>
  <c r="BV116" i="13"/>
  <c r="L116" i="13"/>
  <c r="N116" i="13"/>
  <c r="V112" i="9"/>
  <c r="V113" i="9"/>
  <c r="BY100" i="13"/>
  <c r="BY116" i="13"/>
  <c r="M116" i="13"/>
  <c r="O116" i="13"/>
  <c r="W112" i="9"/>
  <c r="W113" i="9"/>
  <c r="Y113" i="9"/>
  <c r="Y93" i="9"/>
  <c r="AA93" i="9"/>
  <c r="AO93" i="9"/>
  <c r="AR120" i="13"/>
  <c r="BD120" i="13"/>
  <c r="Y95" i="9"/>
  <c r="AA95" i="9"/>
  <c r="AO95" i="9"/>
  <c r="AR122" i="13"/>
  <c r="BD122" i="13"/>
  <c r="AH1" i="17"/>
  <c r="AI1" i="17"/>
  <c r="AJ1" i="17"/>
  <c r="AH2" i="17"/>
  <c r="AI2" i="17"/>
  <c r="AJ2" i="17"/>
  <c r="AH3" i="17"/>
  <c r="AI3" i="17"/>
  <c r="AJ3" i="17"/>
  <c r="AH4" i="17"/>
  <c r="AI4" i="17"/>
  <c r="AJ4" i="17"/>
  <c r="AK1" i="17"/>
  <c r="AK2" i="17"/>
  <c r="AK3" i="17"/>
  <c r="AK4" i="17"/>
  <c r="AH5" i="17"/>
  <c r="AI5" i="17"/>
  <c r="AJ5" i="17"/>
  <c r="AK5" i="17"/>
  <c r="AH6" i="17"/>
  <c r="AI6" i="17"/>
  <c r="AJ6" i="17"/>
  <c r="AK6" i="17"/>
  <c r="AH7" i="17"/>
  <c r="AI7" i="17"/>
  <c r="AJ7" i="17"/>
  <c r="AK7" i="17"/>
  <c r="AH8" i="17"/>
  <c r="AI8" i="17"/>
  <c r="AJ8" i="17"/>
  <c r="AK8" i="17"/>
  <c r="AH9" i="17"/>
  <c r="AI9" i="17"/>
  <c r="AJ9" i="17"/>
  <c r="AK9" i="17"/>
  <c r="AH10" i="17"/>
  <c r="AI10" i="17"/>
  <c r="AJ10" i="17"/>
  <c r="AK10" i="17"/>
  <c r="AH11" i="17"/>
  <c r="AI11" i="17"/>
  <c r="AJ11" i="17"/>
  <c r="AK11" i="17"/>
  <c r="AH12" i="17"/>
  <c r="AI12" i="17"/>
  <c r="AJ12" i="17"/>
  <c r="AK12" i="17"/>
  <c r="AH13" i="17"/>
  <c r="AI13" i="17"/>
  <c r="AJ13" i="17"/>
  <c r="AK13" i="17"/>
  <c r="AH14" i="17"/>
  <c r="AI14" i="17"/>
  <c r="AJ14" i="17"/>
  <c r="AK14" i="17"/>
  <c r="AH15" i="17"/>
  <c r="AI15" i="17"/>
  <c r="AJ15" i="17"/>
  <c r="AK15" i="17"/>
  <c r="AH16" i="17"/>
  <c r="AI16" i="17"/>
  <c r="AJ16" i="17"/>
  <c r="AK16" i="17"/>
  <c r="AH17" i="17"/>
  <c r="AI17" i="17"/>
  <c r="AJ17" i="17"/>
  <c r="AK17" i="17"/>
  <c r="AH18" i="17"/>
  <c r="AI18" i="17"/>
  <c r="AJ18" i="17"/>
  <c r="AK18" i="17"/>
  <c r="AH19" i="17"/>
  <c r="AI19" i="17"/>
  <c r="AJ19" i="17"/>
  <c r="AK19" i="17"/>
  <c r="AH20" i="17"/>
  <c r="AI20" i="17"/>
  <c r="AJ20" i="17"/>
  <c r="AK20" i="17"/>
  <c r="AH21" i="17"/>
  <c r="AI21" i="17"/>
  <c r="AJ21" i="17"/>
  <c r="AK21" i="17"/>
  <c r="AH22" i="17"/>
  <c r="AI22" i="17"/>
  <c r="AJ22" i="17"/>
  <c r="AK22" i="17"/>
  <c r="AH23" i="17"/>
  <c r="AI23" i="17"/>
  <c r="AJ23" i="17"/>
  <c r="AK23" i="17"/>
  <c r="AH24" i="17"/>
  <c r="AI24" i="17"/>
  <c r="AJ24" i="17"/>
  <c r="AK24" i="17"/>
  <c r="AH25" i="17"/>
  <c r="AI25" i="17"/>
  <c r="AJ25" i="17"/>
  <c r="AK25" i="17"/>
  <c r="AH26" i="17"/>
  <c r="AI26" i="17"/>
  <c r="AJ26" i="17"/>
  <c r="AK26" i="17"/>
  <c r="AH27" i="17"/>
  <c r="AI27" i="17"/>
  <c r="AJ27" i="17"/>
  <c r="AK27" i="17"/>
  <c r="AH28" i="17"/>
  <c r="AI28" i="17"/>
  <c r="AJ28" i="17"/>
  <c r="AK28" i="17"/>
  <c r="AH29" i="17"/>
  <c r="AI29" i="17"/>
  <c r="AJ29" i="17"/>
  <c r="AK29" i="17"/>
  <c r="AH30" i="17"/>
  <c r="AI30" i="17"/>
  <c r="AJ30" i="17"/>
  <c r="AK30" i="17"/>
  <c r="AH31" i="17"/>
  <c r="AI31" i="17"/>
  <c r="AJ31" i="17"/>
  <c r="AK31" i="17"/>
  <c r="AH32" i="17"/>
  <c r="AI32" i="17"/>
  <c r="AJ32" i="17"/>
  <c r="AK32" i="17"/>
  <c r="AH33" i="17"/>
  <c r="AI33" i="17"/>
  <c r="AJ33" i="17"/>
  <c r="AK33" i="17"/>
  <c r="AH34" i="17"/>
  <c r="AI34" i="17"/>
  <c r="AJ34" i="17"/>
  <c r="AK34" i="17"/>
  <c r="AH35" i="17"/>
  <c r="AI35" i="17"/>
  <c r="AJ35" i="17"/>
  <c r="AK35" i="17"/>
  <c r="AH36" i="17"/>
  <c r="AI36" i="17"/>
  <c r="AJ36" i="17"/>
  <c r="AK36" i="17"/>
  <c r="AH37" i="17"/>
  <c r="AI37" i="17"/>
  <c r="AJ37" i="17"/>
  <c r="AK37" i="17"/>
  <c r="AH38" i="17"/>
  <c r="AI38" i="17"/>
  <c r="AJ38" i="17"/>
  <c r="AK38" i="17"/>
  <c r="AH39" i="17"/>
  <c r="AI39" i="17"/>
  <c r="AJ39" i="17"/>
  <c r="AK39" i="17"/>
  <c r="AH40" i="17"/>
  <c r="AI40" i="17"/>
  <c r="AJ40" i="17"/>
  <c r="AK40" i="17"/>
  <c r="AH41" i="17"/>
  <c r="AI41" i="17"/>
  <c r="AJ41" i="17"/>
  <c r="AK41" i="17"/>
  <c r="AH42" i="17"/>
  <c r="AI42" i="17"/>
  <c r="AJ42" i="17"/>
  <c r="AK42" i="17"/>
  <c r="AH43" i="17"/>
  <c r="AI43" i="17"/>
  <c r="AJ43" i="17"/>
  <c r="AK43" i="17"/>
  <c r="AH44" i="17"/>
  <c r="AI44" i="17"/>
  <c r="AJ44" i="17"/>
  <c r="AK44" i="17"/>
  <c r="AH45" i="17"/>
  <c r="AI45" i="17"/>
  <c r="AJ45" i="17"/>
  <c r="AK45" i="17"/>
  <c r="AH46" i="17"/>
  <c r="AI46" i="17"/>
  <c r="AJ46" i="17"/>
  <c r="AK46" i="17"/>
  <c r="AH47" i="17"/>
  <c r="AI47" i="17"/>
  <c r="AJ47" i="17"/>
  <c r="AK47" i="17"/>
  <c r="AH48" i="17"/>
  <c r="AI48" i="17"/>
  <c r="AJ48" i="17"/>
  <c r="AK48" i="17"/>
  <c r="AH49" i="17"/>
  <c r="AI49" i="17"/>
  <c r="AJ49" i="17"/>
  <c r="AK49" i="17"/>
  <c r="AH50" i="17"/>
  <c r="AI50" i="17"/>
  <c r="AJ50" i="17"/>
  <c r="AK50" i="17"/>
  <c r="AH51" i="17"/>
  <c r="AI51" i="17"/>
  <c r="AJ51" i="17"/>
  <c r="AK51" i="17"/>
  <c r="AH52" i="17"/>
  <c r="AI52" i="17"/>
  <c r="AJ52" i="17"/>
  <c r="AK52" i="17"/>
  <c r="AH53" i="17"/>
  <c r="AI53" i="17"/>
  <c r="AJ53" i="17"/>
  <c r="AK53" i="17"/>
  <c r="AH54" i="17"/>
  <c r="AI54" i="17"/>
  <c r="AJ54" i="17"/>
  <c r="AK54" i="17"/>
  <c r="AH55" i="17"/>
  <c r="AI55" i="17"/>
  <c r="AJ55" i="17"/>
  <c r="AK55" i="17"/>
  <c r="AH56" i="17"/>
  <c r="AI56" i="17"/>
  <c r="AJ56" i="17"/>
  <c r="AK56" i="17"/>
  <c r="AH57" i="17"/>
  <c r="AI57" i="17"/>
  <c r="AJ57" i="17"/>
  <c r="AK57" i="17"/>
  <c r="AH58" i="17"/>
  <c r="AI58" i="17"/>
  <c r="AJ58" i="17"/>
  <c r="AK58" i="17"/>
  <c r="AH59" i="17"/>
  <c r="AI59" i="17"/>
  <c r="AJ59" i="17"/>
  <c r="AK59" i="17"/>
  <c r="AH60" i="17"/>
  <c r="AI60" i="17"/>
  <c r="AJ60" i="17"/>
  <c r="AK60" i="17"/>
  <c r="AH61" i="17"/>
  <c r="AI61" i="17"/>
  <c r="AJ61" i="17"/>
  <c r="AK61" i="17"/>
  <c r="AH62" i="17"/>
  <c r="AI62" i="17"/>
  <c r="AJ62" i="17"/>
  <c r="AK62" i="17"/>
  <c r="AH63" i="17"/>
  <c r="AI63" i="17"/>
  <c r="AJ63" i="17"/>
  <c r="AK63" i="17"/>
  <c r="AH64" i="17"/>
  <c r="AI64" i="17"/>
  <c r="AJ64" i="17"/>
  <c r="AK64" i="17"/>
  <c r="AN4" i="17"/>
  <c r="AO4" i="17"/>
  <c r="AW4" i="17"/>
  <c r="DK4" i="17"/>
  <c r="CX4" i="17"/>
  <c r="BE4" i="17"/>
  <c r="DL4" i="17"/>
  <c r="CZ4" i="17"/>
  <c r="DA4" i="17"/>
  <c r="BM4" i="17"/>
  <c r="DM4" i="17"/>
  <c r="DC4" i="17"/>
  <c r="DD4" i="17"/>
  <c r="DF4" i="17"/>
  <c r="DH4" i="17"/>
  <c r="CW4" i="17"/>
  <c r="AN5" i="17"/>
  <c r="AO5" i="17"/>
  <c r="AW5" i="17"/>
  <c r="DK5" i="17"/>
  <c r="CX5" i="17"/>
  <c r="BE5" i="17"/>
  <c r="DL5" i="17"/>
  <c r="CZ5" i="17"/>
  <c r="DA5" i="17"/>
  <c r="BM5" i="17"/>
  <c r="DM5" i="17"/>
  <c r="DC5" i="17"/>
  <c r="DD5" i="17"/>
  <c r="DF5" i="17"/>
  <c r="DH5" i="17"/>
  <c r="CW5" i="17"/>
  <c r="AN6" i="17"/>
  <c r="AO6" i="17"/>
  <c r="AW6" i="17"/>
  <c r="DK6" i="17"/>
  <c r="CX6" i="17"/>
  <c r="BE6" i="17"/>
  <c r="DL6" i="17"/>
  <c r="CZ6" i="17"/>
  <c r="DA6" i="17"/>
  <c r="BM6" i="17"/>
  <c r="DM6" i="17"/>
  <c r="DC6" i="17"/>
  <c r="DD6" i="17"/>
  <c r="DF6" i="17"/>
  <c r="DH6" i="17"/>
  <c r="CW6" i="17"/>
  <c r="AN7" i="17"/>
  <c r="AO7" i="17"/>
  <c r="AW7" i="17"/>
  <c r="DK7" i="17"/>
  <c r="CX7" i="17"/>
  <c r="BE7" i="17"/>
  <c r="DL7" i="17"/>
  <c r="CZ7" i="17"/>
  <c r="DA7" i="17"/>
  <c r="BM7" i="17"/>
  <c r="DM7" i="17"/>
  <c r="DC7" i="17"/>
  <c r="DD7" i="17"/>
  <c r="DF7" i="17"/>
  <c r="DH7" i="17"/>
  <c r="CW7" i="17"/>
  <c r="CU4" i="17"/>
  <c r="CY4" i="17"/>
  <c r="DB4" i="17"/>
  <c r="DE4" i="17"/>
  <c r="DI4" i="17"/>
  <c r="DJ4" i="17"/>
  <c r="CU5" i="17"/>
  <c r="CY5" i="17"/>
  <c r="DB5" i="17"/>
  <c r="DE5" i="17"/>
  <c r="DI5" i="17"/>
  <c r="DJ5" i="17"/>
  <c r="CU6" i="17"/>
  <c r="CY6" i="17"/>
  <c r="DB6" i="17"/>
  <c r="DE6" i="17"/>
  <c r="DI6" i="17"/>
  <c r="DJ6" i="17"/>
  <c r="CU7" i="17"/>
  <c r="CY7" i="17"/>
  <c r="DB7" i="17"/>
  <c r="DE7" i="17"/>
  <c r="DI7" i="17"/>
  <c r="DJ7" i="17"/>
  <c r="AN8" i="17"/>
  <c r="AO8" i="17"/>
  <c r="AW8" i="17"/>
  <c r="DK8" i="17"/>
  <c r="CX8" i="17"/>
  <c r="BE8" i="17"/>
  <c r="DL8" i="17"/>
  <c r="CZ8" i="17"/>
  <c r="DA8" i="17"/>
  <c r="BM8" i="17"/>
  <c r="DM8" i="17"/>
  <c r="DC8" i="17"/>
  <c r="DD8" i="17"/>
  <c r="DF8" i="17"/>
  <c r="DH8" i="17"/>
  <c r="CW8" i="17"/>
  <c r="CU8" i="17"/>
  <c r="CY8" i="17"/>
  <c r="DB8" i="17"/>
  <c r="DE8" i="17"/>
  <c r="DI8" i="17"/>
  <c r="DJ8" i="17"/>
  <c r="AN9" i="17"/>
  <c r="AO9" i="17"/>
  <c r="AW9" i="17"/>
  <c r="DK9" i="17"/>
  <c r="CX9" i="17"/>
  <c r="BE9" i="17"/>
  <c r="DL9" i="17"/>
  <c r="CZ9" i="17"/>
  <c r="DA9" i="17"/>
  <c r="BM9" i="17"/>
  <c r="DM9" i="17"/>
  <c r="DC9" i="17"/>
  <c r="DD9" i="17"/>
  <c r="DF9" i="17"/>
  <c r="DH9" i="17"/>
  <c r="CW9" i="17"/>
  <c r="CU9" i="17"/>
  <c r="CY9" i="17"/>
  <c r="DB9" i="17"/>
  <c r="DE9" i="17"/>
  <c r="DI9" i="17"/>
  <c r="DJ9" i="17"/>
  <c r="AN10" i="17"/>
  <c r="AO10" i="17"/>
  <c r="AW10" i="17"/>
  <c r="DK10" i="17"/>
  <c r="CX10" i="17"/>
  <c r="BE10" i="17"/>
  <c r="DL10" i="17"/>
  <c r="CZ10" i="17"/>
  <c r="DA10" i="17"/>
  <c r="BM10" i="17"/>
  <c r="DM10" i="17"/>
  <c r="DC10" i="17"/>
  <c r="DD10" i="17"/>
  <c r="DF10" i="17"/>
  <c r="DH10" i="17"/>
  <c r="CW10" i="17"/>
  <c r="CU10" i="17"/>
  <c r="CY10" i="17"/>
  <c r="DB10" i="17"/>
  <c r="DE10" i="17"/>
  <c r="DI10" i="17"/>
  <c r="DJ10" i="17"/>
  <c r="AN11" i="17"/>
  <c r="AO11" i="17"/>
  <c r="AW11" i="17"/>
  <c r="DK11" i="17"/>
  <c r="CX11" i="17"/>
  <c r="BE11" i="17"/>
  <c r="DL11" i="17"/>
  <c r="CZ11" i="17"/>
  <c r="DA11" i="17"/>
  <c r="BM11" i="17"/>
  <c r="DM11" i="17"/>
  <c r="DC11" i="17"/>
  <c r="DD11" i="17"/>
  <c r="DF11" i="17"/>
  <c r="DH11" i="17"/>
  <c r="CW11" i="17"/>
  <c r="CU11" i="17"/>
  <c r="CY11" i="17"/>
  <c r="DB11" i="17"/>
  <c r="DE11" i="17"/>
  <c r="DI11" i="17"/>
  <c r="DJ11" i="17"/>
  <c r="AN12" i="17"/>
  <c r="AO12" i="17"/>
  <c r="AW12" i="17"/>
  <c r="DK12" i="17"/>
  <c r="CX12" i="17"/>
  <c r="BE12" i="17"/>
  <c r="DL12" i="17"/>
  <c r="CZ12" i="17"/>
  <c r="DA12" i="17"/>
  <c r="BM12" i="17"/>
  <c r="DM12" i="17"/>
  <c r="DC12" i="17"/>
  <c r="DD12" i="17"/>
  <c r="DF12" i="17"/>
  <c r="DH12" i="17"/>
  <c r="CW12" i="17"/>
  <c r="CU12" i="17"/>
  <c r="CY12" i="17"/>
  <c r="DB12" i="17"/>
  <c r="DE12" i="17"/>
  <c r="DI12" i="17"/>
  <c r="DJ12" i="17"/>
  <c r="AN13" i="17"/>
  <c r="AO13" i="17"/>
  <c r="AW13" i="17"/>
  <c r="DK13" i="17"/>
  <c r="CX13" i="17"/>
  <c r="BE13" i="17"/>
  <c r="DL13" i="17"/>
  <c r="CZ13" i="17"/>
  <c r="DA13" i="17"/>
  <c r="BM13" i="17"/>
  <c r="DM13" i="17"/>
  <c r="DC13" i="17"/>
  <c r="DD13" i="17"/>
  <c r="DF13" i="17"/>
  <c r="DH13" i="17"/>
  <c r="CW13" i="17"/>
  <c r="CU13" i="17"/>
  <c r="CY13" i="17"/>
  <c r="DB13" i="17"/>
  <c r="DE13" i="17"/>
  <c r="DI13" i="17"/>
  <c r="DJ13" i="17"/>
  <c r="AN14" i="17"/>
  <c r="AO14" i="17"/>
  <c r="AW14" i="17"/>
  <c r="DK14" i="17"/>
  <c r="CX14" i="17"/>
  <c r="BE14" i="17"/>
  <c r="DL14" i="17"/>
  <c r="CZ14" i="17"/>
  <c r="DA14" i="17"/>
  <c r="BM14" i="17"/>
  <c r="DM14" i="17"/>
  <c r="DC14" i="17"/>
  <c r="DD14" i="17"/>
  <c r="DF14" i="17"/>
  <c r="DH14" i="17"/>
  <c r="CW14" i="17"/>
  <c r="CU14" i="17"/>
  <c r="CY14" i="17"/>
  <c r="DB14" i="17"/>
  <c r="DE14" i="17"/>
  <c r="DI14" i="17"/>
  <c r="DJ14" i="17"/>
  <c r="AN15" i="17"/>
  <c r="AO15" i="17"/>
  <c r="AW15" i="17"/>
  <c r="DK15" i="17"/>
  <c r="CX15" i="17"/>
  <c r="BE15" i="17"/>
  <c r="DL15" i="17"/>
  <c r="CZ15" i="17"/>
  <c r="DA15" i="17"/>
  <c r="BM15" i="17"/>
  <c r="DM15" i="17"/>
  <c r="DC15" i="17"/>
  <c r="DD15" i="17"/>
  <c r="DF15" i="17"/>
  <c r="DH15" i="17"/>
  <c r="CW15" i="17"/>
  <c r="CU15" i="17"/>
  <c r="CY15" i="17"/>
  <c r="DB15" i="17"/>
  <c r="DE15" i="17"/>
  <c r="DI15" i="17"/>
  <c r="DJ15" i="17"/>
  <c r="AN16" i="17"/>
  <c r="AO16" i="17"/>
  <c r="AW16" i="17"/>
  <c r="DK16" i="17"/>
  <c r="CX16" i="17"/>
  <c r="BE16" i="17"/>
  <c r="DL16" i="17"/>
  <c r="CZ16" i="17"/>
  <c r="DA16" i="17"/>
  <c r="BM16" i="17"/>
  <c r="DM16" i="17"/>
  <c r="DC16" i="17"/>
  <c r="DD16" i="17"/>
  <c r="DF16" i="17"/>
  <c r="DH16" i="17"/>
  <c r="CW16" i="17"/>
  <c r="CU16" i="17"/>
  <c r="CY16" i="17"/>
  <c r="DB16" i="17"/>
  <c r="DE16" i="17"/>
  <c r="DI16" i="17"/>
  <c r="DJ16" i="17"/>
  <c r="AN17" i="17"/>
  <c r="AO17" i="17"/>
  <c r="AW17" i="17"/>
  <c r="DK17" i="17"/>
  <c r="CX17" i="17"/>
  <c r="BE17" i="17"/>
  <c r="DL17" i="17"/>
  <c r="CZ17" i="17"/>
  <c r="DA17" i="17"/>
  <c r="BM17" i="17"/>
  <c r="DM17" i="17"/>
  <c r="DC17" i="17"/>
  <c r="DD17" i="17"/>
  <c r="DF17" i="17"/>
  <c r="DH17" i="17"/>
  <c r="CW17" i="17"/>
  <c r="CU17" i="17"/>
  <c r="CY17" i="17"/>
  <c r="DB17" i="17"/>
  <c r="DE17" i="17"/>
  <c r="DI17" i="17"/>
  <c r="DJ17" i="17"/>
  <c r="AN18" i="17"/>
  <c r="AO18" i="17"/>
  <c r="AW18" i="17"/>
  <c r="DK18" i="17"/>
  <c r="CX18" i="17"/>
  <c r="BE18" i="17"/>
  <c r="DL18" i="17"/>
  <c r="CZ18" i="17"/>
  <c r="DA18" i="17"/>
  <c r="BM18" i="17"/>
  <c r="DM18" i="17"/>
  <c r="DC18" i="17"/>
  <c r="DD18" i="17"/>
  <c r="DF18" i="17"/>
  <c r="DH18" i="17"/>
  <c r="CW18" i="17"/>
  <c r="CU18" i="17"/>
  <c r="CY18" i="17"/>
  <c r="DB18" i="17"/>
  <c r="DE18" i="17"/>
  <c r="DI18" i="17"/>
  <c r="DJ18" i="17"/>
  <c r="AN19" i="17"/>
  <c r="AO19" i="17"/>
  <c r="AW19" i="17"/>
  <c r="DK19" i="17"/>
  <c r="CX19" i="17"/>
  <c r="BE19" i="17"/>
  <c r="DL19" i="17"/>
  <c r="CZ19" i="17"/>
  <c r="DA19" i="17"/>
  <c r="BM19" i="17"/>
  <c r="DM19" i="17"/>
  <c r="DC19" i="17"/>
  <c r="DD19" i="17"/>
  <c r="DF19" i="17"/>
  <c r="DH19" i="17"/>
  <c r="CW19" i="17"/>
  <c r="CU19" i="17"/>
  <c r="CY19" i="17"/>
  <c r="DB19" i="17"/>
  <c r="DE19" i="17"/>
  <c r="DI19" i="17"/>
  <c r="DJ19" i="17"/>
  <c r="G129" i="13"/>
  <c r="I129" i="13"/>
  <c r="D129" i="13"/>
  <c r="G130" i="13"/>
  <c r="I130" i="13"/>
  <c r="D130" i="13"/>
  <c r="CG4" i="17"/>
  <c r="CH4" i="17"/>
  <c r="CJ4" i="17"/>
  <c r="CK4" i="17"/>
  <c r="CM4" i="17"/>
  <c r="CN4" i="17"/>
  <c r="CP4" i="17"/>
  <c r="CR4" i="17"/>
  <c r="CT4" i="17"/>
  <c r="CG5" i="17"/>
  <c r="CH5" i="17"/>
  <c r="CJ5" i="17"/>
  <c r="CK5" i="17"/>
  <c r="CM5" i="17"/>
  <c r="CN5" i="17"/>
  <c r="CP5" i="17"/>
  <c r="CR5" i="17"/>
  <c r="CT5" i="17"/>
  <c r="CG6" i="17"/>
  <c r="CH6" i="17"/>
  <c r="CJ6" i="17"/>
  <c r="CK6" i="17"/>
  <c r="CM6" i="17"/>
  <c r="CN6" i="17"/>
  <c r="CP6" i="17"/>
  <c r="CR6" i="17"/>
  <c r="CT6" i="17"/>
  <c r="CG7" i="17"/>
  <c r="CH7" i="17"/>
  <c r="CJ7" i="17"/>
  <c r="CK7" i="17"/>
  <c r="CM7" i="17"/>
  <c r="CN7" i="17"/>
  <c r="CP7" i="17"/>
  <c r="CR7" i="17"/>
  <c r="CT7" i="17"/>
  <c r="CG8" i="17"/>
  <c r="CH8" i="17"/>
  <c r="CJ8" i="17"/>
  <c r="CK8" i="17"/>
  <c r="CM8" i="17"/>
  <c r="CN8" i="17"/>
  <c r="CP8" i="17"/>
  <c r="CR8" i="17"/>
  <c r="CT8" i="17"/>
  <c r="CG9" i="17"/>
  <c r="CH9" i="17"/>
  <c r="CJ9" i="17"/>
  <c r="CK9" i="17"/>
  <c r="CM9" i="17"/>
  <c r="CN9" i="17"/>
  <c r="CP9" i="17"/>
  <c r="CR9" i="17"/>
  <c r="CT9" i="17"/>
  <c r="CG10" i="17"/>
  <c r="CH10" i="17"/>
  <c r="CJ10" i="17"/>
  <c r="CK10" i="17"/>
  <c r="CM10" i="17"/>
  <c r="CN10" i="17"/>
  <c r="CP10" i="17"/>
  <c r="CR10" i="17"/>
  <c r="CT10" i="17"/>
  <c r="CG11" i="17"/>
  <c r="CH11" i="17"/>
  <c r="CJ11" i="17"/>
  <c r="CK11" i="17"/>
  <c r="CM11" i="17"/>
  <c r="CN11" i="17"/>
  <c r="CP11" i="17"/>
  <c r="CR11" i="17"/>
  <c r="CT11" i="17"/>
  <c r="CG12" i="17"/>
  <c r="CH12" i="17"/>
  <c r="CJ12" i="17"/>
  <c r="CK12" i="17"/>
  <c r="CM12" i="17"/>
  <c r="CN12" i="17"/>
  <c r="CP12" i="17"/>
  <c r="CR12" i="17"/>
  <c r="CT12" i="17"/>
  <c r="CG13" i="17"/>
  <c r="CH13" i="17"/>
  <c r="CJ13" i="17"/>
  <c r="CK13" i="17"/>
  <c r="CM13" i="17"/>
  <c r="CN13" i="17"/>
  <c r="CP13" i="17"/>
  <c r="CR13" i="17"/>
  <c r="CT13" i="17"/>
  <c r="CG14" i="17"/>
  <c r="CH14" i="17"/>
  <c r="CJ14" i="17"/>
  <c r="CK14" i="17"/>
  <c r="CM14" i="17"/>
  <c r="CN14" i="17"/>
  <c r="CP14" i="17"/>
  <c r="CR14" i="17"/>
  <c r="CT14" i="17"/>
  <c r="CG15" i="17"/>
  <c r="CH15" i="17"/>
  <c r="CJ15" i="17"/>
  <c r="CK15" i="17"/>
  <c r="CM15" i="17"/>
  <c r="CN15" i="17"/>
  <c r="CP15" i="17"/>
  <c r="CR15" i="17"/>
  <c r="CT15" i="17"/>
  <c r="CG16" i="17"/>
  <c r="CH16" i="17"/>
  <c r="CJ16" i="17"/>
  <c r="CK16" i="17"/>
  <c r="CM16" i="17"/>
  <c r="CN16" i="17"/>
  <c r="CP16" i="17"/>
  <c r="CR16" i="17"/>
  <c r="CT16" i="17"/>
  <c r="CG17" i="17"/>
  <c r="CH17" i="17"/>
  <c r="CJ17" i="17"/>
  <c r="CK17" i="17"/>
  <c r="CM17" i="17"/>
  <c r="CN17" i="17"/>
  <c r="CP17" i="17"/>
  <c r="CR17" i="17"/>
  <c r="CT17" i="17"/>
  <c r="CG18" i="17"/>
  <c r="CH18" i="17"/>
  <c r="CJ18" i="17"/>
  <c r="CK18" i="17"/>
  <c r="CM18" i="17"/>
  <c r="CN18" i="17"/>
  <c r="CP18" i="17"/>
  <c r="CR18" i="17"/>
  <c r="CT18" i="17"/>
  <c r="CG19" i="17"/>
  <c r="CH19" i="17"/>
  <c r="CJ19" i="17"/>
  <c r="CK19" i="17"/>
  <c r="CM19" i="17"/>
  <c r="CN19" i="17"/>
  <c r="CP19" i="17"/>
  <c r="CR19" i="17"/>
  <c r="CT19" i="17"/>
  <c r="G131" i="13"/>
  <c r="D131" i="13"/>
  <c r="I131" i="13"/>
  <c r="CF4" i="17"/>
  <c r="CF5" i="17"/>
  <c r="CF6" i="17"/>
  <c r="CF7" i="17"/>
  <c r="CI4" i="17"/>
  <c r="CL4" i="17"/>
  <c r="CO4" i="17"/>
  <c r="CS4" i="17"/>
  <c r="CI5" i="17"/>
  <c r="CL5" i="17"/>
  <c r="CO5" i="17"/>
  <c r="CS5" i="17"/>
  <c r="CI6" i="17"/>
  <c r="CL6" i="17"/>
  <c r="CO6" i="17"/>
  <c r="CS6" i="17"/>
  <c r="CI7" i="17"/>
  <c r="CL7" i="17"/>
  <c r="CO7" i="17"/>
  <c r="CS7" i="17"/>
  <c r="CF8" i="17"/>
  <c r="CI8" i="17"/>
  <c r="CL8" i="17"/>
  <c r="CO8" i="17"/>
  <c r="CS8" i="17"/>
  <c r="CF9" i="17"/>
  <c r="CI9" i="17"/>
  <c r="CL9" i="17"/>
  <c r="CO9" i="17"/>
  <c r="CS9" i="17"/>
  <c r="CF10" i="17"/>
  <c r="CI10" i="17"/>
  <c r="CL10" i="17"/>
  <c r="CO10" i="17"/>
  <c r="CS10" i="17"/>
  <c r="CF11" i="17"/>
  <c r="CI11" i="17"/>
  <c r="CL11" i="17"/>
  <c r="CO11" i="17"/>
  <c r="CS11" i="17"/>
  <c r="CF12" i="17"/>
  <c r="CI12" i="17"/>
  <c r="CL12" i="17"/>
  <c r="CO12" i="17"/>
  <c r="CS12" i="17"/>
  <c r="CF13" i="17"/>
  <c r="CI13" i="17"/>
  <c r="CL13" i="17"/>
  <c r="CO13" i="17"/>
  <c r="CS13" i="17"/>
  <c r="CF14" i="17"/>
  <c r="CI14" i="17"/>
  <c r="CL14" i="17"/>
  <c r="CO14" i="17"/>
  <c r="CS14" i="17"/>
  <c r="CF15" i="17"/>
  <c r="CI15" i="17"/>
  <c r="CL15" i="17"/>
  <c r="CO15" i="17"/>
  <c r="CS15" i="17"/>
  <c r="CF16" i="17"/>
  <c r="CI16" i="17"/>
  <c r="CL16" i="17"/>
  <c r="CO16" i="17"/>
  <c r="CS16" i="17"/>
  <c r="CF17" i="17"/>
  <c r="CI17" i="17"/>
  <c r="CL17" i="17"/>
  <c r="CO17" i="17"/>
  <c r="CS17" i="17"/>
  <c r="CF18" i="17"/>
  <c r="CI18" i="17"/>
  <c r="CL18" i="17"/>
  <c r="CO18" i="17"/>
  <c r="CS18" i="17"/>
  <c r="CF19" i="17"/>
  <c r="CI19" i="17"/>
  <c r="CL19" i="17"/>
  <c r="CO19" i="17"/>
  <c r="CS19" i="17"/>
  <c r="E131" i="13"/>
  <c r="E132" i="13"/>
  <c r="E130" i="13"/>
  <c r="J130" i="13"/>
  <c r="J129" i="13"/>
  <c r="E129" i="13"/>
  <c r="G132" i="13"/>
  <c r="D132" i="13"/>
  <c r="I132" i="13"/>
  <c r="CV6" i="17"/>
  <c r="CV7" i="17"/>
  <c r="CV12" i="17"/>
  <c r="CV11" i="17"/>
  <c r="J132" i="13"/>
  <c r="J131" i="13"/>
  <c r="CV5" i="17"/>
  <c r="CV15" i="17"/>
  <c r="CV9" i="17"/>
  <c r="CV19" i="17"/>
  <c r="CV13" i="17"/>
  <c r="CV18" i="17"/>
  <c r="CV10" i="17"/>
  <c r="CV17" i="17"/>
  <c r="CV14" i="17"/>
  <c r="CV4" i="17"/>
  <c r="CV16" i="17"/>
  <c r="CV8" i="17"/>
  <c r="AY9" i="17"/>
  <c r="BG9" i="17"/>
  <c r="BO9" i="17"/>
  <c r="CC9" i="17"/>
  <c r="AU17" i="17"/>
  <c r="BC17" i="17"/>
  <c r="BK17" i="17"/>
  <c r="BQ17" i="17"/>
  <c r="BS17" i="17"/>
  <c r="AM405" i="16"/>
  <c r="AF415" i="16"/>
  <c r="C415" i="16"/>
  <c r="GE409" i="16"/>
  <c r="C43" i="17"/>
  <c r="BU17" i="17"/>
  <c r="BY17" i="17"/>
  <c r="AV16" i="17"/>
  <c r="BD16" i="17"/>
  <c r="BL16" i="17"/>
  <c r="BR16" i="17"/>
  <c r="BT16" i="17"/>
  <c r="BV16" i="17"/>
  <c r="BZ16" i="17"/>
  <c r="AX4" i="17"/>
  <c r="BF4" i="17"/>
  <c r="BN4" i="17"/>
  <c r="CB4" i="17"/>
  <c r="AX6" i="17"/>
  <c r="BF6" i="17"/>
  <c r="BN6" i="17"/>
  <c r="CB6" i="17"/>
  <c r="AT12" i="17"/>
  <c r="BB12" i="17"/>
  <c r="BJ12" i="17"/>
  <c r="BX12" i="17"/>
  <c r="AV19" i="17"/>
  <c r="BD19" i="17"/>
  <c r="BL19" i="17"/>
  <c r="BR19" i="17"/>
  <c r="BT19" i="17"/>
  <c r="BV19" i="17"/>
  <c r="BZ19" i="17"/>
  <c r="AZ9" i="17"/>
  <c r="BH9" i="17"/>
  <c r="BP9" i="17"/>
  <c r="CD9" i="17"/>
  <c r="C55" i="17"/>
  <c r="E55" i="17"/>
  <c r="L147" i="13"/>
  <c r="F55" i="17"/>
  <c r="M147" i="13"/>
  <c r="R147" i="13"/>
  <c r="S147" i="13"/>
  <c r="AU18" i="17"/>
  <c r="BC18" i="17"/>
  <c r="BK18" i="17"/>
  <c r="BQ18" i="17"/>
  <c r="BS18" i="17"/>
  <c r="BU18" i="17"/>
  <c r="BY18" i="17"/>
  <c r="AU7" i="17"/>
  <c r="BC7" i="17"/>
  <c r="BK7" i="17"/>
  <c r="BQ7" i="17"/>
  <c r="BS7" i="17"/>
  <c r="BU7" i="17"/>
  <c r="BY7" i="17"/>
  <c r="AZ11" i="17"/>
  <c r="BH11" i="17"/>
  <c r="BP11" i="17"/>
  <c r="CD11" i="17"/>
  <c r="AS13" i="17"/>
  <c r="BA13" i="17"/>
  <c r="BI13" i="17"/>
  <c r="BW13" i="17"/>
  <c r="CE13" i="17"/>
  <c r="AZ15" i="17"/>
  <c r="BH15" i="17"/>
  <c r="BP15" i="17"/>
  <c r="CD15" i="17"/>
  <c r="AY5" i="17"/>
  <c r="BG5" i="17"/>
  <c r="BO5" i="17"/>
  <c r="CC5" i="17"/>
  <c r="AT18" i="17"/>
  <c r="BB18" i="17"/>
  <c r="BJ18" i="17"/>
  <c r="BX18" i="17"/>
  <c r="AY6" i="17"/>
  <c r="BG6" i="17"/>
  <c r="BO6" i="17"/>
  <c r="CC6" i="17"/>
  <c r="AU12" i="17"/>
  <c r="BC12" i="17"/>
  <c r="BK12" i="17"/>
  <c r="BQ12" i="17"/>
  <c r="BS12" i="17"/>
  <c r="BU12" i="17"/>
  <c r="BY12" i="17"/>
  <c r="AT19" i="17"/>
  <c r="BB19" i="17"/>
  <c r="BJ19" i="17"/>
  <c r="BX19" i="17"/>
  <c r="AU11" i="17"/>
  <c r="BC11" i="17"/>
  <c r="BK11" i="17"/>
  <c r="BQ11" i="17"/>
  <c r="BS11" i="17"/>
  <c r="BU11" i="17"/>
  <c r="BY11" i="17"/>
  <c r="AS8" i="17"/>
  <c r="BA8" i="17"/>
  <c r="BI8" i="17"/>
  <c r="BW8" i="17"/>
  <c r="CE8" i="17"/>
  <c r="AZ5" i="17"/>
  <c r="BH5" i="17"/>
  <c r="BP5" i="17"/>
  <c r="CD5" i="17"/>
  <c r="AX16" i="17"/>
  <c r="BF16" i="17"/>
  <c r="BN16" i="17"/>
  <c r="CB16" i="17"/>
  <c r="C54" i="17"/>
  <c r="E54" i="17"/>
  <c r="L146" i="13"/>
  <c r="F54" i="17"/>
  <c r="M146" i="13"/>
  <c r="R146" i="13"/>
  <c r="S146" i="13"/>
  <c r="C49" i="17"/>
  <c r="E49" i="17"/>
  <c r="L141" i="13"/>
  <c r="F49" i="17"/>
  <c r="M141" i="13"/>
  <c r="R141" i="13"/>
  <c r="S141" i="13"/>
  <c r="AZ10" i="17"/>
  <c r="BH10" i="17"/>
  <c r="BP10" i="17"/>
  <c r="CD10" i="17"/>
  <c r="CA12" i="17"/>
  <c r="AZ14" i="17"/>
  <c r="BH14" i="17"/>
  <c r="BP14" i="17"/>
  <c r="CD14" i="17"/>
  <c r="AZ17" i="17"/>
  <c r="BH17" i="17"/>
  <c r="BP17" i="17"/>
  <c r="CD17" i="17"/>
  <c r="AS16" i="17"/>
  <c r="BA16" i="17"/>
  <c r="BI16" i="17"/>
  <c r="BW16" i="17"/>
  <c r="CE16" i="17"/>
  <c r="AV4" i="17"/>
  <c r="BD4" i="17"/>
  <c r="BL4" i="17"/>
  <c r="BR4" i="17"/>
  <c r="BT4" i="17"/>
  <c r="BV4" i="17"/>
  <c r="BZ4" i="17"/>
  <c r="C47" i="17"/>
  <c r="E47" i="17"/>
  <c r="L139" i="13"/>
  <c r="F47" i="17"/>
  <c r="M139" i="13"/>
  <c r="R139" i="13"/>
  <c r="S139" i="13"/>
  <c r="AS19" i="17"/>
  <c r="BA19" i="17"/>
  <c r="BI19" i="17"/>
  <c r="BW19" i="17"/>
  <c r="CE19" i="17"/>
  <c r="AT9" i="17"/>
  <c r="BB9" i="17"/>
  <c r="BJ9" i="17"/>
  <c r="BX9" i="17"/>
  <c r="AT11" i="17"/>
  <c r="BB11" i="17"/>
  <c r="BJ11" i="17"/>
  <c r="BX11" i="17"/>
  <c r="AV13" i="17"/>
  <c r="BD13" i="17"/>
  <c r="BL13" i="17"/>
  <c r="BR13" i="17"/>
  <c r="BT13" i="17"/>
  <c r="BV13" i="17"/>
  <c r="BZ13" i="17"/>
  <c r="CA8" i="17"/>
  <c r="AV15" i="17"/>
  <c r="BD15" i="17"/>
  <c r="BL15" i="17"/>
  <c r="BR15" i="17"/>
  <c r="BT15" i="17"/>
  <c r="BV15" i="17"/>
  <c r="BZ15" i="17"/>
  <c r="AX5" i="17"/>
  <c r="BF5" i="17"/>
  <c r="BN5" i="17"/>
  <c r="CB5" i="17"/>
  <c r="AV17" i="17"/>
  <c r="BD17" i="17"/>
  <c r="BL17" i="17"/>
  <c r="BR17" i="17"/>
  <c r="BT17" i="17"/>
  <c r="BV17" i="17"/>
  <c r="BZ17" i="17"/>
  <c r="AS18" i="17"/>
  <c r="BA18" i="17"/>
  <c r="BI18" i="17"/>
  <c r="BW18" i="17"/>
  <c r="CE18" i="17"/>
  <c r="AS6" i="17"/>
  <c r="BA6" i="17"/>
  <c r="BI6" i="17"/>
  <c r="BW6" i="17"/>
  <c r="CE6" i="17"/>
  <c r="AX9" i="17"/>
  <c r="BF9" i="17"/>
  <c r="BN9" i="17"/>
  <c r="CB9" i="17"/>
  <c r="AT10" i="17"/>
  <c r="BB10" i="17"/>
  <c r="BJ10" i="17"/>
  <c r="BX10" i="17"/>
  <c r="AV14" i="17"/>
  <c r="BD14" i="17"/>
  <c r="BL14" i="17"/>
  <c r="BR14" i="17"/>
  <c r="BT14" i="17"/>
  <c r="BV14" i="17"/>
  <c r="BZ14" i="17"/>
  <c r="C58" i="17"/>
  <c r="E58" i="17"/>
  <c r="L150" i="13"/>
  <c r="F58" i="17"/>
  <c r="M150" i="13"/>
  <c r="R150" i="13"/>
  <c r="S150" i="13"/>
  <c r="CA16" i="17"/>
  <c r="AZ18" i="17"/>
  <c r="BH18" i="17"/>
  <c r="BP18" i="17"/>
  <c r="CD18" i="17"/>
  <c r="AT6" i="17"/>
  <c r="BB6" i="17"/>
  <c r="BJ6" i="17"/>
  <c r="BX6" i="17"/>
  <c r="AZ7" i="17"/>
  <c r="BH7" i="17"/>
  <c r="BP7" i="17"/>
  <c r="CD7" i="17"/>
  <c r="AS9" i="17"/>
  <c r="BA9" i="17"/>
  <c r="BI9" i="17"/>
  <c r="BW9" i="17"/>
  <c r="CE9" i="17"/>
  <c r="CA13" i="17"/>
  <c r="AT8" i="17"/>
  <c r="BB8" i="17"/>
  <c r="BJ8" i="17"/>
  <c r="BX8" i="17"/>
  <c r="AU15" i="17"/>
  <c r="BC15" i="17"/>
  <c r="BK15" i="17"/>
  <c r="BQ15" i="17"/>
  <c r="BS15" i="17"/>
  <c r="BU15" i="17"/>
  <c r="BY15" i="17"/>
  <c r="AT14" i="17"/>
  <c r="BB14" i="17"/>
  <c r="BJ14" i="17"/>
  <c r="BX14" i="17"/>
  <c r="AY8" i="17"/>
  <c r="BG8" i="17"/>
  <c r="BO8" i="17"/>
  <c r="CC8" i="17"/>
  <c r="AU16" i="17"/>
  <c r="BC16" i="17"/>
  <c r="BK16" i="17"/>
  <c r="BQ16" i="17"/>
  <c r="BS16" i="17"/>
  <c r="BU16" i="17"/>
  <c r="BY16" i="17"/>
  <c r="AX7" i="17"/>
  <c r="BF7" i="17"/>
  <c r="BN7" i="17"/>
  <c r="CB7" i="17"/>
  <c r="AX10" i="17"/>
  <c r="BF10" i="17"/>
  <c r="BN10" i="17"/>
  <c r="CB10" i="17"/>
  <c r="AY14" i="17"/>
  <c r="BG14" i="17"/>
  <c r="BO14" i="17"/>
  <c r="CC14" i="17"/>
  <c r="AX13" i="17"/>
  <c r="BF13" i="17"/>
  <c r="BN13" i="17"/>
  <c r="CB13" i="17"/>
  <c r="AT15" i="17"/>
  <c r="BB15" i="17"/>
  <c r="BJ15" i="17"/>
  <c r="BX15" i="17"/>
  <c r="CA4" i="17"/>
  <c r="AU13" i="17"/>
  <c r="BC13" i="17"/>
  <c r="BK13" i="17"/>
  <c r="BQ13" i="17"/>
  <c r="BS13" i="17"/>
  <c r="BU13" i="17"/>
  <c r="BY13" i="17"/>
  <c r="AY18" i="17"/>
  <c r="BG18" i="17"/>
  <c r="BO18" i="17"/>
  <c r="CC18" i="17"/>
  <c r="AZ19" i="17"/>
  <c r="BH19" i="17"/>
  <c r="BP19" i="17"/>
  <c r="CD19" i="17"/>
  <c r="AS15" i="17"/>
  <c r="BA15" i="17"/>
  <c r="BI15" i="17"/>
  <c r="BW15" i="17"/>
  <c r="CE15" i="17"/>
  <c r="AX14" i="17"/>
  <c r="BF14" i="17"/>
  <c r="BN14" i="17"/>
  <c r="CB14" i="17"/>
  <c r="AY17" i="17"/>
  <c r="BG17" i="17"/>
  <c r="BO17" i="17"/>
  <c r="CC17" i="17"/>
  <c r="AV18" i="17"/>
  <c r="BD18" i="17"/>
  <c r="BL18" i="17"/>
  <c r="BR18" i="17"/>
  <c r="BT18" i="17"/>
  <c r="BV18" i="17"/>
  <c r="BZ18" i="17"/>
  <c r="AY19" i="17"/>
  <c r="BG19" i="17"/>
  <c r="BO19" i="17"/>
  <c r="CC19" i="17"/>
  <c r="CA7" i="17"/>
  <c r="CA9" i="17"/>
  <c r="AZ13" i="17"/>
  <c r="BH13" i="17"/>
  <c r="BP13" i="17"/>
  <c r="CD13" i="17"/>
  <c r="AV5" i="17"/>
  <c r="BD5" i="17"/>
  <c r="BL5" i="17"/>
  <c r="BR5" i="17"/>
  <c r="BT5" i="17"/>
  <c r="BV5" i="17"/>
  <c r="BZ5" i="17"/>
  <c r="AX17" i="17"/>
  <c r="BF17" i="17"/>
  <c r="BN17" i="17"/>
  <c r="CB17" i="17"/>
  <c r="AS4" i="17"/>
  <c r="BA4" i="17"/>
  <c r="BI4" i="17"/>
  <c r="BW4" i="17"/>
  <c r="CE4" i="17"/>
  <c r="AV6" i="17"/>
  <c r="BD6" i="17"/>
  <c r="BL6" i="17"/>
  <c r="BR6" i="17"/>
  <c r="BT6" i="17"/>
  <c r="BV6" i="17"/>
  <c r="BZ6" i="17"/>
  <c r="AY10" i="17"/>
  <c r="BG10" i="17"/>
  <c r="BO10" i="17"/>
  <c r="CC10" i="17"/>
  <c r="AY4" i="17"/>
  <c r="BG4" i="17"/>
  <c r="BO4" i="17"/>
  <c r="CC4" i="17"/>
  <c r="C56" i="17"/>
  <c r="E56" i="17"/>
  <c r="L148" i="13"/>
  <c r="F56" i="17"/>
  <c r="M148" i="13"/>
  <c r="R148" i="13"/>
  <c r="S148" i="13"/>
  <c r="CA19" i="17"/>
  <c r="AY7" i="17"/>
  <c r="BG7" i="17"/>
  <c r="BO7" i="17"/>
  <c r="CC7" i="17"/>
  <c r="AU9" i="17"/>
  <c r="BC9" i="17"/>
  <c r="BK9" i="17"/>
  <c r="BQ9" i="17"/>
  <c r="BS9" i="17"/>
  <c r="BU9" i="17"/>
  <c r="BY9" i="17"/>
  <c r="CA10" i="17"/>
  <c r="AV8" i="17"/>
  <c r="BD8" i="17"/>
  <c r="BL8" i="17"/>
  <c r="BR8" i="17"/>
  <c r="BT8" i="17"/>
  <c r="BV8" i="17"/>
  <c r="BZ8" i="17"/>
  <c r="AX15" i="17"/>
  <c r="BF15" i="17"/>
  <c r="BN15" i="17"/>
  <c r="CB15" i="17"/>
  <c r="AU14" i="17"/>
  <c r="BC14" i="17"/>
  <c r="BK14" i="17"/>
  <c r="BQ14" i="17"/>
  <c r="BS14" i="17"/>
  <c r="BU14" i="17"/>
  <c r="BY14" i="17"/>
  <c r="AS7" i="17"/>
  <c r="BA7" i="17"/>
  <c r="BI7" i="17"/>
  <c r="BW7" i="17"/>
  <c r="CE7" i="17"/>
  <c r="AZ16" i="17"/>
  <c r="BH16" i="17"/>
  <c r="BP16" i="17"/>
  <c r="CD16" i="17"/>
  <c r="AZ4" i="17"/>
  <c r="BH4" i="17"/>
  <c r="BP4" i="17"/>
  <c r="CD4" i="17"/>
  <c r="AS11" i="17"/>
  <c r="BA11" i="17"/>
  <c r="BI11" i="17"/>
  <c r="BW11" i="17"/>
  <c r="CE11" i="17"/>
  <c r="AS10" i="17"/>
  <c r="BA10" i="17"/>
  <c r="BI10" i="17"/>
  <c r="BW10" i="17"/>
  <c r="CE10" i="17"/>
  <c r="AU5" i="17"/>
  <c r="BC5" i="17"/>
  <c r="BK5" i="17"/>
  <c r="BQ5" i="17"/>
  <c r="BS5" i="17"/>
  <c r="BU5" i="17"/>
  <c r="BY5" i="17"/>
  <c r="C53" i="17"/>
  <c r="E53" i="17"/>
  <c r="L145" i="13"/>
  <c r="F53" i="17"/>
  <c r="M145" i="13"/>
  <c r="R145" i="13"/>
  <c r="S145" i="13"/>
  <c r="AZ6" i="17"/>
  <c r="BH6" i="17"/>
  <c r="BP6" i="17"/>
  <c r="CD6" i="17"/>
  <c r="AY15" i="17"/>
  <c r="BG15" i="17"/>
  <c r="BO15" i="17"/>
  <c r="CC15" i="17"/>
  <c r="C48" i="17"/>
  <c r="E48" i="17"/>
  <c r="L140" i="13"/>
  <c r="F48" i="17"/>
  <c r="M140" i="13"/>
  <c r="R140" i="13"/>
  <c r="S140" i="13"/>
  <c r="AT17" i="17"/>
  <c r="BB17" i="17"/>
  <c r="BJ17" i="17"/>
  <c r="BX17" i="17"/>
  <c r="AX18" i="17"/>
  <c r="BF18" i="17"/>
  <c r="BN18" i="17"/>
  <c r="CB18" i="17"/>
  <c r="AU6" i="17"/>
  <c r="BC6" i="17"/>
  <c r="BK6" i="17"/>
  <c r="BQ6" i="17"/>
  <c r="BS6" i="17"/>
  <c r="BU6" i="17"/>
  <c r="BY6" i="17"/>
  <c r="AZ12" i="17"/>
  <c r="BH12" i="17"/>
  <c r="BP12" i="17"/>
  <c r="CD12" i="17"/>
  <c r="AX19" i="17"/>
  <c r="BF19" i="17"/>
  <c r="BN19" i="17"/>
  <c r="CB19" i="17"/>
  <c r="C52" i="17"/>
  <c r="E52" i="17"/>
  <c r="L144" i="13"/>
  <c r="F52" i="17"/>
  <c r="M144" i="13"/>
  <c r="R144" i="13"/>
  <c r="S144" i="13"/>
  <c r="AV7" i="17"/>
  <c r="BD7" i="17"/>
  <c r="BL7" i="17"/>
  <c r="BR7" i="17"/>
  <c r="BT7" i="17"/>
  <c r="BV7" i="17"/>
  <c r="BZ7" i="17"/>
  <c r="AV9" i="17"/>
  <c r="BD9" i="17"/>
  <c r="BL9" i="17"/>
  <c r="BR9" i="17"/>
  <c r="BT9" i="17"/>
  <c r="BV9" i="17"/>
  <c r="BZ9" i="17"/>
  <c r="AY11" i="17"/>
  <c r="BG11" i="17"/>
  <c r="BO11" i="17"/>
  <c r="CC11" i="17"/>
  <c r="AU10" i="17"/>
  <c r="BC10" i="17"/>
  <c r="BK10" i="17"/>
  <c r="BQ10" i="17"/>
  <c r="BS10" i="17"/>
  <c r="BU10" i="17"/>
  <c r="BY10" i="17"/>
  <c r="CA15" i="17"/>
  <c r="AS14" i="17"/>
  <c r="BA14" i="17"/>
  <c r="BI14" i="17"/>
  <c r="BW14" i="17"/>
  <c r="CE14" i="17"/>
  <c r="AS5" i="17"/>
  <c r="BA5" i="17"/>
  <c r="BI5" i="17"/>
  <c r="BW5" i="17"/>
  <c r="CE5" i="17"/>
  <c r="CA6" i="17"/>
  <c r="AY12" i="17"/>
  <c r="BG12" i="17"/>
  <c r="BO12" i="17"/>
  <c r="CC12" i="17"/>
  <c r="CA11" i="17"/>
  <c r="AT13" i="17"/>
  <c r="BB13" i="17"/>
  <c r="BJ13" i="17"/>
  <c r="BX13" i="17"/>
  <c r="AX8" i="17"/>
  <c r="BF8" i="17"/>
  <c r="BN8" i="17"/>
  <c r="CB8" i="17"/>
  <c r="CA5" i="17"/>
  <c r="CA17" i="17"/>
  <c r="CA18" i="17"/>
  <c r="AV12" i="17"/>
  <c r="BD12" i="17"/>
  <c r="BL12" i="17"/>
  <c r="BR12" i="17"/>
  <c r="BT12" i="17"/>
  <c r="BV12" i="17"/>
  <c r="BZ12" i="17"/>
  <c r="AU19" i="17"/>
  <c r="BC19" i="17"/>
  <c r="BK19" i="17"/>
  <c r="BQ19" i="17"/>
  <c r="BS19" i="17"/>
  <c r="BU19" i="17"/>
  <c r="BY19" i="17"/>
  <c r="AT7" i="17"/>
  <c r="BB7" i="17"/>
  <c r="BJ7" i="17"/>
  <c r="BX7" i="17"/>
  <c r="AX11" i="17"/>
  <c r="BF11" i="17"/>
  <c r="BN11" i="17"/>
  <c r="CB11" i="17"/>
  <c r="AV10" i="17"/>
  <c r="BD10" i="17"/>
  <c r="BL10" i="17"/>
  <c r="BR10" i="17"/>
  <c r="BT10" i="17"/>
  <c r="BV10" i="17"/>
  <c r="BZ10" i="17"/>
  <c r="AY13" i="17"/>
  <c r="BG13" i="17"/>
  <c r="BO13" i="17"/>
  <c r="CC13" i="17"/>
  <c r="AU8" i="17"/>
  <c r="BC8" i="17"/>
  <c r="BK8" i="17"/>
  <c r="BQ8" i="17"/>
  <c r="BS8" i="17"/>
  <c r="BU8" i="17"/>
  <c r="BY8" i="17"/>
  <c r="CA14" i="17"/>
  <c r="AS17" i="17"/>
  <c r="BA17" i="17"/>
  <c r="BI17" i="17"/>
  <c r="BW17" i="17"/>
  <c r="CE17" i="17"/>
  <c r="C50" i="17"/>
  <c r="E50" i="17"/>
  <c r="L142" i="13"/>
  <c r="F50" i="17"/>
  <c r="M142" i="13"/>
  <c r="R142" i="13"/>
  <c r="S142" i="13"/>
  <c r="AT4" i="17"/>
  <c r="BB4" i="17"/>
  <c r="BJ4" i="17"/>
  <c r="BX4" i="17"/>
  <c r="AV11" i="17"/>
  <c r="BD11" i="17"/>
  <c r="BL11" i="17"/>
  <c r="BR11" i="17"/>
  <c r="BT11" i="17"/>
  <c r="BV11" i="17"/>
  <c r="BZ11" i="17"/>
  <c r="AZ8" i="17"/>
  <c r="BH8" i="17"/>
  <c r="BP8" i="17"/>
  <c r="CD8" i="17"/>
  <c r="AU4" i="17"/>
  <c r="BC4" i="17"/>
  <c r="BK4" i="17"/>
  <c r="BQ4" i="17"/>
  <c r="BS4" i="17"/>
  <c r="BU4" i="17"/>
  <c r="BY4" i="17"/>
  <c r="AT5" i="17"/>
  <c r="BB5" i="17"/>
  <c r="BJ5" i="17"/>
  <c r="BX5" i="17"/>
  <c r="AS12" i="17"/>
  <c r="BA12" i="17"/>
  <c r="BI12" i="17"/>
  <c r="BW12" i="17"/>
  <c r="CE12" i="17"/>
  <c r="J55" i="17"/>
  <c r="P147" i="13"/>
  <c r="K55" i="17"/>
  <c r="H55" i="17"/>
  <c r="K147" i="13"/>
  <c r="G147" i="13"/>
  <c r="D55" i="17"/>
  <c r="I147" i="13"/>
  <c r="G55" i="17"/>
  <c r="J147" i="13"/>
  <c r="I55" i="17"/>
  <c r="N147" i="13"/>
  <c r="L55" i="17"/>
  <c r="Q147" i="13"/>
  <c r="M55" i="17"/>
  <c r="L52" i="17"/>
  <c r="Q144" i="13"/>
  <c r="G52" i="17"/>
  <c r="J144" i="13"/>
  <c r="G144" i="13"/>
  <c r="I52" i="17"/>
  <c r="N144" i="13"/>
  <c r="H52" i="17"/>
  <c r="K144" i="13"/>
  <c r="J52" i="17"/>
  <c r="P144" i="13"/>
  <c r="M52" i="17"/>
  <c r="K52" i="17"/>
  <c r="D52" i="17"/>
  <c r="I144" i="13"/>
  <c r="G141" i="13"/>
  <c r="I49" i="17"/>
  <c r="N141" i="13"/>
  <c r="K49" i="17"/>
  <c r="H49" i="17"/>
  <c r="K141" i="13"/>
  <c r="G49" i="17"/>
  <c r="J141" i="13"/>
  <c r="L49" i="17"/>
  <c r="Q141" i="13"/>
  <c r="D49" i="17"/>
  <c r="I141" i="13"/>
  <c r="J49" i="17"/>
  <c r="P141" i="13"/>
  <c r="M49" i="17"/>
  <c r="L47" i="17"/>
  <c r="Q139" i="13"/>
  <c r="M47" i="17"/>
  <c r="D47" i="17"/>
  <c r="I139" i="13"/>
  <c r="H47" i="17"/>
  <c r="K139" i="13"/>
  <c r="G47" i="17"/>
  <c r="J139" i="13"/>
  <c r="G139" i="13"/>
  <c r="J47" i="17"/>
  <c r="P139" i="13"/>
  <c r="K47" i="17"/>
  <c r="I47" i="17"/>
  <c r="N139" i="13"/>
  <c r="BN12" i="17"/>
  <c r="BF12" i="17"/>
  <c r="AX12" i="17"/>
  <c r="CB12" i="17"/>
  <c r="H56" i="17"/>
  <c r="K148" i="13"/>
  <c r="M56" i="17"/>
  <c r="J56" i="17"/>
  <c r="P148" i="13"/>
  <c r="I56" i="17"/>
  <c r="N148" i="13"/>
  <c r="G148" i="13"/>
  <c r="D56" i="17"/>
  <c r="I148" i="13"/>
  <c r="K56" i="17"/>
  <c r="G56" i="17"/>
  <c r="J148" i="13"/>
  <c r="L56" i="17"/>
  <c r="Q148" i="13"/>
  <c r="I54" i="17"/>
  <c r="N146" i="13"/>
  <c r="K54" i="17"/>
  <c r="H54" i="17"/>
  <c r="K146" i="13"/>
  <c r="L54" i="17"/>
  <c r="Q146" i="13"/>
  <c r="J54" i="17"/>
  <c r="P146" i="13"/>
  <c r="G54" i="17"/>
  <c r="J146" i="13"/>
  <c r="M54" i="17"/>
  <c r="G146" i="13"/>
  <c r="D54" i="17"/>
  <c r="I146" i="13"/>
  <c r="C51" i="17"/>
  <c r="I51" i="17"/>
  <c r="N143" i="13"/>
  <c r="G143" i="13"/>
  <c r="M51" i="17"/>
  <c r="H51" i="17"/>
  <c r="K143" i="13"/>
  <c r="G51" i="17"/>
  <c r="J143" i="13"/>
  <c r="K51" i="17"/>
  <c r="L51" i="17"/>
  <c r="Q143" i="13"/>
  <c r="F51" i="17"/>
  <c r="M143" i="13"/>
  <c r="D51" i="17"/>
  <c r="I143" i="13"/>
  <c r="J51" i="17"/>
  <c r="P143" i="13"/>
  <c r="E51" i="17"/>
  <c r="L143" i="13"/>
  <c r="R143" i="13"/>
  <c r="S143" i="13"/>
  <c r="G142" i="13"/>
  <c r="M50" i="17"/>
  <c r="L50" i="17"/>
  <c r="Q142" i="13"/>
  <c r="G50" i="17"/>
  <c r="J142" i="13"/>
  <c r="I50" i="17"/>
  <c r="N142" i="13"/>
  <c r="D50" i="17"/>
  <c r="I142" i="13"/>
  <c r="J50" i="17"/>
  <c r="P142" i="13"/>
  <c r="H50" i="17"/>
  <c r="K142" i="13"/>
  <c r="K50" i="17"/>
  <c r="AY16" i="17"/>
  <c r="BG16" i="17"/>
  <c r="BO16" i="17"/>
  <c r="CC16" i="17"/>
  <c r="AT16" i="17"/>
  <c r="BB16" i="17"/>
  <c r="BJ16" i="17"/>
  <c r="BX16" i="17"/>
  <c r="G48" i="17"/>
  <c r="J140" i="13"/>
  <c r="L48" i="17"/>
  <c r="Q140" i="13"/>
  <c r="M48" i="17"/>
  <c r="K48" i="17"/>
  <c r="J48" i="17"/>
  <c r="P140" i="13"/>
  <c r="G140" i="13"/>
  <c r="H48" i="17"/>
  <c r="K140" i="13"/>
  <c r="I48" i="17"/>
  <c r="N140" i="13"/>
  <c r="D48" i="17"/>
  <c r="I140" i="13"/>
  <c r="C57" i="17"/>
  <c r="J57" i="17"/>
  <c r="P149" i="13"/>
  <c r="G57" i="17"/>
  <c r="J149" i="13"/>
  <c r="L57" i="17"/>
  <c r="Q149" i="13"/>
  <c r="H57" i="17"/>
  <c r="K149" i="13"/>
  <c r="E57" i="17"/>
  <c r="L149" i="13"/>
  <c r="F57" i="17"/>
  <c r="M149" i="13"/>
  <c r="R149" i="13"/>
  <c r="S149" i="13"/>
  <c r="M57" i="17"/>
  <c r="K57" i="17"/>
  <c r="G149" i="13"/>
  <c r="I57" i="17"/>
  <c r="N149" i="13"/>
  <c r="D57" i="17"/>
  <c r="I149" i="13"/>
  <c r="D58" i="17"/>
  <c r="I150" i="13"/>
  <c r="I58" i="17"/>
  <c r="N150" i="13"/>
  <c r="M58" i="17"/>
  <c r="G58" i="17"/>
  <c r="J150" i="13"/>
  <c r="G150" i="13"/>
  <c r="L58" i="17"/>
  <c r="Q150" i="13"/>
  <c r="J58" i="17"/>
  <c r="P150" i="13"/>
  <c r="K58" i="17"/>
  <c r="H58" i="17"/>
  <c r="K150" i="13"/>
  <c r="H53" i="17"/>
  <c r="K145" i="13"/>
  <c r="M53" i="17"/>
  <c r="G145" i="13"/>
  <c r="G53" i="17"/>
  <c r="J145" i="13"/>
  <c r="J53" i="17"/>
  <c r="P145" i="13"/>
  <c r="I53" i="17"/>
  <c r="N145" i="13"/>
  <c r="K53" i="17"/>
  <c r="D53" i="17"/>
  <c r="I145" i="13"/>
  <c r="L53" i="17"/>
  <c r="Q145" i="13"/>
  <c r="BA349" i="16"/>
  <c r="AT359" i="16"/>
  <c r="R359" i="16"/>
  <c r="T359" i="16"/>
  <c r="GD355" i="16"/>
  <c r="K39" i="17"/>
  <c r="AC39" i="17"/>
  <c r="AC43" i="17"/>
  <c r="AC49" i="17"/>
  <c r="AE49" i="17"/>
  <c r="V93" i="9"/>
  <c r="G93" i="9"/>
  <c r="AZ93" i="9"/>
  <c r="V95" i="9"/>
  <c r="G95" i="9"/>
  <c r="AZ95" i="9"/>
  <c r="BA92" i="9"/>
  <c r="AY93" i="9"/>
  <c r="AZ109" i="9"/>
  <c r="I93" i="9"/>
  <c r="BC93" i="9"/>
  <c r="I95" i="9"/>
  <c r="BC95" i="9"/>
  <c r="BC109" i="9"/>
  <c r="T93" i="9"/>
  <c r="M93" i="9"/>
  <c r="BF93" i="9"/>
  <c r="BG93" i="9"/>
  <c r="BL93" i="9"/>
  <c r="BK93" i="9"/>
  <c r="T95" i="9"/>
  <c r="M95" i="9"/>
  <c r="BF95" i="9"/>
  <c r="BG95" i="9"/>
  <c r="BL95" i="9"/>
  <c r="BK95" i="9"/>
  <c r="BK109" i="9"/>
  <c r="BL109" i="9"/>
  <c r="X113" i="9"/>
  <c r="AZ113" i="9"/>
  <c r="AZ115" i="9"/>
  <c r="BA112" i="9"/>
  <c r="AY113" i="9"/>
  <c r="AZ117" i="9"/>
  <c r="I113" i="9"/>
  <c r="BC113" i="9"/>
  <c r="I115" i="9"/>
  <c r="BC115" i="9"/>
  <c r="BC117" i="9"/>
  <c r="G113" i="9"/>
  <c r="T113" i="9"/>
  <c r="M113" i="9"/>
  <c r="BF113" i="9"/>
  <c r="BG113" i="9"/>
  <c r="BL113" i="9"/>
  <c r="BK113" i="9"/>
  <c r="G115" i="9"/>
  <c r="T115" i="9"/>
  <c r="M115" i="9"/>
  <c r="BF115" i="9"/>
  <c r="BG115" i="9"/>
  <c r="BL115" i="9"/>
  <c r="BK115" i="9"/>
  <c r="BK117" i="9"/>
  <c r="BL117" i="9"/>
  <c r="AW95" i="9"/>
  <c r="AW109" i="9"/>
  <c r="AO115" i="9"/>
  <c r="AW115" i="9"/>
  <c r="AW117" i="9"/>
  <c r="BZ119" i="9"/>
  <c r="B6" i="9"/>
  <c r="K133" i="13"/>
  <c r="V112" i="11"/>
  <c r="V113" i="11"/>
  <c r="W112" i="11"/>
  <c r="W113" i="11"/>
  <c r="Y113" i="11"/>
  <c r="V93" i="11"/>
  <c r="G93" i="11"/>
  <c r="AZ93" i="11"/>
  <c r="V95" i="11"/>
  <c r="G95" i="11"/>
  <c r="AZ95" i="11"/>
  <c r="BA92" i="11"/>
  <c r="AY93" i="11"/>
  <c r="AZ109" i="11"/>
  <c r="I93" i="11"/>
  <c r="BC93" i="11"/>
  <c r="I95" i="11"/>
  <c r="BC95" i="11"/>
  <c r="BC109" i="11"/>
  <c r="T93" i="11"/>
  <c r="M93" i="11"/>
  <c r="BF93" i="11"/>
  <c r="BG93" i="11"/>
  <c r="BH93" i="11"/>
  <c r="BI93" i="11"/>
  <c r="BJ93" i="11"/>
  <c r="BL93" i="11"/>
  <c r="BK93" i="11"/>
  <c r="T95" i="11"/>
  <c r="M95" i="11"/>
  <c r="BF95" i="11"/>
  <c r="BG95" i="11"/>
  <c r="BH95" i="11"/>
  <c r="BI95" i="11"/>
  <c r="BJ95" i="11"/>
  <c r="BL95" i="11"/>
  <c r="BK95" i="11"/>
  <c r="BK109" i="11"/>
  <c r="BL109" i="11"/>
  <c r="X113" i="11"/>
  <c r="AZ113" i="11"/>
  <c r="AZ115" i="11"/>
  <c r="BA112" i="11"/>
  <c r="AY113" i="11"/>
  <c r="AZ117" i="11"/>
  <c r="I113" i="11"/>
  <c r="BC113" i="11"/>
  <c r="I115" i="11"/>
  <c r="BC115" i="11"/>
  <c r="BC117" i="11"/>
  <c r="G113" i="11"/>
  <c r="T113" i="11"/>
  <c r="M113" i="11"/>
  <c r="BF113" i="11"/>
  <c r="BG113" i="11"/>
  <c r="BL113" i="11"/>
  <c r="BK113" i="11"/>
  <c r="G115" i="11"/>
  <c r="T115" i="11"/>
  <c r="M115" i="11"/>
  <c r="BF115" i="11"/>
  <c r="BG115" i="11"/>
  <c r="BL115" i="11"/>
  <c r="BK115" i="11"/>
  <c r="BK117" i="11"/>
  <c r="BL117" i="11"/>
  <c r="Y95" i="11"/>
  <c r="AA95" i="11"/>
  <c r="AO95" i="11"/>
  <c r="AW95" i="11"/>
  <c r="AW109" i="11"/>
  <c r="AO115" i="11"/>
  <c r="AW115" i="11"/>
  <c r="AW117" i="11"/>
  <c r="BZ119" i="11"/>
  <c r="B6" i="11"/>
  <c r="L133" i="13"/>
  <c r="M132" i="13"/>
  <c r="BA120" i="13"/>
  <c r="M126" i="13"/>
  <c r="AZ120" i="13"/>
  <c r="L126" i="13"/>
  <c r="AM406" i="16"/>
  <c r="AF416" i="16"/>
  <c r="C416" i="16"/>
  <c r="GE410" i="16"/>
  <c r="C44" i="17"/>
  <c r="BB113" i="11"/>
  <c r="BD113" i="11"/>
  <c r="BM113" i="11"/>
  <c r="B113" i="11"/>
  <c r="BB115" i="9"/>
  <c r="BD115" i="9"/>
  <c r="AY115" i="9"/>
  <c r="BM115" i="9"/>
  <c r="B115" i="9"/>
  <c r="BB115" i="11"/>
  <c r="BD115" i="11"/>
  <c r="AY115" i="11"/>
  <c r="BM115" i="11"/>
  <c r="B115" i="11"/>
  <c r="BB113" i="9"/>
  <c r="BD113" i="9"/>
  <c r="BM113" i="9"/>
  <c r="B113" i="9"/>
  <c r="AW120" i="13"/>
  <c r="M120" i="13"/>
  <c r="BZ120" i="13"/>
  <c r="AV120" i="13"/>
  <c r="L120" i="13"/>
  <c r="BW120" i="13"/>
  <c r="AX115" i="9"/>
  <c r="AX115" i="11"/>
  <c r="AO113" i="9"/>
  <c r="AP115" i="9"/>
  <c r="AO113" i="11"/>
  <c r="AP115" i="11"/>
  <c r="O115" i="9"/>
  <c r="O113" i="9"/>
  <c r="O113" i="11"/>
  <c r="O115" i="11"/>
  <c r="K113" i="9"/>
  <c r="K115" i="9"/>
  <c r="AC113" i="9"/>
  <c r="D113" i="9"/>
  <c r="AD113" i="9"/>
  <c r="E113" i="9"/>
  <c r="AC113" i="11"/>
  <c r="D113" i="11"/>
  <c r="AD113" i="11"/>
  <c r="E113" i="11"/>
  <c r="K115" i="11"/>
  <c r="K113" i="11"/>
  <c r="P116" i="13"/>
  <c r="M123" i="13"/>
  <c r="L127" i="13"/>
  <c r="M127" i="13"/>
  <c r="BB100" i="13"/>
  <c r="BC100" i="13"/>
  <c r="BH100" i="13"/>
  <c r="AV100" i="13"/>
  <c r="L100" i="13"/>
  <c r="AW100" i="13"/>
  <c r="M100" i="13"/>
  <c r="BB102" i="13"/>
  <c r="BC102" i="13"/>
  <c r="BH102" i="13"/>
  <c r="AW102" i="13"/>
  <c r="M102" i="13"/>
  <c r="AV102" i="13"/>
  <c r="L102" i="13"/>
  <c r="BA102" i="13"/>
  <c r="BB93" i="9"/>
  <c r="BD93" i="9"/>
  <c r="BM93" i="9"/>
  <c r="B93" i="9"/>
  <c r="L131" i="13"/>
  <c r="BZ100" i="13"/>
  <c r="BA100" i="13"/>
  <c r="I120" i="13"/>
  <c r="I100" i="13"/>
  <c r="I122" i="13"/>
  <c r="BD95" i="9"/>
  <c r="BB95" i="9"/>
  <c r="AY95" i="9"/>
  <c r="BM95" i="9"/>
  <c r="B95" i="9"/>
  <c r="I102" i="13"/>
  <c r="O93" i="9"/>
  <c r="O95" i="9"/>
  <c r="BA95" i="9"/>
  <c r="K95" i="9"/>
  <c r="BA93" i="9"/>
  <c r="K93" i="9"/>
  <c r="G120" i="13"/>
  <c r="BE120" i="13"/>
  <c r="AV95" i="9"/>
  <c r="AP101" i="9"/>
  <c r="G100" i="13"/>
  <c r="AP105" i="9"/>
  <c r="AP107" i="9"/>
  <c r="AP97" i="9"/>
  <c r="AP103" i="9"/>
  <c r="AP99" i="9"/>
  <c r="Y93" i="11"/>
  <c r="AA93" i="11"/>
  <c r="AO93" i="11"/>
  <c r="AS120" i="13"/>
  <c r="BF120" i="13"/>
  <c r="AS122" i="13"/>
  <c r="BF122" i="13"/>
  <c r="DO1" i="17"/>
  <c r="DP1" i="17"/>
  <c r="DQ1" i="17"/>
  <c r="DO2" i="17"/>
  <c r="DP2" i="17"/>
  <c r="DQ2" i="17"/>
  <c r="DO3" i="17"/>
  <c r="DP3" i="17"/>
  <c r="DQ3" i="17"/>
  <c r="DO4" i="17"/>
  <c r="DP4" i="17"/>
  <c r="DQ4" i="17"/>
  <c r="DR1" i="17"/>
  <c r="DR2" i="17"/>
  <c r="DR3" i="17"/>
  <c r="DR4" i="17"/>
  <c r="DO5" i="17"/>
  <c r="DP5" i="17"/>
  <c r="DQ5" i="17"/>
  <c r="DR5" i="17"/>
  <c r="DO6" i="17"/>
  <c r="DP6" i="17"/>
  <c r="DQ6" i="17"/>
  <c r="DR6" i="17"/>
  <c r="DO7" i="17"/>
  <c r="DP7" i="17"/>
  <c r="DQ7" i="17"/>
  <c r="DR7" i="17"/>
  <c r="DO8" i="17"/>
  <c r="DP8" i="17"/>
  <c r="DQ8" i="17"/>
  <c r="DR8" i="17"/>
  <c r="DO9" i="17"/>
  <c r="DP9" i="17"/>
  <c r="DQ9" i="17"/>
  <c r="DR9" i="17"/>
  <c r="DO10" i="17"/>
  <c r="DP10" i="17"/>
  <c r="DQ10" i="17"/>
  <c r="DR10" i="17"/>
  <c r="DO11" i="17"/>
  <c r="DP11" i="17"/>
  <c r="DQ11" i="17"/>
  <c r="DR11" i="17"/>
  <c r="DO12" i="17"/>
  <c r="DP12" i="17"/>
  <c r="DQ12" i="17"/>
  <c r="DR12" i="17"/>
  <c r="DO13" i="17"/>
  <c r="DP13" i="17"/>
  <c r="DQ13" i="17"/>
  <c r="DR13" i="17"/>
  <c r="DO14" i="17"/>
  <c r="DP14" i="17"/>
  <c r="DQ14" i="17"/>
  <c r="DR14" i="17"/>
  <c r="DO15" i="17"/>
  <c r="DP15" i="17"/>
  <c r="DQ15" i="17"/>
  <c r="DR15" i="17"/>
  <c r="DO16" i="17"/>
  <c r="DP16" i="17"/>
  <c r="DQ16" i="17"/>
  <c r="DR16" i="17"/>
  <c r="DO17" i="17"/>
  <c r="DP17" i="17"/>
  <c r="DQ17" i="17"/>
  <c r="DR17" i="17"/>
  <c r="DO18" i="17"/>
  <c r="DP18" i="17"/>
  <c r="DQ18" i="17"/>
  <c r="DR18" i="17"/>
  <c r="DO19" i="17"/>
  <c r="DP19" i="17"/>
  <c r="DQ19" i="17"/>
  <c r="DR19" i="17"/>
  <c r="DO20" i="17"/>
  <c r="DP20" i="17"/>
  <c r="DQ20" i="17"/>
  <c r="DR20" i="17"/>
  <c r="DO21" i="17"/>
  <c r="DP21" i="17"/>
  <c r="DQ21" i="17"/>
  <c r="DR21" i="17"/>
  <c r="DO22" i="17"/>
  <c r="DP22" i="17"/>
  <c r="DQ22" i="17"/>
  <c r="DR22" i="17"/>
  <c r="DO23" i="17"/>
  <c r="DP23" i="17"/>
  <c r="DQ23" i="17"/>
  <c r="DR23" i="17"/>
  <c r="DO24" i="17"/>
  <c r="DP24" i="17"/>
  <c r="DQ24" i="17"/>
  <c r="DR24" i="17"/>
  <c r="DO25" i="17"/>
  <c r="DP25" i="17"/>
  <c r="DQ25" i="17"/>
  <c r="DR25" i="17"/>
  <c r="DO26" i="17"/>
  <c r="DP26" i="17"/>
  <c r="DQ26" i="17"/>
  <c r="DR26" i="17"/>
  <c r="DO27" i="17"/>
  <c r="DP27" i="17"/>
  <c r="DQ27" i="17"/>
  <c r="DR27" i="17"/>
  <c r="DO28" i="17"/>
  <c r="DP28" i="17"/>
  <c r="DQ28" i="17"/>
  <c r="DR28" i="17"/>
  <c r="DO29" i="17"/>
  <c r="DP29" i="17"/>
  <c r="DQ29" i="17"/>
  <c r="DR29" i="17"/>
  <c r="DO30" i="17"/>
  <c r="DP30" i="17"/>
  <c r="DQ30" i="17"/>
  <c r="DR30" i="17"/>
  <c r="DO31" i="17"/>
  <c r="DP31" i="17"/>
  <c r="DQ31" i="17"/>
  <c r="DR31" i="17"/>
  <c r="DO32" i="17"/>
  <c r="DP32" i="17"/>
  <c r="DQ32" i="17"/>
  <c r="DR32" i="17"/>
  <c r="DO33" i="17"/>
  <c r="DP33" i="17"/>
  <c r="DQ33" i="17"/>
  <c r="DR33" i="17"/>
  <c r="DO34" i="17"/>
  <c r="DP34" i="17"/>
  <c r="DQ34" i="17"/>
  <c r="DR34" i="17"/>
  <c r="DO35" i="17"/>
  <c r="DP35" i="17"/>
  <c r="DQ35" i="17"/>
  <c r="DR35" i="17"/>
  <c r="DO36" i="17"/>
  <c r="DP36" i="17"/>
  <c r="DQ36" i="17"/>
  <c r="DR36" i="17"/>
  <c r="DO37" i="17"/>
  <c r="DP37" i="17"/>
  <c r="DQ37" i="17"/>
  <c r="DR37" i="17"/>
  <c r="DO38" i="17"/>
  <c r="DP38" i="17"/>
  <c r="DQ38" i="17"/>
  <c r="DR38" i="17"/>
  <c r="DO39" i="17"/>
  <c r="DP39" i="17"/>
  <c r="DQ39" i="17"/>
  <c r="DR39" i="17"/>
  <c r="DO40" i="17"/>
  <c r="DP40" i="17"/>
  <c r="DQ40" i="17"/>
  <c r="DR40" i="17"/>
  <c r="DO41" i="17"/>
  <c r="DP41" i="17"/>
  <c r="DQ41" i="17"/>
  <c r="DR41" i="17"/>
  <c r="DO42" i="17"/>
  <c r="DP42" i="17"/>
  <c r="DQ42" i="17"/>
  <c r="DR42" i="17"/>
  <c r="DO43" i="17"/>
  <c r="DP43" i="17"/>
  <c r="DQ43" i="17"/>
  <c r="DR43" i="17"/>
  <c r="DO44" i="17"/>
  <c r="DP44" i="17"/>
  <c r="DQ44" i="17"/>
  <c r="DR44" i="17"/>
  <c r="DO45" i="17"/>
  <c r="DP45" i="17"/>
  <c r="DQ45" i="17"/>
  <c r="DR45" i="17"/>
  <c r="DO46" i="17"/>
  <c r="DP46" i="17"/>
  <c r="DQ46" i="17"/>
  <c r="DR46" i="17"/>
  <c r="DO47" i="17"/>
  <c r="DP47" i="17"/>
  <c r="DQ47" i="17"/>
  <c r="DR47" i="17"/>
  <c r="DO48" i="17"/>
  <c r="DP48" i="17"/>
  <c r="DQ48" i="17"/>
  <c r="DR48" i="17"/>
  <c r="DO49" i="17"/>
  <c r="DP49" i="17"/>
  <c r="DQ49" i="17"/>
  <c r="DR49" i="17"/>
  <c r="DO50" i="17"/>
  <c r="DP50" i="17"/>
  <c r="DQ50" i="17"/>
  <c r="DR50" i="17"/>
  <c r="DO51" i="17"/>
  <c r="DP51" i="17"/>
  <c r="DQ51" i="17"/>
  <c r="DR51" i="17"/>
  <c r="DO52" i="17"/>
  <c r="DP52" i="17"/>
  <c r="DQ52" i="17"/>
  <c r="DR52" i="17"/>
  <c r="DO53" i="17"/>
  <c r="DP53" i="17"/>
  <c r="DQ53" i="17"/>
  <c r="DR53" i="17"/>
  <c r="DO54" i="17"/>
  <c r="DP54" i="17"/>
  <c r="DQ54" i="17"/>
  <c r="DR54" i="17"/>
  <c r="DO55" i="17"/>
  <c r="DP55" i="17"/>
  <c r="DQ55" i="17"/>
  <c r="DR55" i="17"/>
  <c r="DO56" i="17"/>
  <c r="DP56" i="17"/>
  <c r="DQ56" i="17"/>
  <c r="DR56" i="17"/>
  <c r="DO57" i="17"/>
  <c r="DP57" i="17"/>
  <c r="DQ57" i="17"/>
  <c r="DR57" i="17"/>
  <c r="DO58" i="17"/>
  <c r="DP58" i="17"/>
  <c r="DQ58" i="17"/>
  <c r="DR58" i="17"/>
  <c r="DO59" i="17"/>
  <c r="DP59" i="17"/>
  <c r="DQ59" i="17"/>
  <c r="DR59" i="17"/>
  <c r="DO60" i="17"/>
  <c r="DP60" i="17"/>
  <c r="DQ60" i="17"/>
  <c r="DR60" i="17"/>
  <c r="DO61" i="17"/>
  <c r="DP61" i="17"/>
  <c r="DQ61" i="17"/>
  <c r="DR61" i="17"/>
  <c r="DO62" i="17"/>
  <c r="DP62" i="17"/>
  <c r="DQ62" i="17"/>
  <c r="DR62" i="17"/>
  <c r="DO63" i="17"/>
  <c r="DP63" i="17"/>
  <c r="DQ63" i="17"/>
  <c r="DR63" i="17"/>
  <c r="DO64" i="17"/>
  <c r="DP64" i="17"/>
  <c r="DQ64" i="17"/>
  <c r="DR64" i="17"/>
  <c r="DU4" i="17"/>
  <c r="DV4" i="17"/>
  <c r="FN4" i="17"/>
  <c r="FO4" i="17"/>
  <c r="FQ4" i="17"/>
  <c r="FR4" i="17"/>
  <c r="FT4" i="17"/>
  <c r="FU4" i="17"/>
  <c r="FW4" i="17"/>
  <c r="FY4" i="17"/>
  <c r="GA4" i="17"/>
  <c r="DU5" i="17"/>
  <c r="DV5" i="17"/>
  <c r="FN5" i="17"/>
  <c r="FO5" i="17"/>
  <c r="FQ5" i="17"/>
  <c r="FR5" i="17"/>
  <c r="FT5" i="17"/>
  <c r="FU5" i="17"/>
  <c r="FW5" i="17"/>
  <c r="FY5" i="17"/>
  <c r="GA5" i="17"/>
  <c r="DU6" i="17"/>
  <c r="DV6" i="17"/>
  <c r="FN6" i="17"/>
  <c r="FO6" i="17"/>
  <c r="FQ6" i="17"/>
  <c r="FR6" i="17"/>
  <c r="FT6" i="17"/>
  <c r="FU6" i="17"/>
  <c r="FW6" i="17"/>
  <c r="FY6" i="17"/>
  <c r="GA6" i="17"/>
  <c r="DU7" i="17"/>
  <c r="DV7" i="17"/>
  <c r="FN7" i="17"/>
  <c r="FO7" i="17"/>
  <c r="FQ7" i="17"/>
  <c r="FR7" i="17"/>
  <c r="FT7" i="17"/>
  <c r="FU7" i="17"/>
  <c r="FW7" i="17"/>
  <c r="FY7" i="17"/>
  <c r="GA7" i="17"/>
  <c r="GB4" i="17"/>
  <c r="GB5" i="17"/>
  <c r="GB6" i="17"/>
  <c r="GB7" i="17"/>
  <c r="DU8" i="17"/>
  <c r="DV8" i="17"/>
  <c r="FN8" i="17"/>
  <c r="FO8" i="17"/>
  <c r="FQ8" i="17"/>
  <c r="FR8" i="17"/>
  <c r="FT8" i="17"/>
  <c r="FU8" i="17"/>
  <c r="FW8" i="17"/>
  <c r="FY8" i="17"/>
  <c r="GA8" i="17"/>
  <c r="GB8" i="17"/>
  <c r="DU9" i="17"/>
  <c r="DV9" i="17"/>
  <c r="FN9" i="17"/>
  <c r="FO9" i="17"/>
  <c r="FQ9" i="17"/>
  <c r="FR9" i="17"/>
  <c r="FT9" i="17"/>
  <c r="FU9" i="17"/>
  <c r="FW9" i="17"/>
  <c r="FY9" i="17"/>
  <c r="GA9" i="17"/>
  <c r="GB9" i="17"/>
  <c r="DU10" i="17"/>
  <c r="DV10" i="17"/>
  <c r="FN10" i="17"/>
  <c r="FO10" i="17"/>
  <c r="FQ10" i="17"/>
  <c r="FR10" i="17"/>
  <c r="FT10" i="17"/>
  <c r="FU10" i="17"/>
  <c r="FW10" i="17"/>
  <c r="FY10" i="17"/>
  <c r="GA10" i="17"/>
  <c r="GB10" i="17"/>
  <c r="DU11" i="17"/>
  <c r="DV11" i="17"/>
  <c r="FN11" i="17"/>
  <c r="FO11" i="17"/>
  <c r="FQ11" i="17"/>
  <c r="FR11" i="17"/>
  <c r="FT11" i="17"/>
  <c r="FU11" i="17"/>
  <c r="FW11" i="17"/>
  <c r="FY11" i="17"/>
  <c r="GA11" i="17"/>
  <c r="GB11" i="17"/>
  <c r="DU12" i="17"/>
  <c r="DV12" i="17"/>
  <c r="FN12" i="17"/>
  <c r="FO12" i="17"/>
  <c r="FQ12" i="17"/>
  <c r="FR12" i="17"/>
  <c r="FT12" i="17"/>
  <c r="FU12" i="17"/>
  <c r="FW12" i="17"/>
  <c r="FY12" i="17"/>
  <c r="GA12" i="17"/>
  <c r="GB12" i="17"/>
  <c r="DU13" i="17"/>
  <c r="DV13" i="17"/>
  <c r="FN13" i="17"/>
  <c r="FO13" i="17"/>
  <c r="FQ13" i="17"/>
  <c r="FR13" i="17"/>
  <c r="FT13" i="17"/>
  <c r="FU13" i="17"/>
  <c r="FW13" i="17"/>
  <c r="FY13" i="17"/>
  <c r="GA13" i="17"/>
  <c r="GB13" i="17"/>
  <c r="DU14" i="17"/>
  <c r="DV14" i="17"/>
  <c r="FN14" i="17"/>
  <c r="FO14" i="17"/>
  <c r="FQ14" i="17"/>
  <c r="FR14" i="17"/>
  <c r="FT14" i="17"/>
  <c r="FU14" i="17"/>
  <c r="FW14" i="17"/>
  <c r="FY14" i="17"/>
  <c r="GA14" i="17"/>
  <c r="GB14" i="17"/>
  <c r="DU15" i="17"/>
  <c r="DV15" i="17"/>
  <c r="FN15" i="17"/>
  <c r="FO15" i="17"/>
  <c r="FQ15" i="17"/>
  <c r="FR15" i="17"/>
  <c r="FT15" i="17"/>
  <c r="FU15" i="17"/>
  <c r="FW15" i="17"/>
  <c r="FY15" i="17"/>
  <c r="GA15" i="17"/>
  <c r="GB15" i="17"/>
  <c r="DU16" i="17"/>
  <c r="DV16" i="17"/>
  <c r="FN16" i="17"/>
  <c r="FO16" i="17"/>
  <c r="FQ16" i="17"/>
  <c r="FR16" i="17"/>
  <c r="FT16" i="17"/>
  <c r="FU16" i="17"/>
  <c r="FW16" i="17"/>
  <c r="FY16" i="17"/>
  <c r="GA16" i="17"/>
  <c r="GB16" i="17"/>
  <c r="DU17" i="17"/>
  <c r="DV17" i="17"/>
  <c r="FN17" i="17"/>
  <c r="FO17" i="17"/>
  <c r="FQ17" i="17"/>
  <c r="FR17" i="17"/>
  <c r="FT17" i="17"/>
  <c r="FU17" i="17"/>
  <c r="FW17" i="17"/>
  <c r="FY17" i="17"/>
  <c r="GA17" i="17"/>
  <c r="GB17" i="17"/>
  <c r="DU18" i="17"/>
  <c r="DV18" i="17"/>
  <c r="FN18" i="17"/>
  <c r="FO18" i="17"/>
  <c r="FQ18" i="17"/>
  <c r="FR18" i="17"/>
  <c r="FT18" i="17"/>
  <c r="FU18" i="17"/>
  <c r="FW18" i="17"/>
  <c r="FY18" i="17"/>
  <c r="GA18" i="17"/>
  <c r="GB18" i="17"/>
  <c r="DU19" i="17"/>
  <c r="DV19" i="17"/>
  <c r="FN19" i="17"/>
  <c r="FO19" i="17"/>
  <c r="FQ19" i="17"/>
  <c r="FR19" i="17"/>
  <c r="FT19" i="17"/>
  <c r="FU19" i="17"/>
  <c r="FW19" i="17"/>
  <c r="FY19" i="17"/>
  <c r="GA19" i="17"/>
  <c r="GB19" i="17"/>
  <c r="O132" i="13"/>
  <c r="U132" i="13"/>
  <c r="Q132" i="13"/>
  <c r="ED4" i="17"/>
  <c r="GR4" i="17"/>
  <c r="GE4" i="17"/>
  <c r="EL4" i="17"/>
  <c r="GS4" i="17"/>
  <c r="GG4" i="17"/>
  <c r="GH4" i="17"/>
  <c r="ET4" i="17"/>
  <c r="GT4" i="17"/>
  <c r="GJ4" i="17"/>
  <c r="GK4" i="17"/>
  <c r="GM4" i="17"/>
  <c r="GO4" i="17"/>
  <c r="GD4" i="17"/>
  <c r="ED5" i="17"/>
  <c r="GR5" i="17"/>
  <c r="GE5" i="17"/>
  <c r="EL5" i="17"/>
  <c r="GS5" i="17"/>
  <c r="GG5" i="17"/>
  <c r="GH5" i="17"/>
  <c r="ET5" i="17"/>
  <c r="GT5" i="17"/>
  <c r="GJ5" i="17"/>
  <c r="GK5" i="17"/>
  <c r="GM5" i="17"/>
  <c r="GO5" i="17"/>
  <c r="GD5" i="17"/>
  <c r="ED6" i="17"/>
  <c r="GR6" i="17"/>
  <c r="GE6" i="17"/>
  <c r="EL6" i="17"/>
  <c r="GS6" i="17"/>
  <c r="GG6" i="17"/>
  <c r="GH6" i="17"/>
  <c r="ET6" i="17"/>
  <c r="GT6" i="17"/>
  <c r="GJ6" i="17"/>
  <c r="GK6" i="17"/>
  <c r="GM6" i="17"/>
  <c r="GO6" i="17"/>
  <c r="GD6" i="17"/>
  <c r="ED7" i="17"/>
  <c r="GR7" i="17"/>
  <c r="GE7" i="17"/>
  <c r="EL7" i="17"/>
  <c r="GS7" i="17"/>
  <c r="GG7" i="17"/>
  <c r="GH7" i="17"/>
  <c r="ET7" i="17"/>
  <c r="GT7" i="17"/>
  <c r="GJ7" i="17"/>
  <c r="GK7" i="17"/>
  <c r="GM7" i="17"/>
  <c r="GO7" i="17"/>
  <c r="GD7" i="17"/>
  <c r="GF4" i="17"/>
  <c r="GI4" i="17"/>
  <c r="GL4" i="17"/>
  <c r="GP4" i="17"/>
  <c r="GQ4" i="17"/>
  <c r="GF5" i="17"/>
  <c r="GI5" i="17"/>
  <c r="GL5" i="17"/>
  <c r="GP5" i="17"/>
  <c r="GQ5" i="17"/>
  <c r="GF6" i="17"/>
  <c r="GI6" i="17"/>
  <c r="GL6" i="17"/>
  <c r="GP6" i="17"/>
  <c r="GQ6" i="17"/>
  <c r="GF7" i="17"/>
  <c r="GI7" i="17"/>
  <c r="GL7" i="17"/>
  <c r="GP7" i="17"/>
  <c r="GQ7" i="17"/>
  <c r="ED8" i="17"/>
  <c r="GR8" i="17"/>
  <c r="GE8" i="17"/>
  <c r="EL8" i="17"/>
  <c r="GS8" i="17"/>
  <c r="GG8" i="17"/>
  <c r="GH8" i="17"/>
  <c r="ET8" i="17"/>
  <c r="GT8" i="17"/>
  <c r="GJ8" i="17"/>
  <c r="GK8" i="17"/>
  <c r="GM8" i="17"/>
  <c r="GO8" i="17"/>
  <c r="GD8" i="17"/>
  <c r="GF8" i="17"/>
  <c r="GI8" i="17"/>
  <c r="GL8" i="17"/>
  <c r="GP8" i="17"/>
  <c r="GQ8" i="17"/>
  <c r="ED9" i="17"/>
  <c r="GR9" i="17"/>
  <c r="GE9" i="17"/>
  <c r="EL9" i="17"/>
  <c r="GS9" i="17"/>
  <c r="GG9" i="17"/>
  <c r="GH9" i="17"/>
  <c r="ET9" i="17"/>
  <c r="GT9" i="17"/>
  <c r="GJ9" i="17"/>
  <c r="GK9" i="17"/>
  <c r="GM9" i="17"/>
  <c r="GO9" i="17"/>
  <c r="GD9" i="17"/>
  <c r="GF9" i="17"/>
  <c r="GI9" i="17"/>
  <c r="GL9" i="17"/>
  <c r="GP9" i="17"/>
  <c r="GQ9" i="17"/>
  <c r="ED10" i="17"/>
  <c r="GR10" i="17"/>
  <c r="GE10" i="17"/>
  <c r="EL10" i="17"/>
  <c r="GS10" i="17"/>
  <c r="GG10" i="17"/>
  <c r="GH10" i="17"/>
  <c r="ET10" i="17"/>
  <c r="GT10" i="17"/>
  <c r="GJ10" i="17"/>
  <c r="GK10" i="17"/>
  <c r="GM10" i="17"/>
  <c r="GO10" i="17"/>
  <c r="GD10" i="17"/>
  <c r="GF10" i="17"/>
  <c r="GI10" i="17"/>
  <c r="GL10" i="17"/>
  <c r="GP10" i="17"/>
  <c r="GQ10" i="17"/>
  <c r="ED11" i="17"/>
  <c r="GR11" i="17"/>
  <c r="GE11" i="17"/>
  <c r="EL11" i="17"/>
  <c r="GS11" i="17"/>
  <c r="GG11" i="17"/>
  <c r="GH11" i="17"/>
  <c r="ET11" i="17"/>
  <c r="GT11" i="17"/>
  <c r="GJ11" i="17"/>
  <c r="GK11" i="17"/>
  <c r="GM11" i="17"/>
  <c r="GO11" i="17"/>
  <c r="GD11" i="17"/>
  <c r="GF11" i="17"/>
  <c r="GI11" i="17"/>
  <c r="GL11" i="17"/>
  <c r="GP11" i="17"/>
  <c r="GQ11" i="17"/>
  <c r="ED12" i="17"/>
  <c r="GR12" i="17"/>
  <c r="GE12" i="17"/>
  <c r="EL12" i="17"/>
  <c r="GS12" i="17"/>
  <c r="GG12" i="17"/>
  <c r="GH12" i="17"/>
  <c r="ET12" i="17"/>
  <c r="GT12" i="17"/>
  <c r="GJ12" i="17"/>
  <c r="GK12" i="17"/>
  <c r="GM12" i="17"/>
  <c r="GO12" i="17"/>
  <c r="GD12" i="17"/>
  <c r="GF12" i="17"/>
  <c r="GI12" i="17"/>
  <c r="GL12" i="17"/>
  <c r="GP12" i="17"/>
  <c r="GQ12" i="17"/>
  <c r="ED13" i="17"/>
  <c r="GR13" i="17"/>
  <c r="GE13" i="17"/>
  <c r="EL13" i="17"/>
  <c r="GS13" i="17"/>
  <c r="GG13" i="17"/>
  <c r="GH13" i="17"/>
  <c r="ET13" i="17"/>
  <c r="GT13" i="17"/>
  <c r="GJ13" i="17"/>
  <c r="GK13" i="17"/>
  <c r="GM13" i="17"/>
  <c r="GO13" i="17"/>
  <c r="GD13" i="17"/>
  <c r="GF13" i="17"/>
  <c r="GI13" i="17"/>
  <c r="GL13" i="17"/>
  <c r="GP13" i="17"/>
  <c r="GQ13" i="17"/>
  <c r="ED14" i="17"/>
  <c r="GR14" i="17"/>
  <c r="GE14" i="17"/>
  <c r="EL14" i="17"/>
  <c r="GS14" i="17"/>
  <c r="GG14" i="17"/>
  <c r="GH14" i="17"/>
  <c r="ET14" i="17"/>
  <c r="GT14" i="17"/>
  <c r="GJ14" i="17"/>
  <c r="GK14" i="17"/>
  <c r="GM14" i="17"/>
  <c r="GO14" i="17"/>
  <c r="GD14" i="17"/>
  <c r="GF14" i="17"/>
  <c r="GI14" i="17"/>
  <c r="GL14" i="17"/>
  <c r="GP14" i="17"/>
  <c r="GQ14" i="17"/>
  <c r="ED15" i="17"/>
  <c r="GR15" i="17"/>
  <c r="GE15" i="17"/>
  <c r="EL15" i="17"/>
  <c r="GS15" i="17"/>
  <c r="GG15" i="17"/>
  <c r="GH15" i="17"/>
  <c r="ET15" i="17"/>
  <c r="GT15" i="17"/>
  <c r="GJ15" i="17"/>
  <c r="GK15" i="17"/>
  <c r="GM15" i="17"/>
  <c r="GO15" i="17"/>
  <c r="GD15" i="17"/>
  <c r="GF15" i="17"/>
  <c r="GI15" i="17"/>
  <c r="GL15" i="17"/>
  <c r="GP15" i="17"/>
  <c r="GQ15" i="17"/>
  <c r="ED16" i="17"/>
  <c r="GR16" i="17"/>
  <c r="GE16" i="17"/>
  <c r="EL16" i="17"/>
  <c r="GS16" i="17"/>
  <c r="GG16" i="17"/>
  <c r="GH16" i="17"/>
  <c r="ET16" i="17"/>
  <c r="GT16" i="17"/>
  <c r="GJ16" i="17"/>
  <c r="GK16" i="17"/>
  <c r="GM16" i="17"/>
  <c r="GO16" i="17"/>
  <c r="GD16" i="17"/>
  <c r="GF16" i="17"/>
  <c r="GI16" i="17"/>
  <c r="GL16" i="17"/>
  <c r="GP16" i="17"/>
  <c r="GQ16" i="17"/>
  <c r="ED17" i="17"/>
  <c r="GR17" i="17"/>
  <c r="GE17" i="17"/>
  <c r="EL17" i="17"/>
  <c r="GS17" i="17"/>
  <c r="GG17" i="17"/>
  <c r="GH17" i="17"/>
  <c r="ET17" i="17"/>
  <c r="GT17" i="17"/>
  <c r="GJ17" i="17"/>
  <c r="GK17" i="17"/>
  <c r="GM17" i="17"/>
  <c r="GO17" i="17"/>
  <c r="GD17" i="17"/>
  <c r="GF17" i="17"/>
  <c r="GI17" i="17"/>
  <c r="GL17" i="17"/>
  <c r="GP17" i="17"/>
  <c r="GQ17" i="17"/>
  <c r="ED18" i="17"/>
  <c r="GR18" i="17"/>
  <c r="GE18" i="17"/>
  <c r="EL18" i="17"/>
  <c r="GS18" i="17"/>
  <c r="GG18" i="17"/>
  <c r="GH18" i="17"/>
  <c r="ET18" i="17"/>
  <c r="GT18" i="17"/>
  <c r="GJ18" i="17"/>
  <c r="GK18" i="17"/>
  <c r="GM18" i="17"/>
  <c r="GO18" i="17"/>
  <c r="GD18" i="17"/>
  <c r="GF18" i="17"/>
  <c r="GI18" i="17"/>
  <c r="GL18" i="17"/>
  <c r="GP18" i="17"/>
  <c r="GQ18" i="17"/>
  <c r="ED19" i="17"/>
  <c r="GR19" i="17"/>
  <c r="GE19" i="17"/>
  <c r="EL19" i="17"/>
  <c r="GS19" i="17"/>
  <c r="GG19" i="17"/>
  <c r="GH19" i="17"/>
  <c r="ET19" i="17"/>
  <c r="GT19" i="17"/>
  <c r="GJ19" i="17"/>
  <c r="GK19" i="17"/>
  <c r="GM19" i="17"/>
  <c r="GO19" i="17"/>
  <c r="GD19" i="17"/>
  <c r="GF19" i="17"/>
  <c r="GI19" i="17"/>
  <c r="GL19" i="17"/>
  <c r="GP19" i="17"/>
  <c r="GQ19" i="17"/>
  <c r="O129" i="13"/>
  <c r="Q129" i="13"/>
  <c r="U129" i="13"/>
  <c r="O130" i="13"/>
  <c r="U130" i="13"/>
  <c r="Q130" i="13"/>
  <c r="FM4" i="17"/>
  <c r="FM5" i="17"/>
  <c r="FM6" i="17"/>
  <c r="FM7" i="17"/>
  <c r="FP4" i="17"/>
  <c r="FS4" i="17"/>
  <c r="FV4" i="17"/>
  <c r="FZ4" i="17"/>
  <c r="FP5" i="17"/>
  <c r="FS5" i="17"/>
  <c r="FV5" i="17"/>
  <c r="FZ5" i="17"/>
  <c r="FP6" i="17"/>
  <c r="FS6" i="17"/>
  <c r="FV6" i="17"/>
  <c r="FZ6" i="17"/>
  <c r="FP7" i="17"/>
  <c r="FS7" i="17"/>
  <c r="FV7" i="17"/>
  <c r="FZ7" i="17"/>
  <c r="FM8" i="17"/>
  <c r="FP8" i="17"/>
  <c r="FS8" i="17"/>
  <c r="FV8" i="17"/>
  <c r="FZ8" i="17"/>
  <c r="FM9" i="17"/>
  <c r="FP9" i="17"/>
  <c r="FS9" i="17"/>
  <c r="FV9" i="17"/>
  <c r="FZ9" i="17"/>
  <c r="FM10" i="17"/>
  <c r="FP10" i="17"/>
  <c r="FS10" i="17"/>
  <c r="FV10" i="17"/>
  <c r="FZ10" i="17"/>
  <c r="FM11" i="17"/>
  <c r="FP11" i="17"/>
  <c r="FS11" i="17"/>
  <c r="FV11" i="17"/>
  <c r="FZ11" i="17"/>
  <c r="FM12" i="17"/>
  <c r="FP12" i="17"/>
  <c r="FS12" i="17"/>
  <c r="FV12" i="17"/>
  <c r="FZ12" i="17"/>
  <c r="FM13" i="17"/>
  <c r="FP13" i="17"/>
  <c r="FS13" i="17"/>
  <c r="FV13" i="17"/>
  <c r="FZ13" i="17"/>
  <c r="FM14" i="17"/>
  <c r="FP14" i="17"/>
  <c r="FS14" i="17"/>
  <c r="FV14" i="17"/>
  <c r="FZ14" i="17"/>
  <c r="FM15" i="17"/>
  <c r="FP15" i="17"/>
  <c r="FS15" i="17"/>
  <c r="FV15" i="17"/>
  <c r="FZ15" i="17"/>
  <c r="FM16" i="17"/>
  <c r="FP16" i="17"/>
  <c r="FS16" i="17"/>
  <c r="FV16" i="17"/>
  <c r="FZ16" i="17"/>
  <c r="FM17" i="17"/>
  <c r="FP17" i="17"/>
  <c r="FS17" i="17"/>
  <c r="FV17" i="17"/>
  <c r="FZ17" i="17"/>
  <c r="FM18" i="17"/>
  <c r="FP18" i="17"/>
  <c r="FS18" i="17"/>
  <c r="FV18" i="17"/>
  <c r="FZ18" i="17"/>
  <c r="FM19" i="17"/>
  <c r="FP19" i="17"/>
  <c r="FS19" i="17"/>
  <c r="FV19" i="17"/>
  <c r="FZ19" i="17"/>
  <c r="V131" i="13"/>
  <c r="V132" i="13"/>
  <c r="O131" i="13"/>
  <c r="Q131" i="13"/>
  <c r="U131" i="13"/>
  <c r="S131" i="13"/>
  <c r="S132" i="13"/>
  <c r="V129" i="13"/>
  <c r="S130" i="13"/>
  <c r="S129" i="13"/>
  <c r="V130" i="13"/>
  <c r="GC12" i="17"/>
  <c r="GC17" i="17"/>
  <c r="GC10" i="17"/>
  <c r="GC16" i="17"/>
  <c r="GC15" i="17"/>
  <c r="GC18" i="17"/>
  <c r="GC13" i="17"/>
  <c r="GC6" i="17"/>
  <c r="GC19" i="17"/>
  <c r="GC7" i="17"/>
  <c r="GC4" i="17"/>
  <c r="GC11" i="17"/>
  <c r="GC5" i="17"/>
  <c r="GC14" i="17"/>
  <c r="GC9" i="17"/>
  <c r="GC8" i="17"/>
  <c r="DZ9" i="17"/>
  <c r="EH9" i="17"/>
  <c r="EP9" i="17"/>
  <c r="FD9" i="17"/>
  <c r="FL9" i="17"/>
  <c r="EC12" i="17"/>
  <c r="EK12" i="17"/>
  <c r="ES12" i="17"/>
  <c r="EY12" i="17"/>
  <c r="FA12" i="17"/>
  <c r="BA405" i="16"/>
  <c r="AT415" i="16"/>
  <c r="R415" i="16"/>
  <c r="GE411" i="16"/>
  <c r="Q43" i="17"/>
  <c r="FC12" i="17"/>
  <c r="FG12" i="17"/>
  <c r="EC5" i="17"/>
  <c r="EK5" i="17"/>
  <c r="ES5" i="17"/>
  <c r="EY5" i="17"/>
  <c r="FA5" i="17"/>
  <c r="FC5" i="17"/>
  <c r="FG5" i="17"/>
  <c r="EE5" i="17"/>
  <c r="EM5" i="17"/>
  <c r="EU5" i="17"/>
  <c r="FI5" i="17"/>
  <c r="EE12" i="17"/>
  <c r="EM12" i="17"/>
  <c r="EU12" i="17"/>
  <c r="FI12" i="17"/>
  <c r="EC8" i="17"/>
  <c r="EK8" i="17"/>
  <c r="ES8" i="17"/>
  <c r="EY8" i="17"/>
  <c r="FA8" i="17"/>
  <c r="FC8" i="17"/>
  <c r="FG8" i="17"/>
  <c r="EE15" i="17"/>
  <c r="EM15" i="17"/>
  <c r="EU15" i="17"/>
  <c r="FI15" i="17"/>
  <c r="EE16" i="17"/>
  <c r="EM16" i="17"/>
  <c r="EU16" i="17"/>
  <c r="FI16" i="17"/>
  <c r="EE8" i="17"/>
  <c r="EM8" i="17"/>
  <c r="EU8" i="17"/>
  <c r="FI8" i="17"/>
  <c r="EA7" i="17"/>
  <c r="EI7" i="17"/>
  <c r="EQ7" i="17"/>
  <c r="FE7" i="17"/>
  <c r="EC9" i="17"/>
  <c r="EK9" i="17"/>
  <c r="ES9" i="17"/>
  <c r="EY9" i="17"/>
  <c r="FA9" i="17"/>
  <c r="FC9" i="17"/>
  <c r="FG9" i="17"/>
  <c r="DZ16" i="17"/>
  <c r="EH16" i="17"/>
  <c r="EP16" i="17"/>
  <c r="FD16" i="17"/>
  <c r="FL16" i="17"/>
  <c r="Q48" i="17"/>
  <c r="S48" i="17"/>
  <c r="L152" i="13"/>
  <c r="T48" i="17"/>
  <c r="M152" i="13"/>
  <c r="R152" i="13"/>
  <c r="S152" i="13"/>
  <c r="EC4" i="17"/>
  <c r="EK4" i="17"/>
  <c r="ES4" i="17"/>
  <c r="EY4" i="17"/>
  <c r="FA4" i="17"/>
  <c r="FC4" i="17"/>
  <c r="FG4" i="17"/>
  <c r="EA15" i="17"/>
  <c r="EI15" i="17"/>
  <c r="EQ15" i="17"/>
  <c r="FE15" i="17"/>
  <c r="EE18" i="17"/>
  <c r="EM18" i="17"/>
  <c r="EU18" i="17"/>
  <c r="FI18" i="17"/>
  <c r="EE6" i="17"/>
  <c r="EM6" i="17"/>
  <c r="EU6" i="17"/>
  <c r="FI6" i="17"/>
  <c r="DZ8" i="17"/>
  <c r="EH8" i="17"/>
  <c r="EP8" i="17"/>
  <c r="FD8" i="17"/>
  <c r="FL8" i="17"/>
  <c r="EA6" i="17"/>
  <c r="EI6" i="17"/>
  <c r="EQ6" i="17"/>
  <c r="FE6" i="17"/>
  <c r="EC13" i="17"/>
  <c r="EK13" i="17"/>
  <c r="ES13" i="17"/>
  <c r="EY13" i="17"/>
  <c r="FA13" i="17"/>
  <c r="FC13" i="17"/>
  <c r="FG13" i="17"/>
  <c r="EA8" i="17"/>
  <c r="EI8" i="17"/>
  <c r="EQ8" i="17"/>
  <c r="FE8" i="17"/>
  <c r="Q54" i="17"/>
  <c r="S54" i="17"/>
  <c r="L158" i="13"/>
  <c r="T54" i="17"/>
  <c r="M158" i="13"/>
  <c r="R158" i="13"/>
  <c r="S158" i="13"/>
  <c r="EB9" i="17"/>
  <c r="EJ9" i="17"/>
  <c r="ER9" i="17"/>
  <c r="EX9" i="17"/>
  <c r="EZ9" i="17"/>
  <c r="FB9" i="17"/>
  <c r="FF9" i="17"/>
  <c r="EB11" i="17"/>
  <c r="EJ11" i="17"/>
  <c r="ER11" i="17"/>
  <c r="EX11" i="17"/>
  <c r="EZ11" i="17"/>
  <c r="FB11" i="17"/>
  <c r="FF11" i="17"/>
  <c r="DZ13" i="17"/>
  <c r="EH13" i="17"/>
  <c r="EP13" i="17"/>
  <c r="FD13" i="17"/>
  <c r="FL13" i="17"/>
  <c r="FH16" i="17"/>
  <c r="FH8" i="17"/>
  <c r="DZ14" i="17"/>
  <c r="EH14" i="17"/>
  <c r="EP14" i="17"/>
  <c r="FD14" i="17"/>
  <c r="FL14" i="17"/>
  <c r="DZ6" i="17"/>
  <c r="EH6" i="17"/>
  <c r="EP6" i="17"/>
  <c r="FD6" i="17"/>
  <c r="FL6" i="17"/>
  <c r="FH4" i="17"/>
  <c r="EA12" i="17"/>
  <c r="EI12" i="17"/>
  <c r="EQ12" i="17"/>
  <c r="FE12" i="17"/>
  <c r="DZ19" i="17"/>
  <c r="EH19" i="17"/>
  <c r="EP19" i="17"/>
  <c r="FD19" i="17"/>
  <c r="FL19" i="17"/>
  <c r="EA13" i="17"/>
  <c r="EI13" i="17"/>
  <c r="EQ13" i="17"/>
  <c r="FE13" i="17"/>
  <c r="DZ12" i="17"/>
  <c r="EH12" i="17"/>
  <c r="EP12" i="17"/>
  <c r="FD12" i="17"/>
  <c r="FL12" i="17"/>
  <c r="FH14" i="17"/>
  <c r="DZ17" i="17"/>
  <c r="EH17" i="17"/>
  <c r="EP17" i="17"/>
  <c r="FD17" i="17"/>
  <c r="FL17" i="17"/>
  <c r="EB12" i="17"/>
  <c r="EJ12" i="17"/>
  <c r="ER12" i="17"/>
  <c r="EX12" i="17"/>
  <c r="EZ12" i="17"/>
  <c r="FB12" i="17"/>
  <c r="FF12" i="17"/>
  <c r="EE4" i="17"/>
  <c r="EM4" i="17"/>
  <c r="EU4" i="17"/>
  <c r="FI4" i="17"/>
  <c r="DZ11" i="17"/>
  <c r="EH11" i="17"/>
  <c r="EP11" i="17"/>
  <c r="FD11" i="17"/>
  <c r="FL11" i="17"/>
  <c r="EE11" i="17"/>
  <c r="EM11" i="17"/>
  <c r="EU11" i="17"/>
  <c r="FI11" i="17"/>
  <c r="EC15" i="17"/>
  <c r="EK15" i="17"/>
  <c r="ES15" i="17"/>
  <c r="EY15" i="17"/>
  <c r="FA15" i="17"/>
  <c r="FC15" i="17"/>
  <c r="FG15" i="17"/>
  <c r="EA9" i="17"/>
  <c r="EI9" i="17"/>
  <c r="EQ9" i="17"/>
  <c r="FE9" i="17"/>
  <c r="Q50" i="17"/>
  <c r="S50" i="17"/>
  <c r="L154" i="13"/>
  <c r="T50" i="17"/>
  <c r="M154" i="13"/>
  <c r="R154" i="13"/>
  <c r="S154" i="13"/>
  <c r="EA17" i="17"/>
  <c r="EI17" i="17"/>
  <c r="EQ17" i="17"/>
  <c r="FE17" i="17"/>
  <c r="Q47" i="17"/>
  <c r="S47" i="17"/>
  <c r="L151" i="13"/>
  <c r="T47" i="17"/>
  <c r="M151" i="13"/>
  <c r="R151" i="13"/>
  <c r="S151" i="13"/>
  <c r="EB7" i="17"/>
  <c r="EJ7" i="17"/>
  <c r="ER7" i="17"/>
  <c r="EX7" i="17"/>
  <c r="EZ7" i="17"/>
  <c r="FB7" i="17"/>
  <c r="FF7" i="17"/>
  <c r="FH12" i="17"/>
  <c r="FH5" i="17"/>
  <c r="EC7" i="17"/>
  <c r="EK7" i="17"/>
  <c r="ES7" i="17"/>
  <c r="EY7" i="17"/>
  <c r="FA7" i="17"/>
  <c r="FC7" i="17"/>
  <c r="FG7" i="17"/>
  <c r="FH19" i="17"/>
  <c r="EA11" i="17"/>
  <c r="EI11" i="17"/>
  <c r="EQ11" i="17"/>
  <c r="FE11" i="17"/>
  <c r="EA14" i="17"/>
  <c r="EI14" i="17"/>
  <c r="EQ14" i="17"/>
  <c r="FE14" i="17"/>
  <c r="EB13" i="17"/>
  <c r="EJ13" i="17"/>
  <c r="ER13" i="17"/>
  <c r="EX13" i="17"/>
  <c r="EZ13" i="17"/>
  <c r="FB13" i="17"/>
  <c r="FF13" i="17"/>
  <c r="DZ10" i="17"/>
  <c r="EH10" i="17"/>
  <c r="EP10" i="17"/>
  <c r="FD10" i="17"/>
  <c r="FL10" i="17"/>
  <c r="EB19" i="17"/>
  <c r="EJ19" i="17"/>
  <c r="ER19" i="17"/>
  <c r="EX19" i="17"/>
  <c r="EZ19" i="17"/>
  <c r="FB19" i="17"/>
  <c r="FF19" i="17"/>
  <c r="EB6" i="17"/>
  <c r="EJ6" i="17"/>
  <c r="ER6" i="17"/>
  <c r="EX6" i="17"/>
  <c r="EZ6" i="17"/>
  <c r="FB6" i="17"/>
  <c r="FF6" i="17"/>
  <c r="EB17" i="17"/>
  <c r="EJ17" i="17"/>
  <c r="ER17" i="17"/>
  <c r="EX17" i="17"/>
  <c r="EZ17" i="17"/>
  <c r="FB17" i="17"/>
  <c r="FF17" i="17"/>
  <c r="EA10" i="17"/>
  <c r="EI10" i="17"/>
  <c r="EQ10" i="17"/>
  <c r="FE10" i="17"/>
  <c r="EA18" i="17"/>
  <c r="EI18" i="17"/>
  <c r="EQ18" i="17"/>
  <c r="FE18" i="17"/>
  <c r="FH11" i="17"/>
  <c r="EB14" i="17"/>
  <c r="EJ14" i="17"/>
  <c r="ER14" i="17"/>
  <c r="EX14" i="17"/>
  <c r="EZ14" i="17"/>
  <c r="FB14" i="17"/>
  <c r="FF14" i="17"/>
  <c r="FH7" i="17"/>
  <c r="EC10" i="17"/>
  <c r="EK10" i="17"/>
  <c r="ES10" i="17"/>
  <c r="EY10" i="17"/>
  <c r="FA10" i="17"/>
  <c r="FC10" i="17"/>
  <c r="FG10" i="17"/>
  <c r="EB5" i="17"/>
  <c r="EJ5" i="17"/>
  <c r="ER5" i="17"/>
  <c r="EX5" i="17"/>
  <c r="EZ5" i="17"/>
  <c r="FB5" i="17"/>
  <c r="FF5" i="17"/>
  <c r="EE19" i="17"/>
  <c r="EM19" i="17"/>
  <c r="EU19" i="17"/>
  <c r="FI19" i="17"/>
  <c r="EA16" i="17"/>
  <c r="EI16" i="17"/>
  <c r="EQ16" i="17"/>
  <c r="FE16" i="17"/>
  <c r="Q51" i="17"/>
  <c r="S51" i="17"/>
  <c r="L155" i="13"/>
  <c r="T51" i="17"/>
  <c r="M155" i="13"/>
  <c r="R155" i="13"/>
  <c r="S155" i="13"/>
  <c r="DZ4" i="17"/>
  <c r="EH4" i="17"/>
  <c r="EP4" i="17"/>
  <c r="FD4" i="17"/>
  <c r="FL4" i="17"/>
  <c r="Q53" i="17"/>
  <c r="S53" i="17"/>
  <c r="L157" i="13"/>
  <c r="T53" i="17"/>
  <c r="M157" i="13"/>
  <c r="R157" i="13"/>
  <c r="S157" i="13"/>
  <c r="EE13" i="17"/>
  <c r="EM13" i="17"/>
  <c r="EU13" i="17"/>
  <c r="FI13" i="17"/>
  <c r="DZ7" i="17"/>
  <c r="EH7" i="17"/>
  <c r="EP7" i="17"/>
  <c r="FD7" i="17"/>
  <c r="FL7" i="17"/>
  <c r="EE9" i="17"/>
  <c r="EM9" i="17"/>
  <c r="EU9" i="17"/>
  <c r="FI9" i="17"/>
  <c r="Q49" i="17"/>
  <c r="S49" i="17"/>
  <c r="L153" i="13"/>
  <c r="T49" i="17"/>
  <c r="M153" i="13"/>
  <c r="R153" i="13"/>
  <c r="S153" i="13"/>
  <c r="EB8" i="17"/>
  <c r="EJ8" i="17"/>
  <c r="ER8" i="17"/>
  <c r="EX8" i="17"/>
  <c r="EZ8" i="17"/>
  <c r="FB8" i="17"/>
  <c r="FF8" i="17"/>
  <c r="FH17" i="17"/>
  <c r="EC14" i="17"/>
  <c r="EK14" i="17"/>
  <c r="ES14" i="17"/>
  <c r="EY14" i="17"/>
  <c r="FA14" i="17"/>
  <c r="FC14" i="17"/>
  <c r="FG14" i="17"/>
  <c r="FH18" i="17"/>
  <c r="EC16" i="17"/>
  <c r="EK16" i="17"/>
  <c r="ES16" i="17"/>
  <c r="EY16" i="17"/>
  <c r="FA16" i="17"/>
  <c r="FC16" i="17"/>
  <c r="FG16" i="17"/>
  <c r="EE10" i="17"/>
  <c r="EM10" i="17"/>
  <c r="EU10" i="17"/>
  <c r="FI10" i="17"/>
  <c r="DZ18" i="17"/>
  <c r="EH18" i="17"/>
  <c r="EP18" i="17"/>
  <c r="FD18" i="17"/>
  <c r="FL18" i="17"/>
  <c r="FH13" i="17"/>
  <c r="FH9" i="17"/>
  <c r="FH6" i="17"/>
  <c r="EC17" i="17"/>
  <c r="EK17" i="17"/>
  <c r="ES17" i="17"/>
  <c r="EY17" i="17"/>
  <c r="FA17" i="17"/>
  <c r="FC17" i="17"/>
  <c r="FG17" i="17"/>
  <c r="EB16" i="17"/>
  <c r="EJ16" i="17"/>
  <c r="ER16" i="17"/>
  <c r="EX16" i="17"/>
  <c r="EZ16" i="17"/>
  <c r="FB16" i="17"/>
  <c r="FF16" i="17"/>
  <c r="EB18" i="17"/>
  <c r="EJ18" i="17"/>
  <c r="ER18" i="17"/>
  <c r="EX18" i="17"/>
  <c r="EZ18" i="17"/>
  <c r="FB18" i="17"/>
  <c r="FF18" i="17"/>
  <c r="EB4" i="17"/>
  <c r="EJ4" i="17"/>
  <c r="ER4" i="17"/>
  <c r="EX4" i="17"/>
  <c r="EZ4" i="17"/>
  <c r="FB4" i="17"/>
  <c r="FF4" i="17"/>
  <c r="EE7" i="17"/>
  <c r="EM7" i="17"/>
  <c r="EU7" i="17"/>
  <c r="FI7" i="17"/>
  <c r="EB10" i="17"/>
  <c r="EJ10" i="17"/>
  <c r="ER10" i="17"/>
  <c r="EX10" i="17"/>
  <c r="EZ10" i="17"/>
  <c r="FB10" i="17"/>
  <c r="FF10" i="17"/>
  <c r="DZ15" i="17"/>
  <c r="EH15" i="17"/>
  <c r="EP15" i="17"/>
  <c r="FD15" i="17"/>
  <c r="FL15" i="17"/>
  <c r="Q58" i="17"/>
  <c r="S58" i="17"/>
  <c r="L162" i="13"/>
  <c r="T58" i="17"/>
  <c r="M162" i="13"/>
  <c r="R162" i="13"/>
  <c r="S162" i="13"/>
  <c r="Q52" i="17"/>
  <c r="S52" i="17"/>
  <c r="L156" i="13"/>
  <c r="T52" i="17"/>
  <c r="M156" i="13"/>
  <c r="R156" i="13"/>
  <c r="S156" i="13"/>
  <c r="EC11" i="17"/>
  <c r="EK11" i="17"/>
  <c r="ES11" i="17"/>
  <c r="EY11" i="17"/>
  <c r="FA11" i="17"/>
  <c r="FC11" i="17"/>
  <c r="FG11" i="17"/>
  <c r="FH10" i="17"/>
  <c r="FH15" i="17"/>
  <c r="Q57" i="17"/>
  <c r="S57" i="17"/>
  <c r="L161" i="13"/>
  <c r="T57" i="17"/>
  <c r="M161" i="13"/>
  <c r="R161" i="13"/>
  <c r="S161" i="13"/>
  <c r="EB15" i="17"/>
  <c r="EJ15" i="17"/>
  <c r="ER15" i="17"/>
  <c r="EX15" i="17"/>
  <c r="EZ15" i="17"/>
  <c r="FB15" i="17"/>
  <c r="FF15" i="17"/>
  <c r="EE14" i="17"/>
  <c r="EM14" i="17"/>
  <c r="EU14" i="17"/>
  <c r="FI14" i="17"/>
  <c r="Q55" i="17"/>
  <c r="S55" i="17"/>
  <c r="L159" i="13"/>
  <c r="T55" i="17"/>
  <c r="M159" i="13"/>
  <c r="R159" i="13"/>
  <c r="S159" i="13"/>
  <c r="Q56" i="17"/>
  <c r="S56" i="17"/>
  <c r="L160" i="13"/>
  <c r="T56" i="17"/>
  <c r="M160" i="13"/>
  <c r="R160" i="13"/>
  <c r="S160" i="13"/>
  <c r="EA5" i="17"/>
  <c r="EI5" i="17"/>
  <c r="EQ5" i="17"/>
  <c r="FE5" i="17"/>
  <c r="DZ5" i="17"/>
  <c r="EH5" i="17"/>
  <c r="EP5" i="17"/>
  <c r="FD5" i="17"/>
  <c r="FL5" i="17"/>
  <c r="EE17" i="17"/>
  <c r="EM17" i="17"/>
  <c r="EU17" i="17"/>
  <c r="FI17" i="17"/>
  <c r="EA4" i="17"/>
  <c r="EI4" i="17"/>
  <c r="EQ4" i="17"/>
  <c r="FE4" i="17"/>
  <c r="EA19" i="17"/>
  <c r="EI19" i="17"/>
  <c r="EQ19" i="17"/>
  <c r="FE19" i="17"/>
  <c r="EC18" i="17"/>
  <c r="EK18" i="17"/>
  <c r="ES18" i="17"/>
  <c r="EY18" i="17"/>
  <c r="FA18" i="17"/>
  <c r="FC18" i="17"/>
  <c r="FG18" i="17"/>
  <c r="EC19" i="17"/>
  <c r="EK19" i="17"/>
  <c r="ES19" i="17"/>
  <c r="EY19" i="17"/>
  <c r="FA19" i="17"/>
  <c r="FC19" i="17"/>
  <c r="FG19" i="17"/>
  <c r="EC6" i="17"/>
  <c r="EK6" i="17"/>
  <c r="ES6" i="17"/>
  <c r="EY6" i="17"/>
  <c r="FA6" i="17"/>
  <c r="FC6" i="17"/>
  <c r="FG6" i="17"/>
  <c r="V58" i="17"/>
  <c r="K162" i="13"/>
  <c r="W58" i="17"/>
  <c r="N162" i="13"/>
  <c r="Y58" i="17"/>
  <c r="Z58" i="17"/>
  <c r="Q162" i="13"/>
  <c r="R58" i="17"/>
  <c r="I162" i="13"/>
  <c r="U58" i="17"/>
  <c r="J162" i="13"/>
  <c r="G162" i="13"/>
  <c r="AA58" i="17"/>
  <c r="X58" i="17"/>
  <c r="P162" i="13"/>
  <c r="EG17" i="17"/>
  <c r="EO17" i="17"/>
  <c r="EW17" i="17"/>
  <c r="FK17" i="17"/>
  <c r="EF17" i="17"/>
  <c r="EN17" i="17"/>
  <c r="EV17" i="17"/>
  <c r="FJ17" i="17"/>
  <c r="EG11" i="17"/>
  <c r="EO11" i="17"/>
  <c r="EW11" i="17"/>
  <c r="FK11" i="17"/>
  <c r="EF11" i="17"/>
  <c r="EN11" i="17"/>
  <c r="EV11" i="17"/>
  <c r="FJ11" i="17"/>
  <c r="EG13" i="17"/>
  <c r="EO13" i="17"/>
  <c r="EW13" i="17"/>
  <c r="FK13" i="17"/>
  <c r="EF13" i="17"/>
  <c r="EN13" i="17"/>
  <c r="EV13" i="17"/>
  <c r="FJ13" i="17"/>
  <c r="AA50" i="17"/>
  <c r="U50" i="17"/>
  <c r="J154" i="13"/>
  <c r="X50" i="17"/>
  <c r="P154" i="13"/>
  <c r="V50" i="17"/>
  <c r="K154" i="13"/>
  <c r="R50" i="17"/>
  <c r="I154" i="13"/>
  <c r="W50" i="17"/>
  <c r="N154" i="13"/>
  <c r="G154" i="13"/>
  <c r="Z50" i="17"/>
  <c r="Q154" i="13"/>
  <c r="Y50" i="17"/>
  <c r="EG4" i="17"/>
  <c r="EO4" i="17"/>
  <c r="EW4" i="17"/>
  <c r="FK4" i="17"/>
  <c r="EF4" i="17"/>
  <c r="EN4" i="17"/>
  <c r="EV4" i="17"/>
  <c r="FJ4" i="17"/>
  <c r="EG6" i="17"/>
  <c r="EO6" i="17"/>
  <c r="EW6" i="17"/>
  <c r="FK6" i="17"/>
  <c r="EF6" i="17"/>
  <c r="EN6" i="17"/>
  <c r="EV6" i="17"/>
  <c r="FJ6" i="17"/>
  <c r="V54" i="17"/>
  <c r="K158" i="13"/>
  <c r="AA54" i="17"/>
  <c r="Y54" i="17"/>
  <c r="U54" i="17"/>
  <c r="J158" i="13"/>
  <c r="G158" i="13"/>
  <c r="Z54" i="17"/>
  <c r="Q158" i="13"/>
  <c r="R54" i="17"/>
  <c r="I158" i="13"/>
  <c r="W54" i="17"/>
  <c r="N158" i="13"/>
  <c r="X54" i="17"/>
  <c r="P158" i="13"/>
  <c r="EG15" i="17"/>
  <c r="EO15" i="17"/>
  <c r="EW15" i="17"/>
  <c r="FK15" i="17"/>
  <c r="EF15" i="17"/>
  <c r="EN15" i="17"/>
  <c r="EV15" i="17"/>
  <c r="FJ15" i="17"/>
  <c r="EG18" i="17"/>
  <c r="EO18" i="17"/>
  <c r="EW18" i="17"/>
  <c r="FK18" i="17"/>
  <c r="EF18" i="17"/>
  <c r="EN18" i="17"/>
  <c r="EV18" i="17"/>
  <c r="FJ18" i="17"/>
  <c r="EG19" i="17"/>
  <c r="EO19" i="17"/>
  <c r="EW19" i="17"/>
  <c r="FK19" i="17"/>
  <c r="EF19" i="17"/>
  <c r="EN19" i="17"/>
  <c r="EV19" i="17"/>
  <c r="FJ19" i="17"/>
  <c r="R47" i="17"/>
  <c r="I151" i="13"/>
  <c r="G151" i="13"/>
  <c r="Z47" i="17"/>
  <c r="Q151" i="13"/>
  <c r="U47" i="17"/>
  <c r="J151" i="13"/>
  <c r="AA47" i="17"/>
  <c r="W47" i="17"/>
  <c r="N151" i="13"/>
  <c r="V47" i="17"/>
  <c r="K151" i="13"/>
  <c r="Y47" i="17"/>
  <c r="X47" i="17"/>
  <c r="P151" i="13"/>
  <c r="EG8" i="17"/>
  <c r="EO8" i="17"/>
  <c r="EW8" i="17"/>
  <c r="FK8" i="17"/>
  <c r="EF8" i="17"/>
  <c r="EN8" i="17"/>
  <c r="EV8" i="17"/>
  <c r="FJ8" i="17"/>
  <c r="EG10" i="17"/>
  <c r="EO10" i="17"/>
  <c r="EW10" i="17"/>
  <c r="FK10" i="17"/>
  <c r="EF10" i="17"/>
  <c r="EN10" i="17"/>
  <c r="EV10" i="17"/>
  <c r="FJ10" i="17"/>
  <c r="W56" i="17"/>
  <c r="N160" i="13"/>
  <c r="G160" i="13"/>
  <c r="Y56" i="17"/>
  <c r="X56" i="17"/>
  <c r="P160" i="13"/>
  <c r="R56" i="17"/>
  <c r="I160" i="13"/>
  <c r="AA56" i="17"/>
  <c r="V56" i="17"/>
  <c r="K160" i="13"/>
  <c r="U56" i="17"/>
  <c r="J160" i="13"/>
  <c r="Z56" i="17"/>
  <c r="Q160" i="13"/>
  <c r="Y49" i="17"/>
  <c r="AA49" i="17"/>
  <c r="X49" i="17"/>
  <c r="P153" i="13"/>
  <c r="R49" i="17"/>
  <c r="I153" i="13"/>
  <c r="U49" i="17"/>
  <c r="J153" i="13"/>
  <c r="W49" i="17"/>
  <c r="N153" i="13"/>
  <c r="V49" i="17"/>
  <c r="K153" i="13"/>
  <c r="G153" i="13"/>
  <c r="Z49" i="17"/>
  <c r="Q153" i="13"/>
  <c r="EG14" i="17"/>
  <c r="EO14" i="17"/>
  <c r="EW14" i="17"/>
  <c r="FK14" i="17"/>
  <c r="EF14" i="17"/>
  <c r="EN14" i="17"/>
  <c r="EV14" i="17"/>
  <c r="FJ14" i="17"/>
  <c r="Z53" i="17"/>
  <c r="Q157" i="13"/>
  <c r="U53" i="17"/>
  <c r="J157" i="13"/>
  <c r="R53" i="17"/>
  <c r="I157" i="13"/>
  <c r="G157" i="13"/>
  <c r="W53" i="17"/>
  <c r="N157" i="13"/>
  <c r="AA53" i="17"/>
  <c r="V53" i="17"/>
  <c r="K157" i="13"/>
  <c r="X53" i="17"/>
  <c r="P157" i="13"/>
  <c r="Y53" i="17"/>
  <c r="R48" i="17"/>
  <c r="I152" i="13"/>
  <c r="G152" i="13"/>
  <c r="U48" i="17"/>
  <c r="J152" i="13"/>
  <c r="W48" i="17"/>
  <c r="N152" i="13"/>
  <c r="X48" i="17"/>
  <c r="P152" i="13"/>
  <c r="AA48" i="17"/>
  <c r="V48" i="17"/>
  <c r="K152" i="13"/>
  <c r="Z48" i="17"/>
  <c r="Q152" i="13"/>
  <c r="Y48" i="17"/>
  <c r="EG12" i="17"/>
  <c r="EO12" i="17"/>
  <c r="EW12" i="17"/>
  <c r="FK12" i="17"/>
  <c r="EF12" i="17"/>
  <c r="EN12" i="17"/>
  <c r="EV12" i="17"/>
  <c r="FJ12" i="17"/>
  <c r="V52" i="17"/>
  <c r="K156" i="13"/>
  <c r="U52" i="17"/>
  <c r="J156" i="13"/>
  <c r="Y52" i="17"/>
  <c r="X52" i="17"/>
  <c r="P156" i="13"/>
  <c r="AA52" i="17"/>
  <c r="W52" i="17"/>
  <c r="N156" i="13"/>
  <c r="G156" i="13"/>
  <c r="Z52" i="17"/>
  <c r="Q156" i="13"/>
  <c r="R52" i="17"/>
  <c r="I156" i="13"/>
  <c r="EG16" i="17"/>
  <c r="EO16" i="17"/>
  <c r="EW16" i="17"/>
  <c r="FK16" i="17"/>
  <c r="EF16" i="17"/>
  <c r="EN16" i="17"/>
  <c r="EV16" i="17"/>
  <c r="FJ16" i="17"/>
  <c r="Y57" i="17"/>
  <c r="V57" i="17"/>
  <c r="K161" i="13"/>
  <c r="W57" i="17"/>
  <c r="N161" i="13"/>
  <c r="R57" i="17"/>
  <c r="I161" i="13"/>
  <c r="G161" i="13"/>
  <c r="Z57" i="17"/>
  <c r="Q161" i="13"/>
  <c r="AA57" i="17"/>
  <c r="U57" i="17"/>
  <c r="J161" i="13"/>
  <c r="X57" i="17"/>
  <c r="P161" i="13"/>
  <c r="Y51" i="17"/>
  <c r="AA51" i="17"/>
  <c r="X51" i="17"/>
  <c r="P155" i="13"/>
  <c r="G155" i="13"/>
  <c r="R51" i="17"/>
  <c r="I155" i="13"/>
  <c r="U51" i="17"/>
  <c r="J155" i="13"/>
  <c r="Z51" i="17"/>
  <c r="Q155" i="13"/>
  <c r="V51" i="17"/>
  <c r="K155" i="13"/>
  <c r="W51" i="17"/>
  <c r="N155" i="13"/>
  <c r="EG7" i="17"/>
  <c r="EO7" i="17"/>
  <c r="EW7" i="17"/>
  <c r="FK7" i="17"/>
  <c r="EF7" i="17"/>
  <c r="EN7" i="17"/>
  <c r="EV7" i="17"/>
  <c r="FJ7" i="17"/>
  <c r="EG5" i="17"/>
  <c r="EO5" i="17"/>
  <c r="EW5" i="17"/>
  <c r="FK5" i="17"/>
  <c r="EF5" i="17"/>
  <c r="EN5" i="17"/>
  <c r="EV5" i="17"/>
  <c r="FJ5" i="17"/>
  <c r="X55" i="17"/>
  <c r="P159" i="13"/>
  <c r="U55" i="17"/>
  <c r="J159" i="13"/>
  <c r="Y55" i="17"/>
  <c r="R55" i="17"/>
  <c r="I159" i="13"/>
  <c r="AA55" i="17"/>
  <c r="G159" i="13"/>
  <c r="Z55" i="17"/>
  <c r="Q159" i="13"/>
  <c r="V55" i="17"/>
  <c r="K159" i="13"/>
  <c r="W55" i="17"/>
  <c r="N159" i="13"/>
  <c r="EG9" i="17"/>
  <c r="EO9" i="17"/>
  <c r="EW9" i="17"/>
  <c r="FK9" i="17"/>
  <c r="EF9" i="17"/>
  <c r="EN9" i="17"/>
  <c r="EV9" i="17"/>
  <c r="FJ9" i="17"/>
  <c r="AF39" i="17"/>
  <c r="AF43" i="17"/>
  <c r="AF46" i="17"/>
  <c r="AC46" i="17"/>
  <c r="AZ102" i="13"/>
  <c r="BW100" i="13"/>
  <c r="M131" i="13"/>
  <c r="AZ100" i="13"/>
  <c r="BB93" i="11"/>
  <c r="BD93" i="11"/>
  <c r="BM93" i="11"/>
  <c r="B93" i="11"/>
  <c r="Q120" i="13"/>
  <c r="Q100" i="13"/>
  <c r="BA406" i="16"/>
  <c r="AT416" i="16"/>
  <c r="R416" i="16"/>
  <c r="GE412" i="16"/>
  <c r="Q44" i="17"/>
  <c r="T416" i="16"/>
  <c r="BB95" i="11"/>
  <c r="BD95" i="11"/>
  <c r="AY95" i="11"/>
  <c r="BM95" i="11"/>
  <c r="B95" i="11"/>
  <c r="T415" i="16"/>
  <c r="GD411" i="16"/>
  <c r="Z39" i="17"/>
  <c r="M39" i="17"/>
  <c r="L39" i="17"/>
  <c r="Q122" i="13"/>
  <c r="Q102" i="13"/>
  <c r="O93" i="11"/>
  <c r="AX95" i="11"/>
  <c r="O95" i="11"/>
  <c r="BA350" i="16"/>
  <c r="AT360" i="16"/>
  <c r="R360" i="16"/>
  <c r="T360" i="16"/>
  <c r="GE356" i="16"/>
  <c r="HG410" i="16"/>
  <c r="HG412" i="16"/>
  <c r="GE355" i="16"/>
  <c r="E416" i="16"/>
  <c r="E415" i="16"/>
  <c r="GD409" i="16"/>
  <c r="BA93" i="11"/>
  <c r="BA95" i="11"/>
  <c r="O120" i="13"/>
  <c r="AP101" i="11"/>
  <c r="O100" i="13"/>
  <c r="AP107" i="11"/>
  <c r="AP105" i="11"/>
  <c r="AP103" i="11"/>
  <c r="BG120" i="13"/>
  <c r="AP99" i="11"/>
  <c r="AP97" i="11"/>
  <c r="AV95" i="11"/>
  <c r="O122" i="13"/>
  <c r="O102" i="13"/>
  <c r="AQ97" i="11"/>
  <c r="AQ107" i="11"/>
  <c r="BG122" i="13"/>
  <c r="AQ105" i="11"/>
  <c r="AP95" i="11"/>
  <c r="AQ101" i="11"/>
  <c r="AQ99" i="11"/>
  <c r="AQ103" i="11"/>
  <c r="BV120" i="13"/>
  <c r="BY120" i="13"/>
  <c r="K95" i="11"/>
  <c r="AX95" i="9"/>
  <c r="K93" i="11"/>
  <c r="BE122" i="13"/>
  <c r="G122" i="13"/>
  <c r="AQ97" i="9"/>
  <c r="AQ105" i="9"/>
  <c r="AQ99" i="9"/>
  <c r="AP95" i="9"/>
  <c r="AQ103" i="9"/>
  <c r="AQ107" i="9"/>
  <c r="G102" i="13"/>
  <c r="AQ101" i="9"/>
  <c r="BB112" i="11"/>
  <c r="BB92" i="11"/>
  <c r="AC93" i="11"/>
  <c r="D93" i="11"/>
  <c r="AD93" i="11"/>
  <c r="E93" i="11"/>
  <c r="BB112" i="9"/>
  <c r="AD93" i="9"/>
  <c r="E93" i="9"/>
  <c r="AC93" i="9"/>
  <c r="D93" i="9"/>
  <c r="BB92" i="9"/>
  <c r="Q39" i="17"/>
  <c r="Q84" i="17"/>
</calcChain>
</file>

<file path=xl/sharedStrings.xml><?xml version="1.0" encoding="utf-8"?>
<sst xmlns="http://schemas.openxmlformats.org/spreadsheetml/2006/main" count="42243" uniqueCount="2054">
  <si>
    <t>SWISS DARTS ASSOCIATION</t>
  </si>
  <si>
    <t>SCHWEIZERISCHER DARTS VERBAND</t>
  </si>
  <si>
    <t>ASSOCIATION SUISSE DE FLÉCHETTES</t>
  </si>
  <si>
    <t>ASSOCIAZIONE SVIZZERA DI FRECCETTE</t>
  </si>
  <si>
    <t>ASSOCIAZIUN SVIZRA CUN FRIZZA</t>
  </si>
  <si>
    <t>Sprache</t>
  </si>
  <si>
    <t>Runde</t>
  </si>
  <si>
    <t>Heim</t>
  </si>
  <si>
    <t>Saison</t>
  </si>
  <si>
    <t>A</t>
  </si>
  <si>
    <t>8 / 6 Spieler</t>
  </si>
  <si>
    <t>Spiel-Nr.</t>
  </si>
  <si>
    <t>Gast</t>
  </si>
  <si>
    <t>Mannschaft</t>
  </si>
  <si>
    <t>Nr.</t>
  </si>
  <si>
    <t xml:space="preserve"> - </t>
  </si>
  <si>
    <t>NL A</t>
  </si>
  <si>
    <t>Phantoms</t>
  </si>
  <si>
    <t>?</t>
  </si>
  <si>
    <t>select Heim - Team</t>
  </si>
  <si>
    <t>Datum</t>
  </si>
  <si>
    <t>Sense Steel 1</t>
  </si>
  <si>
    <t>A1</t>
  </si>
  <si>
    <t>Rd1</t>
  </si>
  <si>
    <t>R00</t>
  </si>
  <si>
    <t>00.00.00</t>
  </si>
  <si>
    <t>Lauterbrunnen</t>
  </si>
  <si>
    <t>A2</t>
  </si>
  <si>
    <t>R01</t>
  </si>
  <si>
    <t>A3</t>
  </si>
  <si>
    <t>R02</t>
  </si>
  <si>
    <t>Midland Knights</t>
  </si>
  <si>
    <t>A4</t>
  </si>
  <si>
    <t>R03</t>
  </si>
  <si>
    <t>Torp. Wimmis 1</t>
  </si>
  <si>
    <t>B</t>
  </si>
  <si>
    <t>R04</t>
  </si>
  <si>
    <t>Joker 1</t>
  </si>
  <si>
    <t>R05</t>
  </si>
  <si>
    <t>Rangers</t>
  </si>
  <si>
    <t>R06</t>
  </si>
  <si>
    <t>R07</t>
  </si>
  <si>
    <t>R08</t>
  </si>
  <si>
    <t>NL B</t>
  </si>
  <si>
    <t>R09</t>
  </si>
  <si>
    <t>Safnern 1</t>
  </si>
  <si>
    <t>R10</t>
  </si>
  <si>
    <t>Madhouse</t>
  </si>
  <si>
    <t>R11</t>
  </si>
  <si>
    <t>Bern 1</t>
  </si>
  <si>
    <t>R12</t>
  </si>
  <si>
    <t>Top Darts</t>
  </si>
  <si>
    <t>R13</t>
  </si>
  <si>
    <t>Basel</t>
  </si>
  <si>
    <t>R14</t>
  </si>
  <si>
    <t>Deitingen 1</t>
  </si>
  <si>
    <t>Gelterkinden 1</t>
  </si>
  <si>
    <t>Emmental 1</t>
  </si>
  <si>
    <t>.</t>
  </si>
  <si>
    <t>/</t>
  </si>
  <si>
    <t>1. Liga West</t>
  </si>
  <si>
    <t>Brugg 1</t>
  </si>
  <si>
    <t>Papillon 1</t>
  </si>
  <si>
    <t>Zurich Rebels</t>
  </si>
  <si>
    <t>Einsiedeln 1</t>
  </si>
  <si>
    <t>Pilatus</t>
  </si>
  <si>
    <t>CM1</t>
  </si>
  <si>
    <t>CM2</t>
  </si>
  <si>
    <t>CM3</t>
  </si>
  <si>
    <t>1. Liga Ost</t>
  </si>
  <si>
    <t>CM4</t>
  </si>
  <si>
    <t>Real Caracol</t>
  </si>
  <si>
    <t>Rd2</t>
  </si>
  <si>
    <t>2A1</t>
  </si>
  <si>
    <t>2A2</t>
  </si>
  <si>
    <t>Morges 2</t>
  </si>
  <si>
    <t>2A3</t>
  </si>
  <si>
    <t>2A4</t>
  </si>
  <si>
    <t>Romont</t>
  </si>
  <si>
    <t>2. Liga West</t>
  </si>
  <si>
    <t>Papillon 3</t>
  </si>
  <si>
    <t>Emmental 2</t>
  </si>
  <si>
    <t>2. Liga Ost</t>
  </si>
  <si>
    <t>Bern 2</t>
  </si>
  <si>
    <t>Ice Age</t>
  </si>
  <si>
    <t>Gelterkinden 2</t>
  </si>
  <si>
    <t>Emmental 3</t>
  </si>
  <si>
    <t>Brugg 2</t>
  </si>
  <si>
    <t>Joker 2</t>
  </si>
  <si>
    <t>Rd3</t>
  </si>
  <si>
    <t>3A1</t>
  </si>
  <si>
    <t>High 5</t>
  </si>
  <si>
    <t>3A2</t>
  </si>
  <si>
    <t>Black Jack</t>
  </si>
  <si>
    <t>3A3</t>
  </si>
  <si>
    <t>3A4</t>
  </si>
  <si>
    <t>Horgen</t>
  </si>
  <si>
    <t>Papillon 2</t>
  </si>
  <si>
    <t>Einsiedeln 2</t>
  </si>
  <si>
    <t>Eastern Switzerl.</t>
  </si>
  <si>
    <t>Torp. Wimmis 2</t>
  </si>
  <si>
    <t>Safnern 2</t>
  </si>
  <si>
    <t>Farmer</t>
  </si>
  <si>
    <t>Morges 1</t>
  </si>
  <si>
    <t>Sense Steel 2</t>
  </si>
  <si>
    <t>Rd4</t>
  </si>
  <si>
    <t>4A1</t>
  </si>
  <si>
    <t>4A2</t>
  </si>
  <si>
    <t>4A3</t>
  </si>
  <si>
    <t>4A4</t>
  </si>
  <si>
    <t>Rd5</t>
  </si>
  <si>
    <t>5A1</t>
  </si>
  <si>
    <t>5A2</t>
  </si>
  <si>
    <t>5A3</t>
  </si>
  <si>
    <t>5A4</t>
  </si>
  <si>
    <t>Rd6</t>
  </si>
  <si>
    <t>6A1</t>
  </si>
  <si>
    <t>6A2</t>
  </si>
  <si>
    <t>6A3</t>
  </si>
  <si>
    <t>6A4</t>
  </si>
  <si>
    <t>Rd7</t>
  </si>
  <si>
    <t>7A1</t>
  </si>
  <si>
    <t>7A2</t>
  </si>
  <si>
    <t>7A3</t>
  </si>
  <si>
    <t>7A4</t>
  </si>
  <si>
    <t>Rd8</t>
  </si>
  <si>
    <t>8A1</t>
  </si>
  <si>
    <t>8A2</t>
  </si>
  <si>
    <t>8A3</t>
  </si>
  <si>
    <t>8A4</t>
  </si>
  <si>
    <t>Rd9</t>
  </si>
  <si>
    <t>9A1</t>
  </si>
  <si>
    <t>9A2</t>
  </si>
  <si>
    <t>9A3</t>
  </si>
  <si>
    <t>9A4</t>
  </si>
  <si>
    <t>Rd10</t>
  </si>
  <si>
    <t>10A1</t>
  </si>
  <si>
    <t>10A2</t>
  </si>
  <si>
    <t>10A3</t>
  </si>
  <si>
    <t>10A4</t>
  </si>
  <si>
    <t>Rd11</t>
  </si>
  <si>
    <t>11A1</t>
  </si>
  <si>
    <t>11A2</t>
  </si>
  <si>
    <t>11A3</t>
  </si>
  <si>
    <t>11A4</t>
  </si>
  <si>
    <t>Rd12</t>
  </si>
  <si>
    <t>12A1</t>
  </si>
  <si>
    <t>12A2</t>
  </si>
  <si>
    <t>12A3</t>
  </si>
  <si>
    <t>12A4</t>
  </si>
  <si>
    <t>Rd13</t>
  </si>
  <si>
    <t>13A1</t>
  </si>
  <si>
    <t>13A2</t>
  </si>
  <si>
    <t>13A3</t>
  </si>
  <si>
    <t>13A4</t>
  </si>
  <si>
    <t>Rd14</t>
  </si>
  <si>
    <t>14A1</t>
  </si>
  <si>
    <t>14A2</t>
  </si>
  <si>
    <t>14A3</t>
  </si>
  <si>
    <t>14A4</t>
  </si>
  <si>
    <t>DEUTSCH</t>
  </si>
  <si>
    <t>FRANZÖSISCH</t>
  </si>
  <si>
    <t>ITALIENISCH</t>
  </si>
  <si>
    <t>RESULTATMELDUNG</t>
  </si>
  <si>
    <t>ENVOI DU RESULTAT</t>
  </si>
  <si>
    <t>Fehler</t>
  </si>
  <si>
    <t>RESULTATMELDUNG NUR ÜBER SMS!!</t>
  </si>
  <si>
    <t>ANNONCE DU RESULTAT PAR SMS!!</t>
  </si>
  <si>
    <t>GÜLTIG AB</t>
  </si>
  <si>
    <t>VALIDITÉ</t>
  </si>
  <si>
    <t>SPRACHE</t>
  </si>
  <si>
    <t>LANGUE</t>
  </si>
  <si>
    <t>RUNDE</t>
  </si>
  <si>
    <t>TOUR</t>
  </si>
  <si>
    <t>HEIM</t>
  </si>
  <si>
    <t>MAISON</t>
  </si>
  <si>
    <t>GAST</t>
  </si>
  <si>
    <t>EXTERIEUR</t>
  </si>
  <si>
    <t>SPIEL - NR.</t>
  </si>
  <si>
    <t>JEU - NO.</t>
  </si>
  <si>
    <t>DATUM</t>
  </si>
  <si>
    <t>DATE</t>
  </si>
  <si>
    <t>Wenn unkomplett ( min. 5 Spieler ), hier "X"</t>
  </si>
  <si>
    <t>si le non-ensemble ( le mn. 5 joueurs ), ici "X"</t>
  </si>
  <si>
    <t>Wenn unkomplett ( min. 7 Spieler ), hier "X"</t>
  </si>
  <si>
    <t>si le non-ensemble ( le mn. 7 joueurs ), ici "X"</t>
  </si>
  <si>
    <t>Bei 2 unkompletten Mannschaften sind im 3. Block ( Gesetzt ) pro Mannschaft 1 Forfait gesetzt.</t>
  </si>
  <si>
    <t>A 2 équipes unkompleten dans le bloc 3 (set) par équipe 1 Forfait sont fixés.</t>
  </si>
  <si>
    <t>LIZENZ-NR.UNGÜLTIG</t>
  </si>
  <si>
    <t>LICENCE NO. NON VALIDE</t>
  </si>
  <si>
    <t>**EINTRAG NICHT MÖGLICH!!**</t>
  </si>
  <si>
    <t>**Société ne sera pas**</t>
  </si>
  <si>
    <t>**EINTRAG NOTWENDIG**</t>
  </si>
  <si>
    <t>**entrée requise**</t>
  </si>
  <si>
    <t>Wenn komplett Forfait, hier "X"</t>
  </si>
  <si>
    <t>cocher avec un "X" si l'équipe est forfait</t>
  </si>
  <si>
    <t>Gastmannschaft</t>
  </si>
  <si>
    <t>Erste Runde Doppel</t>
  </si>
  <si>
    <t xml:space="preserve">Premier tour de double </t>
  </si>
  <si>
    <t>Name / Vorname</t>
  </si>
  <si>
    <t>Nom / Prénom</t>
  </si>
  <si>
    <t>Heimmannschaft</t>
  </si>
  <si>
    <t>Équipe reçevante</t>
  </si>
  <si>
    <t>** A C H T U N G - D O P P E L T E  L I Z E N Z - N U M M E R !!! **</t>
  </si>
  <si>
    <t>** ATTENTION - LE NUMERO DE LICENCE DOUBLE!!! **</t>
  </si>
  <si>
    <t>** KEIN EINTRAG MÖGLICH !!! **</t>
  </si>
  <si>
    <t>** no entrée possibles !!! **</t>
  </si>
  <si>
    <t>Erste Runde Einzel</t>
  </si>
  <si>
    <t>Premier tour de simple</t>
  </si>
  <si>
    <t>Zweite Runde Doppel</t>
  </si>
  <si>
    <t>Deuxième tour de double</t>
  </si>
  <si>
    <t>Zweite Runde Einzel</t>
  </si>
  <si>
    <t>Deuxième tour de simple</t>
  </si>
  <si>
    <t>Dritte Runde Einzel ( gesetzt )</t>
  </si>
  <si>
    <t>Troisième tour de simple ( fixe )</t>
  </si>
  <si>
    <t>Verfügbare Lizenzen</t>
  </si>
  <si>
    <t>Licences disponibles</t>
  </si>
  <si>
    <t>Visiteurs</t>
  </si>
  <si>
    <t>Langue</t>
  </si>
  <si>
    <t>Lingua</t>
  </si>
  <si>
    <t>Englisch</t>
  </si>
  <si>
    <t>ENGLISCH</t>
  </si>
  <si>
    <t>B1</t>
  </si>
  <si>
    <t>B2</t>
  </si>
  <si>
    <t>B3</t>
  </si>
  <si>
    <t>B4</t>
  </si>
  <si>
    <t>1W1</t>
  </si>
  <si>
    <t>1W2</t>
  </si>
  <si>
    <t>1W3</t>
  </si>
  <si>
    <t>1W4</t>
  </si>
  <si>
    <t>1O1</t>
  </si>
  <si>
    <t>1O2</t>
  </si>
  <si>
    <t>1O3</t>
  </si>
  <si>
    <t>1O4</t>
  </si>
  <si>
    <t>2W1</t>
  </si>
  <si>
    <t>2W2</t>
  </si>
  <si>
    <t>2W3</t>
  </si>
  <si>
    <t>2W4</t>
  </si>
  <si>
    <t>2O1</t>
  </si>
  <si>
    <t>2O2</t>
  </si>
  <si>
    <t>2O3</t>
  </si>
  <si>
    <t>2O4</t>
  </si>
  <si>
    <t>2M1</t>
  </si>
  <si>
    <t>2M2</t>
  </si>
  <si>
    <t>2M3</t>
  </si>
  <si>
    <t>2M4</t>
  </si>
  <si>
    <t>SpNr.</t>
  </si>
  <si>
    <t>language</t>
  </si>
  <si>
    <t>Gültig ab:</t>
  </si>
  <si>
    <t>LINGUA</t>
  </si>
  <si>
    <t>LANGUAGE</t>
  </si>
  <si>
    <t>resultat@darts.ch</t>
  </si>
  <si>
    <t>Version</t>
  </si>
  <si>
    <t>©Stastka Jaromir</t>
  </si>
  <si>
    <t>SPIEL</t>
  </si>
  <si>
    <t>JEU</t>
  </si>
  <si>
    <t>GAME</t>
  </si>
  <si>
    <t>GIOCO</t>
  </si>
  <si>
    <t>ANNUNCIO DEI RISULTATI</t>
  </si>
  <si>
    <t>RESULTS ANNOUNCEMENT</t>
  </si>
  <si>
    <t>ROUND</t>
  </si>
  <si>
    <t>ROTONDO</t>
  </si>
  <si>
    <t>SAISON</t>
  </si>
  <si>
    <t>STAGIONE</t>
  </si>
  <si>
    <t>SEASON</t>
  </si>
  <si>
    <t>VALABLE À PARTIR DU :</t>
  </si>
  <si>
    <t>GÜLTIG AB:</t>
  </si>
  <si>
    <t>VALIDO DA:</t>
  </si>
  <si>
    <t>VALID FROM:</t>
  </si>
  <si>
    <t>DATTERO</t>
  </si>
  <si>
    <t>UPDATE LIZENZEN</t>
  </si>
  <si>
    <t>AGGIORNA LE LICENZE</t>
  </si>
  <si>
    <t>UPDATE LICENSES</t>
  </si>
  <si>
    <t>Klub</t>
  </si>
  <si>
    <t>Spieler - Nr</t>
  </si>
  <si>
    <t>Namen</t>
  </si>
  <si>
    <t>Persönliche Lizenz</t>
  </si>
  <si>
    <t>Freigegeben</t>
  </si>
  <si>
    <t>Qualifiziert für Mannschaft:</t>
  </si>
  <si>
    <t>FORFAIT</t>
  </si>
  <si>
    <t/>
  </si>
  <si>
    <t>n / a</t>
  </si>
  <si>
    <t>DC Basel</t>
  </si>
  <si>
    <t>DEGEN Felix</t>
  </si>
  <si>
    <t>HOFMEIER Ingo</t>
  </si>
  <si>
    <t>MELLI Luca</t>
  </si>
  <si>
    <t>NYFELER Alessandro</t>
  </si>
  <si>
    <t>FREEBORN Kevin</t>
  </si>
  <si>
    <t>ASERAL Roy</t>
  </si>
  <si>
    <t>LERCHNER Juergen</t>
  </si>
  <si>
    <t>SCHMIDT Corina</t>
  </si>
  <si>
    <t>SYVERSON Marcus</t>
  </si>
  <si>
    <t>SCHEUZGER Michael</t>
  </si>
  <si>
    <t>FERNANDES Vitor</t>
  </si>
  <si>
    <t>HDC Gelterkinden</t>
  </si>
  <si>
    <t>BUSER Lukas</t>
  </si>
  <si>
    <t>SCHAUB Adrian</t>
  </si>
  <si>
    <t>HEINRICH Angela</t>
  </si>
  <si>
    <t>WEISS Benjamin</t>
  </si>
  <si>
    <t>LOOSLI Samuel</t>
  </si>
  <si>
    <t>STAEHELI Daniel</t>
  </si>
  <si>
    <t>SCHWITTER Hanspeter</t>
  </si>
  <si>
    <t>WACHTER Patrick</t>
  </si>
  <si>
    <t>HUERBIN Rolf</t>
  </si>
  <si>
    <t>SCHMUTZ Andreas</t>
  </si>
  <si>
    <t>CARLETTA Luigi</t>
  </si>
  <si>
    <t>FRISCHKNECHT Adrian</t>
  </si>
  <si>
    <t>BORER Dominik</t>
  </si>
  <si>
    <t>LESSA Marco</t>
  </si>
  <si>
    <t>RHYN Daniel</t>
  </si>
  <si>
    <t>STRAHLER Joel Vincent</t>
  </si>
  <si>
    <t>FANKHAUSER Dominik</t>
  </si>
  <si>
    <t>SCHAUB Dieter</t>
  </si>
  <si>
    <t>DC Bern</t>
  </si>
  <si>
    <t>GIROD Mischa</t>
  </si>
  <si>
    <t>MESSERLI Nicolas</t>
  </si>
  <si>
    <t>KROPF Jonas</t>
  </si>
  <si>
    <t>GADENZ Michel</t>
  </si>
  <si>
    <t>BRECHBUEHL Adrian</t>
  </si>
  <si>
    <t>LERCH Peter</t>
  </si>
  <si>
    <t>DA SILVA LOPES Marco Paulo</t>
  </si>
  <si>
    <t>SUAREZ Javier</t>
  </si>
  <si>
    <t>ASMUSSEN Lars</t>
  </si>
  <si>
    <t>SIGRIST Reto</t>
  </si>
  <si>
    <t>FLURI Jan</t>
  </si>
  <si>
    <t>BERNHARDT Thomas</t>
  </si>
  <si>
    <t>DEFLORIN Remo</t>
  </si>
  <si>
    <t>GRABER Lars</t>
  </si>
  <si>
    <t>CARECHINO Antonio</t>
  </si>
  <si>
    <t>SCHMUTZ Samuel</t>
  </si>
  <si>
    <t>GAFNER Matthias</t>
  </si>
  <si>
    <t>SCHAFFER Janis</t>
  </si>
  <si>
    <t>STALDER Simon</t>
  </si>
  <si>
    <t>BURRI Nicola</t>
  </si>
  <si>
    <t>WILDGRUBE Robert</t>
  </si>
  <si>
    <t>SCHMUTZ Beat</t>
  </si>
  <si>
    <t>KUPRECHT Lorenz</t>
  </si>
  <si>
    <t>SCHMID Aaron</t>
  </si>
  <si>
    <t>DC Lauterbrunnen</t>
  </si>
  <si>
    <t>VON BERGEN Andres</t>
  </si>
  <si>
    <t>MOSIMANN Alex</t>
  </si>
  <si>
    <t>HERTIG Roger</t>
  </si>
  <si>
    <t>SURBER Charly</t>
  </si>
  <si>
    <t>GERBER Thomas</t>
  </si>
  <si>
    <t>KAESER Marius</t>
  </si>
  <si>
    <t>HIRSCHI Martin</t>
  </si>
  <si>
    <t>OTTH Pavel</t>
  </si>
  <si>
    <t>URSPRUNG Remo</t>
  </si>
  <si>
    <t>WILLENER Roger</t>
  </si>
  <si>
    <t>STERN Stefan</t>
  </si>
  <si>
    <t>LUETHI Kurt</t>
  </si>
  <si>
    <t>WEIDMANN Marc</t>
  </si>
  <si>
    <t>GROSSENBACHER Nicolas</t>
  </si>
  <si>
    <t>GERGEL Stanislav</t>
  </si>
  <si>
    <t xml:space="preserve">Geneva Darts League </t>
  </si>
  <si>
    <t>SHANAHAN John</t>
  </si>
  <si>
    <t>REY Patrick</t>
  </si>
  <si>
    <t>GODEFROY Emmanuelle</t>
  </si>
  <si>
    <t>GONZALEZ Bruno</t>
  </si>
  <si>
    <t>SENARIS Francisco</t>
  </si>
  <si>
    <t>PAPEO Ramon</t>
  </si>
  <si>
    <t>CANEL Alexandre</t>
  </si>
  <si>
    <t>BACQUE Michelle</t>
  </si>
  <si>
    <t>DE ASSUNCAO Jessica</t>
  </si>
  <si>
    <t>VARELA MALLO Jose Manuel</t>
  </si>
  <si>
    <t>ZBINDEN Philippe</t>
  </si>
  <si>
    <t>REY Julian</t>
  </si>
  <si>
    <t>BAECHLER Alain</t>
  </si>
  <si>
    <t>SANSONNENS Florian</t>
  </si>
  <si>
    <t>SILVA Filipe</t>
  </si>
  <si>
    <t>DC Farmer</t>
  </si>
  <si>
    <t>DE LA FUENTE Marcos</t>
  </si>
  <si>
    <t>GERBER David</t>
  </si>
  <si>
    <t>MEYER Marcel-Joel</t>
  </si>
  <si>
    <t>TRAN Chi-Minh</t>
  </si>
  <si>
    <t>CRISTIANO Giovanni</t>
  </si>
  <si>
    <t>STUDER Marlies</t>
  </si>
  <si>
    <t>DC Romont</t>
  </si>
  <si>
    <t>FONSECA Jorge</t>
  </si>
  <si>
    <t>MARET Yves</t>
  </si>
  <si>
    <t>BARBEZAT Pascal</t>
  </si>
  <si>
    <t>KOLLY Willy</t>
  </si>
  <si>
    <t>HURT Laetitia</t>
  </si>
  <si>
    <t>SCHOCH Marc</t>
  </si>
  <si>
    <t>BEGUIN Ginette</t>
  </si>
  <si>
    <t>GOLAY Cédric</t>
  </si>
  <si>
    <t>DC Madhouse</t>
  </si>
  <si>
    <t>SCHLAPBACH Roland</t>
  </si>
  <si>
    <t>ROY Jean-Francois</t>
  </si>
  <si>
    <t>HIRSCHI Raphael</t>
  </si>
  <si>
    <t>WALPEN Marcel</t>
  </si>
  <si>
    <t>KURZEN Andreas</t>
  </si>
  <si>
    <t>SCHMUTZ Marc</t>
  </si>
  <si>
    <t>WEBER Christoph</t>
  </si>
  <si>
    <t>GERBER Marco</t>
  </si>
  <si>
    <t>STURNY Jérôme</t>
  </si>
  <si>
    <t>DC Pilatus</t>
  </si>
  <si>
    <t>NEUGEBAUER Mario</t>
  </si>
  <si>
    <t>KIESGEN Ralph</t>
  </si>
  <si>
    <t>KUNZ Guido</t>
  </si>
  <si>
    <t>TSCHOLL Mario</t>
  </si>
  <si>
    <t>STEUER Olaf</t>
  </si>
  <si>
    <t>RYTER Daniel</t>
  </si>
  <si>
    <t>KIESGEN Manuel</t>
  </si>
  <si>
    <t>KIESGEN Ernst</t>
  </si>
  <si>
    <t>MUELLER Julian</t>
  </si>
  <si>
    <t>BOSSART Bruno</t>
  </si>
  <si>
    <t>DC Eastern Switzerland</t>
  </si>
  <si>
    <t>SCHOENAUER Markus</t>
  </si>
  <si>
    <t>FRISCHKNECHT Christian</t>
  </si>
  <si>
    <t>SCHRAEMLI Thomas</t>
  </si>
  <si>
    <t>WIESMANN Jürg</t>
  </si>
  <si>
    <t>FERNANDEZ Felipe</t>
  </si>
  <si>
    <t>SCHOENAUER Bernhard</t>
  </si>
  <si>
    <t>ITEN Andreas</t>
  </si>
  <si>
    <t>DI VERDE Adriano</t>
  </si>
  <si>
    <t>SCHOLZ Wolfgang</t>
  </si>
  <si>
    <t>MONSTEIN Marvin</t>
  </si>
  <si>
    <t>DC Midland Knights</t>
  </si>
  <si>
    <t>BREMGARTNER Beat</t>
  </si>
  <si>
    <t>BREMGARTNER Thomas</t>
  </si>
  <si>
    <t>TANNER Andrea</t>
  </si>
  <si>
    <t>VONRUFS Katharina</t>
  </si>
  <si>
    <t>VONRUFS Urs</t>
  </si>
  <si>
    <t>SCHOENAUER Peter</t>
  </si>
  <si>
    <t>EMMENEGGER Adrian</t>
  </si>
  <si>
    <t>ERNI Sam</t>
  </si>
  <si>
    <t>IORIO Giusi</t>
  </si>
  <si>
    <t>GEISER Timmy</t>
  </si>
  <si>
    <t>VONRUFS Eric</t>
  </si>
  <si>
    <t>FUCHS Michael</t>
  </si>
  <si>
    <t>DC Brugg</t>
  </si>
  <si>
    <t>REINHARD Ernst</t>
  </si>
  <si>
    <t>GRUETTER Rolf</t>
  </si>
  <si>
    <t>WYSS Jean-Claude</t>
  </si>
  <si>
    <t>MEIER Andreas</t>
  </si>
  <si>
    <t>WEBER André</t>
  </si>
  <si>
    <t>LEUPI Marcel</t>
  </si>
  <si>
    <t>WILDI Roger</t>
  </si>
  <si>
    <t>NYDEGGER Mike</t>
  </si>
  <si>
    <t>LEHMANN Cedric</t>
  </si>
  <si>
    <t>BISLIN Claudio</t>
  </si>
  <si>
    <t>GFELLER Bruno</t>
  </si>
  <si>
    <t>FURRER Stefan</t>
  </si>
  <si>
    <t>SCHNABL Manfred</t>
  </si>
  <si>
    <t>FRIEDEN André</t>
  </si>
  <si>
    <t>BRUDER Michael</t>
  </si>
  <si>
    <t>FREI Fabian</t>
  </si>
  <si>
    <t>BALITRO Bruno</t>
  </si>
  <si>
    <t>RUTISHAUSER Reto</t>
  </si>
  <si>
    <t>SCHLUP Daniel</t>
  </si>
  <si>
    <t>WIDMER Roger</t>
  </si>
  <si>
    <t>BLEIKER Alain</t>
  </si>
  <si>
    <t>WALTER Michael</t>
  </si>
  <si>
    <t>MIGLIORE Fernando</t>
  </si>
  <si>
    <t>Zurich Rebels DC</t>
  </si>
  <si>
    <t>MUELLER Philipp</t>
  </si>
  <si>
    <t>GEBAUER Ingo</t>
  </si>
  <si>
    <t>SUTTER Christian</t>
  </si>
  <si>
    <t>WINKLER Jürg</t>
  </si>
  <si>
    <t>MUEHLEMANN Jürg</t>
  </si>
  <si>
    <t>MANGOLD Nicolas</t>
  </si>
  <si>
    <t>KAYSER Paul</t>
  </si>
  <si>
    <t>KESSLER Niels</t>
  </si>
  <si>
    <t>DC Einsiedeln</t>
  </si>
  <si>
    <t>BARTLOME Sarah</t>
  </si>
  <si>
    <t>ANDRETTO Claudio</t>
  </si>
  <si>
    <t>WYSS Stefan</t>
  </si>
  <si>
    <t>ARNOLD Jonas</t>
  </si>
  <si>
    <t>BRUNNER Reto</t>
  </si>
  <si>
    <t>ABEGG Lukas</t>
  </si>
  <si>
    <t>KAEMPFER Peter</t>
  </si>
  <si>
    <t>MASSARI Claudio</t>
  </si>
  <si>
    <t>VARRESE Giuseppe</t>
  </si>
  <si>
    <t>FAESSLER Roland</t>
  </si>
  <si>
    <t>KELLER Reto</t>
  </si>
  <si>
    <t>JAKSCH Niklas</t>
  </si>
  <si>
    <t>SCHMID Michel</t>
  </si>
  <si>
    <t>DOS SANTOS Fatima</t>
  </si>
  <si>
    <t>BUERGLER Jan</t>
  </si>
  <si>
    <t>MARTI Lukas</t>
  </si>
  <si>
    <t>GRAF Markus</t>
  </si>
  <si>
    <t>GIUSSANI Mayo</t>
  </si>
  <si>
    <t>LOMBARDO Mario</t>
  </si>
  <si>
    <t>PERREIRA OLIVEIRA Manuel</t>
  </si>
  <si>
    <t>REIS Bruno</t>
  </si>
  <si>
    <t xml:space="preserve"> </t>
  </si>
  <si>
    <t>POLEXE Vasile</t>
  </si>
  <si>
    <t>VAUDAN Blaise</t>
  </si>
  <si>
    <t>OLAIO Rogerio</t>
  </si>
  <si>
    <t>FERREIRA Joao</t>
  </si>
  <si>
    <t>DC La Chaux-de-Fonds</t>
  </si>
  <si>
    <t>THOMAS Yves</t>
  </si>
  <si>
    <t>FLEUTI Patricia</t>
  </si>
  <si>
    <t>FLEUTI Manaïs</t>
  </si>
  <si>
    <t>MARTIN Jonas</t>
  </si>
  <si>
    <t>VONA Fabrizio</t>
  </si>
  <si>
    <t>TOMBEZ Robert</t>
  </si>
  <si>
    <t>GERBER Johnny</t>
  </si>
  <si>
    <t>MIRANTE Claudio</t>
  </si>
  <si>
    <t>JUTZI Brian</t>
  </si>
  <si>
    <t>DC Sense Steel</t>
  </si>
  <si>
    <t>BRECHBUEHL Bruno</t>
  </si>
  <si>
    <t>FASEL Thomas</t>
  </si>
  <si>
    <t>KUHN Rolf</t>
  </si>
  <si>
    <t>NEUHAUS Moritz</t>
  </si>
  <si>
    <t>BURI Daniel</t>
  </si>
  <si>
    <t>PORTMANN Manfred</t>
  </si>
  <si>
    <t>DIETRICH Heino</t>
  </si>
  <si>
    <t>LUETHI Daniel</t>
  </si>
  <si>
    <t>ZIMMERMANN Jonas</t>
  </si>
  <si>
    <t>WAEBER Martin</t>
  </si>
  <si>
    <t>HIRSCHI Hans</t>
  </si>
  <si>
    <t>JENKINS Martin-David</t>
  </si>
  <si>
    <t>FASEL David</t>
  </si>
  <si>
    <t>PUERRO Marius</t>
  </si>
  <si>
    <t>DE MAMIEL Esther</t>
  </si>
  <si>
    <t>LUETHI Silvano</t>
  </si>
  <si>
    <t>KREBS Yanick</t>
  </si>
  <si>
    <t>RAPPO Joel</t>
  </si>
  <si>
    <t>CHIAUDUSSO Nadio</t>
  </si>
  <si>
    <t>BURRI Peter</t>
  </si>
  <si>
    <t>HAYMOZ Adrian</t>
  </si>
  <si>
    <t>FASEL Markus</t>
  </si>
  <si>
    <t>STUDER Roger</t>
  </si>
  <si>
    <t>COTTING Gerry</t>
  </si>
  <si>
    <t>STUDER Denise</t>
  </si>
  <si>
    <t>BIRCHMEIER Thomas</t>
  </si>
  <si>
    <t>ASAL Samuel</t>
  </si>
  <si>
    <t>SCHEIDEGGER Roman</t>
  </si>
  <si>
    <t>GISLER Florian</t>
  </si>
  <si>
    <t>PIAZZA Pino</t>
  </si>
  <si>
    <t>TSCHUMI Martin</t>
  </si>
  <si>
    <t>BAUMANN Roger</t>
  </si>
  <si>
    <t>GUGGER Marcel</t>
  </si>
  <si>
    <t>PISCITELLI Fabio</t>
  </si>
  <si>
    <t>GUGGER Martin</t>
  </si>
  <si>
    <t>ANLIKER Tobias</t>
  </si>
  <si>
    <t>ARANDJELOVIC Nenad</t>
  </si>
  <si>
    <t>BELLMONT Stefan</t>
  </si>
  <si>
    <t>SCHOEN Fabian</t>
  </si>
  <si>
    <t>KREJCZ Ferenc</t>
  </si>
  <si>
    <t>MEIER Roland</t>
  </si>
  <si>
    <t>BURKHARDT Daniel</t>
  </si>
  <si>
    <t>DC Real Caracol</t>
  </si>
  <si>
    <t>DINCKLAGE Stefan</t>
  </si>
  <si>
    <t>DINCKLAGE Marco</t>
  </si>
  <si>
    <t>GREMAUD Fabrice</t>
  </si>
  <si>
    <t>SCHMID Yann</t>
  </si>
  <si>
    <t>STOLLER Christian</t>
  </si>
  <si>
    <t>MEDINA Julien</t>
  </si>
  <si>
    <t>FAVET Sylvie</t>
  </si>
  <si>
    <t>MEDINA Angel</t>
  </si>
  <si>
    <t>DC Bodensee</t>
  </si>
  <si>
    <t>WENZEL Maik</t>
  </si>
  <si>
    <t>BREITENMOSER Joel</t>
  </si>
  <si>
    <t>HAUSAMANN Hans</t>
  </si>
  <si>
    <t>GOSETTO Raffael</t>
  </si>
  <si>
    <t>HAURI Reto</t>
  </si>
  <si>
    <t>ZURBRUEGG Daniel</t>
  </si>
  <si>
    <t>CLAUSEN Beat</t>
  </si>
  <si>
    <t>SCHAER Marco</t>
  </si>
  <si>
    <t>THOMA Guido</t>
  </si>
  <si>
    <t>SOLENTHALER Martin</t>
  </si>
  <si>
    <t>SAN Erkan</t>
  </si>
  <si>
    <t>SCHEURER Sabrina</t>
  </si>
  <si>
    <t>DC Joker</t>
  </si>
  <si>
    <t>WANNER Dieter</t>
  </si>
  <si>
    <t>TASSIELLI Giuseppina</t>
  </si>
  <si>
    <t>SCHAUB Loris</t>
  </si>
  <si>
    <t>WEBER Björn</t>
  </si>
  <si>
    <t>DE VITO Stefano</t>
  </si>
  <si>
    <t>REGENASS Pierre</t>
  </si>
  <si>
    <t>CHRIST Lars</t>
  </si>
  <si>
    <t>LUETOLF Jean-Marc</t>
  </si>
  <si>
    <t>GOESSI Pascal</t>
  </si>
  <si>
    <t>ROETHLISBERGER Florian</t>
  </si>
  <si>
    <t>SPITZLI Dominik</t>
  </si>
  <si>
    <t>REGENASS Sabina</t>
  </si>
  <si>
    <t>ARPAGAUS Thierry</t>
  </si>
  <si>
    <t>MATTHES Alexander</t>
  </si>
  <si>
    <t>STOECKLI Claude</t>
  </si>
  <si>
    <t>ARZNER Dominik</t>
  </si>
  <si>
    <t>Rangers DC</t>
  </si>
  <si>
    <t>GUT Sven</t>
  </si>
  <si>
    <t>JUNGHANS Thomas</t>
  </si>
  <si>
    <t>STOOP Jeannette</t>
  </si>
  <si>
    <t>MISCHLER Salem</t>
  </si>
  <si>
    <t>HIRZEL Marcel</t>
  </si>
  <si>
    <t>MARTY Alexander</t>
  </si>
  <si>
    <t>FRANK Patrick</t>
  </si>
  <si>
    <t>MAUERSBERGER Jason</t>
  </si>
  <si>
    <t>BAHOR Rok</t>
  </si>
  <si>
    <t>MOHR René</t>
  </si>
  <si>
    <t>SCHROEDER Frank</t>
  </si>
  <si>
    <t>SCHROEDER Karin</t>
  </si>
  <si>
    <t>DREYER Benedikt</t>
  </si>
  <si>
    <t>STADELMANN Thomas</t>
  </si>
  <si>
    <t>MOHR Monika</t>
  </si>
  <si>
    <t>APITZ Matthias</t>
  </si>
  <si>
    <t>TROPEANO Christian</t>
  </si>
  <si>
    <t>DC Torpedos Wimmis</t>
  </si>
  <si>
    <t>VERHOEVEN Maykel</t>
  </si>
  <si>
    <t>MUHEIM Marcel</t>
  </si>
  <si>
    <t>HOFMANN Beat</t>
  </si>
  <si>
    <t>HOFMANN Sven</t>
  </si>
  <si>
    <t>URFER Susanne</t>
  </si>
  <si>
    <t>SOMMER Cedric</t>
  </si>
  <si>
    <t>WELLENZOHN Reto</t>
  </si>
  <si>
    <t>DE VRIES Frans</t>
  </si>
  <si>
    <t>UTIGER Roger</t>
  </si>
  <si>
    <t>FURER Ivo</t>
  </si>
  <si>
    <t>SCHLAEPPI Christian</t>
  </si>
  <si>
    <t>KAMMER David</t>
  </si>
  <si>
    <t>GRIESSEN Heinz</t>
  </si>
  <si>
    <t>SPERISEN Carolin</t>
  </si>
  <si>
    <t>MERZ Tobias</t>
  </si>
  <si>
    <t>DC Ice Age</t>
  </si>
  <si>
    <t>REIN Andre</t>
  </si>
  <si>
    <t>NUFER Thomas</t>
  </si>
  <si>
    <t>THALLER Simon</t>
  </si>
  <si>
    <t>LIEB Roger</t>
  </si>
  <si>
    <t>ELSENER Rebecca</t>
  </si>
  <si>
    <t>KRETSCHMER Benjamin</t>
  </si>
  <si>
    <t>POLISENA Antonio</t>
  </si>
  <si>
    <t>HERREN Philipp</t>
  </si>
  <si>
    <t>SDT Emmental</t>
  </si>
  <si>
    <t>ETTER Yanick</t>
  </si>
  <si>
    <t>INFANGER Andy</t>
  </si>
  <si>
    <t>RAESS Evelyne</t>
  </si>
  <si>
    <t>SCHERTENLEIB Iwan</t>
  </si>
  <si>
    <t>STAFFORD Dimitri</t>
  </si>
  <si>
    <t>STERCHI Jürg</t>
  </si>
  <si>
    <t>WEYERMANN Kevin</t>
  </si>
  <si>
    <t>WUERGER Andreas</t>
  </si>
  <si>
    <t>WUETHRICH Peter</t>
  </si>
  <si>
    <t>ABPLANALP Martin</t>
  </si>
  <si>
    <t>FLUECKIGER Michael</t>
  </si>
  <si>
    <t>JAKOB Yannick</t>
  </si>
  <si>
    <t>SCHEIDEGGER Stefan</t>
  </si>
  <si>
    <t>SCHMUTZ Kilian</t>
  </si>
  <si>
    <t>HOFER Reto</t>
  </si>
  <si>
    <t>FILOVIC Ernad</t>
  </si>
  <si>
    <t>BOEHLEN Daniel</t>
  </si>
  <si>
    <t>LEHMANN Michael</t>
  </si>
  <si>
    <t>STEINER Dario</t>
  </si>
  <si>
    <t>TRACHSEL Kai-Bernhard</t>
  </si>
  <si>
    <t>DC Black Jack</t>
  </si>
  <si>
    <t>PERLINGIERI Antonio</t>
  </si>
  <si>
    <t>PATISSO Davide</t>
  </si>
  <si>
    <t>POLIZZOTTO Edmondo</t>
  </si>
  <si>
    <t>PIPERNO Christian</t>
  </si>
  <si>
    <t>HOLDENER Thomas</t>
  </si>
  <si>
    <t>KAUFMANN Dominik</t>
  </si>
  <si>
    <t>STAUFFER Sascha</t>
  </si>
  <si>
    <t>ZIMMERMANN Roger</t>
  </si>
  <si>
    <t>HASSELBERG Martin</t>
  </si>
  <si>
    <t>HASSELBERG Annika</t>
  </si>
  <si>
    <t>FRITSCHI Dominic</t>
  </si>
  <si>
    <t>CONDRAU Silvio</t>
  </si>
  <si>
    <t>ZENNER Ilka</t>
  </si>
  <si>
    <t>MISIC Dorde</t>
  </si>
  <si>
    <t>DC Papillon</t>
  </si>
  <si>
    <t>EBERHART Christoph</t>
  </si>
  <si>
    <t>GOLD Daniel</t>
  </si>
  <si>
    <t>RUFFIEUX Thomas</t>
  </si>
  <si>
    <t>SIEBER Christina</t>
  </si>
  <si>
    <t>SPILLNER Marc</t>
  </si>
  <si>
    <t>OBRIST Roger</t>
  </si>
  <si>
    <t>SCHNEIDER Thomas</t>
  </si>
  <si>
    <t xml:space="preserve">SOMMER Manuela </t>
  </si>
  <si>
    <t>KAESER Mario</t>
  </si>
  <si>
    <t>MESCHINI Philipp</t>
  </si>
  <si>
    <t>FINK Markus</t>
  </si>
  <si>
    <t>QUIRICI Roberto</t>
  </si>
  <si>
    <t>YAVUZCAN Macit</t>
  </si>
  <si>
    <t>YAVUZCAN Enes</t>
  </si>
  <si>
    <t>SOMMER Martin</t>
  </si>
  <si>
    <t>BUEEL Daniela</t>
  </si>
  <si>
    <t>BASELGIA Martin</t>
  </si>
  <si>
    <t>GAYLOR Fiona</t>
  </si>
  <si>
    <t>BUECHLER Patrick</t>
  </si>
  <si>
    <t>BISEVAC Srdjan</t>
  </si>
  <si>
    <t>PREISIG Sandro</t>
  </si>
  <si>
    <t>ZEHR Roger</t>
  </si>
  <si>
    <t>KOLLER Lars</t>
  </si>
  <si>
    <t>HIRSCHFELD Martin</t>
  </si>
  <si>
    <t>DC Deitingen</t>
  </si>
  <si>
    <t>KOFMEL Alain</t>
  </si>
  <si>
    <t>KOFMEL Yanick</t>
  </si>
  <si>
    <t>AMMON Dominik</t>
  </si>
  <si>
    <t>WOODTLI Daniel</t>
  </si>
  <si>
    <t>GALLIZIOLI Daniele</t>
  </si>
  <si>
    <t>WAESSEN Peter</t>
  </si>
  <si>
    <t>FRIKART Andreas</t>
  </si>
  <si>
    <t>HILLER Kevin</t>
  </si>
  <si>
    <t>NEUENSCHWANDER Markus</t>
  </si>
  <si>
    <t>GYGI Michael</t>
  </si>
  <si>
    <t>CHRISTEN Florian</t>
  </si>
  <si>
    <t>INFANGER Stefan</t>
  </si>
  <si>
    <t>DC High 5</t>
  </si>
  <si>
    <t>COLAGRANDE Francesco Paulo</t>
  </si>
  <si>
    <t>MANI Andreas</t>
  </si>
  <si>
    <t>MANI Karl</t>
  </si>
  <si>
    <t>MANI Thomas</t>
  </si>
  <si>
    <t>MANI Franco</t>
  </si>
  <si>
    <t>LAMPARTER Reto</t>
  </si>
  <si>
    <t>COLAGRANDE Vitoria</t>
  </si>
  <si>
    <t>PARPAN Andrin</t>
  </si>
  <si>
    <t>DC Safnern</t>
  </si>
  <si>
    <t>CRAUSAZ Dene</t>
  </si>
  <si>
    <t>HAENNI Regina</t>
  </si>
  <si>
    <t>HAENNI Heinz</t>
  </si>
  <si>
    <t>SCHOR Fabian</t>
  </si>
  <si>
    <t>FLUECKIGER Mika</t>
  </si>
  <si>
    <t>DELESSERT Michael</t>
  </si>
  <si>
    <t>HALLER Florian</t>
  </si>
  <si>
    <t>VON ARX Remo</t>
  </si>
  <si>
    <t>MAURER Benjamin</t>
  </si>
  <si>
    <t>AEBI Andreas</t>
  </si>
  <si>
    <t>BURRI Sven</t>
  </si>
  <si>
    <t>BECK Hansjörg</t>
  </si>
  <si>
    <t>SCHAERER Lukas</t>
  </si>
  <si>
    <t>WORACZEK Michael</t>
  </si>
  <si>
    <t>SOMMER Nicole</t>
  </si>
  <si>
    <t>FARR Mike</t>
  </si>
  <si>
    <t>SOLLER René</t>
  </si>
  <si>
    <t>WALRAVEN Reno</t>
  </si>
  <si>
    <t>KNOEPFEL Tizian</t>
  </si>
  <si>
    <t>WILKINSON Stephen</t>
  </si>
  <si>
    <t>Chill Out Bull's</t>
  </si>
  <si>
    <t>STEFFEN Georges</t>
  </si>
  <si>
    <t>NOTTER Marc</t>
  </si>
  <si>
    <t>THOMA Silvio</t>
  </si>
  <si>
    <t>WICK Michael</t>
  </si>
  <si>
    <t>LEHMANN Benno</t>
  </si>
  <si>
    <t>BICHSEL Mark</t>
  </si>
  <si>
    <t>ROSSI Dario Alessandro</t>
  </si>
  <si>
    <t>SENTOMASCHI Dave</t>
  </si>
  <si>
    <t>JENZER Patrick</t>
  </si>
  <si>
    <t>WELLINGER Lars</t>
  </si>
  <si>
    <t>BUGMANN Sascha</t>
  </si>
  <si>
    <t>FARRELL Bernard</t>
  </si>
  <si>
    <t>DANCÁK Daniel</t>
  </si>
  <si>
    <t>KALLEN Nathalie</t>
  </si>
  <si>
    <t>ERNE Samuel</t>
  </si>
  <si>
    <t>DC Morges</t>
  </si>
  <si>
    <t>SIMPSON Dermot</t>
  </si>
  <si>
    <t>ROY Michel</t>
  </si>
  <si>
    <t>ABBADI Younes</t>
  </si>
  <si>
    <t>ROONEY George</t>
  </si>
  <si>
    <t>OLIVER James</t>
  </si>
  <si>
    <t>BERAM Fouad</t>
  </si>
  <si>
    <t>CHAMARD Christophe</t>
  </si>
  <si>
    <t>ROBERTS Chris</t>
  </si>
  <si>
    <t>ZENDRINI Marc</t>
  </si>
  <si>
    <t>TANGUY Julien</t>
  </si>
  <si>
    <t>BUSSARD Rose Marie</t>
  </si>
  <si>
    <t>DUDOLENSKI Stefan</t>
  </si>
  <si>
    <t>PALISSIER Mickael</t>
  </si>
  <si>
    <t>DV Horgen</t>
  </si>
  <si>
    <t>MOOR Lukas</t>
  </si>
  <si>
    <t>ODRLJIN Mladen</t>
  </si>
  <si>
    <t>AZARNAIT Tarik</t>
  </si>
  <si>
    <t>MOOR Richard</t>
  </si>
  <si>
    <t>LANG Christoph</t>
  </si>
  <si>
    <t>KNOBEL Phillipp</t>
  </si>
  <si>
    <t>BAER Benjamin</t>
  </si>
  <si>
    <t>HENDRY Michael</t>
  </si>
  <si>
    <t>FIEDLER Horst</t>
  </si>
  <si>
    <t>STAPFER Hans</t>
  </si>
  <si>
    <t>Liz.Nr.</t>
  </si>
  <si>
    <t>A+B</t>
  </si>
  <si>
    <t>1Liga</t>
  </si>
  <si>
    <t>2Liga</t>
  </si>
  <si>
    <t>Spieler-Nr.</t>
  </si>
  <si>
    <t>Liga</t>
  </si>
  <si>
    <t>Qualifiziert für:</t>
  </si>
  <si>
    <t>HD</t>
  </si>
  <si>
    <t>HS</t>
  </si>
  <si>
    <t>Entscheidungsspiel</t>
  </si>
  <si>
    <t>Deciding game</t>
  </si>
  <si>
    <t>Partita decisiva</t>
  </si>
  <si>
    <t>Jeu décisif</t>
  </si>
  <si>
    <t>N° de joueur</t>
  </si>
  <si>
    <t>Giocatore n.</t>
  </si>
  <si>
    <t>Player No.</t>
  </si>
  <si>
    <t>League</t>
  </si>
  <si>
    <t>Lega</t>
  </si>
  <si>
    <t>Ligue</t>
  </si>
  <si>
    <t>Qualifié pour :</t>
  </si>
  <si>
    <t>Qualificato per:</t>
  </si>
  <si>
    <t>Qualified for:</t>
  </si>
  <si>
    <t>Error</t>
  </si>
  <si>
    <t>Errore</t>
  </si>
  <si>
    <t>Erreur</t>
  </si>
  <si>
    <t>VALIDO DAL</t>
  </si>
  <si>
    <t>VALID FROM</t>
  </si>
  <si>
    <t>HOME</t>
  </si>
  <si>
    <t>CASA</t>
  </si>
  <si>
    <t>OSPITE</t>
  </si>
  <si>
    <t>GUEST</t>
  </si>
  <si>
    <t>GAME - NO.</t>
  </si>
  <si>
    <t>GIOCO - NO.</t>
  </si>
  <si>
    <t>Se incompleto (min. 5 giocatori), ecco "X"</t>
  </si>
  <si>
    <t>If incomplete ( min. 5 players ), here "X"</t>
  </si>
  <si>
    <t>If incomplete ( min. 7 players ), here "X"</t>
  </si>
  <si>
    <t>Se incompleto ( min. 7 giocatori ), qui "X"</t>
  </si>
  <si>
    <t>Nel caso di 2 squadre incomplete, viene fissato 1 forfait per squadra nel 3° blocco (teste di serie).</t>
  </si>
  <si>
    <t>In the case of 2 incomplete teams, 1 forfeit is set per team in the 3rd block ( seeded ).</t>
  </si>
  <si>
    <t>Liga=Qualifiziert für diese Liga ab 3. Spiel</t>
  </si>
  <si>
    <t>Der Spieler darf nur für die angegebene Mannschaft eingesetzt werden oder in einer höheren Liga</t>
  </si>
  <si>
    <t>Liz.-Nr.</t>
  </si>
  <si>
    <t>League=Qualified for this league from 3rd game</t>
  </si>
  <si>
    <t>Campionato=Qualificato per questo campionato dalla 3a partita</t>
  </si>
  <si>
    <t>Ligue=Qualifié pour cette ligue à partir du 3ème match</t>
  </si>
  <si>
    <t>Le joueur ne peut être utilisé que pour l’équipe spécifiée ou dans une ligue supérieure</t>
  </si>
  <si>
    <t>Il giocatore può essere utilizzato solo per la squadra specificata o in un campionato superiore</t>
  </si>
  <si>
    <t>The player may only be used for the specified team or in a higher league</t>
  </si>
  <si>
    <t>2L</t>
  </si>
  <si>
    <t>1L</t>
  </si>
  <si>
    <t>A B</t>
  </si>
  <si>
    <t>Forfait</t>
  </si>
  <si>
    <t>***!!!!!!!!!!Doppelter Eintrag!!!!!!!!!!***</t>
  </si>
  <si>
    <t>***!!!!!!!!!! Duplicate entry!!!!!!!!! ***</t>
  </si>
  <si>
    <t>***!!!!!!!!!! Saisie en double !!!!!!!! ***</t>
  </si>
  <si>
    <t>***!!!!!!!!!! Voce duplicata!!!!!!!! ***</t>
  </si>
  <si>
    <t>Liga ist</t>
  </si>
  <si>
    <t>**NICHT SPIELBERECHTIGT!!!**</t>
  </si>
  <si>
    <t>**NON IDONEO A GIOCARE!! **</t>
  </si>
  <si>
    <t>**INÉLIGIBLE POUR JOUER !! **</t>
  </si>
  <si>
    <t>**INELIGIBLE TO PLAY!! **</t>
  </si>
  <si>
    <t>Spielnummerrirung</t>
  </si>
  <si>
    <t>2. Liga Mitte</t>
  </si>
  <si>
    <t>Ligaquali</t>
  </si>
  <si>
    <t>2LW</t>
  </si>
  <si>
    <t>2LO</t>
  </si>
  <si>
    <t>1LW</t>
  </si>
  <si>
    <t>1LO</t>
  </si>
  <si>
    <t>2LM</t>
  </si>
  <si>
    <t>2Lvergl</t>
  </si>
  <si>
    <t>Fehler Liga</t>
  </si>
  <si>
    <t>Chema</t>
  </si>
  <si>
    <t>Doppel</t>
  </si>
  <si>
    <t>1L/2L</t>
  </si>
  <si>
    <t>A/B</t>
  </si>
  <si>
    <t>Fehlereingabe</t>
  </si>
  <si>
    <t>Summe Fehler</t>
  </si>
  <si>
    <t>GS</t>
  </si>
  <si>
    <t>GD</t>
  </si>
  <si>
    <t>MANNSCHAFTSMEISTERSCHAFT</t>
  </si>
  <si>
    <t>SDA</t>
  </si>
  <si>
    <t>Nr.:</t>
  </si>
  <si>
    <t>No.:</t>
  </si>
  <si>
    <t>CHAMPIONNAT PAR ÉQUIPE</t>
  </si>
  <si>
    <t>LIGUE</t>
  </si>
  <si>
    <t>LIGA</t>
  </si>
  <si>
    <t>Liz - Nr.</t>
  </si>
  <si>
    <t>Avg.</t>
  </si>
  <si>
    <t>RESULTAT</t>
  </si>
  <si>
    <t>RÉSULTAT</t>
  </si>
  <si>
    <t>résultat intermédiaire</t>
  </si>
  <si>
    <t>Zwischenresultat</t>
  </si>
  <si>
    <t>Spiel</t>
  </si>
  <si>
    <t>Legs</t>
  </si>
  <si>
    <t>Best Singles play and leg from the game</t>
  </si>
  <si>
    <t>Punkte</t>
  </si>
  <si>
    <t>Game</t>
  </si>
  <si>
    <t>Darts</t>
  </si>
  <si>
    <t>Leg</t>
  </si>
  <si>
    <t xml:space="preserve">Eingabe Fehler:      </t>
  </si>
  <si>
    <t>Einzelauswertung</t>
  </si>
  <si>
    <t>L'évaluation individuelle</t>
  </si>
  <si>
    <t>Nombre d'erreurs</t>
  </si>
  <si>
    <t>Spiel Nr.:</t>
  </si>
  <si>
    <t># Spiele</t>
  </si>
  <si>
    <t>Für AVG.</t>
  </si>
  <si>
    <t>Total</t>
  </si>
  <si>
    <t># Jeu</t>
  </si>
  <si>
    <t>Liz. Nr.</t>
  </si>
  <si>
    <t>HF</t>
  </si>
  <si>
    <t>Bonus</t>
  </si>
  <si>
    <t>Avg. ( 1 - Dart )</t>
  </si>
  <si>
    <t>( 3 - Dart )</t>
  </si>
  <si>
    <t>ENDRESULTAT</t>
  </si>
  <si>
    <t>Nr. :</t>
  </si>
  <si>
    <t>Spieler 1</t>
  </si>
  <si>
    <t>Spieler 2</t>
  </si>
  <si>
    <t>Rest</t>
  </si>
  <si>
    <t>Joueur 1</t>
  </si>
  <si>
    <t>Joueur 2</t>
  </si>
  <si>
    <t>erreur</t>
  </si>
  <si>
    <t>reste</t>
  </si>
  <si>
    <t>points</t>
  </si>
  <si>
    <t>H</t>
  </si>
  <si>
    <t>G</t>
  </si>
  <si>
    <t>Ber. HS bei</t>
  </si>
  <si>
    <t>Verhältnis Darts - Rest Heim - Gast</t>
  </si>
  <si>
    <t># Darts</t>
  </si>
  <si>
    <t>Gew.Leg</t>
  </si>
  <si>
    <t>Berech.3Leg</t>
  </si>
  <si>
    <t>180 max</t>
  </si>
  <si>
    <t>Berechnung wer GS</t>
  </si>
  <si>
    <t>Sp1</t>
  </si>
  <si>
    <t>Sp2</t>
  </si>
  <si>
    <t>R-GS  H</t>
  </si>
  <si>
    <t>R - R</t>
  </si>
  <si>
    <t>GS - GS</t>
  </si>
  <si>
    <t>D - D</t>
  </si>
  <si>
    <t>R-GS  G</t>
  </si>
  <si>
    <t>D-D Verhäl.</t>
  </si>
  <si>
    <t>Rest Min</t>
  </si>
  <si>
    <t>Rest Max</t>
  </si>
  <si>
    <t>Dart Anz. Min</t>
  </si>
  <si>
    <t>D-D</t>
  </si>
  <si>
    <t>Anzeige</t>
  </si>
  <si>
    <t>GS H</t>
  </si>
  <si>
    <t>Berechnung Anz. D bei GS</t>
  </si>
  <si>
    <t>1 dart gs</t>
  </si>
  <si>
    <t>2 dart gs</t>
  </si>
  <si>
    <t>3 dart gs</t>
  </si>
  <si>
    <t>Average</t>
  </si>
  <si>
    <t>3-Dart</t>
  </si>
  <si>
    <t>1-Dart</t>
  </si>
  <si>
    <t>Joueur</t>
  </si>
  <si>
    <t>Spieler</t>
  </si>
  <si>
    <t>9 Darts</t>
  </si>
  <si>
    <t>Beginner</t>
  </si>
  <si>
    <t>Leg H</t>
  </si>
  <si>
    <t>LegG</t>
  </si>
  <si>
    <t>Rest H</t>
  </si>
  <si>
    <t>Start Heim ?</t>
  </si>
  <si>
    <t>Start H</t>
  </si>
  <si>
    <t>Start G</t>
  </si>
  <si>
    <t>Kontrolle LegBeginn</t>
  </si>
  <si>
    <t>Fehler H</t>
  </si>
  <si>
    <t>Fehler G</t>
  </si>
  <si>
    <t>1.Liga</t>
  </si>
  <si>
    <t>2.Liga</t>
  </si>
  <si>
    <t>S</t>
  </si>
  <si>
    <t>D</t>
  </si>
  <si>
    <t>4.1.1</t>
  </si>
  <si>
    <t>4.1.2</t>
  </si>
  <si>
    <t>1.1.1</t>
  </si>
  <si>
    <t>1.1.2</t>
  </si>
  <si>
    <t>1.2.1</t>
  </si>
  <si>
    <t>1.2.2</t>
  </si>
  <si>
    <t>1.3.1</t>
  </si>
  <si>
    <t>1.3.2</t>
  </si>
  <si>
    <t>1.4.1</t>
  </si>
  <si>
    <t>1.4.2</t>
  </si>
  <si>
    <t>2.1.1</t>
  </si>
  <si>
    <t>2.1.2</t>
  </si>
  <si>
    <t>2.2.1</t>
  </si>
  <si>
    <t>2.2.2</t>
  </si>
  <si>
    <t>2.3.1</t>
  </si>
  <si>
    <t>2.3.2</t>
  </si>
  <si>
    <t>2.4.1</t>
  </si>
  <si>
    <t>2.4.2</t>
  </si>
  <si>
    <t>2.L</t>
  </si>
  <si>
    <t>1.L</t>
  </si>
  <si>
    <t>Einzel</t>
  </si>
  <si>
    <t>Lizenz</t>
  </si>
  <si>
    <t>E</t>
  </si>
  <si>
    <t>Name</t>
  </si>
  <si>
    <t>GS leer</t>
  </si>
  <si>
    <t>Rest Leer</t>
  </si>
  <si>
    <t>Darts Leer</t>
  </si>
  <si>
    <t>1 Leg</t>
  </si>
  <si>
    <t>5 Leg</t>
  </si>
  <si>
    <t>4 Leg</t>
  </si>
  <si>
    <t>3 Leg</t>
  </si>
  <si>
    <t>2 Leg</t>
  </si>
  <si>
    <t>Total Doppel</t>
  </si>
  <si>
    <t>Total einzel</t>
  </si>
  <si>
    <t>Best Leg</t>
  </si>
  <si>
    <t>Anz</t>
  </si>
  <si>
    <t>1l</t>
  </si>
  <si>
    <t>2l</t>
  </si>
  <si>
    <t>3l</t>
  </si>
  <si>
    <t>4l</t>
  </si>
  <si>
    <t>5l</t>
  </si>
  <si>
    <t>Leg G</t>
  </si>
  <si>
    <t>Avg H</t>
  </si>
  <si>
    <t>Avg G</t>
  </si>
  <si>
    <t>Gew.Spiel</t>
  </si>
  <si>
    <t>Gew. G.</t>
  </si>
  <si>
    <t>Gew G</t>
  </si>
  <si>
    <t>Gew. H</t>
  </si>
  <si>
    <t>Spiele</t>
  </si>
  <si>
    <t>Jeu</t>
  </si>
  <si>
    <t>1.Einzel</t>
  </si>
  <si>
    <t>2.Einzel</t>
  </si>
  <si>
    <t>3.Einzel</t>
  </si>
  <si>
    <t>1.Doppel</t>
  </si>
  <si>
    <t>2.Doppel</t>
  </si>
  <si>
    <t>ES</t>
  </si>
  <si>
    <t>Summe</t>
  </si>
  <si>
    <t>Gew.Legs</t>
  </si>
  <si>
    <t>Bonus Pkt.</t>
  </si>
  <si>
    <t>Forf</t>
  </si>
  <si>
    <t>anz S</t>
  </si>
  <si>
    <t>Sieg H</t>
  </si>
  <si>
    <t>Sieg G</t>
  </si>
  <si>
    <t>1.1</t>
  </si>
  <si>
    <t>HD 1.1</t>
  </si>
  <si>
    <t>GD 1.1</t>
  </si>
  <si>
    <t>1.2</t>
  </si>
  <si>
    <t>HD 1.2</t>
  </si>
  <si>
    <t>GD 1.2</t>
  </si>
  <si>
    <t>1.3</t>
  </si>
  <si>
    <t>HD 1.3</t>
  </si>
  <si>
    <t>GD 1.3</t>
  </si>
  <si>
    <t>1.4</t>
  </si>
  <si>
    <t>HD 1.4</t>
  </si>
  <si>
    <t>2.1</t>
  </si>
  <si>
    <t>HD 2.1</t>
  </si>
  <si>
    <t>GD 2.1</t>
  </si>
  <si>
    <t>2.2</t>
  </si>
  <si>
    <t>HD 2.2</t>
  </si>
  <si>
    <t>GD 2.2</t>
  </si>
  <si>
    <t>2.3</t>
  </si>
  <si>
    <t>HD 2.3</t>
  </si>
  <si>
    <t>GD 2.3</t>
  </si>
  <si>
    <t>2.4</t>
  </si>
  <si>
    <t>HD 2.4</t>
  </si>
  <si>
    <t>GD 2.4</t>
  </si>
  <si>
    <t>HS 1.1</t>
  </si>
  <si>
    <t>GS 1.1</t>
  </si>
  <si>
    <t>HS 1.2</t>
  </si>
  <si>
    <t>GS 1.2</t>
  </si>
  <si>
    <t>HS 1.3</t>
  </si>
  <si>
    <t>GS 1.3</t>
  </si>
  <si>
    <t>HS 1.4</t>
  </si>
  <si>
    <t>GS 1.4</t>
  </si>
  <si>
    <t>1.5</t>
  </si>
  <si>
    <t>HS 1.5</t>
  </si>
  <si>
    <t>GS 1.5</t>
  </si>
  <si>
    <t>1.6</t>
  </si>
  <si>
    <t>HS 1.6</t>
  </si>
  <si>
    <t>GS 1.6</t>
  </si>
  <si>
    <t>1.7</t>
  </si>
  <si>
    <t>HS 1.7</t>
  </si>
  <si>
    <t>GS 1.7</t>
  </si>
  <si>
    <t>1.8</t>
  </si>
  <si>
    <t>HS 1.8</t>
  </si>
  <si>
    <t>GS 1.8</t>
  </si>
  <si>
    <t>HS 2.1</t>
  </si>
  <si>
    <t>GS 2.1</t>
  </si>
  <si>
    <t>HS 2.2</t>
  </si>
  <si>
    <t>GS 2.2</t>
  </si>
  <si>
    <t>HS 2.3</t>
  </si>
  <si>
    <t>GS 2.3</t>
  </si>
  <si>
    <t>HS 2.4</t>
  </si>
  <si>
    <t>GS 2.4</t>
  </si>
  <si>
    <t>2.5</t>
  </si>
  <si>
    <t>HS 2.5</t>
  </si>
  <si>
    <t>GS 2.5</t>
  </si>
  <si>
    <t>2.6</t>
  </si>
  <si>
    <t>HS 2.6</t>
  </si>
  <si>
    <t>GS 2.6</t>
  </si>
  <si>
    <t>2.7</t>
  </si>
  <si>
    <t>HS 2.7</t>
  </si>
  <si>
    <t>GS 2.7</t>
  </si>
  <si>
    <t>2.8</t>
  </si>
  <si>
    <t>HS 2.8</t>
  </si>
  <si>
    <t>GS 2.8</t>
  </si>
  <si>
    <t>3.1</t>
  </si>
  <si>
    <t>HS 3.1</t>
  </si>
  <si>
    <t>GS 3.1</t>
  </si>
  <si>
    <t>3.2</t>
  </si>
  <si>
    <t>HS 3.2</t>
  </si>
  <si>
    <t>GS 3.2</t>
  </si>
  <si>
    <t>3.3</t>
  </si>
  <si>
    <t>HS 3.3</t>
  </si>
  <si>
    <t>GS 3.3</t>
  </si>
  <si>
    <t>3.4</t>
  </si>
  <si>
    <t>HS 3.4</t>
  </si>
  <si>
    <t>GS 3.4</t>
  </si>
  <si>
    <t>3.5</t>
  </si>
  <si>
    <t>HS 3.5</t>
  </si>
  <si>
    <t>GS 3.5</t>
  </si>
  <si>
    <t>3.6</t>
  </si>
  <si>
    <t>HS 3.6</t>
  </si>
  <si>
    <t>GS 3.6</t>
  </si>
  <si>
    <t>3.7</t>
  </si>
  <si>
    <t>HS 3.7</t>
  </si>
  <si>
    <t>GS 3.7</t>
  </si>
  <si>
    <t>3.8</t>
  </si>
  <si>
    <t>HS 3.8</t>
  </si>
  <si>
    <t>GS 3.8</t>
  </si>
  <si>
    <t>ES 4.1</t>
  </si>
  <si>
    <t>Liz</t>
  </si>
  <si>
    <t>Sp Tot</t>
  </si>
  <si>
    <t>Anz H</t>
  </si>
  <si>
    <t>Anz G</t>
  </si>
  <si>
    <t>l</t>
  </si>
  <si>
    <t>e</t>
  </si>
  <si>
    <t>z</t>
  </si>
  <si>
    <t>n</t>
  </si>
  <si>
    <t>i</t>
  </si>
  <si>
    <t>1.</t>
  </si>
  <si>
    <t>2.</t>
  </si>
  <si>
    <t>3.</t>
  </si>
  <si>
    <t>HD 1.1.2</t>
  </si>
  <si>
    <t>HD 1.2.2</t>
  </si>
  <si>
    <t>HD 1.3.2</t>
  </si>
  <si>
    <t>HD 4.1</t>
  </si>
  <si>
    <t>HD 4.1.2</t>
  </si>
  <si>
    <t>GD 4.1</t>
  </si>
  <si>
    <t>GD 4.1.2</t>
  </si>
  <si>
    <t>GD 1.1.2</t>
  </si>
  <si>
    <t>GD 1.2.2</t>
  </si>
  <si>
    <t>GD 1.3.2</t>
  </si>
  <si>
    <t>Forfait H</t>
  </si>
  <si>
    <t>Forfait G</t>
  </si>
  <si>
    <t>Sp f Bonus</t>
  </si>
  <si>
    <t>Forf gew.</t>
  </si>
  <si>
    <t>Forf gew</t>
  </si>
  <si>
    <t>Resul For H</t>
  </si>
  <si>
    <t>Leg Singl</t>
  </si>
  <si>
    <t>Leg Dopp</t>
  </si>
  <si>
    <t>Leg Total</t>
  </si>
  <si>
    <t>Heim leg</t>
  </si>
  <si>
    <t>Gast leg</t>
  </si>
  <si>
    <t>Gew.Sp H</t>
  </si>
  <si>
    <t>Gew Leg H</t>
  </si>
  <si>
    <t>Bei For H + G</t>
  </si>
  <si>
    <t>Gew.Sp g</t>
  </si>
  <si>
    <t>Gew Leg g</t>
  </si>
  <si>
    <t>Bonus H</t>
  </si>
  <si>
    <t>Bonus G</t>
  </si>
  <si>
    <t>Bous A/b</t>
  </si>
  <si>
    <t>Bous 1/2</t>
  </si>
  <si>
    <t>Best L 1</t>
  </si>
  <si>
    <t>Best L 2</t>
  </si>
  <si>
    <t>Best L 3</t>
  </si>
  <si>
    <t>Gioco</t>
  </si>
  <si>
    <t>Best s 1</t>
  </si>
  <si>
    <t>Best s 2</t>
  </si>
  <si>
    <t>Best s 3</t>
  </si>
  <si>
    <t>Sp für Bonus</t>
  </si>
  <si>
    <t>anz Sp</t>
  </si>
  <si>
    <t>rest G</t>
  </si>
  <si>
    <t>RESULT NOTIFICATION ONLY VIA SMS!!</t>
  </si>
  <si>
    <t>NOTIFICA RISULTATO SOLO VIA SMS!!</t>
  </si>
  <si>
    <t>NUMERO DI LICENZA NON VALIDO</t>
  </si>
  <si>
    <t>LICENSE NUMBER INVALID</t>
  </si>
  <si>
    <t>**ENTRY NOT POSSIBLE!!**</t>
  </si>
  <si>
    <t>**INGRESSO NON POSSIBILE!!**</t>
  </si>
  <si>
    <t>**INGRESSO RICHIESTO**</t>
  </si>
  <si>
    <t>**ENTRY REQUIRED**</t>
  </si>
  <si>
    <t>If completely forfait, here "X"</t>
  </si>
  <si>
    <t>Se completamente forfait, qui "X"</t>
  </si>
  <si>
    <t>squadra ospite</t>
  </si>
  <si>
    <t>visiteurs</t>
  </si>
  <si>
    <t>visiting team</t>
  </si>
  <si>
    <t>First round doubles</t>
  </si>
  <si>
    <t>Il primo turno raddoppia</t>
  </si>
  <si>
    <t>Surname / First name</t>
  </si>
  <si>
    <t>Cognome / Nome di battesimo</t>
  </si>
  <si>
    <t>squadra di casa</t>
  </si>
  <si>
    <t>home team</t>
  </si>
  <si>
    <t>** ATTENTION - DOUBLE LICENSE - NUMBER**</t>
  </si>
  <si>
    <t>** ATTENZIONE - NUMERO DI LICENZA DOPPIO!!! **</t>
  </si>
  <si>
    <t>**INGRESSO NON POSSIBILE!!! **</t>
  </si>
  <si>
    <t>**NO ENTRY POSSIBLE!!! **</t>
  </si>
  <si>
    <t>First round singles</t>
  </si>
  <si>
    <t>Singoli al primo turno</t>
  </si>
  <si>
    <t>Il secondo turno raddoppia</t>
  </si>
  <si>
    <t>Second round doubles</t>
  </si>
  <si>
    <t>Second round singles</t>
  </si>
  <si>
    <t>Singoli del secondo turno</t>
  </si>
  <si>
    <t>Singolo terzo turno (testa di serie)</t>
  </si>
  <si>
    <t>Third round singles (seeded)</t>
  </si>
  <si>
    <t>Available licenses</t>
  </si>
  <si>
    <t>Licenze disponibili</t>
  </si>
  <si>
    <t>Inserimento errore</t>
  </si>
  <si>
    <t>Error input</t>
  </si>
  <si>
    <t>Entrée d'erreur</t>
  </si>
  <si>
    <t>CAMPIONATO A SQUADRE</t>
  </si>
  <si>
    <t>TEAM CHAMPIONSHIP</t>
  </si>
  <si>
    <t>RESULT</t>
  </si>
  <si>
    <t>RISULTATO</t>
  </si>
  <si>
    <t>LEGA</t>
  </si>
  <si>
    <t>LEAGUE</t>
  </si>
  <si>
    <t>NO.:</t>
  </si>
  <si>
    <t>Risultato provvisorio</t>
  </si>
  <si>
    <t>Interim result</t>
  </si>
  <si>
    <t>FINAL RESULT</t>
  </si>
  <si>
    <t>RISULTATO FINALE</t>
  </si>
  <si>
    <t>RÉSULTAT FINAL</t>
  </si>
  <si>
    <t>giocatore</t>
  </si>
  <si>
    <t>player</t>
  </si>
  <si>
    <t>player 1</t>
  </si>
  <si>
    <t>player 2</t>
  </si>
  <si>
    <t>giocatore 1</t>
  </si>
  <si>
    <t>giocatore 2</t>
  </si>
  <si>
    <t>rest</t>
  </si>
  <si>
    <t>riposo</t>
  </si>
  <si>
    <t>Punti</t>
  </si>
  <si>
    <t>Points</t>
  </si>
  <si>
    <t>Mistake</t>
  </si>
  <si>
    <t>Valutazione individuale</t>
  </si>
  <si>
    <t>Individual evaluation</t>
  </si>
  <si>
    <t># Games</t>
  </si>
  <si>
    <t># Giochi</t>
  </si>
  <si>
    <t>Giochi</t>
  </si>
  <si>
    <t>Games</t>
  </si>
  <si>
    <t>Errore di immissione:</t>
  </si>
  <si>
    <t>Input error:</t>
  </si>
  <si>
    <t>Spieler 1. :</t>
  </si>
  <si>
    <t>Spiel Nr.</t>
  </si>
  <si>
    <t>Finish</t>
  </si>
  <si>
    <t>S P I E L  B E R E I T S  G E S P I E L T</t>
  </si>
  <si>
    <t>Auswahl welcher Block gedruckt werden soll</t>
  </si>
  <si>
    <t>&lt;=</t>
  </si>
  <si>
    <t>Hier keine Spiele eintragen!!!</t>
  </si>
  <si>
    <t>Best Game</t>
  </si>
  <si>
    <t>Chill Out Bull's 1</t>
  </si>
  <si>
    <t>Iron Tigers</t>
  </si>
  <si>
    <t>Star'Nack</t>
  </si>
  <si>
    <t>Aaretal</t>
  </si>
  <si>
    <t>Casa Benfica GE</t>
  </si>
  <si>
    <t>Geneva DL</t>
  </si>
  <si>
    <t>La Chaux-de-Fonds</t>
  </si>
  <si>
    <t>Martigny Sport</t>
  </si>
  <si>
    <t>Freilos 2LW</t>
  </si>
  <si>
    <t>Chill Out Bull's 2</t>
  </si>
  <si>
    <t>Züri Otter</t>
  </si>
  <si>
    <t>Brugg 4</t>
  </si>
  <si>
    <t>Heroes</t>
  </si>
  <si>
    <t>Emmental 5</t>
  </si>
  <si>
    <t>Freilo 2LN</t>
  </si>
  <si>
    <t>Lounge 11</t>
  </si>
  <si>
    <t>Safnern 3</t>
  </si>
  <si>
    <t>Brugg 3</t>
  </si>
  <si>
    <t>2. Liga Nord</t>
  </si>
  <si>
    <t>2LN</t>
  </si>
  <si>
    <t>Vikings</t>
  </si>
  <si>
    <t>Emmental 4</t>
  </si>
  <si>
    <t>31.08./01.09.24</t>
  </si>
  <si>
    <t>14./15.09.24</t>
  </si>
  <si>
    <t>26./27.10.24</t>
  </si>
  <si>
    <t>16./17.11.24</t>
  </si>
  <si>
    <t>07./08.12.24</t>
  </si>
  <si>
    <t>14./15.12.24</t>
  </si>
  <si>
    <t>18./19.01.25</t>
  </si>
  <si>
    <t>25./26.01.25</t>
  </si>
  <si>
    <t>08./09.02.25</t>
  </si>
  <si>
    <t>22./23.02.25</t>
  </si>
  <si>
    <t>08./09.03.25</t>
  </si>
  <si>
    <t>22./23.03.25</t>
  </si>
  <si>
    <t>12./13.04.25</t>
  </si>
  <si>
    <t>1A1</t>
  </si>
  <si>
    <t>1A2</t>
  </si>
  <si>
    <t>1A3</t>
  </si>
  <si>
    <t>1A4</t>
  </si>
  <si>
    <t>1B1</t>
  </si>
  <si>
    <t>1B2</t>
  </si>
  <si>
    <t>1B3</t>
  </si>
  <si>
    <t>1B4</t>
  </si>
  <si>
    <t>11W1</t>
  </si>
  <si>
    <t>11W2</t>
  </si>
  <si>
    <t>11W3</t>
  </si>
  <si>
    <t>11W4</t>
  </si>
  <si>
    <t>11O1</t>
  </si>
  <si>
    <t>11O2</t>
  </si>
  <si>
    <t>11O3</t>
  </si>
  <si>
    <t>11O4</t>
  </si>
  <si>
    <t>12W1</t>
  </si>
  <si>
    <t>12W2</t>
  </si>
  <si>
    <t>12W3</t>
  </si>
  <si>
    <t>12W4</t>
  </si>
  <si>
    <t>12O1</t>
  </si>
  <si>
    <t>12O2</t>
  </si>
  <si>
    <t>12O3</t>
  </si>
  <si>
    <t>12O4</t>
  </si>
  <si>
    <t>12N1</t>
  </si>
  <si>
    <t>12N2</t>
  </si>
  <si>
    <t>12N3</t>
  </si>
  <si>
    <t>12N4</t>
  </si>
  <si>
    <t>12M1</t>
  </si>
  <si>
    <t>12M2</t>
  </si>
  <si>
    <t>12M3</t>
  </si>
  <si>
    <t>12M4</t>
  </si>
  <si>
    <t>2B1</t>
  </si>
  <si>
    <t>2B2</t>
  </si>
  <si>
    <t>2B3</t>
  </si>
  <si>
    <t>2B4</t>
  </si>
  <si>
    <t>21W1</t>
  </si>
  <si>
    <t>21W2</t>
  </si>
  <si>
    <t>21W3</t>
  </si>
  <si>
    <t>21W4</t>
  </si>
  <si>
    <t>21O1</t>
  </si>
  <si>
    <t>21O2</t>
  </si>
  <si>
    <t>21O3</t>
  </si>
  <si>
    <t>21O4</t>
  </si>
  <si>
    <t>22W1</t>
  </si>
  <si>
    <t>22W2</t>
  </si>
  <si>
    <t>22W3</t>
  </si>
  <si>
    <t>22W4</t>
  </si>
  <si>
    <t>22O1</t>
  </si>
  <si>
    <t>22O2</t>
  </si>
  <si>
    <t>22O3</t>
  </si>
  <si>
    <t>22O4</t>
  </si>
  <si>
    <t>22N1</t>
  </si>
  <si>
    <t>22N2</t>
  </si>
  <si>
    <t>22N3</t>
  </si>
  <si>
    <t>22N4</t>
  </si>
  <si>
    <t>22M1</t>
  </si>
  <si>
    <t>22M2</t>
  </si>
  <si>
    <t>22M3</t>
  </si>
  <si>
    <t>22M4</t>
  </si>
  <si>
    <t>3B1</t>
  </si>
  <si>
    <t>3B2</t>
  </si>
  <si>
    <t>3B3</t>
  </si>
  <si>
    <t>3B4</t>
  </si>
  <si>
    <t>31W1</t>
  </si>
  <si>
    <t>31W2</t>
  </si>
  <si>
    <t>31W3</t>
  </si>
  <si>
    <t>31W4</t>
  </si>
  <si>
    <t>31O1</t>
  </si>
  <si>
    <t>31O2</t>
  </si>
  <si>
    <t>31O3</t>
  </si>
  <si>
    <t>31O4</t>
  </si>
  <si>
    <t>32W1</t>
  </si>
  <si>
    <t>32W2</t>
  </si>
  <si>
    <t>32W3</t>
  </si>
  <si>
    <t>32W4</t>
  </si>
  <si>
    <t>32O1</t>
  </si>
  <si>
    <t>32O2</t>
  </si>
  <si>
    <t>32O3</t>
  </si>
  <si>
    <t>32O4</t>
  </si>
  <si>
    <t>32N1</t>
  </si>
  <si>
    <t>32N2</t>
  </si>
  <si>
    <t>32N3</t>
  </si>
  <si>
    <t>32N4</t>
  </si>
  <si>
    <t>32M1</t>
  </si>
  <si>
    <t>32M2</t>
  </si>
  <si>
    <t>32M3</t>
  </si>
  <si>
    <t>32M4</t>
  </si>
  <si>
    <t>4B1</t>
  </si>
  <si>
    <t>4B2</t>
  </si>
  <si>
    <t>4B3</t>
  </si>
  <si>
    <t>4B4</t>
  </si>
  <si>
    <t>41W1</t>
  </si>
  <si>
    <t>41W2</t>
  </si>
  <si>
    <t>41W3</t>
  </si>
  <si>
    <t>41W4</t>
  </si>
  <si>
    <t>41O1</t>
  </si>
  <si>
    <t>41O2</t>
  </si>
  <si>
    <t>41O3</t>
  </si>
  <si>
    <t>41O4</t>
  </si>
  <si>
    <t>42W1</t>
  </si>
  <si>
    <t>42W2</t>
  </si>
  <si>
    <t>42W3</t>
  </si>
  <si>
    <t>42W4</t>
  </si>
  <si>
    <t>42O1</t>
  </si>
  <si>
    <t>42O2</t>
  </si>
  <si>
    <t>42O3</t>
  </si>
  <si>
    <t>42O4</t>
  </si>
  <si>
    <t>42N1</t>
  </si>
  <si>
    <t>42N2</t>
  </si>
  <si>
    <t>42N3</t>
  </si>
  <si>
    <t>42N4</t>
  </si>
  <si>
    <t>42M1</t>
  </si>
  <si>
    <t>42M2</t>
  </si>
  <si>
    <t>42M3</t>
  </si>
  <si>
    <t>42M4</t>
  </si>
  <si>
    <t>5B1</t>
  </si>
  <si>
    <t>5B2</t>
  </si>
  <si>
    <t>5B3</t>
  </si>
  <si>
    <t>5B4</t>
  </si>
  <si>
    <t>51W1</t>
  </si>
  <si>
    <t>51W2</t>
  </si>
  <si>
    <t>51W3</t>
  </si>
  <si>
    <t>51W4</t>
  </si>
  <si>
    <t>51O1</t>
  </si>
  <si>
    <t>51O2</t>
  </si>
  <si>
    <t>51O3</t>
  </si>
  <si>
    <t>51O4</t>
  </si>
  <si>
    <t>52W1</t>
  </si>
  <si>
    <t>52W2</t>
  </si>
  <si>
    <t>52W3</t>
  </si>
  <si>
    <t>52W4</t>
  </si>
  <si>
    <t>52O1</t>
  </si>
  <si>
    <t>52O2</t>
  </si>
  <si>
    <t>52O3</t>
  </si>
  <si>
    <t>52O4</t>
  </si>
  <si>
    <t>52N1</t>
  </si>
  <si>
    <t>52N2</t>
  </si>
  <si>
    <t>52N3</t>
  </si>
  <si>
    <t>52N4</t>
  </si>
  <si>
    <t>52M1</t>
  </si>
  <si>
    <t>52M2</t>
  </si>
  <si>
    <t>52M3</t>
  </si>
  <si>
    <t>52M4</t>
  </si>
  <si>
    <t>6B1</t>
  </si>
  <si>
    <t>6B2</t>
  </si>
  <si>
    <t>6B3</t>
  </si>
  <si>
    <t>6B4</t>
  </si>
  <si>
    <t>61W1</t>
  </si>
  <si>
    <t>61W2</t>
  </si>
  <si>
    <t>61W3</t>
  </si>
  <si>
    <t>61W4</t>
  </si>
  <si>
    <t>61O1</t>
  </si>
  <si>
    <t>61O2</t>
  </si>
  <si>
    <t>61O3</t>
  </si>
  <si>
    <t>61O4</t>
  </si>
  <si>
    <t>62W1</t>
  </si>
  <si>
    <t>62W2</t>
  </si>
  <si>
    <t>62W3</t>
  </si>
  <si>
    <t>62W4</t>
  </si>
  <si>
    <t>62O1</t>
  </si>
  <si>
    <t>62O2</t>
  </si>
  <si>
    <t>62O3</t>
  </si>
  <si>
    <t>62O4</t>
  </si>
  <si>
    <t>62N1</t>
  </si>
  <si>
    <t>62N2</t>
  </si>
  <si>
    <t>62N3</t>
  </si>
  <si>
    <t>62N4</t>
  </si>
  <si>
    <t>62M1</t>
  </si>
  <si>
    <t>62M2</t>
  </si>
  <si>
    <t>62M3</t>
  </si>
  <si>
    <t>62M4</t>
  </si>
  <si>
    <t>7B1</t>
  </si>
  <si>
    <t>7B2</t>
  </si>
  <si>
    <t>7B3</t>
  </si>
  <si>
    <t>7B4</t>
  </si>
  <si>
    <t>71W1</t>
  </si>
  <si>
    <t>71W2</t>
  </si>
  <si>
    <t>71W3</t>
  </si>
  <si>
    <t>71W4</t>
  </si>
  <si>
    <t>71O1</t>
  </si>
  <si>
    <t>71O2</t>
  </si>
  <si>
    <t>71O3</t>
  </si>
  <si>
    <t>71O4</t>
  </si>
  <si>
    <t>72W1</t>
  </si>
  <si>
    <t>72W2</t>
  </si>
  <si>
    <t>72W3</t>
  </si>
  <si>
    <t>72W4</t>
  </si>
  <si>
    <t>72O1</t>
  </si>
  <si>
    <t>72O2</t>
  </si>
  <si>
    <t>72O3</t>
  </si>
  <si>
    <t>72O4</t>
  </si>
  <si>
    <t>72N1</t>
  </si>
  <si>
    <t>72N2</t>
  </si>
  <si>
    <t>72N3</t>
  </si>
  <si>
    <t>72N4</t>
  </si>
  <si>
    <t>72M1</t>
  </si>
  <si>
    <t>72M2</t>
  </si>
  <si>
    <t>72M3</t>
  </si>
  <si>
    <t>72M4</t>
  </si>
  <si>
    <t>8B1</t>
  </si>
  <si>
    <t>8B2</t>
  </si>
  <si>
    <t>8B3</t>
  </si>
  <si>
    <t>8B4</t>
  </si>
  <si>
    <t>81W1</t>
  </si>
  <si>
    <t>81W2</t>
  </si>
  <si>
    <t>81W3</t>
  </si>
  <si>
    <t>81W4</t>
  </si>
  <si>
    <t>81O1</t>
  </si>
  <si>
    <t>81O2</t>
  </si>
  <si>
    <t>81O3</t>
  </si>
  <si>
    <t>81O4</t>
  </si>
  <si>
    <t>82W1</t>
  </si>
  <si>
    <t>82W2</t>
  </si>
  <si>
    <t>82W3</t>
  </si>
  <si>
    <t>82W4</t>
  </si>
  <si>
    <t>82O1</t>
  </si>
  <si>
    <t>82O2</t>
  </si>
  <si>
    <t>82O3</t>
  </si>
  <si>
    <t>82O4</t>
  </si>
  <si>
    <t>82N1</t>
  </si>
  <si>
    <t>82N2</t>
  </si>
  <si>
    <t>82N3</t>
  </si>
  <si>
    <t>82N4</t>
  </si>
  <si>
    <t>82M1</t>
  </si>
  <si>
    <t>82M2</t>
  </si>
  <si>
    <t>82M3</t>
  </si>
  <si>
    <t>82M4</t>
  </si>
  <si>
    <t>9B1</t>
  </si>
  <si>
    <t>9B2</t>
  </si>
  <si>
    <t>9B3</t>
  </si>
  <si>
    <t>9B4</t>
  </si>
  <si>
    <t>91W1</t>
  </si>
  <si>
    <t>91W2</t>
  </si>
  <si>
    <t>91W3</t>
  </si>
  <si>
    <t>91W4</t>
  </si>
  <si>
    <t>91O1</t>
  </si>
  <si>
    <t>91O2</t>
  </si>
  <si>
    <t>91O3</t>
  </si>
  <si>
    <t>91O4</t>
  </si>
  <si>
    <t>92W1</t>
  </si>
  <si>
    <t>92W2</t>
  </si>
  <si>
    <t>92W3</t>
  </si>
  <si>
    <t>92W4</t>
  </si>
  <si>
    <t>92O1</t>
  </si>
  <si>
    <t>92O2</t>
  </si>
  <si>
    <t>92O3</t>
  </si>
  <si>
    <t>92O4</t>
  </si>
  <si>
    <t>92N1</t>
  </si>
  <si>
    <t>92N2</t>
  </si>
  <si>
    <t>92N3</t>
  </si>
  <si>
    <t>92N4</t>
  </si>
  <si>
    <t>92M1</t>
  </si>
  <si>
    <t>92M2</t>
  </si>
  <si>
    <t>92M3</t>
  </si>
  <si>
    <t>92M4</t>
  </si>
  <si>
    <t>10B1</t>
  </si>
  <si>
    <t>10B2</t>
  </si>
  <si>
    <t>10B3</t>
  </si>
  <si>
    <t>10B4</t>
  </si>
  <si>
    <t>101W1</t>
  </si>
  <si>
    <t>101W2</t>
  </si>
  <si>
    <t>101W3</t>
  </si>
  <si>
    <t>101W4</t>
  </si>
  <si>
    <t>101O1</t>
  </si>
  <si>
    <t>101O2</t>
  </si>
  <si>
    <t>101O3</t>
  </si>
  <si>
    <t>101O4</t>
  </si>
  <si>
    <t>102W1</t>
  </si>
  <si>
    <t>102W2</t>
  </si>
  <si>
    <t>102W3</t>
  </si>
  <si>
    <t>102W4</t>
  </si>
  <si>
    <t>102O1</t>
  </si>
  <si>
    <t>102O2</t>
  </si>
  <si>
    <t>102O3</t>
  </si>
  <si>
    <t>102O4</t>
  </si>
  <si>
    <t>102N1</t>
  </si>
  <si>
    <t>102N2</t>
  </si>
  <si>
    <t>102N3</t>
  </si>
  <si>
    <t>102N4</t>
  </si>
  <si>
    <t>102M1</t>
  </si>
  <si>
    <t>102M2</t>
  </si>
  <si>
    <t>102M3</t>
  </si>
  <si>
    <t>102M4</t>
  </si>
  <si>
    <t>11B1</t>
  </si>
  <si>
    <t>11B2</t>
  </si>
  <si>
    <t>11B3</t>
  </si>
  <si>
    <t>11B4</t>
  </si>
  <si>
    <t>111W1</t>
  </si>
  <si>
    <t>111W2</t>
  </si>
  <si>
    <t>111W3</t>
  </si>
  <si>
    <t>111W4</t>
  </si>
  <si>
    <t>111O1</t>
  </si>
  <si>
    <t>111O2</t>
  </si>
  <si>
    <t>111O3</t>
  </si>
  <si>
    <t>111O4</t>
  </si>
  <si>
    <t>112W1</t>
  </si>
  <si>
    <t>112W2</t>
  </si>
  <si>
    <t>112W3</t>
  </si>
  <si>
    <t>112W4</t>
  </si>
  <si>
    <t>112O1</t>
  </si>
  <si>
    <t>112O2</t>
  </si>
  <si>
    <t>112O3</t>
  </si>
  <si>
    <t>112O4</t>
  </si>
  <si>
    <t>112N1</t>
  </si>
  <si>
    <t>112N2</t>
  </si>
  <si>
    <t>112N3</t>
  </si>
  <si>
    <t>112N4</t>
  </si>
  <si>
    <t>112M1</t>
  </si>
  <si>
    <t>112M2</t>
  </si>
  <si>
    <t>112M3</t>
  </si>
  <si>
    <t>112M4</t>
  </si>
  <si>
    <t>12B1</t>
  </si>
  <si>
    <t>12B2</t>
  </si>
  <si>
    <t>12B3</t>
  </si>
  <si>
    <t>12B4</t>
  </si>
  <si>
    <t>121W1</t>
  </si>
  <si>
    <t>121W2</t>
  </si>
  <si>
    <t>121W3</t>
  </si>
  <si>
    <t>121W4</t>
  </si>
  <si>
    <t>121O1</t>
  </si>
  <si>
    <t>121O2</t>
  </si>
  <si>
    <t>121O3</t>
  </si>
  <si>
    <t>121O4</t>
  </si>
  <si>
    <t>122W1</t>
  </si>
  <si>
    <t>122W2</t>
  </si>
  <si>
    <t>122W3</t>
  </si>
  <si>
    <t>122W4</t>
  </si>
  <si>
    <t>122O1</t>
  </si>
  <si>
    <t>122O2</t>
  </si>
  <si>
    <t>122O3</t>
  </si>
  <si>
    <t>122O4</t>
  </si>
  <si>
    <t>122N1</t>
  </si>
  <si>
    <t>122N2</t>
  </si>
  <si>
    <t>122N3</t>
  </si>
  <si>
    <t>122N4</t>
  </si>
  <si>
    <t>122M1</t>
  </si>
  <si>
    <t>122M2</t>
  </si>
  <si>
    <t>122M3</t>
  </si>
  <si>
    <t>122M4</t>
  </si>
  <si>
    <t>13B1</t>
  </si>
  <si>
    <t>13B2</t>
  </si>
  <si>
    <t>13B3</t>
  </si>
  <si>
    <t>13B4</t>
  </si>
  <si>
    <t>131W1</t>
  </si>
  <si>
    <t>131W2</t>
  </si>
  <si>
    <t>131W3</t>
  </si>
  <si>
    <t>131W4</t>
  </si>
  <si>
    <t>131O1</t>
  </si>
  <si>
    <t>131O2</t>
  </si>
  <si>
    <t>131O3</t>
  </si>
  <si>
    <t>131O4</t>
  </si>
  <si>
    <t>132W1</t>
  </si>
  <si>
    <t>132W2</t>
  </si>
  <si>
    <t>132W3</t>
  </si>
  <si>
    <t>132W4</t>
  </si>
  <si>
    <t>132O1</t>
  </si>
  <si>
    <t>132O2</t>
  </si>
  <si>
    <t>132O3</t>
  </si>
  <si>
    <t>132O4</t>
  </si>
  <si>
    <t>132N1</t>
  </si>
  <si>
    <t>132N2</t>
  </si>
  <si>
    <t>132N3</t>
  </si>
  <si>
    <t>132N4</t>
  </si>
  <si>
    <t>132M1</t>
  </si>
  <si>
    <t>132M2</t>
  </si>
  <si>
    <t>132M3</t>
  </si>
  <si>
    <t>132M4</t>
  </si>
  <si>
    <t>14B1</t>
  </si>
  <si>
    <t>14B2</t>
  </si>
  <si>
    <t>14B3</t>
  </si>
  <si>
    <t>14B4</t>
  </si>
  <si>
    <t>141W1</t>
  </si>
  <si>
    <t>141W2</t>
  </si>
  <si>
    <t>141W3</t>
  </si>
  <si>
    <t>141W4</t>
  </si>
  <si>
    <t>141O1</t>
  </si>
  <si>
    <t>141O2</t>
  </si>
  <si>
    <t>141O3</t>
  </si>
  <si>
    <t>141O4</t>
  </si>
  <si>
    <t>142W1</t>
  </si>
  <si>
    <t>142W2</t>
  </si>
  <si>
    <t>142W3</t>
  </si>
  <si>
    <t>142W4</t>
  </si>
  <si>
    <t>142O1</t>
  </si>
  <si>
    <t>142O2</t>
  </si>
  <si>
    <t>142O3</t>
  </si>
  <si>
    <t>142O4</t>
  </si>
  <si>
    <t>142N1</t>
  </si>
  <si>
    <t>142N2</t>
  </si>
  <si>
    <t>142N3</t>
  </si>
  <si>
    <t>142N4</t>
  </si>
  <si>
    <t>142M1</t>
  </si>
  <si>
    <t>142M2</t>
  </si>
  <si>
    <t>142M3</t>
  </si>
  <si>
    <t>142M4</t>
  </si>
  <si>
    <t>2N1</t>
  </si>
  <si>
    <t>2N2</t>
  </si>
  <si>
    <t>2N3</t>
  </si>
  <si>
    <t>2N4</t>
  </si>
  <si>
    <t>19./20.10.24</t>
  </si>
  <si>
    <t>Bodensee</t>
  </si>
  <si>
    <t>Freilos 1LW</t>
  </si>
  <si>
    <t>GEROCK Thomas</t>
  </si>
  <si>
    <t>BAYES Alexander</t>
  </si>
  <si>
    <t>WADLEY Christopher</t>
  </si>
  <si>
    <t>OSOYA Steve</t>
  </si>
  <si>
    <t>KUHN Pascal</t>
  </si>
  <si>
    <t>GROSJEAN Michel</t>
  </si>
  <si>
    <t>FRIEDEN Sandro</t>
  </si>
  <si>
    <t>DAMMBERG Marcel</t>
  </si>
  <si>
    <t>WENGER Marco</t>
  </si>
  <si>
    <t>HUERBIN Nik</t>
  </si>
  <si>
    <t>ROETHLISBERGER Janick</t>
  </si>
  <si>
    <t>KNECHT Stefan</t>
  </si>
  <si>
    <t>AFFENTRANGER Sandro</t>
  </si>
  <si>
    <t>SCHUERCH Thomas</t>
  </si>
  <si>
    <t>DESCHENKO Yurii</t>
  </si>
  <si>
    <t>FEUZ Julian</t>
  </si>
  <si>
    <t>FAZIO Marco</t>
  </si>
  <si>
    <t>WENGER Leo</t>
  </si>
  <si>
    <t>GULER Diaz</t>
  </si>
  <si>
    <t>MEIER Noel</t>
  </si>
  <si>
    <t>JORCKE Rüdiger</t>
  </si>
  <si>
    <t>SANCHEZ Mark</t>
  </si>
  <si>
    <t>BAECHLER Julie</t>
  </si>
  <si>
    <t>ZWAHLEN Kim</t>
  </si>
  <si>
    <t>HAUS Monika</t>
  </si>
  <si>
    <t>HEISER Roman</t>
  </si>
  <si>
    <t>BISSINGER Frédéric</t>
  </si>
  <si>
    <t>GRELLMANN Kai</t>
  </si>
  <si>
    <t>FISCHER Michel</t>
  </si>
  <si>
    <t>DISRERENS Nicole</t>
  </si>
  <si>
    <t>KURZEN Daniela</t>
  </si>
  <si>
    <t>FISCHER Marco</t>
  </si>
  <si>
    <t>SCHMUTZ Leo</t>
  </si>
  <si>
    <t>SCHMUTZ Fredu</t>
  </si>
  <si>
    <t>OEHEN Philipp</t>
  </si>
  <si>
    <t>BREMGARTNER Jonas</t>
  </si>
  <si>
    <t>WALLIMANN Silvan</t>
  </si>
  <si>
    <t>DC Star'Nack</t>
  </si>
  <si>
    <t>LONGO Rocco</t>
  </si>
  <si>
    <t>HEYMOZ Tristan</t>
  </si>
  <si>
    <t>DIANA Daniel</t>
  </si>
  <si>
    <t>SASSI Karim</t>
  </si>
  <si>
    <t>MONTGOMERY Adam</t>
  </si>
  <si>
    <t>HUEBNER Patrick</t>
  </si>
  <si>
    <t>STASTKA Jaromir Jun.</t>
  </si>
  <si>
    <t>DENZLER Noé</t>
  </si>
  <si>
    <t>TRESCH Simon</t>
  </si>
  <si>
    <t>STEINHARDT Markus</t>
  </si>
  <si>
    <t>BOGDANOVSKI Aleksandar</t>
  </si>
  <si>
    <t>STIPIC Zeljko</t>
  </si>
  <si>
    <t>MUEHLEMANN Roland</t>
  </si>
  <si>
    <t>ZUBE Christian</t>
  </si>
  <si>
    <t>MOOR Samuel</t>
  </si>
  <si>
    <t>SCHOLER Roland</t>
  </si>
  <si>
    <t>BRACK Ivo</t>
  </si>
  <si>
    <t>HARTMANN Philipp</t>
  </si>
  <si>
    <t>WEISER Dennis</t>
  </si>
  <si>
    <t>ATTENBERGER Bettina</t>
  </si>
  <si>
    <t>PROBST Marco</t>
  </si>
  <si>
    <t>MUELLER Peter</t>
  </si>
  <si>
    <t>MEIER Roger</t>
  </si>
  <si>
    <t>PANAGIOTOPOULOS Fotis</t>
  </si>
  <si>
    <t>HOLER Roman</t>
  </si>
  <si>
    <t>Casa Benfica Genève</t>
  </si>
  <si>
    <t>GATTA Daniel</t>
  </si>
  <si>
    <t>GONCALVES DOS SANTOS Fernando</t>
  </si>
  <si>
    <t>BOTELHO Antonio</t>
  </si>
  <si>
    <t>PRALAT Xavier</t>
  </si>
  <si>
    <t>SCHOLZ Michael</t>
  </si>
  <si>
    <t>FRIEDRICH Rico</t>
  </si>
  <si>
    <t>GVOZDEV Ivan</t>
  </si>
  <si>
    <t>ZIMMERMANN Roger (GER)</t>
  </si>
  <si>
    <t>MORGENSTERN René</t>
  </si>
  <si>
    <t>MAERZ Sascha</t>
  </si>
  <si>
    <t>STADLER André</t>
  </si>
  <si>
    <t>STADLER Jannik</t>
  </si>
  <si>
    <t>SCHELBERT Manuel</t>
  </si>
  <si>
    <t>KUGLER Marcel</t>
  </si>
  <si>
    <t>VARGA Sasa</t>
  </si>
  <si>
    <t>DANGEL Lukas</t>
  </si>
  <si>
    <t>SCHLAGER Rico</t>
  </si>
  <si>
    <t>DC Vikings</t>
  </si>
  <si>
    <t>ACKERMANN Michael</t>
  </si>
  <si>
    <t>BIELMANN Yves</t>
  </si>
  <si>
    <t>SCHALLER Pascal</t>
  </si>
  <si>
    <t>SCHWEIZER Mike</t>
  </si>
  <si>
    <t>ZBINDEN Donat</t>
  </si>
  <si>
    <t>ZBINDEN Beat</t>
  </si>
  <si>
    <t>SCHMIDHAEUSLER Patrick</t>
  </si>
  <si>
    <t>SIFFERT René</t>
  </si>
  <si>
    <t>PILLER Daniel</t>
  </si>
  <si>
    <t>SHALA Quendrim</t>
  </si>
  <si>
    <t>KAESER Matthias</t>
  </si>
  <si>
    <t>FASEL Fabienne</t>
  </si>
  <si>
    <t>UHLICH Stefan</t>
  </si>
  <si>
    <t>ALBERTS Tim</t>
  </si>
  <si>
    <t>WESTENBERGER Jochen</t>
  </si>
  <si>
    <t>SILVA DUARTE Tiago</t>
  </si>
  <si>
    <t>DA ENCARNACAO GOUVEIA Hugo</t>
  </si>
  <si>
    <t>STAMPFLI Christophe</t>
  </si>
  <si>
    <t>CARVALHO José</t>
  </si>
  <si>
    <t>DOS REIS João Paolo</t>
  </si>
  <si>
    <t>RIBEIRO MAGALHÃES REGUFE Luis Miguel</t>
  </si>
  <si>
    <t>FLEUTI Magali</t>
  </si>
  <si>
    <t>DENOIX Loïs</t>
  </si>
  <si>
    <t>SCHMID Jessica</t>
  </si>
  <si>
    <t>HUMBERT-DROZ Gabriel</t>
  </si>
  <si>
    <t>HIDALGO Marc</t>
  </si>
  <si>
    <t>JOSSEN Joel</t>
  </si>
  <si>
    <t>SCHMID Lukas</t>
  </si>
  <si>
    <t>KRADOLFER Sven</t>
  </si>
  <si>
    <t>ZWAHLEN Sandro</t>
  </si>
  <si>
    <t>MOOSER Sven</t>
  </si>
  <si>
    <t>RAPPPO Adrian</t>
  </si>
  <si>
    <t>ROEOESLI Andy</t>
  </si>
  <si>
    <t>FUHRIMANN David</t>
  </si>
  <si>
    <t>MUELLER Matthias</t>
  </si>
  <si>
    <t>VIELSMEIER Georg</t>
  </si>
  <si>
    <t>FISCHER Reto</t>
  </si>
  <si>
    <t>SALOMON Mark</t>
  </si>
  <si>
    <t>LUKAS Kristian</t>
  </si>
  <si>
    <t>UNGETHUEM Ronny</t>
  </si>
  <si>
    <t>SOOD Ansh</t>
  </si>
  <si>
    <t>KAENZIG Karina</t>
  </si>
  <si>
    <t>LUSTENBERGER René</t>
  </si>
  <si>
    <t>Steel Darts Aaretal</t>
  </si>
  <si>
    <t>JOST Mathias</t>
  </si>
  <si>
    <t>HUGGET Kevin</t>
  </si>
  <si>
    <t>EGLI Sandro</t>
  </si>
  <si>
    <t>SUBSOM Yanis</t>
  </si>
  <si>
    <t>HABEGGER Adrian</t>
  </si>
  <si>
    <t>RYCHENER Ramon</t>
  </si>
  <si>
    <t>HITZ Matteo</t>
  </si>
  <si>
    <t>KEMPA Matthias</t>
  </si>
  <si>
    <t>UWER Patrick</t>
  </si>
  <si>
    <t>STRICKER Beat</t>
  </si>
  <si>
    <t>GROSSNIKLAUS Alexander</t>
  </si>
  <si>
    <t>TRUETSCH Mischa</t>
  </si>
  <si>
    <t>WALTHER Daniel</t>
  </si>
  <si>
    <t>JORNS Daniel</t>
  </si>
  <si>
    <t>GEMPELER Pascal</t>
  </si>
  <si>
    <t>JACOT Hubert</t>
  </si>
  <si>
    <t>DOLDER Nicolas</t>
  </si>
  <si>
    <t>FISCHER Brandon</t>
  </si>
  <si>
    <t>FIORENDI Asia</t>
  </si>
  <si>
    <t>CAVIEZEL Arno</t>
  </si>
  <si>
    <t>BRAEGGER Harry</t>
  </si>
  <si>
    <t>BRAEGGER Chayton</t>
  </si>
  <si>
    <t>GRUBENMANN Ralph</t>
  </si>
  <si>
    <t>SENN Lars</t>
  </si>
  <si>
    <t>SCHUEPBACH Mirjam</t>
  </si>
  <si>
    <t>RUDIN Colette</t>
  </si>
  <si>
    <t>MORALES Rolando</t>
  </si>
  <si>
    <t>HOEGGER Marcel</t>
  </si>
  <si>
    <t>KELLERHALS Noah</t>
  </si>
  <si>
    <t>SCHMID Manuela</t>
  </si>
  <si>
    <t>BERMUDEZ Mike</t>
  </si>
  <si>
    <t>GRAF Pascal</t>
  </si>
  <si>
    <t>WASSERFALLEN Patrik</t>
  </si>
  <si>
    <t>MUENZBERG René</t>
  </si>
  <si>
    <t>CHENE Dominique</t>
  </si>
  <si>
    <t>ASSMANN Marcel</t>
  </si>
  <si>
    <t>FEHLMANN Alex</t>
  </si>
  <si>
    <t>MARTY Stephan</t>
  </si>
  <si>
    <t>SEREGI Dominika</t>
  </si>
  <si>
    <t>Martigny Sport Darts</t>
  </si>
  <si>
    <t>RODRIGUES Daniel</t>
  </si>
  <si>
    <t>SANTOS Nuno</t>
  </si>
  <si>
    <t>FLORO Frederico</t>
  </si>
  <si>
    <t>MARQUES Jorge</t>
  </si>
  <si>
    <t>FRAUSTO Manuel</t>
  </si>
  <si>
    <t>DA CRUZ Carlos Manuel</t>
  </si>
  <si>
    <t>FRADE Joao</t>
  </si>
  <si>
    <t>MONTEIRO João</t>
  </si>
  <si>
    <t>DC Heroes</t>
  </si>
  <si>
    <t>CAPEDER Roman</t>
  </si>
  <si>
    <t>NADLER Thomas</t>
  </si>
  <si>
    <t>AMSTUTZ Renè</t>
  </si>
  <si>
    <t>GROB Yanik</t>
  </si>
  <si>
    <t>DEVONAS Sabrina</t>
  </si>
  <si>
    <t>GLUTZ Oliver</t>
  </si>
  <si>
    <t>AESCHLIMANN RENÉ</t>
  </si>
  <si>
    <t>MUELLER Louis</t>
  </si>
  <si>
    <t>SIEGENTHALER Dominik</t>
  </si>
  <si>
    <t>CENNAMO Antonio</t>
  </si>
  <si>
    <t>RUEETSCHLI Michael</t>
  </si>
  <si>
    <t>MINDER Remo</t>
  </si>
  <si>
    <t>GROSS Daniel</t>
  </si>
  <si>
    <t>GROSS Linus</t>
  </si>
  <si>
    <t>SCHELLING Rolf</t>
  </si>
  <si>
    <t>RITTER Simon</t>
  </si>
  <si>
    <t>SCHUBERT Christian</t>
  </si>
  <si>
    <t>GRUETTER Bodo</t>
  </si>
  <si>
    <t>POPOVIC Vladimir</t>
  </si>
  <si>
    <t>MUNDWILER Nico</t>
  </si>
  <si>
    <t>PFAEFFLI Sandra</t>
  </si>
  <si>
    <t>ENGEL Marc</t>
  </si>
  <si>
    <t>DIETRICH Reto</t>
  </si>
  <si>
    <t>JENNI Janick</t>
  </si>
  <si>
    <t>OESCHGER Justin</t>
  </si>
  <si>
    <t>TOGNI Rudolf</t>
  </si>
  <si>
    <t>MOSIMANN Urs</t>
  </si>
  <si>
    <t>SCHENK Marco</t>
  </si>
  <si>
    <t>HODEL Rinaldo</t>
  </si>
  <si>
    <t>MUELLER Joshua</t>
  </si>
  <si>
    <t>BEYELER Reto</t>
  </si>
  <si>
    <t>STADELMANN Marcel</t>
  </si>
  <si>
    <t>KLAEY Fabian</t>
  </si>
  <si>
    <t>AMSTUTZ Hans</t>
  </si>
  <si>
    <t>RICHTER Andreas</t>
  </si>
  <si>
    <t>WITTWER Morris</t>
  </si>
  <si>
    <t>GRAF Daniel</t>
  </si>
  <si>
    <t>LUETHI Jan</t>
  </si>
  <si>
    <t>RAETZ Ralf</t>
  </si>
  <si>
    <t>SAHLI Patric</t>
  </si>
  <si>
    <t>GROCHOLSKI Doreen</t>
  </si>
  <si>
    <t>HALDEMANN Daniel</t>
  </si>
  <si>
    <t>LINDER Nadine</t>
  </si>
  <si>
    <t>SCHENK Florina</t>
  </si>
  <si>
    <t>HOFER Remo</t>
  </si>
  <si>
    <t>EGLI Lukas</t>
  </si>
  <si>
    <t>GÜBELI Stefan</t>
  </si>
  <si>
    <t>PERVIZ Seherzad</t>
  </si>
  <si>
    <t>HAUSER Manuel</t>
  </si>
  <si>
    <t>ROCCA Pasquale</t>
  </si>
  <si>
    <t>DC Lounge 11</t>
  </si>
  <si>
    <t>GOEPFERT Alain</t>
  </si>
  <si>
    <t>MANZI Giuseppe</t>
  </si>
  <si>
    <t>WALDY Manuela</t>
  </si>
  <si>
    <t>RUDIN Roman</t>
  </si>
  <si>
    <t>LUESCHER Martin</t>
  </si>
  <si>
    <t>SARVARI Jan</t>
  </si>
  <si>
    <t>KUNZELMANN Mark</t>
  </si>
  <si>
    <t>CHRISTEN Claude</t>
  </si>
  <si>
    <t>BARONE Fabrizio</t>
  </si>
  <si>
    <t>Otter Darters</t>
  </si>
  <si>
    <t>KNABENHANS Roger</t>
  </si>
  <si>
    <t>IWASZCZUK Daniel</t>
  </si>
  <si>
    <t>BORN Marcel</t>
  </si>
  <si>
    <t xml:space="preserve">RIBI Stefan </t>
  </si>
  <si>
    <t>BARTH Marco</t>
  </si>
  <si>
    <t>DAL MOLIN Jasmin</t>
  </si>
  <si>
    <t>BLASER Patrik</t>
  </si>
  <si>
    <t>SCHOENENBERGER Heinz</t>
  </si>
  <si>
    <t>MUELLER Frank</t>
  </si>
  <si>
    <t>KOLATORSKI Dariusz</t>
  </si>
  <si>
    <t>MUENGER Dario</t>
  </si>
  <si>
    <t>VOGELSANG Rico</t>
  </si>
  <si>
    <t>WINTER Joel</t>
  </si>
  <si>
    <t>MILJEVIC Mirko</t>
  </si>
  <si>
    <t>GABRIEL Leon</t>
  </si>
  <si>
    <t>DE TOFFOL Maurizio</t>
  </si>
  <si>
    <t>VON KLEIST Yannic</t>
  </si>
  <si>
    <t>BUCHER Roger</t>
  </si>
  <si>
    <t>PETROVIC Milos</t>
  </si>
  <si>
    <t>AHLICH Jonas</t>
  </si>
  <si>
    <t>HAPATYN Dominik</t>
  </si>
  <si>
    <t>RAEBER Silas</t>
  </si>
  <si>
    <t>FISCHBACHER Nico</t>
  </si>
  <si>
    <t>RUF Rolf</t>
  </si>
  <si>
    <t>BACHMANN Martin</t>
  </si>
  <si>
    <t>BACHMANN Mael</t>
  </si>
  <si>
    <t>STAUDENMANN Andreas</t>
  </si>
  <si>
    <t>ALTHAUS Saskia</t>
  </si>
  <si>
    <t>AESCHIMANN Thomas</t>
  </si>
  <si>
    <t>BECK Dominik</t>
  </si>
  <si>
    <t>SELAMI Bujamin</t>
  </si>
  <si>
    <t>FROESE Thorsten</t>
  </si>
  <si>
    <t>STEINER Alain</t>
  </si>
  <si>
    <t>HUTZMANN Fabian</t>
  </si>
  <si>
    <t>HERGER Angela</t>
  </si>
  <si>
    <t>LUESCHER Sven</t>
  </si>
  <si>
    <t>KOSIC Milan</t>
  </si>
  <si>
    <t>GERIG Daniela</t>
  </si>
  <si>
    <t>LINDER Arno</t>
  </si>
  <si>
    <t>OYTUN Durmus</t>
  </si>
  <si>
    <t>OYTON Erika</t>
  </si>
  <si>
    <t>GISLER Stefan</t>
  </si>
  <si>
    <t>SCHWARZ Sven</t>
  </si>
  <si>
    <t>CAINZOS Yannick</t>
  </si>
  <si>
    <t>POULTON Neil</t>
  </si>
  <si>
    <t>GRUND Marcus</t>
  </si>
  <si>
    <t>BATTAGLIA Simon</t>
  </si>
  <si>
    <t>BLESS Andreas</t>
  </si>
  <si>
    <t>BAECHLER Nathalie</t>
  </si>
  <si>
    <t>FERRARI Alexis</t>
  </si>
  <si>
    <t>FAHRNI Dan</t>
  </si>
  <si>
    <t>LAENG Michael</t>
  </si>
  <si>
    <t>Anz Best L</t>
  </si>
  <si>
    <t>BADOUX Laetitia</t>
  </si>
  <si>
    <t>077 / 491 '91 '19 ( per W'app )</t>
  </si>
  <si>
    <t>ISLER Peter</t>
  </si>
  <si>
    <t>BATZLI Stéphane</t>
  </si>
  <si>
    <t>STAUFFER Joel</t>
  </si>
  <si>
    <t>JUTZI Stéphanie</t>
  </si>
  <si>
    <t>MEDINA Antonio</t>
  </si>
  <si>
    <t>BURELLI Dino</t>
  </si>
  <si>
    <t>STEINBACH Patrick</t>
  </si>
  <si>
    <t>GERBERT Ralf</t>
  </si>
  <si>
    <t>PHAM Tuan</t>
  </si>
  <si>
    <t>FISCHER Alexander</t>
  </si>
  <si>
    <t>MEIER Stephan</t>
  </si>
  <si>
    <t>1.Liga Block 1</t>
  </si>
  <si>
    <t>SCASSA Stefano</t>
  </si>
  <si>
    <t>NIDEROEST Beat</t>
  </si>
  <si>
    <t>STAHEL GARCIA Pedro</t>
  </si>
  <si>
    <t>LORENZ Olaf</t>
  </si>
  <si>
    <t>STAUB Julien</t>
  </si>
  <si>
    <t>LOMBARDO Lucas</t>
  </si>
  <si>
    <t>BUCCINI Adrien</t>
  </si>
  <si>
    <t>SCHMIDT Gerd</t>
  </si>
  <si>
    <t>PAULY Wolfgang</t>
  </si>
  <si>
    <t>DONNO Claudio</t>
  </si>
  <si>
    <t>RISCH Paul</t>
  </si>
  <si>
    <t>GANESALINGAM Elan</t>
  </si>
  <si>
    <t>ALDERS Gordon</t>
  </si>
  <si>
    <t>Spielberechtigt für Liga</t>
  </si>
  <si>
    <t>1O</t>
  </si>
  <si>
    <t>1W</t>
  </si>
  <si>
    <t>2M</t>
  </si>
  <si>
    <t>2W</t>
  </si>
  <si>
    <t>2N</t>
  </si>
  <si>
    <t>2O</t>
  </si>
  <si>
    <t>2.9.3</t>
  </si>
  <si>
    <t>HD 1.4.2</t>
  </si>
  <si>
    <t>HD 2.1.2</t>
  </si>
  <si>
    <t>HD 2.2.2</t>
  </si>
  <si>
    <t>HD 2.3.2</t>
  </si>
  <si>
    <t>HD 2.4.2</t>
  </si>
  <si>
    <t>GD 1.4</t>
  </si>
  <si>
    <t>GD 2.1.2</t>
  </si>
  <si>
    <t>GD 2.2.2</t>
  </si>
  <si>
    <t>GD 2.3.2</t>
  </si>
  <si>
    <t>GD 1.4.2</t>
  </si>
  <si>
    <t>GD 2.4.2</t>
  </si>
  <si>
    <t>1.1*</t>
  </si>
  <si>
    <t>1.2*</t>
  </si>
  <si>
    <t>1.3*</t>
  </si>
  <si>
    <t>1.4*</t>
  </si>
  <si>
    <t>1.5*</t>
  </si>
  <si>
    <t>1.6*</t>
  </si>
  <si>
    <t>1.7*</t>
  </si>
  <si>
    <t>1.8*</t>
  </si>
  <si>
    <t>2.1*</t>
  </si>
  <si>
    <t>2.2*</t>
  </si>
  <si>
    <t>2.3*</t>
  </si>
  <si>
    <t>2.4*</t>
  </si>
  <si>
    <t>2.5*</t>
  </si>
  <si>
    <t>2.6*</t>
  </si>
  <si>
    <t>2.7*</t>
  </si>
  <si>
    <t>2.8*</t>
  </si>
  <si>
    <t>3.1*</t>
  </si>
  <si>
    <t>3.2*</t>
  </si>
  <si>
    <t>3.3*</t>
  </si>
  <si>
    <t>3.4*</t>
  </si>
  <si>
    <t>3.5*</t>
  </si>
  <si>
    <t>3.6*</t>
  </si>
  <si>
    <t>3.7*</t>
  </si>
  <si>
    <t>3.8*</t>
  </si>
  <si>
    <t>4.1*</t>
  </si>
  <si>
    <t>KIKLIC Nedeljko</t>
  </si>
  <si>
    <t>FURRER Dario</t>
  </si>
  <si>
    <t>GEISSBÜHLER Ercan</t>
  </si>
  <si>
    <t>STRITTMATTER Michaël</t>
  </si>
  <si>
    <t>COSTA Marco</t>
  </si>
  <si>
    <t>HEIMANN Andreas</t>
  </si>
  <si>
    <t>CHRISTEN Andre</t>
  </si>
  <si>
    <t>FELTHAUS Jonathan</t>
  </si>
  <si>
    <t>STRACH Carlos</t>
  </si>
  <si>
    <t>MALLA Jankidar</t>
  </si>
  <si>
    <t>FLACTION Laurent</t>
  </si>
  <si>
    <t>STEBLER Roger</t>
  </si>
  <si>
    <t>VON ALLMEN Daniel</t>
  </si>
  <si>
    <t>GLOOR Joel</t>
  </si>
  <si>
    <t>MANDLEHR Kevin</t>
  </si>
  <si>
    <t>BLASER Martin</t>
  </si>
  <si>
    <t>ZARIC Obrad</t>
  </si>
  <si>
    <t>TSCHUDIN Walter</t>
  </si>
  <si>
    <t>WALKER Robert</t>
  </si>
  <si>
    <t>DÉTRÉ Christophe</t>
  </si>
  <si>
    <t>BIRCHLER Alik</t>
  </si>
  <si>
    <t>KÄLIN Markus</t>
  </si>
  <si>
    <t>TAMBORINO Joao Filipe</t>
  </si>
  <si>
    <t>FERREIRA DOS REIS Bryan</t>
  </si>
  <si>
    <t>SETTON Alejandro</t>
  </si>
  <si>
    <t>STAUB Pascal</t>
  </si>
  <si>
    <t>HOFER-WUETHRICH Maria</t>
  </si>
  <si>
    <t>PERRET Roger</t>
  </si>
  <si>
    <t>LÜSCHER Marcel</t>
  </si>
  <si>
    <t>Nussbaum Silvan</t>
  </si>
  <si>
    <t>ZAHND Olivier</t>
  </si>
  <si>
    <t>HÄSLER Sandro</t>
  </si>
  <si>
    <t>NGOKPHO Natthawut</t>
  </si>
  <si>
    <t>08.02.25</t>
  </si>
  <si>
    <t>Runde 10</t>
  </si>
  <si>
    <t>VALENTE Gaspar</t>
  </si>
  <si>
    <t>MELO Marco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</si>
</sst>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_ * #,##0.00_ ;_ * \-#,##0.00_ ;_ * &quot;-&quot;??_ ;_ @_ "/>
    <numFmt numFmtId="165" formatCode="0.0"/>
    <numFmt numFmtId="166" formatCode="dd/mm/yy;@"/>
    <numFmt numFmtId="167" formatCode="0.000"/>
  </numFmts>
  <fonts count="93">
    <font>
      <sz val="11"/>
      <color theme="1"/>
      <name val="Aptos Narrow"/>
      <family val="2"/>
      <scheme val="minor"/>
    </font>
    <font>
      <sz val="36"/>
      <name val="Verdana"/>
      <family val="2"/>
    </font>
    <font>
      <sz val="17"/>
      <name val="Verdana"/>
      <family val="2"/>
    </font>
    <font>
      <b/>
      <sz val="10"/>
      <name val="Arial"/>
      <family val="2"/>
    </font>
    <font>
      <sz val="10"/>
      <name val="Arial"/>
      <family val="2"/>
    </font>
    <font>
      <sz val="12"/>
      <name val="Arial"/>
      <family val="2"/>
    </font>
    <font>
      <b/>
      <sz val="14"/>
      <name val="Arial"/>
      <family val="2"/>
    </font>
    <font>
      <b/>
      <sz val="12"/>
      <name val="Arial"/>
      <family val="2"/>
    </font>
    <font>
      <sz val="8"/>
      <name val="Aptos Narrow"/>
      <family val="2"/>
      <scheme val="minor"/>
    </font>
    <font>
      <b/>
      <sz val="10"/>
      <color indexed="9"/>
      <name val="Verdana"/>
      <family val="2"/>
    </font>
    <font>
      <sz val="11"/>
      <color theme="1"/>
      <name val="Verdana"/>
      <family val="2"/>
    </font>
    <font>
      <sz val="20"/>
      <color theme="1"/>
      <name val="Verdana"/>
      <family val="2"/>
    </font>
    <font>
      <sz val="22"/>
      <color theme="1"/>
      <name val="Verdana"/>
      <family val="2"/>
    </font>
    <font>
      <sz val="26"/>
      <color theme="1"/>
      <name val="Verdana"/>
      <family val="2"/>
    </font>
    <font>
      <sz val="18"/>
      <color theme="1"/>
      <name val="Verdana"/>
      <family val="2"/>
    </font>
    <font>
      <sz val="18"/>
      <color rgb="FFFF0000"/>
      <name val="Verdana"/>
      <family val="2"/>
    </font>
    <font>
      <u/>
      <sz val="11"/>
      <color theme="10"/>
      <name val="Aptos Narrow"/>
      <family val="2"/>
      <scheme val="minor"/>
    </font>
    <font>
      <i/>
      <sz val="11"/>
      <color theme="1"/>
      <name val="Verdana"/>
      <family val="2"/>
    </font>
    <font>
      <sz val="28"/>
      <color theme="1"/>
      <name val="Verdana"/>
      <family val="2"/>
    </font>
    <font>
      <sz val="24"/>
      <color theme="1"/>
      <name val="Verdana"/>
      <family val="2"/>
    </font>
    <font>
      <b/>
      <sz val="11"/>
      <color theme="1"/>
      <name val="Verdana"/>
      <family val="2"/>
    </font>
    <font>
      <b/>
      <u/>
      <sz val="11"/>
      <color theme="10"/>
      <name val="Verdana"/>
      <family val="2"/>
    </font>
    <font>
      <sz val="10"/>
      <color indexed="8"/>
      <name val="MS Sans Serif"/>
      <family val="2"/>
    </font>
    <font>
      <sz val="10"/>
      <name val="Verdana"/>
      <family val="2"/>
    </font>
    <font>
      <sz val="10"/>
      <color indexed="8"/>
      <name val="Verdana"/>
      <family val="2"/>
    </font>
    <font>
      <b/>
      <sz val="10"/>
      <name val="Verdana"/>
      <family val="2"/>
    </font>
    <font>
      <sz val="10"/>
      <color indexed="10"/>
      <name val="Verdana"/>
      <family val="2"/>
    </font>
    <font>
      <sz val="9"/>
      <name val="Arial Narrow"/>
      <family val="2"/>
    </font>
    <font>
      <sz val="9"/>
      <color indexed="8"/>
      <name val="Arial Narrow"/>
      <family val="2"/>
    </font>
    <font>
      <sz val="9"/>
      <name val="Verdana"/>
      <family val="2"/>
    </font>
    <font>
      <b/>
      <sz val="1"/>
      <color indexed="9"/>
      <name val="Verdana"/>
      <family val="2"/>
    </font>
    <font>
      <b/>
      <sz val="14"/>
      <name val="Verdana"/>
      <family val="2"/>
    </font>
    <font>
      <b/>
      <sz val="16"/>
      <name val="Verdana"/>
      <family val="2"/>
    </font>
    <font>
      <b/>
      <sz val="14"/>
      <color indexed="9"/>
      <name val="Verdana"/>
      <family val="2"/>
    </font>
    <font>
      <b/>
      <sz val="16"/>
      <color indexed="9"/>
      <name val="Verdana"/>
      <family val="2"/>
    </font>
    <font>
      <b/>
      <sz val="12"/>
      <color indexed="10"/>
      <name val="Verdana"/>
      <family val="2"/>
    </font>
    <font>
      <b/>
      <sz val="12"/>
      <color indexed="13"/>
      <name val="Verdana"/>
      <family val="2"/>
    </font>
    <font>
      <b/>
      <sz val="10"/>
      <color indexed="10"/>
      <name val="Verdana"/>
      <family val="2"/>
    </font>
    <font>
      <b/>
      <sz val="9"/>
      <color indexed="10"/>
      <name val="Verdana"/>
      <family val="2"/>
    </font>
    <font>
      <sz val="11"/>
      <color theme="0"/>
      <name val="Verdana"/>
      <family val="2"/>
    </font>
    <font>
      <sz val="1"/>
      <color theme="1"/>
      <name val="Verdana"/>
      <family val="2"/>
    </font>
    <font>
      <b/>
      <sz val="11"/>
      <color theme="0"/>
      <name val="Verdana"/>
      <family val="2"/>
    </font>
    <font>
      <sz val="11"/>
      <name val="Verdana"/>
      <family val="2"/>
    </font>
    <font>
      <b/>
      <sz val="1"/>
      <name val="Verdana"/>
      <family val="2"/>
    </font>
    <font>
      <sz val="5"/>
      <color theme="1"/>
      <name val="Verdana"/>
      <family val="2"/>
    </font>
    <font>
      <sz val="11"/>
      <color rgb="FFFF0000"/>
      <name val="Verdana"/>
      <family val="2"/>
    </font>
    <font>
      <b/>
      <sz val="10"/>
      <color indexed="9"/>
      <name val="Arial"/>
      <family val="2"/>
    </font>
    <font>
      <sz val="11"/>
      <color indexed="9"/>
      <name val="Verdana"/>
      <family val="2"/>
    </font>
    <font>
      <b/>
      <sz val="11"/>
      <color rgb="FFFF0000"/>
      <name val="Verdana"/>
      <family val="2"/>
    </font>
    <font>
      <sz val="10"/>
      <color indexed="9"/>
      <name val="Verdana"/>
      <family val="2"/>
    </font>
    <font>
      <sz val="14"/>
      <color indexed="9"/>
      <name val="Verdana"/>
      <family val="2"/>
    </font>
    <font>
      <sz val="14"/>
      <name val="Verdana"/>
      <family val="2"/>
    </font>
    <font>
      <b/>
      <sz val="12"/>
      <color indexed="9"/>
      <name val="Verdana"/>
      <family val="2"/>
    </font>
    <font>
      <b/>
      <sz val="10"/>
      <color indexed="23"/>
      <name val="Verdana"/>
      <family val="2"/>
    </font>
    <font>
      <b/>
      <sz val="11"/>
      <color theme="1"/>
      <name val="Aptos Narrow"/>
      <family val="2"/>
      <scheme val="minor"/>
    </font>
    <font>
      <sz val="20"/>
      <name val="Verdana"/>
      <family val="2"/>
    </font>
    <font>
      <b/>
      <sz val="20"/>
      <color indexed="9"/>
      <name val="Verdana"/>
      <family val="2"/>
    </font>
    <font>
      <b/>
      <sz val="20"/>
      <name val="Verdana"/>
      <family val="2"/>
    </font>
    <font>
      <sz val="10"/>
      <color indexed="22"/>
      <name val="Verdana"/>
      <family val="2"/>
    </font>
    <font>
      <sz val="22"/>
      <name val="Verdana"/>
      <family val="2"/>
    </font>
    <font>
      <b/>
      <sz val="22"/>
      <name val="Verdana"/>
      <family val="2"/>
    </font>
    <font>
      <b/>
      <sz val="14"/>
      <color theme="0"/>
      <name val="Verdana"/>
      <family val="2"/>
    </font>
    <font>
      <sz val="12"/>
      <color indexed="9"/>
      <name val="Verdana"/>
      <family val="2"/>
    </font>
    <font>
      <b/>
      <sz val="12"/>
      <color theme="0"/>
      <name val="Verdana"/>
      <family val="2"/>
    </font>
    <font>
      <b/>
      <sz val="12"/>
      <name val="Verdana"/>
      <family val="2"/>
    </font>
    <font>
      <sz val="12"/>
      <name val="Verdana"/>
      <family val="2"/>
    </font>
    <font>
      <sz val="12"/>
      <color indexed="8"/>
      <name val="Verdana"/>
      <family val="2"/>
    </font>
    <font>
      <b/>
      <i/>
      <sz val="12"/>
      <color indexed="13"/>
      <name val="Verdana"/>
      <family val="2"/>
    </font>
    <font>
      <sz val="12"/>
      <color indexed="22"/>
      <name val="Verdana"/>
      <family val="2"/>
    </font>
    <font>
      <sz val="8"/>
      <name val="Verdana"/>
      <family val="2"/>
    </font>
    <font>
      <b/>
      <i/>
      <sz val="12"/>
      <name val="Verdana"/>
      <family val="2"/>
    </font>
    <font>
      <b/>
      <sz val="18"/>
      <color theme="0"/>
      <name val="Verdana"/>
      <family val="2"/>
    </font>
    <font>
      <sz val="10"/>
      <color theme="0"/>
      <name val="Verdana"/>
      <family val="2"/>
    </font>
    <font>
      <sz val="14"/>
      <color theme="0"/>
      <name val="Verdana"/>
      <family val="2"/>
    </font>
    <font>
      <sz val="14"/>
      <color rgb="FFFF0000"/>
      <name val="Verdana"/>
      <family val="2"/>
    </font>
    <font>
      <sz val="16"/>
      <color theme="0"/>
      <name val="Verdana"/>
      <family val="2"/>
    </font>
    <font>
      <b/>
      <i/>
      <sz val="10"/>
      <color indexed="9"/>
      <name val="Verdana"/>
      <family val="2"/>
    </font>
    <font>
      <i/>
      <sz val="10"/>
      <color indexed="9"/>
      <name val="Verdana"/>
      <family val="2"/>
    </font>
    <font>
      <sz val="14"/>
      <color rgb="FF202124"/>
      <name val="Inherit"/>
    </font>
    <font>
      <sz val="14"/>
      <color theme="0" tint="-0.14999847407452621"/>
      <name val="Verdana"/>
      <family val="2"/>
    </font>
    <font>
      <sz val="14"/>
      <color theme="5" tint="0.39997558519241921"/>
      <name val="Verdana"/>
      <family val="2"/>
    </font>
    <font>
      <b/>
      <i/>
      <sz val="24"/>
      <color theme="1"/>
      <name val="Verdana"/>
      <family val="2"/>
    </font>
    <font>
      <b/>
      <sz val="26"/>
      <color theme="1"/>
      <name val="Verdana"/>
      <family val="2"/>
    </font>
    <font>
      <b/>
      <sz val="36"/>
      <name val="Verdana"/>
      <family val="2"/>
    </font>
    <font>
      <b/>
      <sz val="24"/>
      <color theme="0"/>
      <name val="Verdana"/>
      <family val="2"/>
    </font>
    <font>
      <b/>
      <sz val="24"/>
      <color theme="1"/>
      <name val="Verdana"/>
      <family val="2"/>
    </font>
    <font>
      <sz val="10"/>
      <color rgb="FF000000"/>
      <name val="Verdana"/>
      <family val="2"/>
    </font>
    <font>
      <sz val="10"/>
      <color rgb="FF0000FF"/>
      <name val="Verdana"/>
      <family val="2"/>
    </font>
    <font>
      <sz val="10"/>
      <color rgb="FFFF0000"/>
      <name val="Verdana"/>
      <family val="2"/>
    </font>
    <font>
      <sz val="11"/>
      <color rgb="FF000000"/>
      <name val="Calibri"/>
      <family val="2"/>
    </font>
    <font>
      <sz val="11"/>
      <color rgb="FF000000"/>
      <name val="Arial"/>
      <family val="2"/>
    </font>
    <font>
      <sz val="11"/>
      <color indexed="8"/>
      <name val="Calibri"/>
      <family val="2"/>
    </font>
    <font>
      <sz val="11"/>
      <color indexed="9"/>
      <name val="Calibri"/>
      <family val="2"/>
    </font>
  </fonts>
  <fills count="43">
    <fill>
      <patternFill patternType="none"/>
    </fill>
    <fill>
      <patternFill patternType="gray125"/>
    </fill>
    <fill>
      <patternFill patternType="solid">
        <fgColor rgb="FFFFFF00"/>
        <bgColor indexed="64"/>
      </patternFill>
    </fill>
    <fill>
      <patternFill patternType="solid">
        <fgColor rgb="FFFF0000"/>
        <bgColor indexed="64"/>
      </patternFill>
    </fill>
    <fill>
      <patternFill patternType="solid">
        <fgColor theme="0" tint="-0.14999847407452621"/>
        <bgColor indexed="64"/>
      </patternFill>
    </fill>
    <fill>
      <patternFill patternType="solid">
        <fgColor indexed="22"/>
        <bgColor indexed="64"/>
      </patternFill>
    </fill>
    <fill>
      <patternFill patternType="solid">
        <fgColor indexed="10"/>
        <bgColor indexed="64"/>
      </patternFill>
    </fill>
    <fill>
      <patternFill patternType="solid">
        <fgColor rgb="FFFFC000"/>
        <bgColor indexed="64"/>
      </patternFill>
    </fill>
    <fill>
      <patternFill patternType="solid">
        <fgColor theme="4" tint="0.79998168889431442"/>
        <bgColor indexed="64"/>
      </patternFill>
    </fill>
    <fill>
      <patternFill patternType="solid">
        <fgColor indexed="23"/>
        <bgColor indexed="64"/>
      </patternFill>
    </fill>
    <fill>
      <patternFill patternType="solid">
        <fgColor indexed="9"/>
        <bgColor indexed="64"/>
      </patternFill>
    </fill>
    <fill>
      <patternFill patternType="solid">
        <fgColor theme="0" tint="-0.499984740745262"/>
        <bgColor indexed="64"/>
      </patternFill>
    </fill>
    <fill>
      <patternFill patternType="solid">
        <fgColor theme="3" tint="0.89999084444715716"/>
        <bgColor indexed="64"/>
      </patternFill>
    </fill>
    <fill>
      <patternFill patternType="solid">
        <fgColor theme="5" tint="0.79998168889431442"/>
        <bgColor indexed="64"/>
      </patternFill>
    </fill>
    <fill>
      <patternFill patternType="solid">
        <fgColor theme="0"/>
        <bgColor indexed="64"/>
      </patternFill>
    </fill>
    <fill>
      <patternFill patternType="solid">
        <fgColor rgb="FF92D050"/>
        <bgColor indexed="64"/>
      </patternFill>
    </fill>
    <fill>
      <patternFill patternType="solid">
        <fgColor rgb="FF00B0F0"/>
        <bgColor indexed="64"/>
      </patternFill>
    </fill>
    <fill>
      <patternFill patternType="solid">
        <fgColor theme="5"/>
        <bgColor indexed="64"/>
      </patternFill>
    </fill>
    <fill>
      <patternFill patternType="solid">
        <fgColor theme="0" tint="-4.9989318521683403E-2"/>
        <bgColor indexed="64"/>
      </patternFill>
    </fill>
    <fill>
      <patternFill patternType="solid">
        <fgColor theme="0" tint="-0.249977111117893"/>
        <bgColor indexed="64"/>
      </patternFill>
    </fill>
    <fill>
      <patternFill patternType="solid">
        <fgColor rgb="FFFD7C59"/>
        <bgColor indexed="64"/>
      </patternFill>
    </fill>
    <fill>
      <patternFill patternType="solid">
        <fgColor indexed="13"/>
        <bgColor indexed="64"/>
      </patternFill>
    </fill>
    <fill>
      <patternFill patternType="solid">
        <fgColor indexed="50"/>
        <bgColor indexed="64"/>
      </patternFill>
    </fill>
    <fill>
      <patternFill patternType="solid">
        <fgColor indexed="8"/>
        <bgColor indexed="64"/>
      </patternFill>
    </fill>
    <fill>
      <patternFill patternType="solid">
        <fgColor indexed="44"/>
        <bgColor indexed="64"/>
      </patternFill>
    </fill>
    <fill>
      <patternFill patternType="solid">
        <fgColor rgb="FFC00000"/>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5" tint="0.39997558519241921"/>
        <bgColor indexed="64"/>
      </patternFill>
    </fill>
    <fill>
      <patternFill patternType="solid">
        <fgColor theme="6" tint="0.79998168889431442"/>
        <bgColor indexed="64"/>
      </patternFill>
    </fill>
    <fill>
      <patternFill patternType="solid">
        <fgColor rgb="FFC0C0C0"/>
        <bgColor rgb="FF000000"/>
      </patternFill>
    </fill>
    <fill>
      <patternFill patternType="solid">
        <fgColor rgb="FFFF0000"/>
        <bgColor rgb="FF000000"/>
      </patternFill>
    </fill>
    <fill>
      <patternFill patternType="solid">
        <fgColor indexed="27"/>
      </patternFill>
    </fill>
    <fill>
      <patternFill patternType="solid">
        <fgColor indexed="22"/>
      </patternFill>
    </fill>
    <fill>
      <patternFill patternType="solid">
        <fgColor indexed="26"/>
      </patternFill>
    </fill>
    <fill>
      <patternFill patternType="solid">
        <fgColor indexed="44"/>
      </patternFill>
    </fill>
    <fill>
      <patternFill patternType="solid">
        <fgColor indexed="29"/>
      </patternFill>
    </fill>
    <fill>
      <patternFill patternType="solid">
        <fgColor indexed="43"/>
      </patternFill>
    </fill>
    <fill>
      <patternFill patternType="solid">
        <fgColor indexed="45"/>
      </patternFill>
    </fill>
    <fill>
      <patternFill patternType="solid">
        <fgColor indexed="53"/>
      </patternFill>
    </fill>
    <fill>
      <patternFill patternType="solid">
        <fgColor indexed="51"/>
      </patternFill>
    </fill>
    <fill>
      <patternFill patternType="solid">
        <fgColor theme="9" tint="0.79998168889431442"/>
        <bgColor indexed="64"/>
      </patternFill>
    </fill>
    <fill>
      <patternFill patternType="solid">
        <fgColor theme="6" tint="0.39997558519241921"/>
        <bgColor indexed="64"/>
      </patternFill>
    </fill>
  </fills>
  <borders count="108">
    <border>
      <left/>
      <right/>
      <top/>
      <bottom/>
      <diagonal/>
    </border>
    <border>
      <left style="thin">
        <color indexed="9"/>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rgb="FFFF0000"/>
      </left>
      <right style="thin">
        <color auto="1"/>
      </right>
      <top style="thin">
        <color rgb="FFFF0000"/>
      </top>
      <bottom style="thin">
        <color auto="1"/>
      </bottom>
      <diagonal/>
    </border>
    <border>
      <left style="thin">
        <color rgb="FFFF0000"/>
      </left>
      <right/>
      <top style="thin">
        <color rgb="FFFF0000"/>
      </top>
      <bottom style="thin">
        <color auto="1"/>
      </bottom>
      <diagonal/>
    </border>
    <border>
      <left/>
      <right/>
      <top style="thin">
        <color rgb="FFFF0000"/>
      </top>
      <bottom style="thin">
        <color auto="1"/>
      </bottom>
      <diagonal/>
    </border>
    <border>
      <left/>
      <right style="thin">
        <color auto="1"/>
      </right>
      <top style="thin">
        <color rgb="FFFF0000"/>
      </top>
      <bottom style="thin">
        <color auto="1"/>
      </bottom>
      <diagonal/>
    </border>
    <border>
      <left/>
      <right/>
      <top/>
      <bottom style="thin">
        <color rgb="FFFF0000"/>
      </bottom>
      <diagonal/>
    </border>
    <border>
      <left/>
      <right style="thin">
        <color indexed="64"/>
      </right>
      <top style="thin">
        <color indexed="64"/>
      </top>
      <bottom style="thin">
        <color indexed="64"/>
      </bottom>
      <diagonal/>
    </border>
    <border>
      <left style="thin">
        <color indexed="64"/>
      </left>
      <right style="thin">
        <color indexed="64"/>
      </right>
      <top style="thin">
        <color rgb="FFFF0000"/>
      </top>
      <bottom style="thin">
        <color indexed="64"/>
      </bottom>
      <diagonal/>
    </border>
    <border>
      <left style="thin">
        <color indexed="10"/>
      </left>
      <right style="thin">
        <color indexed="64"/>
      </right>
      <top style="thin">
        <color indexed="10"/>
      </top>
      <bottom style="thin">
        <color indexed="64"/>
      </bottom>
      <diagonal/>
    </border>
    <border>
      <left style="thin">
        <color indexed="10"/>
      </left>
      <right/>
      <top style="thin">
        <color indexed="10"/>
      </top>
      <bottom style="thin">
        <color indexed="64"/>
      </bottom>
      <diagonal/>
    </border>
    <border>
      <left/>
      <right/>
      <top style="thin">
        <color indexed="10"/>
      </top>
      <bottom style="thin">
        <color indexed="64"/>
      </bottom>
      <diagonal/>
    </border>
    <border>
      <left/>
      <right style="thin">
        <color indexed="64"/>
      </right>
      <top style="thin">
        <color indexed="10"/>
      </top>
      <bottom style="thin">
        <color indexed="64"/>
      </bottom>
      <diagonal/>
    </border>
    <border>
      <left style="thin">
        <color indexed="10"/>
      </left>
      <right/>
      <top style="thin">
        <color indexed="64"/>
      </top>
      <bottom style="thin">
        <color indexed="64"/>
      </bottom>
      <diagonal/>
    </border>
    <border>
      <left/>
      <right/>
      <top style="thin">
        <color indexed="64"/>
      </top>
      <bottom style="thin">
        <color indexed="64"/>
      </bottom>
      <diagonal/>
    </border>
    <border>
      <left style="thin">
        <color indexed="10"/>
      </left>
      <right style="medium">
        <color indexed="64"/>
      </right>
      <top style="thin">
        <color indexed="10"/>
      </top>
      <bottom style="medium">
        <color indexed="64"/>
      </bottom>
      <diagonal/>
    </border>
    <border>
      <left style="thin">
        <color indexed="10"/>
      </left>
      <right/>
      <top style="thin">
        <color indexed="10"/>
      </top>
      <bottom/>
      <diagonal/>
    </border>
    <border>
      <left/>
      <right/>
      <top style="thin">
        <color indexed="10"/>
      </top>
      <bottom/>
      <diagonal/>
    </border>
    <border>
      <left/>
      <right style="thin">
        <color indexed="64"/>
      </right>
      <top style="thin">
        <color indexed="10"/>
      </top>
      <bottom/>
      <diagonal/>
    </border>
    <border>
      <left style="thin">
        <color indexed="10"/>
      </left>
      <right style="thin">
        <color indexed="64"/>
      </right>
      <top style="thin">
        <color indexed="10"/>
      </top>
      <bottom/>
      <diagonal/>
    </border>
    <border>
      <left style="thin">
        <color indexed="10"/>
      </left>
      <right/>
      <top/>
      <bottom/>
      <diagonal/>
    </border>
    <border>
      <left/>
      <right style="thin">
        <color indexed="64"/>
      </right>
      <top/>
      <bottom/>
      <diagonal/>
    </border>
    <border>
      <left style="thin">
        <color indexed="10"/>
      </left>
      <right style="thin">
        <color indexed="64"/>
      </right>
      <top/>
      <bottom/>
      <diagonal/>
    </border>
    <border>
      <left style="thin">
        <color indexed="10"/>
      </left>
      <right style="thin">
        <color indexed="9"/>
      </right>
      <top style="thin">
        <color indexed="10"/>
      </top>
      <bottom style="thin">
        <color indexed="64"/>
      </bottom>
      <diagonal/>
    </border>
    <border>
      <left style="thin">
        <color indexed="9"/>
      </left>
      <right style="thin">
        <color indexed="64"/>
      </right>
      <top style="thin">
        <color indexed="10"/>
      </top>
      <bottom style="thin">
        <color indexed="64"/>
      </bottom>
      <diagonal/>
    </border>
    <border>
      <left style="thin">
        <color indexed="10"/>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10"/>
      </left>
      <right style="thin">
        <color indexed="64"/>
      </right>
      <top/>
      <bottom style="thin">
        <color indexed="64"/>
      </bottom>
      <diagonal/>
    </border>
    <border>
      <left style="thin">
        <color indexed="64"/>
      </left>
      <right style="thin">
        <color indexed="64"/>
      </right>
      <top style="thin">
        <color indexed="10"/>
      </top>
      <bottom style="thin">
        <color indexed="64"/>
      </bottom>
      <diagonal/>
    </border>
    <border>
      <left/>
      <right style="thin">
        <color indexed="9"/>
      </right>
      <top/>
      <bottom/>
      <diagonal/>
    </border>
    <border>
      <left/>
      <right/>
      <top style="thin">
        <color indexed="9"/>
      </top>
      <bottom/>
      <diagonal/>
    </border>
    <border>
      <left/>
      <right style="thin">
        <color indexed="9"/>
      </right>
      <top style="thin">
        <color indexed="9"/>
      </top>
      <bottom/>
      <diagonal/>
    </border>
    <border>
      <left/>
      <right style="thin">
        <color indexed="9"/>
      </right>
      <top/>
      <bottom style="thin">
        <color indexed="10"/>
      </bottom>
      <diagonal/>
    </border>
    <border>
      <left style="thin">
        <color indexed="9"/>
      </left>
      <right/>
      <top style="thin">
        <color indexed="9"/>
      </top>
      <bottom/>
      <diagonal/>
    </border>
    <border>
      <left/>
      <right style="thin">
        <color indexed="9"/>
      </right>
      <top style="thin">
        <color indexed="10"/>
      </top>
      <bottom/>
      <diagonal/>
    </border>
    <border>
      <left style="thin">
        <color indexed="22"/>
      </left>
      <right style="thin">
        <color indexed="64"/>
      </right>
      <top style="thin">
        <color indexed="10"/>
      </top>
      <bottom style="thin">
        <color indexed="64"/>
      </bottom>
      <diagonal/>
    </border>
    <border>
      <left style="thin">
        <color indexed="10"/>
      </left>
      <right style="thin">
        <color indexed="64"/>
      </right>
      <top style="thin">
        <color indexed="9"/>
      </top>
      <bottom style="thin">
        <color indexed="64"/>
      </bottom>
      <diagonal/>
    </border>
    <border>
      <left style="thin">
        <color indexed="22"/>
      </left>
      <right style="thin">
        <color indexed="64"/>
      </right>
      <top style="thin">
        <color indexed="9"/>
      </top>
      <bottom style="thin">
        <color indexed="64"/>
      </bottom>
      <diagonal/>
    </border>
    <border>
      <left style="thin">
        <color indexed="64"/>
      </left>
      <right/>
      <top style="thin">
        <color indexed="64"/>
      </top>
      <bottom style="thin">
        <color indexed="64"/>
      </bottom>
      <diagonal/>
    </border>
    <border>
      <left style="thin">
        <color indexed="9"/>
      </left>
      <right style="thin">
        <color indexed="9"/>
      </right>
      <top style="thin">
        <color indexed="10"/>
      </top>
      <bottom style="thin">
        <color indexed="64"/>
      </bottom>
      <diagonal/>
    </border>
    <border>
      <left style="thin">
        <color indexed="23"/>
      </left>
      <right style="thin">
        <color indexed="64"/>
      </right>
      <top style="thin">
        <color indexed="10"/>
      </top>
      <bottom style="thin">
        <color indexed="64"/>
      </bottom>
      <diagonal/>
    </border>
    <border>
      <left style="thin">
        <color indexed="64"/>
      </left>
      <right style="thin">
        <color indexed="9"/>
      </right>
      <top style="thin">
        <color rgb="FFFF0000"/>
      </top>
      <bottom style="thin">
        <color indexed="64"/>
      </bottom>
      <diagonal/>
    </border>
    <border>
      <left style="thin">
        <color indexed="23"/>
      </left>
      <right/>
      <top style="thin">
        <color rgb="FFFF0000"/>
      </top>
      <bottom style="thin">
        <color indexed="64"/>
      </bottom>
      <diagonal/>
    </border>
    <border>
      <left style="thin">
        <color indexed="10"/>
      </left>
      <right style="thin">
        <color indexed="9"/>
      </right>
      <top style="thin">
        <color rgb="FFFF0000"/>
      </top>
      <bottom style="thin">
        <color indexed="64"/>
      </bottom>
      <diagonal/>
    </border>
    <border>
      <left style="thin">
        <color indexed="23"/>
      </left>
      <right style="thin">
        <color indexed="23"/>
      </right>
      <top style="thin">
        <color rgb="FFFF0000"/>
      </top>
      <bottom style="thin">
        <color indexed="64"/>
      </bottom>
      <diagonal/>
    </border>
    <border>
      <left/>
      <right/>
      <top style="thin">
        <color indexed="64"/>
      </top>
      <bottom/>
      <diagonal/>
    </border>
    <border>
      <left style="thin">
        <color indexed="64"/>
      </left>
      <right/>
      <top style="thin">
        <color indexed="10"/>
      </top>
      <bottom style="thin">
        <color indexed="64"/>
      </bottom>
      <diagonal/>
    </border>
    <border>
      <left style="thin">
        <color indexed="64"/>
      </left>
      <right/>
      <top style="thin">
        <color rgb="FFFF0000"/>
      </top>
      <bottom style="thin">
        <color indexed="64"/>
      </bottom>
      <diagonal/>
    </border>
    <border>
      <left style="thin">
        <color indexed="64"/>
      </left>
      <right style="thin">
        <color indexed="64"/>
      </right>
      <top/>
      <bottom style="thin">
        <color indexed="64"/>
      </bottom>
      <diagonal/>
    </border>
    <border>
      <left style="thin">
        <color indexed="23"/>
      </left>
      <right style="thin">
        <color indexed="23"/>
      </right>
      <top style="thin">
        <color indexed="10"/>
      </top>
      <bottom style="thin">
        <color indexed="64"/>
      </bottom>
      <diagonal/>
    </border>
    <border>
      <left style="thin">
        <color indexed="23"/>
      </left>
      <right/>
      <top style="thin">
        <color indexed="10"/>
      </top>
      <bottom style="thin">
        <color indexed="64"/>
      </bottom>
      <diagonal/>
    </border>
    <border>
      <left style="thin">
        <color indexed="64"/>
      </left>
      <right style="thin">
        <color indexed="23"/>
      </right>
      <top style="thin">
        <color indexed="10"/>
      </top>
      <bottom/>
      <diagonal/>
    </border>
    <border>
      <left style="thin">
        <color indexed="64"/>
      </left>
      <right style="thin">
        <color indexed="23"/>
      </right>
      <top style="thin">
        <color indexed="64"/>
      </top>
      <bottom style="thin">
        <color indexed="64"/>
      </bottom>
      <diagonal/>
    </border>
    <border>
      <left/>
      <right/>
      <top/>
      <bottom style="thin">
        <color indexed="55"/>
      </bottom>
      <diagonal/>
    </border>
    <border>
      <left/>
      <right style="thin">
        <color indexed="55"/>
      </right>
      <top/>
      <bottom style="thin">
        <color indexed="55"/>
      </bottom>
      <diagonal/>
    </border>
    <border>
      <left style="thin">
        <color indexed="55"/>
      </left>
      <right style="thin">
        <color indexed="55"/>
      </right>
      <top/>
      <bottom style="thin">
        <color indexed="55"/>
      </bottom>
      <diagonal/>
    </border>
    <border>
      <left style="thin">
        <color indexed="64"/>
      </left>
      <right/>
      <top/>
      <bottom style="thin">
        <color indexed="55"/>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style="thin">
        <color indexed="23"/>
      </left>
      <right style="thin">
        <color indexed="64"/>
      </right>
      <top style="thin">
        <color indexed="10"/>
      </top>
      <bottom/>
      <diagonal/>
    </border>
    <border>
      <left style="thin">
        <color indexed="10"/>
      </left>
      <right style="thin">
        <color indexed="64"/>
      </right>
      <top style="thin">
        <color indexed="64"/>
      </top>
      <bottom style="thin">
        <color indexed="64"/>
      </bottom>
      <diagonal/>
    </border>
    <border>
      <left style="thin">
        <color rgb="FFFF0000"/>
      </left>
      <right style="thin">
        <color indexed="64"/>
      </right>
      <top style="thin">
        <color indexed="64"/>
      </top>
      <bottom style="thin">
        <color indexed="64"/>
      </bottom>
      <diagonal/>
    </border>
    <border>
      <left style="thin">
        <color rgb="FFFF0000"/>
      </left>
      <right style="thin">
        <color indexed="64"/>
      </right>
      <top style="thin">
        <color indexed="64"/>
      </top>
      <bottom/>
      <diagonal/>
    </border>
    <border>
      <left style="thin">
        <color indexed="10"/>
      </left>
      <right style="thin">
        <color indexed="64"/>
      </right>
      <top style="thin">
        <color indexed="10"/>
      </top>
      <bottom style="thin">
        <color theme="0"/>
      </bottom>
      <diagonal/>
    </border>
    <border>
      <left style="thin">
        <color indexed="10"/>
      </left>
      <right style="thin">
        <color indexed="64"/>
      </right>
      <top style="thin">
        <color theme="0"/>
      </top>
      <bottom style="thin">
        <color theme="0"/>
      </bottom>
      <diagonal/>
    </border>
    <border>
      <left style="thin">
        <color indexed="10"/>
      </left>
      <right style="thin">
        <color indexed="64"/>
      </right>
      <top style="thin">
        <color theme="0"/>
      </top>
      <bottom/>
      <diagonal/>
    </border>
    <border>
      <left/>
      <right style="thin">
        <color auto="1"/>
      </right>
      <top style="thin">
        <color indexed="10"/>
      </top>
      <bottom/>
      <diagonal/>
    </border>
    <border>
      <left/>
      <right style="thin">
        <color auto="1"/>
      </right>
      <top/>
      <bottom/>
      <diagonal/>
    </border>
    <border>
      <left style="thin">
        <color indexed="10"/>
      </left>
      <right style="thin">
        <color auto="1"/>
      </right>
      <top style="thin">
        <color indexed="10"/>
      </top>
      <bottom style="thin">
        <color auto="1"/>
      </bottom>
      <diagonal/>
    </border>
    <border>
      <left/>
      <right/>
      <top style="medium">
        <color indexed="64"/>
      </top>
      <bottom/>
      <diagonal/>
    </border>
    <border>
      <left style="medium">
        <color indexed="64"/>
      </left>
      <right style="thin">
        <color indexed="64"/>
      </right>
      <top/>
      <bottom style="thin">
        <color indexed="64"/>
      </bottom>
      <diagonal/>
    </border>
    <border>
      <left style="medium">
        <color indexed="64"/>
      </left>
      <right style="thin">
        <color indexed="64"/>
      </right>
      <top/>
      <bottom/>
      <diagonal/>
    </border>
    <border>
      <left style="thin">
        <color auto="1"/>
      </left>
      <right style="thin">
        <color indexed="64"/>
      </right>
      <top/>
      <bottom style="thin">
        <color indexed="64"/>
      </bottom>
      <diagonal/>
    </border>
    <border>
      <left/>
      <right/>
      <top style="thin">
        <color indexed="55"/>
      </top>
      <bottom style="medium">
        <color rgb="FFFF0000"/>
      </bottom>
      <diagonal/>
    </border>
    <border>
      <left/>
      <right style="thin">
        <color indexed="55"/>
      </right>
      <top style="thin">
        <color indexed="55"/>
      </top>
      <bottom style="medium">
        <color rgb="FFFF0000"/>
      </bottom>
      <diagonal/>
    </border>
    <border>
      <left style="thin">
        <color indexed="55"/>
      </left>
      <right style="thin">
        <color indexed="55"/>
      </right>
      <top style="thin">
        <color indexed="55"/>
      </top>
      <bottom style="medium">
        <color rgb="FFFF0000"/>
      </bottom>
      <diagonal/>
    </border>
    <border>
      <left style="thin">
        <color indexed="64"/>
      </left>
      <right/>
      <top style="thin">
        <color indexed="55"/>
      </top>
      <bottom style="medium">
        <color rgb="FFFF0000"/>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thin">
        <color indexed="64"/>
      </top>
      <bottom style="thin">
        <color indexed="64"/>
      </bottom>
      <diagonal/>
    </border>
    <border>
      <left/>
      <right style="medium">
        <color indexed="64"/>
      </right>
      <top/>
      <bottom style="thin">
        <color indexed="64"/>
      </bottom>
      <diagonal/>
    </border>
    <border>
      <left/>
      <right style="medium">
        <color indexed="64"/>
      </right>
      <top/>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top/>
      <bottom style="dashDot">
        <color auto="1"/>
      </bottom>
      <diagonal/>
    </border>
    <border>
      <left/>
      <right/>
      <top style="medium">
        <color indexed="64"/>
      </top>
      <bottom style="dashDot">
        <color indexed="64"/>
      </bottom>
      <diagonal/>
    </border>
    <border>
      <left/>
      <right/>
      <top/>
      <bottom style="thick">
        <color indexed="64"/>
      </bottom>
      <diagonal/>
    </border>
    <border>
      <left style="thin">
        <color indexed="10"/>
      </left>
      <right style="thin">
        <color indexed="64"/>
      </right>
      <top style="thin">
        <color indexed="10"/>
      </top>
      <bottom style="medium">
        <color indexed="64"/>
      </bottom>
      <diagonal/>
    </border>
    <border>
      <left style="thin">
        <color indexed="64"/>
      </left>
      <right style="thin">
        <color indexed="64"/>
      </right>
      <top style="thin">
        <color indexed="10"/>
      </top>
      <bottom style="medium">
        <color indexed="64"/>
      </bottom>
      <diagonal/>
    </border>
    <border>
      <left/>
      <right style="thin">
        <color auto="1"/>
      </right>
      <top style="thin">
        <color indexed="10"/>
      </top>
      <bottom style="medium">
        <color indexed="64"/>
      </bottom>
      <diagonal/>
    </border>
    <border>
      <left style="thin">
        <color indexed="10"/>
      </left>
      <right style="thin">
        <color indexed="64"/>
      </right>
      <top/>
      <bottom style="thin">
        <color indexed="64"/>
      </bottom>
      <diagonal/>
    </border>
    <border>
      <left style="thin">
        <color indexed="10"/>
      </left>
      <right style="thin">
        <color indexed="64"/>
      </right>
      <top style="thin">
        <color indexed="64"/>
      </top>
      <bottom style="medium">
        <color indexed="64"/>
      </bottom>
      <diagonal/>
    </border>
    <border>
      <left style="thin">
        <color indexed="10"/>
      </left>
      <right style="thin">
        <color indexed="64"/>
      </right>
      <top style="medium">
        <color indexed="64"/>
      </top>
      <bottom style="thin">
        <color indexed="64"/>
      </bottom>
      <diagonal/>
    </border>
    <border>
      <left style="thin">
        <color indexed="64"/>
      </left>
      <right style="thin">
        <color auto="1"/>
      </right>
      <top/>
      <bottom style="thin">
        <color indexed="64"/>
      </bottom>
      <diagonal/>
    </border>
    <border>
      <left style="medium">
        <color indexed="64"/>
      </left>
      <right style="medium">
        <color indexed="64"/>
      </right>
      <top/>
      <bottom/>
      <diagonal/>
    </border>
  </borders>
  <cellStyleXfs count="31">
    <xf numFmtId="0" fontId="0" fillId="0" borderId="0"/>
    <xf numFmtId="0" fontId="16"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22" fillId="0" borderId="0"/>
    <xf numFmtId="0" fontId="91" fillId="35" borderId="0" applyNumberFormat="0" applyBorder="0" applyAlignment="0" applyProtection="0"/>
    <xf numFmtId="0" fontId="91" fillId="36" borderId="0" applyNumberFormat="0" applyBorder="0" applyAlignment="0" applyProtection="0"/>
    <xf numFmtId="0" fontId="91" fillId="34" borderId="0" applyNumberFormat="0" applyBorder="0" applyAlignment="0" applyProtection="0"/>
    <xf numFmtId="0" fontId="91" fillId="33" borderId="0" applyNumberFormat="0" applyBorder="0" applyAlignment="0" applyProtection="0"/>
    <xf numFmtId="0" fontId="91" fillId="32" borderId="0" applyNumberFormat="0" applyBorder="0" applyAlignment="0" applyProtection="0"/>
    <xf numFmtId="0" fontId="91" fillId="34" borderId="0" applyNumberFormat="0" applyBorder="0" applyAlignment="0" applyProtection="0"/>
    <xf numFmtId="0" fontId="91" fillId="32" borderId="0" applyNumberFormat="0" applyBorder="0" applyAlignment="0" applyProtection="0"/>
    <xf numFmtId="0" fontId="91" fillId="36" borderId="0" applyNumberFormat="0" applyBorder="0" applyAlignment="0" applyProtection="0"/>
    <xf numFmtId="0" fontId="91" fillId="37" borderId="0" applyNumberFormat="0" applyBorder="0" applyAlignment="0" applyProtection="0"/>
    <xf numFmtId="0" fontId="91" fillId="38" borderId="0" applyNumberFormat="0" applyBorder="0" applyAlignment="0" applyProtection="0"/>
    <xf numFmtId="0" fontId="91" fillId="32" borderId="0" applyNumberFormat="0" applyBorder="0" applyAlignment="0" applyProtection="0"/>
    <xf numFmtId="0" fontId="91" fillId="34" borderId="0" applyNumberFormat="0" applyBorder="0" applyAlignment="0" applyProtection="0"/>
    <xf numFmtId="0" fontId="92" fillId="32" borderId="0" applyNumberFormat="0" applyBorder="0" applyAlignment="0" applyProtection="0"/>
    <xf numFmtId="0" fontId="92" fillId="39" borderId="0" applyNumberFormat="0" applyBorder="0" applyAlignment="0" applyProtection="0"/>
    <xf numFmtId="0" fontId="92" fillId="40" borderId="0" applyNumberFormat="0" applyBorder="0" applyAlignment="0" applyProtection="0"/>
    <xf numFmtId="0" fontId="92" fillId="38" borderId="0" applyNumberFormat="0" applyBorder="0" applyAlignment="0" applyProtection="0"/>
    <xf numFmtId="0" fontId="92" fillId="32" borderId="0" applyNumberFormat="0" applyBorder="0" applyAlignment="0" applyProtection="0"/>
    <xf numFmtId="0" fontId="92" fillId="36" borderId="0" applyNumberFormat="0" applyBorder="0" applyAlignment="0" applyProtection="0"/>
    <xf numFmtId="164"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cellStyleXfs>
  <cellXfs count="644">
    <xf numFmtId="0" fontId="0" fillId="0" borderId="0" xfId="0"/>
    <xf numFmtId="0" fontId="3" fillId="0" borderId="0" xfId="0" applyFont="1" applyAlignment="1">
      <alignment horizontal="center"/>
    </xf>
    <xf numFmtId="0" fontId="4" fillId="0" borderId="0" xfId="0" applyFont="1"/>
    <xf numFmtId="1" fontId="3" fillId="0" borderId="0" xfId="0" applyNumberFormat="1" applyFont="1" applyAlignment="1">
      <alignment horizontal="center"/>
    </xf>
    <xf numFmtId="0" fontId="5" fillId="0" borderId="2" xfId="0" applyFont="1" applyBorder="1" applyAlignment="1">
      <alignment horizontal="center"/>
    </xf>
    <xf numFmtId="0" fontId="3" fillId="2" borderId="0" xfId="0" applyFont="1" applyFill="1" applyAlignment="1">
      <alignment horizontal="center"/>
    </xf>
    <xf numFmtId="0" fontId="6" fillId="0" borderId="0" xfId="0" applyFont="1" applyAlignment="1">
      <alignment horizontal="center"/>
    </xf>
    <xf numFmtId="0" fontId="3" fillId="0" borderId="2" xfId="0" applyFont="1" applyBorder="1" applyAlignment="1">
      <alignment horizontal="center"/>
    </xf>
    <xf numFmtId="0" fontId="6" fillId="0" borderId="2" xfId="0" applyFont="1" applyBorder="1" applyAlignment="1">
      <alignment horizontal="center"/>
    </xf>
    <xf numFmtId="0" fontId="3" fillId="0" borderId="2" xfId="0" applyFont="1" applyBorder="1" applyAlignment="1" applyProtection="1">
      <alignment horizontal="center"/>
      <protection locked="0"/>
    </xf>
    <xf numFmtId="0" fontId="5" fillId="0" borderId="0" xfId="0" applyFont="1" applyAlignment="1">
      <alignment horizontal="center"/>
    </xf>
    <xf numFmtId="0" fontId="5" fillId="0" borderId="3" xfId="0" applyFont="1" applyBorder="1" applyAlignment="1">
      <alignment horizontal="center"/>
    </xf>
    <xf numFmtId="0" fontId="5" fillId="0" borderId="4" xfId="0" applyFont="1" applyBorder="1" applyAlignment="1">
      <alignment horizontal="center"/>
    </xf>
    <xf numFmtId="0" fontId="5" fillId="0" borderId="5" xfId="0" applyFont="1" applyBorder="1" applyAlignment="1">
      <alignment horizontal="center"/>
    </xf>
    <xf numFmtId="0" fontId="3" fillId="0" borderId="5" xfId="0" applyFont="1" applyBorder="1" applyAlignment="1">
      <alignment horizontal="center"/>
    </xf>
    <xf numFmtId="0" fontId="5" fillId="0" borderId="6" xfId="0" applyFont="1" applyBorder="1" applyAlignment="1">
      <alignment horizontal="center"/>
    </xf>
    <xf numFmtId="0" fontId="3" fillId="0" borderId="0" xfId="0" applyFont="1" applyAlignment="1" applyProtection="1">
      <alignment horizontal="center"/>
      <protection locked="0"/>
    </xf>
    <xf numFmtId="0" fontId="5" fillId="0" borderId="7" xfId="0" applyFont="1" applyBorder="1" applyAlignment="1">
      <alignment horizontal="center"/>
    </xf>
    <xf numFmtId="0" fontId="5" fillId="0" borderId="8" xfId="0" applyFont="1" applyBorder="1" applyAlignment="1">
      <alignment horizontal="center"/>
    </xf>
    <xf numFmtId="0" fontId="3" fillId="0" borderId="8" xfId="0" applyFont="1" applyBorder="1" applyAlignment="1">
      <alignment horizontal="center"/>
    </xf>
    <xf numFmtId="0" fontId="7" fillId="0" borderId="0" xfId="0" applyFont="1" applyAlignment="1">
      <alignment horizontal="center"/>
    </xf>
    <xf numFmtId="49" fontId="4" fillId="0" borderId="0" xfId="0" applyNumberFormat="1" applyFont="1"/>
    <xf numFmtId="0" fontId="4" fillId="2" borderId="0" xfId="0" applyFont="1" applyFill="1"/>
    <xf numFmtId="0" fontId="5" fillId="0" borderId="5" xfId="0" applyFont="1" applyBorder="1" applyAlignment="1" applyProtection="1">
      <alignment horizontal="center"/>
      <protection locked="0"/>
    </xf>
    <xf numFmtId="0" fontId="5" fillId="0" borderId="2" xfId="0" applyFont="1" applyBorder="1" applyAlignment="1" applyProtection="1">
      <alignment horizontal="center"/>
      <protection locked="0"/>
    </xf>
    <xf numFmtId="0" fontId="5" fillId="0" borderId="8" xfId="0" applyFont="1" applyBorder="1" applyAlignment="1" applyProtection="1">
      <alignment horizontal="center"/>
      <protection locked="0"/>
    </xf>
    <xf numFmtId="0" fontId="7" fillId="0" borderId="0" xfId="0" applyFont="1" applyAlignment="1">
      <alignment horizontal="left"/>
    </xf>
    <xf numFmtId="0" fontId="6" fillId="0" borderId="0" xfId="0" applyFont="1" applyAlignment="1">
      <alignment horizontal="left"/>
    </xf>
    <xf numFmtId="0" fontId="9" fillId="0" borderId="0" xfId="0" applyFont="1" applyAlignment="1">
      <alignment horizontal="center"/>
    </xf>
    <xf numFmtId="0" fontId="10" fillId="0" borderId="0" xfId="0" applyFont="1"/>
    <xf numFmtId="0" fontId="2" fillId="0" borderId="1" xfId="0" applyFont="1" applyBorder="1" applyAlignment="1">
      <alignment horizontal="left" vertical="center"/>
    </xf>
    <xf numFmtId="0" fontId="2" fillId="0" borderId="0" xfId="0" applyFont="1" applyAlignment="1">
      <alignment vertical="center"/>
    </xf>
    <xf numFmtId="0" fontId="14" fillId="0" borderId="9" xfId="0" applyFont="1" applyBorder="1" applyAlignment="1">
      <alignment horizontal="left" vertical="center"/>
    </xf>
    <xf numFmtId="0" fontId="10" fillId="0" borderId="0" xfId="0" applyFont="1" applyAlignment="1">
      <alignment horizontal="left" vertical="center"/>
    </xf>
    <xf numFmtId="0" fontId="14" fillId="0" borderId="0" xfId="0" applyFont="1" applyAlignment="1">
      <alignment horizontal="left" vertical="center"/>
    </xf>
    <xf numFmtId="0" fontId="12" fillId="0" borderId="0" xfId="0" applyFont="1" applyAlignment="1">
      <alignment horizontal="left" vertical="center"/>
    </xf>
    <xf numFmtId="0" fontId="11" fillId="0" borderId="0" xfId="0" applyFont="1" applyAlignment="1">
      <alignment horizontal="left" vertical="center"/>
    </xf>
    <xf numFmtId="0" fontId="15" fillId="0" borderId="9" xfId="0" applyFont="1" applyBorder="1" applyAlignment="1">
      <alignment horizontal="left" vertical="center"/>
    </xf>
    <xf numFmtId="0" fontId="13" fillId="0" borderId="0" xfId="0" applyFont="1" applyAlignment="1">
      <alignment horizontal="left" vertical="center"/>
    </xf>
    <xf numFmtId="0" fontId="14" fillId="3" borderId="9" xfId="0" applyFont="1" applyFill="1" applyBorder="1" applyAlignment="1" applyProtection="1">
      <alignment horizontal="left" vertical="center"/>
      <protection locked="0"/>
    </xf>
    <xf numFmtId="0" fontId="18" fillId="3" borderId="9" xfId="0" applyFont="1" applyFill="1" applyBorder="1" applyAlignment="1" applyProtection="1">
      <alignment horizontal="left" vertical="center"/>
      <protection locked="0"/>
    </xf>
    <xf numFmtId="0" fontId="18" fillId="0" borderId="0" xfId="0" applyFont="1" applyAlignment="1">
      <alignment horizontal="left" vertical="center"/>
    </xf>
    <xf numFmtId="0" fontId="18" fillId="0" borderId="9" xfId="0" applyFont="1" applyBorder="1" applyAlignment="1">
      <alignment horizontal="left" vertical="center"/>
    </xf>
    <xf numFmtId="0" fontId="1" fillId="0" borderId="0" xfId="0" applyFont="1" applyAlignment="1">
      <alignment vertical="center"/>
    </xf>
    <xf numFmtId="0" fontId="10" fillId="0" borderId="13" xfId="0" applyFont="1" applyBorder="1"/>
    <xf numFmtId="0" fontId="14" fillId="4" borderId="9" xfId="0" applyFont="1" applyFill="1" applyBorder="1" applyAlignment="1">
      <alignment horizontal="left" vertical="center"/>
    </xf>
    <xf numFmtId="0" fontId="13" fillId="4" borderId="10" xfId="0" applyFont="1" applyFill="1" applyBorder="1" applyAlignment="1">
      <alignment horizontal="left" vertical="center"/>
    </xf>
    <xf numFmtId="0" fontId="13" fillId="4" borderId="11" xfId="0" applyFont="1" applyFill="1" applyBorder="1" applyAlignment="1">
      <alignment horizontal="left" vertical="center"/>
    </xf>
    <xf numFmtId="0" fontId="13" fillId="4" borderId="12" xfId="0" applyFont="1" applyFill="1" applyBorder="1" applyAlignment="1">
      <alignment horizontal="left" vertical="center"/>
    </xf>
    <xf numFmtId="0" fontId="19" fillId="4" borderId="10" xfId="0" applyFont="1" applyFill="1" applyBorder="1" applyAlignment="1">
      <alignment horizontal="left" vertical="center"/>
    </xf>
    <xf numFmtId="0" fontId="10" fillId="4" borderId="11" xfId="0" applyFont="1" applyFill="1" applyBorder="1" applyAlignment="1">
      <alignment horizontal="left" vertical="center"/>
    </xf>
    <xf numFmtId="0" fontId="10" fillId="4" borderId="12" xfId="0" applyFont="1" applyFill="1" applyBorder="1" applyAlignment="1">
      <alignment horizontal="left" vertical="center"/>
    </xf>
    <xf numFmtId="49" fontId="20" fillId="0" borderId="9" xfId="0" applyNumberFormat="1" applyFont="1" applyBorder="1" applyAlignment="1">
      <alignment horizontal="left" vertical="center"/>
    </xf>
    <xf numFmtId="0" fontId="21" fillId="0" borderId="9" xfId="1" applyFont="1" applyBorder="1" applyAlignment="1" applyProtection="1">
      <alignment horizontal="left" vertical="center"/>
    </xf>
    <xf numFmtId="0" fontId="23" fillId="0" borderId="0" xfId="2" applyFont="1"/>
    <xf numFmtId="14" fontId="23" fillId="0" borderId="0" xfId="2" applyNumberFormat="1" applyFont="1"/>
    <xf numFmtId="1" fontId="23" fillId="0" borderId="0" xfId="2" applyNumberFormat="1" applyFont="1" applyAlignment="1">
      <alignment horizontal="center"/>
    </xf>
    <xf numFmtId="1" fontId="27" fillId="0" borderId="0" xfId="0" applyNumberFormat="1" applyFont="1"/>
    <xf numFmtId="0" fontId="28" fillId="0" borderId="0" xfId="0" applyFont="1" applyAlignment="1">
      <alignment vertical="center"/>
    </xf>
    <xf numFmtId="1" fontId="23" fillId="0" borderId="0" xfId="2" applyNumberFormat="1" applyFont="1"/>
    <xf numFmtId="0" fontId="23" fillId="0" borderId="0" xfId="4" applyFont="1"/>
    <xf numFmtId="0" fontId="27" fillId="0" borderId="0" xfId="0" applyFont="1"/>
    <xf numFmtId="0" fontId="4" fillId="0" borderId="0" xfId="0" applyFont="1" applyAlignment="1">
      <alignment vertical="center"/>
    </xf>
    <xf numFmtId="0" fontId="23" fillId="0" borderId="0" xfId="0" applyFont="1" applyAlignment="1">
      <alignment horizontal="center" vertical="center"/>
    </xf>
    <xf numFmtId="1" fontId="27" fillId="0" borderId="0" xfId="0" applyNumberFormat="1" applyFont="1" applyAlignment="1">
      <alignment horizontal="left" vertical="center"/>
    </xf>
    <xf numFmtId="0" fontId="23" fillId="0" borderId="0" xfId="0" applyFont="1" applyAlignment="1">
      <alignment horizontal="center"/>
    </xf>
    <xf numFmtId="1" fontId="27" fillId="0" borderId="0" xfId="0" applyNumberFormat="1" applyFont="1" applyAlignment="1">
      <alignment horizontal="left"/>
    </xf>
    <xf numFmtId="0" fontId="27" fillId="0" borderId="0" xfId="0" applyFont="1" applyAlignment="1">
      <alignment wrapText="1"/>
    </xf>
    <xf numFmtId="0" fontId="27" fillId="0" borderId="0" xfId="0" applyFont="1" applyAlignment="1">
      <alignment horizontal="left"/>
    </xf>
    <xf numFmtId="49" fontId="27" fillId="0" borderId="0" xfId="5" applyNumberFormat="1" applyFont="1"/>
    <xf numFmtId="0" fontId="23" fillId="0" borderId="0" xfId="0" applyFont="1" applyAlignment="1">
      <alignment horizontal="center" vertical="center" wrapText="1"/>
    </xf>
    <xf numFmtId="0" fontId="27" fillId="0" borderId="0" xfId="2" applyFont="1"/>
    <xf numFmtId="1" fontId="27" fillId="0" borderId="0" xfId="2" applyNumberFormat="1" applyFont="1"/>
    <xf numFmtId="0" fontId="26" fillId="0" borderId="0" xfId="2" applyFont="1"/>
    <xf numFmtId="0" fontId="23" fillId="0" borderId="0" xfId="2" applyFont="1" applyAlignment="1">
      <alignment horizontal="left" vertical="center"/>
    </xf>
    <xf numFmtId="49" fontId="23" fillId="0" borderId="0" xfId="2" applyNumberFormat="1" applyFont="1" applyAlignment="1">
      <alignment horizontal="left"/>
    </xf>
    <xf numFmtId="0" fontId="3" fillId="0" borderId="0" xfId="0" applyFont="1" applyAlignment="1" applyProtection="1">
      <alignment horizontal="left"/>
      <protection locked="0"/>
    </xf>
    <xf numFmtId="1" fontId="0" fillId="0" borderId="0" xfId="0" applyNumberFormat="1"/>
    <xf numFmtId="0" fontId="0" fillId="0" borderId="2" xfId="0" applyBorder="1"/>
    <xf numFmtId="0" fontId="0" fillId="7" borderId="2" xfId="0" applyFill="1" applyBorder="1"/>
    <xf numFmtId="0" fontId="0" fillId="7" borderId="0" xfId="0" applyFill="1"/>
    <xf numFmtId="0" fontId="0" fillId="8" borderId="2" xfId="0" applyFill="1" applyBorder="1"/>
    <xf numFmtId="0" fontId="9" fillId="10" borderId="0" xfId="0" applyFont="1" applyFill="1" applyAlignment="1">
      <alignment horizontal="center" vertical="center"/>
    </xf>
    <xf numFmtId="0" fontId="35" fillId="10" borderId="22" xfId="0" applyFont="1" applyFill="1" applyBorder="1" applyAlignment="1" applyProtection="1">
      <alignment horizontal="center" vertical="center"/>
      <protection locked="0"/>
    </xf>
    <xf numFmtId="0" fontId="36" fillId="9" borderId="16" xfId="0" applyFont="1" applyFill="1" applyBorder="1" applyAlignment="1">
      <alignment vertical="center"/>
    </xf>
    <xf numFmtId="0" fontId="9" fillId="9" borderId="16" xfId="0" applyFont="1" applyFill="1" applyBorder="1" applyAlignment="1">
      <alignment horizontal="center" vertical="center"/>
    </xf>
    <xf numFmtId="0" fontId="9" fillId="9" borderId="17" xfId="0" applyFont="1" applyFill="1" applyBorder="1" applyAlignment="1">
      <alignment vertical="center"/>
    </xf>
    <xf numFmtId="0" fontId="9" fillId="9" borderId="18" xfId="0" applyFont="1" applyFill="1" applyBorder="1" applyAlignment="1">
      <alignment vertical="center"/>
    </xf>
    <xf numFmtId="0" fontId="9" fillId="9" borderId="19" xfId="0" applyFont="1" applyFill="1" applyBorder="1" applyAlignment="1">
      <alignment vertical="center"/>
    </xf>
    <xf numFmtId="0" fontId="9" fillId="10" borderId="0" xfId="0" applyFont="1" applyFill="1" applyAlignment="1">
      <alignment horizontal="centerContinuous" vertical="center"/>
    </xf>
    <xf numFmtId="0" fontId="30" fillId="10" borderId="0" xfId="0" applyFont="1" applyFill="1" applyAlignment="1">
      <alignment horizontal="centerContinuous" vertical="center"/>
    </xf>
    <xf numFmtId="0" fontId="9" fillId="10" borderId="0" xfId="0" applyFont="1" applyFill="1" applyAlignment="1">
      <alignment vertical="center"/>
    </xf>
    <xf numFmtId="1" fontId="31" fillId="4" borderId="20" xfId="0" applyNumberFormat="1" applyFont="1" applyFill="1" applyBorder="1" applyAlignment="1">
      <alignment horizontal="centerContinuous" vertical="center"/>
    </xf>
    <xf numFmtId="0" fontId="25" fillId="4" borderId="21" xfId="0" applyFont="1" applyFill="1" applyBorder="1" applyAlignment="1">
      <alignment horizontal="centerContinuous" vertical="center"/>
    </xf>
    <xf numFmtId="0" fontId="32" fillId="0" borderId="14" xfId="0" applyFont="1" applyBorder="1" applyAlignment="1">
      <alignment vertical="center"/>
    </xf>
    <xf numFmtId="0" fontId="33" fillId="10" borderId="0" xfId="0" applyFont="1" applyFill="1" applyAlignment="1">
      <alignment horizontal="centerContinuous" vertical="center"/>
    </xf>
    <xf numFmtId="0" fontId="34" fillId="10" borderId="0" xfId="0" applyFont="1" applyFill="1" applyAlignment="1">
      <alignment vertical="center"/>
    </xf>
    <xf numFmtId="0" fontId="9" fillId="9" borderId="30" xfId="0" applyFont="1" applyFill="1" applyBorder="1" applyAlignment="1">
      <alignment horizontal="centerContinuous" vertical="center"/>
    </xf>
    <xf numFmtId="0" fontId="9" fillId="9" borderId="19" xfId="0" applyFont="1" applyFill="1" applyBorder="1" applyAlignment="1">
      <alignment horizontal="centerContinuous" vertical="center"/>
    </xf>
    <xf numFmtId="0" fontId="9" fillId="9" borderId="31" xfId="0" applyFont="1" applyFill="1" applyBorder="1" applyAlignment="1">
      <alignment vertical="center"/>
    </xf>
    <xf numFmtId="0" fontId="30" fillId="10" borderId="0" xfId="0" applyFont="1" applyFill="1" applyAlignment="1">
      <alignment vertical="center"/>
    </xf>
    <xf numFmtId="0" fontId="10" fillId="12" borderId="0" xfId="0" applyFont="1" applyFill="1" applyAlignment="1">
      <alignment vertical="center"/>
    </xf>
    <xf numFmtId="0" fontId="9" fillId="9" borderId="16" xfId="0" applyFont="1" applyFill="1" applyBorder="1" applyAlignment="1">
      <alignment vertical="center"/>
    </xf>
    <xf numFmtId="0" fontId="40" fillId="12" borderId="0" xfId="0" applyFont="1" applyFill="1" applyAlignment="1">
      <alignment vertical="center"/>
    </xf>
    <xf numFmtId="0" fontId="25" fillId="10" borderId="0" xfId="0" applyFont="1" applyFill="1" applyAlignment="1">
      <alignment horizontal="center" vertical="center"/>
    </xf>
    <xf numFmtId="0" fontId="43" fillId="10" borderId="0" xfId="0" applyFont="1" applyFill="1" applyAlignment="1">
      <alignment horizontal="centerContinuous" vertical="center"/>
    </xf>
    <xf numFmtId="0" fontId="10" fillId="2" borderId="0" xfId="0" applyFont="1" applyFill="1" applyAlignment="1">
      <alignment vertical="center"/>
    </xf>
    <xf numFmtId="0" fontId="40" fillId="2" borderId="0" xfId="0" applyFont="1" applyFill="1" applyAlignment="1">
      <alignment vertical="center"/>
    </xf>
    <xf numFmtId="0" fontId="10" fillId="15" borderId="0" xfId="0" applyFont="1" applyFill="1" applyAlignment="1">
      <alignment vertical="center"/>
    </xf>
    <xf numFmtId="0" fontId="40" fillId="15" borderId="0" xfId="0" applyFont="1" applyFill="1" applyAlignment="1">
      <alignment vertical="center"/>
    </xf>
    <xf numFmtId="0" fontId="10" fillId="4" borderId="0" xfId="0" applyFont="1" applyFill="1" applyAlignment="1">
      <alignment vertical="center"/>
    </xf>
    <xf numFmtId="0" fontId="40" fillId="4" borderId="0" xfId="0" applyFont="1" applyFill="1" applyAlignment="1">
      <alignment vertical="center"/>
    </xf>
    <xf numFmtId="0" fontId="10" fillId="4" borderId="0" xfId="0" applyFont="1" applyFill="1"/>
    <xf numFmtId="0" fontId="20" fillId="0" borderId="0" xfId="0" applyFont="1"/>
    <xf numFmtId="1" fontId="10" fillId="0" borderId="0" xfId="0" applyNumberFormat="1" applyFont="1"/>
    <xf numFmtId="0" fontId="44" fillId="0" borderId="0" xfId="0" applyFont="1"/>
    <xf numFmtId="0" fontId="10" fillId="3" borderId="0" xfId="0" applyFont="1" applyFill="1"/>
    <xf numFmtId="0" fontId="44" fillId="7" borderId="0" xfId="0" applyFont="1" applyFill="1"/>
    <xf numFmtId="0" fontId="10" fillId="0" borderId="0" xfId="0" applyFont="1" applyAlignment="1">
      <alignment horizontal="center" vertical="center"/>
    </xf>
    <xf numFmtId="0" fontId="45" fillId="0" borderId="0" xfId="0" applyFont="1" applyAlignment="1">
      <alignment horizontal="center" vertical="center"/>
    </xf>
    <xf numFmtId="0" fontId="41" fillId="11" borderId="9" xfId="0" applyFont="1" applyFill="1" applyBorder="1" applyAlignment="1">
      <alignment horizontal="center" vertical="center"/>
    </xf>
    <xf numFmtId="0" fontId="20" fillId="0" borderId="15" xfId="0" applyFont="1" applyBorder="1" applyAlignment="1">
      <alignment horizontal="center" vertical="center"/>
    </xf>
    <xf numFmtId="0" fontId="10" fillId="4" borderId="9" xfId="0" applyFont="1" applyFill="1" applyBorder="1" applyAlignment="1">
      <alignment horizontal="center" vertical="center"/>
    </xf>
    <xf numFmtId="49" fontId="10" fillId="0" borderId="15" xfId="0" applyNumberFormat="1" applyFont="1" applyBorder="1" applyAlignment="1">
      <alignment horizontal="center" vertical="center"/>
    </xf>
    <xf numFmtId="0" fontId="10" fillId="0" borderId="9" xfId="0" applyFont="1" applyBorder="1" applyAlignment="1">
      <alignment horizontal="center" vertical="center"/>
    </xf>
    <xf numFmtId="0" fontId="10" fillId="0" borderId="15" xfId="0" applyFont="1" applyBorder="1" applyAlignment="1">
      <alignment horizontal="left" vertical="center"/>
    </xf>
    <xf numFmtId="0" fontId="10" fillId="0" borderId="0" xfId="0" applyFont="1" applyAlignment="1">
      <alignment horizontal="left"/>
    </xf>
    <xf numFmtId="0" fontId="10" fillId="12" borderId="0" xfId="0" applyFont="1" applyFill="1"/>
    <xf numFmtId="0" fontId="10" fillId="7" borderId="0" xfId="0" applyFont="1" applyFill="1"/>
    <xf numFmtId="0" fontId="10" fillId="16" borderId="0" xfId="0" applyFont="1" applyFill="1"/>
    <xf numFmtId="0" fontId="10" fillId="13" borderId="0" xfId="0" applyFont="1" applyFill="1"/>
    <xf numFmtId="0" fontId="10" fillId="17" borderId="0" xfId="0" applyFont="1" applyFill="1"/>
    <xf numFmtId="0" fontId="46" fillId="10" borderId="0" xfId="0" applyFont="1" applyFill="1"/>
    <xf numFmtId="0" fontId="9" fillId="10" borderId="0" xfId="0" applyFont="1" applyFill="1"/>
    <xf numFmtId="0" fontId="9" fillId="9" borderId="16" xfId="0" applyFont="1" applyFill="1" applyBorder="1"/>
    <xf numFmtId="0" fontId="30" fillId="10" borderId="0" xfId="0" applyFont="1" applyFill="1"/>
    <xf numFmtId="0" fontId="9" fillId="9" borderId="30" xfId="0" applyFont="1" applyFill="1" applyBorder="1" applyAlignment="1">
      <alignment horizontal="centerContinuous"/>
    </xf>
    <xf numFmtId="0" fontId="9" fillId="9" borderId="19" xfId="0" applyFont="1" applyFill="1" applyBorder="1" applyAlignment="1">
      <alignment horizontal="centerContinuous"/>
    </xf>
    <xf numFmtId="0" fontId="9" fillId="9" borderId="31" xfId="0" applyFont="1" applyFill="1" applyBorder="1"/>
    <xf numFmtId="1" fontId="42" fillId="18" borderId="17" xfId="0" applyNumberFormat="1" applyFont="1" applyFill="1" applyBorder="1" applyAlignment="1">
      <alignment horizontal="centerContinuous"/>
    </xf>
    <xf numFmtId="0" fontId="42" fillId="18" borderId="19" xfId="0" applyFont="1" applyFill="1" applyBorder="1" applyAlignment="1">
      <alignment horizontal="centerContinuous"/>
    </xf>
    <xf numFmtId="0" fontId="42" fillId="10" borderId="36" xfId="0" applyFont="1" applyFill="1" applyBorder="1"/>
    <xf numFmtId="0" fontId="42" fillId="10" borderId="0" xfId="0" applyFont="1" applyFill="1"/>
    <xf numFmtId="0" fontId="42" fillId="10" borderId="16" xfId="0" applyFont="1" applyFill="1" applyBorder="1" applyAlignment="1">
      <alignment horizontal="center" vertical="center"/>
    </xf>
    <xf numFmtId="0" fontId="42" fillId="10" borderId="0" xfId="0" applyFont="1" applyFill="1" applyAlignment="1">
      <alignment horizontal="center" vertical="center"/>
    </xf>
    <xf numFmtId="1" fontId="42" fillId="18" borderId="20" xfId="0" applyNumberFormat="1" applyFont="1" applyFill="1" applyBorder="1" applyAlignment="1">
      <alignment horizontal="centerContinuous"/>
    </xf>
    <xf numFmtId="0" fontId="42" fillId="18" borderId="14" xfId="0" applyFont="1" applyFill="1" applyBorder="1" applyAlignment="1">
      <alignment horizontal="centerContinuous"/>
    </xf>
    <xf numFmtId="0" fontId="47" fillId="10" borderId="0" xfId="0" applyFont="1" applyFill="1"/>
    <xf numFmtId="0" fontId="48" fillId="4" borderId="9" xfId="0" applyFont="1" applyFill="1" applyBorder="1" applyAlignment="1">
      <alignment horizontal="center" vertical="center"/>
    </xf>
    <xf numFmtId="0" fontId="20" fillId="19" borderId="15" xfId="0" applyFont="1" applyFill="1" applyBorder="1" applyAlignment="1">
      <alignment horizontal="center" vertical="center"/>
    </xf>
    <xf numFmtId="49" fontId="10" fillId="0" borderId="15" xfId="0" applyNumberFormat="1" applyFont="1" applyBorder="1" applyAlignment="1" applyProtection="1">
      <alignment horizontal="center" vertical="center"/>
      <protection locked="0"/>
    </xf>
    <xf numFmtId="165" fontId="10" fillId="0" borderId="0" xfId="0" applyNumberFormat="1" applyFont="1"/>
    <xf numFmtId="0" fontId="10" fillId="20" borderId="9" xfId="0" applyFont="1" applyFill="1" applyBorder="1" applyAlignment="1">
      <alignment horizontal="center" vertical="center"/>
    </xf>
    <xf numFmtId="1" fontId="31" fillId="20" borderId="20" xfId="0" applyNumberFormat="1" applyFont="1" applyFill="1" applyBorder="1" applyAlignment="1">
      <alignment horizontal="centerContinuous" vertical="center"/>
    </xf>
    <xf numFmtId="0" fontId="25" fillId="20" borderId="21" xfId="0" applyFont="1" applyFill="1" applyBorder="1" applyAlignment="1">
      <alignment horizontal="centerContinuous" vertical="center"/>
    </xf>
    <xf numFmtId="1" fontId="3" fillId="0" borderId="2" xfId="0" applyNumberFormat="1" applyFont="1" applyBorder="1" applyAlignment="1" applyProtection="1">
      <alignment horizontal="center"/>
      <protection locked="0"/>
    </xf>
    <xf numFmtId="0" fontId="39" fillId="0" borderId="0" xfId="0" applyFont="1"/>
    <xf numFmtId="0" fontId="20" fillId="14" borderId="0" xfId="0" applyFont="1" applyFill="1" applyAlignment="1">
      <alignment horizontal="center" vertical="center"/>
    </xf>
    <xf numFmtId="0" fontId="20" fillId="14" borderId="0" xfId="0" applyFont="1" applyFill="1"/>
    <xf numFmtId="0" fontId="23" fillId="10" borderId="37" xfId="0" applyFont="1" applyFill="1" applyBorder="1" applyAlignment="1" applyProtection="1">
      <alignment vertical="center"/>
      <protection locked="0"/>
    </xf>
    <xf numFmtId="0" fontId="33" fillId="9" borderId="18" xfId="0" applyFont="1" applyFill="1" applyBorder="1" applyAlignment="1">
      <alignment horizontal="left" vertical="center"/>
    </xf>
    <xf numFmtId="0" fontId="4" fillId="10" borderId="0" xfId="0" applyFont="1" applyFill="1"/>
    <xf numFmtId="49" fontId="0" fillId="0" borderId="0" xfId="0" applyNumberFormat="1" applyAlignment="1">
      <alignment horizontal="right"/>
    </xf>
    <xf numFmtId="0" fontId="0" fillId="0" borderId="0" xfId="0" applyAlignment="1">
      <alignment horizontal="right"/>
    </xf>
    <xf numFmtId="0" fontId="54" fillId="8" borderId="2" xfId="0" applyFont="1" applyFill="1" applyBorder="1"/>
    <xf numFmtId="0" fontId="0" fillId="0" borderId="0" xfId="0" applyAlignment="1">
      <alignment horizontal="right" vertical="center"/>
    </xf>
    <xf numFmtId="0" fontId="23" fillId="10" borderId="0" xfId="0" applyFont="1" applyFill="1" applyAlignment="1">
      <alignment horizontal="center" vertical="center"/>
    </xf>
    <xf numFmtId="0" fontId="33" fillId="9" borderId="19" xfId="0" applyFont="1" applyFill="1" applyBorder="1" applyAlignment="1">
      <alignment horizontal="center" vertical="center"/>
    </xf>
    <xf numFmtId="0" fontId="64" fillId="0" borderId="2" xfId="0" applyFont="1" applyBorder="1" applyAlignment="1" applyProtection="1">
      <alignment horizontal="center" vertical="center"/>
      <protection locked="0"/>
    </xf>
    <xf numFmtId="1" fontId="64" fillId="0" borderId="2" xfId="0" applyNumberFormat="1" applyFont="1" applyBorder="1" applyAlignment="1" applyProtection="1">
      <alignment horizontal="center" vertical="center"/>
      <protection locked="0"/>
    </xf>
    <xf numFmtId="0" fontId="10" fillId="10" borderId="23" xfId="0" applyFont="1" applyFill="1" applyBorder="1" applyAlignment="1">
      <alignment horizontal="center" vertical="center"/>
    </xf>
    <xf numFmtId="0" fontId="10" fillId="10" borderId="24" xfId="0" applyFont="1" applyFill="1" applyBorder="1" applyAlignment="1">
      <alignment horizontal="center" vertical="center"/>
    </xf>
    <xf numFmtId="0" fontId="10" fillId="10" borderId="76" xfId="0" applyFont="1" applyFill="1" applyBorder="1" applyAlignment="1">
      <alignment horizontal="center" vertical="center"/>
    </xf>
    <xf numFmtId="0" fontId="42" fillId="0" borderId="0" xfId="0" applyFont="1" applyAlignment="1">
      <alignment horizontal="center" vertical="center"/>
    </xf>
    <xf numFmtId="0" fontId="55" fillId="10" borderId="27" xfId="0" applyFont="1" applyFill="1" applyBorder="1" applyAlignment="1">
      <alignment horizontal="center" vertical="center"/>
    </xf>
    <xf numFmtId="0" fontId="56" fillId="9" borderId="17" xfId="0" applyFont="1" applyFill="1" applyBorder="1" applyAlignment="1">
      <alignment horizontal="center" vertical="center"/>
    </xf>
    <xf numFmtId="0" fontId="56" fillId="9" borderId="18" xfId="0" applyFont="1" applyFill="1" applyBorder="1" applyAlignment="1">
      <alignment horizontal="left" vertical="center"/>
    </xf>
    <xf numFmtId="0" fontId="57" fillId="9" borderId="18" xfId="0" applyFont="1" applyFill="1" applyBorder="1" applyAlignment="1">
      <alignment horizontal="center" vertical="center"/>
    </xf>
    <xf numFmtId="0" fontId="56" fillId="9" borderId="18" xfId="0" applyFont="1" applyFill="1" applyBorder="1" applyAlignment="1">
      <alignment horizontal="center" vertical="center"/>
    </xf>
    <xf numFmtId="0" fontId="56" fillId="9" borderId="19" xfId="0" applyFont="1" applyFill="1" applyBorder="1" applyAlignment="1">
      <alignment horizontal="center" vertical="center"/>
    </xf>
    <xf numFmtId="0" fontId="55" fillId="10" borderId="0" xfId="0" applyFont="1" applyFill="1" applyAlignment="1">
      <alignment horizontal="center" vertical="center"/>
    </xf>
    <xf numFmtId="0" fontId="10" fillId="10" borderId="0" xfId="0" applyFont="1" applyFill="1" applyAlignment="1">
      <alignment horizontal="center" vertical="center"/>
    </xf>
    <xf numFmtId="0" fontId="55" fillId="10" borderId="77" xfId="0" applyFont="1" applyFill="1" applyBorder="1" applyAlignment="1">
      <alignment horizontal="center" vertical="center"/>
    </xf>
    <xf numFmtId="0" fontId="55" fillId="0" borderId="0" xfId="0" applyFont="1" applyAlignment="1">
      <alignment horizontal="center" vertical="center"/>
    </xf>
    <xf numFmtId="0" fontId="51" fillId="10" borderId="27" xfId="0" applyFont="1" applyFill="1" applyBorder="1" applyAlignment="1">
      <alignment horizontal="center" vertical="center"/>
    </xf>
    <xf numFmtId="0" fontId="33" fillId="10" borderId="0" xfId="0" applyFont="1" applyFill="1" applyAlignment="1">
      <alignment horizontal="center" vertical="center"/>
    </xf>
    <xf numFmtId="0" fontId="31" fillId="10" borderId="0" xfId="0" applyFont="1" applyFill="1" applyAlignment="1">
      <alignment horizontal="center" vertical="center"/>
    </xf>
    <xf numFmtId="0" fontId="51" fillId="10" borderId="77" xfId="0" applyFont="1" applyFill="1" applyBorder="1" applyAlignment="1">
      <alignment horizontal="center" vertical="center"/>
    </xf>
    <xf numFmtId="0" fontId="51" fillId="0" borderId="0" xfId="0" applyFont="1" applyAlignment="1">
      <alignment horizontal="center" vertical="center"/>
    </xf>
    <xf numFmtId="0" fontId="33" fillId="9" borderId="17" xfId="0" applyFont="1" applyFill="1" applyBorder="1" applyAlignment="1">
      <alignment horizontal="center" vertical="center"/>
    </xf>
    <xf numFmtId="0" fontId="33" fillId="9" borderId="18" xfId="0" applyFont="1" applyFill="1" applyBorder="1" applyAlignment="1">
      <alignment horizontal="center" vertical="center"/>
    </xf>
    <xf numFmtId="0" fontId="10" fillId="10" borderId="27" xfId="0" applyFont="1" applyFill="1" applyBorder="1" applyAlignment="1">
      <alignment horizontal="center" vertical="center"/>
    </xf>
    <xf numFmtId="0" fontId="58" fillId="10" borderId="0" xfId="0" applyFont="1" applyFill="1" applyAlignment="1">
      <alignment horizontal="center" vertical="center"/>
    </xf>
    <xf numFmtId="0" fontId="10" fillId="10" borderId="77" xfId="0" applyFont="1" applyFill="1" applyBorder="1" applyAlignment="1">
      <alignment horizontal="center" vertical="center"/>
    </xf>
    <xf numFmtId="0" fontId="61" fillId="9" borderId="17" xfId="0" applyFont="1" applyFill="1" applyBorder="1" applyAlignment="1">
      <alignment horizontal="left" vertical="center"/>
    </xf>
    <xf numFmtId="0" fontId="31" fillId="9" borderId="18" xfId="0" applyFont="1" applyFill="1" applyBorder="1" applyAlignment="1">
      <alignment horizontal="center" vertical="center"/>
    </xf>
    <xf numFmtId="0" fontId="51" fillId="10" borderId="0" xfId="0" applyFont="1" applyFill="1" applyAlignment="1">
      <alignment horizontal="center" vertical="center"/>
    </xf>
    <xf numFmtId="0" fontId="31" fillId="9" borderId="17" xfId="0" applyFont="1" applyFill="1" applyBorder="1" applyAlignment="1">
      <alignment horizontal="center" vertical="center"/>
    </xf>
    <xf numFmtId="0" fontId="33" fillId="9" borderId="19" xfId="0" applyFont="1" applyFill="1" applyBorder="1" applyAlignment="1">
      <alignment horizontal="right" vertical="center"/>
    </xf>
    <xf numFmtId="0" fontId="31" fillId="10" borderId="77" xfId="0" applyFont="1" applyFill="1" applyBorder="1" applyAlignment="1">
      <alignment horizontal="center" vertical="center"/>
    </xf>
    <xf numFmtId="0" fontId="31" fillId="0" borderId="0" xfId="0" applyFont="1" applyAlignment="1">
      <alignment horizontal="center" vertical="center"/>
    </xf>
    <xf numFmtId="0" fontId="59" fillId="10" borderId="27" xfId="0" applyFont="1" applyFill="1" applyBorder="1" applyAlignment="1">
      <alignment horizontal="center" vertical="center"/>
    </xf>
    <xf numFmtId="1" fontId="60" fillId="18" borderId="70" xfId="0" applyNumberFormat="1" applyFont="1" applyFill="1" applyBorder="1" applyAlignment="1">
      <alignment horizontal="center" vertical="center"/>
    </xf>
    <xf numFmtId="0" fontId="60" fillId="10" borderId="21" xfId="0" applyFont="1" applyFill="1" applyBorder="1" applyAlignment="1">
      <alignment horizontal="left" vertical="center"/>
    </xf>
    <xf numFmtId="0" fontId="60" fillId="10" borderId="21" xfId="0" applyFont="1" applyFill="1" applyBorder="1" applyAlignment="1">
      <alignment horizontal="center" vertical="center"/>
    </xf>
    <xf numFmtId="0" fontId="60" fillId="10" borderId="14" xfId="0" applyFont="1" applyFill="1" applyBorder="1" applyAlignment="1">
      <alignment horizontal="center" vertical="center"/>
    </xf>
    <xf numFmtId="0" fontId="59" fillId="10" borderId="0" xfId="0" applyFont="1" applyFill="1" applyAlignment="1">
      <alignment horizontal="center" vertical="center"/>
    </xf>
    <xf numFmtId="0" fontId="60" fillId="10" borderId="77" xfId="0" applyFont="1" applyFill="1" applyBorder="1" applyAlignment="1">
      <alignment horizontal="center" vertical="center"/>
    </xf>
    <xf numFmtId="0" fontId="60" fillId="0" borderId="0" xfId="0" applyFont="1" applyAlignment="1">
      <alignment horizontal="center" vertical="center"/>
    </xf>
    <xf numFmtId="0" fontId="59" fillId="10" borderId="32" xfId="0" applyFont="1" applyFill="1" applyBorder="1" applyAlignment="1">
      <alignment horizontal="center" vertical="center"/>
    </xf>
    <xf numFmtId="0" fontId="60" fillId="10" borderId="33" xfId="0" applyFont="1" applyFill="1" applyBorder="1" applyAlignment="1">
      <alignment horizontal="center" vertical="center"/>
    </xf>
    <xf numFmtId="0" fontId="59" fillId="10" borderId="33" xfId="0" applyFont="1" applyFill="1" applyBorder="1" applyAlignment="1">
      <alignment horizontal="center" vertical="center"/>
    </xf>
    <xf numFmtId="0" fontId="60" fillId="10" borderId="34" xfId="0" applyFont="1" applyFill="1" applyBorder="1" applyAlignment="1">
      <alignment horizontal="center" vertical="center"/>
    </xf>
    <xf numFmtId="0" fontId="60" fillId="10" borderId="0" xfId="0" applyFont="1" applyFill="1" applyAlignment="1">
      <alignment horizontal="center" vertical="center"/>
    </xf>
    <xf numFmtId="0" fontId="49" fillId="10" borderId="23" xfId="0" applyFont="1" applyFill="1" applyBorder="1" applyAlignment="1">
      <alignment horizontal="center" vertical="center"/>
    </xf>
    <xf numFmtId="0" fontId="25" fillId="0" borderId="0" xfId="0" applyFont="1" applyAlignment="1">
      <alignment horizontal="center" vertical="center"/>
    </xf>
    <xf numFmtId="0" fontId="50" fillId="10" borderId="27" xfId="0" applyFont="1" applyFill="1" applyBorder="1" applyAlignment="1">
      <alignment horizontal="center" vertical="center"/>
    </xf>
    <xf numFmtId="0" fontId="61" fillId="11" borderId="10" xfId="0" applyFont="1" applyFill="1" applyBorder="1" applyAlignment="1">
      <alignment horizontal="center" vertical="center"/>
    </xf>
    <xf numFmtId="0" fontId="61" fillId="11" borderId="11" xfId="0" applyFont="1" applyFill="1" applyBorder="1" applyAlignment="1">
      <alignment horizontal="center" vertical="center"/>
    </xf>
    <xf numFmtId="0" fontId="61" fillId="11" borderId="12" xfId="0" applyFont="1" applyFill="1" applyBorder="1" applyAlignment="1">
      <alignment horizontal="center" vertical="center"/>
    </xf>
    <xf numFmtId="0" fontId="31" fillId="2" borderId="0" xfId="0" applyFont="1" applyFill="1" applyAlignment="1">
      <alignment horizontal="center" vertical="center"/>
    </xf>
    <xf numFmtId="0" fontId="51" fillId="10" borderId="46" xfId="0" applyFont="1" applyFill="1" applyBorder="1" applyAlignment="1">
      <alignment horizontal="center" vertical="center"/>
    </xf>
    <xf numFmtId="0" fontId="51" fillId="10" borderId="21" xfId="0" applyFont="1" applyFill="1" applyBorder="1" applyAlignment="1">
      <alignment horizontal="center" vertical="center"/>
    </xf>
    <xf numFmtId="0" fontId="51" fillId="10" borderId="14" xfId="0" applyFont="1" applyFill="1" applyBorder="1" applyAlignment="1">
      <alignment horizontal="center" vertical="center"/>
    </xf>
    <xf numFmtId="0" fontId="51" fillId="21" borderId="21" xfId="0" applyFont="1" applyFill="1" applyBorder="1" applyAlignment="1">
      <alignment horizontal="center" vertical="center"/>
    </xf>
    <xf numFmtId="0" fontId="49" fillId="10" borderId="27" xfId="0" applyFont="1" applyFill="1" applyBorder="1" applyAlignment="1">
      <alignment horizontal="center" vertical="center"/>
    </xf>
    <xf numFmtId="0" fontId="23" fillId="10" borderId="65" xfId="0" applyFont="1" applyFill="1" applyBorder="1" applyAlignment="1">
      <alignment horizontal="center" vertical="center"/>
    </xf>
    <xf numFmtId="0" fontId="23" fillId="10" borderId="28" xfId="0" applyFont="1" applyFill="1" applyBorder="1" applyAlignment="1">
      <alignment horizontal="center" vertical="center"/>
    </xf>
    <xf numFmtId="0" fontId="23" fillId="10" borderId="66" xfId="0" applyFont="1" applyFill="1" applyBorder="1" applyAlignment="1">
      <alignment horizontal="center" vertical="center"/>
    </xf>
    <xf numFmtId="0" fontId="23" fillId="10" borderId="67" xfId="0" applyFont="1" applyFill="1" applyBorder="1" applyAlignment="1">
      <alignment horizontal="center" vertical="center"/>
    </xf>
    <xf numFmtId="0" fontId="23" fillId="2" borderId="0" xfId="0" applyFont="1" applyFill="1" applyAlignment="1">
      <alignment horizontal="center" vertical="center"/>
    </xf>
    <xf numFmtId="0" fontId="62" fillId="10" borderId="27" xfId="0" applyFont="1" applyFill="1" applyBorder="1" applyAlignment="1">
      <alignment horizontal="center" vertical="center"/>
    </xf>
    <xf numFmtId="0" fontId="63" fillId="11" borderId="10" xfId="0" applyFont="1" applyFill="1" applyBorder="1" applyAlignment="1">
      <alignment horizontal="center" vertical="center"/>
    </xf>
    <xf numFmtId="0" fontId="52" fillId="9" borderId="15" xfId="0" applyFont="1" applyFill="1" applyBorder="1" applyAlignment="1">
      <alignment horizontal="center" vertical="center"/>
    </xf>
    <xf numFmtId="0" fontId="62" fillId="10" borderId="0" xfId="0" applyFont="1" applyFill="1" applyAlignment="1">
      <alignment horizontal="center" vertical="center"/>
    </xf>
    <xf numFmtId="0" fontId="62" fillId="0" borderId="0" xfId="0" applyFont="1" applyAlignment="1">
      <alignment horizontal="center" vertical="center"/>
    </xf>
    <xf numFmtId="0" fontId="65" fillId="0" borderId="0" xfId="0" applyFont="1" applyAlignment="1">
      <alignment horizontal="center" vertical="center"/>
    </xf>
    <xf numFmtId="0" fontId="52" fillId="0" borderId="0" xfId="0" applyFont="1" applyAlignment="1">
      <alignment horizontal="center" vertical="center"/>
    </xf>
    <xf numFmtId="0" fontId="65" fillId="10" borderId="0" xfId="0" applyFont="1" applyFill="1" applyAlignment="1">
      <alignment horizontal="center" vertical="center"/>
    </xf>
    <xf numFmtId="0" fontId="66" fillId="10" borderId="0" xfId="0" applyFont="1" applyFill="1" applyAlignment="1">
      <alignment horizontal="center" vertical="center"/>
    </xf>
    <xf numFmtId="0" fontId="66" fillId="10" borderId="65" xfId="0" applyFont="1" applyFill="1" applyBorder="1" applyAlignment="1">
      <alignment horizontal="center" vertical="center"/>
    </xf>
    <xf numFmtId="0" fontId="62" fillId="10" borderId="28" xfId="0" applyFont="1" applyFill="1" applyBorder="1" applyAlignment="1">
      <alignment horizontal="center" vertical="center"/>
    </xf>
    <xf numFmtId="0" fontId="65" fillId="10" borderId="65" xfId="0" applyFont="1" applyFill="1" applyBorder="1" applyAlignment="1">
      <alignment horizontal="center" vertical="center"/>
    </xf>
    <xf numFmtId="0" fontId="65" fillId="10" borderId="28" xfId="0" applyFont="1" applyFill="1" applyBorder="1" applyAlignment="1">
      <alignment horizontal="center" vertical="center"/>
    </xf>
    <xf numFmtId="0" fontId="65" fillId="21" borderId="0" xfId="0" applyFont="1" applyFill="1" applyAlignment="1">
      <alignment horizontal="center" vertical="center"/>
    </xf>
    <xf numFmtId="0" fontId="65" fillId="10" borderId="2" xfId="0" applyFont="1" applyFill="1" applyBorder="1" applyAlignment="1">
      <alignment horizontal="center" vertical="center"/>
    </xf>
    <xf numFmtId="0" fontId="65" fillId="10" borderId="46" xfId="0" applyFont="1" applyFill="1" applyBorder="1" applyAlignment="1">
      <alignment horizontal="center" vertical="center"/>
    </xf>
    <xf numFmtId="0" fontId="65" fillId="10" borderId="21" xfId="0" applyFont="1" applyFill="1" applyBorder="1" applyAlignment="1">
      <alignment horizontal="center" vertical="center"/>
    </xf>
    <xf numFmtId="0" fontId="65" fillId="10" borderId="14" xfId="0" applyFont="1" applyFill="1" applyBorder="1" applyAlignment="1">
      <alignment horizontal="center" vertical="center"/>
    </xf>
    <xf numFmtId="0" fontId="66" fillId="6" borderId="0" xfId="0" applyFont="1" applyFill="1" applyAlignment="1">
      <alignment horizontal="center" vertical="center"/>
    </xf>
    <xf numFmtId="0" fontId="23" fillId="22" borderId="0" xfId="0" applyFont="1" applyFill="1" applyAlignment="1">
      <alignment horizontal="center" vertical="center"/>
    </xf>
    <xf numFmtId="0" fontId="65" fillId="6" borderId="0" xfId="0" applyFont="1" applyFill="1" applyAlignment="1">
      <alignment horizontal="center" vertical="center"/>
    </xf>
    <xf numFmtId="0" fontId="65" fillId="21" borderId="21" xfId="0" applyFont="1" applyFill="1" applyBorder="1" applyAlignment="1">
      <alignment horizontal="center" vertical="center"/>
    </xf>
    <xf numFmtId="0" fontId="52" fillId="9" borderId="2" xfId="0" applyFont="1" applyFill="1" applyBorder="1" applyAlignment="1">
      <alignment horizontal="center" vertical="center"/>
    </xf>
    <xf numFmtId="1" fontId="64" fillId="4" borderId="2" xfId="0" applyNumberFormat="1" applyFont="1" applyFill="1" applyBorder="1" applyAlignment="1">
      <alignment horizontal="center" vertical="center"/>
    </xf>
    <xf numFmtId="0" fontId="35" fillId="23" borderId="73" xfId="0" applyFont="1" applyFill="1" applyBorder="1" applyAlignment="1">
      <alignment horizontal="center" vertical="center"/>
    </xf>
    <xf numFmtId="0" fontId="64" fillId="0" borderId="0" xfId="0" applyFont="1" applyAlignment="1">
      <alignment horizontal="center" vertical="center"/>
    </xf>
    <xf numFmtId="1" fontId="64" fillId="0" borderId="0" xfId="0" applyNumberFormat="1" applyFont="1" applyAlignment="1">
      <alignment horizontal="center" vertical="center"/>
    </xf>
    <xf numFmtId="0" fontId="35" fillId="0" borderId="0" xfId="0" applyFont="1" applyAlignment="1">
      <alignment horizontal="center" vertical="center"/>
    </xf>
    <xf numFmtId="0" fontId="62" fillId="6" borderId="0" xfId="0" applyFont="1" applyFill="1" applyAlignment="1">
      <alignment horizontal="center" vertical="center"/>
    </xf>
    <xf numFmtId="0" fontId="66" fillId="22" borderId="65" xfId="0" applyFont="1" applyFill="1" applyBorder="1" applyAlignment="1">
      <alignment horizontal="center" vertical="center"/>
    </xf>
    <xf numFmtId="0" fontId="66" fillId="22" borderId="28" xfId="0" applyFont="1" applyFill="1" applyBorder="1" applyAlignment="1">
      <alignment horizontal="center" vertical="center"/>
    </xf>
    <xf numFmtId="0" fontId="65" fillId="22" borderId="65" xfId="0" applyFont="1" applyFill="1" applyBorder="1" applyAlignment="1">
      <alignment horizontal="center" vertical="center"/>
    </xf>
    <xf numFmtId="0" fontId="65" fillId="22" borderId="28" xfId="0" applyFont="1" applyFill="1" applyBorder="1" applyAlignment="1">
      <alignment horizontal="center" vertical="center"/>
    </xf>
    <xf numFmtId="0" fontId="65" fillId="22" borderId="2" xfId="0" applyFont="1" applyFill="1" applyBorder="1" applyAlignment="1">
      <alignment horizontal="center" vertical="center"/>
    </xf>
    <xf numFmtId="0" fontId="65" fillId="6" borderId="46" xfId="0" applyFont="1" applyFill="1" applyBorder="1" applyAlignment="1">
      <alignment horizontal="center" vertical="center"/>
    </xf>
    <xf numFmtId="0" fontId="65" fillId="0" borderId="2" xfId="0" applyFont="1" applyBorder="1" applyAlignment="1">
      <alignment horizontal="center" vertical="center"/>
    </xf>
    <xf numFmtId="0" fontId="65" fillId="6" borderId="2" xfId="0" applyFont="1" applyFill="1" applyBorder="1" applyAlignment="1">
      <alignment horizontal="center" vertical="center"/>
    </xf>
    <xf numFmtId="0" fontId="65" fillId="24" borderId="2" xfId="0" applyFont="1" applyFill="1" applyBorder="1" applyAlignment="1">
      <alignment horizontal="center" vertical="center"/>
    </xf>
    <xf numFmtId="0" fontId="65" fillId="21" borderId="2" xfId="0" applyFont="1" applyFill="1" applyBorder="1" applyAlignment="1">
      <alignment horizontal="center" vertical="center"/>
    </xf>
    <xf numFmtId="0" fontId="35" fillId="23" borderId="74" xfId="0" applyFont="1" applyFill="1" applyBorder="1" applyAlignment="1">
      <alignment horizontal="center" vertical="center"/>
    </xf>
    <xf numFmtId="0" fontId="52" fillId="9" borderId="14" xfId="0" applyFont="1" applyFill="1" applyBorder="1" applyAlignment="1">
      <alignment horizontal="center" vertical="center"/>
    </xf>
    <xf numFmtId="0" fontId="35" fillId="23" borderId="75" xfId="0" applyFont="1" applyFill="1" applyBorder="1" applyAlignment="1">
      <alignment horizontal="center" vertical="center"/>
    </xf>
    <xf numFmtId="1" fontId="52" fillId="10" borderId="53" xfId="0" applyNumberFormat="1" applyFont="1" applyFill="1" applyBorder="1" applyAlignment="1">
      <alignment horizontal="center" vertical="center"/>
    </xf>
    <xf numFmtId="1" fontId="52" fillId="10" borderId="28" xfId="0" applyNumberFormat="1" applyFont="1" applyFill="1" applyBorder="1" applyAlignment="1">
      <alignment horizontal="center" vertical="center"/>
    </xf>
    <xf numFmtId="1" fontId="52" fillId="0" borderId="0" xfId="0" applyNumberFormat="1" applyFont="1" applyAlignment="1">
      <alignment horizontal="center" vertical="center"/>
    </xf>
    <xf numFmtId="0" fontId="36" fillId="9" borderId="36" xfId="0" applyFont="1" applyFill="1" applyBorder="1" applyAlignment="1">
      <alignment horizontal="center" vertical="center"/>
    </xf>
    <xf numFmtId="0" fontId="36" fillId="9" borderId="54" xfId="0" applyFont="1" applyFill="1" applyBorder="1" applyAlignment="1">
      <alignment horizontal="left" vertical="center"/>
    </xf>
    <xf numFmtId="0" fontId="67" fillId="9" borderId="18" xfId="0" applyFont="1" applyFill="1" applyBorder="1" applyAlignment="1">
      <alignment horizontal="center" vertical="center"/>
    </xf>
    <xf numFmtId="0" fontId="67" fillId="9" borderId="19" xfId="0" applyFont="1" applyFill="1" applyBorder="1" applyAlignment="1">
      <alignment horizontal="center" vertical="center"/>
    </xf>
    <xf numFmtId="0" fontId="67" fillId="9" borderId="36" xfId="0" applyFont="1" applyFill="1" applyBorder="1" applyAlignment="1">
      <alignment horizontal="center" vertical="center"/>
    </xf>
    <xf numFmtId="0" fontId="35" fillId="23" borderId="69" xfId="0" applyFont="1" applyFill="1" applyBorder="1" applyAlignment="1">
      <alignment horizontal="center" vertical="center"/>
    </xf>
    <xf numFmtId="0" fontId="36" fillId="0" borderId="0" xfId="0" applyFont="1" applyAlignment="1">
      <alignment horizontal="center" vertical="center"/>
    </xf>
    <xf numFmtId="0" fontId="67" fillId="0" borderId="0" xfId="0" applyFont="1" applyAlignment="1">
      <alignment horizontal="center" vertical="center"/>
    </xf>
    <xf numFmtId="0" fontId="68" fillId="0" borderId="0" xfId="0" applyFont="1" applyAlignment="1">
      <alignment horizontal="center" vertical="center"/>
    </xf>
    <xf numFmtId="0" fontId="64" fillId="18" borderId="70" xfId="0" applyFont="1" applyFill="1" applyBorder="1" applyAlignment="1">
      <alignment horizontal="center" vertical="center"/>
    </xf>
    <xf numFmtId="0" fontId="52" fillId="9" borderId="46" xfId="0" applyFont="1" applyFill="1" applyBorder="1" applyAlignment="1">
      <alignment horizontal="center" vertical="center"/>
    </xf>
    <xf numFmtId="0" fontId="64" fillId="18" borderId="46" xfId="0" applyFont="1" applyFill="1" applyBorder="1" applyAlignment="1">
      <alignment horizontal="left" vertical="center"/>
    </xf>
    <xf numFmtId="0" fontId="64" fillId="18" borderId="21" xfId="0" applyFont="1" applyFill="1" applyBorder="1" applyAlignment="1">
      <alignment horizontal="center" vertical="center"/>
    </xf>
    <xf numFmtId="0" fontId="64" fillId="18" borderId="14" xfId="0" applyFont="1" applyFill="1" applyBorder="1" applyAlignment="1">
      <alignment horizontal="center" vertical="center"/>
    </xf>
    <xf numFmtId="0" fontId="64" fillId="18" borderId="33" xfId="0" applyFont="1" applyFill="1" applyBorder="1" applyAlignment="1">
      <alignment horizontal="center" vertical="center"/>
    </xf>
    <xf numFmtId="0" fontId="64" fillId="20" borderId="70" xfId="0" applyFont="1" applyFill="1" applyBorder="1" applyAlignment="1">
      <alignment horizontal="center" vertical="center"/>
    </xf>
    <xf numFmtId="0" fontId="64" fillId="20" borderId="46" xfId="0" applyFont="1" applyFill="1" applyBorder="1" applyAlignment="1">
      <alignment horizontal="left" vertical="center"/>
    </xf>
    <xf numFmtId="0" fontId="64" fillId="20" borderId="21" xfId="0" applyFont="1" applyFill="1" applyBorder="1" applyAlignment="1">
      <alignment horizontal="center" vertical="center"/>
    </xf>
    <xf numFmtId="0" fontId="64" fillId="20" borderId="14" xfId="0" applyFont="1" applyFill="1" applyBorder="1" applyAlignment="1">
      <alignment horizontal="center" vertical="center"/>
    </xf>
    <xf numFmtId="0" fontId="69" fillId="10" borderId="0" xfId="0" applyFont="1" applyFill="1" applyAlignment="1">
      <alignment horizontal="center" vertical="center"/>
    </xf>
    <xf numFmtId="0" fontId="69" fillId="21" borderId="0" xfId="0" applyFont="1" applyFill="1" applyAlignment="1">
      <alignment horizontal="center" vertical="center"/>
    </xf>
    <xf numFmtId="0" fontId="64" fillId="20" borderId="33" xfId="0" applyFont="1" applyFill="1" applyBorder="1" applyAlignment="1">
      <alignment horizontal="center" vertical="center"/>
    </xf>
    <xf numFmtId="2" fontId="64" fillId="0" borderId="0" xfId="0" applyNumberFormat="1" applyFont="1" applyAlignment="1">
      <alignment horizontal="center" vertical="center"/>
    </xf>
    <xf numFmtId="0" fontId="63" fillId="0" borderId="0" xfId="0" applyFont="1" applyAlignment="1">
      <alignment horizontal="center" vertical="center"/>
    </xf>
    <xf numFmtId="0" fontId="64" fillId="16" borderId="0" xfId="0" applyFont="1" applyFill="1" applyAlignment="1">
      <alignment horizontal="center" vertical="center"/>
    </xf>
    <xf numFmtId="0" fontId="51" fillId="21" borderId="0" xfId="0" applyFont="1" applyFill="1" applyAlignment="1">
      <alignment horizontal="center" vertical="center"/>
    </xf>
    <xf numFmtId="0" fontId="9" fillId="10" borderId="76" xfId="0" applyFont="1" applyFill="1" applyBorder="1" applyAlignment="1">
      <alignment horizontal="center" vertical="center"/>
    </xf>
    <xf numFmtId="0" fontId="33" fillId="10" borderId="77" xfId="0" applyFont="1" applyFill="1" applyBorder="1" applyAlignment="1">
      <alignment horizontal="center" vertical="center"/>
    </xf>
    <xf numFmtId="0" fontId="49" fillId="10" borderId="0" xfId="0" applyFont="1" applyFill="1" applyAlignment="1">
      <alignment horizontal="center" vertical="center"/>
    </xf>
    <xf numFmtId="0" fontId="49" fillId="10" borderId="77" xfId="0" applyFont="1" applyFill="1" applyBorder="1" applyAlignment="1">
      <alignment horizontal="center" vertical="center"/>
    </xf>
    <xf numFmtId="0" fontId="70" fillId="10" borderId="0" xfId="0" applyFont="1" applyFill="1" applyAlignment="1">
      <alignment horizontal="center" vertical="center"/>
    </xf>
    <xf numFmtId="0" fontId="64" fillId="10" borderId="0" xfId="0" applyFont="1" applyFill="1" applyAlignment="1">
      <alignment horizontal="center" vertical="center"/>
    </xf>
    <xf numFmtId="0" fontId="62" fillId="10" borderId="77" xfId="0" applyFont="1" applyFill="1" applyBorder="1" applyAlignment="1">
      <alignment horizontal="center" vertical="center"/>
    </xf>
    <xf numFmtId="167" fontId="64" fillId="18" borderId="0" xfId="0" applyNumberFormat="1" applyFont="1" applyFill="1" applyAlignment="1">
      <alignment horizontal="center" vertical="center"/>
    </xf>
    <xf numFmtId="0" fontId="52" fillId="10" borderId="0" xfId="0" applyFont="1" applyFill="1" applyAlignment="1">
      <alignment horizontal="center" vertical="center"/>
    </xf>
    <xf numFmtId="0" fontId="52" fillId="14" borderId="0" xfId="0" applyFont="1" applyFill="1" applyAlignment="1">
      <alignment horizontal="center" vertical="center"/>
    </xf>
    <xf numFmtId="2" fontId="64" fillId="18" borderId="0" xfId="0" applyNumberFormat="1" applyFont="1" applyFill="1" applyAlignment="1">
      <alignment horizontal="center" vertical="center"/>
    </xf>
    <xf numFmtId="1" fontId="52" fillId="10" borderId="0" xfId="0" applyNumberFormat="1" applyFont="1" applyFill="1" applyAlignment="1">
      <alignment horizontal="center" vertical="center"/>
    </xf>
    <xf numFmtId="0" fontId="52" fillId="9" borderId="78" xfId="0" applyFont="1" applyFill="1" applyBorder="1" applyAlignment="1">
      <alignment horizontal="center" vertical="center"/>
    </xf>
    <xf numFmtId="0" fontId="64" fillId="18" borderId="0" xfId="0" applyFont="1" applyFill="1" applyAlignment="1">
      <alignment horizontal="center" vertical="center"/>
    </xf>
    <xf numFmtId="0" fontId="62" fillId="10" borderId="32" xfId="0" applyFont="1" applyFill="1" applyBorder="1" applyAlignment="1">
      <alignment horizontal="center" vertical="center"/>
    </xf>
    <xf numFmtId="0" fontId="52" fillId="10" borderId="33" xfId="0" applyFont="1" applyFill="1" applyBorder="1" applyAlignment="1">
      <alignment horizontal="center" vertical="center"/>
    </xf>
    <xf numFmtId="0" fontId="10" fillId="0" borderId="33" xfId="0" applyFont="1" applyBorder="1" applyAlignment="1">
      <alignment horizontal="center" vertical="center"/>
    </xf>
    <xf numFmtId="0" fontId="62" fillId="10" borderId="33" xfId="0" applyFont="1" applyFill="1" applyBorder="1" applyAlignment="1">
      <alignment horizontal="center" vertical="center"/>
    </xf>
    <xf numFmtId="0" fontId="65" fillId="10" borderId="33" xfId="0" applyFont="1" applyFill="1" applyBorder="1" applyAlignment="1">
      <alignment horizontal="center" vertical="center"/>
    </xf>
    <xf numFmtId="0" fontId="62" fillId="10" borderId="34" xfId="0" applyFont="1" applyFill="1" applyBorder="1" applyAlignment="1">
      <alignment horizontal="center" vertical="center"/>
    </xf>
    <xf numFmtId="0" fontId="65" fillId="10" borderId="0" xfId="0" applyFont="1" applyFill="1" applyAlignment="1">
      <alignment horizontal="left" vertical="center"/>
    </xf>
    <xf numFmtId="0" fontId="31" fillId="20" borderId="72" xfId="0" applyFont="1" applyFill="1" applyBorder="1" applyAlignment="1">
      <alignment horizontal="center" vertical="center"/>
    </xf>
    <xf numFmtId="0" fontId="31" fillId="20" borderId="71" xfId="0" applyFont="1" applyFill="1" applyBorder="1" applyAlignment="1">
      <alignment horizontal="center" vertical="center"/>
    </xf>
    <xf numFmtId="0" fontId="31" fillId="18" borderId="72" xfId="0" applyFont="1" applyFill="1" applyBorder="1" applyAlignment="1">
      <alignment horizontal="center" vertical="center"/>
    </xf>
    <xf numFmtId="0" fontId="31" fillId="18" borderId="71" xfId="0" applyFont="1" applyFill="1" applyBorder="1" applyAlignment="1">
      <alignment horizontal="center" vertical="center"/>
    </xf>
    <xf numFmtId="0" fontId="71" fillId="11" borderId="11" xfId="0" applyFont="1" applyFill="1" applyBorder="1" applyAlignment="1">
      <alignment horizontal="center" vertical="center"/>
    </xf>
    <xf numFmtId="0" fontId="52" fillId="9" borderId="34" xfId="0" applyFont="1" applyFill="1" applyBorder="1" applyAlignment="1">
      <alignment horizontal="center" vertical="center"/>
    </xf>
    <xf numFmtId="1" fontId="64" fillId="4" borderId="56" xfId="0" applyNumberFormat="1" applyFont="1" applyFill="1" applyBorder="1" applyAlignment="1">
      <alignment horizontal="center" vertical="center"/>
    </xf>
    <xf numFmtId="0" fontId="64" fillId="0" borderId="56" xfId="0" applyFont="1" applyBorder="1" applyAlignment="1" applyProtection="1">
      <alignment horizontal="center" vertical="center"/>
      <protection locked="0"/>
    </xf>
    <xf numFmtId="1" fontId="64" fillId="0" borderId="56" xfId="0" applyNumberFormat="1" applyFont="1" applyBorder="1" applyAlignment="1" applyProtection="1">
      <alignment horizontal="center" vertical="center"/>
      <protection locked="0"/>
    </xf>
    <xf numFmtId="0" fontId="64" fillId="20" borderId="35" xfId="0" applyFont="1" applyFill="1" applyBorder="1" applyAlignment="1">
      <alignment horizontal="center" vertical="center"/>
    </xf>
    <xf numFmtId="0" fontId="52" fillId="9" borderId="68" xfId="0" applyFont="1" applyFill="1" applyBorder="1" applyAlignment="1">
      <alignment horizontal="center" vertical="center"/>
    </xf>
    <xf numFmtId="0" fontId="64" fillId="20" borderId="68" xfId="0" applyFont="1" applyFill="1" applyBorder="1" applyAlignment="1">
      <alignment horizontal="left" vertical="center"/>
    </xf>
    <xf numFmtId="0" fontId="64" fillId="20" borderId="34" xfId="0" applyFont="1" applyFill="1" applyBorder="1" applyAlignment="1">
      <alignment horizontal="center" vertical="center"/>
    </xf>
    <xf numFmtId="0" fontId="64" fillId="18" borderId="35" xfId="0" applyFont="1" applyFill="1" applyBorder="1" applyAlignment="1">
      <alignment horizontal="center" vertical="center"/>
    </xf>
    <xf numFmtId="0" fontId="64" fillId="18" borderId="68" xfId="0" applyFont="1" applyFill="1" applyBorder="1" applyAlignment="1">
      <alignment horizontal="left" vertical="center"/>
    </xf>
    <xf numFmtId="0" fontId="64" fillId="18" borderId="34" xfId="0" applyFont="1" applyFill="1" applyBorder="1" applyAlignment="1">
      <alignment horizontal="center" vertical="center"/>
    </xf>
    <xf numFmtId="0" fontId="10" fillId="19" borderId="0" xfId="0" applyFont="1" applyFill="1" applyAlignment="1">
      <alignment horizontal="center" vertical="center"/>
    </xf>
    <xf numFmtId="0" fontId="62" fillId="19" borderId="0" xfId="0" applyFont="1" applyFill="1" applyAlignment="1">
      <alignment horizontal="center" vertical="center"/>
    </xf>
    <xf numFmtId="0" fontId="65" fillId="19" borderId="0" xfId="0" applyFont="1" applyFill="1" applyAlignment="1">
      <alignment horizontal="center" vertical="center"/>
    </xf>
    <xf numFmtId="0" fontId="65" fillId="19" borderId="0" xfId="0" applyFont="1" applyFill="1" applyAlignment="1">
      <alignment horizontal="left" vertical="center"/>
    </xf>
    <xf numFmtId="0" fontId="65" fillId="19" borderId="2" xfId="0" applyFont="1" applyFill="1" applyBorder="1" applyAlignment="1">
      <alignment horizontal="center" vertical="center"/>
    </xf>
    <xf numFmtId="1" fontId="65" fillId="19" borderId="2" xfId="0" applyNumberFormat="1" applyFont="1" applyFill="1" applyBorder="1" applyAlignment="1">
      <alignment horizontal="center" vertical="center"/>
    </xf>
    <xf numFmtId="1" fontId="65" fillId="19" borderId="0" xfId="0" applyNumberFormat="1" applyFont="1" applyFill="1" applyAlignment="1">
      <alignment horizontal="center" vertical="center"/>
    </xf>
    <xf numFmtId="0" fontId="62" fillId="19" borderId="2" xfId="0" applyFont="1" applyFill="1" applyBorder="1" applyAlignment="1">
      <alignment horizontal="center" vertical="center"/>
    </xf>
    <xf numFmtId="0" fontId="62" fillId="25" borderId="0" xfId="0" applyFont="1" applyFill="1" applyAlignment="1">
      <alignment horizontal="center" vertical="center"/>
    </xf>
    <xf numFmtId="0" fontId="65" fillId="25" borderId="0" xfId="0" applyFont="1" applyFill="1" applyAlignment="1">
      <alignment horizontal="center" vertical="center"/>
    </xf>
    <xf numFmtId="1" fontId="4" fillId="10" borderId="79" xfId="0" applyNumberFormat="1" applyFont="1" applyFill="1" applyBorder="1"/>
    <xf numFmtId="0" fontId="4" fillId="10" borderId="79" xfId="0" applyFont="1" applyFill="1" applyBorder="1"/>
    <xf numFmtId="0" fontId="4" fillId="10" borderId="2" xfId="0" applyFont="1" applyFill="1" applyBorder="1"/>
    <xf numFmtId="0" fontId="4" fillId="10" borderId="80" xfId="0" applyFont="1" applyFill="1" applyBorder="1"/>
    <xf numFmtId="0" fontId="4" fillId="10" borderId="34" xfId="0" applyFont="1" applyFill="1" applyBorder="1"/>
    <xf numFmtId="0" fontId="4" fillId="10" borderId="33" xfId="0" applyFont="1" applyFill="1" applyBorder="1"/>
    <xf numFmtId="0" fontId="4" fillId="10" borderId="77" xfId="0" applyFont="1" applyFill="1" applyBorder="1"/>
    <xf numFmtId="1" fontId="4" fillId="10" borderId="33" xfId="0" applyNumberFormat="1" applyFont="1" applyFill="1" applyBorder="1"/>
    <xf numFmtId="0" fontId="4" fillId="10" borderId="53" xfId="0" applyFont="1" applyFill="1" applyBorder="1"/>
    <xf numFmtId="0" fontId="4" fillId="10" borderId="3" xfId="0" applyFont="1" applyFill="1" applyBorder="1"/>
    <xf numFmtId="1" fontId="4" fillId="10" borderId="53" xfId="0" applyNumberFormat="1" applyFont="1" applyFill="1" applyBorder="1"/>
    <xf numFmtId="0" fontId="4" fillId="10" borderId="56" xfId="0" applyFont="1" applyFill="1" applyBorder="1"/>
    <xf numFmtId="167" fontId="4" fillId="10" borderId="0" xfId="0" applyNumberFormat="1" applyFont="1" applyFill="1"/>
    <xf numFmtId="0" fontId="4" fillId="10" borderId="81" xfId="0" applyFont="1" applyFill="1" applyBorder="1"/>
    <xf numFmtId="0" fontId="4" fillId="10" borderId="81" xfId="0" applyFont="1" applyFill="1" applyBorder="1" applyAlignment="1">
      <alignment textRotation="90"/>
    </xf>
    <xf numFmtId="0" fontId="4" fillId="10" borderId="77" xfId="0" applyFont="1" applyFill="1" applyBorder="1" applyAlignment="1">
      <alignment textRotation="90"/>
    </xf>
    <xf numFmtId="49" fontId="4" fillId="10" borderId="80" xfId="0" applyNumberFormat="1" applyFont="1" applyFill="1" applyBorder="1" applyAlignment="1">
      <alignment textRotation="90"/>
    </xf>
    <xf numFmtId="49" fontId="4" fillId="10" borderId="34" xfId="0" applyNumberFormat="1" applyFont="1" applyFill="1" applyBorder="1" applyAlignment="1">
      <alignment textRotation="90"/>
    </xf>
    <xf numFmtId="49" fontId="4" fillId="10" borderId="81" xfId="0" applyNumberFormat="1" applyFont="1" applyFill="1" applyBorder="1" applyAlignment="1">
      <alignment textRotation="90"/>
    </xf>
    <xf numFmtId="49" fontId="4" fillId="10" borderId="77" xfId="0" applyNumberFormat="1" applyFont="1" applyFill="1" applyBorder="1" applyAlignment="1">
      <alignment textRotation="90"/>
    </xf>
    <xf numFmtId="167" fontId="4" fillId="0" borderId="0" xfId="0" applyNumberFormat="1" applyFont="1"/>
    <xf numFmtId="0" fontId="4" fillId="15" borderId="0" xfId="0" applyFont="1" applyFill="1"/>
    <xf numFmtId="0" fontId="4" fillId="15" borderId="2" xfId="0" applyFont="1" applyFill="1" applyBorder="1"/>
    <xf numFmtId="0" fontId="4" fillId="15" borderId="3" xfId="0" applyFont="1" applyFill="1" applyBorder="1"/>
    <xf numFmtId="0" fontId="64" fillId="3" borderId="0" xfId="0" applyFont="1" applyFill="1" applyAlignment="1">
      <alignment horizontal="center" vertical="center"/>
    </xf>
    <xf numFmtId="0" fontId="65" fillId="22" borderId="46" xfId="0" applyFont="1" applyFill="1" applyBorder="1" applyAlignment="1">
      <alignment horizontal="center" vertical="center"/>
    </xf>
    <xf numFmtId="0" fontId="65" fillId="3" borderId="46" xfId="0" applyFont="1" applyFill="1" applyBorder="1" applyAlignment="1">
      <alignment horizontal="center" vertical="center"/>
    </xf>
    <xf numFmtId="0" fontId="17" fillId="0" borderId="0" xfId="0" applyFont="1" applyAlignment="1">
      <alignment horizontal="right" vertical="center"/>
    </xf>
    <xf numFmtId="0" fontId="17" fillId="0" borderId="0" xfId="0" applyFont="1" applyAlignment="1">
      <alignment horizontal="left" vertical="center"/>
    </xf>
    <xf numFmtId="49" fontId="17" fillId="0" borderId="0" xfId="0" applyNumberFormat="1" applyFont="1" applyAlignment="1">
      <alignment horizontal="left" vertical="center"/>
    </xf>
    <xf numFmtId="14" fontId="10" fillId="0" borderId="0" xfId="0" applyNumberFormat="1" applyFont="1" applyAlignment="1">
      <alignment horizontal="right"/>
    </xf>
    <xf numFmtId="0" fontId="78" fillId="0" borderId="0" xfId="0" applyFont="1" applyAlignment="1">
      <alignment horizontal="left" vertical="center"/>
    </xf>
    <xf numFmtId="0" fontId="51" fillId="4" borderId="88" xfId="0" applyFont="1" applyFill="1" applyBorder="1"/>
    <xf numFmtId="0" fontId="79" fillId="4" borderId="88" xfId="0" applyFont="1" applyFill="1" applyBorder="1"/>
    <xf numFmtId="0" fontId="79" fillId="4" borderId="89" xfId="0" applyFont="1" applyFill="1" applyBorder="1"/>
    <xf numFmtId="0" fontId="80" fillId="28" borderId="88" xfId="0" applyFont="1" applyFill="1" applyBorder="1"/>
    <xf numFmtId="0" fontId="80" fillId="28" borderId="89" xfId="0" applyFont="1" applyFill="1" applyBorder="1"/>
    <xf numFmtId="0" fontId="65" fillId="4" borderId="90" xfId="0" applyFont="1" applyFill="1" applyBorder="1"/>
    <xf numFmtId="0" fontId="65" fillId="4" borderId="34" xfId="0" applyFont="1" applyFill="1" applyBorder="1"/>
    <xf numFmtId="0" fontId="65" fillId="10" borderId="33" xfId="0" applyFont="1" applyFill="1" applyBorder="1"/>
    <xf numFmtId="0" fontId="65" fillId="28" borderId="90" xfId="0" applyFont="1" applyFill="1" applyBorder="1"/>
    <xf numFmtId="0" fontId="65" fillId="28" borderId="34" xfId="0" applyFont="1" applyFill="1" applyBorder="1"/>
    <xf numFmtId="0" fontId="65" fillId="10" borderId="0" xfId="0" applyFont="1" applyFill="1"/>
    <xf numFmtId="0" fontId="65" fillId="10" borderId="92" xfId="0" applyFont="1" applyFill="1" applyBorder="1"/>
    <xf numFmtId="0" fontId="65" fillId="5" borderId="87" xfId="0" applyFont="1" applyFill="1" applyBorder="1" applyAlignment="1">
      <alignment horizontal="center"/>
    </xf>
    <xf numFmtId="0" fontId="65" fillId="5" borderId="93" xfId="0" applyFont="1" applyFill="1" applyBorder="1" applyAlignment="1">
      <alignment horizontal="center"/>
    </xf>
    <xf numFmtId="0" fontId="65" fillId="5" borderId="93" xfId="0" applyFont="1" applyFill="1" applyBorder="1" applyAlignment="1">
      <alignment horizontal="left"/>
    </xf>
    <xf numFmtId="0" fontId="65" fillId="5" borderId="88" xfId="0" applyFont="1" applyFill="1" applyBorder="1" applyAlignment="1">
      <alignment horizontal="center"/>
    </xf>
    <xf numFmtId="0" fontId="65" fillId="5" borderId="89" xfId="0" applyFont="1" applyFill="1" applyBorder="1" applyAlignment="1">
      <alignment horizontal="center"/>
    </xf>
    <xf numFmtId="0" fontId="35" fillId="0" borderId="2" xfId="0" applyFont="1" applyBorder="1"/>
    <xf numFmtId="0" fontId="65" fillId="0" borderId="2" xfId="0" applyFont="1" applyBorder="1"/>
    <xf numFmtId="0" fontId="65" fillId="0" borderId="95" xfId="0" applyFont="1" applyBorder="1"/>
    <xf numFmtId="0" fontId="65" fillId="0" borderId="8" xfId="0" applyFont="1" applyBorder="1"/>
    <xf numFmtId="0" fontId="65" fillId="0" borderId="96" xfId="0" applyFont="1" applyBorder="1"/>
    <xf numFmtId="0" fontId="10" fillId="0" borderId="98" xfId="0" applyFont="1" applyBorder="1"/>
    <xf numFmtId="0" fontId="10" fillId="0" borderId="97" xfId="0" applyFont="1" applyBorder="1"/>
    <xf numFmtId="0" fontId="55" fillId="4" borderId="87" xfId="0" applyFont="1" applyFill="1" applyBorder="1"/>
    <xf numFmtId="0" fontId="55" fillId="28" borderId="87" xfId="0" applyFont="1" applyFill="1" applyBorder="1"/>
    <xf numFmtId="0" fontId="31" fillId="4" borderId="6" xfId="0" applyFont="1" applyFill="1" applyBorder="1" applyAlignment="1">
      <alignment horizontal="center" vertical="center"/>
    </xf>
    <xf numFmtId="0" fontId="31" fillId="4" borderId="7" xfId="0" applyFont="1" applyFill="1" applyBorder="1" applyAlignment="1">
      <alignment horizontal="center" vertical="center"/>
    </xf>
    <xf numFmtId="0" fontId="31" fillId="28" borderId="6" xfId="0" applyFont="1" applyFill="1" applyBorder="1" applyAlignment="1">
      <alignment horizontal="center" vertical="center"/>
    </xf>
    <xf numFmtId="0" fontId="31" fillId="28" borderId="7" xfId="0" applyFont="1" applyFill="1" applyBorder="1" applyAlignment="1">
      <alignment horizontal="center" vertical="center"/>
    </xf>
    <xf numFmtId="0" fontId="55" fillId="10" borderId="33" xfId="0" applyFont="1" applyFill="1" applyBorder="1"/>
    <xf numFmtId="0" fontId="39" fillId="0" borderId="0" xfId="0" applyFont="1" applyAlignment="1">
      <alignment horizontal="center"/>
    </xf>
    <xf numFmtId="1" fontId="60" fillId="20" borderId="70" xfId="0" applyNumberFormat="1" applyFont="1" applyFill="1" applyBorder="1" applyAlignment="1">
      <alignment horizontal="center" vertical="center"/>
    </xf>
    <xf numFmtId="0" fontId="10" fillId="15" borderId="21" xfId="0" applyFont="1" applyFill="1" applyBorder="1"/>
    <xf numFmtId="0" fontId="10" fillId="15" borderId="14" xfId="0" applyFont="1" applyFill="1" applyBorder="1"/>
    <xf numFmtId="0" fontId="81" fillId="15" borderId="21" xfId="0" applyFont="1" applyFill="1" applyBorder="1" applyAlignment="1">
      <alignment vertical="center"/>
    </xf>
    <xf numFmtId="0" fontId="82" fillId="15" borderId="46" xfId="0" applyFont="1" applyFill="1" applyBorder="1" applyAlignment="1">
      <alignment horizontal="center" vertical="center"/>
    </xf>
    <xf numFmtId="0" fontId="13" fillId="3" borderId="46" xfId="0" applyFont="1" applyFill="1" applyBorder="1" applyAlignment="1">
      <alignment horizontal="left" vertical="center"/>
    </xf>
    <xf numFmtId="0" fontId="10" fillId="3" borderId="21" xfId="0" applyFont="1" applyFill="1" applyBorder="1" applyAlignment="1">
      <alignment horizontal="left" vertical="center"/>
    </xf>
    <xf numFmtId="0" fontId="10" fillId="3" borderId="14" xfId="0" applyFont="1" applyFill="1" applyBorder="1" applyAlignment="1">
      <alignment horizontal="left" vertical="center"/>
    </xf>
    <xf numFmtId="0" fontId="70" fillId="0" borderId="0" xfId="0" applyFont="1" applyAlignment="1">
      <alignment horizontal="center" vertical="center"/>
    </xf>
    <xf numFmtId="0" fontId="1" fillId="0" borderId="0" xfId="0" applyFont="1" applyAlignment="1">
      <alignment horizontal="left" vertical="center"/>
    </xf>
    <xf numFmtId="0" fontId="2" fillId="0" borderId="0" xfId="0" applyFont="1" applyAlignment="1">
      <alignment horizontal="left" vertical="center"/>
    </xf>
    <xf numFmtId="0" fontId="83" fillId="0" borderId="0" xfId="0" applyFont="1" applyAlignment="1">
      <alignment horizontal="left" vertical="center"/>
    </xf>
    <xf numFmtId="0" fontId="2" fillId="0" borderId="13" xfId="0" applyFont="1" applyBorder="1" applyAlignment="1">
      <alignment horizontal="left" vertical="center"/>
    </xf>
    <xf numFmtId="0" fontId="23" fillId="0" borderId="13" xfId="0" applyFont="1" applyBorder="1" applyAlignment="1">
      <alignment horizontal="center" vertical="center"/>
    </xf>
    <xf numFmtId="0" fontId="83" fillId="0" borderId="13" xfId="0" applyFont="1" applyBorder="1" applyAlignment="1">
      <alignment horizontal="left" vertical="center"/>
    </xf>
    <xf numFmtId="0" fontId="83" fillId="0" borderId="99" xfId="0" applyFont="1" applyBorder="1" applyAlignment="1">
      <alignment horizontal="left" vertical="center"/>
    </xf>
    <xf numFmtId="0" fontId="42" fillId="0" borderId="82" xfId="0" applyFont="1" applyBorder="1" applyAlignment="1">
      <alignment horizontal="center" vertical="center"/>
    </xf>
    <xf numFmtId="0" fontId="42" fillId="0" borderId="2" xfId="0" applyFont="1" applyBorder="1" applyAlignment="1">
      <alignment horizontal="center" vertical="center"/>
    </xf>
    <xf numFmtId="0" fontId="42" fillId="0" borderId="8" xfId="0" applyFont="1" applyBorder="1" applyAlignment="1">
      <alignment horizontal="center" vertical="center"/>
    </xf>
    <xf numFmtId="0" fontId="42" fillId="0" borderId="5" xfId="0" applyFont="1" applyBorder="1" applyAlignment="1">
      <alignment horizontal="center" vertical="center"/>
    </xf>
    <xf numFmtId="0" fontId="42" fillId="0" borderId="100" xfId="0" applyFont="1" applyBorder="1" applyAlignment="1">
      <alignment horizontal="center" vertical="center"/>
    </xf>
    <xf numFmtId="0" fontId="42" fillId="0" borderId="101" xfId="0" applyFont="1" applyBorder="1" applyAlignment="1">
      <alignment horizontal="center" vertical="center"/>
    </xf>
    <xf numFmtId="0" fontId="42" fillId="0" borderId="102" xfId="0" applyFont="1" applyBorder="1" applyAlignment="1">
      <alignment horizontal="center" vertical="center"/>
    </xf>
    <xf numFmtId="0" fontId="42" fillId="10" borderId="103" xfId="0" applyFont="1" applyFill="1" applyBorder="1" applyAlignment="1">
      <alignment horizontal="center" vertical="center"/>
    </xf>
    <xf numFmtId="0" fontId="42" fillId="10" borderId="70" xfId="0" applyFont="1" applyFill="1" applyBorder="1" applyAlignment="1">
      <alignment horizontal="center" vertical="center"/>
    </xf>
    <xf numFmtId="0" fontId="42" fillId="10" borderId="104" xfId="0" applyFont="1" applyFill="1" applyBorder="1" applyAlignment="1">
      <alignment horizontal="center" vertical="center"/>
    </xf>
    <xf numFmtId="0" fontId="42" fillId="10" borderId="105" xfId="0" applyFont="1" applyFill="1" applyBorder="1" applyAlignment="1">
      <alignment horizontal="center" vertical="center"/>
    </xf>
    <xf numFmtId="0" fontId="42" fillId="0" borderId="106" xfId="0" applyFont="1" applyBorder="1" applyAlignment="1">
      <alignment horizontal="center" vertical="center"/>
    </xf>
    <xf numFmtId="166" fontId="23" fillId="10" borderId="0" xfId="0" applyNumberFormat="1" applyFont="1" applyFill="1" applyAlignment="1">
      <alignment vertical="center"/>
    </xf>
    <xf numFmtId="0" fontId="1" fillId="0" borderId="1" xfId="0" applyFont="1" applyBorder="1" applyAlignment="1">
      <alignment vertical="center"/>
    </xf>
    <xf numFmtId="0" fontId="23" fillId="10" borderId="38" xfId="0" applyFont="1" applyFill="1" applyBorder="1" applyAlignment="1">
      <alignment vertical="center"/>
    </xf>
    <xf numFmtId="0" fontId="23" fillId="10" borderId="39" xfId="0" applyFont="1" applyFill="1" applyBorder="1" applyAlignment="1">
      <alignment vertical="center"/>
    </xf>
    <xf numFmtId="0" fontId="23" fillId="10" borderId="0" xfId="0" applyFont="1" applyFill="1" applyAlignment="1">
      <alignment vertical="center"/>
    </xf>
    <xf numFmtId="0" fontId="23" fillId="7" borderId="0" xfId="0" applyFont="1" applyFill="1" applyAlignment="1">
      <alignment vertical="center"/>
    </xf>
    <xf numFmtId="0" fontId="23" fillId="15" borderId="0" xfId="0" applyFont="1" applyFill="1" applyAlignment="1">
      <alignment vertical="center"/>
    </xf>
    <xf numFmtId="20" fontId="23" fillId="10" borderId="0" xfId="0" applyNumberFormat="1" applyFont="1" applyFill="1" applyAlignment="1">
      <alignment vertical="center"/>
    </xf>
    <xf numFmtId="0" fontId="23" fillId="10" borderId="37" xfId="0" applyFont="1" applyFill="1" applyBorder="1" applyAlignment="1">
      <alignment vertical="center"/>
    </xf>
    <xf numFmtId="0" fontId="23" fillId="10" borderId="40" xfId="0" applyFont="1" applyFill="1" applyBorder="1" applyAlignment="1">
      <alignment vertical="center"/>
    </xf>
    <xf numFmtId="0" fontId="49" fillId="10" borderId="37" xfId="0" applyFont="1" applyFill="1" applyBorder="1" applyAlignment="1">
      <alignment vertical="center"/>
    </xf>
    <xf numFmtId="0" fontId="49" fillId="10" borderId="0" xfId="0" applyFont="1" applyFill="1" applyAlignment="1">
      <alignment vertical="center"/>
    </xf>
    <xf numFmtId="0" fontId="49" fillId="10" borderId="41" xfId="0" applyFont="1" applyFill="1" applyBorder="1" applyAlignment="1">
      <alignment vertical="center"/>
    </xf>
    <xf numFmtId="0" fontId="49" fillId="10" borderId="24" xfId="0" applyFont="1" applyFill="1" applyBorder="1" applyAlignment="1">
      <alignment vertical="center"/>
    </xf>
    <xf numFmtId="0" fontId="49" fillId="10" borderId="42" xfId="0" applyFont="1" applyFill="1" applyBorder="1" applyAlignment="1">
      <alignment vertical="center"/>
    </xf>
    <xf numFmtId="0" fontId="50" fillId="10" borderId="37" xfId="0" applyFont="1" applyFill="1" applyBorder="1" applyAlignment="1">
      <alignment vertical="center"/>
    </xf>
    <xf numFmtId="0" fontId="50" fillId="10" borderId="0" xfId="0" applyFont="1" applyFill="1" applyAlignment="1">
      <alignment vertical="center"/>
    </xf>
    <xf numFmtId="0" fontId="33" fillId="9" borderId="17" xfId="0" applyFont="1" applyFill="1" applyBorder="1" applyAlignment="1">
      <alignment vertical="center"/>
    </xf>
    <xf numFmtId="0" fontId="33" fillId="9" borderId="18" xfId="0" applyFont="1" applyFill="1" applyBorder="1" applyAlignment="1">
      <alignment vertical="center"/>
    </xf>
    <xf numFmtId="0" fontId="33" fillId="9" borderId="19" xfId="0" applyFont="1" applyFill="1" applyBorder="1" applyAlignment="1">
      <alignment vertical="center"/>
    </xf>
    <xf numFmtId="0" fontId="33" fillId="9" borderId="11" xfId="0" applyFont="1" applyFill="1" applyBorder="1" applyAlignment="1">
      <alignment horizontal="center" vertical="center"/>
    </xf>
    <xf numFmtId="0" fontId="51" fillId="10" borderId="0" xfId="0" applyFont="1" applyFill="1" applyAlignment="1">
      <alignment vertical="center"/>
    </xf>
    <xf numFmtId="0" fontId="51" fillId="7" borderId="0" xfId="0" applyFont="1" applyFill="1" applyAlignment="1">
      <alignment vertical="center"/>
    </xf>
    <xf numFmtId="0" fontId="51" fillId="15" borderId="0" xfId="0" applyFont="1" applyFill="1" applyAlignment="1">
      <alignment vertical="center"/>
    </xf>
    <xf numFmtId="0" fontId="9" fillId="9" borderId="43" xfId="0" applyFont="1" applyFill="1" applyBorder="1" applyAlignment="1">
      <alignment horizontal="centerContinuous" vertical="center"/>
    </xf>
    <xf numFmtId="0" fontId="32" fillId="10" borderId="21" xfId="0" applyFont="1" applyFill="1" applyBorder="1" applyAlignment="1">
      <alignment vertical="center"/>
    </xf>
    <xf numFmtId="0" fontId="32" fillId="10" borderId="14" xfId="0" applyFont="1" applyFill="1" applyBorder="1" applyAlignment="1">
      <alignment vertical="center"/>
    </xf>
    <xf numFmtId="0" fontId="34" fillId="9" borderId="44" xfId="0" applyFont="1" applyFill="1" applyBorder="1" applyAlignment="1">
      <alignment horizontal="centerContinuous" vertical="center"/>
    </xf>
    <xf numFmtId="0" fontId="9" fillId="9" borderId="45" xfId="0" applyFont="1" applyFill="1" applyBorder="1" applyAlignment="1">
      <alignment horizontal="centerContinuous" vertical="center"/>
    </xf>
    <xf numFmtId="0" fontId="25" fillId="15" borderId="0" xfId="0" applyFont="1" applyFill="1" applyAlignment="1">
      <alignment vertical="center"/>
    </xf>
    <xf numFmtId="0" fontId="52" fillId="9" borderId="30" xfId="0" applyFont="1" applyFill="1" applyBorder="1" applyAlignment="1">
      <alignment horizontal="centerContinuous" vertical="center"/>
    </xf>
    <xf numFmtId="0" fontId="52" fillId="9" borderId="47" xfId="0" applyFont="1" applyFill="1" applyBorder="1" applyAlignment="1">
      <alignment vertical="center"/>
    </xf>
    <xf numFmtId="0" fontId="9" fillId="9" borderId="48" xfId="0" applyFont="1" applyFill="1" applyBorder="1" applyAlignment="1">
      <alignment vertical="center"/>
    </xf>
    <xf numFmtId="0" fontId="52" fillId="9" borderId="31" xfId="0" applyFont="1" applyFill="1" applyBorder="1" applyAlignment="1">
      <alignment vertical="center"/>
    </xf>
    <xf numFmtId="0" fontId="52" fillId="9" borderId="47" xfId="0" applyFont="1" applyFill="1" applyBorder="1" applyAlignment="1">
      <alignment horizontal="centerContinuous" vertical="center"/>
    </xf>
    <xf numFmtId="0" fontId="52" fillId="9" borderId="19" xfId="0" applyFont="1" applyFill="1" applyBorder="1" applyAlignment="1">
      <alignment horizontal="centerContinuous" vertical="center"/>
    </xf>
    <xf numFmtId="0" fontId="52" fillId="9" borderId="49" xfId="0" applyFont="1" applyFill="1" applyBorder="1" applyAlignment="1">
      <alignment vertical="center"/>
    </xf>
    <xf numFmtId="0" fontId="52" fillId="9" borderId="50" xfId="0" applyFont="1" applyFill="1" applyBorder="1" applyAlignment="1">
      <alignment vertical="center"/>
    </xf>
    <xf numFmtId="0" fontId="9" fillId="9" borderId="12" xfId="0" applyFont="1" applyFill="1" applyBorder="1" applyAlignment="1">
      <alignment vertical="center"/>
    </xf>
    <xf numFmtId="0" fontId="23" fillId="3" borderId="0" xfId="0" applyFont="1" applyFill="1" applyAlignment="1">
      <alignment vertical="center"/>
    </xf>
    <xf numFmtId="0" fontId="9" fillId="9" borderId="51" xfId="0" applyFont="1" applyFill="1" applyBorder="1" applyAlignment="1">
      <alignment vertical="center"/>
    </xf>
    <xf numFmtId="0" fontId="53" fillId="9" borderId="52" xfId="0" applyFont="1" applyFill="1" applyBorder="1" applyAlignment="1">
      <alignment vertical="center"/>
    </xf>
    <xf numFmtId="0" fontId="9" fillId="9" borderId="52" xfId="0" applyFont="1" applyFill="1" applyBorder="1" applyAlignment="1">
      <alignment horizontal="right" vertical="center"/>
    </xf>
    <xf numFmtId="0" fontId="31" fillId="10" borderId="9" xfId="0" applyFont="1" applyFill="1" applyBorder="1" applyAlignment="1">
      <alignment horizontal="center" vertical="center"/>
    </xf>
    <xf numFmtId="0" fontId="50" fillId="11" borderId="10" xfId="0" applyFont="1" applyFill="1" applyBorder="1" applyAlignment="1">
      <alignment horizontal="center" vertical="center"/>
    </xf>
    <xf numFmtId="0" fontId="51" fillId="14" borderId="15" xfId="0" applyFont="1" applyFill="1" applyBorder="1" applyAlignment="1">
      <alignment vertical="center"/>
    </xf>
    <xf numFmtId="0" fontId="51" fillId="10" borderId="46" xfId="0" applyFont="1" applyFill="1" applyBorder="1" applyAlignment="1">
      <alignment vertical="center"/>
    </xf>
    <xf numFmtId="0" fontId="49" fillId="10" borderId="14" xfId="0" applyFont="1" applyFill="1" applyBorder="1" applyAlignment="1">
      <alignment vertical="center"/>
    </xf>
    <xf numFmtId="167" fontId="51" fillId="10" borderId="2" xfId="0" applyNumberFormat="1" applyFont="1" applyFill="1" applyBorder="1" applyAlignment="1">
      <alignment horizontal="center" vertical="center"/>
    </xf>
    <xf numFmtId="0" fontId="51" fillId="12" borderId="2" xfId="0" applyFont="1" applyFill="1" applyBorder="1" applyAlignment="1">
      <alignment horizontal="center" vertical="center"/>
    </xf>
    <xf numFmtId="0" fontId="49" fillId="10" borderId="21" xfId="0" applyFont="1" applyFill="1" applyBorder="1" applyAlignment="1">
      <alignment vertical="center"/>
    </xf>
    <xf numFmtId="0" fontId="23" fillId="2" borderId="0" xfId="0" applyFont="1" applyFill="1" applyAlignment="1">
      <alignment vertical="center"/>
    </xf>
    <xf numFmtId="0" fontId="23" fillId="26" borderId="0" xfId="0" applyFont="1" applyFill="1" applyAlignment="1">
      <alignment vertical="center"/>
    </xf>
    <xf numFmtId="0" fontId="23" fillId="27" borderId="0" xfId="0" applyFont="1" applyFill="1" applyAlignment="1">
      <alignment vertical="center"/>
    </xf>
    <xf numFmtId="0" fontId="32" fillId="12" borderId="2" xfId="0" applyFont="1" applyFill="1" applyBorder="1" applyAlignment="1">
      <alignment horizontal="center" vertical="center"/>
    </xf>
    <xf numFmtId="0" fontId="72" fillId="10" borderId="0" xfId="0" applyFont="1" applyFill="1" applyAlignment="1">
      <alignment vertical="center"/>
    </xf>
    <xf numFmtId="0" fontId="73" fillId="11" borderId="2" xfId="0" applyFont="1" applyFill="1" applyBorder="1" applyAlignment="1">
      <alignment vertical="center"/>
    </xf>
    <xf numFmtId="0" fontId="51" fillId="10" borderId="2" xfId="0" applyFont="1" applyFill="1" applyBorder="1" applyAlignment="1">
      <alignment horizontal="center" vertical="center"/>
    </xf>
    <xf numFmtId="0" fontId="75" fillId="11" borderId="17" xfId="0" applyFont="1" applyFill="1" applyBorder="1" applyAlignment="1">
      <alignment vertical="center"/>
    </xf>
    <xf numFmtId="0" fontId="72" fillId="11" borderId="18" xfId="0" applyFont="1" applyFill="1" applyBorder="1" applyAlignment="1">
      <alignment vertical="center"/>
    </xf>
    <xf numFmtId="0" fontId="72" fillId="11" borderId="19" xfId="0" applyFont="1" applyFill="1" applyBorder="1" applyAlignment="1">
      <alignment vertical="center"/>
    </xf>
    <xf numFmtId="0" fontId="75" fillId="11" borderId="17" xfId="0" applyFont="1" applyFill="1" applyBorder="1" applyAlignment="1">
      <alignment horizontal="left" vertical="center"/>
    </xf>
    <xf numFmtId="0" fontId="23" fillId="11" borderId="12" xfId="0" applyFont="1" applyFill="1" applyBorder="1" applyAlignment="1">
      <alignment vertical="center"/>
    </xf>
    <xf numFmtId="0" fontId="31" fillId="13" borderId="9" xfId="0" applyFont="1" applyFill="1" applyBorder="1" applyAlignment="1">
      <alignment horizontal="center" vertical="center"/>
    </xf>
    <xf numFmtId="0" fontId="51" fillId="13" borderId="15" xfId="0" applyFont="1" applyFill="1" applyBorder="1" applyAlignment="1">
      <alignment horizontal="center" vertical="center"/>
    </xf>
    <xf numFmtId="1" fontId="51" fillId="4" borderId="32" xfId="0" applyNumberFormat="1" applyFont="1" applyFill="1" applyBorder="1" applyAlignment="1">
      <alignment horizontal="centerContinuous" vertical="center"/>
    </xf>
    <xf numFmtId="0" fontId="25" fillId="4" borderId="33" xfId="0" applyFont="1" applyFill="1" applyBorder="1" applyAlignment="1">
      <alignment horizontal="centerContinuous" vertical="center"/>
    </xf>
    <xf numFmtId="0" fontId="51" fillId="13" borderId="82" xfId="0" applyFont="1" applyFill="1" applyBorder="1" applyAlignment="1">
      <alignment vertical="center"/>
    </xf>
    <xf numFmtId="2" fontId="51" fillId="13" borderId="82" xfId="0" applyNumberFormat="1" applyFont="1" applyFill="1" applyBorder="1" applyAlignment="1">
      <alignment vertical="center"/>
    </xf>
    <xf numFmtId="1" fontId="51" fillId="20" borderId="17" xfId="0" applyNumberFormat="1" applyFont="1" applyFill="1" applyBorder="1" applyAlignment="1">
      <alignment horizontal="centerContinuous" vertical="center"/>
    </xf>
    <xf numFmtId="0" fontId="25" fillId="20" borderId="19" xfId="0" applyFont="1" applyFill="1" applyBorder="1" applyAlignment="1">
      <alignment horizontal="centerContinuous" vertical="center"/>
    </xf>
    <xf numFmtId="0" fontId="51" fillId="13" borderId="55" xfId="0" applyFont="1" applyFill="1" applyBorder="1" applyAlignment="1">
      <alignment vertical="center"/>
    </xf>
    <xf numFmtId="0" fontId="32" fillId="13" borderId="12" xfId="0" applyFont="1" applyFill="1" applyBorder="1" applyAlignment="1">
      <alignment vertical="center"/>
    </xf>
    <xf numFmtId="2" fontId="51" fillId="13" borderId="56" xfId="0" applyNumberFormat="1" applyFont="1" applyFill="1" applyBorder="1" applyAlignment="1">
      <alignment vertical="center"/>
    </xf>
    <xf numFmtId="1" fontId="51" fillId="4" borderId="20" xfId="0" applyNumberFormat="1" applyFont="1" applyFill="1" applyBorder="1" applyAlignment="1">
      <alignment horizontal="centerContinuous" vertical="center"/>
    </xf>
    <xf numFmtId="0" fontId="51" fillId="13" borderId="2" xfId="0" applyFont="1" applyFill="1" applyBorder="1" applyAlignment="1">
      <alignment vertical="center"/>
    </xf>
    <xf numFmtId="2" fontId="51" fillId="13" borderId="2" xfId="0" applyNumberFormat="1" applyFont="1" applyFill="1" applyBorder="1" applyAlignment="1">
      <alignment vertical="center"/>
    </xf>
    <xf numFmtId="1" fontId="51" fillId="20" borderId="20" xfId="0" applyNumberFormat="1" applyFont="1" applyFill="1" applyBorder="1" applyAlignment="1">
      <alignment horizontal="centerContinuous" vertical="center"/>
    </xf>
    <xf numFmtId="0" fontId="25" fillId="20" borderId="14" xfId="0" applyFont="1" applyFill="1" applyBorder="1" applyAlignment="1">
      <alignment horizontal="centerContinuous" vertical="center"/>
    </xf>
    <xf numFmtId="0" fontId="51" fillId="13" borderId="21" xfId="0" applyFont="1" applyFill="1" applyBorder="1" applyAlignment="1">
      <alignment vertical="center"/>
    </xf>
    <xf numFmtId="0" fontId="23" fillId="13" borderId="0" xfId="0" applyFont="1" applyFill="1" applyAlignment="1">
      <alignment vertical="center"/>
    </xf>
    <xf numFmtId="0" fontId="51" fillId="14" borderId="15" xfId="0" applyFont="1" applyFill="1" applyBorder="1" applyAlignment="1">
      <alignment horizontal="center" vertical="center"/>
    </xf>
    <xf numFmtId="0" fontId="23" fillId="4" borderId="21" xfId="0" applyFont="1" applyFill="1" applyBorder="1" applyAlignment="1">
      <alignment horizontal="centerContinuous" vertical="center"/>
    </xf>
    <xf numFmtId="0" fontId="51" fillId="10" borderId="2" xfId="0" applyFont="1" applyFill="1" applyBorder="1" applyAlignment="1">
      <alignment vertical="center"/>
    </xf>
    <xf numFmtId="2" fontId="51" fillId="10" borderId="2" xfId="0" applyNumberFormat="1" applyFont="1" applyFill="1" applyBorder="1" applyAlignment="1">
      <alignment vertical="center"/>
    </xf>
    <xf numFmtId="0" fontId="51" fillId="20" borderId="14" xfId="0" applyFont="1" applyFill="1" applyBorder="1" applyAlignment="1">
      <alignment horizontal="centerContinuous" vertical="center"/>
    </xf>
    <xf numFmtId="0" fontId="51" fillId="10" borderId="21" xfId="0" applyFont="1" applyFill="1" applyBorder="1" applyAlignment="1">
      <alignment vertical="center"/>
    </xf>
    <xf numFmtId="0" fontId="51" fillId="11" borderId="2" xfId="0" applyFont="1" applyFill="1" applyBorder="1" applyAlignment="1">
      <alignment horizontal="center" vertical="center"/>
    </xf>
    <xf numFmtId="0" fontId="74" fillId="19" borderId="2" xfId="0" applyFont="1" applyFill="1" applyBorder="1" applyAlignment="1">
      <alignment horizontal="center" vertical="center"/>
    </xf>
    <xf numFmtId="0" fontId="34" fillId="9" borderId="18" xfId="0" applyFont="1" applyFill="1" applyBorder="1" applyAlignment="1">
      <alignment vertical="center"/>
    </xf>
    <xf numFmtId="0" fontId="9" fillId="9" borderId="57" xfId="0" applyFont="1" applyFill="1" applyBorder="1" applyAlignment="1">
      <alignment vertical="center"/>
    </xf>
    <xf numFmtId="0" fontId="34" fillId="9" borderId="57" xfId="0" applyFont="1" applyFill="1" applyBorder="1" applyAlignment="1">
      <alignment vertical="center"/>
    </xf>
    <xf numFmtId="0" fontId="9" fillId="9" borderId="58" xfId="0" applyFont="1" applyFill="1" applyBorder="1" applyAlignment="1">
      <alignment vertical="center"/>
    </xf>
    <xf numFmtId="0" fontId="25" fillId="10" borderId="0" xfId="0" applyFont="1" applyFill="1" applyAlignment="1">
      <alignment vertical="center"/>
    </xf>
    <xf numFmtId="0" fontId="9" fillId="9" borderId="26" xfId="0" applyFont="1" applyFill="1" applyBorder="1" applyAlignment="1">
      <alignment vertical="center"/>
    </xf>
    <xf numFmtId="0" fontId="76" fillId="9" borderId="59" xfId="0" applyFont="1" applyFill="1" applyBorder="1" applyAlignment="1">
      <alignment horizontal="left" vertical="center"/>
    </xf>
    <xf numFmtId="0" fontId="9" fillId="9" borderId="25" xfId="0" applyFont="1" applyFill="1" applyBorder="1" applyAlignment="1">
      <alignment horizontal="centerContinuous" vertical="center"/>
    </xf>
    <xf numFmtId="0" fontId="77" fillId="10" borderId="0" xfId="0" applyFont="1" applyFill="1" applyAlignment="1">
      <alignment vertical="center"/>
    </xf>
    <xf numFmtId="0" fontId="9" fillId="9" borderId="31" xfId="0" applyFont="1" applyFill="1" applyBorder="1" applyAlignment="1">
      <alignment horizontal="right" vertical="center"/>
    </xf>
    <xf numFmtId="0" fontId="9" fillId="9" borderId="2" xfId="0" applyFont="1" applyFill="1" applyBorder="1" applyAlignment="1">
      <alignment horizontal="right" vertical="center"/>
    </xf>
    <xf numFmtId="0" fontId="9" fillId="9" borderId="14" xfId="0" applyFont="1" applyFill="1" applyBorder="1" applyAlignment="1">
      <alignment horizontal="right" vertical="center"/>
    </xf>
    <xf numFmtId="0" fontId="9" fillId="9" borderId="15" xfId="0" applyFont="1" applyFill="1" applyBorder="1" applyAlignment="1">
      <alignment horizontal="right" vertical="center"/>
    </xf>
    <xf numFmtId="0" fontId="25" fillId="10" borderId="61" xfId="0" applyFont="1" applyFill="1" applyBorder="1" applyAlignment="1">
      <alignment horizontal="center" vertical="center"/>
    </xf>
    <xf numFmtId="0" fontId="25" fillId="10" borderId="62" xfId="0" applyFont="1" applyFill="1" applyBorder="1" applyAlignment="1">
      <alignment vertical="center"/>
    </xf>
    <xf numFmtId="0" fontId="25" fillId="10" borderId="63" xfId="0" applyFont="1" applyFill="1" applyBorder="1" applyAlignment="1">
      <alignment vertical="center"/>
    </xf>
    <xf numFmtId="0" fontId="25" fillId="10" borderId="63" xfId="0" applyFont="1" applyFill="1" applyBorder="1" applyAlignment="1">
      <alignment horizontal="right" vertical="center"/>
    </xf>
    <xf numFmtId="0" fontId="25" fillId="10" borderId="61" xfId="0" applyFont="1" applyFill="1" applyBorder="1" applyAlignment="1">
      <alignment horizontal="centerContinuous" vertical="center"/>
    </xf>
    <xf numFmtId="0" fontId="25" fillId="10" borderId="62" xfId="0" applyFont="1" applyFill="1" applyBorder="1" applyAlignment="1">
      <alignment horizontal="right" vertical="center"/>
    </xf>
    <xf numFmtId="167" fontId="25" fillId="10" borderId="61" xfId="0" applyNumberFormat="1" applyFont="1" applyFill="1" applyBorder="1" applyAlignment="1">
      <alignment vertical="center"/>
    </xf>
    <xf numFmtId="2" fontId="25" fillId="10" borderId="64" xfId="0" applyNumberFormat="1" applyFont="1" applyFill="1" applyBorder="1" applyAlignment="1">
      <alignment vertical="center"/>
    </xf>
    <xf numFmtId="0" fontId="25" fillId="10" borderId="83" xfId="0" applyFont="1" applyFill="1" applyBorder="1" applyAlignment="1">
      <alignment horizontal="center" vertical="center"/>
    </xf>
    <xf numFmtId="0" fontId="25" fillId="10" borderId="84" xfId="0" applyFont="1" applyFill="1" applyBorder="1" applyAlignment="1">
      <alignment vertical="center"/>
    </xf>
    <xf numFmtId="0" fontId="25" fillId="10" borderId="85" xfId="0" applyFont="1" applyFill="1" applyBorder="1" applyAlignment="1">
      <alignment vertical="center"/>
    </xf>
    <xf numFmtId="0" fontId="25" fillId="10" borderId="85" xfId="0" applyFont="1" applyFill="1" applyBorder="1" applyAlignment="1">
      <alignment horizontal="right" vertical="center"/>
    </xf>
    <xf numFmtId="0" fontId="25" fillId="10" borderId="83" xfId="0" applyFont="1" applyFill="1" applyBorder="1" applyAlignment="1">
      <alignment horizontal="centerContinuous" vertical="center"/>
    </xf>
    <xf numFmtId="0" fontId="25" fillId="10" borderId="84" xfId="0" applyFont="1" applyFill="1" applyBorder="1" applyAlignment="1">
      <alignment horizontal="right" vertical="center"/>
    </xf>
    <xf numFmtId="167" fontId="25" fillId="10" borderId="83" xfId="0" applyNumberFormat="1" applyFont="1" applyFill="1" applyBorder="1" applyAlignment="1">
      <alignment vertical="center"/>
    </xf>
    <xf numFmtId="2" fontId="25" fillId="10" borderId="86" xfId="0" applyNumberFormat="1" applyFont="1" applyFill="1" applyBorder="1" applyAlignment="1">
      <alignment vertical="center"/>
    </xf>
    <xf numFmtId="0" fontId="76" fillId="9" borderId="60" xfId="0" applyFont="1" applyFill="1" applyBorder="1" applyAlignment="1">
      <alignment horizontal="left" vertical="center"/>
    </xf>
    <xf numFmtId="49" fontId="23" fillId="10" borderId="37" xfId="0" applyNumberFormat="1" applyFont="1" applyFill="1" applyBorder="1" applyAlignment="1" applyProtection="1">
      <alignment vertical="center"/>
      <protection locked="0"/>
    </xf>
    <xf numFmtId="49" fontId="4" fillId="15" borderId="0" xfId="0" applyNumberFormat="1" applyFont="1" applyFill="1"/>
    <xf numFmtId="0" fontId="55" fillId="4" borderId="4" xfId="0" applyFont="1" applyFill="1" applyBorder="1" applyAlignment="1">
      <alignment horizontal="center"/>
    </xf>
    <xf numFmtId="0" fontId="55" fillId="4" borderId="5" xfId="0" applyFont="1" applyFill="1" applyBorder="1" applyAlignment="1">
      <alignment horizontal="center"/>
    </xf>
    <xf numFmtId="0" fontId="55" fillId="4" borderId="94" xfId="0" applyFont="1" applyFill="1" applyBorder="1" applyAlignment="1">
      <alignment horizontal="center"/>
    </xf>
    <xf numFmtId="0" fontId="11" fillId="0" borderId="0" xfId="0" applyFont="1"/>
    <xf numFmtId="0" fontId="55" fillId="28" borderId="4" xfId="0" applyFont="1" applyFill="1" applyBorder="1" applyAlignment="1">
      <alignment horizontal="center"/>
    </xf>
    <xf numFmtId="0" fontId="55" fillId="28" borderId="5" xfId="0" applyFont="1" applyFill="1" applyBorder="1" applyAlignment="1">
      <alignment horizontal="center"/>
    </xf>
    <xf numFmtId="0" fontId="55" fillId="28" borderId="94" xfId="0" applyFont="1" applyFill="1" applyBorder="1" applyAlignment="1">
      <alignment horizontal="center"/>
    </xf>
    <xf numFmtId="0" fontId="55" fillId="10" borderId="91" xfId="0" applyFont="1" applyFill="1" applyBorder="1"/>
    <xf numFmtId="0" fontId="85" fillId="0" borderId="0" xfId="0" applyFont="1" applyAlignment="1">
      <alignment horizontal="center" textRotation="90"/>
    </xf>
    <xf numFmtId="0" fontId="84" fillId="0" borderId="0" xfId="0" applyFont="1" applyAlignment="1">
      <alignment horizontal="center" vertical="center"/>
    </xf>
    <xf numFmtId="0" fontId="55" fillId="10" borderId="92" xfId="0" applyFont="1" applyFill="1" applyBorder="1"/>
    <xf numFmtId="0" fontId="65" fillId="29" borderId="0" xfId="0" applyFont="1" applyFill="1" applyAlignment="1">
      <alignment horizontal="center" vertical="center"/>
    </xf>
    <xf numFmtId="0" fontId="23" fillId="30" borderId="0" xfId="0" applyFont="1" applyFill="1" applyAlignment="1">
      <alignment horizontal="center"/>
    </xf>
    <xf numFmtId="0" fontId="86" fillId="30" borderId="0" xfId="0" applyFont="1" applyFill="1" applyAlignment="1">
      <alignment horizontal="center"/>
    </xf>
    <xf numFmtId="0" fontId="25" fillId="31" borderId="0" xfId="0" applyFont="1" applyFill="1"/>
    <xf numFmtId="0" fontId="88" fillId="0" borderId="0" xfId="0" applyFont="1"/>
    <xf numFmtId="0" fontId="88" fillId="0" borderId="0" xfId="0" applyFont="1" applyAlignment="1">
      <alignment horizontal="left"/>
    </xf>
    <xf numFmtId="0" fontId="86" fillId="0" borderId="0" xfId="0" applyFont="1" applyAlignment="1">
      <alignment horizontal="center"/>
    </xf>
    <xf numFmtId="0" fontId="86" fillId="0" borderId="0" xfId="0" applyFont="1"/>
    <xf numFmtId="0" fontId="23" fillId="31" borderId="0" xfId="0" applyFont="1" applyFill="1"/>
    <xf numFmtId="0" fontId="23" fillId="0" borderId="0" xfId="0" applyFont="1"/>
    <xf numFmtId="0" fontId="89" fillId="0" borderId="0" xfId="0" applyFont="1"/>
    <xf numFmtId="0" fontId="29" fillId="0" borderId="0" xfId="0" applyFont="1" applyAlignment="1">
      <alignment horizontal="center"/>
    </xf>
    <xf numFmtId="14" fontId="23" fillId="0" borderId="0" xfId="0" applyNumberFormat="1" applyFont="1" applyAlignment="1">
      <alignment horizontal="right"/>
    </xf>
    <xf numFmtId="0" fontId="27" fillId="0" borderId="0" xfId="0" applyFont="1" applyAlignment="1">
      <alignment horizontal="center" vertical="center"/>
    </xf>
    <xf numFmtId="0" fontId="90" fillId="0" borderId="0" xfId="0" applyFont="1"/>
    <xf numFmtId="14" fontId="14" fillId="0" borderId="9" xfId="0" applyNumberFormat="1" applyFont="1" applyBorder="1" applyAlignment="1">
      <alignment horizontal="left" vertical="center"/>
    </xf>
    <xf numFmtId="0" fontId="23" fillId="0" borderId="0" xfId="6" applyFont="1"/>
    <xf numFmtId="49" fontId="24" fillId="5" borderId="0" xfId="7" applyNumberFormat="1" applyFont="1" applyFill="1" applyAlignment="1">
      <alignment horizontal="center"/>
    </xf>
    <xf numFmtId="1" fontId="23" fillId="0" borderId="0" xfId="3" applyNumberFormat="1" applyFont="1"/>
    <xf numFmtId="0" fontId="0" fillId="2" borderId="0" xfId="0" applyFill="1"/>
    <xf numFmtId="0" fontId="0" fillId="12" borderId="0" xfId="0" applyFill="1"/>
    <xf numFmtId="0" fontId="0" fillId="41" borderId="0" xfId="0" applyFill="1"/>
    <xf numFmtId="0" fontId="0" fillId="42" borderId="0" xfId="0" applyFill="1"/>
    <xf numFmtId="0" fontId="23" fillId="0" borderId="0" xfId="0" applyFont="1" applyAlignment="1">
      <alignment horizontal="right"/>
    </xf>
    <xf numFmtId="0" fontId="86" fillId="0" borderId="0" xfId="0" applyFont="1" applyAlignment="1">
      <alignment horizontal="right" vertical="center"/>
    </xf>
    <xf numFmtId="0" fontId="27" fillId="0" borderId="0" xfId="0" applyFont="1" applyAlignment="1">
      <alignment vertical="center"/>
    </xf>
    <xf numFmtId="0" fontId="23" fillId="0" borderId="0" xfId="0" applyFont="1" applyAlignment="1">
      <alignment horizontal="right" vertical="center"/>
    </xf>
    <xf numFmtId="14" fontId="23" fillId="0" borderId="0" xfId="0" applyNumberFormat="1" applyFont="1" applyAlignment="1">
      <alignment horizontal="right" vertical="center"/>
    </xf>
    <xf numFmtId="14" fontId="87" fillId="0" borderId="0" xfId="0" applyNumberFormat="1" applyFont="1" applyAlignment="1">
      <alignment horizontal="right"/>
    </xf>
    <xf numFmtId="0" fontId="23" fillId="0" borderId="0" xfId="2" applyFont="1" applyAlignment="1">
      <alignment horizontal="right"/>
    </xf>
    <xf numFmtId="0" fontId="37" fillId="5" borderId="23" xfId="0" applyFont="1" applyFill="1" applyBorder="1" applyAlignment="1">
      <alignment horizontal="center" vertical="center" wrapText="1"/>
    </xf>
    <xf numFmtId="0" fontId="37" fillId="5" borderId="24" xfId="0" applyFont="1" applyFill="1" applyBorder="1" applyAlignment="1">
      <alignment horizontal="center" vertical="center" wrapText="1"/>
    </xf>
    <xf numFmtId="0" fontId="37" fillId="5" borderId="25" xfId="0" applyFont="1" applyFill="1" applyBorder="1" applyAlignment="1">
      <alignment horizontal="center" vertical="center" wrapText="1"/>
    </xf>
    <xf numFmtId="0" fontId="37" fillId="5" borderId="27" xfId="0" applyFont="1" applyFill="1" applyBorder="1" applyAlignment="1">
      <alignment horizontal="center" vertical="center" wrapText="1"/>
    </xf>
    <xf numFmtId="0" fontId="37" fillId="5" borderId="0" xfId="0" applyFont="1" applyFill="1" applyAlignment="1">
      <alignment horizontal="center" vertical="center" wrapText="1"/>
    </xf>
    <xf numFmtId="0" fontId="37" fillId="5" borderId="28" xfId="0" applyFont="1" applyFill="1" applyBorder="1" applyAlignment="1">
      <alignment horizontal="center" vertical="center" wrapText="1"/>
    </xf>
    <xf numFmtId="0" fontId="37" fillId="5" borderId="32" xfId="0" applyFont="1" applyFill="1" applyBorder="1" applyAlignment="1">
      <alignment horizontal="center" vertical="center" wrapText="1"/>
    </xf>
    <xf numFmtId="0" fontId="37" fillId="5" borderId="33" xfId="0" applyFont="1" applyFill="1" applyBorder="1" applyAlignment="1">
      <alignment horizontal="center" vertical="center" wrapText="1"/>
    </xf>
    <xf numFmtId="0" fontId="37" fillId="5" borderId="34" xfId="0" applyFont="1" applyFill="1" applyBorder="1" applyAlignment="1">
      <alignment horizontal="center" vertical="center" wrapText="1"/>
    </xf>
    <xf numFmtId="0" fontId="38" fillId="5" borderId="26" xfId="0" applyFont="1" applyFill="1" applyBorder="1" applyAlignment="1">
      <alignment horizontal="center" vertical="center" wrapText="1"/>
    </xf>
    <xf numFmtId="0" fontId="38" fillId="5" borderId="29" xfId="0" applyFont="1" applyFill="1" applyBorder="1" applyAlignment="1">
      <alignment horizontal="center" vertical="center" wrapText="1"/>
    </xf>
    <xf numFmtId="0" fontId="38" fillId="5" borderId="35" xfId="0" applyFont="1" applyFill="1" applyBorder="1" applyAlignment="1">
      <alignment horizontal="center" vertical="center" wrapText="1"/>
    </xf>
    <xf numFmtId="0" fontId="34" fillId="9" borderId="11" xfId="0" applyFont="1" applyFill="1" applyBorder="1" applyAlignment="1">
      <alignment horizontal="right" vertical="center"/>
    </xf>
    <xf numFmtId="0" fontId="34" fillId="9" borderId="12" xfId="0" applyFont="1" applyFill="1" applyBorder="1" applyAlignment="1">
      <alignment horizontal="right" vertical="center"/>
    </xf>
    <xf numFmtId="0" fontId="32" fillId="10" borderId="46" xfId="0" applyFont="1" applyFill="1" applyBorder="1" applyAlignment="1">
      <alignment horizontal="left" vertical="center"/>
    </xf>
    <xf numFmtId="0" fontId="32" fillId="10" borderId="21" xfId="0" applyFont="1" applyFill="1" applyBorder="1" applyAlignment="1">
      <alignment horizontal="left" vertical="center"/>
    </xf>
    <xf numFmtId="0" fontId="32" fillId="10" borderId="14" xfId="0" applyFont="1" applyFill="1" applyBorder="1" applyAlignment="1">
      <alignment horizontal="left" vertical="center"/>
    </xf>
    <xf numFmtId="0" fontId="33" fillId="9" borderId="50" xfId="0" applyFont="1" applyFill="1" applyBorder="1" applyAlignment="1">
      <alignment horizontal="right" vertical="center"/>
    </xf>
    <xf numFmtId="0" fontId="33" fillId="9" borderId="12" xfId="0" applyFont="1" applyFill="1" applyBorder="1" applyAlignment="1">
      <alignment horizontal="right" vertical="center"/>
    </xf>
    <xf numFmtId="0" fontId="33" fillId="9" borderId="11" xfId="0" applyFont="1" applyFill="1" applyBorder="1" applyAlignment="1">
      <alignment horizontal="center" vertical="center"/>
    </xf>
    <xf numFmtId="0" fontId="33" fillId="9" borderId="12" xfId="0" applyFont="1" applyFill="1" applyBorder="1" applyAlignment="1">
      <alignment horizontal="center" vertical="center"/>
    </xf>
    <xf numFmtId="0" fontId="9" fillId="9" borderId="11" xfId="0" applyFont="1" applyFill="1" applyBorder="1" applyAlignment="1">
      <alignment horizontal="right" vertical="center"/>
    </xf>
    <xf numFmtId="0" fontId="9" fillId="9" borderId="12" xfId="0" applyFont="1" applyFill="1" applyBorder="1" applyAlignment="1">
      <alignment horizontal="right" vertical="center"/>
    </xf>
    <xf numFmtId="0" fontId="52" fillId="9" borderId="54" xfId="0" applyFont="1" applyFill="1" applyBorder="1" applyAlignment="1">
      <alignment horizontal="center" vertical="center"/>
    </xf>
    <xf numFmtId="0" fontId="52" fillId="9" borderId="19" xfId="0" applyFont="1" applyFill="1" applyBorder="1" applyAlignment="1">
      <alignment horizontal="center" vertical="center"/>
    </xf>
    <xf numFmtId="0" fontId="33" fillId="9" borderId="54" xfId="0" applyFont="1" applyFill="1" applyBorder="1" applyAlignment="1">
      <alignment horizontal="center" vertical="center"/>
    </xf>
    <xf numFmtId="0" fontId="33" fillId="9" borderId="19" xfId="0" applyFont="1" applyFill="1" applyBorder="1" applyAlignment="1">
      <alignment horizontal="center" vertical="center"/>
    </xf>
    <xf numFmtId="0" fontId="51" fillId="20" borderId="46" xfId="0" applyFont="1" applyFill="1" applyBorder="1" applyAlignment="1">
      <alignment horizontal="center" vertical="center"/>
    </xf>
    <xf numFmtId="0" fontId="51" fillId="20" borderId="14" xfId="0" applyFont="1" applyFill="1" applyBorder="1" applyAlignment="1">
      <alignment horizontal="center" vertical="center"/>
    </xf>
    <xf numFmtId="0" fontId="33" fillId="9" borderId="11" xfId="0" applyFont="1" applyFill="1" applyBorder="1" applyAlignment="1">
      <alignment horizontal="right" vertical="center"/>
    </xf>
    <xf numFmtId="0" fontId="51" fillId="4" borderId="46" xfId="0" applyFont="1" applyFill="1" applyBorder="1" applyAlignment="1">
      <alignment horizontal="center" vertical="center"/>
    </xf>
    <xf numFmtId="0" fontId="51" fillId="4" borderId="14" xfId="0" applyFont="1" applyFill="1" applyBorder="1" applyAlignment="1">
      <alignment horizontal="center" vertical="center"/>
    </xf>
    <xf numFmtId="0" fontId="56" fillId="9" borderId="17" xfId="0" applyFont="1" applyFill="1" applyBorder="1" applyAlignment="1">
      <alignment horizontal="center" vertical="center"/>
    </xf>
    <xf numFmtId="0" fontId="56" fillId="9" borderId="18" xfId="0" applyFont="1" applyFill="1" applyBorder="1" applyAlignment="1">
      <alignment horizontal="center" vertical="center"/>
    </xf>
    <xf numFmtId="0" fontId="56" fillId="9" borderId="19" xfId="0" applyFont="1" applyFill="1" applyBorder="1" applyAlignment="1">
      <alignment horizontal="center" vertical="center"/>
    </xf>
    <xf numFmtId="0" fontId="34" fillId="9" borderId="17" xfId="0" applyFont="1" applyFill="1" applyBorder="1" applyAlignment="1">
      <alignment horizontal="center" vertical="center"/>
    </xf>
    <xf numFmtId="0" fontId="34" fillId="9" borderId="18" xfId="0" applyFont="1" applyFill="1" applyBorder="1" applyAlignment="1">
      <alignment horizontal="center" vertical="center"/>
    </xf>
    <xf numFmtId="0" fontId="34" fillId="9" borderId="19" xfId="0" applyFont="1" applyFill="1" applyBorder="1" applyAlignment="1">
      <alignment horizontal="center" vertical="center"/>
    </xf>
    <xf numFmtId="0" fontId="85" fillId="0" borderId="107" xfId="0" applyFont="1" applyBorder="1" applyAlignment="1">
      <alignment horizontal="center" textRotation="90"/>
    </xf>
    <xf numFmtId="0" fontId="18" fillId="2" borderId="46" xfId="0" applyFont="1" applyFill="1" applyBorder="1" applyAlignment="1" applyProtection="1">
      <alignment horizontal="center"/>
      <protection locked="0"/>
    </xf>
    <xf numFmtId="0" fontId="18" fillId="2" borderId="21" xfId="0" applyFont="1" applyFill="1" applyBorder="1" applyAlignment="1" applyProtection="1">
      <alignment horizontal="center"/>
      <protection locked="0"/>
    </xf>
  </cellXfs>
  <cellStyles count="31">
    <cellStyle name="20% - Akzent1" xfId="8" xr:uid="{7060D2CE-8A88-4017-B0A6-7BAB01F3F0BC}"/>
    <cellStyle name="20% - Akzent2" xfId="9" xr:uid="{1508D18C-0C64-45F9-A19C-391A88B10557}"/>
    <cellStyle name="20% - Akzent3" xfId="10" xr:uid="{4D513AFC-AEA8-4AE6-89DD-8D3E1E968EDC}"/>
    <cellStyle name="20% - Akzent4" xfId="11" xr:uid="{28B52B13-EE47-453F-B290-5F78891C9558}"/>
    <cellStyle name="20% - Akzent5" xfId="12" xr:uid="{396A9B52-DE0B-40F4-B852-676C83B29FCC}"/>
    <cellStyle name="20% - Akzent6" xfId="13" xr:uid="{82D4D0C2-169C-474C-A00C-E5D5AFB68827}"/>
    <cellStyle name="40% - Akzent1" xfId="14" xr:uid="{245E8EDA-7D26-4ED1-B905-C918A6A97EA5}"/>
    <cellStyle name="40% - Akzent2" xfId="15" xr:uid="{A666FB02-FDCB-46BF-B040-02770E03E2B7}"/>
    <cellStyle name="40% - Akzent3" xfId="16" xr:uid="{5F4F52B0-8719-439C-9FEC-0C85E6ADD29B}"/>
    <cellStyle name="40% - Akzent4" xfId="17" xr:uid="{E4503112-BA40-41AF-BBB4-241FE3DBA314}"/>
    <cellStyle name="40% - Akzent5" xfId="18" xr:uid="{F4538B02-E42F-465B-B0C6-47AAEEC7D8AD}"/>
    <cellStyle name="40% - Akzent6" xfId="19" xr:uid="{63185C02-4F59-4955-8EC1-670288DB318C}"/>
    <cellStyle name="60% - Akzent1" xfId="20" xr:uid="{04E05BF6-DCB6-48A6-BDA3-6E98C9E043DF}"/>
    <cellStyle name="60% - Akzent2" xfId="21" xr:uid="{FB11976E-D496-457D-BDE8-04A5532A13D5}"/>
    <cellStyle name="60% - Akzent3" xfId="22" xr:uid="{17E91555-B48F-40BA-B693-DAE91C7A4638}"/>
    <cellStyle name="60% - Akzent4" xfId="23" xr:uid="{54DEF20F-7379-4287-B5F3-6522F412312B}"/>
    <cellStyle name="60% - Akzent5" xfId="24" xr:uid="{52B71FCC-67BC-4829-B0FC-7930FC0BAD95}"/>
    <cellStyle name="60% - Akzent6" xfId="25" xr:uid="{1F57D59C-E5B2-45F2-A996-5594DE34A8F1}"/>
    <cellStyle name="Komma 2" xfId="26" xr:uid="{8FDE1FF3-381D-4502-A23A-0E14AC6498E5}"/>
    <cellStyle name="Komma 3" xfId="27" xr:uid="{DF76EB5A-75B2-4259-A5EB-A1AB3B6572C2}"/>
    <cellStyle name="Lien hypertexte" xfId="1" builtinId="8"/>
    <cellStyle name="Normal" xfId="0" builtinId="0"/>
    <cellStyle name="Normal_Lizenzen" xfId="4" xr:uid="{E3F4779A-7C74-44DA-B027-CFCDBE226D2C}"/>
    <cellStyle name="Standard 2" xfId="28" xr:uid="{AD88CB08-ADB1-45BE-9A2E-1AD86220B08D}"/>
    <cellStyle name="Standard 2 2" xfId="3" xr:uid="{B098CA4E-DED7-4C16-BB6A-43C49EC612BB}"/>
    <cellStyle name="Standard 3" xfId="29" xr:uid="{BB6EBF5A-6879-466F-9678-6C2D4A8CBBA6}"/>
    <cellStyle name="Standard 4" xfId="6" xr:uid="{5C464CAC-A002-4481-BB5D-092516258273}"/>
    <cellStyle name="Standard 4 2" xfId="2" xr:uid="{46977BD8-0351-4FC9-843F-BCAD3D7D6978}"/>
    <cellStyle name="Standard 4 3" xfId="30" xr:uid="{8E56377A-EBB9-4289-A276-E3086798D5DA}"/>
    <cellStyle name="Standard_Lizenzen" xfId="7" xr:uid="{3C61B98C-3F34-4F2C-8135-4439CC12556E}"/>
    <cellStyle name="Standard_mohair1-basel1_9.10.00" xfId="5" xr:uid="{839EFB77-0902-4679-A109-1F0A0737B41D}"/>
  </cellStyles>
  <dxfs count="188">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border>
        <bottom style="thin">
          <color auto="1"/>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top/>
        <bottom/>
        <vertical/>
        <horizontal/>
      </border>
    </dxf>
    <dxf>
      <font>
        <color theme="0"/>
      </font>
      <fill>
        <patternFill patternType="none">
          <bgColor auto="1"/>
        </patternFill>
      </fill>
      <border>
        <left/>
        <top/>
        <bottom/>
        <vertical/>
        <horizontal/>
      </border>
    </dxf>
    <dxf>
      <font>
        <color theme="0"/>
      </font>
      <fill>
        <patternFill patternType="none">
          <bgColor auto="1"/>
        </patternFill>
      </fill>
      <border>
        <lef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right/>
        <top/>
        <bottom/>
        <vertical/>
        <horizontal/>
      </border>
    </dxf>
    <dxf>
      <font>
        <color theme="0"/>
      </font>
      <fill>
        <patternFill patternType="none">
          <bgColor auto="1"/>
        </patternFill>
      </fill>
      <border>
        <right/>
        <top/>
        <bottom/>
        <vertical/>
        <horizontal/>
      </border>
    </dxf>
    <dxf>
      <font>
        <color theme="0"/>
      </font>
      <fill>
        <patternFill patternType="none">
          <bgColor auto="1"/>
        </patternFill>
      </fill>
      <border>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3" tint="0.89996032593768116"/>
        </patternFill>
      </fill>
    </dxf>
    <dxf>
      <fill>
        <patternFill>
          <bgColor theme="3" tint="0.89996032593768116"/>
        </patternFill>
      </fill>
    </dxf>
    <dxf>
      <fill>
        <patternFill>
          <bgColor theme="3" tint="0.89996032593768116"/>
        </patternFill>
      </fill>
    </dxf>
    <dxf>
      <font>
        <color rgb="FFFD7C59"/>
      </font>
      <fill>
        <patternFill>
          <bgColor rgb="FFFD7C59"/>
        </patternFill>
      </fill>
      <border>
        <left/>
      </border>
    </dxf>
    <dxf>
      <font>
        <color rgb="FFFD7C59"/>
      </font>
      <fill>
        <patternFill>
          <bgColor rgb="FFFD7C59"/>
        </patternFill>
      </fill>
      <border>
        <left/>
      </border>
    </dxf>
    <dxf>
      <font>
        <color rgb="FFFD7C59"/>
      </font>
      <fill>
        <patternFill>
          <bgColor rgb="FFFD7C59"/>
        </patternFill>
      </fill>
      <border>
        <left/>
        <vertical/>
        <horizontal/>
      </border>
    </dxf>
    <dxf>
      <fill>
        <patternFill patternType="darkGray"/>
      </fill>
    </dxf>
    <dxf>
      <fill>
        <patternFill patternType="darkGray"/>
      </fill>
    </dxf>
    <dxf>
      <fill>
        <patternFill patternType="darkGray"/>
      </fill>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3" tint="0.89996032593768116"/>
        </patternFill>
      </fill>
    </dxf>
    <dxf>
      <fill>
        <patternFill>
          <bgColor theme="3" tint="0.89996032593768116"/>
        </patternFill>
      </fill>
    </dxf>
    <dxf>
      <fill>
        <patternFill>
          <bgColor theme="3" tint="0.89996032593768116"/>
        </patternFill>
      </fill>
    </dxf>
    <dxf>
      <font>
        <color theme="0" tint="-0.14996795556505021"/>
      </font>
      <fill>
        <patternFill>
          <bgColor theme="0" tint="-0.14996795556505021"/>
        </patternFill>
      </fill>
      <border>
        <left/>
      </border>
    </dxf>
    <dxf>
      <font>
        <color theme="0" tint="-0.14996795556505021"/>
      </font>
      <fill>
        <patternFill>
          <bgColor theme="0" tint="-0.14996795556505021"/>
        </patternFill>
      </fill>
      <border>
        <left/>
      </border>
    </dxf>
    <dxf>
      <font>
        <color theme="0" tint="-0.14996795556505021"/>
      </font>
      <fill>
        <patternFill>
          <bgColor theme="0" tint="-0.14996795556505021"/>
        </patternFill>
      </fill>
      <border>
        <left/>
        <vertical/>
        <horizontal/>
      </border>
    </dxf>
    <dxf>
      <fill>
        <patternFill patternType="darkGray"/>
      </fill>
    </dxf>
    <dxf>
      <fill>
        <patternFill patternType="darkGray"/>
      </fill>
    </dxf>
    <dxf>
      <fill>
        <patternFill patternType="darkGray"/>
      </fill>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s>
  <tableStyles count="0" defaultTableStyle="TableStyleMedium2" defaultPivotStyle="PivotStyleLight16"/>
  <colors>
    <mruColors>
      <color rgb="FFFD7C5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3</xdr:col>
      <xdr:colOff>4445000</xdr:colOff>
      <xdr:row>0</xdr:row>
      <xdr:rowOff>0</xdr:rowOff>
    </xdr:from>
    <xdr:to>
      <xdr:col>7</xdr:col>
      <xdr:colOff>2152651</xdr:colOff>
      <xdr:row>15</xdr:row>
      <xdr:rowOff>280507</xdr:rowOff>
    </xdr:to>
    <xdr:pic>
      <xdr:nvPicPr>
        <xdr:cNvPr id="5" name="Bild 10">
          <a:extLst>
            <a:ext uri="{FF2B5EF4-FFF2-40B4-BE49-F238E27FC236}">
              <a16:creationId xmlns:a16="http://schemas.microsoft.com/office/drawing/2014/main" id="{393BB41C-EE4E-407C-9278-51EBA51294B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93375" y="0"/>
          <a:ext cx="6946901" cy="33443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17</xdr:col>
      <xdr:colOff>666750</xdr:colOff>
      <xdr:row>0</xdr:row>
      <xdr:rowOff>123825</xdr:rowOff>
    </xdr:from>
    <xdr:to>
      <xdr:col>21</xdr:col>
      <xdr:colOff>404090</xdr:colOff>
      <xdr:row>9</xdr:row>
      <xdr:rowOff>0</xdr:rowOff>
    </xdr:to>
    <xdr:pic>
      <xdr:nvPicPr>
        <xdr:cNvPr id="2" name="Bild 10">
          <a:extLst>
            <a:ext uri="{FF2B5EF4-FFF2-40B4-BE49-F238E27FC236}">
              <a16:creationId xmlns:a16="http://schemas.microsoft.com/office/drawing/2014/main" id="{0D8CF253-D862-43C9-B31A-A2F358C5501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47700" y="123825"/>
          <a:ext cx="3232150" cy="1597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22</xdr:col>
      <xdr:colOff>0</xdr:colOff>
      <xdr:row>1</xdr:row>
      <xdr:rowOff>0</xdr:rowOff>
    </xdr:from>
    <xdr:to>
      <xdr:col>26</xdr:col>
      <xdr:colOff>1408091</xdr:colOff>
      <xdr:row>7</xdr:row>
      <xdr:rowOff>22019</xdr:rowOff>
    </xdr:to>
    <xdr:pic>
      <xdr:nvPicPr>
        <xdr:cNvPr id="3" name="Bild 10">
          <a:extLst>
            <a:ext uri="{FF2B5EF4-FFF2-40B4-BE49-F238E27FC236}">
              <a16:creationId xmlns:a16="http://schemas.microsoft.com/office/drawing/2014/main" id="{DF49E2A2-BE9B-4E38-8E08-DEE00222AAA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400818" y="155864"/>
          <a:ext cx="5079546" cy="26370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resultat@darts.ch"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57ACBE-7FF8-4A5C-9958-0712F075C5E0}">
  <dimension ref="A1:BR88"/>
  <sheetViews>
    <sheetView topLeftCell="AC1" zoomScale="55" zoomScaleNormal="55" workbookViewId="0">
      <selection activeCell="AK54" sqref="AK54"/>
    </sheetView>
  </sheetViews>
  <sheetFormatPr baseColWidth="10" defaultRowHeight="15"/>
  <cols>
    <col min="4" max="4" width="8.7109375" customWidth="1"/>
    <col min="5" max="5" width="4.42578125" customWidth="1"/>
    <col min="6" max="6" width="6.42578125" customWidth="1"/>
    <col min="9" max="9" width="5.42578125" customWidth="1"/>
    <col min="10" max="10" width="5.85546875" customWidth="1"/>
    <col min="13" max="13" width="4.42578125" customWidth="1"/>
    <col min="14" max="14" width="5.85546875" customWidth="1"/>
    <col min="38" max="38" width="10.85546875" style="165"/>
  </cols>
  <sheetData>
    <row r="1" spans="1:70">
      <c r="A1">
        <f>SUM('Heimmannschaft MAISON'!A1)</f>
        <v>1</v>
      </c>
      <c r="R1">
        <v>1</v>
      </c>
      <c r="S1" t="str">
        <f>IF($A$1=3,VLOOKUP(R1,L:N,2,FALSE),IF($A$1=2,VLOOKUP(R1,H:J,2,FALSE),IF($A$1=1,VLOOKUP(R1,D:F,2,FALSE),"")))</f>
        <v>S</v>
      </c>
      <c r="T1">
        <f>IF($A$1=3,VLOOKUP(R1,L:N,3,FALSE),IF($A$1=2,VLOOKUP(R1,H:J,3,FALSE),IF($A$1=1,VLOOKUP(R1,D:F,3,FALSE),"")))</f>
        <v>1.1000000000000001</v>
      </c>
      <c r="U1">
        <f>IF($A$1=3,VLOOKUP(R1,L:O,4,FALSE),IF($A$1=2,VLOOKUP(R1,H:K,4,FALSE),IF($A$1=1,VLOOKUP(R1,D:G,4,FALSE),"")))</f>
        <v>5</v>
      </c>
      <c r="AJ1">
        <v>1</v>
      </c>
      <c r="AK1" t="str">
        <f>IF($A$1=3,VLOOKUP(AJ1,AD:AF,2,FALSE),IF($A$1=2,VLOOKUP(AJ1,Z:AB,2,FALSE),IF($A$1=1,VLOOKUP(AJ1,V:X,2,FALSE),"")))</f>
        <v>S</v>
      </c>
      <c r="AL1" s="165">
        <f>IF($A$1=3,VLOOKUP(AJ1,AD:AF,3,FALSE),IF($A$1=2,VLOOKUP(AJ1,Z:AB,3,FALSE),IF($A$1=1,VLOOKUP(AJ1,V:X,3,FALSE),"")))</f>
        <v>1.1000000000000001</v>
      </c>
      <c r="AN1" s="592">
        <v>1</v>
      </c>
      <c r="AO1" s="592" t="s">
        <v>1027</v>
      </c>
      <c r="AP1" s="592"/>
      <c r="AQ1" s="592" t="s">
        <v>1028</v>
      </c>
      <c r="AR1" s="592"/>
      <c r="AS1" t="s">
        <v>1992</v>
      </c>
      <c r="AT1" s="593">
        <v>1</v>
      </c>
      <c r="AU1" s="593" t="s">
        <v>1005</v>
      </c>
      <c r="AV1" s="593" t="s">
        <v>1104</v>
      </c>
      <c r="AW1" s="593" t="s">
        <v>1006</v>
      </c>
      <c r="AX1" s="593" t="s">
        <v>1111</v>
      </c>
      <c r="AY1" t="s">
        <v>1992</v>
      </c>
      <c r="AZ1" s="594">
        <v>1</v>
      </c>
      <c r="BA1" s="594" t="s">
        <v>1005</v>
      </c>
      <c r="BB1" s="594" t="s">
        <v>1104</v>
      </c>
      <c r="BC1" s="594" t="s">
        <v>1006</v>
      </c>
      <c r="BD1" s="594" t="s">
        <v>1111</v>
      </c>
      <c r="BE1" t="s">
        <v>1992</v>
      </c>
      <c r="BF1">
        <f t="shared" ref="BF1:BK1" si="0">IF($A$1=3,AZ1,IF($A$1=2,AT1,IF($A$1=1,AN1,"")))</f>
        <v>1</v>
      </c>
      <c r="BG1" t="str">
        <f t="shared" si="0"/>
        <v>HS 1.1</v>
      </c>
      <c r="BH1">
        <f t="shared" si="0"/>
        <v>0</v>
      </c>
      <c r="BI1" t="str">
        <f t="shared" si="0"/>
        <v>GS 1.1</v>
      </c>
      <c r="BJ1">
        <f t="shared" si="0"/>
        <v>0</v>
      </c>
      <c r="BK1" t="str">
        <f t="shared" si="0"/>
        <v>1.1*</v>
      </c>
      <c r="BL1" s="595">
        <f t="shared" ref="BL1:BQ1" si="1">IF(BF1=0,"",BF1)</f>
        <v>1</v>
      </c>
      <c r="BM1" s="595" t="str">
        <f t="shared" si="1"/>
        <v>HS 1.1</v>
      </c>
      <c r="BN1" s="595" t="str">
        <f t="shared" si="1"/>
        <v/>
      </c>
      <c r="BO1" s="595" t="str">
        <f t="shared" si="1"/>
        <v>GS 1.1</v>
      </c>
      <c r="BP1" s="595" t="str">
        <f t="shared" si="1"/>
        <v/>
      </c>
      <c r="BQ1" s="595" t="str">
        <f t="shared" si="1"/>
        <v>1.1*</v>
      </c>
      <c r="BR1" s="595" t="str">
        <f>RIGHT(BN1,5)</f>
        <v/>
      </c>
    </row>
    <row r="2" spans="1:70">
      <c r="A2">
        <v>1</v>
      </c>
      <c r="B2" t="s">
        <v>845</v>
      </c>
      <c r="R2">
        <v>2</v>
      </c>
      <c r="S2" t="str">
        <f t="shared" ref="S2:S25" si="2">IF($A$1=3,VLOOKUP(R2,L:N,2,FALSE),IF($A$1=2,VLOOKUP(R2,H:J,2,FALSE),IF($A$1=1,VLOOKUP(R2,D:F,2,FALSE),"")))</f>
        <v>S</v>
      </c>
      <c r="T2">
        <f t="shared" ref="T2:T25" si="3">IF($A$1=3,VLOOKUP(R2,L:N,3,FALSE),IF($A$1=2,VLOOKUP(R2,H:J,3,FALSE),IF($A$1=1,VLOOKUP(R2,D:F,3,FALSE),"")))</f>
        <v>1.2</v>
      </c>
      <c r="U2">
        <f t="shared" ref="U2:U25" si="4">IF($A$1=3,VLOOKUP(R2,L:O,4,FALSE),IF($A$1=2,VLOOKUP(R2,H:K,4,FALSE),IF($A$1=1,VLOOKUP(R2,D:G,4,FALSE),"")))</f>
        <v>5</v>
      </c>
      <c r="AJ2">
        <v>2</v>
      </c>
      <c r="AK2" t="str">
        <f t="shared" ref="AK2:AK32" si="5">IF($A$1=3,VLOOKUP(AJ2,AD:AF,2,FALSE),IF($A$1=2,VLOOKUP(AJ2,Z:AB,2,FALSE),IF($A$1=1,VLOOKUP(AJ2,V:X,2,FALSE),"")))</f>
        <v>S</v>
      </c>
      <c r="AL2" s="165">
        <f t="shared" ref="AL2:AL32" si="6">IF($A$1=3,VLOOKUP(AJ2,AD:AF,3,FALSE),IF($A$1=2,VLOOKUP(AJ2,Z:AB,3,FALSE),IF($A$1=1,VLOOKUP(AJ2,V:X,3,FALSE),"")))</f>
        <v>1.2</v>
      </c>
      <c r="AN2" s="592">
        <v>2</v>
      </c>
      <c r="AO2" s="592" t="s">
        <v>1029</v>
      </c>
      <c r="AP2" s="592"/>
      <c r="AQ2" s="592" t="s">
        <v>1030</v>
      </c>
      <c r="AR2" s="592"/>
      <c r="AS2" t="s">
        <v>1993</v>
      </c>
      <c r="AT2" s="593">
        <v>2</v>
      </c>
      <c r="AU2" s="593" t="s">
        <v>1008</v>
      </c>
      <c r="AV2" s="593" t="s">
        <v>1105</v>
      </c>
      <c r="AW2" s="593" t="s">
        <v>1009</v>
      </c>
      <c r="AX2" s="593" t="s">
        <v>1112</v>
      </c>
      <c r="AY2" t="s">
        <v>1993</v>
      </c>
      <c r="AZ2" s="594">
        <v>2</v>
      </c>
      <c r="BA2" s="594" t="s">
        <v>1008</v>
      </c>
      <c r="BB2" s="594" t="s">
        <v>1105</v>
      </c>
      <c r="BC2" s="594" t="s">
        <v>1009</v>
      </c>
      <c r="BD2" s="594" t="s">
        <v>1112</v>
      </c>
      <c r="BE2" t="s">
        <v>1993</v>
      </c>
      <c r="BF2">
        <f t="shared" ref="BF2:BF33" si="7">IF($A$1=3,AZ2,IF($A$1=2,AT2,IF($A$1=1,AN2,"")))</f>
        <v>2</v>
      </c>
      <c r="BG2" t="str">
        <f t="shared" ref="BG2:BG33" si="8">IF($A$1=3,BA2,IF($A$1=2,AU2,IF($A$1=1,AO2,"")))</f>
        <v>HS 1.2</v>
      </c>
      <c r="BH2">
        <f t="shared" ref="BH2:BH33" si="9">IF($A$1=3,BB2,IF($A$1=2,AV2,IF($A$1=1,AP2,"")))</f>
        <v>0</v>
      </c>
      <c r="BI2" t="str">
        <f t="shared" ref="BI2:BI33" si="10">IF($A$1=3,BC2,IF($A$1=2,AW2,IF($A$1=1,AQ2,"")))</f>
        <v>GS 1.2</v>
      </c>
      <c r="BJ2">
        <f t="shared" ref="BJ2:BJ33" si="11">IF($A$1=3,BD2,IF($A$1=2,AX2,IF($A$1=1,AR2,"")))</f>
        <v>0</v>
      </c>
      <c r="BK2" t="str">
        <f t="shared" ref="BK2:BK33" si="12">IF($A$1=3,BE2,IF($A$1=2,AY2,IF($A$1=1,AS2,"")))</f>
        <v>1.2*</v>
      </c>
      <c r="BL2" s="595">
        <f t="shared" ref="BL2:BL33" si="13">IF(BF2=0,"",BF2)</f>
        <v>2</v>
      </c>
      <c r="BM2" s="595" t="str">
        <f t="shared" ref="BM2:BM33" si="14">IF(BG2=0,"",BG2)</f>
        <v>HS 1.2</v>
      </c>
      <c r="BN2" s="595" t="str">
        <f t="shared" ref="BN2:BN33" si="15">IF(BH2=0,"",BH2)</f>
        <v/>
      </c>
      <c r="BO2" s="595" t="str">
        <f t="shared" ref="BO2:BO33" si="16">IF(BI2=0,"",BI2)</f>
        <v>GS 1.2</v>
      </c>
      <c r="BP2" s="595" t="str">
        <f t="shared" ref="BP2:BP33" si="17">IF(BJ2=0,"",BJ2)</f>
        <v/>
      </c>
      <c r="BQ2" s="595" t="str">
        <f t="shared" ref="BQ2:BQ33" si="18">IF(BK2=0,"",BK2)</f>
        <v>1.2*</v>
      </c>
      <c r="BR2" s="595" t="str">
        <f t="shared" ref="BR2:BR33" si="19">RIGHT(BN2,5)</f>
        <v/>
      </c>
    </row>
    <row r="3" spans="1:70">
      <c r="A3">
        <v>2</v>
      </c>
      <c r="B3" t="s">
        <v>937</v>
      </c>
      <c r="C3" s="77"/>
      <c r="R3">
        <v>3</v>
      </c>
      <c r="S3" t="str">
        <f t="shared" si="2"/>
        <v>S</v>
      </c>
      <c r="T3">
        <f t="shared" si="3"/>
        <v>1.3</v>
      </c>
      <c r="U3">
        <f t="shared" si="4"/>
        <v>5</v>
      </c>
      <c r="AJ3">
        <v>3</v>
      </c>
      <c r="AK3" t="str">
        <f t="shared" si="5"/>
        <v>S</v>
      </c>
      <c r="AL3" s="165">
        <f t="shared" si="6"/>
        <v>1.3</v>
      </c>
      <c r="AN3" s="592">
        <v>3</v>
      </c>
      <c r="AO3" s="592" t="s">
        <v>1031</v>
      </c>
      <c r="AP3" s="592"/>
      <c r="AQ3" s="592" t="s">
        <v>1032</v>
      </c>
      <c r="AR3" s="592"/>
      <c r="AS3" t="s">
        <v>1994</v>
      </c>
      <c r="AT3" s="593">
        <v>3</v>
      </c>
      <c r="AU3" s="593" t="s">
        <v>1011</v>
      </c>
      <c r="AV3" s="593" t="s">
        <v>1106</v>
      </c>
      <c r="AW3" s="593" t="s">
        <v>1012</v>
      </c>
      <c r="AX3" s="593" t="s">
        <v>1113</v>
      </c>
      <c r="AY3" t="s">
        <v>1994</v>
      </c>
      <c r="AZ3" s="594">
        <v>3</v>
      </c>
      <c r="BA3" s="594" t="s">
        <v>1011</v>
      </c>
      <c r="BB3" s="594" t="s">
        <v>1106</v>
      </c>
      <c r="BC3" s="594" t="s">
        <v>1012</v>
      </c>
      <c r="BD3" s="594" t="s">
        <v>1113</v>
      </c>
      <c r="BE3" t="s">
        <v>1994</v>
      </c>
      <c r="BF3">
        <f t="shared" si="7"/>
        <v>3</v>
      </c>
      <c r="BG3" t="str">
        <f t="shared" si="8"/>
        <v>HS 1.3</v>
      </c>
      <c r="BH3">
        <f t="shared" si="9"/>
        <v>0</v>
      </c>
      <c r="BI3" t="str">
        <f t="shared" si="10"/>
        <v>GS 1.3</v>
      </c>
      <c r="BJ3">
        <f t="shared" si="11"/>
        <v>0</v>
      </c>
      <c r="BK3" t="str">
        <f t="shared" si="12"/>
        <v>1.3*</v>
      </c>
      <c r="BL3" s="595">
        <f t="shared" si="13"/>
        <v>3</v>
      </c>
      <c r="BM3" s="595" t="str">
        <f t="shared" si="14"/>
        <v>HS 1.3</v>
      </c>
      <c r="BN3" s="595" t="str">
        <f t="shared" si="15"/>
        <v/>
      </c>
      <c r="BO3" s="595" t="str">
        <f t="shared" si="16"/>
        <v>GS 1.3</v>
      </c>
      <c r="BP3" s="595" t="str">
        <f t="shared" si="17"/>
        <v/>
      </c>
      <c r="BQ3" s="595" t="str">
        <f t="shared" si="18"/>
        <v>1.3*</v>
      </c>
      <c r="BR3" s="595" t="str">
        <f t="shared" si="19"/>
        <v/>
      </c>
    </row>
    <row r="4" spans="1:70">
      <c r="A4">
        <v>3</v>
      </c>
      <c r="B4" t="s">
        <v>938</v>
      </c>
      <c r="R4">
        <v>4</v>
      </c>
      <c r="S4" t="str">
        <f t="shared" si="2"/>
        <v>S</v>
      </c>
      <c r="T4">
        <f t="shared" si="3"/>
        <v>1.4</v>
      </c>
      <c r="U4">
        <f t="shared" si="4"/>
        <v>5</v>
      </c>
      <c r="AJ4">
        <v>4</v>
      </c>
      <c r="AK4" t="str">
        <f t="shared" si="5"/>
        <v>S</v>
      </c>
      <c r="AL4" s="165">
        <f t="shared" si="6"/>
        <v>1.4</v>
      </c>
      <c r="AN4" s="592">
        <v>4</v>
      </c>
      <c r="AO4" s="592" t="s">
        <v>1033</v>
      </c>
      <c r="AP4" s="592"/>
      <c r="AQ4" s="592" t="s">
        <v>1034</v>
      </c>
      <c r="AR4" s="592"/>
      <c r="AS4" t="s">
        <v>1995</v>
      </c>
      <c r="AT4" s="593">
        <v>4</v>
      </c>
      <c r="AU4" s="593" t="s">
        <v>1014</v>
      </c>
      <c r="AV4" s="593" t="s">
        <v>1981</v>
      </c>
      <c r="AW4" s="593" t="s">
        <v>1986</v>
      </c>
      <c r="AX4" s="593" t="s">
        <v>1990</v>
      </c>
      <c r="AY4" t="s">
        <v>1995</v>
      </c>
      <c r="AZ4" s="594">
        <v>4</v>
      </c>
      <c r="BA4" s="594" t="s">
        <v>1027</v>
      </c>
      <c r="BB4" s="594"/>
      <c r="BC4" s="594" t="s">
        <v>1028</v>
      </c>
      <c r="BD4" s="594"/>
      <c r="BE4" t="s">
        <v>1992</v>
      </c>
      <c r="BF4">
        <f t="shared" si="7"/>
        <v>4</v>
      </c>
      <c r="BG4" t="str">
        <f t="shared" si="8"/>
        <v>HS 1.4</v>
      </c>
      <c r="BH4">
        <f t="shared" si="9"/>
        <v>0</v>
      </c>
      <c r="BI4" t="str">
        <f t="shared" si="10"/>
        <v>GS 1.4</v>
      </c>
      <c r="BJ4">
        <f t="shared" si="11"/>
        <v>0</v>
      </c>
      <c r="BK4" t="str">
        <f t="shared" si="12"/>
        <v>1.4*</v>
      </c>
      <c r="BL4" s="595">
        <f t="shared" si="13"/>
        <v>4</v>
      </c>
      <c r="BM4" s="595" t="str">
        <f t="shared" si="14"/>
        <v>HS 1.4</v>
      </c>
      <c r="BN4" s="595" t="str">
        <f t="shared" si="15"/>
        <v/>
      </c>
      <c r="BO4" s="595" t="str">
        <f t="shared" si="16"/>
        <v>GS 1.4</v>
      </c>
      <c r="BP4" s="595" t="str">
        <f t="shared" si="17"/>
        <v/>
      </c>
      <c r="BQ4" s="595" t="str">
        <f t="shared" si="18"/>
        <v>1.4*</v>
      </c>
      <c r="BR4" s="595" t="str">
        <f t="shared" si="19"/>
        <v/>
      </c>
    </row>
    <row r="5" spans="1:70">
      <c r="D5" t="s">
        <v>772</v>
      </c>
      <c r="H5" t="s">
        <v>773</v>
      </c>
      <c r="L5" t="s">
        <v>774</v>
      </c>
      <c r="R5">
        <v>5</v>
      </c>
      <c r="S5" t="str">
        <f t="shared" si="2"/>
        <v>S</v>
      </c>
      <c r="T5">
        <f t="shared" si="3"/>
        <v>1.5</v>
      </c>
      <c r="U5">
        <f t="shared" si="4"/>
        <v>5</v>
      </c>
      <c r="V5" t="s">
        <v>772</v>
      </c>
      <c r="Z5" t="s">
        <v>773</v>
      </c>
      <c r="AD5" t="s">
        <v>774</v>
      </c>
      <c r="AJ5">
        <v>5</v>
      </c>
      <c r="AK5" t="str">
        <f t="shared" si="5"/>
        <v>S</v>
      </c>
      <c r="AL5" s="165">
        <f t="shared" si="6"/>
        <v>1.5</v>
      </c>
      <c r="AN5" s="592">
        <v>5</v>
      </c>
      <c r="AO5" s="592" t="s">
        <v>1036</v>
      </c>
      <c r="AP5" s="592"/>
      <c r="AQ5" s="592" t="s">
        <v>1037</v>
      </c>
      <c r="AR5" s="592"/>
      <c r="AS5" t="s">
        <v>1996</v>
      </c>
      <c r="AT5" s="593">
        <v>5</v>
      </c>
      <c r="AU5" s="593" t="s">
        <v>1027</v>
      </c>
      <c r="AV5" s="593"/>
      <c r="AW5" s="593" t="s">
        <v>1028</v>
      </c>
      <c r="AX5" s="593"/>
      <c r="AY5" t="s">
        <v>1992</v>
      </c>
      <c r="AZ5" s="594">
        <v>5</v>
      </c>
      <c r="BA5" s="594" t="s">
        <v>1029</v>
      </c>
      <c r="BB5" s="594"/>
      <c r="BC5" s="594" t="s">
        <v>1030</v>
      </c>
      <c r="BD5" s="594"/>
      <c r="BE5" t="s">
        <v>1993</v>
      </c>
      <c r="BF5">
        <f t="shared" si="7"/>
        <v>5</v>
      </c>
      <c r="BG5" t="str">
        <f t="shared" si="8"/>
        <v>HS 1.5</v>
      </c>
      <c r="BH5">
        <f t="shared" si="9"/>
        <v>0</v>
      </c>
      <c r="BI5" t="str">
        <f t="shared" si="10"/>
        <v>GS 1.5</v>
      </c>
      <c r="BJ5">
        <f t="shared" si="11"/>
        <v>0</v>
      </c>
      <c r="BK5" t="str">
        <f t="shared" si="12"/>
        <v>1.5*</v>
      </c>
      <c r="BL5" s="595">
        <f t="shared" si="13"/>
        <v>5</v>
      </c>
      <c r="BM5" s="595" t="str">
        <f t="shared" si="14"/>
        <v>HS 1.5</v>
      </c>
      <c r="BN5" s="595" t="str">
        <f t="shared" si="15"/>
        <v/>
      </c>
      <c r="BO5" s="595" t="str">
        <f t="shared" si="16"/>
        <v>GS 1.5</v>
      </c>
      <c r="BP5" s="595" t="str">
        <f t="shared" si="17"/>
        <v/>
      </c>
      <c r="BQ5" s="595" t="str">
        <f t="shared" si="18"/>
        <v>1.5*</v>
      </c>
      <c r="BR5" s="595" t="str">
        <f t="shared" si="19"/>
        <v/>
      </c>
    </row>
    <row r="6" spans="1:70">
      <c r="D6" s="78">
        <v>1</v>
      </c>
      <c r="E6" t="s">
        <v>939</v>
      </c>
      <c r="F6">
        <v>1.1000000000000001</v>
      </c>
      <c r="G6">
        <v>5</v>
      </c>
      <c r="H6" s="79">
        <v>1</v>
      </c>
      <c r="I6" t="s">
        <v>940</v>
      </c>
      <c r="J6">
        <v>1.1000000000000001</v>
      </c>
      <c r="K6">
        <v>3</v>
      </c>
      <c r="L6" s="79">
        <v>1</v>
      </c>
      <c r="M6" t="s">
        <v>940</v>
      </c>
      <c r="N6">
        <v>1.1000000000000001</v>
      </c>
      <c r="O6">
        <v>3</v>
      </c>
      <c r="R6">
        <v>6</v>
      </c>
      <c r="S6" t="str">
        <f t="shared" si="2"/>
        <v>S</v>
      </c>
      <c r="T6">
        <f t="shared" si="3"/>
        <v>1.6</v>
      </c>
      <c r="U6">
        <f t="shared" si="4"/>
        <v>5</v>
      </c>
      <c r="V6" s="78">
        <v>1</v>
      </c>
      <c r="W6" t="s">
        <v>939</v>
      </c>
      <c r="X6">
        <v>1.1000000000000001</v>
      </c>
      <c r="Z6" s="79">
        <v>1</v>
      </c>
      <c r="AA6" t="s">
        <v>940</v>
      </c>
      <c r="AB6" s="162" t="s">
        <v>943</v>
      </c>
      <c r="AD6" s="79">
        <v>1</v>
      </c>
      <c r="AE6" t="s">
        <v>940</v>
      </c>
      <c r="AF6" s="162" t="s">
        <v>943</v>
      </c>
      <c r="AJ6">
        <v>6</v>
      </c>
      <c r="AK6" t="str">
        <f t="shared" si="5"/>
        <v>S</v>
      </c>
      <c r="AL6" s="165">
        <f t="shared" si="6"/>
        <v>1.6</v>
      </c>
      <c r="AN6" s="592">
        <v>6</v>
      </c>
      <c r="AO6" s="592" t="s">
        <v>1039</v>
      </c>
      <c r="AP6" s="592"/>
      <c r="AQ6" s="592" t="s">
        <v>1040</v>
      </c>
      <c r="AR6" s="592"/>
      <c r="AS6" t="s">
        <v>1997</v>
      </c>
      <c r="AT6" s="593">
        <v>6</v>
      </c>
      <c r="AU6" s="593" t="s">
        <v>1029</v>
      </c>
      <c r="AV6" s="593"/>
      <c r="AW6" s="593" t="s">
        <v>1030</v>
      </c>
      <c r="AX6" s="593"/>
      <c r="AY6" t="s">
        <v>1993</v>
      </c>
      <c r="AZ6" s="594">
        <v>6</v>
      </c>
      <c r="BA6" s="594" t="s">
        <v>1031</v>
      </c>
      <c r="BB6" s="594"/>
      <c r="BC6" s="594" t="s">
        <v>1032</v>
      </c>
      <c r="BD6" s="594"/>
      <c r="BE6" t="s">
        <v>1994</v>
      </c>
      <c r="BF6">
        <f t="shared" si="7"/>
        <v>6</v>
      </c>
      <c r="BG6" t="str">
        <f t="shared" si="8"/>
        <v>HS 1.6</v>
      </c>
      <c r="BH6">
        <f t="shared" si="9"/>
        <v>0</v>
      </c>
      <c r="BI6" t="str">
        <f t="shared" si="10"/>
        <v>GS 1.6</v>
      </c>
      <c r="BJ6">
        <f t="shared" si="11"/>
        <v>0</v>
      </c>
      <c r="BK6" t="str">
        <f t="shared" si="12"/>
        <v>1.6*</v>
      </c>
      <c r="BL6" s="595">
        <f t="shared" si="13"/>
        <v>6</v>
      </c>
      <c r="BM6" s="595" t="str">
        <f t="shared" si="14"/>
        <v>HS 1.6</v>
      </c>
      <c r="BN6" s="595" t="str">
        <f t="shared" si="15"/>
        <v/>
      </c>
      <c r="BO6" s="595" t="str">
        <f t="shared" si="16"/>
        <v>GS 1.6</v>
      </c>
      <c r="BP6" s="595" t="str">
        <f t="shared" si="17"/>
        <v/>
      </c>
      <c r="BQ6" s="595" t="str">
        <f t="shared" si="18"/>
        <v>1.6*</v>
      </c>
      <c r="BR6" s="595" t="str">
        <f t="shared" si="19"/>
        <v/>
      </c>
    </row>
    <row r="7" spans="1:70">
      <c r="H7" s="80"/>
      <c r="L7" s="80"/>
      <c r="R7">
        <v>7</v>
      </c>
      <c r="S7" t="str">
        <f t="shared" si="2"/>
        <v>S</v>
      </c>
      <c r="T7">
        <f t="shared" si="3"/>
        <v>1.7</v>
      </c>
      <c r="U7">
        <f t="shared" si="4"/>
        <v>5</v>
      </c>
      <c r="Z7" s="80"/>
      <c r="AB7" s="163"/>
      <c r="AD7" s="80"/>
      <c r="AF7" s="163"/>
      <c r="AJ7">
        <v>7</v>
      </c>
      <c r="AK7" t="str">
        <f t="shared" si="5"/>
        <v>S</v>
      </c>
      <c r="AL7" s="165">
        <f t="shared" si="6"/>
        <v>1.7</v>
      </c>
      <c r="AN7" s="592">
        <v>7</v>
      </c>
      <c r="AO7" s="592" t="s">
        <v>1042</v>
      </c>
      <c r="AP7" s="592"/>
      <c r="AQ7" s="592" t="s">
        <v>1043</v>
      </c>
      <c r="AR7" s="592"/>
      <c r="AS7" t="s">
        <v>1998</v>
      </c>
      <c r="AT7" s="593">
        <v>7</v>
      </c>
      <c r="AU7" s="593" t="s">
        <v>1031</v>
      </c>
      <c r="AV7" s="593"/>
      <c r="AW7" s="593" t="s">
        <v>1032</v>
      </c>
      <c r="AX7" s="593"/>
      <c r="AY7" t="s">
        <v>1994</v>
      </c>
      <c r="AZ7" s="594">
        <v>7</v>
      </c>
      <c r="BA7" s="594" t="s">
        <v>1033</v>
      </c>
      <c r="BB7" s="594"/>
      <c r="BC7" s="594" t="s">
        <v>1034</v>
      </c>
      <c r="BD7" s="594"/>
      <c r="BE7" t="s">
        <v>1995</v>
      </c>
      <c r="BF7">
        <f t="shared" si="7"/>
        <v>7</v>
      </c>
      <c r="BG7" t="str">
        <f t="shared" si="8"/>
        <v>HS 1.7</v>
      </c>
      <c r="BH7">
        <f t="shared" si="9"/>
        <v>0</v>
      </c>
      <c r="BI7" t="str">
        <f t="shared" si="10"/>
        <v>GS 1.7</v>
      </c>
      <c r="BJ7">
        <f t="shared" si="11"/>
        <v>0</v>
      </c>
      <c r="BK7" t="str">
        <f t="shared" si="12"/>
        <v>1.7*</v>
      </c>
      <c r="BL7" s="595">
        <f t="shared" si="13"/>
        <v>7</v>
      </c>
      <c r="BM7" s="595" t="str">
        <f t="shared" si="14"/>
        <v>HS 1.7</v>
      </c>
      <c r="BN7" s="595" t="str">
        <f t="shared" si="15"/>
        <v/>
      </c>
      <c r="BO7" s="595" t="str">
        <f t="shared" si="16"/>
        <v>GS 1.7</v>
      </c>
      <c r="BP7" s="595" t="str">
        <f t="shared" si="17"/>
        <v/>
      </c>
      <c r="BQ7" s="595" t="str">
        <f t="shared" si="18"/>
        <v>1.7*</v>
      </c>
      <c r="BR7" s="595" t="str">
        <f t="shared" si="19"/>
        <v/>
      </c>
    </row>
    <row r="8" spans="1:70">
      <c r="D8" s="78">
        <v>2</v>
      </c>
      <c r="E8" t="s">
        <v>939</v>
      </c>
      <c r="F8">
        <v>1.2</v>
      </c>
      <c r="G8">
        <v>5</v>
      </c>
      <c r="H8" s="79"/>
      <c r="L8" s="79"/>
      <c r="R8">
        <v>8</v>
      </c>
      <c r="S8" t="str">
        <f t="shared" si="2"/>
        <v>S</v>
      </c>
      <c r="T8">
        <f t="shared" si="3"/>
        <v>1.8</v>
      </c>
      <c r="U8">
        <f t="shared" si="4"/>
        <v>5</v>
      </c>
      <c r="V8" s="78">
        <v>2</v>
      </c>
      <c r="W8" t="s">
        <v>939</v>
      </c>
      <c r="X8">
        <v>1.2</v>
      </c>
      <c r="Z8" s="79">
        <v>2</v>
      </c>
      <c r="AA8" t="s">
        <v>940</v>
      </c>
      <c r="AB8" s="162" t="s">
        <v>944</v>
      </c>
      <c r="AD8" s="79">
        <v>2</v>
      </c>
      <c r="AE8" t="s">
        <v>940</v>
      </c>
      <c r="AF8" s="162" t="s">
        <v>944</v>
      </c>
      <c r="AJ8">
        <v>8</v>
      </c>
      <c r="AK8" t="str">
        <f t="shared" si="5"/>
        <v>S</v>
      </c>
      <c r="AL8" s="165">
        <f t="shared" si="6"/>
        <v>1.8</v>
      </c>
      <c r="AN8" s="592">
        <v>8</v>
      </c>
      <c r="AO8" s="592" t="s">
        <v>1045</v>
      </c>
      <c r="AP8" s="592"/>
      <c r="AQ8" s="592" t="s">
        <v>1046</v>
      </c>
      <c r="AR8" s="592"/>
      <c r="AS8" t="s">
        <v>1999</v>
      </c>
      <c r="AT8" s="593">
        <v>8</v>
      </c>
      <c r="AU8" s="593" t="s">
        <v>1033</v>
      </c>
      <c r="AV8" s="593"/>
      <c r="AW8" s="593" t="s">
        <v>1034</v>
      </c>
      <c r="AX8" s="593"/>
      <c r="AY8" t="s">
        <v>1995</v>
      </c>
      <c r="AZ8" s="594">
        <v>8</v>
      </c>
      <c r="BA8" s="594" t="s">
        <v>1036</v>
      </c>
      <c r="BB8" s="594"/>
      <c r="BC8" s="594" t="s">
        <v>1037</v>
      </c>
      <c r="BD8" s="594"/>
      <c r="BE8" t="s">
        <v>1996</v>
      </c>
      <c r="BF8">
        <f t="shared" si="7"/>
        <v>8</v>
      </c>
      <c r="BG8" t="str">
        <f t="shared" si="8"/>
        <v>HS 1.8</v>
      </c>
      <c r="BH8">
        <f t="shared" si="9"/>
        <v>0</v>
      </c>
      <c r="BI8" t="str">
        <f t="shared" si="10"/>
        <v>GS 1.8</v>
      </c>
      <c r="BJ8">
        <f t="shared" si="11"/>
        <v>0</v>
      </c>
      <c r="BK8" t="str">
        <f t="shared" si="12"/>
        <v>1.8*</v>
      </c>
      <c r="BL8" s="595">
        <f t="shared" si="13"/>
        <v>8</v>
      </c>
      <c r="BM8" s="595" t="str">
        <f t="shared" si="14"/>
        <v>HS 1.8</v>
      </c>
      <c r="BN8" s="595" t="str">
        <f t="shared" si="15"/>
        <v/>
      </c>
      <c r="BO8" s="595" t="str">
        <f t="shared" si="16"/>
        <v>GS 1.8</v>
      </c>
      <c r="BP8" s="595" t="str">
        <f t="shared" si="17"/>
        <v/>
      </c>
      <c r="BQ8" s="595" t="str">
        <f t="shared" si="18"/>
        <v>1.8*</v>
      </c>
      <c r="BR8" s="595" t="str">
        <f t="shared" si="19"/>
        <v/>
      </c>
    </row>
    <row r="9" spans="1:70">
      <c r="R9">
        <v>9</v>
      </c>
      <c r="S9" t="str">
        <f t="shared" si="2"/>
        <v>D</v>
      </c>
      <c r="T9">
        <f t="shared" si="3"/>
        <v>1.1000000000000001</v>
      </c>
      <c r="U9">
        <f t="shared" si="4"/>
        <v>3</v>
      </c>
      <c r="AJ9">
        <v>9</v>
      </c>
      <c r="AK9" t="str">
        <f t="shared" si="5"/>
        <v>D</v>
      </c>
      <c r="AL9" s="165" t="str">
        <f t="shared" si="6"/>
        <v>1.1.1</v>
      </c>
      <c r="AN9" s="592">
        <v>9</v>
      </c>
      <c r="AO9" s="592" t="s">
        <v>1005</v>
      </c>
      <c r="AP9" s="592" t="s">
        <v>1104</v>
      </c>
      <c r="AQ9" s="592" t="s">
        <v>1006</v>
      </c>
      <c r="AR9" s="592" t="s">
        <v>1111</v>
      </c>
      <c r="AS9" t="s">
        <v>1992</v>
      </c>
      <c r="AT9" s="593">
        <v>9</v>
      </c>
      <c r="AU9" s="593" t="s">
        <v>1036</v>
      </c>
      <c r="AV9" s="593"/>
      <c r="AW9" s="593" t="s">
        <v>1037</v>
      </c>
      <c r="AX9" s="593"/>
      <c r="AY9" t="s">
        <v>1996</v>
      </c>
      <c r="AZ9" s="594">
        <v>9</v>
      </c>
      <c r="BA9" s="594" t="s">
        <v>1039</v>
      </c>
      <c r="BB9" s="594"/>
      <c r="BC9" s="594" t="s">
        <v>1040</v>
      </c>
      <c r="BD9" s="594"/>
      <c r="BE9" t="s">
        <v>1997</v>
      </c>
      <c r="BF9">
        <f t="shared" si="7"/>
        <v>9</v>
      </c>
      <c r="BG9" t="str">
        <f t="shared" si="8"/>
        <v>HD 1.1</v>
      </c>
      <c r="BH9" t="str">
        <f t="shared" si="9"/>
        <v>HD 1.1.2</v>
      </c>
      <c r="BI9" t="str">
        <f t="shared" si="10"/>
        <v>GD 1.1</v>
      </c>
      <c r="BJ9" t="str">
        <f t="shared" si="11"/>
        <v>GD 1.1.2</v>
      </c>
      <c r="BK9" t="str">
        <f t="shared" si="12"/>
        <v>1.1*</v>
      </c>
      <c r="BL9" s="595">
        <f t="shared" si="13"/>
        <v>9</v>
      </c>
      <c r="BM9" s="595" t="str">
        <f t="shared" si="14"/>
        <v>HD 1.1</v>
      </c>
      <c r="BN9" s="595" t="str">
        <f t="shared" si="15"/>
        <v>HD 1.1.2</v>
      </c>
      <c r="BO9" s="595" t="str">
        <f t="shared" si="16"/>
        <v>GD 1.1</v>
      </c>
      <c r="BP9" s="595" t="str">
        <f t="shared" si="17"/>
        <v>GD 1.1.2</v>
      </c>
      <c r="BQ9" s="595" t="str">
        <f t="shared" si="18"/>
        <v>1.1*</v>
      </c>
      <c r="BR9" s="595" t="str">
        <f t="shared" si="19"/>
        <v>1.1.2</v>
      </c>
    </row>
    <row r="10" spans="1:70">
      <c r="D10" s="78">
        <v>3</v>
      </c>
      <c r="E10" t="s">
        <v>939</v>
      </c>
      <c r="F10">
        <v>1.3</v>
      </c>
      <c r="G10">
        <v>5</v>
      </c>
      <c r="H10" s="79">
        <v>2</v>
      </c>
      <c r="I10" t="s">
        <v>940</v>
      </c>
      <c r="J10">
        <v>1.2</v>
      </c>
      <c r="K10">
        <v>3</v>
      </c>
      <c r="L10" s="79">
        <v>2</v>
      </c>
      <c r="M10" t="s">
        <v>940</v>
      </c>
      <c r="N10">
        <v>1.2</v>
      </c>
      <c r="O10">
        <v>3</v>
      </c>
      <c r="R10">
        <v>10</v>
      </c>
      <c r="S10" t="str">
        <f t="shared" si="2"/>
        <v>D</v>
      </c>
      <c r="T10">
        <f t="shared" si="3"/>
        <v>1.2</v>
      </c>
      <c r="U10">
        <f t="shared" si="4"/>
        <v>3</v>
      </c>
      <c r="V10" s="78">
        <v>3</v>
      </c>
      <c r="W10" t="s">
        <v>939</v>
      </c>
      <c r="X10">
        <v>1.3</v>
      </c>
      <c r="Z10" s="79">
        <v>3</v>
      </c>
      <c r="AA10" t="s">
        <v>940</v>
      </c>
      <c r="AB10" s="162" t="s">
        <v>945</v>
      </c>
      <c r="AD10" s="79">
        <v>3</v>
      </c>
      <c r="AE10" t="s">
        <v>940</v>
      </c>
      <c r="AF10" s="162" t="s">
        <v>945</v>
      </c>
      <c r="AJ10">
        <v>10</v>
      </c>
      <c r="AK10" t="str">
        <f t="shared" si="5"/>
        <v>D</v>
      </c>
      <c r="AL10" s="165" t="str">
        <f t="shared" si="6"/>
        <v>1.1.2</v>
      </c>
      <c r="AN10" s="592">
        <v>10</v>
      </c>
      <c r="AO10" s="592" t="s">
        <v>1008</v>
      </c>
      <c r="AP10" s="592" t="s">
        <v>1105</v>
      </c>
      <c r="AQ10" s="592" t="s">
        <v>1009</v>
      </c>
      <c r="AR10" s="592" t="s">
        <v>1112</v>
      </c>
      <c r="AS10" t="s">
        <v>1993</v>
      </c>
      <c r="AT10" s="593">
        <v>10</v>
      </c>
      <c r="AU10" s="593" t="s">
        <v>1039</v>
      </c>
      <c r="AV10" s="593"/>
      <c r="AW10" s="593" t="s">
        <v>1040</v>
      </c>
      <c r="AX10" s="593"/>
      <c r="AY10" t="s">
        <v>1997</v>
      </c>
      <c r="AZ10" s="594">
        <v>10</v>
      </c>
      <c r="BA10" s="594" t="s">
        <v>1016</v>
      </c>
      <c r="BB10" s="594" t="s">
        <v>1982</v>
      </c>
      <c r="BC10" s="594" t="s">
        <v>1017</v>
      </c>
      <c r="BD10" s="594" t="s">
        <v>1987</v>
      </c>
      <c r="BE10" t="s">
        <v>2000</v>
      </c>
      <c r="BF10">
        <f t="shared" si="7"/>
        <v>10</v>
      </c>
      <c r="BG10" t="str">
        <f t="shared" si="8"/>
        <v>HD 1.2</v>
      </c>
      <c r="BH10" t="str">
        <f t="shared" si="9"/>
        <v>HD 1.2.2</v>
      </c>
      <c r="BI10" t="str">
        <f t="shared" si="10"/>
        <v>GD 1.2</v>
      </c>
      <c r="BJ10" t="str">
        <f t="shared" si="11"/>
        <v>GD 1.2.2</v>
      </c>
      <c r="BK10" t="str">
        <f t="shared" si="12"/>
        <v>1.2*</v>
      </c>
      <c r="BL10" s="595">
        <f t="shared" si="13"/>
        <v>10</v>
      </c>
      <c r="BM10" s="595" t="str">
        <f t="shared" si="14"/>
        <v>HD 1.2</v>
      </c>
      <c r="BN10" s="595" t="str">
        <f t="shared" si="15"/>
        <v>HD 1.2.2</v>
      </c>
      <c r="BO10" s="595" t="str">
        <f t="shared" si="16"/>
        <v>GD 1.2</v>
      </c>
      <c r="BP10" s="595" t="str">
        <f t="shared" si="17"/>
        <v>GD 1.2.2</v>
      </c>
      <c r="BQ10" s="595" t="str">
        <f t="shared" si="18"/>
        <v>1.2*</v>
      </c>
      <c r="BR10" s="595" t="str">
        <f t="shared" si="19"/>
        <v>1.2.2</v>
      </c>
    </row>
    <row r="11" spans="1:70">
      <c r="H11" s="80"/>
      <c r="L11" s="80"/>
      <c r="R11">
        <v>11</v>
      </c>
      <c r="S11" t="str">
        <f t="shared" si="2"/>
        <v>D</v>
      </c>
      <c r="T11">
        <f t="shared" si="3"/>
        <v>1.3</v>
      </c>
      <c r="U11">
        <f t="shared" si="4"/>
        <v>3</v>
      </c>
      <c r="Z11" s="80"/>
      <c r="AB11" s="163"/>
      <c r="AD11" s="80"/>
      <c r="AF11" s="163"/>
      <c r="AJ11">
        <v>11</v>
      </c>
      <c r="AK11" t="str">
        <f t="shared" si="5"/>
        <v>D</v>
      </c>
      <c r="AL11" s="165" t="str">
        <f t="shared" si="6"/>
        <v>1.2.1</v>
      </c>
      <c r="AN11" s="592">
        <v>11</v>
      </c>
      <c r="AO11" s="592" t="s">
        <v>1011</v>
      </c>
      <c r="AP11" s="592" t="s">
        <v>1106</v>
      </c>
      <c r="AQ11" s="592" t="s">
        <v>1012</v>
      </c>
      <c r="AR11" s="592" t="s">
        <v>1113</v>
      </c>
      <c r="AS11" t="s">
        <v>1994</v>
      </c>
      <c r="AT11" s="593">
        <v>11</v>
      </c>
      <c r="AU11" s="593" t="s">
        <v>1042</v>
      </c>
      <c r="AV11" s="593"/>
      <c r="AW11" s="593" t="s">
        <v>1043</v>
      </c>
      <c r="AX11" s="593"/>
      <c r="AY11" t="s">
        <v>1998</v>
      </c>
      <c r="AZ11" s="594">
        <v>11</v>
      </c>
      <c r="BA11" s="594" t="s">
        <v>1019</v>
      </c>
      <c r="BB11" s="594" t="s">
        <v>1983</v>
      </c>
      <c r="BC11" s="594" t="s">
        <v>1020</v>
      </c>
      <c r="BD11" s="594" t="s">
        <v>1988</v>
      </c>
      <c r="BE11" t="s">
        <v>2001</v>
      </c>
      <c r="BF11">
        <f t="shared" si="7"/>
        <v>11</v>
      </c>
      <c r="BG11" t="str">
        <f t="shared" si="8"/>
        <v>HD 1.3</v>
      </c>
      <c r="BH11" t="str">
        <f t="shared" si="9"/>
        <v>HD 1.3.2</v>
      </c>
      <c r="BI11" t="str">
        <f t="shared" si="10"/>
        <v>GD 1.3</v>
      </c>
      <c r="BJ11" t="str">
        <f t="shared" si="11"/>
        <v>GD 1.3.2</v>
      </c>
      <c r="BK11" t="str">
        <f t="shared" si="12"/>
        <v>1.3*</v>
      </c>
      <c r="BL11" s="595">
        <f t="shared" si="13"/>
        <v>11</v>
      </c>
      <c r="BM11" s="595" t="str">
        <f t="shared" si="14"/>
        <v>HD 1.3</v>
      </c>
      <c r="BN11" s="595" t="str">
        <f t="shared" si="15"/>
        <v>HD 1.3.2</v>
      </c>
      <c r="BO11" s="595" t="str">
        <f t="shared" si="16"/>
        <v>GD 1.3</v>
      </c>
      <c r="BP11" s="595" t="str">
        <f t="shared" si="17"/>
        <v>GD 1.3.2</v>
      </c>
      <c r="BQ11" s="595" t="str">
        <f t="shared" si="18"/>
        <v>1.3*</v>
      </c>
      <c r="BR11" s="595" t="str">
        <f t="shared" si="19"/>
        <v>1.3.2</v>
      </c>
    </row>
    <row r="12" spans="1:70">
      <c r="D12" s="78">
        <v>4</v>
      </c>
      <c r="E12" t="s">
        <v>939</v>
      </c>
      <c r="F12">
        <v>1.4</v>
      </c>
      <c r="G12">
        <v>5</v>
      </c>
      <c r="H12" s="79"/>
      <c r="L12" s="79"/>
      <c r="R12">
        <v>12</v>
      </c>
      <c r="S12" t="str">
        <f t="shared" si="2"/>
        <v>D</v>
      </c>
      <c r="T12">
        <f t="shared" si="3"/>
        <v>1.4</v>
      </c>
      <c r="U12">
        <f t="shared" si="4"/>
        <v>3</v>
      </c>
      <c r="V12" s="78">
        <v>4</v>
      </c>
      <c r="W12" t="s">
        <v>939</v>
      </c>
      <c r="X12">
        <v>1.4</v>
      </c>
      <c r="Z12" s="79">
        <v>4</v>
      </c>
      <c r="AA12" t="s">
        <v>940</v>
      </c>
      <c r="AB12" s="162" t="s">
        <v>946</v>
      </c>
      <c r="AD12" s="79">
        <v>4</v>
      </c>
      <c r="AE12" t="s">
        <v>940</v>
      </c>
      <c r="AF12" s="162" t="s">
        <v>946</v>
      </c>
      <c r="AJ12">
        <v>12</v>
      </c>
      <c r="AK12" t="str">
        <f t="shared" si="5"/>
        <v>D</v>
      </c>
      <c r="AL12" s="165" t="str">
        <f t="shared" si="6"/>
        <v>1.2.2</v>
      </c>
      <c r="AN12" s="592">
        <v>12</v>
      </c>
      <c r="AO12" s="592" t="s">
        <v>1014</v>
      </c>
      <c r="AP12" s="592" t="s">
        <v>1981</v>
      </c>
      <c r="AQ12" s="592" t="s">
        <v>1986</v>
      </c>
      <c r="AR12" s="592" t="s">
        <v>1990</v>
      </c>
      <c r="AS12" t="s">
        <v>1995</v>
      </c>
      <c r="AT12" s="593">
        <v>12</v>
      </c>
      <c r="AU12" s="593" t="s">
        <v>1045</v>
      </c>
      <c r="AV12" s="593"/>
      <c r="AW12" s="593" t="s">
        <v>1046</v>
      </c>
      <c r="AX12" s="593"/>
      <c r="AY12" t="s">
        <v>1999</v>
      </c>
      <c r="AZ12" s="594">
        <v>12</v>
      </c>
      <c r="BA12" s="594" t="s">
        <v>1022</v>
      </c>
      <c r="BB12" s="594" t="s">
        <v>1984</v>
      </c>
      <c r="BC12" s="594" t="s">
        <v>1023</v>
      </c>
      <c r="BD12" s="594" t="s">
        <v>1989</v>
      </c>
      <c r="BE12" t="s">
        <v>2002</v>
      </c>
      <c r="BF12">
        <f t="shared" si="7"/>
        <v>12</v>
      </c>
      <c r="BG12" t="str">
        <f t="shared" si="8"/>
        <v>HD 1.4</v>
      </c>
      <c r="BH12" t="str">
        <f t="shared" si="9"/>
        <v>HD 1.4.2</v>
      </c>
      <c r="BI12" t="str">
        <f t="shared" si="10"/>
        <v>GD 1.4</v>
      </c>
      <c r="BJ12" t="str">
        <f t="shared" si="11"/>
        <v>GD 1.4.2</v>
      </c>
      <c r="BK12" t="str">
        <f t="shared" si="12"/>
        <v>1.4*</v>
      </c>
      <c r="BL12" s="595">
        <f t="shared" si="13"/>
        <v>12</v>
      </c>
      <c r="BM12" s="595" t="str">
        <f t="shared" si="14"/>
        <v>HD 1.4</v>
      </c>
      <c r="BN12" s="595" t="str">
        <f t="shared" si="15"/>
        <v>HD 1.4.2</v>
      </c>
      <c r="BO12" s="595" t="str">
        <f t="shared" si="16"/>
        <v>GD 1.4</v>
      </c>
      <c r="BP12" s="595" t="str">
        <f t="shared" si="17"/>
        <v>GD 1.4.2</v>
      </c>
      <c r="BQ12" s="595" t="str">
        <f t="shared" si="18"/>
        <v>1.4*</v>
      </c>
      <c r="BR12" s="595" t="str">
        <f t="shared" si="19"/>
        <v>1.4.2</v>
      </c>
    </row>
    <row r="13" spans="1:70">
      <c r="R13">
        <v>13</v>
      </c>
      <c r="S13" t="str">
        <f t="shared" si="2"/>
        <v>S</v>
      </c>
      <c r="T13">
        <f t="shared" si="3"/>
        <v>2.1</v>
      </c>
      <c r="U13">
        <f t="shared" si="4"/>
        <v>5</v>
      </c>
      <c r="AJ13">
        <v>13</v>
      </c>
      <c r="AK13" t="str">
        <f t="shared" si="5"/>
        <v>D</v>
      </c>
      <c r="AL13" s="165" t="str">
        <f t="shared" si="6"/>
        <v>1.3.1</v>
      </c>
      <c r="AN13" s="592">
        <v>13</v>
      </c>
      <c r="AO13" s="592" t="s">
        <v>1047</v>
      </c>
      <c r="AP13" s="592"/>
      <c r="AQ13" s="592" t="s">
        <v>1048</v>
      </c>
      <c r="AR13" s="592"/>
      <c r="AS13" t="s">
        <v>2000</v>
      </c>
      <c r="AT13" s="593">
        <v>13</v>
      </c>
      <c r="AU13" s="593" t="s">
        <v>1016</v>
      </c>
      <c r="AV13" s="593" t="s">
        <v>1982</v>
      </c>
      <c r="AW13" s="593" t="s">
        <v>1017</v>
      </c>
      <c r="AX13" s="593" t="s">
        <v>1987</v>
      </c>
      <c r="AY13" t="s">
        <v>2000</v>
      </c>
      <c r="AZ13" s="594">
        <v>13</v>
      </c>
      <c r="BA13" s="594" t="s">
        <v>1047</v>
      </c>
      <c r="BB13" s="594"/>
      <c r="BC13" s="594" t="s">
        <v>1048</v>
      </c>
      <c r="BD13" s="594"/>
      <c r="BE13" t="s">
        <v>2000</v>
      </c>
      <c r="BF13">
        <f t="shared" si="7"/>
        <v>13</v>
      </c>
      <c r="BG13" t="str">
        <f t="shared" si="8"/>
        <v>HS 2.1</v>
      </c>
      <c r="BH13">
        <f t="shared" si="9"/>
        <v>0</v>
      </c>
      <c r="BI13" t="str">
        <f t="shared" si="10"/>
        <v>GS 2.1</v>
      </c>
      <c r="BJ13">
        <f t="shared" si="11"/>
        <v>0</v>
      </c>
      <c r="BK13" t="str">
        <f t="shared" si="12"/>
        <v>2.1*</v>
      </c>
      <c r="BL13" s="595">
        <f t="shared" si="13"/>
        <v>13</v>
      </c>
      <c r="BM13" s="595" t="str">
        <f t="shared" si="14"/>
        <v>HS 2.1</v>
      </c>
      <c r="BN13" s="595" t="str">
        <f t="shared" si="15"/>
        <v/>
      </c>
      <c r="BO13" s="595" t="str">
        <f t="shared" si="16"/>
        <v>GS 2.1</v>
      </c>
      <c r="BP13" s="595" t="str">
        <f t="shared" si="17"/>
        <v/>
      </c>
      <c r="BQ13" s="595" t="str">
        <f t="shared" si="18"/>
        <v>2.1*</v>
      </c>
      <c r="BR13" s="595" t="str">
        <f t="shared" si="19"/>
        <v/>
      </c>
    </row>
    <row r="14" spans="1:70">
      <c r="D14" s="78">
        <v>5</v>
      </c>
      <c r="E14" t="s">
        <v>939</v>
      </c>
      <c r="F14">
        <v>1.5</v>
      </c>
      <c r="G14">
        <v>5</v>
      </c>
      <c r="H14" s="79">
        <v>3</v>
      </c>
      <c r="I14" t="s">
        <v>940</v>
      </c>
      <c r="J14">
        <v>1.3</v>
      </c>
      <c r="K14">
        <v>3</v>
      </c>
      <c r="L14" s="79">
        <v>3</v>
      </c>
      <c r="M14" t="s">
        <v>940</v>
      </c>
      <c r="N14">
        <v>1.3</v>
      </c>
      <c r="O14">
        <v>3</v>
      </c>
      <c r="R14">
        <v>14</v>
      </c>
      <c r="S14" t="str">
        <f t="shared" si="2"/>
        <v>S</v>
      </c>
      <c r="T14">
        <f t="shared" si="3"/>
        <v>2.2000000000000002</v>
      </c>
      <c r="U14">
        <f t="shared" si="4"/>
        <v>5</v>
      </c>
      <c r="V14" s="78">
        <v>5</v>
      </c>
      <c r="W14" t="s">
        <v>939</v>
      </c>
      <c r="X14">
        <v>1.5</v>
      </c>
      <c r="Z14" s="79">
        <v>5</v>
      </c>
      <c r="AA14" t="s">
        <v>940</v>
      </c>
      <c r="AB14" s="162" t="s">
        <v>947</v>
      </c>
      <c r="AD14" s="79">
        <v>5</v>
      </c>
      <c r="AE14" t="s">
        <v>940</v>
      </c>
      <c r="AF14" s="162" t="s">
        <v>947</v>
      </c>
      <c r="AJ14">
        <v>14</v>
      </c>
      <c r="AK14" t="str">
        <f t="shared" si="5"/>
        <v>D</v>
      </c>
      <c r="AL14" s="165" t="str">
        <f t="shared" si="6"/>
        <v>1.3.2</v>
      </c>
      <c r="AN14" s="592">
        <v>14</v>
      </c>
      <c r="AO14" s="592" t="s">
        <v>1049</v>
      </c>
      <c r="AP14" s="592"/>
      <c r="AQ14" s="592" t="s">
        <v>1050</v>
      </c>
      <c r="AR14" s="592"/>
      <c r="AS14" t="s">
        <v>2001</v>
      </c>
      <c r="AT14" s="593">
        <v>14</v>
      </c>
      <c r="AU14" s="593" t="s">
        <v>1019</v>
      </c>
      <c r="AV14" s="593" t="s">
        <v>1983</v>
      </c>
      <c r="AW14" s="593" t="s">
        <v>1020</v>
      </c>
      <c r="AX14" s="593" t="s">
        <v>1988</v>
      </c>
      <c r="AY14" t="s">
        <v>2001</v>
      </c>
      <c r="AZ14" s="594">
        <v>14</v>
      </c>
      <c r="BA14" s="594" t="s">
        <v>1049</v>
      </c>
      <c r="BB14" s="594"/>
      <c r="BC14" s="594" t="s">
        <v>1050</v>
      </c>
      <c r="BD14" s="594"/>
      <c r="BE14" t="s">
        <v>2001</v>
      </c>
      <c r="BF14">
        <f t="shared" si="7"/>
        <v>14</v>
      </c>
      <c r="BG14" t="str">
        <f t="shared" si="8"/>
        <v>HS 2.2</v>
      </c>
      <c r="BH14">
        <f t="shared" si="9"/>
        <v>0</v>
      </c>
      <c r="BI14" t="str">
        <f t="shared" si="10"/>
        <v>GS 2.2</v>
      </c>
      <c r="BJ14">
        <f t="shared" si="11"/>
        <v>0</v>
      </c>
      <c r="BK14" t="str">
        <f t="shared" si="12"/>
        <v>2.2*</v>
      </c>
      <c r="BL14" s="595">
        <f t="shared" si="13"/>
        <v>14</v>
      </c>
      <c r="BM14" s="595" t="str">
        <f t="shared" si="14"/>
        <v>HS 2.2</v>
      </c>
      <c r="BN14" s="595" t="str">
        <f t="shared" si="15"/>
        <v/>
      </c>
      <c r="BO14" s="595" t="str">
        <f t="shared" si="16"/>
        <v>GS 2.2</v>
      </c>
      <c r="BP14" s="595" t="str">
        <f t="shared" si="17"/>
        <v/>
      </c>
      <c r="BQ14" s="595" t="str">
        <f t="shared" si="18"/>
        <v>2.2*</v>
      </c>
      <c r="BR14" s="595" t="str">
        <f t="shared" si="19"/>
        <v/>
      </c>
    </row>
    <row r="15" spans="1:70">
      <c r="H15" s="80"/>
      <c r="L15" s="80"/>
      <c r="R15">
        <v>15</v>
      </c>
      <c r="S15" t="str">
        <f t="shared" si="2"/>
        <v>S</v>
      </c>
      <c r="T15">
        <f t="shared" si="3"/>
        <v>2.2999999999999998</v>
      </c>
      <c r="U15">
        <f t="shared" si="4"/>
        <v>5</v>
      </c>
      <c r="Z15" s="80"/>
      <c r="AB15" s="163"/>
      <c r="AD15" s="80"/>
      <c r="AF15" s="163"/>
      <c r="AJ15">
        <v>15</v>
      </c>
      <c r="AK15" t="str">
        <f t="shared" si="5"/>
        <v>D</v>
      </c>
      <c r="AL15" s="165" t="str">
        <f t="shared" si="6"/>
        <v>1.4.1</v>
      </c>
      <c r="AN15" s="592">
        <v>15</v>
      </c>
      <c r="AO15" s="592" t="s">
        <v>1051</v>
      </c>
      <c r="AP15" s="592"/>
      <c r="AQ15" s="592" t="s">
        <v>1052</v>
      </c>
      <c r="AR15" s="592"/>
      <c r="AS15" t="s">
        <v>2002</v>
      </c>
      <c r="AT15" s="593">
        <v>15</v>
      </c>
      <c r="AU15" s="593" t="s">
        <v>1022</v>
      </c>
      <c r="AV15" s="593" t="s">
        <v>1984</v>
      </c>
      <c r="AW15" s="593" t="s">
        <v>1023</v>
      </c>
      <c r="AX15" s="593" t="s">
        <v>1989</v>
      </c>
      <c r="AY15" t="s">
        <v>2002</v>
      </c>
      <c r="AZ15" s="594">
        <v>15</v>
      </c>
      <c r="BA15" s="594" t="s">
        <v>1051</v>
      </c>
      <c r="BB15" s="594"/>
      <c r="BC15" s="594" t="s">
        <v>1052</v>
      </c>
      <c r="BD15" s="594"/>
      <c r="BE15" t="s">
        <v>2002</v>
      </c>
      <c r="BF15">
        <f t="shared" si="7"/>
        <v>15</v>
      </c>
      <c r="BG15" t="str">
        <f t="shared" si="8"/>
        <v>HS 2.3</v>
      </c>
      <c r="BH15">
        <f t="shared" si="9"/>
        <v>0</v>
      </c>
      <c r="BI15" t="str">
        <f t="shared" si="10"/>
        <v>GS 2.3</v>
      </c>
      <c r="BJ15">
        <f t="shared" si="11"/>
        <v>0</v>
      </c>
      <c r="BK15" t="str">
        <f t="shared" si="12"/>
        <v>2.3*</v>
      </c>
      <c r="BL15" s="595">
        <f t="shared" si="13"/>
        <v>15</v>
      </c>
      <c r="BM15" s="595" t="str">
        <f t="shared" si="14"/>
        <v>HS 2.3</v>
      </c>
      <c r="BN15" s="595" t="str">
        <f t="shared" si="15"/>
        <v/>
      </c>
      <c r="BO15" s="595" t="str">
        <f t="shared" si="16"/>
        <v>GS 2.3</v>
      </c>
      <c r="BP15" s="595" t="str">
        <f t="shared" si="17"/>
        <v/>
      </c>
      <c r="BQ15" s="595" t="str">
        <f t="shared" si="18"/>
        <v>2.3*</v>
      </c>
      <c r="BR15" s="595" t="str">
        <f t="shared" si="19"/>
        <v/>
      </c>
    </row>
    <row r="16" spans="1:70">
      <c r="D16" s="78">
        <v>6</v>
      </c>
      <c r="E16" t="s">
        <v>939</v>
      </c>
      <c r="F16">
        <v>1.6</v>
      </c>
      <c r="G16">
        <v>5</v>
      </c>
      <c r="H16" s="79"/>
      <c r="L16" s="79"/>
      <c r="R16">
        <v>16</v>
      </c>
      <c r="S16" t="str">
        <f t="shared" si="2"/>
        <v>S</v>
      </c>
      <c r="T16">
        <f t="shared" si="3"/>
        <v>2.4</v>
      </c>
      <c r="U16">
        <f t="shared" si="4"/>
        <v>5</v>
      </c>
      <c r="V16" s="78">
        <v>6</v>
      </c>
      <c r="W16" t="s">
        <v>939</v>
      </c>
      <c r="X16">
        <v>1.6</v>
      </c>
      <c r="Z16" s="79">
        <v>6</v>
      </c>
      <c r="AA16" t="s">
        <v>940</v>
      </c>
      <c r="AB16" s="162" t="s">
        <v>948</v>
      </c>
      <c r="AD16" s="79">
        <v>6</v>
      </c>
      <c r="AE16" t="s">
        <v>940</v>
      </c>
      <c r="AF16" s="162" t="s">
        <v>948</v>
      </c>
      <c r="AJ16">
        <v>16</v>
      </c>
      <c r="AK16" t="str">
        <f t="shared" si="5"/>
        <v>D</v>
      </c>
      <c r="AL16" s="165" t="str">
        <f t="shared" si="6"/>
        <v>1.4.2</v>
      </c>
      <c r="AN16" s="592">
        <v>16</v>
      </c>
      <c r="AO16" s="592" t="s">
        <v>1053</v>
      </c>
      <c r="AP16" s="592"/>
      <c r="AQ16" s="592" t="s">
        <v>1054</v>
      </c>
      <c r="AR16" s="592"/>
      <c r="AS16" t="s">
        <v>2003</v>
      </c>
      <c r="AT16" s="593">
        <v>16</v>
      </c>
      <c r="AU16" s="593" t="s">
        <v>1025</v>
      </c>
      <c r="AV16" s="593" t="s">
        <v>1985</v>
      </c>
      <c r="AW16" s="593" t="s">
        <v>1026</v>
      </c>
      <c r="AX16" s="593" t="s">
        <v>1991</v>
      </c>
      <c r="AY16" t="s">
        <v>2003</v>
      </c>
      <c r="AZ16" s="594">
        <v>16</v>
      </c>
      <c r="BA16" s="594" t="s">
        <v>1053</v>
      </c>
      <c r="BB16" s="594"/>
      <c r="BC16" s="594" t="s">
        <v>1054</v>
      </c>
      <c r="BD16" s="594"/>
      <c r="BE16" t="s">
        <v>2003</v>
      </c>
      <c r="BF16">
        <f t="shared" si="7"/>
        <v>16</v>
      </c>
      <c r="BG16" t="str">
        <f t="shared" si="8"/>
        <v>HS 2.4</v>
      </c>
      <c r="BH16">
        <f t="shared" si="9"/>
        <v>0</v>
      </c>
      <c r="BI16" t="str">
        <f t="shared" si="10"/>
        <v>GS 2.4</v>
      </c>
      <c r="BJ16">
        <f t="shared" si="11"/>
        <v>0</v>
      </c>
      <c r="BK16" t="str">
        <f t="shared" si="12"/>
        <v>2.4*</v>
      </c>
      <c r="BL16" s="595">
        <f t="shared" si="13"/>
        <v>16</v>
      </c>
      <c r="BM16" s="595" t="str">
        <f t="shared" si="14"/>
        <v>HS 2.4</v>
      </c>
      <c r="BN16" s="595" t="str">
        <f t="shared" si="15"/>
        <v/>
      </c>
      <c r="BO16" s="595" t="str">
        <f t="shared" si="16"/>
        <v>GS 2.4</v>
      </c>
      <c r="BP16" s="595" t="str">
        <f t="shared" si="17"/>
        <v/>
      </c>
      <c r="BQ16" s="595" t="str">
        <f t="shared" si="18"/>
        <v>2.4*</v>
      </c>
      <c r="BR16" s="595" t="str">
        <f t="shared" si="19"/>
        <v/>
      </c>
    </row>
    <row r="17" spans="4:70">
      <c r="R17">
        <v>17</v>
      </c>
      <c r="S17" t="str">
        <f t="shared" si="2"/>
        <v>S</v>
      </c>
      <c r="T17">
        <f t="shared" si="3"/>
        <v>2.5</v>
      </c>
      <c r="U17">
        <f t="shared" si="4"/>
        <v>5</v>
      </c>
      <c r="AJ17">
        <v>17</v>
      </c>
      <c r="AK17" t="str">
        <f t="shared" si="5"/>
        <v>S</v>
      </c>
      <c r="AL17" s="165">
        <f t="shared" si="6"/>
        <v>2.1</v>
      </c>
      <c r="AN17" s="592">
        <v>17</v>
      </c>
      <c r="AO17" s="592" t="s">
        <v>1056</v>
      </c>
      <c r="AP17" s="592"/>
      <c r="AQ17" s="592" t="s">
        <v>1057</v>
      </c>
      <c r="AR17" s="592"/>
      <c r="AS17" t="s">
        <v>2004</v>
      </c>
      <c r="AT17" s="593">
        <v>17</v>
      </c>
      <c r="AU17" s="593" t="s">
        <v>1047</v>
      </c>
      <c r="AV17" s="593"/>
      <c r="AW17" s="593" t="s">
        <v>1048</v>
      </c>
      <c r="AX17" s="593"/>
      <c r="AY17" t="s">
        <v>2000</v>
      </c>
      <c r="AZ17" s="594">
        <v>17</v>
      </c>
      <c r="BA17" s="594" t="s">
        <v>1056</v>
      </c>
      <c r="BB17" s="594"/>
      <c r="BC17" s="594" t="s">
        <v>1057</v>
      </c>
      <c r="BD17" s="594"/>
      <c r="BE17" t="s">
        <v>2004</v>
      </c>
      <c r="BF17">
        <f t="shared" si="7"/>
        <v>17</v>
      </c>
      <c r="BG17" t="str">
        <f t="shared" si="8"/>
        <v>HS 2.5</v>
      </c>
      <c r="BH17">
        <f t="shared" si="9"/>
        <v>0</v>
      </c>
      <c r="BI17" t="str">
        <f t="shared" si="10"/>
        <v>GS 2.5</v>
      </c>
      <c r="BJ17">
        <f t="shared" si="11"/>
        <v>0</v>
      </c>
      <c r="BK17" t="str">
        <f t="shared" si="12"/>
        <v>2.5*</v>
      </c>
      <c r="BL17" s="595">
        <f t="shared" si="13"/>
        <v>17</v>
      </c>
      <c r="BM17" s="595" t="str">
        <f t="shared" si="14"/>
        <v>HS 2.5</v>
      </c>
      <c r="BN17" s="595" t="str">
        <f t="shared" si="15"/>
        <v/>
      </c>
      <c r="BO17" s="595" t="str">
        <f t="shared" si="16"/>
        <v>GS 2.5</v>
      </c>
      <c r="BP17" s="595" t="str">
        <f t="shared" si="17"/>
        <v/>
      </c>
      <c r="BQ17" s="595" t="str">
        <f t="shared" si="18"/>
        <v>2.5*</v>
      </c>
      <c r="BR17" s="595" t="str">
        <f t="shared" si="19"/>
        <v/>
      </c>
    </row>
    <row r="18" spans="4:70">
      <c r="D18" s="78">
        <v>7</v>
      </c>
      <c r="E18" t="s">
        <v>939</v>
      </c>
      <c r="F18">
        <v>1.7</v>
      </c>
      <c r="G18">
        <v>5</v>
      </c>
      <c r="H18" s="79">
        <v>4</v>
      </c>
      <c r="I18" t="s">
        <v>940</v>
      </c>
      <c r="J18">
        <v>1.4</v>
      </c>
      <c r="K18">
        <v>3</v>
      </c>
      <c r="L18" s="78">
        <v>4</v>
      </c>
      <c r="M18" t="s">
        <v>939</v>
      </c>
      <c r="N18">
        <v>1.1000000000000001</v>
      </c>
      <c r="O18">
        <v>3</v>
      </c>
      <c r="R18">
        <v>18</v>
      </c>
      <c r="S18" t="str">
        <f t="shared" si="2"/>
        <v>S</v>
      </c>
      <c r="T18">
        <f t="shared" si="3"/>
        <v>2.6</v>
      </c>
      <c r="U18">
        <f t="shared" si="4"/>
        <v>5</v>
      </c>
      <c r="V18" s="78">
        <v>7</v>
      </c>
      <c r="W18" t="s">
        <v>939</v>
      </c>
      <c r="X18">
        <v>1.7</v>
      </c>
      <c r="Z18" s="79">
        <v>7</v>
      </c>
      <c r="AA18" t="s">
        <v>940</v>
      </c>
      <c r="AB18" s="162" t="s">
        <v>949</v>
      </c>
      <c r="AD18" s="78">
        <v>7</v>
      </c>
      <c r="AE18" t="s">
        <v>939</v>
      </c>
      <c r="AF18">
        <v>1.1000000000000001</v>
      </c>
      <c r="AJ18">
        <v>18</v>
      </c>
      <c r="AK18" t="str">
        <f t="shared" si="5"/>
        <v>S</v>
      </c>
      <c r="AL18" s="165">
        <f t="shared" si="6"/>
        <v>2.2000000000000002</v>
      </c>
      <c r="AN18" s="592">
        <v>18</v>
      </c>
      <c r="AO18" s="592" t="s">
        <v>1059</v>
      </c>
      <c r="AP18" s="592"/>
      <c r="AQ18" s="592" t="s">
        <v>1060</v>
      </c>
      <c r="AR18" s="592"/>
      <c r="AS18" t="s">
        <v>2005</v>
      </c>
      <c r="AT18" s="593">
        <v>18</v>
      </c>
      <c r="AU18" s="593" t="s">
        <v>1049</v>
      </c>
      <c r="AV18" s="593"/>
      <c r="AW18" s="593" t="s">
        <v>1050</v>
      </c>
      <c r="AX18" s="593"/>
      <c r="AY18" t="s">
        <v>2001</v>
      </c>
      <c r="AZ18" s="594">
        <v>18</v>
      </c>
      <c r="BA18" s="594" t="s">
        <v>1059</v>
      </c>
      <c r="BB18" s="594"/>
      <c r="BC18" s="594" t="s">
        <v>1060</v>
      </c>
      <c r="BD18" s="594"/>
      <c r="BE18" t="s">
        <v>2005</v>
      </c>
      <c r="BF18">
        <f t="shared" si="7"/>
        <v>18</v>
      </c>
      <c r="BG18" t="str">
        <f t="shared" si="8"/>
        <v>HS 2.6</v>
      </c>
      <c r="BH18">
        <f t="shared" si="9"/>
        <v>0</v>
      </c>
      <c r="BI18" t="str">
        <f t="shared" si="10"/>
        <v>GS 2.6</v>
      </c>
      <c r="BJ18">
        <f t="shared" si="11"/>
        <v>0</v>
      </c>
      <c r="BK18" t="str">
        <f t="shared" si="12"/>
        <v>2.6*</v>
      </c>
      <c r="BL18" s="595">
        <f t="shared" si="13"/>
        <v>18</v>
      </c>
      <c r="BM18" s="595" t="str">
        <f t="shared" si="14"/>
        <v>HS 2.6</v>
      </c>
      <c r="BN18" s="595" t="str">
        <f t="shared" si="15"/>
        <v/>
      </c>
      <c r="BO18" s="595" t="str">
        <f t="shared" si="16"/>
        <v>GS 2.6</v>
      </c>
      <c r="BP18" s="595" t="str">
        <f t="shared" si="17"/>
        <v/>
      </c>
      <c r="BQ18" s="595" t="str">
        <f t="shared" si="18"/>
        <v>2.6*</v>
      </c>
      <c r="BR18" s="595" t="str">
        <f t="shared" si="19"/>
        <v/>
      </c>
    </row>
    <row r="19" spans="4:70">
      <c r="H19" s="80"/>
      <c r="R19">
        <v>19</v>
      </c>
      <c r="S19" t="str">
        <f t="shared" si="2"/>
        <v>S</v>
      </c>
      <c r="T19">
        <f t="shared" si="3"/>
        <v>2.7</v>
      </c>
      <c r="U19">
        <f t="shared" si="4"/>
        <v>5</v>
      </c>
      <c r="Z19" s="80"/>
      <c r="AB19" s="163"/>
      <c r="AJ19">
        <v>19</v>
      </c>
      <c r="AK19" t="str">
        <f t="shared" si="5"/>
        <v>S</v>
      </c>
      <c r="AL19" s="165">
        <f t="shared" si="6"/>
        <v>2.2999999999999998</v>
      </c>
      <c r="AN19" s="592">
        <v>19</v>
      </c>
      <c r="AO19" s="592" t="s">
        <v>1062</v>
      </c>
      <c r="AP19" s="592"/>
      <c r="AQ19" s="592" t="s">
        <v>1063</v>
      </c>
      <c r="AR19" s="592"/>
      <c r="AS19" t="s">
        <v>2006</v>
      </c>
      <c r="AT19" s="593">
        <v>19</v>
      </c>
      <c r="AU19" s="593" t="s">
        <v>1051</v>
      </c>
      <c r="AV19" s="593"/>
      <c r="AW19" s="593" t="s">
        <v>1052</v>
      </c>
      <c r="AX19" s="593"/>
      <c r="AY19" t="s">
        <v>2002</v>
      </c>
      <c r="AZ19" s="594">
        <v>19</v>
      </c>
      <c r="BA19" s="594" t="s">
        <v>1068</v>
      </c>
      <c r="BB19" s="594"/>
      <c r="BC19" s="594" t="s">
        <v>1069</v>
      </c>
      <c r="BD19" s="594"/>
      <c r="BE19" t="s">
        <v>2008</v>
      </c>
      <c r="BF19">
        <f t="shared" si="7"/>
        <v>19</v>
      </c>
      <c r="BG19" t="str">
        <f t="shared" si="8"/>
        <v>HS 2.7</v>
      </c>
      <c r="BH19">
        <f t="shared" si="9"/>
        <v>0</v>
      </c>
      <c r="BI19" t="str">
        <f t="shared" si="10"/>
        <v>GS 2.7</v>
      </c>
      <c r="BJ19">
        <f t="shared" si="11"/>
        <v>0</v>
      </c>
      <c r="BK19" t="str">
        <f t="shared" si="12"/>
        <v>2.7*</v>
      </c>
      <c r="BL19" s="595">
        <f t="shared" si="13"/>
        <v>19</v>
      </c>
      <c r="BM19" s="595" t="str">
        <f t="shared" si="14"/>
        <v>HS 2.7</v>
      </c>
      <c r="BN19" s="595" t="str">
        <f t="shared" si="15"/>
        <v/>
      </c>
      <c r="BO19" s="595" t="str">
        <f t="shared" si="16"/>
        <v>GS 2.7</v>
      </c>
      <c r="BP19" s="595" t="str">
        <f t="shared" si="17"/>
        <v/>
      </c>
      <c r="BQ19" s="595" t="str">
        <f t="shared" si="18"/>
        <v>2.7*</v>
      </c>
      <c r="BR19" s="595" t="str">
        <f t="shared" si="19"/>
        <v/>
      </c>
    </row>
    <row r="20" spans="4:70">
      <c r="D20" s="78">
        <v>8</v>
      </c>
      <c r="E20" t="s">
        <v>939</v>
      </c>
      <c r="F20">
        <v>1.8</v>
      </c>
      <c r="G20">
        <v>5</v>
      </c>
      <c r="H20" s="79"/>
      <c r="L20" s="78">
        <v>5</v>
      </c>
      <c r="M20" t="s">
        <v>939</v>
      </c>
      <c r="N20">
        <v>1.2</v>
      </c>
      <c r="O20">
        <v>3</v>
      </c>
      <c r="R20">
        <v>20</v>
      </c>
      <c r="S20" t="str">
        <f t="shared" si="2"/>
        <v>S</v>
      </c>
      <c r="T20">
        <f t="shared" si="3"/>
        <v>2.8</v>
      </c>
      <c r="U20">
        <f t="shared" si="4"/>
        <v>5</v>
      </c>
      <c r="V20" s="78">
        <v>8</v>
      </c>
      <c r="W20" t="s">
        <v>939</v>
      </c>
      <c r="X20">
        <v>1.8</v>
      </c>
      <c r="Z20" s="79">
        <v>8</v>
      </c>
      <c r="AA20" t="s">
        <v>940</v>
      </c>
      <c r="AB20" s="162" t="s">
        <v>950</v>
      </c>
      <c r="AD20" s="78">
        <v>8</v>
      </c>
      <c r="AE20" t="s">
        <v>939</v>
      </c>
      <c r="AF20">
        <v>1.2</v>
      </c>
      <c r="AJ20">
        <v>20</v>
      </c>
      <c r="AK20" t="str">
        <f t="shared" si="5"/>
        <v>S</v>
      </c>
      <c r="AL20" s="165">
        <f t="shared" si="6"/>
        <v>2.4</v>
      </c>
      <c r="AN20" s="592">
        <v>20</v>
      </c>
      <c r="AO20" s="592" t="s">
        <v>1065</v>
      </c>
      <c r="AP20" s="592"/>
      <c r="AQ20" s="592" t="s">
        <v>1066</v>
      </c>
      <c r="AR20" s="592"/>
      <c r="AS20" t="s">
        <v>2007</v>
      </c>
      <c r="AT20" s="593">
        <v>20</v>
      </c>
      <c r="AU20" s="593" t="s">
        <v>1053</v>
      </c>
      <c r="AV20" s="593"/>
      <c r="AW20" s="593" t="s">
        <v>1054</v>
      </c>
      <c r="AX20" s="593"/>
      <c r="AY20" t="s">
        <v>2003</v>
      </c>
      <c r="AZ20" s="594">
        <v>20</v>
      </c>
      <c r="BA20" s="594" t="s">
        <v>1071</v>
      </c>
      <c r="BB20" s="594"/>
      <c r="BC20" s="594" t="s">
        <v>1072</v>
      </c>
      <c r="BD20" s="594"/>
      <c r="BE20" t="s">
        <v>2009</v>
      </c>
      <c r="BF20">
        <f t="shared" si="7"/>
        <v>20</v>
      </c>
      <c r="BG20" t="str">
        <f t="shared" si="8"/>
        <v>HS 2.8</v>
      </c>
      <c r="BH20">
        <f t="shared" si="9"/>
        <v>0</v>
      </c>
      <c r="BI20" t="str">
        <f t="shared" si="10"/>
        <v>GS 2.8</v>
      </c>
      <c r="BJ20">
        <f t="shared" si="11"/>
        <v>0</v>
      </c>
      <c r="BK20" t="str">
        <f t="shared" si="12"/>
        <v>2.8*</v>
      </c>
      <c r="BL20" s="595">
        <f t="shared" si="13"/>
        <v>20</v>
      </c>
      <c r="BM20" s="595" t="str">
        <f t="shared" si="14"/>
        <v>HS 2.8</v>
      </c>
      <c r="BN20" s="595" t="str">
        <f t="shared" si="15"/>
        <v/>
      </c>
      <c r="BO20" s="595" t="str">
        <f t="shared" si="16"/>
        <v>GS 2.8</v>
      </c>
      <c r="BP20" s="595" t="str">
        <f t="shared" si="17"/>
        <v/>
      </c>
      <c r="BQ20" s="595" t="str">
        <f t="shared" si="18"/>
        <v>2.8*</v>
      </c>
      <c r="BR20" s="595" t="str">
        <f t="shared" si="19"/>
        <v/>
      </c>
    </row>
    <row r="21" spans="4:70" ht="19.5" customHeight="1">
      <c r="R21">
        <v>21</v>
      </c>
      <c r="S21" t="str">
        <f t="shared" si="2"/>
        <v>S</v>
      </c>
      <c r="T21">
        <f t="shared" si="3"/>
        <v>3.1</v>
      </c>
      <c r="U21">
        <f t="shared" si="4"/>
        <v>5</v>
      </c>
      <c r="AJ21">
        <v>21</v>
      </c>
      <c r="AK21" t="str">
        <f t="shared" si="5"/>
        <v>S</v>
      </c>
      <c r="AL21" s="165">
        <f t="shared" si="6"/>
        <v>2.5</v>
      </c>
      <c r="AN21" s="592">
        <v>21</v>
      </c>
      <c r="AO21" s="592" t="s">
        <v>1068</v>
      </c>
      <c r="AP21" s="592"/>
      <c r="AQ21" s="592" t="s">
        <v>1069</v>
      </c>
      <c r="AR21" s="592"/>
      <c r="AS21" t="s">
        <v>2008</v>
      </c>
      <c r="AT21" s="593">
        <v>21</v>
      </c>
      <c r="AU21" s="593" t="s">
        <v>1056</v>
      </c>
      <c r="AV21" s="593"/>
      <c r="AW21" s="593" t="s">
        <v>1057</v>
      </c>
      <c r="AX21" s="593"/>
      <c r="AY21" t="s">
        <v>2004</v>
      </c>
      <c r="AZ21" s="594">
        <v>21</v>
      </c>
      <c r="BA21" s="594" t="s">
        <v>1074</v>
      </c>
      <c r="BB21" s="594"/>
      <c r="BC21" s="594" t="s">
        <v>1075</v>
      </c>
      <c r="BD21" s="594"/>
      <c r="BE21" t="s">
        <v>2010</v>
      </c>
      <c r="BF21">
        <f t="shared" si="7"/>
        <v>21</v>
      </c>
      <c r="BG21" t="str">
        <f t="shared" si="8"/>
        <v>HS 3.1</v>
      </c>
      <c r="BH21">
        <f t="shared" si="9"/>
        <v>0</v>
      </c>
      <c r="BI21" t="str">
        <f t="shared" si="10"/>
        <v>GS 3.1</v>
      </c>
      <c r="BJ21">
        <f t="shared" si="11"/>
        <v>0</v>
      </c>
      <c r="BK21" t="str">
        <f t="shared" si="12"/>
        <v>3.1*</v>
      </c>
      <c r="BL21" s="595">
        <f t="shared" si="13"/>
        <v>21</v>
      </c>
      <c r="BM21" s="595" t="str">
        <f t="shared" si="14"/>
        <v>HS 3.1</v>
      </c>
      <c r="BN21" s="595" t="str">
        <f t="shared" si="15"/>
        <v/>
      </c>
      <c r="BO21" s="595" t="str">
        <f t="shared" si="16"/>
        <v>GS 3.1</v>
      </c>
      <c r="BP21" s="595" t="str">
        <f t="shared" si="17"/>
        <v/>
      </c>
      <c r="BQ21" s="595" t="str">
        <f t="shared" si="18"/>
        <v>3.1*</v>
      </c>
      <c r="BR21" s="595" t="str">
        <f t="shared" si="19"/>
        <v/>
      </c>
    </row>
    <row r="22" spans="4:70">
      <c r="D22" s="79">
        <v>9</v>
      </c>
      <c r="E22" t="s">
        <v>940</v>
      </c>
      <c r="F22">
        <v>1.1000000000000001</v>
      </c>
      <c r="G22">
        <v>3</v>
      </c>
      <c r="H22" s="78">
        <v>5</v>
      </c>
      <c r="I22" t="s">
        <v>939</v>
      </c>
      <c r="J22">
        <v>1.1000000000000001</v>
      </c>
      <c r="K22">
        <v>3</v>
      </c>
      <c r="L22" s="78">
        <v>6</v>
      </c>
      <c r="M22" t="s">
        <v>939</v>
      </c>
      <c r="N22">
        <v>1.3</v>
      </c>
      <c r="O22">
        <v>3</v>
      </c>
      <c r="R22">
        <v>22</v>
      </c>
      <c r="S22" t="str">
        <f t="shared" si="2"/>
        <v>S</v>
      </c>
      <c r="T22">
        <f t="shared" si="3"/>
        <v>3.2</v>
      </c>
      <c r="U22">
        <f t="shared" si="4"/>
        <v>5</v>
      </c>
      <c r="V22" s="79">
        <v>9</v>
      </c>
      <c r="W22" t="s">
        <v>940</v>
      </c>
      <c r="X22" s="162" t="s">
        <v>943</v>
      </c>
      <c r="Z22" s="78">
        <v>9</v>
      </c>
      <c r="AA22" t="s">
        <v>939</v>
      </c>
      <c r="AB22">
        <v>1.1000000000000001</v>
      </c>
      <c r="AD22" s="78">
        <v>9</v>
      </c>
      <c r="AE22" t="s">
        <v>939</v>
      </c>
      <c r="AF22">
        <v>1.3</v>
      </c>
      <c r="AJ22">
        <v>22</v>
      </c>
      <c r="AK22" t="str">
        <f t="shared" si="5"/>
        <v>S</v>
      </c>
      <c r="AL22" s="165">
        <f t="shared" si="6"/>
        <v>2.6</v>
      </c>
      <c r="AN22" s="592">
        <v>22</v>
      </c>
      <c r="AO22" s="592" t="s">
        <v>1071</v>
      </c>
      <c r="AP22" s="592"/>
      <c r="AQ22" s="592" t="s">
        <v>1072</v>
      </c>
      <c r="AR22" s="592"/>
      <c r="AS22" t="s">
        <v>2009</v>
      </c>
      <c r="AT22" s="593">
        <v>22</v>
      </c>
      <c r="AU22" s="593" t="s">
        <v>1059</v>
      </c>
      <c r="AV22" s="593"/>
      <c r="AW22" s="593" t="s">
        <v>1060</v>
      </c>
      <c r="AX22" s="593"/>
      <c r="AY22" t="s">
        <v>2005</v>
      </c>
      <c r="AZ22" s="594">
        <v>22</v>
      </c>
      <c r="BA22" s="594" t="s">
        <v>1077</v>
      </c>
      <c r="BB22" s="594"/>
      <c r="BC22" s="594" t="s">
        <v>1078</v>
      </c>
      <c r="BD22" s="594"/>
      <c r="BE22" t="s">
        <v>2011</v>
      </c>
      <c r="BF22">
        <f t="shared" si="7"/>
        <v>22</v>
      </c>
      <c r="BG22" t="str">
        <f t="shared" si="8"/>
        <v>HS 3.2</v>
      </c>
      <c r="BH22">
        <f t="shared" si="9"/>
        <v>0</v>
      </c>
      <c r="BI22" t="str">
        <f t="shared" si="10"/>
        <v>GS 3.2</v>
      </c>
      <c r="BJ22">
        <f t="shared" si="11"/>
        <v>0</v>
      </c>
      <c r="BK22" t="str">
        <f t="shared" si="12"/>
        <v>3.2*</v>
      </c>
      <c r="BL22" s="595">
        <f t="shared" si="13"/>
        <v>22</v>
      </c>
      <c r="BM22" s="595" t="str">
        <f t="shared" si="14"/>
        <v>HS 3.2</v>
      </c>
      <c r="BN22" s="595" t="str">
        <f t="shared" si="15"/>
        <v/>
      </c>
      <c r="BO22" s="595" t="str">
        <f t="shared" si="16"/>
        <v>GS 3.2</v>
      </c>
      <c r="BP22" s="595" t="str">
        <f t="shared" si="17"/>
        <v/>
      </c>
      <c r="BQ22" s="595" t="str">
        <f t="shared" si="18"/>
        <v>3.2*</v>
      </c>
      <c r="BR22" s="595" t="str">
        <f t="shared" si="19"/>
        <v/>
      </c>
    </row>
    <row r="23" spans="4:70">
      <c r="D23" s="80"/>
      <c r="R23">
        <v>23</v>
      </c>
      <c r="S23" t="str">
        <f t="shared" si="2"/>
        <v>S</v>
      </c>
      <c r="T23">
        <f t="shared" si="3"/>
        <v>3.3</v>
      </c>
      <c r="U23">
        <f t="shared" si="4"/>
        <v>5</v>
      </c>
      <c r="V23" s="80"/>
      <c r="X23" s="163"/>
      <c r="AJ23">
        <v>23</v>
      </c>
      <c r="AK23" t="str">
        <f t="shared" si="5"/>
        <v>S</v>
      </c>
      <c r="AL23" s="165">
        <f t="shared" si="6"/>
        <v>2.7</v>
      </c>
      <c r="AN23" s="592">
        <v>23</v>
      </c>
      <c r="AO23" s="592" t="s">
        <v>1074</v>
      </c>
      <c r="AP23" s="592"/>
      <c r="AQ23" s="592" t="s">
        <v>1075</v>
      </c>
      <c r="AR23" s="592"/>
      <c r="AS23" t="s">
        <v>2010</v>
      </c>
      <c r="AT23" s="593">
        <v>23</v>
      </c>
      <c r="AU23" s="593" t="s">
        <v>1062</v>
      </c>
      <c r="AV23" s="593"/>
      <c r="AW23" s="593" t="s">
        <v>1063</v>
      </c>
      <c r="AX23" s="593"/>
      <c r="AY23" t="s">
        <v>2006</v>
      </c>
      <c r="AZ23" s="594">
        <v>23</v>
      </c>
      <c r="BA23" s="594" t="s">
        <v>1080</v>
      </c>
      <c r="BB23" s="594"/>
      <c r="BC23" s="594" t="s">
        <v>1081</v>
      </c>
      <c r="BD23" s="594"/>
      <c r="BE23" t="s">
        <v>2012</v>
      </c>
      <c r="BF23">
        <f t="shared" si="7"/>
        <v>23</v>
      </c>
      <c r="BG23" t="str">
        <f t="shared" si="8"/>
        <v>HS 3.3</v>
      </c>
      <c r="BH23">
        <f t="shared" si="9"/>
        <v>0</v>
      </c>
      <c r="BI23" t="str">
        <f t="shared" si="10"/>
        <v>GS 3.3</v>
      </c>
      <c r="BJ23">
        <f t="shared" si="11"/>
        <v>0</v>
      </c>
      <c r="BK23" t="str">
        <f t="shared" si="12"/>
        <v>3.3*</v>
      </c>
      <c r="BL23" s="595">
        <f t="shared" si="13"/>
        <v>23</v>
      </c>
      <c r="BM23" s="595" t="str">
        <f t="shared" si="14"/>
        <v>HS 3.3</v>
      </c>
      <c r="BN23" s="595" t="str">
        <f t="shared" si="15"/>
        <v/>
      </c>
      <c r="BO23" s="595" t="str">
        <f t="shared" si="16"/>
        <v>GS 3.3</v>
      </c>
      <c r="BP23" s="595" t="str">
        <f t="shared" si="17"/>
        <v/>
      </c>
      <c r="BQ23" s="595" t="str">
        <f t="shared" si="18"/>
        <v>3.3*</v>
      </c>
      <c r="BR23" s="595" t="str">
        <f t="shared" si="19"/>
        <v/>
      </c>
    </row>
    <row r="24" spans="4:70">
      <c r="D24" s="79"/>
      <c r="H24" s="78">
        <v>6</v>
      </c>
      <c r="I24" t="s">
        <v>939</v>
      </c>
      <c r="J24">
        <v>1.2</v>
      </c>
      <c r="K24">
        <v>3</v>
      </c>
      <c r="L24" s="78">
        <v>7</v>
      </c>
      <c r="M24" t="s">
        <v>939</v>
      </c>
      <c r="N24">
        <v>1.4</v>
      </c>
      <c r="O24">
        <v>3</v>
      </c>
      <c r="R24">
        <v>24</v>
      </c>
      <c r="S24" t="str">
        <f t="shared" si="2"/>
        <v>S</v>
      </c>
      <c r="T24">
        <f t="shared" si="3"/>
        <v>3.4</v>
      </c>
      <c r="U24">
        <f t="shared" si="4"/>
        <v>5</v>
      </c>
      <c r="V24" s="79">
        <v>10</v>
      </c>
      <c r="W24" t="s">
        <v>940</v>
      </c>
      <c r="X24" s="162" t="s">
        <v>944</v>
      </c>
      <c r="Z24" s="78">
        <v>10</v>
      </c>
      <c r="AA24" t="s">
        <v>939</v>
      </c>
      <c r="AB24">
        <v>1.2</v>
      </c>
      <c r="AD24" s="78">
        <v>10</v>
      </c>
      <c r="AE24" t="s">
        <v>939</v>
      </c>
      <c r="AF24">
        <v>1.4</v>
      </c>
      <c r="AJ24">
        <v>24</v>
      </c>
      <c r="AK24" t="str">
        <f t="shared" si="5"/>
        <v>S</v>
      </c>
      <c r="AL24" s="165">
        <f t="shared" si="6"/>
        <v>2.8</v>
      </c>
      <c r="AN24" s="592">
        <v>24</v>
      </c>
      <c r="AO24" s="592" t="s">
        <v>1077</v>
      </c>
      <c r="AP24" s="592"/>
      <c r="AQ24" s="592" t="s">
        <v>1078</v>
      </c>
      <c r="AR24" s="592"/>
      <c r="AS24" t="s">
        <v>2011</v>
      </c>
      <c r="AT24" s="593">
        <v>24</v>
      </c>
      <c r="AU24" s="593" t="s">
        <v>1065</v>
      </c>
      <c r="AV24" s="593"/>
      <c r="AW24" s="593" t="s">
        <v>1066</v>
      </c>
      <c r="AX24" s="593"/>
      <c r="AY24" t="s">
        <v>2007</v>
      </c>
      <c r="AZ24" s="594">
        <v>24</v>
      </c>
      <c r="BA24" s="594" t="s">
        <v>1083</v>
      </c>
      <c r="BB24" s="594"/>
      <c r="BC24" s="594" t="s">
        <v>1084</v>
      </c>
      <c r="BD24" s="594"/>
      <c r="BE24" t="s">
        <v>2013</v>
      </c>
      <c r="BF24">
        <f t="shared" si="7"/>
        <v>24</v>
      </c>
      <c r="BG24" t="str">
        <f t="shared" si="8"/>
        <v>HS 3.4</v>
      </c>
      <c r="BH24">
        <f t="shared" si="9"/>
        <v>0</v>
      </c>
      <c r="BI24" t="str">
        <f t="shared" si="10"/>
        <v>GS 3.4</v>
      </c>
      <c r="BJ24">
        <f t="shared" si="11"/>
        <v>0</v>
      </c>
      <c r="BK24" t="str">
        <f t="shared" si="12"/>
        <v>3.4*</v>
      </c>
      <c r="BL24" s="595">
        <f t="shared" si="13"/>
        <v>24</v>
      </c>
      <c r="BM24" s="595" t="str">
        <f t="shared" si="14"/>
        <v>HS 3.4</v>
      </c>
      <c r="BN24" s="595" t="str">
        <f t="shared" si="15"/>
        <v/>
      </c>
      <c r="BO24" s="595" t="str">
        <f t="shared" si="16"/>
        <v>GS 3.4</v>
      </c>
      <c r="BP24" s="595" t="str">
        <f t="shared" si="17"/>
        <v/>
      </c>
      <c r="BQ24" s="595" t="str">
        <f t="shared" si="18"/>
        <v>3.4*</v>
      </c>
      <c r="BR24" s="595" t="str">
        <f t="shared" si="19"/>
        <v/>
      </c>
    </row>
    <row r="25" spans="4:70">
      <c r="R25">
        <v>25</v>
      </c>
      <c r="S25" t="str">
        <f t="shared" si="2"/>
        <v>S</v>
      </c>
      <c r="T25">
        <f t="shared" si="3"/>
        <v>3.5</v>
      </c>
      <c r="U25">
        <f t="shared" si="4"/>
        <v>5</v>
      </c>
      <c r="AJ25">
        <v>25</v>
      </c>
      <c r="AK25" t="str">
        <f t="shared" si="5"/>
        <v>S</v>
      </c>
      <c r="AL25" s="165">
        <f t="shared" si="6"/>
        <v>3.1</v>
      </c>
      <c r="AN25" s="592">
        <v>25</v>
      </c>
      <c r="AO25" s="592" t="s">
        <v>1080</v>
      </c>
      <c r="AP25" s="592"/>
      <c r="AQ25" s="592" t="s">
        <v>1081</v>
      </c>
      <c r="AR25" s="592"/>
      <c r="AS25" t="s">
        <v>2012</v>
      </c>
      <c r="AT25" s="593">
        <v>25</v>
      </c>
      <c r="AU25" s="593" t="s">
        <v>1068</v>
      </c>
      <c r="AV25" s="593"/>
      <c r="AW25" s="593" t="s">
        <v>1069</v>
      </c>
      <c r="AX25" s="593"/>
      <c r="AY25" t="s">
        <v>2008</v>
      </c>
      <c r="AZ25" s="594">
        <v>25</v>
      </c>
      <c r="BA25" s="594" t="s">
        <v>1107</v>
      </c>
      <c r="BB25" s="594" t="s">
        <v>1108</v>
      </c>
      <c r="BC25" s="594" t="s">
        <v>1109</v>
      </c>
      <c r="BD25" s="594" t="s">
        <v>1110</v>
      </c>
      <c r="BE25" t="s">
        <v>2016</v>
      </c>
      <c r="BF25">
        <f t="shared" si="7"/>
        <v>25</v>
      </c>
      <c r="BG25" t="str">
        <f t="shared" si="8"/>
        <v>HS 3.5</v>
      </c>
      <c r="BH25">
        <f t="shared" si="9"/>
        <v>0</v>
      </c>
      <c r="BI25" t="str">
        <f t="shared" si="10"/>
        <v>GS 3.5</v>
      </c>
      <c r="BJ25">
        <f t="shared" si="11"/>
        <v>0</v>
      </c>
      <c r="BK25" t="str">
        <f t="shared" si="12"/>
        <v>3.5*</v>
      </c>
      <c r="BL25" s="595">
        <f t="shared" si="13"/>
        <v>25</v>
      </c>
      <c r="BM25" s="595" t="str">
        <f t="shared" si="14"/>
        <v>HS 3.5</v>
      </c>
      <c r="BN25" s="595" t="str">
        <f t="shared" si="15"/>
        <v/>
      </c>
      <c r="BO25" s="595" t="str">
        <f t="shared" si="16"/>
        <v>GS 3.5</v>
      </c>
      <c r="BP25" s="595" t="str">
        <f t="shared" si="17"/>
        <v/>
      </c>
      <c r="BQ25" s="595" t="str">
        <f t="shared" si="18"/>
        <v>3.5*</v>
      </c>
      <c r="BR25" s="595" t="str">
        <f t="shared" si="19"/>
        <v/>
      </c>
    </row>
    <row r="26" spans="4:70">
      <c r="D26" s="79">
        <v>10</v>
      </c>
      <c r="E26" t="s">
        <v>940</v>
      </c>
      <c r="F26">
        <v>1.2</v>
      </c>
      <c r="G26">
        <v>3</v>
      </c>
      <c r="H26" s="78">
        <v>7</v>
      </c>
      <c r="I26" t="s">
        <v>939</v>
      </c>
      <c r="J26">
        <v>1.3</v>
      </c>
      <c r="K26">
        <v>3</v>
      </c>
      <c r="L26" s="78">
        <v>8</v>
      </c>
      <c r="M26" t="s">
        <v>939</v>
      </c>
      <c r="N26">
        <v>1.5</v>
      </c>
      <c r="O26">
        <v>3</v>
      </c>
      <c r="R26">
        <v>26</v>
      </c>
      <c r="S26" t="str">
        <f>IF($A$1=3,"",IF($A$1=2,VLOOKUP(R26,H:J,2,FALSE),IF($A$1=1,VLOOKUP(R26,D:F,2,FALSE),"")))</f>
        <v>S</v>
      </c>
      <c r="T26">
        <f>IF($A$1=3,"",IF($A$1=2,VLOOKUP(R26,H:J,3,FALSE),IF($A$1=1,VLOOKUP(R26,D:F,3,FALSE),"")))</f>
        <v>3.6</v>
      </c>
      <c r="U26">
        <f>IF($A$1=3,"",IF($A$1=2,VLOOKUP(R26,H:K,4,FALSE),IF($A$1=1,VLOOKUP(R26,D:G,4,FALSE),"")))</f>
        <v>5</v>
      </c>
      <c r="V26" s="79">
        <v>11</v>
      </c>
      <c r="W26" t="s">
        <v>940</v>
      </c>
      <c r="X26" s="162" t="s">
        <v>945</v>
      </c>
      <c r="Z26" s="78">
        <v>11</v>
      </c>
      <c r="AA26" t="s">
        <v>939</v>
      </c>
      <c r="AB26">
        <v>1.3</v>
      </c>
      <c r="AD26" s="78">
        <v>11</v>
      </c>
      <c r="AE26" t="s">
        <v>939</v>
      </c>
      <c r="AF26">
        <v>1.5</v>
      </c>
      <c r="AJ26">
        <v>26</v>
      </c>
      <c r="AK26" t="str">
        <f t="shared" si="5"/>
        <v>S</v>
      </c>
      <c r="AL26" s="165">
        <f t="shared" si="6"/>
        <v>3.2</v>
      </c>
      <c r="AN26" s="592">
        <v>26</v>
      </c>
      <c r="AO26" s="592" t="s">
        <v>1083</v>
      </c>
      <c r="AP26" s="592"/>
      <c r="AQ26" s="592" t="s">
        <v>1084</v>
      </c>
      <c r="AR26" s="592"/>
      <c r="AS26" t="s">
        <v>2013</v>
      </c>
      <c r="AT26" s="593">
        <v>26</v>
      </c>
      <c r="AU26" s="593" t="s">
        <v>1071</v>
      </c>
      <c r="AV26" s="593"/>
      <c r="AW26" s="593" t="s">
        <v>1072</v>
      </c>
      <c r="AX26" s="593"/>
      <c r="AY26" t="s">
        <v>2009</v>
      </c>
      <c r="BF26">
        <f t="shared" si="7"/>
        <v>26</v>
      </c>
      <c r="BG26" t="str">
        <f t="shared" si="8"/>
        <v>HS 3.6</v>
      </c>
      <c r="BH26">
        <f t="shared" si="9"/>
        <v>0</v>
      </c>
      <c r="BI26" t="str">
        <f t="shared" si="10"/>
        <v>GS 3.6</v>
      </c>
      <c r="BJ26">
        <f t="shared" si="11"/>
        <v>0</v>
      </c>
      <c r="BK26" t="str">
        <f t="shared" si="12"/>
        <v>3.6*</v>
      </c>
      <c r="BL26" s="595">
        <f t="shared" si="13"/>
        <v>26</v>
      </c>
      <c r="BM26" s="595" t="str">
        <f t="shared" si="14"/>
        <v>HS 3.6</v>
      </c>
      <c r="BN26" s="595" t="str">
        <f t="shared" si="15"/>
        <v/>
      </c>
      <c r="BO26" s="595" t="str">
        <f t="shared" si="16"/>
        <v>GS 3.6</v>
      </c>
      <c r="BP26" s="595" t="str">
        <f t="shared" si="17"/>
        <v/>
      </c>
      <c r="BQ26" s="595" t="str">
        <f t="shared" si="18"/>
        <v>3.6*</v>
      </c>
      <c r="BR26" s="595" t="str">
        <f t="shared" si="19"/>
        <v/>
      </c>
    </row>
    <row r="27" spans="4:70">
      <c r="D27" s="80"/>
      <c r="R27">
        <v>27</v>
      </c>
      <c r="S27" t="str">
        <f>IF($A$1=3,"",IF($A$1=2,VLOOKUP(R27,H:J,2,FALSE),IF($A$1=1,VLOOKUP(R27,D:F,2,FALSE),"")))</f>
        <v>S</v>
      </c>
      <c r="T27">
        <f>IF($A$1=3,"",IF($A$1=2,VLOOKUP(R27,H:J,3,FALSE),IF($A$1=1,VLOOKUP(R27,D:F,3,FALSE),"")))</f>
        <v>3.7</v>
      </c>
      <c r="U27">
        <f>IF($A$1=3,"",IF($A$1=2,VLOOKUP(R27,H:K,4,FALSE),IF($A$1=1,VLOOKUP(R27,D:G,4,FALSE),"")))</f>
        <v>5</v>
      </c>
      <c r="V27" s="80"/>
      <c r="X27" s="163"/>
      <c r="AJ27">
        <v>27</v>
      </c>
      <c r="AK27" t="str">
        <f t="shared" si="5"/>
        <v>S</v>
      </c>
      <c r="AL27" s="165">
        <f t="shared" si="6"/>
        <v>3.3</v>
      </c>
      <c r="AN27" s="592">
        <v>27</v>
      </c>
      <c r="AO27" s="592" t="s">
        <v>1086</v>
      </c>
      <c r="AP27" s="592"/>
      <c r="AQ27" s="592" t="s">
        <v>1087</v>
      </c>
      <c r="AR27" s="592"/>
      <c r="AS27" t="s">
        <v>2014</v>
      </c>
      <c r="AT27" s="593">
        <v>27</v>
      </c>
      <c r="AU27" s="593" t="s">
        <v>1074</v>
      </c>
      <c r="AV27" s="593"/>
      <c r="AW27" s="593" t="s">
        <v>1075</v>
      </c>
      <c r="AX27" s="593"/>
      <c r="AY27" t="s">
        <v>2010</v>
      </c>
      <c r="BF27">
        <f t="shared" si="7"/>
        <v>27</v>
      </c>
      <c r="BG27" t="str">
        <f t="shared" si="8"/>
        <v>HS 3.7</v>
      </c>
      <c r="BH27">
        <f t="shared" si="9"/>
        <v>0</v>
      </c>
      <c r="BI27" t="str">
        <f t="shared" si="10"/>
        <v>GS 3.7</v>
      </c>
      <c r="BJ27">
        <f t="shared" si="11"/>
        <v>0</v>
      </c>
      <c r="BK27" t="str">
        <f t="shared" si="12"/>
        <v>3.7*</v>
      </c>
      <c r="BL27" s="595">
        <f t="shared" si="13"/>
        <v>27</v>
      </c>
      <c r="BM27" s="595" t="str">
        <f t="shared" si="14"/>
        <v>HS 3.7</v>
      </c>
      <c r="BN27" s="595" t="str">
        <f t="shared" si="15"/>
        <v/>
      </c>
      <c r="BO27" s="595" t="str">
        <f t="shared" si="16"/>
        <v>GS 3.7</v>
      </c>
      <c r="BP27" s="595" t="str">
        <f t="shared" si="17"/>
        <v/>
      </c>
      <c r="BQ27" s="595" t="str">
        <f t="shared" si="18"/>
        <v>3.7*</v>
      </c>
      <c r="BR27" s="595" t="str">
        <f t="shared" si="19"/>
        <v/>
      </c>
    </row>
    <row r="28" spans="4:70">
      <c r="D28" s="79"/>
      <c r="H28" s="78">
        <v>8</v>
      </c>
      <c r="I28" t="s">
        <v>939</v>
      </c>
      <c r="J28">
        <v>1.4</v>
      </c>
      <c r="K28">
        <v>3</v>
      </c>
      <c r="L28" s="78">
        <v>9</v>
      </c>
      <c r="M28" t="s">
        <v>939</v>
      </c>
      <c r="N28">
        <v>1.6</v>
      </c>
      <c r="O28">
        <v>3</v>
      </c>
      <c r="R28">
        <v>28</v>
      </c>
      <c r="S28" t="str">
        <f>IF($A$1=3,"",IF($A$1=2,VLOOKUP(R28,H:J,2,FALSE),IF($A$1=1,VLOOKUP(R28,D:F,2,FALSE),"")))</f>
        <v>S</v>
      </c>
      <c r="T28">
        <f>IF($A$1=3,"",IF($A$1=2,VLOOKUP(R28,H:J,3,FALSE),IF($A$1=1,VLOOKUP(R28,D:F,3,FALSE),"")))</f>
        <v>3.8</v>
      </c>
      <c r="U28">
        <f>IF($A$1=3,"",IF($A$1=2,VLOOKUP(R28,H:K,4,FALSE),IF($A$1=1,VLOOKUP(R28,D:G,4,FALSE),"")))</f>
        <v>5</v>
      </c>
      <c r="V28" s="79">
        <v>12</v>
      </c>
      <c r="W28" t="s">
        <v>940</v>
      </c>
      <c r="X28" s="162" t="s">
        <v>946</v>
      </c>
      <c r="Z28" s="78">
        <v>12</v>
      </c>
      <c r="AA28" t="s">
        <v>939</v>
      </c>
      <c r="AB28">
        <v>1.4</v>
      </c>
      <c r="AD28" s="78">
        <v>12</v>
      </c>
      <c r="AE28" t="s">
        <v>939</v>
      </c>
      <c r="AF28">
        <v>1.6</v>
      </c>
      <c r="AJ28">
        <v>28</v>
      </c>
      <c r="AK28" t="str">
        <f t="shared" si="5"/>
        <v>S</v>
      </c>
      <c r="AL28" s="165">
        <f t="shared" si="6"/>
        <v>3.4</v>
      </c>
      <c r="AN28" s="592">
        <v>28</v>
      </c>
      <c r="AO28" s="592" t="s">
        <v>1089</v>
      </c>
      <c r="AP28" s="592"/>
      <c r="AQ28" s="592" t="s">
        <v>1090</v>
      </c>
      <c r="AR28" s="592"/>
      <c r="AS28" t="s">
        <v>2015</v>
      </c>
      <c r="AT28" s="593">
        <v>28</v>
      </c>
      <c r="AU28" s="593" t="s">
        <v>1077</v>
      </c>
      <c r="AV28" s="593"/>
      <c r="AW28" s="593" t="s">
        <v>1078</v>
      </c>
      <c r="AX28" s="593"/>
      <c r="AY28" t="s">
        <v>2011</v>
      </c>
      <c r="BF28">
        <f t="shared" si="7"/>
        <v>28</v>
      </c>
      <c r="BG28" t="str">
        <f t="shared" si="8"/>
        <v>HS 3.8</v>
      </c>
      <c r="BH28">
        <f t="shared" si="9"/>
        <v>0</v>
      </c>
      <c r="BI28" t="str">
        <f t="shared" si="10"/>
        <v>GS 3.8</v>
      </c>
      <c r="BJ28">
        <f t="shared" si="11"/>
        <v>0</v>
      </c>
      <c r="BK28" t="str">
        <f t="shared" si="12"/>
        <v>3.8*</v>
      </c>
      <c r="BL28" s="595">
        <f t="shared" si="13"/>
        <v>28</v>
      </c>
      <c r="BM28" s="595" t="str">
        <f t="shared" si="14"/>
        <v>HS 3.8</v>
      </c>
      <c r="BN28" s="595" t="str">
        <f t="shared" si="15"/>
        <v/>
      </c>
      <c r="BO28" s="595" t="str">
        <f t="shared" si="16"/>
        <v>GS 3.8</v>
      </c>
      <c r="BP28" s="595" t="str">
        <f t="shared" si="17"/>
        <v/>
      </c>
      <c r="BQ28" s="595" t="str">
        <f t="shared" si="18"/>
        <v>3.8*</v>
      </c>
      <c r="BR28" s="595" t="str">
        <f t="shared" si="19"/>
        <v/>
      </c>
    </row>
    <row r="29" spans="4:70">
      <c r="R29">
        <v>29</v>
      </c>
      <c r="S29" t="str">
        <f>IF($A$1=3,"",IF($A$1=2,VLOOKUP(R29,H:J,2,FALSE),IF($A$1=1,VLOOKUP(R29,D:F,2,FALSE),"")))</f>
        <v>D</v>
      </c>
      <c r="T29">
        <f>IF($A$1=3,"",IF($A$1=2,VLOOKUP(R29,H:J,3,FALSE),IF($A$1=1,VLOOKUP(R29,D:F,3,FALSE),"")))</f>
        <v>4.0999999999999996</v>
      </c>
      <c r="U29">
        <f>IF($A$1=3,"",IF($A$1=2,VLOOKUP(R29,H:K,4,FALSE),IF($A$1=1,VLOOKUP(R29,D:G,4,FALSE),"")))</f>
        <v>3</v>
      </c>
      <c r="AJ29">
        <v>29</v>
      </c>
      <c r="AK29" t="str">
        <f t="shared" si="5"/>
        <v>S</v>
      </c>
      <c r="AL29" s="165">
        <f t="shared" si="6"/>
        <v>3.5</v>
      </c>
      <c r="AN29" s="592">
        <v>29</v>
      </c>
      <c r="AO29" s="592" t="s">
        <v>1107</v>
      </c>
      <c r="AP29" s="592" t="s">
        <v>1108</v>
      </c>
      <c r="AQ29" s="592" t="s">
        <v>1109</v>
      </c>
      <c r="AR29" s="592" t="s">
        <v>1110</v>
      </c>
      <c r="AS29" t="s">
        <v>2016</v>
      </c>
      <c r="AT29" s="593">
        <v>29</v>
      </c>
      <c r="AU29" s="593" t="s">
        <v>1080</v>
      </c>
      <c r="AV29" s="593"/>
      <c r="AW29" s="593" t="s">
        <v>1081</v>
      </c>
      <c r="AX29" s="593"/>
      <c r="AY29" t="s">
        <v>2012</v>
      </c>
      <c r="BF29">
        <f t="shared" si="7"/>
        <v>29</v>
      </c>
      <c r="BG29" t="str">
        <f t="shared" si="8"/>
        <v>HD 4.1</v>
      </c>
      <c r="BH29" t="str">
        <f t="shared" si="9"/>
        <v>HD 4.1.2</v>
      </c>
      <c r="BI29" t="str">
        <f t="shared" si="10"/>
        <v>GD 4.1</v>
      </c>
      <c r="BJ29" t="str">
        <f t="shared" si="11"/>
        <v>GD 4.1.2</v>
      </c>
      <c r="BK29" t="str">
        <f t="shared" si="12"/>
        <v>4.1*</v>
      </c>
      <c r="BL29" s="595">
        <f t="shared" si="13"/>
        <v>29</v>
      </c>
      <c r="BM29" s="595" t="str">
        <f t="shared" si="14"/>
        <v>HD 4.1</v>
      </c>
      <c r="BN29" s="595" t="str">
        <f t="shared" si="15"/>
        <v>HD 4.1.2</v>
      </c>
      <c r="BO29" s="595" t="str">
        <f t="shared" si="16"/>
        <v>GD 4.1</v>
      </c>
      <c r="BP29" s="595" t="str">
        <f t="shared" si="17"/>
        <v>GD 4.1.2</v>
      </c>
      <c r="BQ29" s="595" t="str">
        <f t="shared" si="18"/>
        <v>4.1*</v>
      </c>
      <c r="BR29" s="595" t="str">
        <f t="shared" si="19"/>
        <v>4.1.2</v>
      </c>
    </row>
    <row r="30" spans="4:70">
      <c r="D30" s="79">
        <v>11</v>
      </c>
      <c r="E30" t="s">
        <v>940</v>
      </c>
      <c r="F30">
        <v>1.3</v>
      </c>
      <c r="G30">
        <v>3</v>
      </c>
      <c r="H30" s="78">
        <v>9</v>
      </c>
      <c r="I30" t="s">
        <v>939</v>
      </c>
      <c r="J30">
        <v>1.5</v>
      </c>
      <c r="K30">
        <v>3</v>
      </c>
      <c r="L30" s="79">
        <v>10</v>
      </c>
      <c r="M30" t="s">
        <v>940</v>
      </c>
      <c r="N30">
        <v>2.1</v>
      </c>
      <c r="O30">
        <v>3</v>
      </c>
      <c r="R30">
        <v>30</v>
      </c>
      <c r="S30" t="str">
        <f>IF($A$1=3,"",IF($A$1=2,VLOOKUP(R30,H:J,2,FALSE),IF($A$1=1,"","")))</f>
        <v/>
      </c>
      <c r="T30" t="str">
        <f>IF($A$1=3,"",IF($A$1=2,VLOOKUP(R30,H:J,3,FALSE),IF($A$1=1,"","")))</f>
        <v/>
      </c>
      <c r="U30" t="str">
        <f>IF($A$1=3,"",IF($A$1=2,VLOOKUP(R30,H:K,4,FALSE),IF($A$1=1,"","")))</f>
        <v/>
      </c>
      <c r="V30" s="79">
        <v>13</v>
      </c>
      <c r="W30" t="s">
        <v>940</v>
      </c>
      <c r="X30" s="162" t="s">
        <v>947</v>
      </c>
      <c r="Z30" s="78">
        <v>13</v>
      </c>
      <c r="AA30" t="s">
        <v>939</v>
      </c>
      <c r="AB30">
        <v>1.5</v>
      </c>
      <c r="AD30" s="79">
        <v>13</v>
      </c>
      <c r="AE30" t="s">
        <v>940</v>
      </c>
      <c r="AF30" s="162" t="s">
        <v>951</v>
      </c>
      <c r="AJ30">
        <v>30</v>
      </c>
      <c r="AK30" t="str">
        <f t="shared" si="5"/>
        <v>S</v>
      </c>
      <c r="AL30" s="165">
        <f t="shared" si="6"/>
        <v>3.6</v>
      </c>
      <c r="AT30" s="593">
        <v>30</v>
      </c>
      <c r="AU30" s="593" t="s">
        <v>1083</v>
      </c>
      <c r="AV30" s="593"/>
      <c r="AW30" s="593" t="s">
        <v>1084</v>
      </c>
      <c r="AX30" s="593"/>
      <c r="AY30" t="s">
        <v>2013</v>
      </c>
      <c r="BF30">
        <f t="shared" si="7"/>
        <v>0</v>
      </c>
      <c r="BG30">
        <f t="shared" si="8"/>
        <v>0</v>
      </c>
      <c r="BH30">
        <f t="shared" si="9"/>
        <v>0</v>
      </c>
      <c r="BI30">
        <f t="shared" si="10"/>
        <v>0</v>
      </c>
      <c r="BJ30">
        <f t="shared" si="11"/>
        <v>0</v>
      </c>
      <c r="BK30">
        <f t="shared" si="12"/>
        <v>0</v>
      </c>
      <c r="BL30" s="595" t="str">
        <f t="shared" si="13"/>
        <v/>
      </c>
      <c r="BM30" s="595" t="str">
        <f t="shared" si="14"/>
        <v/>
      </c>
      <c r="BN30" s="595" t="str">
        <f t="shared" si="15"/>
        <v/>
      </c>
      <c r="BO30" s="595" t="str">
        <f t="shared" si="16"/>
        <v/>
      </c>
      <c r="BP30" s="595" t="str">
        <f t="shared" si="17"/>
        <v/>
      </c>
      <c r="BQ30" s="595" t="str">
        <f t="shared" si="18"/>
        <v/>
      </c>
      <c r="BR30" s="595" t="str">
        <f t="shared" si="19"/>
        <v/>
      </c>
    </row>
    <row r="31" spans="4:70">
      <c r="D31" s="80"/>
      <c r="L31" s="80"/>
      <c r="R31">
        <v>31</v>
      </c>
      <c r="S31" t="str">
        <f>IF($A$1=3,"",IF($A$1=2,VLOOKUP(R31,H:J,2,FALSE),IF($A$1=1,"","")))</f>
        <v/>
      </c>
      <c r="T31" t="str">
        <f>IF($A$1=3,"",IF($A$1=2,VLOOKUP(R31,H:J,3,FALSE),IF($A$1=1,"","")))</f>
        <v/>
      </c>
      <c r="U31" t="str">
        <f t="shared" ref="U31:U33" si="20">IF($A$1=3,"",IF($A$1=2,VLOOKUP(R31,H:K,4,FALSE),IF($A$1=1,"","")))</f>
        <v/>
      </c>
      <c r="V31" s="80"/>
      <c r="X31" s="163"/>
      <c r="AD31" s="80"/>
      <c r="AF31" s="163"/>
      <c r="AJ31">
        <v>31</v>
      </c>
      <c r="AK31" t="str">
        <f t="shared" si="5"/>
        <v>S</v>
      </c>
      <c r="AL31" s="165">
        <f t="shared" si="6"/>
        <v>3.7</v>
      </c>
      <c r="AT31" s="593">
        <v>31</v>
      </c>
      <c r="AU31" s="593" t="s">
        <v>1086</v>
      </c>
      <c r="AV31" s="593"/>
      <c r="AW31" s="593" t="s">
        <v>1087</v>
      </c>
      <c r="AX31" s="593"/>
      <c r="AY31" t="s">
        <v>2014</v>
      </c>
      <c r="BF31">
        <f t="shared" si="7"/>
        <v>0</v>
      </c>
      <c r="BG31">
        <f t="shared" si="8"/>
        <v>0</v>
      </c>
      <c r="BH31">
        <f t="shared" si="9"/>
        <v>0</v>
      </c>
      <c r="BI31">
        <f t="shared" si="10"/>
        <v>0</v>
      </c>
      <c r="BJ31">
        <f t="shared" si="11"/>
        <v>0</v>
      </c>
      <c r="BK31">
        <f t="shared" si="12"/>
        <v>0</v>
      </c>
      <c r="BL31" s="595" t="str">
        <f t="shared" si="13"/>
        <v/>
      </c>
      <c r="BM31" s="595" t="str">
        <f t="shared" si="14"/>
        <v/>
      </c>
      <c r="BN31" s="595" t="str">
        <f t="shared" si="15"/>
        <v/>
      </c>
      <c r="BO31" s="595" t="str">
        <f t="shared" si="16"/>
        <v/>
      </c>
      <c r="BP31" s="595" t="str">
        <f t="shared" si="17"/>
        <v/>
      </c>
      <c r="BQ31" s="595" t="str">
        <f t="shared" si="18"/>
        <v/>
      </c>
      <c r="BR31" s="595" t="str">
        <f t="shared" si="19"/>
        <v/>
      </c>
    </row>
    <row r="32" spans="4:70">
      <c r="D32" s="79"/>
      <c r="H32" s="78">
        <v>10</v>
      </c>
      <c r="I32" t="s">
        <v>939</v>
      </c>
      <c r="J32">
        <v>1.6</v>
      </c>
      <c r="K32">
        <v>3</v>
      </c>
      <c r="L32" s="79"/>
      <c r="R32">
        <v>32</v>
      </c>
      <c r="S32" t="str">
        <f>IF($A$1=3,"",IF($A$1=2,VLOOKUP(R32,H:J,2,FALSE),IF($A$1=1,"","")))</f>
        <v/>
      </c>
      <c r="T32" t="str">
        <f>IF($A$1=3,"",IF($A$1=2,VLOOKUP(R32,H:J,3,FALSE),IF($A$1=1,"","")))</f>
        <v/>
      </c>
      <c r="U32" t="str">
        <f t="shared" si="20"/>
        <v/>
      </c>
      <c r="V32" s="79">
        <v>14</v>
      </c>
      <c r="W32" t="s">
        <v>940</v>
      </c>
      <c r="X32" s="162" t="s">
        <v>948</v>
      </c>
      <c r="Z32" s="78">
        <v>14</v>
      </c>
      <c r="AA32" t="s">
        <v>939</v>
      </c>
      <c r="AB32">
        <v>1.6</v>
      </c>
      <c r="AD32" s="79">
        <v>14</v>
      </c>
      <c r="AE32" t="s">
        <v>940</v>
      </c>
      <c r="AF32" s="162" t="s">
        <v>952</v>
      </c>
      <c r="AJ32">
        <v>32</v>
      </c>
      <c r="AK32" t="str">
        <f t="shared" si="5"/>
        <v>S</v>
      </c>
      <c r="AL32" s="165">
        <f t="shared" si="6"/>
        <v>3.8</v>
      </c>
      <c r="AT32" s="593">
        <v>32</v>
      </c>
      <c r="AU32" s="593" t="s">
        <v>1089</v>
      </c>
      <c r="AV32" s="593"/>
      <c r="AW32" s="593" t="s">
        <v>1090</v>
      </c>
      <c r="AX32" s="593"/>
      <c r="AY32" t="s">
        <v>2015</v>
      </c>
      <c r="BF32">
        <f t="shared" si="7"/>
        <v>0</v>
      </c>
      <c r="BG32">
        <f t="shared" si="8"/>
        <v>0</v>
      </c>
      <c r="BH32">
        <f t="shared" si="9"/>
        <v>0</v>
      </c>
      <c r="BI32">
        <f t="shared" si="10"/>
        <v>0</v>
      </c>
      <c r="BJ32">
        <f t="shared" si="11"/>
        <v>0</v>
      </c>
      <c r="BK32">
        <f t="shared" si="12"/>
        <v>0</v>
      </c>
      <c r="BL32" s="595" t="str">
        <f t="shared" si="13"/>
        <v/>
      </c>
      <c r="BM32" s="595" t="str">
        <f t="shared" si="14"/>
        <v/>
      </c>
      <c r="BN32" s="595" t="str">
        <f t="shared" si="15"/>
        <v/>
      </c>
      <c r="BO32" s="595" t="str">
        <f t="shared" si="16"/>
        <v/>
      </c>
      <c r="BP32" s="595" t="str">
        <f t="shared" si="17"/>
        <v/>
      </c>
      <c r="BQ32" s="595" t="str">
        <f t="shared" si="18"/>
        <v/>
      </c>
      <c r="BR32" s="595" t="str">
        <f t="shared" si="19"/>
        <v/>
      </c>
    </row>
    <row r="33" spans="4:70">
      <c r="R33">
        <v>33</v>
      </c>
      <c r="S33" t="str">
        <f>IF($A$1=3,"",IF($A$1=2,VLOOKUP(R33,H:J,2,FALSE),IF($A$1=1,"","")))</f>
        <v/>
      </c>
      <c r="T33" t="str">
        <f>IF($A$1=3,"",IF($A$1=2,VLOOKUP(R33,H:J,3,FALSE),IF($A$1=1,"","")))</f>
        <v/>
      </c>
      <c r="U33" t="str">
        <f t="shared" si="20"/>
        <v/>
      </c>
      <c r="AJ33">
        <f>IF($A$1=3,"",33)</f>
        <v>33</v>
      </c>
      <c r="AK33" t="str">
        <f>IF(AJ33="","",IF($A$1=3,VLOOKUP(AJ33,AD:AF,2,FALSE),IF($A$1=2,VLOOKUP(AJ33,Z:AB,2,FALSE),IF($A$1=1,VLOOKUP(AJ33,V:X,2,FALSE),""))))</f>
        <v>D</v>
      </c>
      <c r="AL33" s="165" t="str">
        <f>IF(AJ33="","",IF($A$1=3,VLOOKUP(AJ33,AD:AF,3,FALSE),IF($A$1=2,VLOOKUP(AJ33,Z:AB,3,FALSE),IF($A$1=1,VLOOKUP(AJ33,V:X,3,FALSE),""))))</f>
        <v>4.1.1</v>
      </c>
      <c r="AT33" s="593">
        <v>33</v>
      </c>
      <c r="AU33" s="593" t="s">
        <v>1107</v>
      </c>
      <c r="AV33" s="593" t="s">
        <v>1108</v>
      </c>
      <c r="AW33" s="593" t="s">
        <v>1109</v>
      </c>
      <c r="AX33" s="593" t="s">
        <v>1110</v>
      </c>
      <c r="AY33" t="s">
        <v>2016</v>
      </c>
      <c r="BF33">
        <f t="shared" si="7"/>
        <v>0</v>
      </c>
      <c r="BG33">
        <f t="shared" si="8"/>
        <v>0</v>
      </c>
      <c r="BH33">
        <f t="shared" si="9"/>
        <v>0</v>
      </c>
      <c r="BI33">
        <f t="shared" si="10"/>
        <v>0</v>
      </c>
      <c r="BJ33">
        <f t="shared" si="11"/>
        <v>0</v>
      </c>
      <c r="BK33">
        <f t="shared" si="12"/>
        <v>0</v>
      </c>
      <c r="BL33" s="595" t="str">
        <f t="shared" si="13"/>
        <v/>
      </c>
      <c r="BM33" s="595" t="str">
        <f t="shared" si="14"/>
        <v/>
      </c>
      <c r="BN33" s="595" t="str">
        <f t="shared" si="15"/>
        <v/>
      </c>
      <c r="BO33" s="595" t="str">
        <f t="shared" si="16"/>
        <v/>
      </c>
      <c r="BP33" s="595" t="str">
        <f t="shared" si="17"/>
        <v/>
      </c>
      <c r="BQ33" s="595" t="str">
        <f t="shared" si="18"/>
        <v/>
      </c>
      <c r="BR33" s="595" t="str">
        <f t="shared" si="19"/>
        <v/>
      </c>
    </row>
    <row r="34" spans="4:70">
      <c r="D34" s="79">
        <v>12</v>
      </c>
      <c r="E34" t="s">
        <v>940</v>
      </c>
      <c r="F34">
        <v>1.4</v>
      </c>
      <c r="G34">
        <v>3</v>
      </c>
      <c r="H34" s="78">
        <v>11</v>
      </c>
      <c r="I34" t="s">
        <v>939</v>
      </c>
      <c r="J34">
        <v>1.7</v>
      </c>
      <c r="K34">
        <v>3</v>
      </c>
      <c r="L34" s="79">
        <v>11</v>
      </c>
      <c r="M34" t="s">
        <v>940</v>
      </c>
      <c r="N34">
        <v>2.2000000000000002</v>
      </c>
      <c r="O34">
        <v>3</v>
      </c>
      <c r="V34" s="79">
        <v>15</v>
      </c>
      <c r="W34" t="s">
        <v>940</v>
      </c>
      <c r="X34" s="162" t="s">
        <v>949</v>
      </c>
      <c r="Z34" s="78">
        <v>15</v>
      </c>
      <c r="AA34" t="s">
        <v>939</v>
      </c>
      <c r="AB34">
        <v>1.7</v>
      </c>
      <c r="AD34" s="79">
        <v>15</v>
      </c>
      <c r="AE34" t="s">
        <v>940</v>
      </c>
      <c r="AF34" s="162" t="s">
        <v>953</v>
      </c>
      <c r="AJ34">
        <f>IF($A$1=3,"",34)</f>
        <v>34</v>
      </c>
      <c r="AK34" t="str">
        <f t="shared" ref="AK34:AK42" si="21">IF(AJ34="","",IF($A$1=3,VLOOKUP(AJ34,AD:AF,2,FALSE),IF($A$1=2,VLOOKUP(AJ34,Z:AB,2,FALSE),IF($A$1=1,VLOOKUP(AJ34,V:X,2,FALSE),""))))</f>
        <v>D</v>
      </c>
      <c r="AL34" s="165" t="str">
        <f t="shared" ref="AL34:AL42" si="22">IF(AJ34="","",IF($A$1=3,VLOOKUP(AJ34,AD:AF,3,FALSE),IF($A$1=2,VLOOKUP(AJ34,Z:AB,3,FALSE),IF($A$1=1,VLOOKUP(AJ34,V:X,3,FALSE),""))))</f>
        <v>4.1.2</v>
      </c>
    </row>
    <row r="35" spans="4:70">
      <c r="D35" s="80"/>
      <c r="L35" s="80"/>
      <c r="V35" s="80"/>
      <c r="X35" s="163"/>
      <c r="AD35" s="80"/>
      <c r="AF35" s="163"/>
      <c r="AJ35" t="str">
        <f>IF($A$1=3,"",IF($A$1=1,"",35))</f>
        <v/>
      </c>
      <c r="AK35" t="str">
        <f t="shared" si="21"/>
        <v/>
      </c>
      <c r="AL35" s="165" t="str">
        <f t="shared" si="22"/>
        <v/>
      </c>
    </row>
    <row r="36" spans="4:70">
      <c r="D36" s="79"/>
      <c r="H36" s="78">
        <v>12</v>
      </c>
      <c r="I36" t="s">
        <v>939</v>
      </c>
      <c r="J36">
        <v>1.8</v>
      </c>
      <c r="K36">
        <v>3</v>
      </c>
      <c r="L36" s="79"/>
      <c r="V36" s="79">
        <v>16</v>
      </c>
      <c r="W36" t="s">
        <v>940</v>
      </c>
      <c r="X36" s="162" t="s">
        <v>950</v>
      </c>
      <c r="Z36" s="78">
        <v>16</v>
      </c>
      <c r="AA36" t="s">
        <v>939</v>
      </c>
      <c r="AB36">
        <v>1.8</v>
      </c>
      <c r="AD36" s="79">
        <v>16</v>
      </c>
      <c r="AE36" t="s">
        <v>940</v>
      </c>
      <c r="AF36" s="162" t="s">
        <v>954</v>
      </c>
      <c r="AJ36" t="str">
        <f>IF($A$1=3,"",IF($A$1=1,"",36))</f>
        <v/>
      </c>
      <c r="AK36" t="str">
        <f t="shared" si="21"/>
        <v/>
      </c>
      <c r="AL36" s="165" t="str">
        <f t="shared" si="22"/>
        <v/>
      </c>
    </row>
    <row r="37" spans="4:70">
      <c r="AJ37" t="str">
        <f>IF($A$1=3,"",IF($A$1=1,"",37))</f>
        <v/>
      </c>
      <c r="AK37" t="str">
        <f t="shared" si="21"/>
        <v/>
      </c>
      <c r="AL37" s="165" t="str">
        <f t="shared" si="22"/>
        <v/>
      </c>
    </row>
    <row r="38" spans="4:70">
      <c r="D38" s="78">
        <v>13</v>
      </c>
      <c r="E38" t="s">
        <v>939</v>
      </c>
      <c r="F38">
        <v>2.1</v>
      </c>
      <c r="G38">
        <v>5</v>
      </c>
      <c r="H38" s="79">
        <v>13</v>
      </c>
      <c r="I38" t="s">
        <v>940</v>
      </c>
      <c r="J38">
        <v>2.1</v>
      </c>
      <c r="K38">
        <v>3</v>
      </c>
      <c r="L38" s="79">
        <v>12</v>
      </c>
      <c r="M38" t="s">
        <v>940</v>
      </c>
      <c r="N38">
        <v>2.2999999999999998</v>
      </c>
      <c r="O38">
        <v>3</v>
      </c>
      <c r="V38" s="78">
        <v>17</v>
      </c>
      <c r="W38" t="s">
        <v>939</v>
      </c>
      <c r="X38">
        <v>2.1</v>
      </c>
      <c r="Z38" s="79">
        <v>17</v>
      </c>
      <c r="AA38" t="s">
        <v>940</v>
      </c>
      <c r="AB38" s="162" t="s">
        <v>951</v>
      </c>
      <c r="AD38" s="79">
        <v>17</v>
      </c>
      <c r="AE38" t="s">
        <v>940</v>
      </c>
      <c r="AF38" s="162" t="s">
        <v>955</v>
      </c>
      <c r="AJ38" t="str">
        <f>IF($A$1=3,"",IF($A$1=1,"",38))</f>
        <v/>
      </c>
      <c r="AK38" t="str">
        <f t="shared" si="21"/>
        <v/>
      </c>
      <c r="AL38" s="165" t="str">
        <f t="shared" si="22"/>
        <v/>
      </c>
    </row>
    <row r="39" spans="4:70">
      <c r="H39" s="80"/>
      <c r="L39" s="80"/>
      <c r="Z39" s="80"/>
      <c r="AB39" s="163"/>
      <c r="AD39" s="80"/>
      <c r="AF39" s="163"/>
      <c r="AJ39" t="str">
        <f>IF($A$1=3,"",IF($A$1=1,"",39))</f>
        <v/>
      </c>
      <c r="AK39" t="str">
        <f t="shared" si="21"/>
        <v/>
      </c>
      <c r="AL39" s="165" t="str">
        <f t="shared" si="22"/>
        <v/>
      </c>
    </row>
    <row r="40" spans="4:70">
      <c r="D40" s="78">
        <v>14</v>
      </c>
      <c r="E40" t="s">
        <v>939</v>
      </c>
      <c r="F40">
        <v>2.2000000000000002</v>
      </c>
      <c r="G40">
        <v>5</v>
      </c>
      <c r="H40" s="79"/>
      <c r="L40" s="79"/>
      <c r="V40" s="78">
        <v>18</v>
      </c>
      <c r="W40" t="s">
        <v>939</v>
      </c>
      <c r="X40">
        <v>2.2000000000000002</v>
      </c>
      <c r="Z40" s="79">
        <v>18</v>
      </c>
      <c r="AA40" t="s">
        <v>940</v>
      </c>
      <c r="AB40" s="162" t="s">
        <v>952</v>
      </c>
      <c r="AD40" s="79">
        <v>18</v>
      </c>
      <c r="AE40" t="s">
        <v>940</v>
      </c>
      <c r="AF40" s="162" t="s">
        <v>956</v>
      </c>
      <c r="AJ40" t="str">
        <f>IF($A$1=3,"",IF($A$1=1,"",40))</f>
        <v/>
      </c>
      <c r="AK40" t="str">
        <f t="shared" si="21"/>
        <v/>
      </c>
      <c r="AL40" s="165" t="str">
        <f t="shared" si="22"/>
        <v/>
      </c>
    </row>
    <row r="41" spans="4:70">
      <c r="AJ41" t="str">
        <f>IF($A$1=3,"",IF($A$1=1,"",41))</f>
        <v/>
      </c>
      <c r="AK41" t="str">
        <f t="shared" si="21"/>
        <v/>
      </c>
      <c r="AL41" s="165" t="str">
        <f t="shared" si="22"/>
        <v/>
      </c>
    </row>
    <row r="42" spans="4:70">
      <c r="D42" s="78">
        <v>15</v>
      </c>
      <c r="E42" t="s">
        <v>939</v>
      </c>
      <c r="F42">
        <v>2.2999999999999998</v>
      </c>
      <c r="G42">
        <v>5</v>
      </c>
      <c r="H42" s="79">
        <v>14</v>
      </c>
      <c r="I42" t="s">
        <v>940</v>
      </c>
      <c r="J42">
        <v>2.2000000000000002</v>
      </c>
      <c r="K42">
        <v>3</v>
      </c>
      <c r="L42" s="78">
        <v>13</v>
      </c>
      <c r="M42" t="s">
        <v>939</v>
      </c>
      <c r="N42">
        <v>2.1</v>
      </c>
      <c r="O42">
        <v>3</v>
      </c>
      <c r="V42" s="78">
        <v>19</v>
      </c>
      <c r="W42" t="s">
        <v>939</v>
      </c>
      <c r="X42">
        <v>2.2999999999999998</v>
      </c>
      <c r="Z42" s="79">
        <v>19</v>
      </c>
      <c r="AA42" t="s">
        <v>940</v>
      </c>
      <c r="AB42" s="162" t="s">
        <v>953</v>
      </c>
      <c r="AD42" s="78">
        <v>19</v>
      </c>
      <c r="AE42" t="s">
        <v>939</v>
      </c>
      <c r="AF42">
        <v>2.1</v>
      </c>
      <c r="AJ42" t="str">
        <f>IF($A$1=3,"",IF($A$1=1,"",42))</f>
        <v/>
      </c>
      <c r="AK42" t="str">
        <f t="shared" si="21"/>
        <v/>
      </c>
      <c r="AL42" s="165" t="str">
        <f t="shared" si="22"/>
        <v/>
      </c>
    </row>
    <row r="43" spans="4:70">
      <c r="H43" s="80"/>
      <c r="Z43" s="80"/>
      <c r="AB43" s="163"/>
    </row>
    <row r="44" spans="4:70">
      <c r="D44" s="78">
        <v>16</v>
      </c>
      <c r="E44" t="s">
        <v>939</v>
      </c>
      <c r="F44">
        <v>2.4</v>
      </c>
      <c r="G44">
        <v>5</v>
      </c>
      <c r="H44" s="79"/>
      <c r="L44" s="78">
        <v>14</v>
      </c>
      <c r="M44" t="s">
        <v>939</v>
      </c>
      <c r="N44">
        <v>2.2000000000000002</v>
      </c>
      <c r="O44">
        <v>3</v>
      </c>
      <c r="V44" s="78">
        <v>20</v>
      </c>
      <c r="W44" t="s">
        <v>939</v>
      </c>
      <c r="X44">
        <v>2.4</v>
      </c>
      <c r="Z44" s="79">
        <v>20</v>
      </c>
      <c r="AA44" t="s">
        <v>940</v>
      </c>
      <c r="AB44" s="162" t="s">
        <v>954</v>
      </c>
      <c r="AD44" s="78">
        <v>20</v>
      </c>
      <c r="AE44" t="s">
        <v>939</v>
      </c>
      <c r="AF44">
        <v>2.2000000000000002</v>
      </c>
    </row>
    <row r="46" spans="4:70">
      <c r="D46" s="78">
        <v>17</v>
      </c>
      <c r="E46" t="s">
        <v>939</v>
      </c>
      <c r="F46">
        <v>2.5</v>
      </c>
      <c r="G46">
        <v>5</v>
      </c>
      <c r="H46" s="79">
        <v>15</v>
      </c>
      <c r="I46" t="s">
        <v>940</v>
      </c>
      <c r="J46">
        <v>2.2999999999999998</v>
      </c>
      <c r="K46">
        <v>3</v>
      </c>
      <c r="L46" s="78">
        <v>15</v>
      </c>
      <c r="M46" t="s">
        <v>939</v>
      </c>
      <c r="N46">
        <v>2.2999999999999998</v>
      </c>
      <c r="O46">
        <v>3</v>
      </c>
      <c r="V46" s="78">
        <v>21</v>
      </c>
      <c r="W46" t="s">
        <v>939</v>
      </c>
      <c r="X46">
        <v>2.5</v>
      </c>
      <c r="Z46" s="79">
        <v>21</v>
      </c>
      <c r="AA46" t="s">
        <v>940</v>
      </c>
      <c r="AB46" s="162" t="s">
        <v>955</v>
      </c>
      <c r="AD46" s="78">
        <v>21</v>
      </c>
      <c r="AE46" t="s">
        <v>939</v>
      </c>
      <c r="AF46">
        <v>2.2999999999999998</v>
      </c>
    </row>
    <row r="47" spans="4:70">
      <c r="H47" s="80"/>
      <c r="Z47" s="80"/>
      <c r="AB47" s="163"/>
    </row>
    <row r="48" spans="4:70">
      <c r="D48" s="78">
        <v>18</v>
      </c>
      <c r="E48" t="s">
        <v>939</v>
      </c>
      <c r="F48">
        <v>2.6</v>
      </c>
      <c r="G48">
        <v>5</v>
      </c>
      <c r="H48" s="79"/>
      <c r="L48" s="78">
        <v>16</v>
      </c>
      <c r="M48" t="s">
        <v>939</v>
      </c>
      <c r="N48">
        <v>2.4</v>
      </c>
      <c r="O48">
        <v>3</v>
      </c>
      <c r="V48" s="78">
        <v>22</v>
      </c>
      <c r="W48" t="s">
        <v>939</v>
      </c>
      <c r="X48">
        <v>2.6</v>
      </c>
      <c r="Z48" s="79">
        <v>22</v>
      </c>
      <c r="AA48" t="s">
        <v>940</v>
      </c>
      <c r="AB48" s="162" t="s">
        <v>956</v>
      </c>
      <c r="AD48" s="78">
        <v>22</v>
      </c>
      <c r="AE48" t="s">
        <v>939</v>
      </c>
      <c r="AF48">
        <v>2.4</v>
      </c>
    </row>
    <row r="50" spans="4:32">
      <c r="D50" s="78">
        <v>19</v>
      </c>
      <c r="E50" t="s">
        <v>939</v>
      </c>
      <c r="F50">
        <v>2.7</v>
      </c>
      <c r="G50">
        <v>5</v>
      </c>
      <c r="H50" s="79">
        <v>16</v>
      </c>
      <c r="I50" t="s">
        <v>940</v>
      </c>
      <c r="J50">
        <v>2.4</v>
      </c>
      <c r="K50">
        <v>3</v>
      </c>
      <c r="L50" s="78">
        <v>17</v>
      </c>
      <c r="M50" t="s">
        <v>939</v>
      </c>
      <c r="N50">
        <v>2.5</v>
      </c>
      <c r="O50">
        <v>3</v>
      </c>
      <c r="V50" s="78">
        <v>23</v>
      </c>
      <c r="W50" t="s">
        <v>939</v>
      </c>
      <c r="X50">
        <v>2.7</v>
      </c>
      <c r="Z50" s="79">
        <v>23</v>
      </c>
      <c r="AA50" t="s">
        <v>940</v>
      </c>
      <c r="AB50" s="162" t="s">
        <v>957</v>
      </c>
      <c r="AD50" s="78">
        <v>23</v>
      </c>
      <c r="AE50" t="s">
        <v>939</v>
      </c>
      <c r="AF50">
        <v>2.5</v>
      </c>
    </row>
    <row r="51" spans="4:32">
      <c r="H51" s="80"/>
      <c r="Z51" s="80"/>
      <c r="AB51" s="163"/>
    </row>
    <row r="52" spans="4:32">
      <c r="D52" s="78">
        <v>20</v>
      </c>
      <c r="E52" t="s">
        <v>939</v>
      </c>
      <c r="F52">
        <v>2.8</v>
      </c>
      <c r="G52">
        <v>5</v>
      </c>
      <c r="H52" s="79"/>
      <c r="L52" s="78">
        <v>18</v>
      </c>
      <c r="M52" t="s">
        <v>939</v>
      </c>
      <c r="N52">
        <v>2.6</v>
      </c>
      <c r="O52">
        <v>3</v>
      </c>
      <c r="V52" s="78">
        <v>24</v>
      </c>
      <c r="W52" t="s">
        <v>939</v>
      </c>
      <c r="X52">
        <v>2.8</v>
      </c>
      <c r="Z52" s="79">
        <v>24</v>
      </c>
      <c r="AA52" t="s">
        <v>940</v>
      </c>
      <c r="AB52" s="162" t="s">
        <v>958</v>
      </c>
      <c r="AD52" s="78">
        <v>24</v>
      </c>
      <c r="AE52" t="s">
        <v>939</v>
      </c>
      <c r="AF52">
        <v>2.6</v>
      </c>
    </row>
    <row r="54" spans="4:32">
      <c r="D54" s="81">
        <v>21</v>
      </c>
      <c r="E54" t="s">
        <v>939</v>
      </c>
      <c r="F54">
        <v>3.1</v>
      </c>
      <c r="G54">
        <v>5</v>
      </c>
      <c r="H54" s="78">
        <v>17</v>
      </c>
      <c r="I54" t="s">
        <v>939</v>
      </c>
      <c r="J54">
        <v>2.1</v>
      </c>
      <c r="K54">
        <v>3</v>
      </c>
      <c r="L54" s="81">
        <v>19</v>
      </c>
      <c r="M54" t="s">
        <v>939</v>
      </c>
      <c r="N54">
        <v>3.1</v>
      </c>
      <c r="O54">
        <v>3</v>
      </c>
      <c r="V54" s="81">
        <v>25</v>
      </c>
      <c r="W54" t="s">
        <v>939</v>
      </c>
      <c r="X54">
        <v>3.1</v>
      </c>
      <c r="Z54" s="78">
        <v>25</v>
      </c>
      <c r="AA54" t="s">
        <v>939</v>
      </c>
      <c r="AB54">
        <v>2.1</v>
      </c>
      <c r="AD54" s="81">
        <v>25</v>
      </c>
      <c r="AE54" t="s">
        <v>939</v>
      </c>
      <c r="AF54">
        <v>3.1</v>
      </c>
    </row>
    <row r="56" spans="4:32">
      <c r="D56" s="81">
        <v>22</v>
      </c>
      <c r="E56" t="s">
        <v>939</v>
      </c>
      <c r="F56">
        <v>3.2</v>
      </c>
      <c r="G56">
        <v>5</v>
      </c>
      <c r="H56" s="78">
        <v>18</v>
      </c>
      <c r="I56" t="s">
        <v>939</v>
      </c>
      <c r="J56">
        <v>2.2000000000000002</v>
      </c>
      <c r="K56">
        <v>3</v>
      </c>
      <c r="L56" s="81">
        <v>20</v>
      </c>
      <c r="M56" t="s">
        <v>939</v>
      </c>
      <c r="N56">
        <v>3.2</v>
      </c>
      <c r="O56">
        <v>3</v>
      </c>
      <c r="V56" s="81">
        <v>26</v>
      </c>
      <c r="W56" t="s">
        <v>939</v>
      </c>
      <c r="X56">
        <v>3.2</v>
      </c>
      <c r="Z56" s="78">
        <v>26</v>
      </c>
      <c r="AA56" t="s">
        <v>939</v>
      </c>
      <c r="AB56">
        <v>2.2000000000000002</v>
      </c>
      <c r="AD56" s="81">
        <v>26</v>
      </c>
      <c r="AE56" t="s">
        <v>939</v>
      </c>
      <c r="AF56">
        <v>3.2</v>
      </c>
    </row>
    <row r="58" spans="4:32">
      <c r="D58" s="81">
        <v>23</v>
      </c>
      <c r="E58" t="s">
        <v>939</v>
      </c>
      <c r="F58">
        <v>3.3</v>
      </c>
      <c r="G58">
        <v>5</v>
      </c>
      <c r="H58" s="78">
        <v>19</v>
      </c>
      <c r="I58" t="s">
        <v>939</v>
      </c>
      <c r="J58">
        <v>2.2999999999999998</v>
      </c>
      <c r="K58">
        <v>3</v>
      </c>
      <c r="L58" s="81">
        <v>21</v>
      </c>
      <c r="M58" t="s">
        <v>939</v>
      </c>
      <c r="N58">
        <v>3.3</v>
      </c>
      <c r="O58">
        <v>3</v>
      </c>
      <c r="V58" s="81">
        <v>27</v>
      </c>
      <c r="W58" t="s">
        <v>939</v>
      </c>
      <c r="X58">
        <v>3.3</v>
      </c>
      <c r="Z58" s="78">
        <v>27</v>
      </c>
      <c r="AA58" t="s">
        <v>939</v>
      </c>
      <c r="AB58">
        <v>2.2999999999999998</v>
      </c>
      <c r="AD58" s="81">
        <v>27</v>
      </c>
      <c r="AE58" t="s">
        <v>939</v>
      </c>
      <c r="AF58">
        <v>3.3</v>
      </c>
    </row>
    <row r="60" spans="4:32">
      <c r="D60" s="81">
        <v>24</v>
      </c>
      <c r="E60" t="s">
        <v>939</v>
      </c>
      <c r="F60">
        <v>3.4</v>
      </c>
      <c r="G60">
        <v>5</v>
      </c>
      <c r="H60" s="78">
        <v>20</v>
      </c>
      <c r="I60" t="s">
        <v>939</v>
      </c>
      <c r="J60">
        <v>2.4</v>
      </c>
      <c r="K60">
        <v>3</v>
      </c>
      <c r="L60" s="81">
        <v>22</v>
      </c>
      <c r="M60" t="s">
        <v>939</v>
      </c>
      <c r="N60">
        <v>3.4</v>
      </c>
      <c r="O60">
        <v>3</v>
      </c>
      <c r="V60" s="81">
        <v>28</v>
      </c>
      <c r="W60" t="s">
        <v>939</v>
      </c>
      <c r="X60">
        <v>3.4</v>
      </c>
      <c r="Z60" s="78">
        <v>28</v>
      </c>
      <c r="AA60" t="s">
        <v>939</v>
      </c>
      <c r="AB60">
        <v>2.4</v>
      </c>
      <c r="AD60" s="81">
        <v>28</v>
      </c>
      <c r="AE60" t="s">
        <v>939</v>
      </c>
      <c r="AF60">
        <v>3.4</v>
      </c>
    </row>
    <row r="62" spans="4:32">
      <c r="D62" s="81">
        <v>25</v>
      </c>
      <c r="E62" t="s">
        <v>939</v>
      </c>
      <c r="F62">
        <v>3.5</v>
      </c>
      <c r="G62">
        <v>5</v>
      </c>
      <c r="H62" s="78">
        <v>21</v>
      </c>
      <c r="I62" t="s">
        <v>939</v>
      </c>
      <c r="J62">
        <v>2.5</v>
      </c>
      <c r="K62">
        <v>3</v>
      </c>
      <c r="L62" s="81">
        <v>23</v>
      </c>
      <c r="M62" t="s">
        <v>939</v>
      </c>
      <c r="N62">
        <v>3.5</v>
      </c>
      <c r="O62">
        <v>3</v>
      </c>
      <c r="V62" s="81">
        <v>29</v>
      </c>
      <c r="W62" t="s">
        <v>939</v>
      </c>
      <c r="X62">
        <v>3.5</v>
      </c>
      <c r="Z62" s="78">
        <v>29</v>
      </c>
      <c r="AA62" t="s">
        <v>939</v>
      </c>
      <c r="AB62">
        <v>2.5</v>
      </c>
      <c r="AD62" s="81">
        <v>29</v>
      </c>
      <c r="AE62" t="s">
        <v>939</v>
      </c>
      <c r="AF62">
        <v>3.5</v>
      </c>
    </row>
    <row r="64" spans="4:32">
      <c r="D64" s="81">
        <v>26</v>
      </c>
      <c r="E64" t="s">
        <v>939</v>
      </c>
      <c r="F64">
        <v>3.6</v>
      </c>
      <c r="G64">
        <v>5</v>
      </c>
      <c r="H64" s="78">
        <v>22</v>
      </c>
      <c r="I64" t="s">
        <v>939</v>
      </c>
      <c r="J64">
        <v>2.6</v>
      </c>
      <c r="K64">
        <v>3</v>
      </c>
      <c r="L64" s="81">
        <v>24</v>
      </c>
      <c r="M64" t="s">
        <v>939</v>
      </c>
      <c r="N64">
        <v>3.6</v>
      </c>
      <c r="O64">
        <v>3</v>
      </c>
      <c r="V64" s="81">
        <v>30</v>
      </c>
      <c r="W64" t="s">
        <v>939</v>
      </c>
      <c r="X64">
        <v>3.6</v>
      </c>
      <c r="Z64" s="78">
        <v>30</v>
      </c>
      <c r="AA64" t="s">
        <v>939</v>
      </c>
      <c r="AB64">
        <v>2.6</v>
      </c>
      <c r="AD64" s="81">
        <v>30</v>
      </c>
      <c r="AE64" t="s">
        <v>939</v>
      </c>
      <c r="AF64">
        <v>3.6</v>
      </c>
    </row>
    <row r="66" spans="4:32">
      <c r="D66" s="81">
        <v>27</v>
      </c>
      <c r="E66" t="s">
        <v>939</v>
      </c>
      <c r="F66">
        <v>3.7</v>
      </c>
      <c r="G66">
        <v>5</v>
      </c>
      <c r="H66" s="78">
        <v>23</v>
      </c>
      <c r="I66" t="s">
        <v>939</v>
      </c>
      <c r="J66">
        <v>2.7</v>
      </c>
      <c r="K66">
        <v>3</v>
      </c>
      <c r="L66" s="81">
        <v>25</v>
      </c>
      <c r="M66" t="s">
        <v>940</v>
      </c>
      <c r="N66">
        <v>4.0999999999999996</v>
      </c>
      <c r="O66">
        <v>3</v>
      </c>
      <c r="V66" s="81">
        <v>31</v>
      </c>
      <c r="W66" t="s">
        <v>939</v>
      </c>
      <c r="X66">
        <v>3.7</v>
      </c>
      <c r="Z66" s="78">
        <v>31</v>
      </c>
      <c r="AA66" t="s">
        <v>939</v>
      </c>
      <c r="AB66">
        <v>2.7</v>
      </c>
      <c r="AD66" s="81">
        <v>31</v>
      </c>
      <c r="AE66" t="s">
        <v>940</v>
      </c>
      <c r="AF66" s="162" t="s">
        <v>941</v>
      </c>
    </row>
    <row r="68" spans="4:32">
      <c r="D68" s="81">
        <v>28</v>
      </c>
      <c r="E68" t="s">
        <v>939</v>
      </c>
      <c r="F68">
        <v>3.8</v>
      </c>
      <c r="G68">
        <v>5</v>
      </c>
      <c r="H68" s="78">
        <v>24</v>
      </c>
      <c r="I68" t="s">
        <v>939</v>
      </c>
      <c r="J68">
        <v>2.8</v>
      </c>
      <c r="K68">
        <v>3</v>
      </c>
      <c r="V68" s="81">
        <v>32</v>
      </c>
      <c r="W68" t="s">
        <v>939</v>
      </c>
      <c r="X68">
        <v>3.8</v>
      </c>
      <c r="Z68" s="78">
        <v>32</v>
      </c>
      <c r="AA68" t="s">
        <v>939</v>
      </c>
      <c r="AB68">
        <v>2.8</v>
      </c>
      <c r="AD68" s="81">
        <v>32</v>
      </c>
      <c r="AE68" t="s">
        <v>940</v>
      </c>
      <c r="AF68" s="162" t="s">
        <v>942</v>
      </c>
    </row>
    <row r="70" spans="4:32">
      <c r="D70" s="81">
        <v>29</v>
      </c>
      <c r="E70" t="s">
        <v>940</v>
      </c>
      <c r="F70">
        <v>4.0999999999999996</v>
      </c>
      <c r="G70">
        <v>3</v>
      </c>
      <c r="H70" s="81">
        <v>25</v>
      </c>
      <c r="I70" t="s">
        <v>939</v>
      </c>
      <c r="J70">
        <v>3.1</v>
      </c>
      <c r="K70">
        <v>3</v>
      </c>
      <c r="V70" s="81">
        <v>33</v>
      </c>
      <c r="W70" t="s">
        <v>940</v>
      </c>
      <c r="X70" s="162" t="s">
        <v>941</v>
      </c>
      <c r="Z70" s="81">
        <v>33</v>
      </c>
      <c r="AA70" t="s">
        <v>939</v>
      </c>
      <c r="AB70">
        <v>3.1</v>
      </c>
    </row>
    <row r="72" spans="4:32">
      <c r="H72" s="81">
        <v>26</v>
      </c>
      <c r="I72" t="s">
        <v>939</v>
      </c>
      <c r="J72">
        <v>3.2</v>
      </c>
      <c r="K72">
        <v>3</v>
      </c>
      <c r="V72" s="81">
        <v>34</v>
      </c>
      <c r="W72" t="s">
        <v>940</v>
      </c>
      <c r="X72" s="162" t="s">
        <v>942</v>
      </c>
      <c r="Z72" s="81">
        <v>34</v>
      </c>
      <c r="AA72" t="s">
        <v>939</v>
      </c>
      <c r="AB72">
        <v>3.2</v>
      </c>
    </row>
    <row r="74" spans="4:32">
      <c r="H74" s="81">
        <v>27</v>
      </c>
      <c r="I74" t="s">
        <v>939</v>
      </c>
      <c r="J74">
        <v>3.3</v>
      </c>
      <c r="K74">
        <v>3</v>
      </c>
      <c r="Z74" s="81">
        <v>35</v>
      </c>
      <c r="AA74" t="s">
        <v>939</v>
      </c>
      <c r="AB74">
        <v>3.3</v>
      </c>
    </row>
    <row r="76" spans="4:32">
      <c r="H76" s="81">
        <v>28</v>
      </c>
      <c r="I76" t="s">
        <v>939</v>
      </c>
      <c r="J76">
        <v>3.4</v>
      </c>
      <c r="K76">
        <v>3</v>
      </c>
      <c r="Z76" s="81">
        <v>36</v>
      </c>
      <c r="AA76" t="s">
        <v>939</v>
      </c>
      <c r="AB76">
        <v>3.4</v>
      </c>
    </row>
    <row r="78" spans="4:32">
      <c r="H78" s="81">
        <v>29</v>
      </c>
      <c r="I78" t="s">
        <v>939</v>
      </c>
      <c r="J78">
        <v>3.5</v>
      </c>
      <c r="K78">
        <v>3</v>
      </c>
      <c r="Z78" s="81">
        <v>37</v>
      </c>
      <c r="AA78" t="s">
        <v>939</v>
      </c>
      <c r="AB78">
        <v>3.5</v>
      </c>
    </row>
    <row r="80" spans="4:32">
      <c r="H80" s="81">
        <v>30</v>
      </c>
      <c r="I80" t="s">
        <v>939</v>
      </c>
      <c r="J80">
        <v>3.6</v>
      </c>
      <c r="K80">
        <v>3</v>
      </c>
      <c r="Z80" s="81">
        <v>38</v>
      </c>
      <c r="AA80" t="s">
        <v>939</v>
      </c>
      <c r="AB80">
        <v>3.6</v>
      </c>
    </row>
    <row r="82" spans="8:28">
      <c r="H82" s="81">
        <v>31</v>
      </c>
      <c r="I82" t="s">
        <v>939</v>
      </c>
      <c r="J82">
        <v>3.7</v>
      </c>
      <c r="K82">
        <v>3</v>
      </c>
      <c r="Z82" s="81">
        <v>39</v>
      </c>
      <c r="AA82" t="s">
        <v>939</v>
      </c>
      <c r="AB82">
        <v>3.7</v>
      </c>
    </row>
    <row r="84" spans="8:28">
      <c r="H84" s="81">
        <v>32</v>
      </c>
      <c r="I84" t="s">
        <v>939</v>
      </c>
      <c r="J84">
        <v>3.8</v>
      </c>
      <c r="K84">
        <v>3</v>
      </c>
      <c r="Z84" s="81">
        <v>40</v>
      </c>
      <c r="AA84" t="s">
        <v>939</v>
      </c>
      <c r="AB84">
        <v>3.8</v>
      </c>
    </row>
    <row r="86" spans="8:28">
      <c r="H86" s="81">
        <v>33</v>
      </c>
      <c r="I86" t="s">
        <v>940</v>
      </c>
      <c r="J86">
        <v>4.0999999999999996</v>
      </c>
      <c r="K86">
        <v>3</v>
      </c>
      <c r="Z86" s="164">
        <v>41</v>
      </c>
      <c r="AA86" t="s">
        <v>940</v>
      </c>
      <c r="AB86" s="162" t="s">
        <v>941</v>
      </c>
    </row>
    <row r="88" spans="8:28">
      <c r="Z88" s="164">
        <v>42</v>
      </c>
      <c r="AA88" t="s">
        <v>940</v>
      </c>
      <c r="AB88" s="162" t="s">
        <v>942</v>
      </c>
    </row>
  </sheetData>
  <sheetProtection algorithmName="SHA-512" hashValue="UBhU3lIcAtfP74WKuEXpQWRXBFq+nlSWBYkaYQXzvJoSsqXABqo3m4tT9A7mU9WMDS5x4W0PKhgVx12Sal5i3w==" saltValue="1CsSPoxenYBJQcY+LW1JuA==" spinCount="100000" sheet="1" objects="1" scenarios="1"/>
  <phoneticPr fontId="8" type="noConversion"/>
  <pageMargins left="0.7" right="0.7" top="0.78740157499999996" bottom="0.78740157499999996"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E1DC53-B4AE-4819-8297-0C7664A0F8B4}">
  <dimension ref="A1:GT137"/>
  <sheetViews>
    <sheetView zoomScale="70" zoomScaleNormal="70" workbookViewId="0">
      <selection activeCell="AB45" sqref="AB45"/>
    </sheetView>
  </sheetViews>
  <sheetFormatPr baseColWidth="10" defaultColWidth="8.85546875" defaultRowHeight="12.75"/>
  <cols>
    <col min="1" max="1" width="5.140625" style="161" customWidth="1"/>
    <col min="2" max="3" width="6.85546875" style="161" customWidth="1"/>
    <col min="4" max="4" width="23.42578125" style="161" customWidth="1"/>
    <col min="5" max="5" width="7.7109375" style="161" customWidth="1"/>
    <col min="6" max="6" width="6.28515625" style="161" customWidth="1"/>
    <col min="7" max="7" width="5" style="161" customWidth="1"/>
    <col min="8" max="8" width="8" style="161" customWidth="1"/>
    <col min="9" max="9" width="10.28515625" style="161" customWidth="1"/>
    <col min="10" max="10" width="10.7109375" style="161" customWidth="1"/>
    <col min="11" max="11" width="7.42578125" style="161" customWidth="1"/>
    <col min="12" max="12" width="8.7109375" style="161" customWidth="1"/>
    <col min="13" max="13" width="9.42578125" style="161" customWidth="1"/>
    <col min="14" max="14" width="5.7109375" style="161" customWidth="1"/>
    <col min="15" max="15" width="5.140625" style="161" customWidth="1"/>
    <col min="16" max="17" width="6.85546875" style="161" customWidth="1"/>
    <col min="18" max="18" width="25" style="161" customWidth="1"/>
    <col min="19" max="26" width="8.85546875" style="161"/>
    <col min="27" max="27" width="12.42578125" style="161" customWidth="1"/>
    <col min="28" max="34" width="8.85546875" style="161"/>
    <col min="35" max="38" width="4.7109375" style="161" customWidth="1"/>
    <col min="39" max="41" width="8.85546875" style="161"/>
    <col min="42" max="42" width="19" style="161" customWidth="1"/>
    <col min="43" max="43" width="8.7109375" style="161" customWidth="1"/>
    <col min="44" max="44" width="9.42578125" style="161" customWidth="1"/>
    <col min="45" max="91" width="8.85546875" style="161"/>
    <col min="92" max="92" width="8.42578125" style="161" customWidth="1"/>
    <col min="93" max="93" width="4.7109375" style="161" customWidth="1"/>
    <col min="94" max="94" width="9.140625" style="161" customWidth="1"/>
    <col min="95" max="95" width="7.85546875" style="161" customWidth="1"/>
    <col min="96" max="96" width="8" style="161" customWidth="1"/>
    <col min="97" max="97" width="6.28515625" style="161" customWidth="1"/>
    <col min="98" max="98" width="4.7109375" style="161" customWidth="1"/>
    <col min="99" max="99" width="7.85546875" style="161" customWidth="1"/>
    <col min="100" max="100" width="7.42578125" style="161" customWidth="1"/>
    <col min="101" max="101" width="9.28515625" style="161" customWidth="1"/>
    <col min="102" max="102" width="4.7109375" style="161" customWidth="1"/>
    <col min="103" max="103" width="9" style="161" customWidth="1"/>
    <col min="104" max="104" width="4.7109375" style="161" customWidth="1"/>
    <col min="105" max="105" width="9.140625" style="161" customWidth="1"/>
    <col min="106" max="109" width="4.7109375" style="161" customWidth="1"/>
    <col min="110" max="110" width="10.85546875" style="161" customWidth="1"/>
    <col min="111" max="111" width="7.42578125" style="161" customWidth="1"/>
    <col min="112" max="112" width="6.28515625" style="161" customWidth="1"/>
    <col min="113" max="113" width="4.7109375" style="161" customWidth="1"/>
    <col min="114" max="114" width="6.42578125" style="161" customWidth="1"/>
    <col min="115" max="125" width="4.7109375" style="161" customWidth="1"/>
    <col min="126" max="126" width="7.42578125" style="161" customWidth="1"/>
    <col min="127" max="127" width="4.7109375" style="161" customWidth="1"/>
    <col min="128" max="249" width="8.85546875" style="161"/>
    <col min="250" max="250" width="5.140625" style="161" customWidth="1"/>
    <col min="251" max="252" width="6.85546875" style="161" customWidth="1"/>
    <col min="253" max="253" width="23.42578125" style="161" customWidth="1"/>
    <col min="254" max="254" width="7.7109375" style="161" customWidth="1"/>
    <col min="255" max="255" width="6.28515625" style="161" customWidth="1"/>
    <col min="256" max="256" width="5" style="161" customWidth="1"/>
    <col min="257" max="257" width="8" style="161" customWidth="1"/>
    <col min="258" max="258" width="10.28515625" style="161" customWidth="1"/>
    <col min="259" max="259" width="10.7109375" style="161" customWidth="1"/>
    <col min="260" max="260" width="5.7109375" style="161" customWidth="1"/>
    <col min="261" max="261" width="8.7109375" style="161" customWidth="1"/>
    <col min="262" max="262" width="9.42578125" style="161" customWidth="1"/>
    <col min="263" max="263" width="5.7109375" style="161" customWidth="1"/>
    <col min="264" max="264" width="5.140625" style="161" customWidth="1"/>
    <col min="265" max="266" width="6.85546875" style="161" customWidth="1"/>
    <col min="267" max="267" width="25" style="161" customWidth="1"/>
    <col min="268" max="275" width="8.85546875" style="161"/>
    <col min="276" max="276" width="12.42578125" style="161" customWidth="1"/>
    <col min="277" max="283" width="8.85546875" style="161"/>
    <col min="284" max="307" width="4.7109375" style="161" customWidth="1"/>
    <col min="308" max="313" width="8.85546875" style="161"/>
    <col min="314" max="314" width="19" style="161" customWidth="1"/>
    <col min="315" max="360" width="8.85546875" style="161"/>
    <col min="361" max="384" width="4.7109375" style="161" customWidth="1"/>
    <col min="385" max="505" width="8.85546875" style="161"/>
    <col min="506" max="506" width="5.140625" style="161" customWidth="1"/>
    <col min="507" max="508" width="6.85546875" style="161" customWidth="1"/>
    <col min="509" max="509" width="23.42578125" style="161" customWidth="1"/>
    <col min="510" max="510" width="7.7109375" style="161" customWidth="1"/>
    <col min="511" max="511" width="6.28515625" style="161" customWidth="1"/>
    <col min="512" max="512" width="5" style="161" customWidth="1"/>
    <col min="513" max="513" width="8" style="161" customWidth="1"/>
    <col min="514" max="514" width="10.28515625" style="161" customWidth="1"/>
    <col min="515" max="515" width="10.7109375" style="161" customWidth="1"/>
    <col min="516" max="516" width="5.7109375" style="161" customWidth="1"/>
    <col min="517" max="517" width="8.7109375" style="161" customWidth="1"/>
    <col min="518" max="518" width="9.42578125" style="161" customWidth="1"/>
    <col min="519" max="519" width="5.7109375" style="161" customWidth="1"/>
    <col min="520" max="520" width="5.140625" style="161" customWidth="1"/>
    <col min="521" max="522" width="6.85546875" style="161" customWidth="1"/>
    <col min="523" max="523" width="25" style="161" customWidth="1"/>
    <col min="524" max="531" width="8.85546875" style="161"/>
    <col min="532" max="532" width="12.42578125" style="161" customWidth="1"/>
    <col min="533" max="539" width="8.85546875" style="161"/>
    <col min="540" max="563" width="4.7109375" style="161" customWidth="1"/>
    <col min="564" max="569" width="8.85546875" style="161"/>
    <col min="570" max="570" width="19" style="161" customWidth="1"/>
    <col min="571" max="616" width="8.85546875" style="161"/>
    <col min="617" max="640" width="4.7109375" style="161" customWidth="1"/>
    <col min="641" max="761" width="8.85546875" style="161"/>
    <col min="762" max="762" width="5.140625" style="161" customWidth="1"/>
    <col min="763" max="764" width="6.85546875" style="161" customWidth="1"/>
    <col min="765" max="765" width="23.42578125" style="161" customWidth="1"/>
    <col min="766" max="766" width="7.7109375" style="161" customWidth="1"/>
    <col min="767" max="767" width="6.28515625" style="161" customWidth="1"/>
    <col min="768" max="768" width="5" style="161" customWidth="1"/>
    <col min="769" max="769" width="8" style="161" customWidth="1"/>
    <col min="770" max="770" width="10.28515625" style="161" customWidth="1"/>
    <col min="771" max="771" width="10.7109375" style="161" customWidth="1"/>
    <col min="772" max="772" width="5.7109375" style="161" customWidth="1"/>
    <col min="773" max="773" width="8.7109375" style="161" customWidth="1"/>
    <col min="774" max="774" width="9.42578125" style="161" customWidth="1"/>
    <col min="775" max="775" width="5.7109375" style="161" customWidth="1"/>
    <col min="776" max="776" width="5.140625" style="161" customWidth="1"/>
    <col min="777" max="778" width="6.85546875" style="161" customWidth="1"/>
    <col min="779" max="779" width="25" style="161" customWidth="1"/>
    <col min="780" max="787" width="8.85546875" style="161"/>
    <col min="788" max="788" width="12.42578125" style="161" customWidth="1"/>
    <col min="789" max="795" width="8.85546875" style="161"/>
    <col min="796" max="819" width="4.7109375" style="161" customWidth="1"/>
    <col min="820" max="825" width="8.85546875" style="161"/>
    <col min="826" max="826" width="19" style="161" customWidth="1"/>
    <col min="827" max="872" width="8.85546875" style="161"/>
    <col min="873" max="896" width="4.7109375" style="161" customWidth="1"/>
    <col min="897" max="1017" width="8.85546875" style="161"/>
    <col min="1018" max="1018" width="5.140625" style="161" customWidth="1"/>
    <col min="1019" max="1020" width="6.85546875" style="161" customWidth="1"/>
    <col min="1021" max="1021" width="23.42578125" style="161" customWidth="1"/>
    <col min="1022" max="1022" width="7.7109375" style="161" customWidth="1"/>
    <col min="1023" max="1023" width="6.28515625" style="161" customWidth="1"/>
    <col min="1024" max="1024" width="5" style="161" customWidth="1"/>
    <col min="1025" max="1025" width="8" style="161" customWidth="1"/>
    <col min="1026" max="1026" width="10.28515625" style="161" customWidth="1"/>
    <col min="1027" max="1027" width="10.7109375" style="161" customWidth="1"/>
    <col min="1028" max="1028" width="5.7109375" style="161" customWidth="1"/>
    <col min="1029" max="1029" width="8.7109375" style="161" customWidth="1"/>
    <col min="1030" max="1030" width="9.42578125" style="161" customWidth="1"/>
    <col min="1031" max="1031" width="5.7109375" style="161" customWidth="1"/>
    <col min="1032" max="1032" width="5.140625" style="161" customWidth="1"/>
    <col min="1033" max="1034" width="6.85546875" style="161" customWidth="1"/>
    <col min="1035" max="1035" width="25" style="161" customWidth="1"/>
    <col min="1036" max="1043" width="8.85546875" style="161"/>
    <col min="1044" max="1044" width="12.42578125" style="161" customWidth="1"/>
    <col min="1045" max="1051" width="8.85546875" style="161"/>
    <col min="1052" max="1075" width="4.7109375" style="161" customWidth="1"/>
    <col min="1076" max="1081" width="8.85546875" style="161"/>
    <col min="1082" max="1082" width="19" style="161" customWidth="1"/>
    <col min="1083" max="1128" width="8.85546875" style="161"/>
    <col min="1129" max="1152" width="4.7109375" style="161" customWidth="1"/>
    <col min="1153" max="1273" width="8.85546875" style="161"/>
    <col min="1274" max="1274" width="5.140625" style="161" customWidth="1"/>
    <col min="1275" max="1276" width="6.85546875" style="161" customWidth="1"/>
    <col min="1277" max="1277" width="23.42578125" style="161" customWidth="1"/>
    <col min="1278" max="1278" width="7.7109375" style="161" customWidth="1"/>
    <col min="1279" max="1279" width="6.28515625" style="161" customWidth="1"/>
    <col min="1280" max="1280" width="5" style="161" customWidth="1"/>
    <col min="1281" max="1281" width="8" style="161" customWidth="1"/>
    <col min="1282" max="1282" width="10.28515625" style="161" customWidth="1"/>
    <col min="1283" max="1283" width="10.7109375" style="161" customWidth="1"/>
    <col min="1284" max="1284" width="5.7109375" style="161" customWidth="1"/>
    <col min="1285" max="1285" width="8.7109375" style="161" customWidth="1"/>
    <col min="1286" max="1286" width="9.42578125" style="161" customWidth="1"/>
    <col min="1287" max="1287" width="5.7109375" style="161" customWidth="1"/>
    <col min="1288" max="1288" width="5.140625" style="161" customWidth="1"/>
    <col min="1289" max="1290" width="6.85546875" style="161" customWidth="1"/>
    <col min="1291" max="1291" width="25" style="161" customWidth="1"/>
    <col min="1292" max="1299" width="8.85546875" style="161"/>
    <col min="1300" max="1300" width="12.42578125" style="161" customWidth="1"/>
    <col min="1301" max="1307" width="8.85546875" style="161"/>
    <col min="1308" max="1331" width="4.7109375" style="161" customWidth="1"/>
    <col min="1332" max="1337" width="8.85546875" style="161"/>
    <col min="1338" max="1338" width="19" style="161" customWidth="1"/>
    <col min="1339" max="1384" width="8.85546875" style="161"/>
    <col min="1385" max="1408" width="4.7109375" style="161" customWidth="1"/>
    <col min="1409" max="1529" width="8.85546875" style="161"/>
    <col min="1530" max="1530" width="5.140625" style="161" customWidth="1"/>
    <col min="1531" max="1532" width="6.85546875" style="161" customWidth="1"/>
    <col min="1533" max="1533" width="23.42578125" style="161" customWidth="1"/>
    <col min="1534" max="1534" width="7.7109375" style="161" customWidth="1"/>
    <col min="1535" max="1535" width="6.28515625" style="161" customWidth="1"/>
    <col min="1536" max="1536" width="5" style="161" customWidth="1"/>
    <col min="1537" max="1537" width="8" style="161" customWidth="1"/>
    <col min="1538" max="1538" width="10.28515625" style="161" customWidth="1"/>
    <col min="1539" max="1539" width="10.7109375" style="161" customWidth="1"/>
    <col min="1540" max="1540" width="5.7109375" style="161" customWidth="1"/>
    <col min="1541" max="1541" width="8.7109375" style="161" customWidth="1"/>
    <col min="1542" max="1542" width="9.42578125" style="161" customWidth="1"/>
    <col min="1543" max="1543" width="5.7109375" style="161" customWidth="1"/>
    <col min="1544" max="1544" width="5.140625" style="161" customWidth="1"/>
    <col min="1545" max="1546" width="6.85546875" style="161" customWidth="1"/>
    <col min="1547" max="1547" width="25" style="161" customWidth="1"/>
    <col min="1548" max="1555" width="8.85546875" style="161"/>
    <col min="1556" max="1556" width="12.42578125" style="161" customWidth="1"/>
    <col min="1557" max="1563" width="8.85546875" style="161"/>
    <col min="1564" max="1587" width="4.7109375" style="161" customWidth="1"/>
    <col min="1588" max="1593" width="8.85546875" style="161"/>
    <col min="1594" max="1594" width="19" style="161" customWidth="1"/>
    <col min="1595" max="1640" width="8.85546875" style="161"/>
    <col min="1641" max="1664" width="4.7109375" style="161" customWidth="1"/>
    <col min="1665" max="1785" width="8.85546875" style="161"/>
    <col min="1786" max="1786" width="5.140625" style="161" customWidth="1"/>
    <col min="1787" max="1788" width="6.85546875" style="161" customWidth="1"/>
    <col min="1789" max="1789" width="23.42578125" style="161" customWidth="1"/>
    <col min="1790" max="1790" width="7.7109375" style="161" customWidth="1"/>
    <col min="1791" max="1791" width="6.28515625" style="161" customWidth="1"/>
    <col min="1792" max="1792" width="5" style="161" customWidth="1"/>
    <col min="1793" max="1793" width="8" style="161" customWidth="1"/>
    <col min="1794" max="1794" width="10.28515625" style="161" customWidth="1"/>
    <col min="1795" max="1795" width="10.7109375" style="161" customWidth="1"/>
    <col min="1796" max="1796" width="5.7109375" style="161" customWidth="1"/>
    <col min="1797" max="1797" width="8.7109375" style="161" customWidth="1"/>
    <col min="1798" max="1798" width="9.42578125" style="161" customWidth="1"/>
    <col min="1799" max="1799" width="5.7109375" style="161" customWidth="1"/>
    <col min="1800" max="1800" width="5.140625" style="161" customWidth="1"/>
    <col min="1801" max="1802" width="6.85546875" style="161" customWidth="1"/>
    <col min="1803" max="1803" width="25" style="161" customWidth="1"/>
    <col min="1804" max="1811" width="8.85546875" style="161"/>
    <col min="1812" max="1812" width="12.42578125" style="161" customWidth="1"/>
    <col min="1813" max="1819" width="8.85546875" style="161"/>
    <col min="1820" max="1843" width="4.7109375" style="161" customWidth="1"/>
    <col min="1844" max="1849" width="8.85546875" style="161"/>
    <col min="1850" max="1850" width="19" style="161" customWidth="1"/>
    <col min="1851" max="1896" width="8.85546875" style="161"/>
    <col min="1897" max="1920" width="4.7109375" style="161" customWidth="1"/>
    <col min="1921" max="2041" width="8.85546875" style="161"/>
    <col min="2042" max="2042" width="5.140625" style="161" customWidth="1"/>
    <col min="2043" max="2044" width="6.85546875" style="161" customWidth="1"/>
    <col min="2045" max="2045" width="23.42578125" style="161" customWidth="1"/>
    <col min="2046" max="2046" width="7.7109375" style="161" customWidth="1"/>
    <col min="2047" max="2047" width="6.28515625" style="161" customWidth="1"/>
    <col min="2048" max="2048" width="5" style="161" customWidth="1"/>
    <col min="2049" max="2049" width="8" style="161" customWidth="1"/>
    <col min="2050" max="2050" width="10.28515625" style="161" customWidth="1"/>
    <col min="2051" max="2051" width="10.7109375" style="161" customWidth="1"/>
    <col min="2052" max="2052" width="5.7109375" style="161" customWidth="1"/>
    <col min="2053" max="2053" width="8.7109375" style="161" customWidth="1"/>
    <col min="2054" max="2054" width="9.42578125" style="161" customWidth="1"/>
    <col min="2055" max="2055" width="5.7109375" style="161" customWidth="1"/>
    <col min="2056" max="2056" width="5.140625" style="161" customWidth="1"/>
    <col min="2057" max="2058" width="6.85546875" style="161" customWidth="1"/>
    <col min="2059" max="2059" width="25" style="161" customWidth="1"/>
    <col min="2060" max="2067" width="8.85546875" style="161"/>
    <col min="2068" max="2068" width="12.42578125" style="161" customWidth="1"/>
    <col min="2069" max="2075" width="8.85546875" style="161"/>
    <col min="2076" max="2099" width="4.7109375" style="161" customWidth="1"/>
    <col min="2100" max="2105" width="8.85546875" style="161"/>
    <col min="2106" max="2106" width="19" style="161" customWidth="1"/>
    <col min="2107" max="2152" width="8.85546875" style="161"/>
    <col min="2153" max="2176" width="4.7109375" style="161" customWidth="1"/>
    <col min="2177" max="2297" width="8.85546875" style="161"/>
    <col min="2298" max="2298" width="5.140625" style="161" customWidth="1"/>
    <col min="2299" max="2300" width="6.85546875" style="161" customWidth="1"/>
    <col min="2301" max="2301" width="23.42578125" style="161" customWidth="1"/>
    <col min="2302" max="2302" width="7.7109375" style="161" customWidth="1"/>
    <col min="2303" max="2303" width="6.28515625" style="161" customWidth="1"/>
    <col min="2304" max="2304" width="5" style="161" customWidth="1"/>
    <col min="2305" max="2305" width="8" style="161" customWidth="1"/>
    <col min="2306" max="2306" width="10.28515625" style="161" customWidth="1"/>
    <col min="2307" max="2307" width="10.7109375" style="161" customWidth="1"/>
    <col min="2308" max="2308" width="5.7109375" style="161" customWidth="1"/>
    <col min="2309" max="2309" width="8.7109375" style="161" customWidth="1"/>
    <col min="2310" max="2310" width="9.42578125" style="161" customWidth="1"/>
    <col min="2311" max="2311" width="5.7109375" style="161" customWidth="1"/>
    <col min="2312" max="2312" width="5.140625" style="161" customWidth="1"/>
    <col min="2313" max="2314" width="6.85546875" style="161" customWidth="1"/>
    <col min="2315" max="2315" width="25" style="161" customWidth="1"/>
    <col min="2316" max="2323" width="8.85546875" style="161"/>
    <col min="2324" max="2324" width="12.42578125" style="161" customWidth="1"/>
    <col min="2325" max="2331" width="8.85546875" style="161"/>
    <col min="2332" max="2355" width="4.7109375" style="161" customWidth="1"/>
    <col min="2356" max="2361" width="8.85546875" style="161"/>
    <col min="2362" max="2362" width="19" style="161" customWidth="1"/>
    <col min="2363" max="2408" width="8.85546875" style="161"/>
    <col min="2409" max="2432" width="4.7109375" style="161" customWidth="1"/>
    <col min="2433" max="2553" width="8.85546875" style="161"/>
    <col min="2554" max="2554" width="5.140625" style="161" customWidth="1"/>
    <col min="2555" max="2556" width="6.85546875" style="161" customWidth="1"/>
    <col min="2557" max="2557" width="23.42578125" style="161" customWidth="1"/>
    <col min="2558" max="2558" width="7.7109375" style="161" customWidth="1"/>
    <col min="2559" max="2559" width="6.28515625" style="161" customWidth="1"/>
    <col min="2560" max="2560" width="5" style="161" customWidth="1"/>
    <col min="2561" max="2561" width="8" style="161" customWidth="1"/>
    <col min="2562" max="2562" width="10.28515625" style="161" customWidth="1"/>
    <col min="2563" max="2563" width="10.7109375" style="161" customWidth="1"/>
    <col min="2564" max="2564" width="5.7109375" style="161" customWidth="1"/>
    <col min="2565" max="2565" width="8.7109375" style="161" customWidth="1"/>
    <col min="2566" max="2566" width="9.42578125" style="161" customWidth="1"/>
    <col min="2567" max="2567" width="5.7109375" style="161" customWidth="1"/>
    <col min="2568" max="2568" width="5.140625" style="161" customWidth="1"/>
    <col min="2569" max="2570" width="6.85546875" style="161" customWidth="1"/>
    <col min="2571" max="2571" width="25" style="161" customWidth="1"/>
    <col min="2572" max="2579" width="8.85546875" style="161"/>
    <col min="2580" max="2580" width="12.42578125" style="161" customWidth="1"/>
    <col min="2581" max="2587" width="8.85546875" style="161"/>
    <col min="2588" max="2611" width="4.7109375" style="161" customWidth="1"/>
    <col min="2612" max="2617" width="8.85546875" style="161"/>
    <col min="2618" max="2618" width="19" style="161" customWidth="1"/>
    <col min="2619" max="2664" width="8.85546875" style="161"/>
    <col min="2665" max="2688" width="4.7109375" style="161" customWidth="1"/>
    <col min="2689" max="2809" width="8.85546875" style="161"/>
    <col min="2810" max="2810" width="5.140625" style="161" customWidth="1"/>
    <col min="2811" max="2812" width="6.85546875" style="161" customWidth="1"/>
    <col min="2813" max="2813" width="23.42578125" style="161" customWidth="1"/>
    <col min="2814" max="2814" width="7.7109375" style="161" customWidth="1"/>
    <col min="2815" max="2815" width="6.28515625" style="161" customWidth="1"/>
    <col min="2816" max="2816" width="5" style="161" customWidth="1"/>
    <col min="2817" max="2817" width="8" style="161" customWidth="1"/>
    <col min="2818" max="2818" width="10.28515625" style="161" customWidth="1"/>
    <col min="2819" max="2819" width="10.7109375" style="161" customWidth="1"/>
    <col min="2820" max="2820" width="5.7109375" style="161" customWidth="1"/>
    <col min="2821" max="2821" width="8.7109375" style="161" customWidth="1"/>
    <col min="2822" max="2822" width="9.42578125" style="161" customWidth="1"/>
    <col min="2823" max="2823" width="5.7109375" style="161" customWidth="1"/>
    <col min="2824" max="2824" width="5.140625" style="161" customWidth="1"/>
    <col min="2825" max="2826" width="6.85546875" style="161" customWidth="1"/>
    <col min="2827" max="2827" width="25" style="161" customWidth="1"/>
    <col min="2828" max="2835" width="8.85546875" style="161"/>
    <col min="2836" max="2836" width="12.42578125" style="161" customWidth="1"/>
    <col min="2837" max="2843" width="8.85546875" style="161"/>
    <col min="2844" max="2867" width="4.7109375" style="161" customWidth="1"/>
    <col min="2868" max="2873" width="8.85546875" style="161"/>
    <col min="2874" max="2874" width="19" style="161" customWidth="1"/>
    <col min="2875" max="2920" width="8.85546875" style="161"/>
    <col min="2921" max="2944" width="4.7109375" style="161" customWidth="1"/>
    <col min="2945" max="3065" width="8.85546875" style="161"/>
    <col min="3066" max="3066" width="5.140625" style="161" customWidth="1"/>
    <col min="3067" max="3068" width="6.85546875" style="161" customWidth="1"/>
    <col min="3069" max="3069" width="23.42578125" style="161" customWidth="1"/>
    <col min="3070" max="3070" width="7.7109375" style="161" customWidth="1"/>
    <col min="3071" max="3071" width="6.28515625" style="161" customWidth="1"/>
    <col min="3072" max="3072" width="5" style="161" customWidth="1"/>
    <col min="3073" max="3073" width="8" style="161" customWidth="1"/>
    <col min="3074" max="3074" width="10.28515625" style="161" customWidth="1"/>
    <col min="3075" max="3075" width="10.7109375" style="161" customWidth="1"/>
    <col min="3076" max="3076" width="5.7109375" style="161" customWidth="1"/>
    <col min="3077" max="3077" width="8.7109375" style="161" customWidth="1"/>
    <col min="3078" max="3078" width="9.42578125" style="161" customWidth="1"/>
    <col min="3079" max="3079" width="5.7109375" style="161" customWidth="1"/>
    <col min="3080" max="3080" width="5.140625" style="161" customWidth="1"/>
    <col min="3081" max="3082" width="6.85546875" style="161" customWidth="1"/>
    <col min="3083" max="3083" width="25" style="161" customWidth="1"/>
    <col min="3084" max="3091" width="8.85546875" style="161"/>
    <col min="3092" max="3092" width="12.42578125" style="161" customWidth="1"/>
    <col min="3093" max="3099" width="8.85546875" style="161"/>
    <col min="3100" max="3123" width="4.7109375" style="161" customWidth="1"/>
    <col min="3124" max="3129" width="8.85546875" style="161"/>
    <col min="3130" max="3130" width="19" style="161" customWidth="1"/>
    <col min="3131" max="3176" width="8.85546875" style="161"/>
    <col min="3177" max="3200" width="4.7109375" style="161" customWidth="1"/>
    <col min="3201" max="3321" width="8.85546875" style="161"/>
    <col min="3322" max="3322" width="5.140625" style="161" customWidth="1"/>
    <col min="3323" max="3324" width="6.85546875" style="161" customWidth="1"/>
    <col min="3325" max="3325" width="23.42578125" style="161" customWidth="1"/>
    <col min="3326" max="3326" width="7.7109375" style="161" customWidth="1"/>
    <col min="3327" max="3327" width="6.28515625" style="161" customWidth="1"/>
    <col min="3328" max="3328" width="5" style="161" customWidth="1"/>
    <col min="3329" max="3329" width="8" style="161" customWidth="1"/>
    <col min="3330" max="3330" width="10.28515625" style="161" customWidth="1"/>
    <col min="3331" max="3331" width="10.7109375" style="161" customWidth="1"/>
    <col min="3332" max="3332" width="5.7109375" style="161" customWidth="1"/>
    <col min="3333" max="3333" width="8.7109375" style="161" customWidth="1"/>
    <col min="3334" max="3334" width="9.42578125" style="161" customWidth="1"/>
    <col min="3335" max="3335" width="5.7109375" style="161" customWidth="1"/>
    <col min="3336" max="3336" width="5.140625" style="161" customWidth="1"/>
    <col min="3337" max="3338" width="6.85546875" style="161" customWidth="1"/>
    <col min="3339" max="3339" width="25" style="161" customWidth="1"/>
    <col min="3340" max="3347" width="8.85546875" style="161"/>
    <col min="3348" max="3348" width="12.42578125" style="161" customWidth="1"/>
    <col min="3349" max="3355" width="8.85546875" style="161"/>
    <col min="3356" max="3379" width="4.7109375" style="161" customWidth="1"/>
    <col min="3380" max="3385" width="8.85546875" style="161"/>
    <col min="3386" max="3386" width="19" style="161" customWidth="1"/>
    <col min="3387" max="3432" width="8.85546875" style="161"/>
    <col min="3433" max="3456" width="4.7109375" style="161" customWidth="1"/>
    <col min="3457" max="3577" width="8.85546875" style="161"/>
    <col min="3578" max="3578" width="5.140625" style="161" customWidth="1"/>
    <col min="3579" max="3580" width="6.85546875" style="161" customWidth="1"/>
    <col min="3581" max="3581" width="23.42578125" style="161" customWidth="1"/>
    <col min="3582" max="3582" width="7.7109375" style="161" customWidth="1"/>
    <col min="3583" max="3583" width="6.28515625" style="161" customWidth="1"/>
    <col min="3584" max="3584" width="5" style="161" customWidth="1"/>
    <col min="3585" max="3585" width="8" style="161" customWidth="1"/>
    <col min="3586" max="3586" width="10.28515625" style="161" customWidth="1"/>
    <col min="3587" max="3587" width="10.7109375" style="161" customWidth="1"/>
    <col min="3588" max="3588" width="5.7109375" style="161" customWidth="1"/>
    <col min="3589" max="3589" width="8.7109375" style="161" customWidth="1"/>
    <col min="3590" max="3590" width="9.42578125" style="161" customWidth="1"/>
    <col min="3591" max="3591" width="5.7109375" style="161" customWidth="1"/>
    <col min="3592" max="3592" width="5.140625" style="161" customWidth="1"/>
    <col min="3593" max="3594" width="6.85546875" style="161" customWidth="1"/>
    <col min="3595" max="3595" width="25" style="161" customWidth="1"/>
    <col min="3596" max="3603" width="8.85546875" style="161"/>
    <col min="3604" max="3604" width="12.42578125" style="161" customWidth="1"/>
    <col min="3605" max="3611" width="8.85546875" style="161"/>
    <col min="3612" max="3635" width="4.7109375" style="161" customWidth="1"/>
    <col min="3636" max="3641" width="8.85546875" style="161"/>
    <col min="3642" max="3642" width="19" style="161" customWidth="1"/>
    <col min="3643" max="3688" width="8.85546875" style="161"/>
    <col min="3689" max="3712" width="4.7109375" style="161" customWidth="1"/>
    <col min="3713" max="3833" width="8.85546875" style="161"/>
    <col min="3834" max="3834" width="5.140625" style="161" customWidth="1"/>
    <col min="3835" max="3836" width="6.85546875" style="161" customWidth="1"/>
    <col min="3837" max="3837" width="23.42578125" style="161" customWidth="1"/>
    <col min="3838" max="3838" width="7.7109375" style="161" customWidth="1"/>
    <col min="3839" max="3839" width="6.28515625" style="161" customWidth="1"/>
    <col min="3840" max="3840" width="5" style="161" customWidth="1"/>
    <col min="3841" max="3841" width="8" style="161" customWidth="1"/>
    <col min="3842" max="3842" width="10.28515625" style="161" customWidth="1"/>
    <col min="3843" max="3843" width="10.7109375" style="161" customWidth="1"/>
    <col min="3844" max="3844" width="5.7109375" style="161" customWidth="1"/>
    <col min="3845" max="3845" width="8.7109375" style="161" customWidth="1"/>
    <col min="3846" max="3846" width="9.42578125" style="161" customWidth="1"/>
    <col min="3847" max="3847" width="5.7109375" style="161" customWidth="1"/>
    <col min="3848" max="3848" width="5.140625" style="161" customWidth="1"/>
    <col min="3849" max="3850" width="6.85546875" style="161" customWidth="1"/>
    <col min="3851" max="3851" width="25" style="161" customWidth="1"/>
    <col min="3852" max="3859" width="8.85546875" style="161"/>
    <col min="3860" max="3860" width="12.42578125" style="161" customWidth="1"/>
    <col min="3861" max="3867" width="8.85546875" style="161"/>
    <col min="3868" max="3891" width="4.7109375" style="161" customWidth="1"/>
    <col min="3892" max="3897" width="8.85546875" style="161"/>
    <col min="3898" max="3898" width="19" style="161" customWidth="1"/>
    <col min="3899" max="3944" width="8.85546875" style="161"/>
    <col min="3945" max="3968" width="4.7109375" style="161" customWidth="1"/>
    <col min="3969" max="4089" width="8.85546875" style="161"/>
    <col min="4090" max="4090" width="5.140625" style="161" customWidth="1"/>
    <col min="4091" max="4092" width="6.85546875" style="161" customWidth="1"/>
    <col min="4093" max="4093" width="23.42578125" style="161" customWidth="1"/>
    <col min="4094" max="4094" width="7.7109375" style="161" customWidth="1"/>
    <col min="4095" max="4095" width="6.28515625" style="161" customWidth="1"/>
    <col min="4096" max="4096" width="5" style="161" customWidth="1"/>
    <col min="4097" max="4097" width="8" style="161" customWidth="1"/>
    <col min="4098" max="4098" width="10.28515625" style="161" customWidth="1"/>
    <col min="4099" max="4099" width="10.7109375" style="161" customWidth="1"/>
    <col min="4100" max="4100" width="5.7109375" style="161" customWidth="1"/>
    <col min="4101" max="4101" width="8.7109375" style="161" customWidth="1"/>
    <col min="4102" max="4102" width="9.42578125" style="161" customWidth="1"/>
    <col min="4103" max="4103" width="5.7109375" style="161" customWidth="1"/>
    <col min="4104" max="4104" width="5.140625" style="161" customWidth="1"/>
    <col min="4105" max="4106" width="6.85546875" style="161" customWidth="1"/>
    <col min="4107" max="4107" width="25" style="161" customWidth="1"/>
    <col min="4108" max="4115" width="8.85546875" style="161"/>
    <col min="4116" max="4116" width="12.42578125" style="161" customWidth="1"/>
    <col min="4117" max="4123" width="8.85546875" style="161"/>
    <col min="4124" max="4147" width="4.7109375" style="161" customWidth="1"/>
    <col min="4148" max="4153" width="8.85546875" style="161"/>
    <col min="4154" max="4154" width="19" style="161" customWidth="1"/>
    <col min="4155" max="4200" width="8.85546875" style="161"/>
    <col min="4201" max="4224" width="4.7109375" style="161" customWidth="1"/>
    <col min="4225" max="4345" width="8.85546875" style="161"/>
    <col min="4346" max="4346" width="5.140625" style="161" customWidth="1"/>
    <col min="4347" max="4348" width="6.85546875" style="161" customWidth="1"/>
    <col min="4349" max="4349" width="23.42578125" style="161" customWidth="1"/>
    <col min="4350" max="4350" width="7.7109375" style="161" customWidth="1"/>
    <col min="4351" max="4351" width="6.28515625" style="161" customWidth="1"/>
    <col min="4352" max="4352" width="5" style="161" customWidth="1"/>
    <col min="4353" max="4353" width="8" style="161" customWidth="1"/>
    <col min="4354" max="4354" width="10.28515625" style="161" customWidth="1"/>
    <col min="4355" max="4355" width="10.7109375" style="161" customWidth="1"/>
    <col min="4356" max="4356" width="5.7109375" style="161" customWidth="1"/>
    <col min="4357" max="4357" width="8.7109375" style="161" customWidth="1"/>
    <col min="4358" max="4358" width="9.42578125" style="161" customWidth="1"/>
    <col min="4359" max="4359" width="5.7109375" style="161" customWidth="1"/>
    <col min="4360" max="4360" width="5.140625" style="161" customWidth="1"/>
    <col min="4361" max="4362" width="6.85546875" style="161" customWidth="1"/>
    <col min="4363" max="4363" width="25" style="161" customWidth="1"/>
    <col min="4364" max="4371" width="8.85546875" style="161"/>
    <col min="4372" max="4372" width="12.42578125" style="161" customWidth="1"/>
    <col min="4373" max="4379" width="8.85546875" style="161"/>
    <col min="4380" max="4403" width="4.7109375" style="161" customWidth="1"/>
    <col min="4404" max="4409" width="8.85546875" style="161"/>
    <col min="4410" max="4410" width="19" style="161" customWidth="1"/>
    <col min="4411" max="4456" width="8.85546875" style="161"/>
    <col min="4457" max="4480" width="4.7109375" style="161" customWidth="1"/>
    <col min="4481" max="4601" width="8.85546875" style="161"/>
    <col min="4602" max="4602" width="5.140625" style="161" customWidth="1"/>
    <col min="4603" max="4604" width="6.85546875" style="161" customWidth="1"/>
    <col min="4605" max="4605" width="23.42578125" style="161" customWidth="1"/>
    <col min="4606" max="4606" width="7.7109375" style="161" customWidth="1"/>
    <col min="4607" max="4607" width="6.28515625" style="161" customWidth="1"/>
    <col min="4608" max="4608" width="5" style="161" customWidth="1"/>
    <col min="4609" max="4609" width="8" style="161" customWidth="1"/>
    <col min="4610" max="4610" width="10.28515625" style="161" customWidth="1"/>
    <col min="4611" max="4611" width="10.7109375" style="161" customWidth="1"/>
    <col min="4612" max="4612" width="5.7109375" style="161" customWidth="1"/>
    <col min="4613" max="4613" width="8.7109375" style="161" customWidth="1"/>
    <col min="4614" max="4614" width="9.42578125" style="161" customWidth="1"/>
    <col min="4615" max="4615" width="5.7109375" style="161" customWidth="1"/>
    <col min="4616" max="4616" width="5.140625" style="161" customWidth="1"/>
    <col min="4617" max="4618" width="6.85546875" style="161" customWidth="1"/>
    <col min="4619" max="4619" width="25" style="161" customWidth="1"/>
    <col min="4620" max="4627" width="8.85546875" style="161"/>
    <col min="4628" max="4628" width="12.42578125" style="161" customWidth="1"/>
    <col min="4629" max="4635" width="8.85546875" style="161"/>
    <col min="4636" max="4659" width="4.7109375" style="161" customWidth="1"/>
    <col min="4660" max="4665" width="8.85546875" style="161"/>
    <col min="4666" max="4666" width="19" style="161" customWidth="1"/>
    <col min="4667" max="4712" width="8.85546875" style="161"/>
    <col min="4713" max="4736" width="4.7109375" style="161" customWidth="1"/>
    <col min="4737" max="4857" width="8.85546875" style="161"/>
    <col min="4858" max="4858" width="5.140625" style="161" customWidth="1"/>
    <col min="4859" max="4860" width="6.85546875" style="161" customWidth="1"/>
    <col min="4861" max="4861" width="23.42578125" style="161" customWidth="1"/>
    <col min="4862" max="4862" width="7.7109375" style="161" customWidth="1"/>
    <col min="4863" max="4863" width="6.28515625" style="161" customWidth="1"/>
    <col min="4864" max="4864" width="5" style="161" customWidth="1"/>
    <col min="4865" max="4865" width="8" style="161" customWidth="1"/>
    <col min="4866" max="4866" width="10.28515625" style="161" customWidth="1"/>
    <col min="4867" max="4867" width="10.7109375" style="161" customWidth="1"/>
    <col min="4868" max="4868" width="5.7109375" style="161" customWidth="1"/>
    <col min="4869" max="4869" width="8.7109375" style="161" customWidth="1"/>
    <col min="4870" max="4870" width="9.42578125" style="161" customWidth="1"/>
    <col min="4871" max="4871" width="5.7109375" style="161" customWidth="1"/>
    <col min="4872" max="4872" width="5.140625" style="161" customWidth="1"/>
    <col min="4873" max="4874" width="6.85546875" style="161" customWidth="1"/>
    <col min="4875" max="4875" width="25" style="161" customWidth="1"/>
    <col min="4876" max="4883" width="8.85546875" style="161"/>
    <col min="4884" max="4884" width="12.42578125" style="161" customWidth="1"/>
    <col min="4885" max="4891" width="8.85546875" style="161"/>
    <col min="4892" max="4915" width="4.7109375" style="161" customWidth="1"/>
    <col min="4916" max="4921" width="8.85546875" style="161"/>
    <col min="4922" max="4922" width="19" style="161" customWidth="1"/>
    <col min="4923" max="4968" width="8.85546875" style="161"/>
    <col min="4969" max="4992" width="4.7109375" style="161" customWidth="1"/>
    <col min="4993" max="5113" width="8.85546875" style="161"/>
    <col min="5114" max="5114" width="5.140625" style="161" customWidth="1"/>
    <col min="5115" max="5116" width="6.85546875" style="161" customWidth="1"/>
    <col min="5117" max="5117" width="23.42578125" style="161" customWidth="1"/>
    <col min="5118" max="5118" width="7.7109375" style="161" customWidth="1"/>
    <col min="5119" max="5119" width="6.28515625" style="161" customWidth="1"/>
    <col min="5120" max="5120" width="5" style="161" customWidth="1"/>
    <col min="5121" max="5121" width="8" style="161" customWidth="1"/>
    <col min="5122" max="5122" width="10.28515625" style="161" customWidth="1"/>
    <col min="5123" max="5123" width="10.7109375" style="161" customWidth="1"/>
    <col min="5124" max="5124" width="5.7109375" style="161" customWidth="1"/>
    <col min="5125" max="5125" width="8.7109375" style="161" customWidth="1"/>
    <col min="5126" max="5126" width="9.42578125" style="161" customWidth="1"/>
    <col min="5127" max="5127" width="5.7109375" style="161" customWidth="1"/>
    <col min="5128" max="5128" width="5.140625" style="161" customWidth="1"/>
    <col min="5129" max="5130" width="6.85546875" style="161" customWidth="1"/>
    <col min="5131" max="5131" width="25" style="161" customWidth="1"/>
    <col min="5132" max="5139" width="8.85546875" style="161"/>
    <col min="5140" max="5140" width="12.42578125" style="161" customWidth="1"/>
    <col min="5141" max="5147" width="8.85546875" style="161"/>
    <col min="5148" max="5171" width="4.7109375" style="161" customWidth="1"/>
    <col min="5172" max="5177" width="8.85546875" style="161"/>
    <col min="5178" max="5178" width="19" style="161" customWidth="1"/>
    <col min="5179" max="5224" width="8.85546875" style="161"/>
    <col min="5225" max="5248" width="4.7109375" style="161" customWidth="1"/>
    <col min="5249" max="5369" width="8.85546875" style="161"/>
    <col min="5370" max="5370" width="5.140625" style="161" customWidth="1"/>
    <col min="5371" max="5372" width="6.85546875" style="161" customWidth="1"/>
    <col min="5373" max="5373" width="23.42578125" style="161" customWidth="1"/>
    <col min="5374" max="5374" width="7.7109375" style="161" customWidth="1"/>
    <col min="5375" max="5375" width="6.28515625" style="161" customWidth="1"/>
    <col min="5376" max="5376" width="5" style="161" customWidth="1"/>
    <col min="5377" max="5377" width="8" style="161" customWidth="1"/>
    <col min="5378" max="5378" width="10.28515625" style="161" customWidth="1"/>
    <col min="5379" max="5379" width="10.7109375" style="161" customWidth="1"/>
    <col min="5380" max="5380" width="5.7109375" style="161" customWidth="1"/>
    <col min="5381" max="5381" width="8.7109375" style="161" customWidth="1"/>
    <col min="5382" max="5382" width="9.42578125" style="161" customWidth="1"/>
    <col min="5383" max="5383" width="5.7109375" style="161" customWidth="1"/>
    <col min="5384" max="5384" width="5.140625" style="161" customWidth="1"/>
    <col min="5385" max="5386" width="6.85546875" style="161" customWidth="1"/>
    <col min="5387" max="5387" width="25" style="161" customWidth="1"/>
    <col min="5388" max="5395" width="8.85546875" style="161"/>
    <col min="5396" max="5396" width="12.42578125" style="161" customWidth="1"/>
    <col min="5397" max="5403" width="8.85546875" style="161"/>
    <col min="5404" max="5427" width="4.7109375" style="161" customWidth="1"/>
    <col min="5428" max="5433" width="8.85546875" style="161"/>
    <col min="5434" max="5434" width="19" style="161" customWidth="1"/>
    <col min="5435" max="5480" width="8.85546875" style="161"/>
    <col min="5481" max="5504" width="4.7109375" style="161" customWidth="1"/>
    <col min="5505" max="5625" width="8.85546875" style="161"/>
    <col min="5626" max="5626" width="5.140625" style="161" customWidth="1"/>
    <col min="5627" max="5628" width="6.85546875" style="161" customWidth="1"/>
    <col min="5629" max="5629" width="23.42578125" style="161" customWidth="1"/>
    <col min="5630" max="5630" width="7.7109375" style="161" customWidth="1"/>
    <col min="5631" max="5631" width="6.28515625" style="161" customWidth="1"/>
    <col min="5632" max="5632" width="5" style="161" customWidth="1"/>
    <col min="5633" max="5633" width="8" style="161" customWidth="1"/>
    <col min="5634" max="5634" width="10.28515625" style="161" customWidth="1"/>
    <col min="5635" max="5635" width="10.7109375" style="161" customWidth="1"/>
    <col min="5636" max="5636" width="5.7109375" style="161" customWidth="1"/>
    <col min="5637" max="5637" width="8.7109375" style="161" customWidth="1"/>
    <col min="5638" max="5638" width="9.42578125" style="161" customWidth="1"/>
    <col min="5639" max="5639" width="5.7109375" style="161" customWidth="1"/>
    <col min="5640" max="5640" width="5.140625" style="161" customWidth="1"/>
    <col min="5641" max="5642" width="6.85546875" style="161" customWidth="1"/>
    <col min="5643" max="5643" width="25" style="161" customWidth="1"/>
    <col min="5644" max="5651" width="8.85546875" style="161"/>
    <col min="5652" max="5652" width="12.42578125" style="161" customWidth="1"/>
    <col min="5653" max="5659" width="8.85546875" style="161"/>
    <col min="5660" max="5683" width="4.7109375" style="161" customWidth="1"/>
    <col min="5684" max="5689" width="8.85546875" style="161"/>
    <col min="5690" max="5690" width="19" style="161" customWidth="1"/>
    <col min="5691" max="5736" width="8.85546875" style="161"/>
    <col min="5737" max="5760" width="4.7109375" style="161" customWidth="1"/>
    <col min="5761" max="5881" width="8.85546875" style="161"/>
    <col min="5882" max="5882" width="5.140625" style="161" customWidth="1"/>
    <col min="5883" max="5884" width="6.85546875" style="161" customWidth="1"/>
    <col min="5885" max="5885" width="23.42578125" style="161" customWidth="1"/>
    <col min="5886" max="5886" width="7.7109375" style="161" customWidth="1"/>
    <col min="5887" max="5887" width="6.28515625" style="161" customWidth="1"/>
    <col min="5888" max="5888" width="5" style="161" customWidth="1"/>
    <col min="5889" max="5889" width="8" style="161" customWidth="1"/>
    <col min="5890" max="5890" width="10.28515625" style="161" customWidth="1"/>
    <col min="5891" max="5891" width="10.7109375" style="161" customWidth="1"/>
    <col min="5892" max="5892" width="5.7109375" style="161" customWidth="1"/>
    <col min="5893" max="5893" width="8.7109375" style="161" customWidth="1"/>
    <col min="5894" max="5894" width="9.42578125" style="161" customWidth="1"/>
    <col min="5895" max="5895" width="5.7109375" style="161" customWidth="1"/>
    <col min="5896" max="5896" width="5.140625" style="161" customWidth="1"/>
    <col min="5897" max="5898" width="6.85546875" style="161" customWidth="1"/>
    <col min="5899" max="5899" width="25" style="161" customWidth="1"/>
    <col min="5900" max="5907" width="8.85546875" style="161"/>
    <col min="5908" max="5908" width="12.42578125" style="161" customWidth="1"/>
    <col min="5909" max="5915" width="8.85546875" style="161"/>
    <col min="5916" max="5939" width="4.7109375" style="161" customWidth="1"/>
    <col min="5940" max="5945" width="8.85546875" style="161"/>
    <col min="5946" max="5946" width="19" style="161" customWidth="1"/>
    <col min="5947" max="5992" width="8.85546875" style="161"/>
    <col min="5993" max="6016" width="4.7109375" style="161" customWidth="1"/>
    <col min="6017" max="6137" width="8.85546875" style="161"/>
    <col min="6138" max="6138" width="5.140625" style="161" customWidth="1"/>
    <col min="6139" max="6140" width="6.85546875" style="161" customWidth="1"/>
    <col min="6141" max="6141" width="23.42578125" style="161" customWidth="1"/>
    <col min="6142" max="6142" width="7.7109375" style="161" customWidth="1"/>
    <col min="6143" max="6143" width="6.28515625" style="161" customWidth="1"/>
    <col min="6144" max="6144" width="5" style="161" customWidth="1"/>
    <col min="6145" max="6145" width="8" style="161" customWidth="1"/>
    <col min="6146" max="6146" width="10.28515625" style="161" customWidth="1"/>
    <col min="6147" max="6147" width="10.7109375" style="161" customWidth="1"/>
    <col min="6148" max="6148" width="5.7109375" style="161" customWidth="1"/>
    <col min="6149" max="6149" width="8.7109375" style="161" customWidth="1"/>
    <col min="6150" max="6150" width="9.42578125" style="161" customWidth="1"/>
    <col min="6151" max="6151" width="5.7109375" style="161" customWidth="1"/>
    <col min="6152" max="6152" width="5.140625" style="161" customWidth="1"/>
    <col min="6153" max="6154" width="6.85546875" style="161" customWidth="1"/>
    <col min="6155" max="6155" width="25" style="161" customWidth="1"/>
    <col min="6156" max="6163" width="8.85546875" style="161"/>
    <col min="6164" max="6164" width="12.42578125" style="161" customWidth="1"/>
    <col min="6165" max="6171" width="8.85546875" style="161"/>
    <col min="6172" max="6195" width="4.7109375" style="161" customWidth="1"/>
    <col min="6196" max="6201" width="8.85546875" style="161"/>
    <col min="6202" max="6202" width="19" style="161" customWidth="1"/>
    <col min="6203" max="6248" width="8.85546875" style="161"/>
    <col min="6249" max="6272" width="4.7109375" style="161" customWidth="1"/>
    <col min="6273" max="6393" width="8.85546875" style="161"/>
    <col min="6394" max="6394" width="5.140625" style="161" customWidth="1"/>
    <col min="6395" max="6396" width="6.85546875" style="161" customWidth="1"/>
    <col min="6397" max="6397" width="23.42578125" style="161" customWidth="1"/>
    <col min="6398" max="6398" width="7.7109375" style="161" customWidth="1"/>
    <col min="6399" max="6399" width="6.28515625" style="161" customWidth="1"/>
    <col min="6400" max="6400" width="5" style="161" customWidth="1"/>
    <col min="6401" max="6401" width="8" style="161" customWidth="1"/>
    <col min="6402" max="6402" width="10.28515625" style="161" customWidth="1"/>
    <col min="6403" max="6403" width="10.7109375" style="161" customWidth="1"/>
    <col min="6404" max="6404" width="5.7109375" style="161" customWidth="1"/>
    <col min="6405" max="6405" width="8.7109375" style="161" customWidth="1"/>
    <col min="6406" max="6406" width="9.42578125" style="161" customWidth="1"/>
    <col min="6407" max="6407" width="5.7109375" style="161" customWidth="1"/>
    <col min="6408" max="6408" width="5.140625" style="161" customWidth="1"/>
    <col min="6409" max="6410" width="6.85546875" style="161" customWidth="1"/>
    <col min="6411" max="6411" width="25" style="161" customWidth="1"/>
    <col min="6412" max="6419" width="8.85546875" style="161"/>
    <col min="6420" max="6420" width="12.42578125" style="161" customWidth="1"/>
    <col min="6421" max="6427" width="8.85546875" style="161"/>
    <col min="6428" max="6451" width="4.7109375" style="161" customWidth="1"/>
    <col min="6452" max="6457" width="8.85546875" style="161"/>
    <col min="6458" max="6458" width="19" style="161" customWidth="1"/>
    <col min="6459" max="6504" width="8.85546875" style="161"/>
    <col min="6505" max="6528" width="4.7109375" style="161" customWidth="1"/>
    <col min="6529" max="6649" width="8.85546875" style="161"/>
    <col min="6650" max="6650" width="5.140625" style="161" customWidth="1"/>
    <col min="6651" max="6652" width="6.85546875" style="161" customWidth="1"/>
    <col min="6653" max="6653" width="23.42578125" style="161" customWidth="1"/>
    <col min="6654" max="6654" width="7.7109375" style="161" customWidth="1"/>
    <col min="6655" max="6655" width="6.28515625" style="161" customWidth="1"/>
    <col min="6656" max="6656" width="5" style="161" customWidth="1"/>
    <col min="6657" max="6657" width="8" style="161" customWidth="1"/>
    <col min="6658" max="6658" width="10.28515625" style="161" customWidth="1"/>
    <col min="6659" max="6659" width="10.7109375" style="161" customWidth="1"/>
    <col min="6660" max="6660" width="5.7109375" style="161" customWidth="1"/>
    <col min="6661" max="6661" width="8.7109375" style="161" customWidth="1"/>
    <col min="6662" max="6662" width="9.42578125" style="161" customWidth="1"/>
    <col min="6663" max="6663" width="5.7109375" style="161" customWidth="1"/>
    <col min="6664" max="6664" width="5.140625" style="161" customWidth="1"/>
    <col min="6665" max="6666" width="6.85546875" style="161" customWidth="1"/>
    <col min="6667" max="6667" width="25" style="161" customWidth="1"/>
    <col min="6668" max="6675" width="8.85546875" style="161"/>
    <col min="6676" max="6676" width="12.42578125" style="161" customWidth="1"/>
    <col min="6677" max="6683" width="8.85546875" style="161"/>
    <col min="6684" max="6707" width="4.7109375" style="161" customWidth="1"/>
    <col min="6708" max="6713" width="8.85546875" style="161"/>
    <col min="6714" max="6714" width="19" style="161" customWidth="1"/>
    <col min="6715" max="6760" width="8.85546875" style="161"/>
    <col min="6761" max="6784" width="4.7109375" style="161" customWidth="1"/>
    <col min="6785" max="6905" width="8.85546875" style="161"/>
    <col min="6906" max="6906" width="5.140625" style="161" customWidth="1"/>
    <col min="6907" max="6908" width="6.85546875" style="161" customWidth="1"/>
    <col min="6909" max="6909" width="23.42578125" style="161" customWidth="1"/>
    <col min="6910" max="6910" width="7.7109375" style="161" customWidth="1"/>
    <col min="6911" max="6911" width="6.28515625" style="161" customWidth="1"/>
    <col min="6912" max="6912" width="5" style="161" customWidth="1"/>
    <col min="6913" max="6913" width="8" style="161" customWidth="1"/>
    <col min="6914" max="6914" width="10.28515625" style="161" customWidth="1"/>
    <col min="6915" max="6915" width="10.7109375" style="161" customWidth="1"/>
    <col min="6916" max="6916" width="5.7109375" style="161" customWidth="1"/>
    <col min="6917" max="6917" width="8.7109375" style="161" customWidth="1"/>
    <col min="6918" max="6918" width="9.42578125" style="161" customWidth="1"/>
    <col min="6919" max="6919" width="5.7109375" style="161" customWidth="1"/>
    <col min="6920" max="6920" width="5.140625" style="161" customWidth="1"/>
    <col min="6921" max="6922" width="6.85546875" style="161" customWidth="1"/>
    <col min="6923" max="6923" width="25" style="161" customWidth="1"/>
    <col min="6924" max="6931" width="8.85546875" style="161"/>
    <col min="6932" max="6932" width="12.42578125" style="161" customWidth="1"/>
    <col min="6933" max="6939" width="8.85546875" style="161"/>
    <col min="6940" max="6963" width="4.7109375" style="161" customWidth="1"/>
    <col min="6964" max="6969" width="8.85546875" style="161"/>
    <col min="6970" max="6970" width="19" style="161" customWidth="1"/>
    <col min="6971" max="7016" width="8.85546875" style="161"/>
    <col min="7017" max="7040" width="4.7109375" style="161" customWidth="1"/>
    <col min="7041" max="7161" width="8.85546875" style="161"/>
    <col min="7162" max="7162" width="5.140625" style="161" customWidth="1"/>
    <col min="7163" max="7164" width="6.85546875" style="161" customWidth="1"/>
    <col min="7165" max="7165" width="23.42578125" style="161" customWidth="1"/>
    <col min="7166" max="7166" width="7.7109375" style="161" customWidth="1"/>
    <col min="7167" max="7167" width="6.28515625" style="161" customWidth="1"/>
    <col min="7168" max="7168" width="5" style="161" customWidth="1"/>
    <col min="7169" max="7169" width="8" style="161" customWidth="1"/>
    <col min="7170" max="7170" width="10.28515625" style="161" customWidth="1"/>
    <col min="7171" max="7171" width="10.7109375" style="161" customWidth="1"/>
    <col min="7172" max="7172" width="5.7109375" style="161" customWidth="1"/>
    <col min="7173" max="7173" width="8.7109375" style="161" customWidth="1"/>
    <col min="7174" max="7174" width="9.42578125" style="161" customWidth="1"/>
    <col min="7175" max="7175" width="5.7109375" style="161" customWidth="1"/>
    <col min="7176" max="7176" width="5.140625" style="161" customWidth="1"/>
    <col min="7177" max="7178" width="6.85546875" style="161" customWidth="1"/>
    <col min="7179" max="7179" width="25" style="161" customWidth="1"/>
    <col min="7180" max="7187" width="8.85546875" style="161"/>
    <col min="7188" max="7188" width="12.42578125" style="161" customWidth="1"/>
    <col min="7189" max="7195" width="8.85546875" style="161"/>
    <col min="7196" max="7219" width="4.7109375" style="161" customWidth="1"/>
    <col min="7220" max="7225" width="8.85546875" style="161"/>
    <col min="7226" max="7226" width="19" style="161" customWidth="1"/>
    <col min="7227" max="7272" width="8.85546875" style="161"/>
    <col min="7273" max="7296" width="4.7109375" style="161" customWidth="1"/>
    <col min="7297" max="7417" width="8.85546875" style="161"/>
    <col min="7418" max="7418" width="5.140625" style="161" customWidth="1"/>
    <col min="7419" max="7420" width="6.85546875" style="161" customWidth="1"/>
    <col min="7421" max="7421" width="23.42578125" style="161" customWidth="1"/>
    <col min="7422" max="7422" width="7.7109375" style="161" customWidth="1"/>
    <col min="7423" max="7423" width="6.28515625" style="161" customWidth="1"/>
    <col min="7424" max="7424" width="5" style="161" customWidth="1"/>
    <col min="7425" max="7425" width="8" style="161" customWidth="1"/>
    <col min="7426" max="7426" width="10.28515625" style="161" customWidth="1"/>
    <col min="7427" max="7427" width="10.7109375" style="161" customWidth="1"/>
    <col min="7428" max="7428" width="5.7109375" style="161" customWidth="1"/>
    <col min="7429" max="7429" width="8.7109375" style="161" customWidth="1"/>
    <col min="7430" max="7430" width="9.42578125" style="161" customWidth="1"/>
    <col min="7431" max="7431" width="5.7109375" style="161" customWidth="1"/>
    <col min="7432" max="7432" width="5.140625" style="161" customWidth="1"/>
    <col min="7433" max="7434" width="6.85546875" style="161" customWidth="1"/>
    <col min="7435" max="7435" width="25" style="161" customWidth="1"/>
    <col min="7436" max="7443" width="8.85546875" style="161"/>
    <col min="7444" max="7444" width="12.42578125" style="161" customWidth="1"/>
    <col min="7445" max="7451" width="8.85546875" style="161"/>
    <col min="7452" max="7475" width="4.7109375" style="161" customWidth="1"/>
    <col min="7476" max="7481" width="8.85546875" style="161"/>
    <col min="7482" max="7482" width="19" style="161" customWidth="1"/>
    <col min="7483" max="7528" width="8.85546875" style="161"/>
    <col min="7529" max="7552" width="4.7109375" style="161" customWidth="1"/>
    <col min="7553" max="7673" width="8.85546875" style="161"/>
    <col min="7674" max="7674" width="5.140625" style="161" customWidth="1"/>
    <col min="7675" max="7676" width="6.85546875" style="161" customWidth="1"/>
    <col min="7677" max="7677" width="23.42578125" style="161" customWidth="1"/>
    <col min="7678" max="7678" width="7.7109375" style="161" customWidth="1"/>
    <col min="7679" max="7679" width="6.28515625" style="161" customWidth="1"/>
    <col min="7680" max="7680" width="5" style="161" customWidth="1"/>
    <col min="7681" max="7681" width="8" style="161" customWidth="1"/>
    <col min="7682" max="7682" width="10.28515625" style="161" customWidth="1"/>
    <col min="7683" max="7683" width="10.7109375" style="161" customWidth="1"/>
    <col min="7684" max="7684" width="5.7109375" style="161" customWidth="1"/>
    <col min="7685" max="7685" width="8.7109375" style="161" customWidth="1"/>
    <col min="7686" max="7686" width="9.42578125" style="161" customWidth="1"/>
    <col min="7687" max="7687" width="5.7109375" style="161" customWidth="1"/>
    <col min="7688" max="7688" width="5.140625" style="161" customWidth="1"/>
    <col min="7689" max="7690" width="6.85546875" style="161" customWidth="1"/>
    <col min="7691" max="7691" width="25" style="161" customWidth="1"/>
    <col min="7692" max="7699" width="8.85546875" style="161"/>
    <col min="7700" max="7700" width="12.42578125" style="161" customWidth="1"/>
    <col min="7701" max="7707" width="8.85546875" style="161"/>
    <col min="7708" max="7731" width="4.7109375" style="161" customWidth="1"/>
    <col min="7732" max="7737" width="8.85546875" style="161"/>
    <col min="7738" max="7738" width="19" style="161" customWidth="1"/>
    <col min="7739" max="7784" width="8.85546875" style="161"/>
    <col min="7785" max="7808" width="4.7109375" style="161" customWidth="1"/>
    <col min="7809" max="7929" width="8.85546875" style="161"/>
    <col min="7930" max="7930" width="5.140625" style="161" customWidth="1"/>
    <col min="7931" max="7932" width="6.85546875" style="161" customWidth="1"/>
    <col min="7933" max="7933" width="23.42578125" style="161" customWidth="1"/>
    <col min="7934" max="7934" width="7.7109375" style="161" customWidth="1"/>
    <col min="7935" max="7935" width="6.28515625" style="161" customWidth="1"/>
    <col min="7936" max="7936" width="5" style="161" customWidth="1"/>
    <col min="7937" max="7937" width="8" style="161" customWidth="1"/>
    <col min="7938" max="7938" width="10.28515625" style="161" customWidth="1"/>
    <col min="7939" max="7939" width="10.7109375" style="161" customWidth="1"/>
    <col min="7940" max="7940" width="5.7109375" style="161" customWidth="1"/>
    <col min="7941" max="7941" width="8.7109375" style="161" customWidth="1"/>
    <col min="7942" max="7942" width="9.42578125" style="161" customWidth="1"/>
    <col min="7943" max="7943" width="5.7109375" style="161" customWidth="1"/>
    <col min="7944" max="7944" width="5.140625" style="161" customWidth="1"/>
    <col min="7945" max="7946" width="6.85546875" style="161" customWidth="1"/>
    <col min="7947" max="7947" width="25" style="161" customWidth="1"/>
    <col min="7948" max="7955" width="8.85546875" style="161"/>
    <col min="7956" max="7956" width="12.42578125" style="161" customWidth="1"/>
    <col min="7957" max="7963" width="8.85546875" style="161"/>
    <col min="7964" max="7987" width="4.7109375" style="161" customWidth="1"/>
    <col min="7988" max="7993" width="8.85546875" style="161"/>
    <col min="7994" max="7994" width="19" style="161" customWidth="1"/>
    <col min="7995" max="8040" width="8.85546875" style="161"/>
    <col min="8041" max="8064" width="4.7109375" style="161" customWidth="1"/>
    <col min="8065" max="8185" width="8.85546875" style="161"/>
    <col min="8186" max="8186" width="5.140625" style="161" customWidth="1"/>
    <col min="8187" max="8188" width="6.85546875" style="161" customWidth="1"/>
    <col min="8189" max="8189" width="23.42578125" style="161" customWidth="1"/>
    <col min="8190" max="8190" width="7.7109375" style="161" customWidth="1"/>
    <col min="8191" max="8191" width="6.28515625" style="161" customWidth="1"/>
    <col min="8192" max="8192" width="5" style="161" customWidth="1"/>
    <col min="8193" max="8193" width="8" style="161" customWidth="1"/>
    <col min="8194" max="8194" width="10.28515625" style="161" customWidth="1"/>
    <col min="8195" max="8195" width="10.7109375" style="161" customWidth="1"/>
    <col min="8196" max="8196" width="5.7109375" style="161" customWidth="1"/>
    <col min="8197" max="8197" width="8.7109375" style="161" customWidth="1"/>
    <col min="8198" max="8198" width="9.42578125" style="161" customWidth="1"/>
    <col min="8199" max="8199" width="5.7109375" style="161" customWidth="1"/>
    <col min="8200" max="8200" width="5.140625" style="161" customWidth="1"/>
    <col min="8201" max="8202" width="6.85546875" style="161" customWidth="1"/>
    <col min="8203" max="8203" width="25" style="161" customWidth="1"/>
    <col min="8204" max="8211" width="8.85546875" style="161"/>
    <col min="8212" max="8212" width="12.42578125" style="161" customWidth="1"/>
    <col min="8213" max="8219" width="8.85546875" style="161"/>
    <col min="8220" max="8243" width="4.7109375" style="161" customWidth="1"/>
    <col min="8244" max="8249" width="8.85546875" style="161"/>
    <col min="8250" max="8250" width="19" style="161" customWidth="1"/>
    <col min="8251" max="8296" width="8.85546875" style="161"/>
    <col min="8297" max="8320" width="4.7109375" style="161" customWidth="1"/>
    <col min="8321" max="8441" width="8.85546875" style="161"/>
    <col min="8442" max="8442" width="5.140625" style="161" customWidth="1"/>
    <col min="8443" max="8444" width="6.85546875" style="161" customWidth="1"/>
    <col min="8445" max="8445" width="23.42578125" style="161" customWidth="1"/>
    <col min="8446" max="8446" width="7.7109375" style="161" customWidth="1"/>
    <col min="8447" max="8447" width="6.28515625" style="161" customWidth="1"/>
    <col min="8448" max="8448" width="5" style="161" customWidth="1"/>
    <col min="8449" max="8449" width="8" style="161" customWidth="1"/>
    <col min="8450" max="8450" width="10.28515625" style="161" customWidth="1"/>
    <col min="8451" max="8451" width="10.7109375" style="161" customWidth="1"/>
    <col min="8452" max="8452" width="5.7109375" style="161" customWidth="1"/>
    <col min="8453" max="8453" width="8.7109375" style="161" customWidth="1"/>
    <col min="8454" max="8454" width="9.42578125" style="161" customWidth="1"/>
    <col min="8455" max="8455" width="5.7109375" style="161" customWidth="1"/>
    <col min="8456" max="8456" width="5.140625" style="161" customWidth="1"/>
    <col min="8457" max="8458" width="6.85546875" style="161" customWidth="1"/>
    <col min="8459" max="8459" width="25" style="161" customWidth="1"/>
    <col min="8460" max="8467" width="8.85546875" style="161"/>
    <col min="8468" max="8468" width="12.42578125" style="161" customWidth="1"/>
    <col min="8469" max="8475" width="8.85546875" style="161"/>
    <col min="8476" max="8499" width="4.7109375" style="161" customWidth="1"/>
    <col min="8500" max="8505" width="8.85546875" style="161"/>
    <col min="8506" max="8506" width="19" style="161" customWidth="1"/>
    <col min="8507" max="8552" width="8.85546875" style="161"/>
    <col min="8553" max="8576" width="4.7109375" style="161" customWidth="1"/>
    <col min="8577" max="8697" width="8.85546875" style="161"/>
    <col min="8698" max="8698" width="5.140625" style="161" customWidth="1"/>
    <col min="8699" max="8700" width="6.85546875" style="161" customWidth="1"/>
    <col min="8701" max="8701" width="23.42578125" style="161" customWidth="1"/>
    <col min="8702" max="8702" width="7.7109375" style="161" customWidth="1"/>
    <col min="8703" max="8703" width="6.28515625" style="161" customWidth="1"/>
    <col min="8704" max="8704" width="5" style="161" customWidth="1"/>
    <col min="8705" max="8705" width="8" style="161" customWidth="1"/>
    <col min="8706" max="8706" width="10.28515625" style="161" customWidth="1"/>
    <col min="8707" max="8707" width="10.7109375" style="161" customWidth="1"/>
    <col min="8708" max="8708" width="5.7109375" style="161" customWidth="1"/>
    <col min="8709" max="8709" width="8.7109375" style="161" customWidth="1"/>
    <col min="8710" max="8710" width="9.42578125" style="161" customWidth="1"/>
    <col min="8711" max="8711" width="5.7109375" style="161" customWidth="1"/>
    <col min="8712" max="8712" width="5.140625" style="161" customWidth="1"/>
    <col min="8713" max="8714" width="6.85546875" style="161" customWidth="1"/>
    <col min="8715" max="8715" width="25" style="161" customWidth="1"/>
    <col min="8716" max="8723" width="8.85546875" style="161"/>
    <col min="8724" max="8724" width="12.42578125" style="161" customWidth="1"/>
    <col min="8725" max="8731" width="8.85546875" style="161"/>
    <col min="8732" max="8755" width="4.7109375" style="161" customWidth="1"/>
    <col min="8756" max="8761" width="8.85546875" style="161"/>
    <col min="8762" max="8762" width="19" style="161" customWidth="1"/>
    <col min="8763" max="8808" width="8.85546875" style="161"/>
    <col min="8809" max="8832" width="4.7109375" style="161" customWidth="1"/>
    <col min="8833" max="8953" width="8.85546875" style="161"/>
    <col min="8954" max="8954" width="5.140625" style="161" customWidth="1"/>
    <col min="8955" max="8956" width="6.85546875" style="161" customWidth="1"/>
    <col min="8957" max="8957" width="23.42578125" style="161" customWidth="1"/>
    <col min="8958" max="8958" width="7.7109375" style="161" customWidth="1"/>
    <col min="8959" max="8959" width="6.28515625" style="161" customWidth="1"/>
    <col min="8960" max="8960" width="5" style="161" customWidth="1"/>
    <col min="8961" max="8961" width="8" style="161" customWidth="1"/>
    <col min="8962" max="8962" width="10.28515625" style="161" customWidth="1"/>
    <col min="8963" max="8963" width="10.7109375" style="161" customWidth="1"/>
    <col min="8964" max="8964" width="5.7109375" style="161" customWidth="1"/>
    <col min="8965" max="8965" width="8.7109375" style="161" customWidth="1"/>
    <col min="8966" max="8966" width="9.42578125" style="161" customWidth="1"/>
    <col min="8967" max="8967" width="5.7109375" style="161" customWidth="1"/>
    <col min="8968" max="8968" width="5.140625" style="161" customWidth="1"/>
    <col min="8969" max="8970" width="6.85546875" style="161" customWidth="1"/>
    <col min="8971" max="8971" width="25" style="161" customWidth="1"/>
    <col min="8972" max="8979" width="8.85546875" style="161"/>
    <col min="8980" max="8980" width="12.42578125" style="161" customWidth="1"/>
    <col min="8981" max="8987" width="8.85546875" style="161"/>
    <col min="8988" max="9011" width="4.7109375" style="161" customWidth="1"/>
    <col min="9012" max="9017" width="8.85546875" style="161"/>
    <col min="9018" max="9018" width="19" style="161" customWidth="1"/>
    <col min="9019" max="9064" width="8.85546875" style="161"/>
    <col min="9065" max="9088" width="4.7109375" style="161" customWidth="1"/>
    <col min="9089" max="9209" width="8.85546875" style="161"/>
    <col min="9210" max="9210" width="5.140625" style="161" customWidth="1"/>
    <col min="9211" max="9212" width="6.85546875" style="161" customWidth="1"/>
    <col min="9213" max="9213" width="23.42578125" style="161" customWidth="1"/>
    <col min="9214" max="9214" width="7.7109375" style="161" customWidth="1"/>
    <col min="9215" max="9215" width="6.28515625" style="161" customWidth="1"/>
    <col min="9216" max="9216" width="5" style="161" customWidth="1"/>
    <col min="9217" max="9217" width="8" style="161" customWidth="1"/>
    <col min="9218" max="9218" width="10.28515625" style="161" customWidth="1"/>
    <col min="9219" max="9219" width="10.7109375" style="161" customWidth="1"/>
    <col min="9220" max="9220" width="5.7109375" style="161" customWidth="1"/>
    <col min="9221" max="9221" width="8.7109375" style="161" customWidth="1"/>
    <col min="9222" max="9222" width="9.42578125" style="161" customWidth="1"/>
    <col min="9223" max="9223" width="5.7109375" style="161" customWidth="1"/>
    <col min="9224" max="9224" width="5.140625" style="161" customWidth="1"/>
    <col min="9225" max="9226" width="6.85546875" style="161" customWidth="1"/>
    <col min="9227" max="9227" width="25" style="161" customWidth="1"/>
    <col min="9228" max="9235" width="8.85546875" style="161"/>
    <col min="9236" max="9236" width="12.42578125" style="161" customWidth="1"/>
    <col min="9237" max="9243" width="8.85546875" style="161"/>
    <col min="9244" max="9267" width="4.7109375" style="161" customWidth="1"/>
    <col min="9268" max="9273" width="8.85546875" style="161"/>
    <col min="9274" max="9274" width="19" style="161" customWidth="1"/>
    <col min="9275" max="9320" width="8.85546875" style="161"/>
    <col min="9321" max="9344" width="4.7109375" style="161" customWidth="1"/>
    <col min="9345" max="9465" width="8.85546875" style="161"/>
    <col min="9466" max="9466" width="5.140625" style="161" customWidth="1"/>
    <col min="9467" max="9468" width="6.85546875" style="161" customWidth="1"/>
    <col min="9469" max="9469" width="23.42578125" style="161" customWidth="1"/>
    <col min="9470" max="9470" width="7.7109375" style="161" customWidth="1"/>
    <col min="9471" max="9471" width="6.28515625" style="161" customWidth="1"/>
    <col min="9472" max="9472" width="5" style="161" customWidth="1"/>
    <col min="9473" max="9473" width="8" style="161" customWidth="1"/>
    <col min="9474" max="9474" width="10.28515625" style="161" customWidth="1"/>
    <col min="9475" max="9475" width="10.7109375" style="161" customWidth="1"/>
    <col min="9476" max="9476" width="5.7109375" style="161" customWidth="1"/>
    <col min="9477" max="9477" width="8.7109375" style="161" customWidth="1"/>
    <col min="9478" max="9478" width="9.42578125" style="161" customWidth="1"/>
    <col min="9479" max="9479" width="5.7109375" style="161" customWidth="1"/>
    <col min="9480" max="9480" width="5.140625" style="161" customWidth="1"/>
    <col min="9481" max="9482" width="6.85546875" style="161" customWidth="1"/>
    <col min="9483" max="9483" width="25" style="161" customWidth="1"/>
    <col min="9484" max="9491" width="8.85546875" style="161"/>
    <col min="9492" max="9492" width="12.42578125" style="161" customWidth="1"/>
    <col min="9493" max="9499" width="8.85546875" style="161"/>
    <col min="9500" max="9523" width="4.7109375" style="161" customWidth="1"/>
    <col min="9524" max="9529" width="8.85546875" style="161"/>
    <col min="9530" max="9530" width="19" style="161" customWidth="1"/>
    <col min="9531" max="9576" width="8.85546875" style="161"/>
    <col min="9577" max="9600" width="4.7109375" style="161" customWidth="1"/>
    <col min="9601" max="9721" width="8.85546875" style="161"/>
    <col min="9722" max="9722" width="5.140625" style="161" customWidth="1"/>
    <col min="9723" max="9724" width="6.85546875" style="161" customWidth="1"/>
    <col min="9725" max="9725" width="23.42578125" style="161" customWidth="1"/>
    <col min="9726" max="9726" width="7.7109375" style="161" customWidth="1"/>
    <col min="9727" max="9727" width="6.28515625" style="161" customWidth="1"/>
    <col min="9728" max="9728" width="5" style="161" customWidth="1"/>
    <col min="9729" max="9729" width="8" style="161" customWidth="1"/>
    <col min="9730" max="9730" width="10.28515625" style="161" customWidth="1"/>
    <col min="9731" max="9731" width="10.7109375" style="161" customWidth="1"/>
    <col min="9732" max="9732" width="5.7109375" style="161" customWidth="1"/>
    <col min="9733" max="9733" width="8.7109375" style="161" customWidth="1"/>
    <col min="9734" max="9734" width="9.42578125" style="161" customWidth="1"/>
    <col min="9735" max="9735" width="5.7109375" style="161" customWidth="1"/>
    <col min="9736" max="9736" width="5.140625" style="161" customWidth="1"/>
    <col min="9737" max="9738" width="6.85546875" style="161" customWidth="1"/>
    <col min="9739" max="9739" width="25" style="161" customWidth="1"/>
    <col min="9740" max="9747" width="8.85546875" style="161"/>
    <col min="9748" max="9748" width="12.42578125" style="161" customWidth="1"/>
    <col min="9749" max="9755" width="8.85546875" style="161"/>
    <col min="9756" max="9779" width="4.7109375" style="161" customWidth="1"/>
    <col min="9780" max="9785" width="8.85546875" style="161"/>
    <col min="9786" max="9786" width="19" style="161" customWidth="1"/>
    <col min="9787" max="9832" width="8.85546875" style="161"/>
    <col min="9833" max="9856" width="4.7109375" style="161" customWidth="1"/>
    <col min="9857" max="9977" width="8.85546875" style="161"/>
    <col min="9978" max="9978" width="5.140625" style="161" customWidth="1"/>
    <col min="9979" max="9980" width="6.85546875" style="161" customWidth="1"/>
    <col min="9981" max="9981" width="23.42578125" style="161" customWidth="1"/>
    <col min="9982" max="9982" width="7.7109375" style="161" customWidth="1"/>
    <col min="9983" max="9983" width="6.28515625" style="161" customWidth="1"/>
    <col min="9984" max="9984" width="5" style="161" customWidth="1"/>
    <col min="9985" max="9985" width="8" style="161" customWidth="1"/>
    <col min="9986" max="9986" width="10.28515625" style="161" customWidth="1"/>
    <col min="9987" max="9987" width="10.7109375" style="161" customWidth="1"/>
    <col min="9988" max="9988" width="5.7109375" style="161" customWidth="1"/>
    <col min="9989" max="9989" width="8.7109375" style="161" customWidth="1"/>
    <col min="9990" max="9990" width="9.42578125" style="161" customWidth="1"/>
    <col min="9991" max="9991" width="5.7109375" style="161" customWidth="1"/>
    <col min="9992" max="9992" width="5.140625" style="161" customWidth="1"/>
    <col min="9993" max="9994" width="6.85546875" style="161" customWidth="1"/>
    <col min="9995" max="9995" width="25" style="161" customWidth="1"/>
    <col min="9996" max="10003" width="8.85546875" style="161"/>
    <col min="10004" max="10004" width="12.42578125" style="161" customWidth="1"/>
    <col min="10005" max="10011" width="8.85546875" style="161"/>
    <col min="10012" max="10035" width="4.7109375" style="161" customWidth="1"/>
    <col min="10036" max="10041" width="8.85546875" style="161"/>
    <col min="10042" max="10042" width="19" style="161" customWidth="1"/>
    <col min="10043" max="10088" width="8.85546875" style="161"/>
    <col min="10089" max="10112" width="4.7109375" style="161" customWidth="1"/>
    <col min="10113" max="10233" width="8.85546875" style="161"/>
    <col min="10234" max="10234" width="5.140625" style="161" customWidth="1"/>
    <col min="10235" max="10236" width="6.85546875" style="161" customWidth="1"/>
    <col min="10237" max="10237" width="23.42578125" style="161" customWidth="1"/>
    <col min="10238" max="10238" width="7.7109375" style="161" customWidth="1"/>
    <col min="10239" max="10239" width="6.28515625" style="161" customWidth="1"/>
    <col min="10240" max="10240" width="5" style="161" customWidth="1"/>
    <col min="10241" max="10241" width="8" style="161" customWidth="1"/>
    <col min="10242" max="10242" width="10.28515625" style="161" customWidth="1"/>
    <col min="10243" max="10243" width="10.7109375" style="161" customWidth="1"/>
    <col min="10244" max="10244" width="5.7109375" style="161" customWidth="1"/>
    <col min="10245" max="10245" width="8.7109375" style="161" customWidth="1"/>
    <col min="10246" max="10246" width="9.42578125" style="161" customWidth="1"/>
    <col min="10247" max="10247" width="5.7109375" style="161" customWidth="1"/>
    <col min="10248" max="10248" width="5.140625" style="161" customWidth="1"/>
    <col min="10249" max="10250" width="6.85546875" style="161" customWidth="1"/>
    <col min="10251" max="10251" width="25" style="161" customWidth="1"/>
    <col min="10252" max="10259" width="8.85546875" style="161"/>
    <col min="10260" max="10260" width="12.42578125" style="161" customWidth="1"/>
    <col min="10261" max="10267" width="8.85546875" style="161"/>
    <col min="10268" max="10291" width="4.7109375" style="161" customWidth="1"/>
    <col min="10292" max="10297" width="8.85546875" style="161"/>
    <col min="10298" max="10298" width="19" style="161" customWidth="1"/>
    <col min="10299" max="10344" width="8.85546875" style="161"/>
    <col min="10345" max="10368" width="4.7109375" style="161" customWidth="1"/>
    <col min="10369" max="10489" width="8.85546875" style="161"/>
    <col min="10490" max="10490" width="5.140625" style="161" customWidth="1"/>
    <col min="10491" max="10492" width="6.85546875" style="161" customWidth="1"/>
    <col min="10493" max="10493" width="23.42578125" style="161" customWidth="1"/>
    <col min="10494" max="10494" width="7.7109375" style="161" customWidth="1"/>
    <col min="10495" max="10495" width="6.28515625" style="161" customWidth="1"/>
    <col min="10496" max="10496" width="5" style="161" customWidth="1"/>
    <col min="10497" max="10497" width="8" style="161" customWidth="1"/>
    <col min="10498" max="10498" width="10.28515625" style="161" customWidth="1"/>
    <col min="10499" max="10499" width="10.7109375" style="161" customWidth="1"/>
    <col min="10500" max="10500" width="5.7109375" style="161" customWidth="1"/>
    <col min="10501" max="10501" width="8.7109375" style="161" customWidth="1"/>
    <col min="10502" max="10502" width="9.42578125" style="161" customWidth="1"/>
    <col min="10503" max="10503" width="5.7109375" style="161" customWidth="1"/>
    <col min="10504" max="10504" width="5.140625" style="161" customWidth="1"/>
    <col min="10505" max="10506" width="6.85546875" style="161" customWidth="1"/>
    <col min="10507" max="10507" width="25" style="161" customWidth="1"/>
    <col min="10508" max="10515" width="8.85546875" style="161"/>
    <col min="10516" max="10516" width="12.42578125" style="161" customWidth="1"/>
    <col min="10517" max="10523" width="8.85546875" style="161"/>
    <col min="10524" max="10547" width="4.7109375" style="161" customWidth="1"/>
    <col min="10548" max="10553" width="8.85546875" style="161"/>
    <col min="10554" max="10554" width="19" style="161" customWidth="1"/>
    <col min="10555" max="10600" width="8.85546875" style="161"/>
    <col min="10601" max="10624" width="4.7109375" style="161" customWidth="1"/>
    <col min="10625" max="10745" width="8.85546875" style="161"/>
    <col min="10746" max="10746" width="5.140625" style="161" customWidth="1"/>
    <col min="10747" max="10748" width="6.85546875" style="161" customWidth="1"/>
    <col min="10749" max="10749" width="23.42578125" style="161" customWidth="1"/>
    <col min="10750" max="10750" width="7.7109375" style="161" customWidth="1"/>
    <col min="10751" max="10751" width="6.28515625" style="161" customWidth="1"/>
    <col min="10752" max="10752" width="5" style="161" customWidth="1"/>
    <col min="10753" max="10753" width="8" style="161" customWidth="1"/>
    <col min="10754" max="10754" width="10.28515625" style="161" customWidth="1"/>
    <col min="10755" max="10755" width="10.7109375" style="161" customWidth="1"/>
    <col min="10756" max="10756" width="5.7109375" style="161" customWidth="1"/>
    <col min="10757" max="10757" width="8.7109375" style="161" customWidth="1"/>
    <col min="10758" max="10758" width="9.42578125" style="161" customWidth="1"/>
    <col min="10759" max="10759" width="5.7109375" style="161" customWidth="1"/>
    <col min="10760" max="10760" width="5.140625" style="161" customWidth="1"/>
    <col min="10761" max="10762" width="6.85546875" style="161" customWidth="1"/>
    <col min="10763" max="10763" width="25" style="161" customWidth="1"/>
    <col min="10764" max="10771" width="8.85546875" style="161"/>
    <col min="10772" max="10772" width="12.42578125" style="161" customWidth="1"/>
    <col min="10773" max="10779" width="8.85546875" style="161"/>
    <col min="10780" max="10803" width="4.7109375" style="161" customWidth="1"/>
    <col min="10804" max="10809" width="8.85546875" style="161"/>
    <col min="10810" max="10810" width="19" style="161" customWidth="1"/>
    <col min="10811" max="10856" width="8.85546875" style="161"/>
    <col min="10857" max="10880" width="4.7109375" style="161" customWidth="1"/>
    <col min="10881" max="11001" width="8.85546875" style="161"/>
    <col min="11002" max="11002" width="5.140625" style="161" customWidth="1"/>
    <col min="11003" max="11004" width="6.85546875" style="161" customWidth="1"/>
    <col min="11005" max="11005" width="23.42578125" style="161" customWidth="1"/>
    <col min="11006" max="11006" width="7.7109375" style="161" customWidth="1"/>
    <col min="11007" max="11007" width="6.28515625" style="161" customWidth="1"/>
    <col min="11008" max="11008" width="5" style="161" customWidth="1"/>
    <col min="11009" max="11009" width="8" style="161" customWidth="1"/>
    <col min="11010" max="11010" width="10.28515625" style="161" customWidth="1"/>
    <col min="11011" max="11011" width="10.7109375" style="161" customWidth="1"/>
    <col min="11012" max="11012" width="5.7109375" style="161" customWidth="1"/>
    <col min="11013" max="11013" width="8.7109375" style="161" customWidth="1"/>
    <col min="11014" max="11014" width="9.42578125" style="161" customWidth="1"/>
    <col min="11015" max="11015" width="5.7109375" style="161" customWidth="1"/>
    <col min="11016" max="11016" width="5.140625" style="161" customWidth="1"/>
    <col min="11017" max="11018" width="6.85546875" style="161" customWidth="1"/>
    <col min="11019" max="11019" width="25" style="161" customWidth="1"/>
    <col min="11020" max="11027" width="8.85546875" style="161"/>
    <col min="11028" max="11028" width="12.42578125" style="161" customWidth="1"/>
    <col min="11029" max="11035" width="8.85546875" style="161"/>
    <col min="11036" max="11059" width="4.7109375" style="161" customWidth="1"/>
    <col min="11060" max="11065" width="8.85546875" style="161"/>
    <col min="11066" max="11066" width="19" style="161" customWidth="1"/>
    <col min="11067" max="11112" width="8.85546875" style="161"/>
    <col min="11113" max="11136" width="4.7109375" style="161" customWidth="1"/>
    <col min="11137" max="11257" width="8.85546875" style="161"/>
    <col min="11258" max="11258" width="5.140625" style="161" customWidth="1"/>
    <col min="11259" max="11260" width="6.85546875" style="161" customWidth="1"/>
    <col min="11261" max="11261" width="23.42578125" style="161" customWidth="1"/>
    <col min="11262" max="11262" width="7.7109375" style="161" customWidth="1"/>
    <col min="11263" max="11263" width="6.28515625" style="161" customWidth="1"/>
    <col min="11264" max="11264" width="5" style="161" customWidth="1"/>
    <col min="11265" max="11265" width="8" style="161" customWidth="1"/>
    <col min="11266" max="11266" width="10.28515625" style="161" customWidth="1"/>
    <col min="11267" max="11267" width="10.7109375" style="161" customWidth="1"/>
    <col min="11268" max="11268" width="5.7109375" style="161" customWidth="1"/>
    <col min="11269" max="11269" width="8.7109375" style="161" customWidth="1"/>
    <col min="11270" max="11270" width="9.42578125" style="161" customWidth="1"/>
    <col min="11271" max="11271" width="5.7109375" style="161" customWidth="1"/>
    <col min="11272" max="11272" width="5.140625" style="161" customWidth="1"/>
    <col min="11273" max="11274" width="6.85546875" style="161" customWidth="1"/>
    <col min="11275" max="11275" width="25" style="161" customWidth="1"/>
    <col min="11276" max="11283" width="8.85546875" style="161"/>
    <col min="11284" max="11284" width="12.42578125" style="161" customWidth="1"/>
    <col min="11285" max="11291" width="8.85546875" style="161"/>
    <col min="11292" max="11315" width="4.7109375" style="161" customWidth="1"/>
    <col min="11316" max="11321" width="8.85546875" style="161"/>
    <col min="11322" max="11322" width="19" style="161" customWidth="1"/>
    <col min="11323" max="11368" width="8.85546875" style="161"/>
    <col min="11369" max="11392" width="4.7109375" style="161" customWidth="1"/>
    <col min="11393" max="11513" width="8.85546875" style="161"/>
    <col min="11514" max="11514" width="5.140625" style="161" customWidth="1"/>
    <col min="11515" max="11516" width="6.85546875" style="161" customWidth="1"/>
    <col min="11517" max="11517" width="23.42578125" style="161" customWidth="1"/>
    <col min="11518" max="11518" width="7.7109375" style="161" customWidth="1"/>
    <col min="11519" max="11519" width="6.28515625" style="161" customWidth="1"/>
    <col min="11520" max="11520" width="5" style="161" customWidth="1"/>
    <col min="11521" max="11521" width="8" style="161" customWidth="1"/>
    <col min="11522" max="11522" width="10.28515625" style="161" customWidth="1"/>
    <col min="11523" max="11523" width="10.7109375" style="161" customWidth="1"/>
    <col min="11524" max="11524" width="5.7109375" style="161" customWidth="1"/>
    <col min="11525" max="11525" width="8.7109375" style="161" customWidth="1"/>
    <col min="11526" max="11526" width="9.42578125" style="161" customWidth="1"/>
    <col min="11527" max="11527" width="5.7109375" style="161" customWidth="1"/>
    <col min="11528" max="11528" width="5.140625" style="161" customWidth="1"/>
    <col min="11529" max="11530" width="6.85546875" style="161" customWidth="1"/>
    <col min="11531" max="11531" width="25" style="161" customWidth="1"/>
    <col min="11532" max="11539" width="8.85546875" style="161"/>
    <col min="11540" max="11540" width="12.42578125" style="161" customWidth="1"/>
    <col min="11541" max="11547" width="8.85546875" style="161"/>
    <col min="11548" max="11571" width="4.7109375" style="161" customWidth="1"/>
    <col min="11572" max="11577" width="8.85546875" style="161"/>
    <col min="11578" max="11578" width="19" style="161" customWidth="1"/>
    <col min="11579" max="11624" width="8.85546875" style="161"/>
    <col min="11625" max="11648" width="4.7109375" style="161" customWidth="1"/>
    <col min="11649" max="11769" width="8.85546875" style="161"/>
    <col min="11770" max="11770" width="5.140625" style="161" customWidth="1"/>
    <col min="11771" max="11772" width="6.85546875" style="161" customWidth="1"/>
    <col min="11773" max="11773" width="23.42578125" style="161" customWidth="1"/>
    <col min="11774" max="11774" width="7.7109375" style="161" customWidth="1"/>
    <col min="11775" max="11775" width="6.28515625" style="161" customWidth="1"/>
    <col min="11776" max="11776" width="5" style="161" customWidth="1"/>
    <col min="11777" max="11777" width="8" style="161" customWidth="1"/>
    <col min="11778" max="11778" width="10.28515625" style="161" customWidth="1"/>
    <col min="11779" max="11779" width="10.7109375" style="161" customWidth="1"/>
    <col min="11780" max="11780" width="5.7109375" style="161" customWidth="1"/>
    <col min="11781" max="11781" width="8.7109375" style="161" customWidth="1"/>
    <col min="11782" max="11782" width="9.42578125" style="161" customWidth="1"/>
    <col min="11783" max="11783" width="5.7109375" style="161" customWidth="1"/>
    <col min="11784" max="11784" width="5.140625" style="161" customWidth="1"/>
    <col min="11785" max="11786" width="6.85546875" style="161" customWidth="1"/>
    <col min="11787" max="11787" width="25" style="161" customWidth="1"/>
    <col min="11788" max="11795" width="8.85546875" style="161"/>
    <col min="11796" max="11796" width="12.42578125" style="161" customWidth="1"/>
    <col min="11797" max="11803" width="8.85546875" style="161"/>
    <col min="11804" max="11827" width="4.7109375" style="161" customWidth="1"/>
    <col min="11828" max="11833" width="8.85546875" style="161"/>
    <col min="11834" max="11834" width="19" style="161" customWidth="1"/>
    <col min="11835" max="11880" width="8.85546875" style="161"/>
    <col min="11881" max="11904" width="4.7109375" style="161" customWidth="1"/>
    <col min="11905" max="12025" width="8.85546875" style="161"/>
    <col min="12026" max="12026" width="5.140625" style="161" customWidth="1"/>
    <col min="12027" max="12028" width="6.85546875" style="161" customWidth="1"/>
    <col min="12029" max="12029" width="23.42578125" style="161" customWidth="1"/>
    <col min="12030" max="12030" width="7.7109375" style="161" customWidth="1"/>
    <col min="12031" max="12031" width="6.28515625" style="161" customWidth="1"/>
    <col min="12032" max="12032" width="5" style="161" customWidth="1"/>
    <col min="12033" max="12033" width="8" style="161" customWidth="1"/>
    <col min="12034" max="12034" width="10.28515625" style="161" customWidth="1"/>
    <col min="12035" max="12035" width="10.7109375" style="161" customWidth="1"/>
    <col min="12036" max="12036" width="5.7109375" style="161" customWidth="1"/>
    <col min="12037" max="12037" width="8.7109375" style="161" customWidth="1"/>
    <col min="12038" max="12038" width="9.42578125" style="161" customWidth="1"/>
    <col min="12039" max="12039" width="5.7109375" style="161" customWidth="1"/>
    <col min="12040" max="12040" width="5.140625" style="161" customWidth="1"/>
    <col min="12041" max="12042" width="6.85546875" style="161" customWidth="1"/>
    <col min="12043" max="12043" width="25" style="161" customWidth="1"/>
    <col min="12044" max="12051" width="8.85546875" style="161"/>
    <col min="12052" max="12052" width="12.42578125" style="161" customWidth="1"/>
    <col min="12053" max="12059" width="8.85546875" style="161"/>
    <col min="12060" max="12083" width="4.7109375" style="161" customWidth="1"/>
    <col min="12084" max="12089" width="8.85546875" style="161"/>
    <col min="12090" max="12090" width="19" style="161" customWidth="1"/>
    <col min="12091" max="12136" width="8.85546875" style="161"/>
    <col min="12137" max="12160" width="4.7109375" style="161" customWidth="1"/>
    <col min="12161" max="12281" width="8.85546875" style="161"/>
    <col min="12282" max="12282" width="5.140625" style="161" customWidth="1"/>
    <col min="12283" max="12284" width="6.85546875" style="161" customWidth="1"/>
    <col min="12285" max="12285" width="23.42578125" style="161" customWidth="1"/>
    <col min="12286" max="12286" width="7.7109375" style="161" customWidth="1"/>
    <col min="12287" max="12287" width="6.28515625" style="161" customWidth="1"/>
    <col min="12288" max="12288" width="5" style="161" customWidth="1"/>
    <col min="12289" max="12289" width="8" style="161" customWidth="1"/>
    <col min="12290" max="12290" width="10.28515625" style="161" customWidth="1"/>
    <col min="12291" max="12291" width="10.7109375" style="161" customWidth="1"/>
    <col min="12292" max="12292" width="5.7109375" style="161" customWidth="1"/>
    <col min="12293" max="12293" width="8.7109375" style="161" customWidth="1"/>
    <col min="12294" max="12294" width="9.42578125" style="161" customWidth="1"/>
    <col min="12295" max="12295" width="5.7109375" style="161" customWidth="1"/>
    <col min="12296" max="12296" width="5.140625" style="161" customWidth="1"/>
    <col min="12297" max="12298" width="6.85546875" style="161" customWidth="1"/>
    <col min="12299" max="12299" width="25" style="161" customWidth="1"/>
    <col min="12300" max="12307" width="8.85546875" style="161"/>
    <col min="12308" max="12308" width="12.42578125" style="161" customWidth="1"/>
    <col min="12309" max="12315" width="8.85546875" style="161"/>
    <col min="12316" max="12339" width="4.7109375" style="161" customWidth="1"/>
    <col min="12340" max="12345" width="8.85546875" style="161"/>
    <col min="12346" max="12346" width="19" style="161" customWidth="1"/>
    <col min="12347" max="12392" width="8.85546875" style="161"/>
    <col min="12393" max="12416" width="4.7109375" style="161" customWidth="1"/>
    <col min="12417" max="12537" width="8.85546875" style="161"/>
    <col min="12538" max="12538" width="5.140625" style="161" customWidth="1"/>
    <col min="12539" max="12540" width="6.85546875" style="161" customWidth="1"/>
    <col min="12541" max="12541" width="23.42578125" style="161" customWidth="1"/>
    <col min="12542" max="12542" width="7.7109375" style="161" customWidth="1"/>
    <col min="12543" max="12543" width="6.28515625" style="161" customWidth="1"/>
    <col min="12544" max="12544" width="5" style="161" customWidth="1"/>
    <col min="12545" max="12545" width="8" style="161" customWidth="1"/>
    <col min="12546" max="12546" width="10.28515625" style="161" customWidth="1"/>
    <col min="12547" max="12547" width="10.7109375" style="161" customWidth="1"/>
    <col min="12548" max="12548" width="5.7109375" style="161" customWidth="1"/>
    <col min="12549" max="12549" width="8.7109375" style="161" customWidth="1"/>
    <col min="12550" max="12550" width="9.42578125" style="161" customWidth="1"/>
    <col min="12551" max="12551" width="5.7109375" style="161" customWidth="1"/>
    <col min="12552" max="12552" width="5.140625" style="161" customWidth="1"/>
    <col min="12553" max="12554" width="6.85546875" style="161" customWidth="1"/>
    <col min="12555" max="12555" width="25" style="161" customWidth="1"/>
    <col min="12556" max="12563" width="8.85546875" style="161"/>
    <col min="12564" max="12564" width="12.42578125" style="161" customWidth="1"/>
    <col min="12565" max="12571" width="8.85546875" style="161"/>
    <col min="12572" max="12595" width="4.7109375" style="161" customWidth="1"/>
    <col min="12596" max="12601" width="8.85546875" style="161"/>
    <col min="12602" max="12602" width="19" style="161" customWidth="1"/>
    <col min="12603" max="12648" width="8.85546875" style="161"/>
    <col min="12649" max="12672" width="4.7109375" style="161" customWidth="1"/>
    <col min="12673" max="12793" width="8.85546875" style="161"/>
    <col min="12794" max="12794" width="5.140625" style="161" customWidth="1"/>
    <col min="12795" max="12796" width="6.85546875" style="161" customWidth="1"/>
    <col min="12797" max="12797" width="23.42578125" style="161" customWidth="1"/>
    <col min="12798" max="12798" width="7.7109375" style="161" customWidth="1"/>
    <col min="12799" max="12799" width="6.28515625" style="161" customWidth="1"/>
    <col min="12800" max="12800" width="5" style="161" customWidth="1"/>
    <col min="12801" max="12801" width="8" style="161" customWidth="1"/>
    <col min="12802" max="12802" width="10.28515625" style="161" customWidth="1"/>
    <col min="12803" max="12803" width="10.7109375" style="161" customWidth="1"/>
    <col min="12804" max="12804" width="5.7109375" style="161" customWidth="1"/>
    <col min="12805" max="12805" width="8.7109375" style="161" customWidth="1"/>
    <col min="12806" max="12806" width="9.42578125" style="161" customWidth="1"/>
    <col min="12807" max="12807" width="5.7109375" style="161" customWidth="1"/>
    <col min="12808" max="12808" width="5.140625" style="161" customWidth="1"/>
    <col min="12809" max="12810" width="6.85546875" style="161" customWidth="1"/>
    <col min="12811" max="12811" width="25" style="161" customWidth="1"/>
    <col min="12812" max="12819" width="8.85546875" style="161"/>
    <col min="12820" max="12820" width="12.42578125" style="161" customWidth="1"/>
    <col min="12821" max="12827" width="8.85546875" style="161"/>
    <col min="12828" max="12851" width="4.7109375" style="161" customWidth="1"/>
    <col min="12852" max="12857" width="8.85546875" style="161"/>
    <col min="12858" max="12858" width="19" style="161" customWidth="1"/>
    <col min="12859" max="12904" width="8.85546875" style="161"/>
    <col min="12905" max="12928" width="4.7109375" style="161" customWidth="1"/>
    <col min="12929" max="13049" width="8.85546875" style="161"/>
    <col min="13050" max="13050" width="5.140625" style="161" customWidth="1"/>
    <col min="13051" max="13052" width="6.85546875" style="161" customWidth="1"/>
    <col min="13053" max="13053" width="23.42578125" style="161" customWidth="1"/>
    <col min="13054" max="13054" width="7.7109375" style="161" customWidth="1"/>
    <col min="13055" max="13055" width="6.28515625" style="161" customWidth="1"/>
    <col min="13056" max="13056" width="5" style="161" customWidth="1"/>
    <col min="13057" max="13057" width="8" style="161" customWidth="1"/>
    <col min="13058" max="13058" width="10.28515625" style="161" customWidth="1"/>
    <col min="13059" max="13059" width="10.7109375" style="161" customWidth="1"/>
    <col min="13060" max="13060" width="5.7109375" style="161" customWidth="1"/>
    <col min="13061" max="13061" width="8.7109375" style="161" customWidth="1"/>
    <col min="13062" max="13062" width="9.42578125" style="161" customWidth="1"/>
    <col min="13063" max="13063" width="5.7109375" style="161" customWidth="1"/>
    <col min="13064" max="13064" width="5.140625" style="161" customWidth="1"/>
    <col min="13065" max="13066" width="6.85546875" style="161" customWidth="1"/>
    <col min="13067" max="13067" width="25" style="161" customWidth="1"/>
    <col min="13068" max="13075" width="8.85546875" style="161"/>
    <col min="13076" max="13076" width="12.42578125" style="161" customWidth="1"/>
    <col min="13077" max="13083" width="8.85546875" style="161"/>
    <col min="13084" max="13107" width="4.7109375" style="161" customWidth="1"/>
    <col min="13108" max="13113" width="8.85546875" style="161"/>
    <col min="13114" max="13114" width="19" style="161" customWidth="1"/>
    <col min="13115" max="13160" width="8.85546875" style="161"/>
    <col min="13161" max="13184" width="4.7109375" style="161" customWidth="1"/>
    <col min="13185" max="13305" width="8.85546875" style="161"/>
    <col min="13306" max="13306" width="5.140625" style="161" customWidth="1"/>
    <col min="13307" max="13308" width="6.85546875" style="161" customWidth="1"/>
    <col min="13309" max="13309" width="23.42578125" style="161" customWidth="1"/>
    <col min="13310" max="13310" width="7.7109375" style="161" customWidth="1"/>
    <col min="13311" max="13311" width="6.28515625" style="161" customWidth="1"/>
    <col min="13312" max="13312" width="5" style="161" customWidth="1"/>
    <col min="13313" max="13313" width="8" style="161" customWidth="1"/>
    <col min="13314" max="13314" width="10.28515625" style="161" customWidth="1"/>
    <col min="13315" max="13315" width="10.7109375" style="161" customWidth="1"/>
    <col min="13316" max="13316" width="5.7109375" style="161" customWidth="1"/>
    <col min="13317" max="13317" width="8.7109375" style="161" customWidth="1"/>
    <col min="13318" max="13318" width="9.42578125" style="161" customWidth="1"/>
    <col min="13319" max="13319" width="5.7109375" style="161" customWidth="1"/>
    <col min="13320" max="13320" width="5.140625" style="161" customWidth="1"/>
    <col min="13321" max="13322" width="6.85546875" style="161" customWidth="1"/>
    <col min="13323" max="13323" width="25" style="161" customWidth="1"/>
    <col min="13324" max="13331" width="8.85546875" style="161"/>
    <col min="13332" max="13332" width="12.42578125" style="161" customWidth="1"/>
    <col min="13333" max="13339" width="8.85546875" style="161"/>
    <col min="13340" max="13363" width="4.7109375" style="161" customWidth="1"/>
    <col min="13364" max="13369" width="8.85546875" style="161"/>
    <col min="13370" max="13370" width="19" style="161" customWidth="1"/>
    <col min="13371" max="13416" width="8.85546875" style="161"/>
    <col min="13417" max="13440" width="4.7109375" style="161" customWidth="1"/>
    <col min="13441" max="13561" width="8.85546875" style="161"/>
    <col min="13562" max="13562" width="5.140625" style="161" customWidth="1"/>
    <col min="13563" max="13564" width="6.85546875" style="161" customWidth="1"/>
    <col min="13565" max="13565" width="23.42578125" style="161" customWidth="1"/>
    <col min="13566" max="13566" width="7.7109375" style="161" customWidth="1"/>
    <col min="13567" max="13567" width="6.28515625" style="161" customWidth="1"/>
    <col min="13568" max="13568" width="5" style="161" customWidth="1"/>
    <col min="13569" max="13569" width="8" style="161" customWidth="1"/>
    <col min="13570" max="13570" width="10.28515625" style="161" customWidth="1"/>
    <col min="13571" max="13571" width="10.7109375" style="161" customWidth="1"/>
    <col min="13572" max="13572" width="5.7109375" style="161" customWidth="1"/>
    <col min="13573" max="13573" width="8.7109375" style="161" customWidth="1"/>
    <col min="13574" max="13574" width="9.42578125" style="161" customWidth="1"/>
    <col min="13575" max="13575" width="5.7109375" style="161" customWidth="1"/>
    <col min="13576" max="13576" width="5.140625" style="161" customWidth="1"/>
    <col min="13577" max="13578" width="6.85546875" style="161" customWidth="1"/>
    <col min="13579" max="13579" width="25" style="161" customWidth="1"/>
    <col min="13580" max="13587" width="8.85546875" style="161"/>
    <col min="13588" max="13588" width="12.42578125" style="161" customWidth="1"/>
    <col min="13589" max="13595" width="8.85546875" style="161"/>
    <col min="13596" max="13619" width="4.7109375" style="161" customWidth="1"/>
    <col min="13620" max="13625" width="8.85546875" style="161"/>
    <col min="13626" max="13626" width="19" style="161" customWidth="1"/>
    <col min="13627" max="13672" width="8.85546875" style="161"/>
    <col min="13673" max="13696" width="4.7109375" style="161" customWidth="1"/>
    <col min="13697" max="13817" width="8.85546875" style="161"/>
    <col min="13818" max="13818" width="5.140625" style="161" customWidth="1"/>
    <col min="13819" max="13820" width="6.85546875" style="161" customWidth="1"/>
    <col min="13821" max="13821" width="23.42578125" style="161" customWidth="1"/>
    <col min="13822" max="13822" width="7.7109375" style="161" customWidth="1"/>
    <col min="13823" max="13823" width="6.28515625" style="161" customWidth="1"/>
    <col min="13824" max="13824" width="5" style="161" customWidth="1"/>
    <col min="13825" max="13825" width="8" style="161" customWidth="1"/>
    <col min="13826" max="13826" width="10.28515625" style="161" customWidth="1"/>
    <col min="13827" max="13827" width="10.7109375" style="161" customWidth="1"/>
    <col min="13828" max="13828" width="5.7109375" style="161" customWidth="1"/>
    <col min="13829" max="13829" width="8.7109375" style="161" customWidth="1"/>
    <col min="13830" max="13830" width="9.42578125" style="161" customWidth="1"/>
    <col min="13831" max="13831" width="5.7109375" style="161" customWidth="1"/>
    <col min="13832" max="13832" width="5.140625" style="161" customWidth="1"/>
    <col min="13833" max="13834" width="6.85546875" style="161" customWidth="1"/>
    <col min="13835" max="13835" width="25" style="161" customWidth="1"/>
    <col min="13836" max="13843" width="8.85546875" style="161"/>
    <col min="13844" max="13844" width="12.42578125" style="161" customWidth="1"/>
    <col min="13845" max="13851" width="8.85546875" style="161"/>
    <col min="13852" max="13875" width="4.7109375" style="161" customWidth="1"/>
    <col min="13876" max="13881" width="8.85546875" style="161"/>
    <col min="13882" max="13882" width="19" style="161" customWidth="1"/>
    <col min="13883" max="13928" width="8.85546875" style="161"/>
    <col min="13929" max="13952" width="4.7109375" style="161" customWidth="1"/>
    <col min="13953" max="14073" width="8.85546875" style="161"/>
    <col min="14074" max="14074" width="5.140625" style="161" customWidth="1"/>
    <col min="14075" max="14076" width="6.85546875" style="161" customWidth="1"/>
    <col min="14077" max="14077" width="23.42578125" style="161" customWidth="1"/>
    <col min="14078" max="14078" width="7.7109375" style="161" customWidth="1"/>
    <col min="14079" max="14079" width="6.28515625" style="161" customWidth="1"/>
    <col min="14080" max="14080" width="5" style="161" customWidth="1"/>
    <col min="14081" max="14081" width="8" style="161" customWidth="1"/>
    <col min="14082" max="14082" width="10.28515625" style="161" customWidth="1"/>
    <col min="14083" max="14083" width="10.7109375" style="161" customWidth="1"/>
    <col min="14084" max="14084" width="5.7109375" style="161" customWidth="1"/>
    <col min="14085" max="14085" width="8.7109375" style="161" customWidth="1"/>
    <col min="14086" max="14086" width="9.42578125" style="161" customWidth="1"/>
    <col min="14087" max="14087" width="5.7109375" style="161" customWidth="1"/>
    <col min="14088" max="14088" width="5.140625" style="161" customWidth="1"/>
    <col min="14089" max="14090" width="6.85546875" style="161" customWidth="1"/>
    <col min="14091" max="14091" width="25" style="161" customWidth="1"/>
    <col min="14092" max="14099" width="8.85546875" style="161"/>
    <col min="14100" max="14100" width="12.42578125" style="161" customWidth="1"/>
    <col min="14101" max="14107" width="8.85546875" style="161"/>
    <col min="14108" max="14131" width="4.7109375" style="161" customWidth="1"/>
    <col min="14132" max="14137" width="8.85546875" style="161"/>
    <col min="14138" max="14138" width="19" style="161" customWidth="1"/>
    <col min="14139" max="14184" width="8.85546875" style="161"/>
    <col min="14185" max="14208" width="4.7109375" style="161" customWidth="1"/>
    <col min="14209" max="14329" width="8.85546875" style="161"/>
    <col min="14330" max="14330" width="5.140625" style="161" customWidth="1"/>
    <col min="14331" max="14332" width="6.85546875" style="161" customWidth="1"/>
    <col min="14333" max="14333" width="23.42578125" style="161" customWidth="1"/>
    <col min="14334" max="14334" width="7.7109375" style="161" customWidth="1"/>
    <col min="14335" max="14335" width="6.28515625" style="161" customWidth="1"/>
    <col min="14336" max="14336" width="5" style="161" customWidth="1"/>
    <col min="14337" max="14337" width="8" style="161" customWidth="1"/>
    <col min="14338" max="14338" width="10.28515625" style="161" customWidth="1"/>
    <col min="14339" max="14339" width="10.7109375" style="161" customWidth="1"/>
    <col min="14340" max="14340" width="5.7109375" style="161" customWidth="1"/>
    <col min="14341" max="14341" width="8.7109375" style="161" customWidth="1"/>
    <col min="14342" max="14342" width="9.42578125" style="161" customWidth="1"/>
    <col min="14343" max="14343" width="5.7109375" style="161" customWidth="1"/>
    <col min="14344" max="14344" width="5.140625" style="161" customWidth="1"/>
    <col min="14345" max="14346" width="6.85546875" style="161" customWidth="1"/>
    <col min="14347" max="14347" width="25" style="161" customWidth="1"/>
    <col min="14348" max="14355" width="8.85546875" style="161"/>
    <col min="14356" max="14356" width="12.42578125" style="161" customWidth="1"/>
    <col min="14357" max="14363" width="8.85546875" style="161"/>
    <col min="14364" max="14387" width="4.7109375" style="161" customWidth="1"/>
    <col min="14388" max="14393" width="8.85546875" style="161"/>
    <col min="14394" max="14394" width="19" style="161" customWidth="1"/>
    <col min="14395" max="14440" width="8.85546875" style="161"/>
    <col min="14441" max="14464" width="4.7109375" style="161" customWidth="1"/>
    <col min="14465" max="14585" width="8.85546875" style="161"/>
    <col min="14586" max="14586" width="5.140625" style="161" customWidth="1"/>
    <col min="14587" max="14588" width="6.85546875" style="161" customWidth="1"/>
    <col min="14589" max="14589" width="23.42578125" style="161" customWidth="1"/>
    <col min="14590" max="14590" width="7.7109375" style="161" customWidth="1"/>
    <col min="14591" max="14591" width="6.28515625" style="161" customWidth="1"/>
    <col min="14592" max="14592" width="5" style="161" customWidth="1"/>
    <col min="14593" max="14593" width="8" style="161" customWidth="1"/>
    <col min="14594" max="14594" width="10.28515625" style="161" customWidth="1"/>
    <col min="14595" max="14595" width="10.7109375" style="161" customWidth="1"/>
    <col min="14596" max="14596" width="5.7109375" style="161" customWidth="1"/>
    <col min="14597" max="14597" width="8.7109375" style="161" customWidth="1"/>
    <col min="14598" max="14598" width="9.42578125" style="161" customWidth="1"/>
    <col min="14599" max="14599" width="5.7109375" style="161" customWidth="1"/>
    <col min="14600" max="14600" width="5.140625" style="161" customWidth="1"/>
    <col min="14601" max="14602" width="6.85546875" style="161" customWidth="1"/>
    <col min="14603" max="14603" width="25" style="161" customWidth="1"/>
    <col min="14604" max="14611" width="8.85546875" style="161"/>
    <col min="14612" max="14612" width="12.42578125" style="161" customWidth="1"/>
    <col min="14613" max="14619" width="8.85546875" style="161"/>
    <col min="14620" max="14643" width="4.7109375" style="161" customWidth="1"/>
    <col min="14644" max="14649" width="8.85546875" style="161"/>
    <col min="14650" max="14650" width="19" style="161" customWidth="1"/>
    <col min="14651" max="14696" width="8.85546875" style="161"/>
    <col min="14697" max="14720" width="4.7109375" style="161" customWidth="1"/>
    <col min="14721" max="14841" width="8.85546875" style="161"/>
    <col min="14842" max="14842" width="5.140625" style="161" customWidth="1"/>
    <col min="14843" max="14844" width="6.85546875" style="161" customWidth="1"/>
    <col min="14845" max="14845" width="23.42578125" style="161" customWidth="1"/>
    <col min="14846" max="14846" width="7.7109375" style="161" customWidth="1"/>
    <col min="14847" max="14847" width="6.28515625" style="161" customWidth="1"/>
    <col min="14848" max="14848" width="5" style="161" customWidth="1"/>
    <col min="14849" max="14849" width="8" style="161" customWidth="1"/>
    <col min="14850" max="14850" width="10.28515625" style="161" customWidth="1"/>
    <col min="14851" max="14851" width="10.7109375" style="161" customWidth="1"/>
    <col min="14852" max="14852" width="5.7109375" style="161" customWidth="1"/>
    <col min="14853" max="14853" width="8.7109375" style="161" customWidth="1"/>
    <col min="14854" max="14854" width="9.42578125" style="161" customWidth="1"/>
    <col min="14855" max="14855" width="5.7109375" style="161" customWidth="1"/>
    <col min="14856" max="14856" width="5.140625" style="161" customWidth="1"/>
    <col min="14857" max="14858" width="6.85546875" style="161" customWidth="1"/>
    <col min="14859" max="14859" width="25" style="161" customWidth="1"/>
    <col min="14860" max="14867" width="8.85546875" style="161"/>
    <col min="14868" max="14868" width="12.42578125" style="161" customWidth="1"/>
    <col min="14869" max="14875" width="8.85546875" style="161"/>
    <col min="14876" max="14899" width="4.7109375" style="161" customWidth="1"/>
    <col min="14900" max="14905" width="8.85546875" style="161"/>
    <col min="14906" max="14906" width="19" style="161" customWidth="1"/>
    <col min="14907" max="14952" width="8.85546875" style="161"/>
    <col min="14953" max="14976" width="4.7109375" style="161" customWidth="1"/>
    <col min="14977" max="15097" width="8.85546875" style="161"/>
    <col min="15098" max="15098" width="5.140625" style="161" customWidth="1"/>
    <col min="15099" max="15100" width="6.85546875" style="161" customWidth="1"/>
    <col min="15101" max="15101" width="23.42578125" style="161" customWidth="1"/>
    <col min="15102" max="15102" width="7.7109375" style="161" customWidth="1"/>
    <col min="15103" max="15103" width="6.28515625" style="161" customWidth="1"/>
    <col min="15104" max="15104" width="5" style="161" customWidth="1"/>
    <col min="15105" max="15105" width="8" style="161" customWidth="1"/>
    <col min="15106" max="15106" width="10.28515625" style="161" customWidth="1"/>
    <col min="15107" max="15107" width="10.7109375" style="161" customWidth="1"/>
    <col min="15108" max="15108" width="5.7109375" style="161" customWidth="1"/>
    <col min="15109" max="15109" width="8.7109375" style="161" customWidth="1"/>
    <col min="15110" max="15110" width="9.42578125" style="161" customWidth="1"/>
    <col min="15111" max="15111" width="5.7109375" style="161" customWidth="1"/>
    <col min="15112" max="15112" width="5.140625" style="161" customWidth="1"/>
    <col min="15113" max="15114" width="6.85546875" style="161" customWidth="1"/>
    <col min="15115" max="15115" width="25" style="161" customWidth="1"/>
    <col min="15116" max="15123" width="8.85546875" style="161"/>
    <col min="15124" max="15124" width="12.42578125" style="161" customWidth="1"/>
    <col min="15125" max="15131" width="8.85546875" style="161"/>
    <col min="15132" max="15155" width="4.7109375" style="161" customWidth="1"/>
    <col min="15156" max="15161" width="8.85546875" style="161"/>
    <col min="15162" max="15162" width="19" style="161" customWidth="1"/>
    <col min="15163" max="15208" width="8.85546875" style="161"/>
    <col min="15209" max="15232" width="4.7109375" style="161" customWidth="1"/>
    <col min="15233" max="15353" width="8.85546875" style="161"/>
    <col min="15354" max="15354" width="5.140625" style="161" customWidth="1"/>
    <col min="15355" max="15356" width="6.85546875" style="161" customWidth="1"/>
    <col min="15357" max="15357" width="23.42578125" style="161" customWidth="1"/>
    <col min="15358" max="15358" width="7.7109375" style="161" customWidth="1"/>
    <col min="15359" max="15359" width="6.28515625" style="161" customWidth="1"/>
    <col min="15360" max="15360" width="5" style="161" customWidth="1"/>
    <col min="15361" max="15361" width="8" style="161" customWidth="1"/>
    <col min="15362" max="15362" width="10.28515625" style="161" customWidth="1"/>
    <col min="15363" max="15363" width="10.7109375" style="161" customWidth="1"/>
    <col min="15364" max="15364" width="5.7109375" style="161" customWidth="1"/>
    <col min="15365" max="15365" width="8.7109375" style="161" customWidth="1"/>
    <col min="15366" max="15366" width="9.42578125" style="161" customWidth="1"/>
    <col min="15367" max="15367" width="5.7109375" style="161" customWidth="1"/>
    <col min="15368" max="15368" width="5.140625" style="161" customWidth="1"/>
    <col min="15369" max="15370" width="6.85546875" style="161" customWidth="1"/>
    <col min="15371" max="15371" width="25" style="161" customWidth="1"/>
    <col min="15372" max="15379" width="8.85546875" style="161"/>
    <col min="15380" max="15380" width="12.42578125" style="161" customWidth="1"/>
    <col min="15381" max="15387" width="8.85546875" style="161"/>
    <col min="15388" max="15411" width="4.7109375" style="161" customWidth="1"/>
    <col min="15412" max="15417" width="8.85546875" style="161"/>
    <col min="15418" max="15418" width="19" style="161" customWidth="1"/>
    <col min="15419" max="15464" width="8.85546875" style="161"/>
    <col min="15465" max="15488" width="4.7109375" style="161" customWidth="1"/>
    <col min="15489" max="15609" width="8.85546875" style="161"/>
    <col min="15610" max="15610" width="5.140625" style="161" customWidth="1"/>
    <col min="15611" max="15612" width="6.85546875" style="161" customWidth="1"/>
    <col min="15613" max="15613" width="23.42578125" style="161" customWidth="1"/>
    <col min="15614" max="15614" width="7.7109375" style="161" customWidth="1"/>
    <col min="15615" max="15615" width="6.28515625" style="161" customWidth="1"/>
    <col min="15616" max="15616" width="5" style="161" customWidth="1"/>
    <col min="15617" max="15617" width="8" style="161" customWidth="1"/>
    <col min="15618" max="15618" width="10.28515625" style="161" customWidth="1"/>
    <col min="15619" max="15619" width="10.7109375" style="161" customWidth="1"/>
    <col min="15620" max="15620" width="5.7109375" style="161" customWidth="1"/>
    <col min="15621" max="15621" width="8.7109375" style="161" customWidth="1"/>
    <col min="15622" max="15622" width="9.42578125" style="161" customWidth="1"/>
    <col min="15623" max="15623" width="5.7109375" style="161" customWidth="1"/>
    <col min="15624" max="15624" width="5.140625" style="161" customWidth="1"/>
    <col min="15625" max="15626" width="6.85546875" style="161" customWidth="1"/>
    <col min="15627" max="15627" width="25" style="161" customWidth="1"/>
    <col min="15628" max="15635" width="8.85546875" style="161"/>
    <col min="15636" max="15636" width="12.42578125" style="161" customWidth="1"/>
    <col min="15637" max="15643" width="8.85546875" style="161"/>
    <col min="15644" max="15667" width="4.7109375" style="161" customWidth="1"/>
    <col min="15668" max="15673" width="8.85546875" style="161"/>
    <col min="15674" max="15674" width="19" style="161" customWidth="1"/>
    <col min="15675" max="15720" width="8.85546875" style="161"/>
    <col min="15721" max="15744" width="4.7109375" style="161" customWidth="1"/>
    <col min="15745" max="15865" width="8.85546875" style="161"/>
    <col min="15866" max="15866" width="5.140625" style="161" customWidth="1"/>
    <col min="15867" max="15868" width="6.85546875" style="161" customWidth="1"/>
    <col min="15869" max="15869" width="23.42578125" style="161" customWidth="1"/>
    <col min="15870" max="15870" width="7.7109375" style="161" customWidth="1"/>
    <col min="15871" max="15871" width="6.28515625" style="161" customWidth="1"/>
    <col min="15872" max="15872" width="5" style="161" customWidth="1"/>
    <col min="15873" max="15873" width="8" style="161" customWidth="1"/>
    <col min="15874" max="15874" width="10.28515625" style="161" customWidth="1"/>
    <col min="15875" max="15875" width="10.7109375" style="161" customWidth="1"/>
    <col min="15876" max="15876" width="5.7109375" style="161" customWidth="1"/>
    <col min="15877" max="15877" width="8.7109375" style="161" customWidth="1"/>
    <col min="15878" max="15878" width="9.42578125" style="161" customWidth="1"/>
    <col min="15879" max="15879" width="5.7109375" style="161" customWidth="1"/>
    <col min="15880" max="15880" width="5.140625" style="161" customWidth="1"/>
    <col min="15881" max="15882" width="6.85546875" style="161" customWidth="1"/>
    <col min="15883" max="15883" width="25" style="161" customWidth="1"/>
    <col min="15884" max="15891" width="8.85546875" style="161"/>
    <col min="15892" max="15892" width="12.42578125" style="161" customWidth="1"/>
    <col min="15893" max="15899" width="8.85546875" style="161"/>
    <col min="15900" max="15923" width="4.7109375" style="161" customWidth="1"/>
    <col min="15924" max="15929" width="8.85546875" style="161"/>
    <col min="15930" max="15930" width="19" style="161" customWidth="1"/>
    <col min="15931" max="15976" width="8.85546875" style="161"/>
    <col min="15977" max="16000" width="4.7109375" style="161" customWidth="1"/>
    <col min="16001" max="16121" width="8.85546875" style="161"/>
    <col min="16122" max="16122" width="5.140625" style="161" customWidth="1"/>
    <col min="16123" max="16124" width="6.85546875" style="161" customWidth="1"/>
    <col min="16125" max="16125" width="23.42578125" style="161" customWidth="1"/>
    <col min="16126" max="16126" width="7.7109375" style="161" customWidth="1"/>
    <col min="16127" max="16127" width="6.28515625" style="161" customWidth="1"/>
    <col min="16128" max="16128" width="5" style="161" customWidth="1"/>
    <col min="16129" max="16129" width="8" style="161" customWidth="1"/>
    <col min="16130" max="16130" width="10.28515625" style="161" customWidth="1"/>
    <col min="16131" max="16131" width="10.7109375" style="161" customWidth="1"/>
    <col min="16132" max="16132" width="5.7109375" style="161" customWidth="1"/>
    <col min="16133" max="16133" width="8.7109375" style="161" customWidth="1"/>
    <col min="16134" max="16134" width="9.42578125" style="161" customWidth="1"/>
    <col min="16135" max="16135" width="5.7109375" style="161" customWidth="1"/>
    <col min="16136" max="16136" width="5.140625" style="161" customWidth="1"/>
    <col min="16137" max="16138" width="6.85546875" style="161" customWidth="1"/>
    <col min="16139" max="16139" width="25" style="161" customWidth="1"/>
    <col min="16140" max="16147" width="8.85546875" style="161"/>
    <col min="16148" max="16148" width="12.42578125" style="161" customWidth="1"/>
    <col min="16149" max="16155" width="8.85546875" style="161"/>
    <col min="16156" max="16179" width="4.7109375" style="161" customWidth="1"/>
    <col min="16180" max="16185" width="8.85546875" style="161"/>
    <col min="16186" max="16186" width="19" style="161" customWidth="1"/>
    <col min="16187" max="16232" width="8.85546875" style="161"/>
    <col min="16233" max="16256" width="4.7109375" style="161" customWidth="1"/>
    <col min="16257" max="16384" width="8.85546875" style="161"/>
  </cols>
  <sheetData>
    <row r="1" spans="1:202">
      <c r="A1" s="161" t="str">
        <f>REPT(Steuerung!AA2,1)</f>
        <v>?</v>
      </c>
      <c r="B1" s="161">
        <f>SUM('Matchblatt  FEUILLE DE MATCH'!AB1)</f>
        <v>1</v>
      </c>
      <c r="C1" s="349" t="str">
        <f>REPT(Steuerung!AC1,1)</f>
        <v>0</v>
      </c>
      <c r="D1" s="161" t="str">
        <f>REPT(Steuerung!AC2,1)</f>
        <v>select Heim - Team</v>
      </c>
      <c r="E1" s="350" t="str">
        <f>REPT(Steuerung!AF2,1)</f>
        <v>2425R10?</v>
      </c>
      <c r="F1" s="350"/>
      <c r="G1" s="350" t="str">
        <f>REPT(Steuerung!Y2,1)</f>
        <v>?</v>
      </c>
      <c r="H1" s="350">
        <f>SUM(Steuerung!X2)</f>
        <v>1</v>
      </c>
      <c r="I1" s="350"/>
      <c r="J1" s="350"/>
      <c r="K1" s="350">
        <f>IF('Heimmannschaft MAISON'!G7="x",2,IF('Heimmannschaft MAISON'!G5="x",1,0))</f>
        <v>0</v>
      </c>
      <c r="L1" s="350"/>
      <c r="M1" s="350"/>
      <c r="N1" s="350"/>
      <c r="O1" s="350"/>
      <c r="P1" s="350"/>
      <c r="Q1" s="350" t="str">
        <f>REPT(Steuerung!AD1,1)</f>
        <v>0</v>
      </c>
      <c r="R1" s="350" t="str">
        <f>REPT(Steuerung!AD2,1)</f>
        <v>Gast</v>
      </c>
      <c r="S1" s="350"/>
      <c r="T1" s="350"/>
      <c r="U1" s="350"/>
      <c r="V1" s="350"/>
      <c r="W1" s="350"/>
      <c r="X1" s="350"/>
      <c r="Y1" s="350">
        <f>IF('Gastmannschaft EXTERIEUR'!G7="x",2,IF('Gastmannschaft EXTERIEUR'!G5="x",1,0))</f>
        <v>0</v>
      </c>
      <c r="AC1" s="561" t="str">
        <f>LEFT('Matchblatt  FEUILLE DE MATCH'!A1,10)</f>
        <v>08.02.25</v>
      </c>
      <c r="AD1" s="561" t="str">
        <f>REPT('Matchblatt  FEUILLE DE MATCH'!A2,1)</f>
        <v/>
      </c>
      <c r="AE1" s="370">
        <f>SUM('Matchblatt  FEUILLE DE MATCH'!A3)</f>
        <v>0</v>
      </c>
      <c r="AG1" s="161">
        <v>1</v>
      </c>
      <c r="AH1" s="161" t="e">
        <f>VLOOKUP(AG1,'Matchblatt  FEUILLE DE MATCH'!BD:BE,2,FALSE)</f>
        <v>#N/A</v>
      </c>
      <c r="AI1" s="161" t="str">
        <f>IFERROR(AH1,"")</f>
        <v/>
      </c>
      <c r="AJ1" s="161" t="str">
        <f>IF(AI1="","",_xlfn.RANK.EQ(AI1,AI:AI,1))</f>
        <v/>
      </c>
      <c r="AK1" s="161">
        <f>SUM(AI1)</f>
        <v>0</v>
      </c>
      <c r="AS1" s="370" t="s">
        <v>991</v>
      </c>
      <c r="AT1" s="370"/>
      <c r="AU1" s="370"/>
      <c r="AV1" s="370"/>
      <c r="AW1" s="370"/>
      <c r="AX1" s="370"/>
      <c r="AY1" s="370"/>
      <c r="AZ1" s="370"/>
      <c r="BA1" s="161" t="s">
        <v>992</v>
      </c>
      <c r="BI1" s="370" t="s">
        <v>993</v>
      </c>
      <c r="BJ1" s="370"/>
      <c r="BK1" s="370"/>
      <c r="BL1" s="370"/>
      <c r="BM1" s="370"/>
      <c r="BN1" s="370"/>
      <c r="BO1" s="370"/>
      <c r="BP1" s="370"/>
      <c r="BQ1" s="161" t="s">
        <v>994</v>
      </c>
      <c r="BS1" s="161" t="s">
        <v>995</v>
      </c>
      <c r="BU1" s="161" t="s">
        <v>996</v>
      </c>
      <c r="BW1" s="161" t="s">
        <v>997</v>
      </c>
      <c r="CW1" s="161">
        <v>1</v>
      </c>
      <c r="CX1" s="161">
        <v>2</v>
      </c>
      <c r="CY1" s="161">
        <v>3</v>
      </c>
      <c r="CZ1" s="161">
        <v>4</v>
      </c>
      <c r="DA1" s="161">
        <v>5</v>
      </c>
      <c r="DB1" s="161">
        <v>6</v>
      </c>
      <c r="DC1" s="161">
        <v>7</v>
      </c>
      <c r="DD1" s="161">
        <v>8</v>
      </c>
      <c r="DE1" s="161">
        <v>9</v>
      </c>
      <c r="DF1" s="161">
        <v>10</v>
      </c>
      <c r="DG1" s="161">
        <v>11</v>
      </c>
      <c r="DH1" s="161">
        <v>12</v>
      </c>
      <c r="DI1" s="161">
        <v>13</v>
      </c>
      <c r="DJ1" s="161">
        <v>14</v>
      </c>
      <c r="DN1" s="161">
        <v>1</v>
      </c>
      <c r="DO1" s="161" t="e">
        <f>VLOOKUP(DN1,'Matchblatt  FEUILLE DE MATCH'!BF:BG,2,FALSE)</f>
        <v>#N/A</v>
      </c>
      <c r="DP1" s="161" t="str">
        <f>IFERROR(DO1,"")</f>
        <v/>
      </c>
      <c r="DQ1" s="161" t="str">
        <f>IF(DP1="","",_xlfn.RANK.EQ(DP1,DP:DP,1))</f>
        <v/>
      </c>
      <c r="DR1" s="161">
        <f>SUM(DP1)</f>
        <v>0</v>
      </c>
      <c r="DZ1" s="370" t="s">
        <v>991</v>
      </c>
      <c r="EA1" s="370"/>
      <c r="EB1" s="370"/>
      <c r="EC1" s="370"/>
      <c r="ED1" s="370"/>
      <c r="EE1" s="370"/>
      <c r="EF1" s="370"/>
      <c r="EG1" s="370"/>
      <c r="EH1" s="161" t="s">
        <v>992</v>
      </c>
      <c r="EP1" s="370" t="s">
        <v>993</v>
      </c>
      <c r="EQ1" s="370"/>
      <c r="ER1" s="370"/>
      <c r="ES1" s="370"/>
      <c r="ET1" s="370"/>
      <c r="EU1" s="370"/>
      <c r="EV1" s="370"/>
      <c r="EW1" s="370"/>
      <c r="EX1" s="161" t="s">
        <v>994</v>
      </c>
      <c r="EZ1" s="161" t="s">
        <v>995</v>
      </c>
      <c r="FB1" s="161" t="s">
        <v>996</v>
      </c>
      <c r="FD1" s="161" t="s">
        <v>997</v>
      </c>
    </row>
    <row r="2" spans="1:202">
      <c r="A2" s="352"/>
      <c r="B2" s="353" t="s">
        <v>867</v>
      </c>
      <c r="C2" s="354" t="s">
        <v>771</v>
      </c>
      <c r="D2" s="354" t="s">
        <v>964</v>
      </c>
      <c r="E2" s="354" t="s">
        <v>866</v>
      </c>
      <c r="F2" s="354" t="s">
        <v>868</v>
      </c>
      <c r="G2" s="354" t="s">
        <v>848</v>
      </c>
      <c r="H2" s="354">
        <v>180</v>
      </c>
      <c r="I2" s="354" t="s">
        <v>998</v>
      </c>
      <c r="J2" s="354" t="s">
        <v>999</v>
      </c>
      <c r="K2" s="161" t="s">
        <v>1117</v>
      </c>
      <c r="L2" s="161" t="s">
        <v>1142</v>
      </c>
      <c r="M2" s="161" t="s">
        <v>1116</v>
      </c>
      <c r="O2" s="353"/>
      <c r="P2" s="353" t="s">
        <v>867</v>
      </c>
      <c r="Q2" s="354" t="s">
        <v>771</v>
      </c>
      <c r="R2" s="354" t="s">
        <v>964</v>
      </c>
      <c r="S2" s="354" t="s">
        <v>866</v>
      </c>
      <c r="T2" s="354" t="s">
        <v>868</v>
      </c>
      <c r="U2" s="354" t="s">
        <v>848</v>
      </c>
      <c r="V2" s="354">
        <v>180</v>
      </c>
      <c r="W2" s="354" t="s">
        <v>998</v>
      </c>
      <c r="X2" s="354" t="s">
        <v>999</v>
      </c>
      <c r="Y2" s="161" t="s">
        <v>1118</v>
      </c>
      <c r="Z2" s="161" t="s">
        <v>1001</v>
      </c>
      <c r="AC2" s="161" t="s">
        <v>1002</v>
      </c>
      <c r="AD2" s="161" t="s">
        <v>1003</v>
      </c>
      <c r="AE2" s="161" t="s">
        <v>928</v>
      </c>
      <c r="AF2" s="161" t="s">
        <v>982</v>
      </c>
      <c r="AG2" s="161">
        <v>2</v>
      </c>
      <c r="AH2" s="161" t="e">
        <f>VLOOKUP(AG2,'Matchblatt  FEUILLE DE MATCH'!BD:BE,2,FALSE)</f>
        <v>#N/A</v>
      </c>
      <c r="AI2" s="161" t="str">
        <f t="shared" ref="AI2:AI34" si="0">IFERROR(AH2,"")</f>
        <v/>
      </c>
      <c r="AJ2" s="161" t="str">
        <f>IF(AI2="","",_xlfn.RANK.EQ(AI2,AI:AI,1))</f>
        <v/>
      </c>
      <c r="AK2" s="161">
        <f t="shared" ref="AK2:AK34" si="1">SUM(AI2)</f>
        <v>0</v>
      </c>
      <c r="AM2" s="161">
        <v>1</v>
      </c>
      <c r="AN2" s="161">
        <v>2</v>
      </c>
      <c r="AO2" s="161">
        <v>3</v>
      </c>
      <c r="AP2" s="161">
        <v>4</v>
      </c>
      <c r="AQ2" s="161">
        <v>5</v>
      </c>
      <c r="AR2" s="161">
        <v>6</v>
      </c>
      <c r="AS2" s="161">
        <v>7</v>
      </c>
      <c r="AT2" s="161">
        <v>8</v>
      </c>
      <c r="AU2" s="161">
        <v>9</v>
      </c>
      <c r="AV2" s="161">
        <v>10</v>
      </c>
      <c r="AW2" s="161">
        <v>11</v>
      </c>
      <c r="AX2" s="161">
        <v>12</v>
      </c>
      <c r="AY2" s="161">
        <v>13</v>
      </c>
      <c r="AZ2" s="161">
        <v>14</v>
      </c>
      <c r="BA2" s="161">
        <v>15</v>
      </c>
      <c r="BB2" s="161">
        <v>16</v>
      </c>
      <c r="BC2" s="161">
        <v>17</v>
      </c>
      <c r="BD2" s="161">
        <v>18</v>
      </c>
      <c r="BE2" s="161">
        <v>19</v>
      </c>
      <c r="BF2" s="161">
        <v>20</v>
      </c>
      <c r="BG2" s="161">
        <v>21</v>
      </c>
      <c r="BH2" s="161">
        <v>22</v>
      </c>
      <c r="BI2" s="161">
        <v>23</v>
      </c>
      <c r="BJ2" s="161">
        <v>24</v>
      </c>
      <c r="BK2" s="161">
        <v>25</v>
      </c>
      <c r="BL2" s="161">
        <v>26</v>
      </c>
      <c r="BM2" s="161">
        <v>27</v>
      </c>
      <c r="BN2" s="161">
        <v>28</v>
      </c>
      <c r="BO2" s="161">
        <v>29</v>
      </c>
      <c r="BP2" s="161">
        <v>30</v>
      </c>
      <c r="BQ2" s="161">
        <v>31</v>
      </c>
      <c r="BR2" s="161">
        <v>32</v>
      </c>
      <c r="BS2" s="161">
        <v>33</v>
      </c>
      <c r="BT2" s="161">
        <v>34</v>
      </c>
      <c r="BU2" s="161">
        <v>35</v>
      </c>
      <c r="BV2" s="161">
        <v>36</v>
      </c>
      <c r="BW2" s="161">
        <v>37</v>
      </c>
      <c r="BX2" s="161">
        <v>38</v>
      </c>
      <c r="BY2" s="161">
        <v>39</v>
      </c>
      <c r="BZ2" s="161">
        <v>40</v>
      </c>
      <c r="CA2" s="161">
        <v>41</v>
      </c>
      <c r="CB2" s="161">
        <v>42</v>
      </c>
      <c r="CC2" s="161">
        <v>43</v>
      </c>
      <c r="CD2" s="161">
        <v>44</v>
      </c>
      <c r="CE2" s="161">
        <v>45</v>
      </c>
      <c r="CF2" s="161">
        <v>1</v>
      </c>
      <c r="CG2" s="161">
        <v>2</v>
      </c>
      <c r="CI2" s="161">
        <v>3</v>
      </c>
      <c r="CJ2" s="161">
        <v>4</v>
      </c>
      <c r="CK2" s="161">
        <v>5</v>
      </c>
      <c r="CL2" s="161">
        <v>6</v>
      </c>
      <c r="CM2" s="161">
        <v>7</v>
      </c>
      <c r="CN2" s="161">
        <v>8</v>
      </c>
      <c r="CO2" s="161">
        <v>9</v>
      </c>
      <c r="CP2" s="161">
        <v>10</v>
      </c>
      <c r="CQ2" s="161">
        <v>11</v>
      </c>
      <c r="CR2" s="161">
        <v>12</v>
      </c>
      <c r="CS2" s="161">
        <v>13</v>
      </c>
      <c r="CT2" s="161">
        <v>14</v>
      </c>
      <c r="CU2" s="161">
        <v>15</v>
      </c>
      <c r="CV2" s="161">
        <v>16</v>
      </c>
      <c r="CW2" s="161">
        <v>17</v>
      </c>
      <c r="CX2" s="161">
        <v>18</v>
      </c>
      <c r="CY2" s="161">
        <v>19</v>
      </c>
      <c r="CZ2" s="161">
        <v>20</v>
      </c>
      <c r="DA2" s="161">
        <v>21</v>
      </c>
      <c r="DB2" s="161">
        <v>22</v>
      </c>
      <c r="DC2" s="161">
        <v>23</v>
      </c>
      <c r="DD2" s="161">
        <v>24</v>
      </c>
      <c r="DE2" s="161">
        <v>25</v>
      </c>
      <c r="DF2" s="161">
        <v>26</v>
      </c>
      <c r="DG2" s="161">
        <v>27</v>
      </c>
      <c r="DH2" s="161">
        <v>28</v>
      </c>
      <c r="DI2" s="161">
        <v>29</v>
      </c>
      <c r="DJ2" s="161">
        <v>30</v>
      </c>
      <c r="DN2" s="161">
        <v>2</v>
      </c>
      <c r="DO2" s="161" t="e">
        <f>VLOOKUP(DN2,'Matchblatt  FEUILLE DE MATCH'!BF:BG,2,FALSE)</f>
        <v>#N/A</v>
      </c>
      <c r="DP2" s="161" t="str">
        <f t="shared" ref="DP2:DP34" si="2">IFERROR(DO2,"")</f>
        <v/>
      </c>
      <c r="DQ2" s="161" t="str">
        <f>IF(DP2="","",_xlfn.RANK.EQ(DP2,DP:DP,1))</f>
        <v/>
      </c>
      <c r="DR2" s="161">
        <f t="shared" ref="DR2:DR34" si="3">SUM(DP2)</f>
        <v>0</v>
      </c>
      <c r="DZ2" s="370"/>
      <c r="EA2" s="370"/>
      <c r="EB2" s="370"/>
      <c r="EC2" s="370"/>
      <c r="ED2" s="370"/>
      <c r="EE2" s="370"/>
      <c r="EF2" s="370"/>
      <c r="EG2" s="370"/>
      <c r="EP2" s="370"/>
      <c r="EQ2" s="370"/>
      <c r="ER2" s="370"/>
      <c r="ES2" s="370"/>
      <c r="ET2" s="370"/>
      <c r="EU2" s="370"/>
      <c r="EV2" s="370"/>
      <c r="EW2" s="370"/>
      <c r="FM2" s="161">
        <v>1</v>
      </c>
      <c r="FN2" s="161">
        <v>2</v>
      </c>
      <c r="FP2" s="161">
        <v>3</v>
      </c>
      <c r="FQ2" s="161">
        <v>4</v>
      </c>
      <c r="FR2" s="161">
        <v>5</v>
      </c>
      <c r="FS2" s="161">
        <v>6</v>
      </c>
      <c r="FT2" s="161">
        <v>7</v>
      </c>
      <c r="FU2" s="161">
        <v>8</v>
      </c>
      <c r="FV2" s="161">
        <v>9</v>
      </c>
      <c r="FW2" s="161">
        <v>10</v>
      </c>
      <c r="FX2" s="161">
        <v>11</v>
      </c>
      <c r="FY2" s="161">
        <v>12</v>
      </c>
      <c r="FZ2" s="161">
        <v>13</v>
      </c>
      <c r="GA2" s="161">
        <v>14</v>
      </c>
      <c r="GB2" s="161">
        <v>15</v>
      </c>
      <c r="GC2" s="161">
        <v>16</v>
      </c>
      <c r="GD2" s="161">
        <v>17</v>
      </c>
      <c r="GE2" s="161">
        <v>18</v>
      </c>
      <c r="GF2" s="161">
        <v>19</v>
      </c>
      <c r="GG2" s="161">
        <v>20</v>
      </c>
      <c r="GH2" s="161">
        <v>21</v>
      </c>
      <c r="GI2" s="161">
        <v>22</v>
      </c>
      <c r="GJ2" s="161">
        <v>23</v>
      </c>
      <c r="GK2" s="161">
        <v>24</v>
      </c>
      <c r="GL2" s="161">
        <v>25</v>
      </c>
      <c r="GM2" s="161">
        <v>26</v>
      </c>
      <c r="GN2" s="161">
        <v>27</v>
      </c>
      <c r="GO2" s="161">
        <v>28</v>
      </c>
      <c r="GP2" s="161">
        <v>29</v>
      </c>
      <c r="GQ2" s="161">
        <v>30</v>
      </c>
    </row>
    <row r="3" spans="1:202">
      <c r="A3" s="355" t="s">
        <v>1004</v>
      </c>
      <c r="B3" s="355" t="s">
        <v>1005</v>
      </c>
      <c r="C3" s="161" t="str">
        <f>VLOOKUP(B3,Average!$GC:$GE,3,FALSE)</f>
        <v/>
      </c>
      <c r="D3" s="161" t="s">
        <v>280</v>
      </c>
      <c r="E3" s="161">
        <f>VLOOKUP(B3,Average!$GC:$HA,24,FALSE)</f>
        <v>0</v>
      </c>
      <c r="F3" s="161">
        <f>VLOOKUP(B3,Average!$GC:$HA,25,FALSE)</f>
        <v>0</v>
      </c>
      <c r="G3" s="161" t="str">
        <f>VLOOKUP(B3,Average!$GC:$HB,26,FALSE)</f>
        <v/>
      </c>
      <c r="H3" s="161">
        <f>VLOOKUP(B3,Average!$GC:$HC,27,FALSE)</f>
        <v>0</v>
      </c>
      <c r="I3" s="161">
        <f>VLOOKUP(B3,Average!$GC:$HH,32,FALSE)</f>
        <v>0</v>
      </c>
      <c r="K3" s="161">
        <f>IF(P3="",0,VLOOKUP(P3,Average!GC:GD,2,FALSE))</f>
        <v>0</v>
      </c>
      <c r="O3" s="355" t="s">
        <v>1004</v>
      </c>
      <c r="P3" s="355" t="s">
        <v>1006</v>
      </c>
      <c r="Q3" s="161" t="str">
        <f>VLOOKUP(P3,Average!$GC:$GE,3,FALSE)</f>
        <v/>
      </c>
      <c r="R3" s="161" t="s">
        <v>280</v>
      </c>
      <c r="S3" s="161">
        <f>VLOOKUP(P3,Average!$GC:$HA,24,FALSE)</f>
        <v>0</v>
      </c>
      <c r="T3" s="161">
        <f>VLOOKUP(P3,Average!$GC:$HA,25,FALSE)</f>
        <v>0</v>
      </c>
      <c r="U3" s="161" t="str">
        <f>VLOOKUP(P3,Average!$GC:$HB,26,FALSE)</f>
        <v/>
      </c>
      <c r="V3" s="161">
        <f>VLOOKUP(P3,Average!$GC:$HC,27,FALSE)</f>
        <v>0</v>
      </c>
      <c r="W3" s="161">
        <f>VLOOKUP(P3,Average!$GC:$HH,32,FALSE)</f>
        <v>0</v>
      </c>
      <c r="Y3" s="161">
        <f>IF(B3="",0,VLOOKUP(B3,Average!GC:GD,2,FALSE))</f>
        <v>0</v>
      </c>
      <c r="AC3" s="161">
        <f>IF(K3=1,1,IF(I3=2,1,0))</f>
        <v>0</v>
      </c>
      <c r="AD3" s="161">
        <f>IF(Y3=1,1,IF(W3=2,1,0))</f>
        <v>0</v>
      </c>
      <c r="AE3" s="161">
        <f>IF(Y3=1,2,SUM(I3))</f>
        <v>0</v>
      </c>
      <c r="AF3" s="161">
        <f>IF(K3=1,2,SUM(W3))</f>
        <v>0</v>
      </c>
      <c r="AG3" s="161">
        <v>3</v>
      </c>
      <c r="AH3" s="161" t="e">
        <f>VLOOKUP(AG3,'Matchblatt  FEUILLE DE MATCH'!BD:BE,2,FALSE)</f>
        <v>#N/A</v>
      </c>
      <c r="AI3" s="161" t="str">
        <f t="shared" si="0"/>
        <v/>
      </c>
      <c r="AJ3" s="161" t="str">
        <f t="shared" ref="AJ3:AJ34" si="4">IF(AI3="","",_xlfn.RANK.EQ(AI3,AI:AI,1))</f>
        <v/>
      </c>
      <c r="AK3" s="161">
        <f t="shared" si="1"/>
        <v>0</v>
      </c>
      <c r="AN3" s="161" t="s">
        <v>771</v>
      </c>
      <c r="AP3" s="161" t="s">
        <v>964</v>
      </c>
      <c r="AS3" s="370" t="s">
        <v>866</v>
      </c>
      <c r="AT3" s="370" t="s">
        <v>868</v>
      </c>
      <c r="AU3" s="370" t="s">
        <v>848</v>
      </c>
      <c r="AV3" s="370">
        <v>180</v>
      </c>
      <c r="AW3" s="370" t="s">
        <v>998</v>
      </c>
      <c r="AX3" s="370" t="s">
        <v>999</v>
      </c>
      <c r="AY3" s="370" t="s">
        <v>1000</v>
      </c>
      <c r="AZ3" s="370" t="s">
        <v>1001</v>
      </c>
      <c r="BA3" s="161" t="s">
        <v>866</v>
      </c>
      <c r="BB3" s="161" t="s">
        <v>868</v>
      </c>
      <c r="BC3" s="161" t="s">
        <v>848</v>
      </c>
      <c r="BD3" s="161">
        <v>180</v>
      </c>
      <c r="BE3" s="161" t="s">
        <v>998</v>
      </c>
      <c r="BF3" s="161" t="s">
        <v>999</v>
      </c>
      <c r="BG3" s="161" t="s">
        <v>1000</v>
      </c>
      <c r="BH3" s="161" t="s">
        <v>1001</v>
      </c>
      <c r="BI3" s="370" t="s">
        <v>866</v>
      </c>
      <c r="BJ3" s="370" t="s">
        <v>868</v>
      </c>
      <c r="BK3" s="370" t="s">
        <v>848</v>
      </c>
      <c r="BL3" s="370">
        <v>180</v>
      </c>
      <c r="BM3" s="370" t="s">
        <v>998</v>
      </c>
      <c r="BN3" s="370" t="s">
        <v>999</v>
      </c>
      <c r="BO3" s="370" t="s">
        <v>1000</v>
      </c>
      <c r="BP3" s="370" t="s">
        <v>1001</v>
      </c>
      <c r="BQ3" s="161" t="s">
        <v>848</v>
      </c>
      <c r="BR3" s="161">
        <v>180</v>
      </c>
      <c r="BS3" s="161" t="s">
        <v>848</v>
      </c>
      <c r="BT3" s="161">
        <v>180</v>
      </c>
      <c r="BU3" s="161" t="s">
        <v>848</v>
      </c>
      <c r="BV3" s="161">
        <v>180</v>
      </c>
      <c r="BW3" s="161" t="s">
        <v>866</v>
      </c>
      <c r="BX3" s="161" t="s">
        <v>868</v>
      </c>
      <c r="BY3" s="161" t="s">
        <v>848</v>
      </c>
      <c r="BZ3" s="161">
        <v>180</v>
      </c>
      <c r="CA3" s="161" t="s">
        <v>998</v>
      </c>
      <c r="CB3" s="161" t="s">
        <v>999</v>
      </c>
      <c r="CC3" s="161" t="s">
        <v>1000</v>
      </c>
      <c r="CD3" s="161" t="s">
        <v>1001</v>
      </c>
      <c r="CE3" s="161" t="s">
        <v>1116</v>
      </c>
      <c r="CG3" s="351" t="s">
        <v>1134</v>
      </c>
      <c r="CJ3" s="351" t="s">
        <v>1135</v>
      </c>
      <c r="CM3" s="351" t="s">
        <v>1136</v>
      </c>
      <c r="CR3" s="351" t="s">
        <v>975</v>
      </c>
      <c r="CS3" s="351"/>
      <c r="CX3" s="351" t="s">
        <v>1138</v>
      </c>
      <c r="CZ3" s="351" t="s">
        <v>1139</v>
      </c>
      <c r="DC3" s="351" t="s">
        <v>1140</v>
      </c>
      <c r="DH3" s="351" t="s">
        <v>1218</v>
      </c>
      <c r="DI3" s="351"/>
      <c r="DN3" s="161">
        <v>3</v>
      </c>
      <c r="DO3" s="161" t="e">
        <f>VLOOKUP(DN3,'Matchblatt  FEUILLE DE MATCH'!BF:BG,2,FALSE)</f>
        <v>#N/A</v>
      </c>
      <c r="DP3" s="161" t="str">
        <f t="shared" si="2"/>
        <v/>
      </c>
      <c r="DQ3" s="161" t="str">
        <f t="shared" ref="DQ3:DQ34" si="5">IF(DP3="","",_xlfn.RANK.EQ(DP3,DP:DP,1))</f>
        <v/>
      </c>
      <c r="DR3" s="161">
        <f t="shared" si="3"/>
        <v>0</v>
      </c>
      <c r="DU3" s="161" t="s">
        <v>771</v>
      </c>
      <c r="DW3" s="161" t="s">
        <v>964</v>
      </c>
      <c r="DZ3" s="370" t="s">
        <v>866</v>
      </c>
      <c r="EA3" s="370" t="s">
        <v>868</v>
      </c>
      <c r="EB3" s="370" t="s">
        <v>848</v>
      </c>
      <c r="EC3" s="370">
        <v>180</v>
      </c>
      <c r="ED3" s="370" t="s">
        <v>998</v>
      </c>
      <c r="EE3" s="370" t="s">
        <v>999</v>
      </c>
      <c r="EF3" s="370" t="s">
        <v>1000</v>
      </c>
      <c r="EG3" s="370" t="s">
        <v>1001</v>
      </c>
      <c r="EH3" s="161" t="s">
        <v>866</v>
      </c>
      <c r="EI3" s="161" t="s">
        <v>868</v>
      </c>
      <c r="EJ3" s="161" t="s">
        <v>848</v>
      </c>
      <c r="EK3" s="161">
        <v>180</v>
      </c>
      <c r="EL3" s="161" t="s">
        <v>998</v>
      </c>
      <c r="EM3" s="161" t="s">
        <v>999</v>
      </c>
      <c r="EN3" s="161" t="s">
        <v>1000</v>
      </c>
      <c r="EO3" s="161" t="s">
        <v>1001</v>
      </c>
      <c r="EP3" s="370" t="s">
        <v>866</v>
      </c>
      <c r="EQ3" s="370" t="s">
        <v>868</v>
      </c>
      <c r="ER3" s="370" t="s">
        <v>848</v>
      </c>
      <c r="ES3" s="370">
        <v>180</v>
      </c>
      <c r="ET3" s="370" t="s">
        <v>998</v>
      </c>
      <c r="EU3" s="370" t="s">
        <v>999</v>
      </c>
      <c r="EV3" s="370" t="s">
        <v>1000</v>
      </c>
      <c r="EW3" s="370" t="s">
        <v>1001</v>
      </c>
      <c r="EX3" s="161" t="s">
        <v>848</v>
      </c>
      <c r="EY3" s="161">
        <v>180</v>
      </c>
      <c r="EZ3" s="161" t="s">
        <v>848</v>
      </c>
      <c r="FA3" s="161">
        <v>180</v>
      </c>
      <c r="FB3" s="161" t="s">
        <v>848</v>
      </c>
      <c r="FC3" s="161">
        <v>180</v>
      </c>
      <c r="FD3" s="161" t="s">
        <v>866</v>
      </c>
      <c r="FE3" s="161" t="s">
        <v>868</v>
      </c>
      <c r="FF3" s="161" t="s">
        <v>848</v>
      </c>
      <c r="FG3" s="161">
        <v>180</v>
      </c>
      <c r="FH3" s="161" t="s">
        <v>998</v>
      </c>
      <c r="FI3" s="161" t="s">
        <v>999</v>
      </c>
      <c r="FJ3" s="161" t="s">
        <v>1000</v>
      </c>
      <c r="FK3" s="161" t="s">
        <v>1001</v>
      </c>
      <c r="FL3" s="161" t="s">
        <v>1116</v>
      </c>
      <c r="FN3" s="351" t="s">
        <v>1134</v>
      </c>
      <c r="FQ3" s="351" t="s">
        <v>1135</v>
      </c>
      <c r="FT3" s="351" t="s">
        <v>1136</v>
      </c>
      <c r="FY3" s="351" t="s">
        <v>975</v>
      </c>
      <c r="FZ3" s="351"/>
      <c r="GE3" s="351" t="s">
        <v>1138</v>
      </c>
      <c r="GG3" s="351" t="s">
        <v>1139</v>
      </c>
      <c r="GJ3" s="351" t="s">
        <v>1140</v>
      </c>
      <c r="GO3" s="351" t="s">
        <v>1218</v>
      </c>
      <c r="GP3" s="351"/>
    </row>
    <row r="4" spans="1:202">
      <c r="A4" s="355" t="s">
        <v>1005</v>
      </c>
      <c r="B4" s="355" t="s">
        <v>1104</v>
      </c>
      <c r="C4" s="161" t="str">
        <f>VLOOKUP(B4,Average!$GC:$GE,3,FALSE)</f>
        <v/>
      </c>
      <c r="D4" s="161" t="s">
        <v>280</v>
      </c>
      <c r="G4" s="161" t="str">
        <f>VLOOKUP(B4,Average!$GC:$HB,26,FALSE)</f>
        <v/>
      </c>
      <c r="H4" s="161">
        <f>VLOOKUP(B4,Average!$GC:$HC,27,FALSE)</f>
        <v>0</v>
      </c>
      <c r="O4" s="355" t="s">
        <v>1006</v>
      </c>
      <c r="P4" s="355" t="s">
        <v>1111</v>
      </c>
      <c r="Q4" s="161" t="str">
        <f>VLOOKUP(P4,Average!$GC:$GE,3,FALSE)</f>
        <v/>
      </c>
      <c r="R4" s="161" t="s">
        <v>280</v>
      </c>
      <c r="U4" s="161" t="str">
        <f>VLOOKUP(P4,Average!$GC:$HB,26,FALSE)</f>
        <v/>
      </c>
      <c r="V4" s="161">
        <f>VLOOKUP(P4,Average!$GC:$HC,27,FALSE)</f>
        <v>0</v>
      </c>
      <c r="AG4" s="161">
        <v>4</v>
      </c>
      <c r="AH4" s="161" t="e">
        <f>VLOOKUP(AG4,'Matchblatt  FEUILLE DE MATCH'!BD:BE,2,FALSE)</f>
        <v>#N/A</v>
      </c>
      <c r="AI4" s="161" t="str">
        <f t="shared" si="0"/>
        <v/>
      </c>
      <c r="AJ4" s="161" t="str">
        <f t="shared" si="4"/>
        <v/>
      </c>
      <c r="AK4" s="161">
        <f t="shared" si="1"/>
        <v>0</v>
      </c>
      <c r="AM4" s="161">
        <v>1</v>
      </c>
      <c r="AN4" s="161" t="e">
        <f t="shared" ref="AN4:AN19" si="6">VLOOKUP(AM4,AJ:AK,2,FALSE)</f>
        <v>#N/A</v>
      </c>
      <c r="AO4" s="351" t="str">
        <f>IFERROR(AN4,"")</f>
        <v/>
      </c>
      <c r="AP4" s="351" t="s">
        <v>280</v>
      </c>
      <c r="AQ4" s="351"/>
      <c r="AR4" s="351"/>
      <c r="AS4" s="371">
        <f>IFERROR(VLOOKUP(AO4,$C$19:$J$26,3,FALSE),0)</f>
        <v>0</v>
      </c>
      <c r="AT4" s="371">
        <f>IFERROR(VLOOKUP(AO4,$C$19:$J$26,4,FALSE),0)</f>
        <v>0</v>
      </c>
      <c r="AU4" s="371">
        <f>IFERROR(VLOOKUP(AO4,$C$19:$J$26,5,FALSE),0)</f>
        <v>0</v>
      </c>
      <c r="AV4" s="371">
        <f>IFERROR(VLOOKUP(AO4,$C$19:$J$26,6,FALSE),0)</f>
        <v>0</v>
      </c>
      <c r="AW4" s="371">
        <f>IFERROR(VLOOKUP(AO4,$C$19:$J$26,7,FALSE),0)</f>
        <v>0</v>
      </c>
      <c r="AX4" s="371" t="str">
        <f>IFERROR(VLOOKUP(AO4,$C$19:$J$26,8,FALSE),0)</f>
        <v/>
      </c>
      <c r="AY4" s="371">
        <f>IFERROR(VLOOKUP(AO4,$C$19:$K$26,9,FALSE),0)</f>
        <v>0</v>
      </c>
      <c r="AZ4" s="371">
        <f>IFERROR(VLOOKUP(AO4,$C$19:$L$26,10,FALSE),0)</f>
        <v>0</v>
      </c>
      <c r="BA4" s="351">
        <f>IFERROR(VLOOKUP(AO4,$C$27:$J$34,3,FALSE),0)</f>
        <v>0</v>
      </c>
      <c r="BB4" s="351">
        <f>IFERROR(VLOOKUP(AO4,$C$27:$J$34,4,FALSE),0)</f>
        <v>0</v>
      </c>
      <c r="BC4" s="351">
        <f>IFERROR(VLOOKUP(AO4,$C$27:$J$34,5,FALSE),0)</f>
        <v>0</v>
      </c>
      <c r="BD4" s="351">
        <f>IFERROR(VLOOKUP(AO4,$C$27:$J$34,6,FALSE),0)</f>
        <v>0</v>
      </c>
      <c r="BE4" s="351">
        <f>IFERROR(VLOOKUP(AO4,$C$27:$J$34,7,FALSE),0)</f>
        <v>0</v>
      </c>
      <c r="BF4" s="351" t="str">
        <f>IFERROR(VLOOKUP(AO4,$C$27:$J$34,8,FALSE),0)</f>
        <v/>
      </c>
      <c r="BG4" s="351">
        <f>IFERROR(VLOOKUP(AO4,$C$27:$K$34,9,FALSE),0)</f>
        <v>0</v>
      </c>
      <c r="BH4" s="351">
        <f>IFERROR(VLOOKUP(AO4,$C$27:$L$34,10,FALSE),0)</f>
        <v>0</v>
      </c>
      <c r="BI4" s="371">
        <f>IFERROR(VLOOKUP(AO4,$C$35:$J$42,3,FALSE),0)</f>
        <v>0</v>
      </c>
      <c r="BJ4" s="371">
        <f>IFERROR(VLOOKUP(AO4,$C$35:$J$42,4,FALSE),0)</f>
        <v>0</v>
      </c>
      <c r="BK4" s="371">
        <f>IFERROR(VLOOKUP(AO4,$C$35:$J$42,5,FALSE),0)</f>
        <v>0</v>
      </c>
      <c r="BL4" s="371">
        <f>IFERROR(VLOOKUP(AO4,$C$35:$J$42,6,FALSE),0)</f>
        <v>0</v>
      </c>
      <c r="BM4" s="371">
        <f>IFERROR(VLOOKUP(AO4,$C$35:$J$42,7,FALSE),0)</f>
        <v>0</v>
      </c>
      <c r="BN4" s="371" t="str">
        <f>IFERROR(VLOOKUP(AO4,$C$35:$K$42,8,FALSE),0)</f>
        <v/>
      </c>
      <c r="BO4" s="371">
        <f>IFERROR(VLOOKUP(AO4,$C$35:$K$42,9,FALSE),0)</f>
        <v>0</v>
      </c>
      <c r="BP4" s="371">
        <f>IFERROR(VLOOKUP(AO4,$C$35:$L$42,10,FALSE),0)</f>
        <v>0</v>
      </c>
      <c r="BQ4" s="351" t="str">
        <f>IFERROR(VLOOKUP($AO4,$C$3:$J$10,5,FALSE),0)</f>
        <v/>
      </c>
      <c r="BR4" s="351">
        <f>IFERROR(VLOOKUP($AO4,$C$3:$J$10,6,FALSE),0)</f>
        <v>0</v>
      </c>
      <c r="BS4" s="351" t="str">
        <f>IFERROR(VLOOKUP($AO4,$C$11:$J$18,5,FALSE),0)</f>
        <v/>
      </c>
      <c r="BT4" s="351" t="str">
        <f>IFERROR(VLOOKUP($AO4,$C$11:$J$18,6,FALSE),0)</f>
        <v/>
      </c>
      <c r="BU4" s="351" t="str">
        <f>IFERROR(VLOOKUP($AO4,$C$43:$J$44,5,FALSE),0)</f>
        <v/>
      </c>
      <c r="BV4" s="351">
        <f>IFERROR(VLOOKUP($AO4,$C$43:$J$44,6,FALSE),0)</f>
        <v>0</v>
      </c>
      <c r="BW4" s="351">
        <f>SUM(AS4,BA4,BI4)</f>
        <v>0</v>
      </c>
      <c r="BX4" s="351">
        <f>SUM(AT4,BB4,BJ4)</f>
        <v>0</v>
      </c>
      <c r="BY4" s="351">
        <f>MAX(AU4,BC4,BK4,BQ4,BS4,BU4)</f>
        <v>0</v>
      </c>
      <c r="BZ4" s="351">
        <f>SUM(AV4,BD4,BL4,BR4,BT4,BV4)</f>
        <v>0</v>
      </c>
      <c r="CA4" s="351">
        <f>SUM(AW4,BE4,BM4)</f>
        <v>0</v>
      </c>
      <c r="CB4" s="351">
        <f>SUM(AX4,BF4,BN4)</f>
        <v>0</v>
      </c>
      <c r="CC4" s="351">
        <f>SUM(AY4,BG4,BO4)</f>
        <v>0</v>
      </c>
      <c r="CD4" s="351">
        <f>SUM(AZ4,BH4,BP4)</f>
        <v>0</v>
      </c>
      <c r="CE4" s="351">
        <f>IF(BW4=0,0,SUM(CD4,-CC4))</f>
        <v>0</v>
      </c>
      <c r="CF4" s="161" t="str">
        <f>IF(CT4=2,2,IF(CT4=1,1,""))</f>
        <v/>
      </c>
      <c r="CG4" s="351">
        <f>IFERROR(VLOOKUP(AO4,$C$64:$E$71,3,FALSE),0)</f>
        <v>0</v>
      </c>
      <c r="CH4" s="161" t="str">
        <f>IF(CG4=0,"",CG4)</f>
        <v/>
      </c>
      <c r="CI4" s="161" t="str">
        <f t="shared" ref="CI4:CI19" si="7">IFERROR(VLOOKUP(AO4,$C$64:$F$71,4,FALSE),0)</f>
        <v/>
      </c>
      <c r="CJ4" s="351">
        <f t="shared" ref="CJ4:CJ19" si="8">IFERROR(VLOOKUP(AO4,$C$72:$E$79,3,FALSE),0)</f>
        <v>0</v>
      </c>
      <c r="CK4" s="161" t="str">
        <f>IF(CJ4=0,"",IF(CG4=CJ4,"",CJ4))</f>
        <v/>
      </c>
      <c r="CL4" s="161" t="str">
        <f t="shared" ref="CL4:CL19" si="9">IFERROR(VLOOKUP(AO4,$C$72:$F$79,4,FALSE),0)</f>
        <v/>
      </c>
      <c r="CM4" s="351">
        <f t="shared" ref="CM4:CM19" si="10">IFERROR(VLOOKUP(AO4,$C$80:$E$87,3,FALSE),0)</f>
        <v>0</v>
      </c>
      <c r="CN4" s="161" t="str">
        <f>IF(CM4=0,"",IF(CJ4=CM4,"",IF(CG4=CM4,"",CM4)))</f>
        <v/>
      </c>
      <c r="CO4" s="161" t="str">
        <f t="shared" ref="CO4:CO19" si="11">IFERROR(VLOOKUP(AO4,$C$80:$F$87,4,FALSE),0)</f>
        <v/>
      </c>
      <c r="CP4" s="161">
        <f>MIN(CH4,CK4,CN4)</f>
        <v>0</v>
      </c>
      <c r="CQ4" s="161">
        <v>0.01</v>
      </c>
      <c r="CR4" s="351" t="str">
        <f>IF(CP4&gt;0,CP4+CQ4,"")</f>
        <v/>
      </c>
      <c r="CS4" s="351" t="str">
        <f>IF(CP4=CG4,CI4,IF(CP4=CK4,CL4,IF(CP4=CN4,CO4,"")))</f>
        <v/>
      </c>
      <c r="CT4" s="161" t="str">
        <f t="shared" ref="CT4:CT19" si="12">IFERROR(_xlfn.RANK.EQ(CR4,$CR$4:$CR$19,1),"")</f>
        <v/>
      </c>
      <c r="CU4" s="161" t="str">
        <f>IFERROR(AN4,"")</f>
        <v/>
      </c>
      <c r="CV4" s="161" t="str">
        <f>IF(CR4="","",SUM(501/CP4))</f>
        <v/>
      </c>
      <c r="CW4" s="161" t="str">
        <f>IFERROR(_xlfn.RANK.EQ(DH4,$DH$4:$DH$19,0),"")</f>
        <v/>
      </c>
      <c r="CX4" s="351" t="str">
        <f>IF(DK4=1,AS4/AT4,"")</f>
        <v/>
      </c>
      <c r="CY4" s="161" t="str">
        <f t="shared" ref="CY4:CY19" si="13">IFERROR(VLOOKUP(CU4,$C$19:$N$26,12,FALSE),0)</f>
        <v>1.1</v>
      </c>
      <c r="CZ4" s="351" t="str">
        <f>IF(DL4=1,BA4/BB4,"")</f>
        <v/>
      </c>
      <c r="DA4" s="161">
        <f t="shared" ref="DA4:DA18" si="14">IF(CX4=CZ4,0,CZ4)</f>
        <v>0</v>
      </c>
      <c r="DB4" s="161" t="str">
        <f t="shared" ref="DB4:DB19" si="15">IFERROR(VLOOKUP(CU4,$C$27:$N$34,12,FALSE),0)</f>
        <v>2.1</v>
      </c>
      <c r="DC4" s="351" t="str">
        <f>IF(DM4=1,BI4/BJ4,"")</f>
        <v/>
      </c>
      <c r="DD4" s="161">
        <f t="shared" ref="DD4:DD18" si="16">IF(CZ4=DC4,0,IF(CX4=DC4,0,DC4))</f>
        <v>0</v>
      </c>
      <c r="DE4" s="161" t="str">
        <f t="shared" ref="DE4:DE19" si="17">IFERROR(VLOOKUP(CU4,$C$35:$N$42,12,FALSE),0)</f>
        <v>3.1</v>
      </c>
      <c r="DF4" s="161">
        <f>MAX(CX4,DA4,DD4)</f>
        <v>0</v>
      </c>
      <c r="DG4" s="161">
        <v>1E-3</v>
      </c>
      <c r="DH4" s="351" t="str">
        <f>IF(DF4&gt;0,DF4+DG4,"")</f>
        <v/>
      </c>
      <c r="DI4" s="351" t="str">
        <f>IF(DF4=CX4,CY4,IF(DF4=DA4,DB4,IF(DF4=DD4,DE4,"")))</f>
        <v>2.1</v>
      </c>
      <c r="DJ4" s="161" t="str">
        <f>IFERROR(AN4,"")</f>
        <v/>
      </c>
      <c r="DK4" s="161">
        <f>IF($B$1=1,IF(AW4=3,1,0),IF(AW4=2,1,0))</f>
        <v>0</v>
      </c>
      <c r="DL4" s="161">
        <f>IF($B$1=1,IF(BE4=3,1,0),IF(BE4=2,1,0))</f>
        <v>0</v>
      </c>
      <c r="DM4" s="161">
        <f>IF($B$1=1,IF(BM4=3,1,0),IF(BM4=2,1,0))</f>
        <v>0</v>
      </c>
      <c r="DN4" s="161">
        <v>4</v>
      </c>
      <c r="DO4" s="161" t="e">
        <f>VLOOKUP(DN4,'Matchblatt  FEUILLE DE MATCH'!BF:BG,2,FALSE)</f>
        <v>#N/A</v>
      </c>
      <c r="DP4" s="161" t="str">
        <f t="shared" si="2"/>
        <v/>
      </c>
      <c r="DQ4" s="161" t="str">
        <f t="shared" si="5"/>
        <v/>
      </c>
      <c r="DR4" s="161">
        <f t="shared" si="3"/>
        <v>0</v>
      </c>
      <c r="DT4" s="161">
        <v>1</v>
      </c>
      <c r="DU4" s="161" t="e">
        <f t="shared" ref="DU4:DU19" si="18">VLOOKUP(DT4,DQ:DR,2,FALSE)</f>
        <v>#N/A</v>
      </c>
      <c r="DV4" s="351" t="str">
        <f>IFERROR(DU4,"")</f>
        <v/>
      </c>
      <c r="DW4" s="351" t="s">
        <v>280</v>
      </c>
      <c r="DX4" s="351"/>
      <c r="DY4" s="351"/>
      <c r="DZ4" s="371">
        <f>IFERROR(VLOOKUP($DV4,$Q$19:$X$26,3,FALSE),0)</f>
        <v>0</v>
      </c>
      <c r="EA4" s="371">
        <f>IFERROR(VLOOKUP($DV4,$Q$19:$X$26,4,FALSE),0)</f>
        <v>0</v>
      </c>
      <c r="EB4" s="371">
        <f>IFERROR(VLOOKUP($DV4,$Q$19:$X$26,5,FALSE),0)</f>
        <v>0</v>
      </c>
      <c r="EC4" s="371">
        <f>IFERROR(VLOOKUP($DV4,$Q$19:$X$26,6,FALSE),0)</f>
        <v>0</v>
      </c>
      <c r="ED4" s="371">
        <f>IFERROR(VLOOKUP($DV4,$Q$19:$X$26,7,FALSE),0)</f>
        <v>0</v>
      </c>
      <c r="EE4" s="371" t="str">
        <f>IFERROR(VLOOKUP($DV4,$Q$19:$X$26,8,FALSE),0)</f>
        <v/>
      </c>
      <c r="EF4" s="371">
        <f>IFERROR(VLOOKUP($DV4,$Q$19:$Y$26,9,FALSE),0)</f>
        <v>0</v>
      </c>
      <c r="EG4" s="371">
        <f>IFERROR(VLOOKUP($DV4,$Q$19:$Z$26,10,FALSE),0)</f>
        <v>0</v>
      </c>
      <c r="EH4" s="351">
        <f>IFERROR(VLOOKUP($DV4,$Q$27:$Z$34,3,FALSE),0)</f>
        <v>0</v>
      </c>
      <c r="EI4" s="351">
        <f>IFERROR(VLOOKUP($DV4,$Q$27:$Z$34,4,FALSE),0)</f>
        <v>0</v>
      </c>
      <c r="EJ4" s="351">
        <f>IFERROR(VLOOKUP($DV4,$Q$27:$Z$34,5,FALSE),0)</f>
        <v>0</v>
      </c>
      <c r="EK4" s="351">
        <f>IFERROR(VLOOKUP($DV4,$Q$27:$Z$34,6,FALSE),0)</f>
        <v>0</v>
      </c>
      <c r="EL4" s="351">
        <f>IFERROR(VLOOKUP($DV4,$Q$27:$Z$34,7,FALSE),0)</f>
        <v>0</v>
      </c>
      <c r="EM4" s="351" t="str">
        <f>IFERROR(VLOOKUP($DV4,$Q$27:$Z$34,8,FALSE),0)</f>
        <v/>
      </c>
      <c r="EN4" s="351">
        <f>IFERROR(VLOOKUP($DV4,$Q$27:$Z$34,9,FALSE),0)</f>
        <v>0</v>
      </c>
      <c r="EO4" s="351">
        <f>IFERROR(VLOOKUP($DV4,$Q$27:$Z$34,10,FALSE),0)</f>
        <v>0</v>
      </c>
      <c r="EP4" s="371">
        <f>IFERROR(VLOOKUP($DV4,$Q$35:$Z$42,3,FALSE),0)</f>
        <v>0</v>
      </c>
      <c r="EQ4" s="371">
        <f>IFERROR(VLOOKUP($DV4,$Q$35:$Z$42,4,FALSE),0)</f>
        <v>0</v>
      </c>
      <c r="ER4" s="371">
        <f>IFERROR(VLOOKUP($DV4,$Q$35:$Z$42,5,FALSE),0)</f>
        <v>0</v>
      </c>
      <c r="ES4" s="371">
        <f>IFERROR(VLOOKUP($DV4,$Q$35:$Z$42,6,FALSE),0)</f>
        <v>0</v>
      </c>
      <c r="ET4" s="371">
        <f>IFERROR(VLOOKUP($DV4,$Q$35:$Z$42,7,FALSE),0)</f>
        <v>0</v>
      </c>
      <c r="EU4" s="371" t="str">
        <f>IFERROR(VLOOKUP($DV4,$Q$35:$Z$42,8,FALSE),0)</f>
        <v/>
      </c>
      <c r="EV4" s="371">
        <f>IFERROR(VLOOKUP($DV4,$Q$35:$Z$42,9,FALSE),0)</f>
        <v>0</v>
      </c>
      <c r="EW4" s="371">
        <f>IFERROR(VLOOKUP($DV4,$Q$35:$Z$42,10,FALSE),0)</f>
        <v>0</v>
      </c>
      <c r="EX4" s="351" t="str">
        <f>IFERROR(VLOOKUP($DV4,$Q$3:$V$10,5,FALSE),0)</f>
        <v/>
      </c>
      <c r="EY4" s="351">
        <f>IFERROR(VLOOKUP($DV4,$Q$3:$V$10,6,FALSE),0)</f>
        <v>0</v>
      </c>
      <c r="EZ4" s="351" t="str">
        <f>IFERROR(VLOOKUP($DV4,$Q$11:$V$18,5,FALSE),0)</f>
        <v/>
      </c>
      <c r="FA4" s="351" t="str">
        <f>IFERROR(VLOOKUP($DV4,$Q$11:$V$18,6,FALSE),0)</f>
        <v/>
      </c>
      <c r="FB4" s="351" t="str">
        <f>IFERROR(VLOOKUP($DV4,$Q$43:$V$44,5,FALSE),0)</f>
        <v/>
      </c>
      <c r="FC4" s="351">
        <f>IFERROR(VLOOKUP($DV4,$Q$43:$V$44,6,FALSE),0)</f>
        <v>0</v>
      </c>
      <c r="FD4" s="351">
        <f>SUM(DZ4,EH4,EP4)</f>
        <v>0</v>
      </c>
      <c r="FE4" s="351">
        <f>SUM(EA4,EI4,EQ4)</f>
        <v>0</v>
      </c>
      <c r="FF4" s="351">
        <f>MAX(EB4,EJ4,ER4,EX4,EZ4,FB4)</f>
        <v>0</v>
      </c>
      <c r="FG4" s="351">
        <f>SUM(EC4,EK4,ES4,EY4,FA4,FC4)</f>
        <v>0</v>
      </c>
      <c r="FH4" s="351">
        <f>SUM(ED4,EL4,ET4)</f>
        <v>0</v>
      </c>
      <c r="FI4" s="351">
        <f>SUM(EE4,EM4,EU4)</f>
        <v>0</v>
      </c>
      <c r="FJ4" s="351">
        <f>SUM(EF4,EN4,EV4)</f>
        <v>0</v>
      </c>
      <c r="FK4" s="351">
        <f>SUM(EG4,EO4,EW4)</f>
        <v>0</v>
      </c>
      <c r="FL4" s="351">
        <f>IF(FD4=0,0,SUM(FK4,-FJ4))</f>
        <v>0</v>
      </c>
      <c r="FM4" s="161" t="str">
        <f t="shared" ref="FM4:FM19" si="19">IF(GA4=2,2,IF(GA4=1,1,""))</f>
        <v/>
      </c>
      <c r="FN4" s="351">
        <f>IFERROR(VLOOKUP(DV4,$Q$64:$S$71,3,FALSE),0)</f>
        <v>0</v>
      </c>
      <c r="FO4" s="161" t="str">
        <f>IF(FN4=0,"",FN4)</f>
        <v/>
      </c>
      <c r="FP4" s="161" t="str">
        <f>IFERROR(VLOOKUP(DV4,$Q$64:$GH$71,4,FALSE),0)</f>
        <v/>
      </c>
      <c r="FQ4" s="351">
        <f>IFERROR(VLOOKUP(DV4,$Q$72:$S$79,3,FALSE),0)</f>
        <v>0</v>
      </c>
      <c r="FR4" s="161" t="str">
        <f>IF(FQ4=0,"",IF(FN4=FQ4,"",FQ4))</f>
        <v/>
      </c>
      <c r="FS4" s="161" t="str">
        <f>IFERROR(VLOOKUP(DV4,$Q$72:$T$79,4,FALSE),0)</f>
        <v/>
      </c>
      <c r="FT4" s="351">
        <f>IFERROR(VLOOKUP(DV4,$Q$80:$S$87,3,FALSE),0)</f>
        <v>0</v>
      </c>
      <c r="FU4" s="161" t="str">
        <f>IF(FT4=0,"",IF(FQ4=FT4,"",IF(FN4=FT4,"",FT4)))</f>
        <v/>
      </c>
      <c r="FV4" s="161" t="str">
        <f>IFERROR(VLOOKUP(DV4,$Q$80:$T$87,4,FALSE),0)</f>
        <v/>
      </c>
      <c r="FW4" s="161">
        <f>MIN(FO4,FR4,FU4)</f>
        <v>0</v>
      </c>
      <c r="FX4" s="161">
        <v>0.01</v>
      </c>
      <c r="FY4" s="351" t="str">
        <f t="shared" ref="FY4:FY19" si="20">IF(FW4&gt;0,FW4+FX4,"")</f>
        <v/>
      </c>
      <c r="FZ4" s="351" t="str">
        <f t="shared" ref="FZ4:FZ19" si="21">IF(FW4=FN4,FP4,IF(FW4=FR4,FS4,IF(FW4=FU4,FV4,"")))</f>
        <v/>
      </c>
      <c r="GA4" s="161" t="str">
        <f>IFERROR(_xlfn.RANK.EQ(FY4,$FY$4:$FY$19,1),"")</f>
        <v/>
      </c>
      <c r="GB4" s="161" t="str">
        <f t="shared" ref="GB4:GB19" si="22">IFERROR(DU4,"")</f>
        <v/>
      </c>
      <c r="GC4" s="161" t="str">
        <f t="shared" ref="GC4:GC20" si="23">IF(FY4="","",SUM(501/FW4))</f>
        <v/>
      </c>
      <c r="GD4" s="161" t="str">
        <f>IFERROR(_xlfn.RANK.EQ(GO4,$GO$4:$GO$19,0),"")</f>
        <v/>
      </c>
      <c r="GE4" s="351" t="str">
        <f>IF(GR4=1,DZ4/EA4,"")</f>
        <v/>
      </c>
      <c r="GF4" s="161" t="str">
        <f>IFERROR(VLOOKUP(GB4,$Q$19:$AB$26,12,FALSE),0)</f>
        <v>1.1</v>
      </c>
      <c r="GG4" s="351" t="str">
        <f>IF(GS4=1,EH4/EI4,"")</f>
        <v/>
      </c>
      <c r="GH4" s="161">
        <f t="shared" ref="GH4:GH18" si="24">IF(GE4=GG4,0,GG4)</f>
        <v>0</v>
      </c>
      <c r="GI4" s="161" t="str">
        <f>IFERROR(VLOOKUP(GB4,$Q$27:$AB$34,12,FALSE),0)</f>
        <v>2.1</v>
      </c>
      <c r="GJ4" s="351" t="str">
        <f>IF(GT4=1,EP4/EQ4,"")</f>
        <v/>
      </c>
      <c r="GK4" s="161">
        <f t="shared" ref="GK4:GK18" si="25">IF(GG4=GJ4,0,IF(GE4=GJ4,0,GJ4))</f>
        <v>0</v>
      </c>
      <c r="GL4" s="161" t="str">
        <f>IFERROR(VLOOKUP(GB4,$Q$35:$AB$42,12,FALSE),0)</f>
        <v>3.1</v>
      </c>
      <c r="GM4" s="161">
        <f>MAX(GE4,GH4,GK4)</f>
        <v>0</v>
      </c>
      <c r="GN4" s="161">
        <v>1E-3</v>
      </c>
      <c r="GO4" s="351" t="str">
        <f>IF(GM4&gt;0,GM4+GN4,"")</f>
        <v/>
      </c>
      <c r="GP4" s="351" t="str">
        <f>IF(GM4=GE4,GF4,IF(GM4=GH4,GI4,IF(GM4=GK4,GL4,"")))</f>
        <v>2.1</v>
      </c>
      <c r="GQ4" s="161" t="str">
        <f>IFERROR(DU4,"")</f>
        <v/>
      </c>
      <c r="GR4" s="161">
        <f>IF($B$1=1,IF(ED4=3,1,0),IF(ED4=2,1,0))</f>
        <v>0</v>
      </c>
      <c r="GS4" s="161">
        <f>IF($B$1=1,IF(EL4=3,1,0),IF(EL4=2,1,0))</f>
        <v>0</v>
      </c>
      <c r="GT4" s="161">
        <f>IF($B$1=1,IF(ET4=3,1,0),IF(ET4=2,1,0))</f>
        <v>0</v>
      </c>
    </row>
    <row r="5" spans="1:202" ht="15.95" customHeight="1">
      <c r="A5" s="355" t="s">
        <v>1007</v>
      </c>
      <c r="B5" s="355" t="s">
        <v>1008</v>
      </c>
      <c r="C5" s="161" t="str">
        <f>VLOOKUP(B5,Average!$GC:$GE,3,FALSE)</f>
        <v/>
      </c>
      <c r="D5" s="161" t="s">
        <v>280</v>
      </c>
      <c r="E5" s="161">
        <f>VLOOKUP(B5,Average!$GC:$HA,24,FALSE)</f>
        <v>0</v>
      </c>
      <c r="F5" s="161">
        <f>VLOOKUP(B5,Average!$GC:$HA,25,FALSE)</f>
        <v>0</v>
      </c>
      <c r="G5" s="161" t="str">
        <f>VLOOKUP(B5,Average!$GC:$HB,26,FALSE)</f>
        <v/>
      </c>
      <c r="H5" s="161">
        <f>VLOOKUP(B5,Average!$GC:$HC,27,FALSE)</f>
        <v>0</v>
      </c>
      <c r="I5" s="161">
        <f>VLOOKUP(B5,Average!$GC:$HH,32,FALSE)</f>
        <v>0</v>
      </c>
      <c r="K5" s="161">
        <f>IF(P5="",0,VLOOKUP(P5,Average!GC:GD,2,FALSE))</f>
        <v>0</v>
      </c>
      <c r="O5" s="355" t="s">
        <v>1007</v>
      </c>
      <c r="P5" s="355" t="s">
        <v>1009</v>
      </c>
      <c r="Q5" s="161" t="str">
        <f>VLOOKUP(P5,Average!$GC:$GE,3,FALSE)</f>
        <v/>
      </c>
      <c r="R5" s="161" t="s">
        <v>280</v>
      </c>
      <c r="S5" s="161">
        <f>VLOOKUP(P5,Average!$GC:$HA,24,FALSE)</f>
        <v>0</v>
      </c>
      <c r="T5" s="161">
        <f>VLOOKUP(P5,Average!$GC:$HA,25,FALSE)</f>
        <v>0</v>
      </c>
      <c r="U5" s="161" t="str">
        <f>VLOOKUP(P5,Average!$GC:$HB,26,FALSE)</f>
        <v/>
      </c>
      <c r="V5" s="161">
        <f>VLOOKUP(P5,Average!$GC:$HC,27,FALSE)</f>
        <v>0</v>
      </c>
      <c r="W5" s="161">
        <f>VLOOKUP(P5,Average!$GC:$HH,32,FALSE)</f>
        <v>0</v>
      </c>
      <c r="Y5" s="161">
        <f>IF(B5="",0,VLOOKUP(B5,Average!GC:GD,2,FALSE))</f>
        <v>0</v>
      </c>
      <c r="AC5" s="161">
        <f>IF(K5=1,1,IF(I5=2,1,0))</f>
        <v>0</v>
      </c>
      <c r="AD5" s="161">
        <f>IF(Y5=1,1,IF(W5=2,1,0))</f>
        <v>0</v>
      </c>
      <c r="AE5" s="161">
        <f>IF(Y5=1,2,SUM(I5))</f>
        <v>0</v>
      </c>
      <c r="AF5" s="161">
        <f>IF(K5=1,2,SUM(W5))</f>
        <v>0</v>
      </c>
      <c r="AG5" s="161">
        <v>5</v>
      </c>
      <c r="AH5" s="161" t="e">
        <f>VLOOKUP(AG5,'Matchblatt  FEUILLE DE MATCH'!BD:BE,2,FALSE)</f>
        <v>#N/A</v>
      </c>
      <c r="AI5" s="161" t="str">
        <f t="shared" si="0"/>
        <v/>
      </c>
      <c r="AJ5" s="161" t="str">
        <f t="shared" si="4"/>
        <v/>
      </c>
      <c r="AK5" s="161">
        <f t="shared" si="1"/>
        <v>0</v>
      </c>
      <c r="AM5" s="161">
        <v>2</v>
      </c>
      <c r="AN5" s="161" t="e">
        <f t="shared" si="6"/>
        <v>#N/A</v>
      </c>
      <c r="AO5" s="351" t="str">
        <f t="shared" ref="AO5:AO19" si="26">IFERROR(AN5,"")</f>
        <v/>
      </c>
      <c r="AP5" s="351" t="s">
        <v>280</v>
      </c>
      <c r="AQ5" s="351"/>
      <c r="AR5" s="351"/>
      <c r="AS5" s="371">
        <f t="shared" ref="AS5:AS19" si="27">IFERROR(VLOOKUP(AO5,$C$19:$J$26,3,FALSE),0)</f>
        <v>0</v>
      </c>
      <c r="AT5" s="371">
        <f t="shared" ref="AT5:AT19" si="28">IFERROR(VLOOKUP(AO5,$C$19:$J$26,4,FALSE),0)</f>
        <v>0</v>
      </c>
      <c r="AU5" s="371">
        <f t="shared" ref="AU5:AU19" si="29">IFERROR(VLOOKUP(AO5,$C$19:$J$26,5,FALSE),0)</f>
        <v>0</v>
      </c>
      <c r="AV5" s="371">
        <f t="shared" ref="AV5:AV19" si="30">IFERROR(VLOOKUP(AO5,$C$19:$J$26,6,FALSE),0)</f>
        <v>0</v>
      </c>
      <c r="AW5" s="371">
        <f t="shared" ref="AW5:AW19" si="31">IFERROR(VLOOKUP(AO5,$C$19:$J$26,7,FALSE),0)</f>
        <v>0</v>
      </c>
      <c r="AX5" s="371" t="str">
        <f t="shared" ref="AX5:AX19" si="32">IFERROR(VLOOKUP(AO5,$C$19:$J$26,8,FALSE),0)</f>
        <v/>
      </c>
      <c r="AY5" s="371">
        <f t="shared" ref="AY5:AY19" si="33">IFERROR(VLOOKUP(AO5,$C$19:$K$26,9,FALSE),0)</f>
        <v>0</v>
      </c>
      <c r="AZ5" s="371">
        <f t="shared" ref="AZ5:AZ19" si="34">IFERROR(VLOOKUP(AO5,$C$19:$L$26,10,FALSE),0)</f>
        <v>0</v>
      </c>
      <c r="BA5" s="351">
        <f t="shared" ref="BA5:BA19" si="35">IFERROR(VLOOKUP(AO5,$C$27:$J$34,3,FALSE),0)</f>
        <v>0</v>
      </c>
      <c r="BB5" s="351">
        <f t="shared" ref="BB5:BB19" si="36">IFERROR(VLOOKUP(AO5,$C$27:$J$34,4,FALSE),0)</f>
        <v>0</v>
      </c>
      <c r="BC5" s="351">
        <f t="shared" ref="BC5:BC19" si="37">IFERROR(VLOOKUP(AO5,$C$27:$J$34,5,FALSE),0)</f>
        <v>0</v>
      </c>
      <c r="BD5" s="351">
        <f t="shared" ref="BD5:BD19" si="38">IFERROR(VLOOKUP(AO5,$C$27:$J$34,6,FALSE),0)</f>
        <v>0</v>
      </c>
      <c r="BE5" s="351">
        <f t="shared" ref="BE5:BE19" si="39">IFERROR(VLOOKUP(AO5,$C$27:$J$34,7,FALSE),0)</f>
        <v>0</v>
      </c>
      <c r="BF5" s="351" t="str">
        <f t="shared" ref="BF5:BF19" si="40">IFERROR(VLOOKUP(AO5,$C$27:$J$34,8,FALSE),0)</f>
        <v/>
      </c>
      <c r="BG5" s="351">
        <f t="shared" ref="BG5:BG19" si="41">IFERROR(VLOOKUP(AO5,$C$27:$K$34,9,FALSE),0)</f>
        <v>0</v>
      </c>
      <c r="BH5" s="351">
        <f t="shared" ref="BH5:BH19" si="42">IFERROR(VLOOKUP(AO5,$C$27:$L$34,10,FALSE),0)</f>
        <v>0</v>
      </c>
      <c r="BI5" s="371">
        <f t="shared" ref="BI5:BI19" si="43">IFERROR(VLOOKUP(AO5,$C$35:$J$42,3,FALSE),0)</f>
        <v>0</v>
      </c>
      <c r="BJ5" s="371">
        <f t="shared" ref="BJ5:BJ19" si="44">IFERROR(VLOOKUP(AO5,$C$35:$J$42,4,FALSE),0)</f>
        <v>0</v>
      </c>
      <c r="BK5" s="371">
        <f t="shared" ref="BK5:BK19" si="45">IFERROR(VLOOKUP(AO5,$C$35:$J$42,5,FALSE),0)</f>
        <v>0</v>
      </c>
      <c r="BL5" s="371">
        <f t="shared" ref="BL5:BL19" si="46">IFERROR(VLOOKUP(AO5,$C$35:$J$42,6,FALSE),0)</f>
        <v>0</v>
      </c>
      <c r="BM5" s="371">
        <f t="shared" ref="BM5:BM19" si="47">IFERROR(VLOOKUP(AO5,$C$35:$J$42,7,FALSE),0)</f>
        <v>0</v>
      </c>
      <c r="BN5" s="371" t="str">
        <f t="shared" ref="BN5:BN19" si="48">IFERROR(VLOOKUP(AO5,$C$35:$K$42,8,FALSE),0)</f>
        <v/>
      </c>
      <c r="BO5" s="371">
        <f t="shared" ref="BO5:BO19" si="49">IFERROR(VLOOKUP(AO5,$C$35:$K$42,9,FALSE),0)</f>
        <v>0</v>
      </c>
      <c r="BP5" s="371">
        <f t="shared" ref="BP5:BP19" si="50">IFERROR(VLOOKUP(AO5,$C$35:$L$42,10,FALSE),0)</f>
        <v>0</v>
      </c>
      <c r="BQ5" s="351" t="str">
        <f t="shared" ref="BQ5:BQ19" si="51">IFERROR(VLOOKUP($AO5,$C$3:$J$10,5,FALSE),0)</f>
        <v/>
      </c>
      <c r="BR5" s="351">
        <f t="shared" ref="BR5:BR19" si="52">IFERROR(VLOOKUP($AO5,$C$3:$J$10,6,FALSE),0)</f>
        <v>0</v>
      </c>
      <c r="BS5" s="351" t="str">
        <f t="shared" ref="BS5:BS19" si="53">IFERROR(VLOOKUP($AO5,$C$11:$J$18,5,FALSE),0)</f>
        <v/>
      </c>
      <c r="BT5" s="351" t="str">
        <f t="shared" ref="BT5:BT19" si="54">IFERROR(VLOOKUP($AO5,$C$11:$J$18,6,FALSE),0)</f>
        <v/>
      </c>
      <c r="BU5" s="351" t="str">
        <f t="shared" ref="BU5:BU19" si="55">IFERROR(VLOOKUP($AO5,$C$43:$J$44,5,FALSE),0)</f>
        <v/>
      </c>
      <c r="BV5" s="351">
        <f t="shared" ref="BV5:BV19" si="56">IFERROR(VLOOKUP($AO5,$C$43:$J$44,6,FALSE),0)</f>
        <v>0</v>
      </c>
      <c r="BW5" s="351">
        <f t="shared" ref="BW5:BW19" si="57">SUM(AS5,BA5,BI5)</f>
        <v>0</v>
      </c>
      <c r="BX5" s="351">
        <f t="shared" ref="BX5:BX19" si="58">SUM(AT5,BB5,BJ5)</f>
        <v>0</v>
      </c>
      <c r="BY5" s="351">
        <f t="shared" ref="BY5:BY19" si="59">MAX(AU5,BC5,BK5,BQ5,BS5,BU5)</f>
        <v>0</v>
      </c>
      <c r="BZ5" s="351">
        <f t="shared" ref="BZ5:BZ19" si="60">SUM(AV5,BD5,BL5,BR5,BT5,BV5)</f>
        <v>0</v>
      </c>
      <c r="CA5" s="351">
        <f t="shared" ref="CA5:CA19" si="61">SUM(AW5,BE5,BM5)</f>
        <v>0</v>
      </c>
      <c r="CB5" s="351">
        <f t="shared" ref="CB5:CB19" si="62">SUM(AX5,BF5,BN5)</f>
        <v>0</v>
      </c>
      <c r="CC5" s="351">
        <f t="shared" ref="CC5:CC19" si="63">SUM(AY5,BG5,BO5)</f>
        <v>0</v>
      </c>
      <c r="CD5" s="351">
        <f t="shared" ref="CD5:CD19" si="64">SUM(AZ5,BH5,BP5)</f>
        <v>0</v>
      </c>
      <c r="CE5" s="351">
        <f t="shared" ref="CE5:CE19" si="65">IF(BW5=0,0,SUM(CD5,-CC5))</f>
        <v>0</v>
      </c>
      <c r="CF5" s="161" t="str">
        <f t="shared" ref="CF5:CF19" si="66">IF(CT5=2,2,IF(CT5=1,1,""))</f>
        <v/>
      </c>
      <c r="CG5" s="351">
        <f t="shared" ref="CG5:CG19" si="67">IFERROR(VLOOKUP(AO5,$C$64:$E$71,3,FALSE),0)</f>
        <v>0</v>
      </c>
      <c r="CH5" s="161" t="str">
        <f t="shared" ref="CH5:CH19" si="68">IF(CG5=0,"",CG5)</f>
        <v/>
      </c>
      <c r="CI5" s="161" t="str">
        <f t="shared" si="7"/>
        <v/>
      </c>
      <c r="CJ5" s="351">
        <f t="shared" si="8"/>
        <v>0</v>
      </c>
      <c r="CK5" s="161" t="str">
        <f t="shared" ref="CK5:CK19" si="69">IF(CJ5=0,"",IF(CG5=CJ5,"",CJ5))</f>
        <v/>
      </c>
      <c r="CL5" s="161" t="str">
        <f t="shared" si="9"/>
        <v/>
      </c>
      <c r="CM5" s="351">
        <f t="shared" si="10"/>
        <v>0</v>
      </c>
      <c r="CN5" s="161" t="str">
        <f t="shared" ref="CN5:CN19" si="70">IF(CM5=0,"",IF(CJ5=CM5,"",IF(CG5=CM5,"",CM5)))</f>
        <v/>
      </c>
      <c r="CO5" s="161" t="str">
        <f t="shared" si="11"/>
        <v/>
      </c>
      <c r="CP5" s="161">
        <f t="shared" ref="CP5:CP19" si="71">MIN(CH5,CK5,CN5)</f>
        <v>0</v>
      </c>
      <c r="CQ5" s="161">
        <v>0.02</v>
      </c>
      <c r="CR5" s="351" t="str">
        <f t="shared" ref="CR5:CR19" si="72">IF(CP5&gt;0,CP5+CQ5,"")</f>
        <v/>
      </c>
      <c r="CS5" s="351" t="str">
        <f t="shared" ref="CS5:CS19" si="73">IF(CP5=CG5,CI5,IF(CP5=CK5,CL5,IF(CP5=CN5,CO5,"")))</f>
        <v/>
      </c>
      <c r="CT5" s="161" t="str">
        <f t="shared" si="12"/>
        <v/>
      </c>
      <c r="CU5" s="161" t="str">
        <f t="shared" ref="CU5:CU19" si="74">IFERROR(AN5,"")</f>
        <v/>
      </c>
      <c r="CV5" s="161" t="str">
        <f t="shared" ref="CV5:CV19" si="75">IF(CR5="","",SUM(501/CP5))</f>
        <v/>
      </c>
      <c r="CW5" s="161" t="str">
        <f t="shared" ref="CW5:CW19" si="76">IFERROR(_xlfn.RANK.EQ(DH5,$DH$4:$DH$19,0),"")</f>
        <v/>
      </c>
      <c r="CX5" s="351" t="str">
        <f t="shared" ref="CX5:CX19" si="77">IF(DK5=1,AS5/AT5,"")</f>
        <v/>
      </c>
      <c r="CY5" s="161" t="str">
        <f t="shared" si="13"/>
        <v>1.1</v>
      </c>
      <c r="CZ5" s="351" t="str">
        <f t="shared" ref="CZ5:CZ19" si="78">IF(DL5=1,BA5/BB5,"")</f>
        <v/>
      </c>
      <c r="DA5" s="161">
        <f t="shared" si="14"/>
        <v>0</v>
      </c>
      <c r="DB5" s="161" t="str">
        <f t="shared" si="15"/>
        <v>2.1</v>
      </c>
      <c r="DC5" s="351" t="str">
        <f t="shared" ref="DC5:DC19" si="79">IF(DM5=1,BI5/BJ5,"")</f>
        <v/>
      </c>
      <c r="DD5" s="161">
        <f t="shared" si="16"/>
        <v>0</v>
      </c>
      <c r="DE5" s="161" t="str">
        <f t="shared" si="17"/>
        <v>3.1</v>
      </c>
      <c r="DF5" s="161">
        <f t="shared" ref="DF5:DF19" si="80">MAX(CX5,DA5,DD5)</f>
        <v>0</v>
      </c>
      <c r="DG5" s="161">
        <v>2E-3</v>
      </c>
      <c r="DH5" s="351" t="str">
        <f t="shared" ref="DH5:DH19" si="81">IF(DF5&gt;0,DF5+DG5,"")</f>
        <v/>
      </c>
      <c r="DI5" s="351" t="str">
        <f t="shared" ref="DI5:DI19" si="82">IF(DF5=CX5,CY5,IF(DF5=DA5,DB5,IF(DF5=DD5,DE5,"")))</f>
        <v>2.1</v>
      </c>
      <c r="DJ5" s="161" t="str">
        <f t="shared" ref="DJ5:DJ19" si="83">IFERROR(AN5,"")</f>
        <v/>
      </c>
      <c r="DK5" s="161">
        <f t="shared" ref="DK5:DK19" si="84">IF($B$1=1,IF(AW5=3,1,0),IF(AW5=2,1,0))</f>
        <v>0</v>
      </c>
      <c r="DL5" s="161">
        <f t="shared" ref="DL5:DL19" si="85">IF($B$1=1,IF(BE5=3,1,0),IF(BE5=2,1,0))</f>
        <v>0</v>
      </c>
      <c r="DM5" s="161">
        <f t="shared" ref="DM5:DM19" si="86">IF($B$1=1,IF(BM5=3,1,0),IF(BM5=2,1,0))</f>
        <v>0</v>
      </c>
      <c r="DN5" s="161">
        <v>5</v>
      </c>
      <c r="DO5" s="161" t="e">
        <f>VLOOKUP(DN5,'Matchblatt  FEUILLE DE MATCH'!BF:BG,2,FALSE)</f>
        <v>#N/A</v>
      </c>
      <c r="DP5" s="161" t="str">
        <f t="shared" si="2"/>
        <v/>
      </c>
      <c r="DQ5" s="161" t="str">
        <f t="shared" si="5"/>
        <v/>
      </c>
      <c r="DR5" s="161">
        <f t="shared" si="3"/>
        <v>0</v>
      </c>
      <c r="DT5" s="161">
        <v>2</v>
      </c>
      <c r="DU5" s="161" t="e">
        <f t="shared" si="18"/>
        <v>#N/A</v>
      </c>
      <c r="DV5" s="351" t="str">
        <f t="shared" ref="DV5:DV19" si="87">IFERROR(DU5,"")</f>
        <v/>
      </c>
      <c r="DW5" s="351" t="s">
        <v>280</v>
      </c>
      <c r="DX5" s="351"/>
      <c r="DY5" s="351"/>
      <c r="DZ5" s="371">
        <f t="shared" ref="DZ5:DZ19" si="88">IFERROR(VLOOKUP($DV5,$Q$19:$X$26,3,FALSE),0)</f>
        <v>0</v>
      </c>
      <c r="EA5" s="371">
        <f t="shared" ref="EA5:EA19" si="89">IFERROR(VLOOKUP($DV5,$Q$19:$X$26,4,FALSE),0)</f>
        <v>0</v>
      </c>
      <c r="EB5" s="371">
        <f t="shared" ref="EB5:EB19" si="90">IFERROR(VLOOKUP($DV5,$Q$19:$X$26,5,FALSE),0)</f>
        <v>0</v>
      </c>
      <c r="EC5" s="371">
        <f t="shared" ref="EC5:EC19" si="91">IFERROR(VLOOKUP($DV5,$Q$19:$X$26,6,FALSE),0)</f>
        <v>0</v>
      </c>
      <c r="ED5" s="371">
        <f t="shared" ref="ED5:ED19" si="92">IFERROR(VLOOKUP($DV5,$Q$19:$X$26,7,FALSE),0)</f>
        <v>0</v>
      </c>
      <c r="EE5" s="371" t="str">
        <f t="shared" ref="EE5:EE19" si="93">IFERROR(VLOOKUP($DV5,$Q$19:$X$26,8,FALSE),0)</f>
        <v/>
      </c>
      <c r="EF5" s="371">
        <f t="shared" ref="EF5:EF19" si="94">IFERROR(VLOOKUP($DV5,$Q$19:$Y$26,9,FALSE),0)</f>
        <v>0</v>
      </c>
      <c r="EG5" s="371">
        <f t="shared" ref="EG5:EG19" si="95">IFERROR(VLOOKUP($DV5,$Q$19:$Z$26,10,FALSE),0)</f>
        <v>0</v>
      </c>
      <c r="EH5" s="351">
        <f t="shared" ref="EH5:EH19" si="96">IFERROR(VLOOKUP($DV5,$Q$27:$Z$34,3,FALSE),0)</f>
        <v>0</v>
      </c>
      <c r="EI5" s="351">
        <f t="shared" ref="EI5:EI19" si="97">IFERROR(VLOOKUP($DV5,$Q$27:$Z$34,4,FALSE),0)</f>
        <v>0</v>
      </c>
      <c r="EJ5" s="351">
        <f t="shared" ref="EJ5:EJ19" si="98">IFERROR(VLOOKUP($DV5,$Q$27:$Z$34,5,FALSE),0)</f>
        <v>0</v>
      </c>
      <c r="EK5" s="351">
        <f t="shared" ref="EK5:EK19" si="99">IFERROR(VLOOKUP($DV5,$Q$27:$Z$34,6,FALSE),0)</f>
        <v>0</v>
      </c>
      <c r="EL5" s="351">
        <f t="shared" ref="EL5:EL19" si="100">IFERROR(VLOOKUP($DV5,$Q$27:$Z$34,7,FALSE),0)</f>
        <v>0</v>
      </c>
      <c r="EM5" s="351" t="str">
        <f t="shared" ref="EM5:EM19" si="101">IFERROR(VLOOKUP($DV5,$Q$27:$Z$34,8,FALSE),0)</f>
        <v/>
      </c>
      <c r="EN5" s="351">
        <f t="shared" ref="EN5:EN19" si="102">IFERROR(VLOOKUP($DV5,$Q$27:$Z$34,9,FALSE),0)</f>
        <v>0</v>
      </c>
      <c r="EO5" s="351">
        <f t="shared" ref="EO5:EO19" si="103">IFERROR(VLOOKUP($DV5,$Q$27:$Z$34,10,FALSE),0)</f>
        <v>0</v>
      </c>
      <c r="EP5" s="371">
        <f t="shared" ref="EP5:EP19" si="104">IFERROR(VLOOKUP($DV5,$Q$35:$Z$42,3,FALSE),0)</f>
        <v>0</v>
      </c>
      <c r="EQ5" s="371">
        <f t="shared" ref="EQ5:EQ19" si="105">IFERROR(VLOOKUP($DV5,$Q$35:$Z$42,4,FALSE),0)</f>
        <v>0</v>
      </c>
      <c r="ER5" s="371">
        <f t="shared" ref="ER5:ER19" si="106">IFERROR(VLOOKUP($DV5,$Q$35:$Z$42,5,FALSE),0)</f>
        <v>0</v>
      </c>
      <c r="ES5" s="371">
        <f t="shared" ref="ES5:ES19" si="107">IFERROR(VLOOKUP($DV5,$Q$35:$Z$42,6,FALSE),0)</f>
        <v>0</v>
      </c>
      <c r="ET5" s="371">
        <f t="shared" ref="ET5:ET19" si="108">IFERROR(VLOOKUP($DV5,$Q$35:$Z$42,7,FALSE),0)</f>
        <v>0</v>
      </c>
      <c r="EU5" s="371" t="str">
        <f t="shared" ref="EU5:EU19" si="109">IFERROR(VLOOKUP($DV5,$Q$35:$Z$42,8,FALSE),0)</f>
        <v/>
      </c>
      <c r="EV5" s="371">
        <f t="shared" ref="EV5:EV19" si="110">IFERROR(VLOOKUP($DV5,$Q$35:$Z$42,9,FALSE),0)</f>
        <v>0</v>
      </c>
      <c r="EW5" s="371">
        <f t="shared" ref="EW5:EW19" si="111">IFERROR(VLOOKUP($DV5,$Q$35:$Z$42,10,FALSE),0)</f>
        <v>0</v>
      </c>
      <c r="EX5" s="351" t="str">
        <f t="shared" ref="EX5:EX19" si="112">IFERROR(VLOOKUP($DV5,$Q$3:$V$10,5,FALSE),0)</f>
        <v/>
      </c>
      <c r="EY5" s="351">
        <f t="shared" ref="EY5:EY19" si="113">IFERROR(VLOOKUP($DV5,$Q$3:$V$10,6,FALSE),0)</f>
        <v>0</v>
      </c>
      <c r="EZ5" s="351" t="str">
        <f t="shared" ref="EZ5:EZ19" si="114">IFERROR(VLOOKUP($DV5,$Q$11:$V$18,5,FALSE),0)</f>
        <v/>
      </c>
      <c r="FA5" s="351" t="str">
        <f t="shared" ref="FA5:FA19" si="115">IFERROR(VLOOKUP($DV5,$Q$11:$V$18,6,FALSE),0)</f>
        <v/>
      </c>
      <c r="FB5" s="351" t="str">
        <f t="shared" ref="FB5:FB19" si="116">IFERROR(VLOOKUP($DV5,$Q$43:$V$44,5,FALSE),0)</f>
        <v/>
      </c>
      <c r="FC5" s="351">
        <f t="shared" ref="FC5:FC19" si="117">IFERROR(VLOOKUP($DV5,$Q$43:$V$44,6,FALSE),0)</f>
        <v>0</v>
      </c>
      <c r="FD5" s="351">
        <f t="shared" ref="FD5:FD19" si="118">SUM(DZ5,EH5,EP5)</f>
        <v>0</v>
      </c>
      <c r="FE5" s="351">
        <f t="shared" ref="FE5:FE19" si="119">SUM(EA5,EI5,EQ5)</f>
        <v>0</v>
      </c>
      <c r="FF5" s="351">
        <f t="shared" ref="FF5:FF19" si="120">MAX(EB5,EJ5,ER5,EX5,EZ5,FB5)</f>
        <v>0</v>
      </c>
      <c r="FG5" s="351">
        <f t="shared" ref="FG5:FG19" si="121">SUM(EC5,EK5,ES5,EY5,FA5,FC5)</f>
        <v>0</v>
      </c>
      <c r="FH5" s="351">
        <f t="shared" ref="FH5:FH19" si="122">SUM(ED5,EL5,ET5)</f>
        <v>0</v>
      </c>
      <c r="FI5" s="351">
        <f t="shared" ref="FI5:FI19" si="123">SUM(EE5,EM5,EU5)</f>
        <v>0</v>
      </c>
      <c r="FJ5" s="351">
        <f t="shared" ref="FJ5:FJ19" si="124">SUM(EF5,EN5,EV5)</f>
        <v>0</v>
      </c>
      <c r="FK5" s="351">
        <f t="shared" ref="FK5:FK19" si="125">SUM(EG5,EO5,EW5)</f>
        <v>0</v>
      </c>
      <c r="FL5" s="351">
        <f t="shared" ref="FL5:FL19" si="126">IF(FD5=0,0,SUM(FK5,-FJ5))</f>
        <v>0</v>
      </c>
      <c r="FM5" s="161" t="str">
        <f t="shared" si="19"/>
        <v/>
      </c>
      <c r="FN5" s="351">
        <f t="shared" ref="FN5:FN19" si="127">IFERROR(VLOOKUP(DV5,$Q$64:$S$71,3,FALSE),0)</f>
        <v>0</v>
      </c>
      <c r="FO5" s="161" t="str">
        <f t="shared" ref="FO5:FO19" si="128">IF(FN5=0,"",FN5)</f>
        <v/>
      </c>
      <c r="FP5" s="161" t="str">
        <f t="shared" ref="FP5:FP19" si="129">IFERROR(VLOOKUP(DV5,$Q$64:$GH$71,4,FALSE),0)</f>
        <v/>
      </c>
      <c r="FQ5" s="351">
        <f t="shared" ref="FQ5:FQ19" si="130">IFERROR(VLOOKUP(DV5,$Q$72:$S$79,3,FALSE),0)</f>
        <v>0</v>
      </c>
      <c r="FR5" s="161" t="str">
        <f t="shared" ref="FR5:FR19" si="131">IF(FQ5=0,"",IF(FN5=FQ5,"",FQ5))</f>
        <v/>
      </c>
      <c r="FS5" s="161" t="str">
        <f t="shared" ref="FS5:FS19" si="132">IFERROR(VLOOKUP(DV5,$Q$72:$T$79,4,FALSE),0)</f>
        <v/>
      </c>
      <c r="FT5" s="351">
        <f t="shared" ref="FT5:FT19" si="133">IFERROR(VLOOKUP(DV5,$Q$80:$S$87,3,FALSE),0)</f>
        <v>0</v>
      </c>
      <c r="FU5" s="161" t="str">
        <f t="shared" ref="FU5:FU19" si="134">IF(FT5=0,"",IF(FQ5=FT5,"",IF(FN5=FT5,"",FT5)))</f>
        <v/>
      </c>
      <c r="FV5" s="161" t="str">
        <f t="shared" ref="FV5:FV19" si="135">IFERROR(VLOOKUP(DV5,$Q$80:$T$87,4,FALSE),0)</f>
        <v/>
      </c>
      <c r="FW5" s="161">
        <f t="shared" ref="FW5:FW19" si="136">MIN(FO5,FR5,FU5)</f>
        <v>0</v>
      </c>
      <c r="FX5" s="161">
        <v>0.02</v>
      </c>
      <c r="FY5" s="351" t="str">
        <f t="shared" si="20"/>
        <v/>
      </c>
      <c r="FZ5" s="351" t="str">
        <f t="shared" si="21"/>
        <v/>
      </c>
      <c r="GA5" s="161" t="str">
        <f t="shared" ref="GA5:GA19" si="137">IFERROR(_xlfn.RANK.EQ(FY5,$FY$4:$FY$19,1),"")</f>
        <v/>
      </c>
      <c r="GB5" s="161" t="str">
        <f t="shared" si="22"/>
        <v/>
      </c>
      <c r="GC5" s="161" t="str">
        <f t="shared" si="23"/>
        <v/>
      </c>
      <c r="GD5" s="161" t="str">
        <f t="shared" ref="GD5:GD19" si="138">IFERROR(_xlfn.RANK.EQ(GO5,$GO$4:$GO$19,0),"")</f>
        <v/>
      </c>
      <c r="GE5" s="351" t="str">
        <f t="shared" ref="GE5:GE19" si="139">IF(GR5=1,DZ5/EA5,"")</f>
        <v/>
      </c>
      <c r="GF5" s="161" t="str">
        <f t="shared" ref="GF5:GF19" si="140">IFERROR(VLOOKUP(GB5,$Q$19:$AB$26,12,FALSE),0)</f>
        <v>1.1</v>
      </c>
      <c r="GG5" s="351" t="str">
        <f t="shared" ref="GG5:GG19" si="141">IF(GS5=1,EH5/EI5,"")</f>
        <v/>
      </c>
      <c r="GH5" s="161">
        <f t="shared" si="24"/>
        <v>0</v>
      </c>
      <c r="GI5" s="161" t="str">
        <f t="shared" ref="GI5:GI19" si="142">IFERROR(VLOOKUP(GB5,$Q$27:$AB$34,12,FALSE),0)</f>
        <v>2.1</v>
      </c>
      <c r="GJ5" s="351" t="str">
        <f t="shared" ref="GJ5:GJ19" si="143">IF(GT5=1,EP5/EQ5,"")</f>
        <v/>
      </c>
      <c r="GK5" s="161">
        <f t="shared" si="25"/>
        <v>0</v>
      </c>
      <c r="GL5" s="161" t="str">
        <f t="shared" ref="GL5:GL19" si="144">IFERROR(VLOOKUP(GB5,$Q$35:$AB$42,12,FALSE),0)</f>
        <v>3.1</v>
      </c>
      <c r="GM5" s="161">
        <f t="shared" ref="GM5:GM19" si="145">MAX(GE5,GH5,GK5)</f>
        <v>0</v>
      </c>
      <c r="GN5" s="161">
        <v>2E-3</v>
      </c>
      <c r="GO5" s="351" t="str">
        <f t="shared" ref="GO5:GO19" si="146">IF(GM5&gt;0,GM5+GN5,"")</f>
        <v/>
      </c>
      <c r="GP5" s="351" t="str">
        <f t="shared" ref="GP5:GP19" si="147">IF(GM5=GE5,GF5,IF(GM5=GH5,GI5,IF(GM5=GK5,GL5,"")))</f>
        <v>2.1</v>
      </c>
      <c r="GQ5" s="161" t="str">
        <f t="shared" ref="GQ5:GQ19" si="148">IFERROR(DU5,"")</f>
        <v/>
      </c>
      <c r="GR5" s="161">
        <f t="shared" ref="GR5:GR19" si="149">IF($B$1=1,IF(ED5=3,1,0),IF(ED5=2,1,0))</f>
        <v>0</v>
      </c>
      <c r="GS5" s="161">
        <f t="shared" ref="GS5:GS19" si="150">IF($B$1=1,IF(EL5=3,1,0),IF(EL5=2,1,0))</f>
        <v>0</v>
      </c>
      <c r="GT5" s="161">
        <f t="shared" ref="GT5:GT19" si="151">IF($B$1=1,IF(ET5=3,1,0),IF(ET5=2,1,0))</f>
        <v>0</v>
      </c>
    </row>
    <row r="6" spans="1:202" ht="15.95" customHeight="1">
      <c r="A6" s="355" t="s">
        <v>1008</v>
      </c>
      <c r="B6" s="355" t="s">
        <v>1105</v>
      </c>
      <c r="C6" s="161" t="str">
        <f>VLOOKUP(B6,Average!$GC:$GE,3,FALSE)</f>
        <v/>
      </c>
      <c r="D6" s="161" t="s">
        <v>280</v>
      </c>
      <c r="G6" s="161" t="str">
        <f>VLOOKUP(B6,Average!$GC:$HB,26,FALSE)</f>
        <v/>
      </c>
      <c r="H6" s="161">
        <f>VLOOKUP(B6,Average!$GC:$HC,27,FALSE)</f>
        <v>0</v>
      </c>
      <c r="O6" s="355" t="s">
        <v>1009</v>
      </c>
      <c r="P6" s="355" t="s">
        <v>1112</v>
      </c>
      <c r="Q6" s="161" t="str">
        <f>VLOOKUP(P6,Average!$GC:$GE,3,FALSE)</f>
        <v/>
      </c>
      <c r="R6" s="161" t="s">
        <v>280</v>
      </c>
      <c r="U6" s="161" t="str">
        <f>VLOOKUP(P6,Average!$GC:$HB,26,FALSE)</f>
        <v/>
      </c>
      <c r="V6" s="161">
        <f>VLOOKUP(P6,Average!$GC:$HC,27,FALSE)</f>
        <v>0</v>
      </c>
      <c r="AG6" s="161">
        <v>6</v>
      </c>
      <c r="AH6" s="161" t="e">
        <f>VLOOKUP(AG6,'Matchblatt  FEUILLE DE MATCH'!BD:BE,2,FALSE)</f>
        <v>#N/A</v>
      </c>
      <c r="AI6" s="161" t="str">
        <f t="shared" si="0"/>
        <v/>
      </c>
      <c r="AJ6" s="161" t="str">
        <f t="shared" si="4"/>
        <v/>
      </c>
      <c r="AK6" s="161">
        <f t="shared" si="1"/>
        <v>0</v>
      </c>
      <c r="AM6" s="161">
        <v>3</v>
      </c>
      <c r="AN6" s="161" t="e">
        <f t="shared" si="6"/>
        <v>#N/A</v>
      </c>
      <c r="AO6" s="351" t="str">
        <f t="shared" si="26"/>
        <v/>
      </c>
      <c r="AP6" s="351" t="s">
        <v>280</v>
      </c>
      <c r="AQ6" s="351"/>
      <c r="AR6" s="351"/>
      <c r="AS6" s="371">
        <f t="shared" si="27"/>
        <v>0</v>
      </c>
      <c r="AT6" s="371">
        <f t="shared" si="28"/>
        <v>0</v>
      </c>
      <c r="AU6" s="371">
        <f t="shared" si="29"/>
        <v>0</v>
      </c>
      <c r="AV6" s="371">
        <f t="shared" si="30"/>
        <v>0</v>
      </c>
      <c r="AW6" s="371">
        <f t="shared" si="31"/>
        <v>0</v>
      </c>
      <c r="AX6" s="371" t="str">
        <f t="shared" si="32"/>
        <v/>
      </c>
      <c r="AY6" s="371">
        <f t="shared" si="33"/>
        <v>0</v>
      </c>
      <c r="AZ6" s="371">
        <f t="shared" si="34"/>
        <v>0</v>
      </c>
      <c r="BA6" s="351">
        <f t="shared" si="35"/>
        <v>0</v>
      </c>
      <c r="BB6" s="351">
        <f t="shared" si="36"/>
        <v>0</v>
      </c>
      <c r="BC6" s="351">
        <f t="shared" si="37"/>
        <v>0</v>
      </c>
      <c r="BD6" s="351">
        <f t="shared" si="38"/>
        <v>0</v>
      </c>
      <c r="BE6" s="351">
        <f t="shared" si="39"/>
        <v>0</v>
      </c>
      <c r="BF6" s="351" t="str">
        <f t="shared" si="40"/>
        <v/>
      </c>
      <c r="BG6" s="351">
        <f t="shared" si="41"/>
        <v>0</v>
      </c>
      <c r="BH6" s="351">
        <f t="shared" si="42"/>
        <v>0</v>
      </c>
      <c r="BI6" s="371">
        <f t="shared" si="43"/>
        <v>0</v>
      </c>
      <c r="BJ6" s="371">
        <f t="shared" si="44"/>
        <v>0</v>
      </c>
      <c r="BK6" s="371">
        <f t="shared" si="45"/>
        <v>0</v>
      </c>
      <c r="BL6" s="371">
        <f t="shared" si="46"/>
        <v>0</v>
      </c>
      <c r="BM6" s="371">
        <f t="shared" si="47"/>
        <v>0</v>
      </c>
      <c r="BN6" s="371" t="str">
        <f t="shared" si="48"/>
        <v/>
      </c>
      <c r="BO6" s="371">
        <f t="shared" si="49"/>
        <v>0</v>
      </c>
      <c r="BP6" s="371">
        <f t="shared" si="50"/>
        <v>0</v>
      </c>
      <c r="BQ6" s="351" t="str">
        <f t="shared" si="51"/>
        <v/>
      </c>
      <c r="BR6" s="351">
        <f t="shared" si="52"/>
        <v>0</v>
      </c>
      <c r="BS6" s="351" t="str">
        <f t="shared" si="53"/>
        <v/>
      </c>
      <c r="BT6" s="351" t="str">
        <f t="shared" si="54"/>
        <v/>
      </c>
      <c r="BU6" s="351" t="str">
        <f t="shared" si="55"/>
        <v/>
      </c>
      <c r="BV6" s="351">
        <f t="shared" si="56"/>
        <v>0</v>
      </c>
      <c r="BW6" s="351">
        <f t="shared" si="57"/>
        <v>0</v>
      </c>
      <c r="BX6" s="351">
        <f t="shared" si="58"/>
        <v>0</v>
      </c>
      <c r="BY6" s="351">
        <f t="shared" si="59"/>
        <v>0</v>
      </c>
      <c r="BZ6" s="351">
        <f t="shared" si="60"/>
        <v>0</v>
      </c>
      <c r="CA6" s="351">
        <f t="shared" si="61"/>
        <v>0</v>
      </c>
      <c r="CB6" s="351">
        <f t="shared" si="62"/>
        <v>0</v>
      </c>
      <c r="CC6" s="351">
        <f t="shared" si="63"/>
        <v>0</v>
      </c>
      <c r="CD6" s="351">
        <f t="shared" si="64"/>
        <v>0</v>
      </c>
      <c r="CE6" s="351">
        <f t="shared" si="65"/>
        <v>0</v>
      </c>
      <c r="CF6" s="161" t="str">
        <f t="shared" si="66"/>
        <v/>
      </c>
      <c r="CG6" s="351">
        <f t="shared" si="67"/>
        <v>0</v>
      </c>
      <c r="CH6" s="161" t="str">
        <f t="shared" si="68"/>
        <v/>
      </c>
      <c r="CI6" s="161" t="str">
        <f t="shared" si="7"/>
        <v/>
      </c>
      <c r="CJ6" s="351">
        <f t="shared" si="8"/>
        <v>0</v>
      </c>
      <c r="CK6" s="161" t="str">
        <f t="shared" si="69"/>
        <v/>
      </c>
      <c r="CL6" s="161" t="str">
        <f t="shared" si="9"/>
        <v/>
      </c>
      <c r="CM6" s="351">
        <f t="shared" si="10"/>
        <v>0</v>
      </c>
      <c r="CN6" s="161" t="str">
        <f t="shared" si="70"/>
        <v/>
      </c>
      <c r="CO6" s="161" t="str">
        <f t="shared" si="11"/>
        <v/>
      </c>
      <c r="CP6" s="161">
        <f t="shared" si="71"/>
        <v>0</v>
      </c>
      <c r="CQ6" s="161">
        <v>0.03</v>
      </c>
      <c r="CR6" s="351" t="str">
        <f t="shared" si="72"/>
        <v/>
      </c>
      <c r="CS6" s="351" t="str">
        <f t="shared" si="73"/>
        <v/>
      </c>
      <c r="CT6" s="161" t="str">
        <f t="shared" si="12"/>
        <v/>
      </c>
      <c r="CU6" s="161" t="str">
        <f t="shared" si="74"/>
        <v/>
      </c>
      <c r="CV6" s="161" t="str">
        <f t="shared" si="75"/>
        <v/>
      </c>
      <c r="CW6" s="161" t="str">
        <f t="shared" si="76"/>
        <v/>
      </c>
      <c r="CX6" s="351" t="str">
        <f t="shared" si="77"/>
        <v/>
      </c>
      <c r="CY6" s="161" t="str">
        <f t="shared" si="13"/>
        <v>1.1</v>
      </c>
      <c r="CZ6" s="351" t="str">
        <f t="shared" si="78"/>
        <v/>
      </c>
      <c r="DA6" s="161">
        <f t="shared" si="14"/>
        <v>0</v>
      </c>
      <c r="DB6" s="161" t="str">
        <f t="shared" si="15"/>
        <v>2.1</v>
      </c>
      <c r="DC6" s="351" t="str">
        <f t="shared" si="79"/>
        <v/>
      </c>
      <c r="DD6" s="161">
        <f t="shared" si="16"/>
        <v>0</v>
      </c>
      <c r="DE6" s="161" t="str">
        <f t="shared" si="17"/>
        <v>3.1</v>
      </c>
      <c r="DF6" s="161">
        <f t="shared" si="80"/>
        <v>0</v>
      </c>
      <c r="DG6" s="161">
        <v>3.0000000000000001E-3</v>
      </c>
      <c r="DH6" s="351" t="str">
        <f t="shared" si="81"/>
        <v/>
      </c>
      <c r="DI6" s="351" t="str">
        <f t="shared" si="82"/>
        <v>2.1</v>
      </c>
      <c r="DJ6" s="161" t="str">
        <f t="shared" si="83"/>
        <v/>
      </c>
      <c r="DK6" s="161">
        <f t="shared" si="84"/>
        <v>0</v>
      </c>
      <c r="DL6" s="161">
        <f t="shared" si="85"/>
        <v>0</v>
      </c>
      <c r="DM6" s="161">
        <f t="shared" si="86"/>
        <v>0</v>
      </c>
      <c r="DN6" s="161">
        <v>6</v>
      </c>
      <c r="DO6" s="161" t="e">
        <f>VLOOKUP(DN6,'Matchblatt  FEUILLE DE MATCH'!BF:BG,2,FALSE)</f>
        <v>#N/A</v>
      </c>
      <c r="DP6" s="161" t="str">
        <f t="shared" si="2"/>
        <v/>
      </c>
      <c r="DQ6" s="161" t="str">
        <f t="shared" si="5"/>
        <v/>
      </c>
      <c r="DR6" s="161">
        <f t="shared" si="3"/>
        <v>0</v>
      </c>
      <c r="DT6" s="161">
        <v>3</v>
      </c>
      <c r="DU6" s="161" t="e">
        <f t="shared" si="18"/>
        <v>#N/A</v>
      </c>
      <c r="DV6" s="351" t="str">
        <f t="shared" si="87"/>
        <v/>
      </c>
      <c r="DW6" s="351" t="s">
        <v>280</v>
      </c>
      <c r="DX6" s="351"/>
      <c r="DY6" s="351"/>
      <c r="DZ6" s="371">
        <f t="shared" si="88"/>
        <v>0</v>
      </c>
      <c r="EA6" s="371">
        <f t="shared" si="89"/>
        <v>0</v>
      </c>
      <c r="EB6" s="371">
        <f t="shared" si="90"/>
        <v>0</v>
      </c>
      <c r="EC6" s="371">
        <f t="shared" si="91"/>
        <v>0</v>
      </c>
      <c r="ED6" s="371">
        <f t="shared" si="92"/>
        <v>0</v>
      </c>
      <c r="EE6" s="371" t="str">
        <f t="shared" si="93"/>
        <v/>
      </c>
      <c r="EF6" s="371">
        <f t="shared" si="94"/>
        <v>0</v>
      </c>
      <c r="EG6" s="371">
        <f t="shared" si="95"/>
        <v>0</v>
      </c>
      <c r="EH6" s="351">
        <f t="shared" si="96"/>
        <v>0</v>
      </c>
      <c r="EI6" s="351">
        <f t="shared" si="97"/>
        <v>0</v>
      </c>
      <c r="EJ6" s="351">
        <f t="shared" si="98"/>
        <v>0</v>
      </c>
      <c r="EK6" s="351">
        <f t="shared" si="99"/>
        <v>0</v>
      </c>
      <c r="EL6" s="351">
        <f t="shared" si="100"/>
        <v>0</v>
      </c>
      <c r="EM6" s="351" t="str">
        <f t="shared" si="101"/>
        <v/>
      </c>
      <c r="EN6" s="351">
        <f t="shared" si="102"/>
        <v>0</v>
      </c>
      <c r="EO6" s="351">
        <f t="shared" si="103"/>
        <v>0</v>
      </c>
      <c r="EP6" s="371">
        <f t="shared" si="104"/>
        <v>0</v>
      </c>
      <c r="EQ6" s="371">
        <f t="shared" si="105"/>
        <v>0</v>
      </c>
      <c r="ER6" s="371">
        <f t="shared" si="106"/>
        <v>0</v>
      </c>
      <c r="ES6" s="371">
        <f t="shared" si="107"/>
        <v>0</v>
      </c>
      <c r="ET6" s="371">
        <f t="shared" si="108"/>
        <v>0</v>
      </c>
      <c r="EU6" s="371" t="str">
        <f t="shared" si="109"/>
        <v/>
      </c>
      <c r="EV6" s="371">
        <f t="shared" si="110"/>
        <v>0</v>
      </c>
      <c r="EW6" s="371">
        <f t="shared" si="111"/>
        <v>0</v>
      </c>
      <c r="EX6" s="351" t="str">
        <f t="shared" si="112"/>
        <v/>
      </c>
      <c r="EY6" s="351">
        <f t="shared" si="113"/>
        <v>0</v>
      </c>
      <c r="EZ6" s="351" t="str">
        <f t="shared" si="114"/>
        <v/>
      </c>
      <c r="FA6" s="351" t="str">
        <f t="shared" si="115"/>
        <v/>
      </c>
      <c r="FB6" s="351" t="str">
        <f t="shared" si="116"/>
        <v/>
      </c>
      <c r="FC6" s="351">
        <f t="shared" si="117"/>
        <v>0</v>
      </c>
      <c r="FD6" s="351">
        <f t="shared" si="118"/>
        <v>0</v>
      </c>
      <c r="FE6" s="351">
        <f t="shared" si="119"/>
        <v>0</v>
      </c>
      <c r="FF6" s="351">
        <f t="shared" si="120"/>
        <v>0</v>
      </c>
      <c r="FG6" s="351">
        <f t="shared" si="121"/>
        <v>0</v>
      </c>
      <c r="FH6" s="351">
        <f t="shared" si="122"/>
        <v>0</v>
      </c>
      <c r="FI6" s="351">
        <f t="shared" si="123"/>
        <v>0</v>
      </c>
      <c r="FJ6" s="351">
        <f t="shared" si="124"/>
        <v>0</v>
      </c>
      <c r="FK6" s="351">
        <f t="shared" si="125"/>
        <v>0</v>
      </c>
      <c r="FL6" s="351">
        <f t="shared" si="126"/>
        <v>0</v>
      </c>
      <c r="FM6" s="161" t="str">
        <f t="shared" si="19"/>
        <v/>
      </c>
      <c r="FN6" s="351">
        <f t="shared" si="127"/>
        <v>0</v>
      </c>
      <c r="FO6" s="161" t="str">
        <f t="shared" si="128"/>
        <v/>
      </c>
      <c r="FP6" s="161" t="str">
        <f t="shared" si="129"/>
        <v/>
      </c>
      <c r="FQ6" s="351">
        <f t="shared" si="130"/>
        <v>0</v>
      </c>
      <c r="FR6" s="161" t="str">
        <f t="shared" si="131"/>
        <v/>
      </c>
      <c r="FS6" s="161" t="str">
        <f t="shared" si="132"/>
        <v/>
      </c>
      <c r="FT6" s="351">
        <f t="shared" si="133"/>
        <v>0</v>
      </c>
      <c r="FU6" s="161" t="str">
        <f t="shared" si="134"/>
        <v/>
      </c>
      <c r="FV6" s="161" t="str">
        <f t="shared" si="135"/>
        <v/>
      </c>
      <c r="FW6" s="161">
        <f t="shared" si="136"/>
        <v>0</v>
      </c>
      <c r="FX6" s="161">
        <v>0.03</v>
      </c>
      <c r="FY6" s="351" t="str">
        <f t="shared" si="20"/>
        <v/>
      </c>
      <c r="FZ6" s="351" t="str">
        <f t="shared" si="21"/>
        <v/>
      </c>
      <c r="GA6" s="161" t="str">
        <f t="shared" si="137"/>
        <v/>
      </c>
      <c r="GB6" s="161" t="str">
        <f t="shared" si="22"/>
        <v/>
      </c>
      <c r="GC6" s="161" t="str">
        <f t="shared" si="23"/>
        <v/>
      </c>
      <c r="GD6" s="161" t="str">
        <f t="shared" si="138"/>
        <v/>
      </c>
      <c r="GE6" s="351" t="str">
        <f t="shared" si="139"/>
        <v/>
      </c>
      <c r="GF6" s="161" t="str">
        <f t="shared" si="140"/>
        <v>1.1</v>
      </c>
      <c r="GG6" s="351" t="str">
        <f t="shared" si="141"/>
        <v/>
      </c>
      <c r="GH6" s="161">
        <f t="shared" si="24"/>
        <v>0</v>
      </c>
      <c r="GI6" s="161" t="str">
        <f t="shared" si="142"/>
        <v>2.1</v>
      </c>
      <c r="GJ6" s="351" t="str">
        <f t="shared" si="143"/>
        <v/>
      </c>
      <c r="GK6" s="161">
        <f t="shared" si="25"/>
        <v>0</v>
      </c>
      <c r="GL6" s="161" t="str">
        <f t="shared" si="144"/>
        <v>3.1</v>
      </c>
      <c r="GM6" s="161">
        <f t="shared" si="145"/>
        <v>0</v>
      </c>
      <c r="GN6" s="161">
        <v>3.0000000000000001E-3</v>
      </c>
      <c r="GO6" s="351" t="str">
        <f t="shared" si="146"/>
        <v/>
      </c>
      <c r="GP6" s="351" t="str">
        <f t="shared" si="147"/>
        <v>2.1</v>
      </c>
      <c r="GQ6" s="161" t="str">
        <f t="shared" si="148"/>
        <v/>
      </c>
      <c r="GR6" s="161">
        <f t="shared" si="149"/>
        <v>0</v>
      </c>
      <c r="GS6" s="161">
        <f t="shared" si="150"/>
        <v>0</v>
      </c>
      <c r="GT6" s="161">
        <f t="shared" si="151"/>
        <v>0</v>
      </c>
    </row>
    <row r="7" spans="1:202" ht="15.95" customHeight="1">
      <c r="A7" s="355" t="s">
        <v>1010</v>
      </c>
      <c r="B7" s="355" t="s">
        <v>1011</v>
      </c>
      <c r="C7" s="161" t="str">
        <f>VLOOKUP(B7,Average!$GC:$GE,3,FALSE)</f>
        <v/>
      </c>
      <c r="D7" s="161" t="s">
        <v>280</v>
      </c>
      <c r="E7" s="161">
        <f>VLOOKUP(B7,Average!$GC:$HA,24,FALSE)</f>
        <v>0</v>
      </c>
      <c r="F7" s="161">
        <f>VLOOKUP(B7,Average!$GC:$HA,25,FALSE)</f>
        <v>0</v>
      </c>
      <c r="G7" s="161" t="str">
        <f>VLOOKUP(B7,Average!$GC:$HB,26,FALSE)</f>
        <v/>
      </c>
      <c r="H7" s="161">
        <f>VLOOKUP(B7,Average!$GC:$HC,27,FALSE)</f>
        <v>0</v>
      </c>
      <c r="I7" s="161">
        <f>VLOOKUP(B7,Average!$GC:$HH,32,FALSE)</f>
        <v>0</v>
      </c>
      <c r="K7" s="161">
        <f>IF(P7="",0,VLOOKUP(P7,Average!GC:GD,2,FALSE))</f>
        <v>0</v>
      </c>
      <c r="O7" s="355" t="s">
        <v>1010</v>
      </c>
      <c r="P7" s="355" t="s">
        <v>1012</v>
      </c>
      <c r="Q7" s="161" t="str">
        <f>VLOOKUP(P7,Average!$GC:$GE,3,FALSE)</f>
        <v/>
      </c>
      <c r="R7" s="161" t="s">
        <v>280</v>
      </c>
      <c r="S7" s="161">
        <f>VLOOKUP(P7,Average!$GC:$HA,24,FALSE)</f>
        <v>0</v>
      </c>
      <c r="T7" s="161">
        <f>VLOOKUP(P7,Average!$GC:$HA,25,FALSE)</f>
        <v>0</v>
      </c>
      <c r="U7" s="161" t="str">
        <f>VLOOKUP(P7,Average!$GC:$HB,26,FALSE)</f>
        <v/>
      </c>
      <c r="V7" s="161">
        <f>VLOOKUP(P7,Average!$GC:$HC,27,FALSE)</f>
        <v>0</v>
      </c>
      <c r="W7" s="161">
        <f>VLOOKUP(P7,Average!$GC:$HH,32,FALSE)</f>
        <v>0</v>
      </c>
      <c r="Y7" s="161">
        <f>IF(B7="",0,VLOOKUP(B7,Average!GC:GD,2,FALSE))</f>
        <v>0</v>
      </c>
      <c r="AC7" s="161">
        <f>IF(K7=1,1,IF(I7=2,1,0))</f>
        <v>0</v>
      </c>
      <c r="AD7" s="161">
        <f>IF(Y7=1,1,IF(W7=2,1,0))</f>
        <v>0</v>
      </c>
      <c r="AE7" s="161">
        <f>IF(Y7=1,2,SUM(I7))</f>
        <v>0</v>
      </c>
      <c r="AF7" s="161">
        <f>IF(K7=1,2,SUM(W7))</f>
        <v>0</v>
      </c>
      <c r="AG7" s="161">
        <v>7</v>
      </c>
      <c r="AH7" s="161" t="e">
        <f>VLOOKUP(AG7,'Matchblatt  FEUILLE DE MATCH'!BD:BE,2,FALSE)</f>
        <v>#N/A</v>
      </c>
      <c r="AI7" s="161" t="str">
        <f t="shared" si="0"/>
        <v/>
      </c>
      <c r="AJ7" s="161" t="str">
        <f t="shared" si="4"/>
        <v/>
      </c>
      <c r="AK7" s="161">
        <f t="shared" si="1"/>
        <v>0</v>
      </c>
      <c r="AM7" s="161">
        <v>4</v>
      </c>
      <c r="AN7" s="161" t="e">
        <f t="shared" si="6"/>
        <v>#N/A</v>
      </c>
      <c r="AO7" s="351" t="str">
        <f t="shared" si="26"/>
        <v/>
      </c>
      <c r="AP7" s="351" t="s">
        <v>280</v>
      </c>
      <c r="AQ7" s="351"/>
      <c r="AR7" s="351"/>
      <c r="AS7" s="371">
        <f t="shared" si="27"/>
        <v>0</v>
      </c>
      <c r="AT7" s="371">
        <f t="shared" si="28"/>
        <v>0</v>
      </c>
      <c r="AU7" s="371">
        <f t="shared" si="29"/>
        <v>0</v>
      </c>
      <c r="AV7" s="371">
        <f t="shared" si="30"/>
        <v>0</v>
      </c>
      <c r="AW7" s="371">
        <f t="shared" si="31"/>
        <v>0</v>
      </c>
      <c r="AX7" s="371" t="str">
        <f t="shared" si="32"/>
        <v/>
      </c>
      <c r="AY7" s="371">
        <f t="shared" si="33"/>
        <v>0</v>
      </c>
      <c r="AZ7" s="371">
        <f t="shared" si="34"/>
        <v>0</v>
      </c>
      <c r="BA7" s="351">
        <f t="shared" si="35"/>
        <v>0</v>
      </c>
      <c r="BB7" s="351">
        <f t="shared" si="36"/>
        <v>0</v>
      </c>
      <c r="BC7" s="351">
        <f t="shared" si="37"/>
        <v>0</v>
      </c>
      <c r="BD7" s="351">
        <f t="shared" si="38"/>
        <v>0</v>
      </c>
      <c r="BE7" s="351">
        <f t="shared" si="39"/>
        <v>0</v>
      </c>
      <c r="BF7" s="351" t="str">
        <f t="shared" si="40"/>
        <v/>
      </c>
      <c r="BG7" s="351">
        <f t="shared" si="41"/>
        <v>0</v>
      </c>
      <c r="BH7" s="351">
        <f t="shared" si="42"/>
        <v>0</v>
      </c>
      <c r="BI7" s="371">
        <f t="shared" si="43"/>
        <v>0</v>
      </c>
      <c r="BJ7" s="371">
        <f t="shared" si="44"/>
        <v>0</v>
      </c>
      <c r="BK7" s="371">
        <f t="shared" si="45"/>
        <v>0</v>
      </c>
      <c r="BL7" s="371">
        <f t="shared" si="46"/>
        <v>0</v>
      </c>
      <c r="BM7" s="371">
        <f t="shared" si="47"/>
        <v>0</v>
      </c>
      <c r="BN7" s="371" t="str">
        <f t="shared" si="48"/>
        <v/>
      </c>
      <c r="BO7" s="371">
        <f t="shared" si="49"/>
        <v>0</v>
      </c>
      <c r="BP7" s="371">
        <f t="shared" si="50"/>
        <v>0</v>
      </c>
      <c r="BQ7" s="351" t="str">
        <f t="shared" si="51"/>
        <v/>
      </c>
      <c r="BR7" s="351">
        <f t="shared" si="52"/>
        <v>0</v>
      </c>
      <c r="BS7" s="351" t="str">
        <f t="shared" si="53"/>
        <v/>
      </c>
      <c r="BT7" s="351" t="str">
        <f t="shared" si="54"/>
        <v/>
      </c>
      <c r="BU7" s="351" t="str">
        <f t="shared" si="55"/>
        <v/>
      </c>
      <c r="BV7" s="351">
        <f t="shared" si="56"/>
        <v>0</v>
      </c>
      <c r="BW7" s="351">
        <f t="shared" si="57"/>
        <v>0</v>
      </c>
      <c r="BX7" s="351">
        <f t="shared" si="58"/>
        <v>0</v>
      </c>
      <c r="BY7" s="351">
        <f t="shared" si="59"/>
        <v>0</v>
      </c>
      <c r="BZ7" s="351">
        <f t="shared" si="60"/>
        <v>0</v>
      </c>
      <c r="CA7" s="351">
        <f t="shared" si="61"/>
        <v>0</v>
      </c>
      <c r="CB7" s="351">
        <f t="shared" si="62"/>
        <v>0</v>
      </c>
      <c r="CC7" s="351">
        <f t="shared" si="63"/>
        <v>0</v>
      </c>
      <c r="CD7" s="351">
        <f t="shared" si="64"/>
        <v>0</v>
      </c>
      <c r="CE7" s="351">
        <f t="shared" si="65"/>
        <v>0</v>
      </c>
      <c r="CF7" s="161" t="str">
        <f t="shared" si="66"/>
        <v/>
      </c>
      <c r="CG7" s="351">
        <f t="shared" si="67"/>
        <v>0</v>
      </c>
      <c r="CH7" s="161" t="str">
        <f t="shared" si="68"/>
        <v/>
      </c>
      <c r="CI7" s="161" t="str">
        <f t="shared" si="7"/>
        <v/>
      </c>
      <c r="CJ7" s="351">
        <f t="shared" si="8"/>
        <v>0</v>
      </c>
      <c r="CK7" s="161" t="str">
        <f t="shared" si="69"/>
        <v/>
      </c>
      <c r="CL7" s="161" t="str">
        <f t="shared" si="9"/>
        <v/>
      </c>
      <c r="CM7" s="351">
        <f t="shared" si="10"/>
        <v>0</v>
      </c>
      <c r="CN7" s="161" t="str">
        <f t="shared" si="70"/>
        <v/>
      </c>
      <c r="CO7" s="161" t="str">
        <f t="shared" si="11"/>
        <v/>
      </c>
      <c r="CP7" s="161">
        <f t="shared" si="71"/>
        <v>0</v>
      </c>
      <c r="CQ7" s="161">
        <v>0.04</v>
      </c>
      <c r="CR7" s="351" t="str">
        <f t="shared" si="72"/>
        <v/>
      </c>
      <c r="CS7" s="351" t="str">
        <f t="shared" si="73"/>
        <v/>
      </c>
      <c r="CT7" s="161" t="str">
        <f t="shared" si="12"/>
        <v/>
      </c>
      <c r="CU7" s="161" t="str">
        <f t="shared" si="74"/>
        <v/>
      </c>
      <c r="CV7" s="161" t="str">
        <f t="shared" si="75"/>
        <v/>
      </c>
      <c r="CW7" s="161" t="str">
        <f t="shared" si="76"/>
        <v/>
      </c>
      <c r="CX7" s="351" t="str">
        <f t="shared" si="77"/>
        <v/>
      </c>
      <c r="CY7" s="161" t="str">
        <f t="shared" si="13"/>
        <v>1.1</v>
      </c>
      <c r="CZ7" s="351" t="str">
        <f t="shared" si="78"/>
        <v/>
      </c>
      <c r="DA7" s="161">
        <f t="shared" si="14"/>
        <v>0</v>
      </c>
      <c r="DB7" s="161" t="str">
        <f t="shared" si="15"/>
        <v>2.1</v>
      </c>
      <c r="DC7" s="351" t="str">
        <f t="shared" si="79"/>
        <v/>
      </c>
      <c r="DD7" s="161">
        <f t="shared" si="16"/>
        <v>0</v>
      </c>
      <c r="DE7" s="161" t="str">
        <f t="shared" si="17"/>
        <v>3.1</v>
      </c>
      <c r="DF7" s="161">
        <f t="shared" si="80"/>
        <v>0</v>
      </c>
      <c r="DG7" s="161">
        <v>4.0000000000000001E-3</v>
      </c>
      <c r="DH7" s="351" t="str">
        <f t="shared" si="81"/>
        <v/>
      </c>
      <c r="DI7" s="351" t="str">
        <f t="shared" si="82"/>
        <v>2.1</v>
      </c>
      <c r="DJ7" s="161" t="str">
        <f t="shared" si="83"/>
        <v/>
      </c>
      <c r="DK7" s="161">
        <f t="shared" si="84"/>
        <v>0</v>
      </c>
      <c r="DL7" s="161">
        <f t="shared" si="85"/>
        <v>0</v>
      </c>
      <c r="DM7" s="161">
        <f t="shared" si="86"/>
        <v>0</v>
      </c>
      <c r="DN7" s="161">
        <v>7</v>
      </c>
      <c r="DO7" s="161" t="e">
        <f>VLOOKUP(DN7,'Matchblatt  FEUILLE DE MATCH'!BF:BG,2,FALSE)</f>
        <v>#N/A</v>
      </c>
      <c r="DP7" s="161" t="str">
        <f t="shared" si="2"/>
        <v/>
      </c>
      <c r="DQ7" s="161" t="str">
        <f t="shared" si="5"/>
        <v/>
      </c>
      <c r="DR7" s="161">
        <f t="shared" si="3"/>
        <v>0</v>
      </c>
      <c r="DT7" s="161">
        <v>4</v>
      </c>
      <c r="DU7" s="161" t="e">
        <f t="shared" si="18"/>
        <v>#N/A</v>
      </c>
      <c r="DV7" s="351" t="str">
        <f t="shared" si="87"/>
        <v/>
      </c>
      <c r="DW7" s="351" t="s">
        <v>280</v>
      </c>
      <c r="DX7" s="351"/>
      <c r="DY7" s="351"/>
      <c r="DZ7" s="371">
        <f t="shared" si="88"/>
        <v>0</v>
      </c>
      <c r="EA7" s="371">
        <f t="shared" si="89"/>
        <v>0</v>
      </c>
      <c r="EB7" s="371">
        <f t="shared" si="90"/>
        <v>0</v>
      </c>
      <c r="EC7" s="371">
        <f t="shared" si="91"/>
        <v>0</v>
      </c>
      <c r="ED7" s="371">
        <f t="shared" si="92"/>
        <v>0</v>
      </c>
      <c r="EE7" s="371" t="str">
        <f t="shared" si="93"/>
        <v/>
      </c>
      <c r="EF7" s="371">
        <f t="shared" si="94"/>
        <v>0</v>
      </c>
      <c r="EG7" s="371">
        <f t="shared" si="95"/>
        <v>0</v>
      </c>
      <c r="EH7" s="351">
        <f t="shared" si="96"/>
        <v>0</v>
      </c>
      <c r="EI7" s="351">
        <f t="shared" si="97"/>
        <v>0</v>
      </c>
      <c r="EJ7" s="351">
        <f t="shared" si="98"/>
        <v>0</v>
      </c>
      <c r="EK7" s="351">
        <f t="shared" si="99"/>
        <v>0</v>
      </c>
      <c r="EL7" s="351">
        <f t="shared" si="100"/>
        <v>0</v>
      </c>
      <c r="EM7" s="351" t="str">
        <f t="shared" si="101"/>
        <v/>
      </c>
      <c r="EN7" s="351">
        <f t="shared" si="102"/>
        <v>0</v>
      </c>
      <c r="EO7" s="351">
        <f t="shared" si="103"/>
        <v>0</v>
      </c>
      <c r="EP7" s="371">
        <f t="shared" si="104"/>
        <v>0</v>
      </c>
      <c r="EQ7" s="371">
        <f t="shared" si="105"/>
        <v>0</v>
      </c>
      <c r="ER7" s="371">
        <f t="shared" si="106"/>
        <v>0</v>
      </c>
      <c r="ES7" s="371">
        <f t="shared" si="107"/>
        <v>0</v>
      </c>
      <c r="ET7" s="371">
        <f t="shared" si="108"/>
        <v>0</v>
      </c>
      <c r="EU7" s="371" t="str">
        <f t="shared" si="109"/>
        <v/>
      </c>
      <c r="EV7" s="371">
        <f t="shared" si="110"/>
        <v>0</v>
      </c>
      <c r="EW7" s="371">
        <f t="shared" si="111"/>
        <v>0</v>
      </c>
      <c r="EX7" s="351" t="str">
        <f t="shared" si="112"/>
        <v/>
      </c>
      <c r="EY7" s="351">
        <f t="shared" si="113"/>
        <v>0</v>
      </c>
      <c r="EZ7" s="351" t="str">
        <f t="shared" si="114"/>
        <v/>
      </c>
      <c r="FA7" s="351" t="str">
        <f t="shared" si="115"/>
        <v/>
      </c>
      <c r="FB7" s="351" t="str">
        <f t="shared" si="116"/>
        <v/>
      </c>
      <c r="FC7" s="351">
        <f t="shared" si="117"/>
        <v>0</v>
      </c>
      <c r="FD7" s="351">
        <f t="shared" si="118"/>
        <v>0</v>
      </c>
      <c r="FE7" s="351">
        <f t="shared" si="119"/>
        <v>0</v>
      </c>
      <c r="FF7" s="351">
        <f t="shared" si="120"/>
        <v>0</v>
      </c>
      <c r="FG7" s="351">
        <f t="shared" si="121"/>
        <v>0</v>
      </c>
      <c r="FH7" s="351">
        <f t="shared" si="122"/>
        <v>0</v>
      </c>
      <c r="FI7" s="351">
        <f t="shared" si="123"/>
        <v>0</v>
      </c>
      <c r="FJ7" s="351">
        <f t="shared" si="124"/>
        <v>0</v>
      </c>
      <c r="FK7" s="351">
        <f t="shared" si="125"/>
        <v>0</v>
      </c>
      <c r="FL7" s="351">
        <f t="shared" si="126"/>
        <v>0</v>
      </c>
      <c r="FM7" s="161" t="str">
        <f t="shared" si="19"/>
        <v/>
      </c>
      <c r="FN7" s="351">
        <f t="shared" si="127"/>
        <v>0</v>
      </c>
      <c r="FO7" s="161" t="str">
        <f t="shared" si="128"/>
        <v/>
      </c>
      <c r="FP7" s="161" t="str">
        <f t="shared" si="129"/>
        <v/>
      </c>
      <c r="FQ7" s="351">
        <f t="shared" si="130"/>
        <v>0</v>
      </c>
      <c r="FR7" s="161" t="str">
        <f t="shared" si="131"/>
        <v/>
      </c>
      <c r="FS7" s="161" t="str">
        <f t="shared" si="132"/>
        <v/>
      </c>
      <c r="FT7" s="351">
        <f t="shared" si="133"/>
        <v>0</v>
      </c>
      <c r="FU7" s="161" t="str">
        <f t="shared" si="134"/>
        <v/>
      </c>
      <c r="FV7" s="161" t="str">
        <f t="shared" si="135"/>
        <v/>
      </c>
      <c r="FW7" s="161">
        <f t="shared" si="136"/>
        <v>0</v>
      </c>
      <c r="FX7" s="161">
        <v>0.04</v>
      </c>
      <c r="FY7" s="351" t="str">
        <f t="shared" si="20"/>
        <v/>
      </c>
      <c r="FZ7" s="351" t="str">
        <f t="shared" si="21"/>
        <v/>
      </c>
      <c r="GA7" s="161" t="str">
        <f t="shared" si="137"/>
        <v/>
      </c>
      <c r="GB7" s="161" t="str">
        <f t="shared" si="22"/>
        <v/>
      </c>
      <c r="GC7" s="161" t="str">
        <f t="shared" si="23"/>
        <v/>
      </c>
      <c r="GD7" s="161" t="str">
        <f t="shared" si="138"/>
        <v/>
      </c>
      <c r="GE7" s="351" t="str">
        <f t="shared" si="139"/>
        <v/>
      </c>
      <c r="GF7" s="161" t="str">
        <f t="shared" si="140"/>
        <v>1.1</v>
      </c>
      <c r="GG7" s="351" t="str">
        <f t="shared" si="141"/>
        <v/>
      </c>
      <c r="GH7" s="161">
        <f t="shared" si="24"/>
        <v>0</v>
      </c>
      <c r="GI7" s="161" t="str">
        <f t="shared" si="142"/>
        <v>2.1</v>
      </c>
      <c r="GJ7" s="351" t="str">
        <f t="shared" si="143"/>
        <v/>
      </c>
      <c r="GK7" s="161">
        <f t="shared" si="25"/>
        <v>0</v>
      </c>
      <c r="GL7" s="161" t="str">
        <f t="shared" si="144"/>
        <v>3.1</v>
      </c>
      <c r="GM7" s="161">
        <f t="shared" si="145"/>
        <v>0</v>
      </c>
      <c r="GN7" s="161">
        <v>4.0000000000000001E-3</v>
      </c>
      <c r="GO7" s="351" t="str">
        <f t="shared" si="146"/>
        <v/>
      </c>
      <c r="GP7" s="351" t="str">
        <f t="shared" si="147"/>
        <v>2.1</v>
      </c>
      <c r="GQ7" s="161" t="str">
        <f t="shared" si="148"/>
        <v/>
      </c>
      <c r="GR7" s="161">
        <f t="shared" si="149"/>
        <v>0</v>
      </c>
      <c r="GS7" s="161">
        <f t="shared" si="150"/>
        <v>0</v>
      </c>
      <c r="GT7" s="161">
        <f t="shared" si="151"/>
        <v>0</v>
      </c>
    </row>
    <row r="8" spans="1:202" ht="15.95" customHeight="1">
      <c r="A8" s="355" t="s">
        <v>1011</v>
      </c>
      <c r="B8" s="355" t="s">
        <v>1106</v>
      </c>
      <c r="C8" s="161" t="str">
        <f>VLOOKUP(B8,Average!$GC:$GE,3,FALSE)</f>
        <v/>
      </c>
      <c r="D8" s="161" t="s">
        <v>280</v>
      </c>
      <c r="G8" s="161" t="str">
        <f>VLOOKUP(B8,Average!$GC:$HB,26,FALSE)</f>
        <v/>
      </c>
      <c r="H8" s="161">
        <f>VLOOKUP(B8,Average!$GC:$HC,27,FALSE)</f>
        <v>0</v>
      </c>
      <c r="O8" s="355" t="s">
        <v>1012</v>
      </c>
      <c r="P8" s="355" t="s">
        <v>1113</v>
      </c>
      <c r="Q8" s="161" t="str">
        <f>VLOOKUP(P8,Average!$GC:$GE,3,FALSE)</f>
        <v/>
      </c>
      <c r="R8" s="161" t="s">
        <v>280</v>
      </c>
      <c r="U8" s="161" t="str">
        <f>VLOOKUP(P8,Average!$GC:$HB,26,FALSE)</f>
        <v/>
      </c>
      <c r="V8" s="161">
        <f>VLOOKUP(P8,Average!$GC:$HC,27,FALSE)</f>
        <v>0</v>
      </c>
      <c r="AG8" s="354">
        <v>8</v>
      </c>
      <c r="AH8" s="161" t="e">
        <f>VLOOKUP(AG8,'Matchblatt  FEUILLE DE MATCH'!BD:BE,2,FALSE)</f>
        <v>#N/A</v>
      </c>
      <c r="AI8" s="161" t="str">
        <f t="shared" si="0"/>
        <v/>
      </c>
      <c r="AJ8" s="161" t="str">
        <f t="shared" si="4"/>
        <v/>
      </c>
      <c r="AK8" s="161">
        <f t="shared" si="1"/>
        <v>0</v>
      </c>
      <c r="AM8" s="161">
        <v>5</v>
      </c>
      <c r="AN8" s="161" t="e">
        <f t="shared" si="6"/>
        <v>#N/A</v>
      </c>
      <c r="AO8" s="351" t="str">
        <f t="shared" si="26"/>
        <v/>
      </c>
      <c r="AP8" s="351" t="s">
        <v>280</v>
      </c>
      <c r="AQ8" s="351"/>
      <c r="AR8" s="351"/>
      <c r="AS8" s="371">
        <f t="shared" si="27"/>
        <v>0</v>
      </c>
      <c r="AT8" s="371">
        <f t="shared" si="28"/>
        <v>0</v>
      </c>
      <c r="AU8" s="371">
        <f t="shared" si="29"/>
        <v>0</v>
      </c>
      <c r="AV8" s="371">
        <f t="shared" si="30"/>
        <v>0</v>
      </c>
      <c r="AW8" s="371">
        <f t="shared" si="31"/>
        <v>0</v>
      </c>
      <c r="AX8" s="371" t="str">
        <f t="shared" si="32"/>
        <v/>
      </c>
      <c r="AY8" s="371">
        <f t="shared" si="33"/>
        <v>0</v>
      </c>
      <c r="AZ8" s="371">
        <f t="shared" si="34"/>
        <v>0</v>
      </c>
      <c r="BA8" s="351">
        <f t="shared" si="35"/>
        <v>0</v>
      </c>
      <c r="BB8" s="351">
        <f t="shared" si="36"/>
        <v>0</v>
      </c>
      <c r="BC8" s="351">
        <f t="shared" si="37"/>
        <v>0</v>
      </c>
      <c r="BD8" s="351">
        <f t="shared" si="38"/>
        <v>0</v>
      </c>
      <c r="BE8" s="351">
        <f t="shared" si="39"/>
        <v>0</v>
      </c>
      <c r="BF8" s="351" t="str">
        <f t="shared" si="40"/>
        <v/>
      </c>
      <c r="BG8" s="351">
        <f t="shared" si="41"/>
        <v>0</v>
      </c>
      <c r="BH8" s="351">
        <f t="shared" si="42"/>
        <v>0</v>
      </c>
      <c r="BI8" s="371">
        <f t="shared" si="43"/>
        <v>0</v>
      </c>
      <c r="BJ8" s="371">
        <f t="shared" si="44"/>
        <v>0</v>
      </c>
      <c r="BK8" s="371">
        <f t="shared" si="45"/>
        <v>0</v>
      </c>
      <c r="BL8" s="371">
        <f t="shared" si="46"/>
        <v>0</v>
      </c>
      <c r="BM8" s="371">
        <f t="shared" si="47"/>
        <v>0</v>
      </c>
      <c r="BN8" s="371" t="str">
        <f t="shared" si="48"/>
        <v/>
      </c>
      <c r="BO8" s="371">
        <f t="shared" si="49"/>
        <v>0</v>
      </c>
      <c r="BP8" s="371">
        <f t="shared" si="50"/>
        <v>0</v>
      </c>
      <c r="BQ8" s="351" t="str">
        <f t="shared" si="51"/>
        <v/>
      </c>
      <c r="BR8" s="351">
        <f t="shared" si="52"/>
        <v>0</v>
      </c>
      <c r="BS8" s="351" t="str">
        <f t="shared" si="53"/>
        <v/>
      </c>
      <c r="BT8" s="351" t="str">
        <f t="shared" si="54"/>
        <v/>
      </c>
      <c r="BU8" s="351" t="str">
        <f t="shared" si="55"/>
        <v/>
      </c>
      <c r="BV8" s="351">
        <f t="shared" si="56"/>
        <v>0</v>
      </c>
      <c r="BW8" s="351">
        <f t="shared" si="57"/>
        <v>0</v>
      </c>
      <c r="BX8" s="351">
        <f t="shared" si="58"/>
        <v>0</v>
      </c>
      <c r="BY8" s="351">
        <f t="shared" si="59"/>
        <v>0</v>
      </c>
      <c r="BZ8" s="351">
        <f t="shared" si="60"/>
        <v>0</v>
      </c>
      <c r="CA8" s="351">
        <f t="shared" si="61"/>
        <v>0</v>
      </c>
      <c r="CB8" s="351">
        <f t="shared" si="62"/>
        <v>0</v>
      </c>
      <c r="CC8" s="351">
        <f t="shared" si="63"/>
        <v>0</v>
      </c>
      <c r="CD8" s="351">
        <f t="shared" si="64"/>
        <v>0</v>
      </c>
      <c r="CE8" s="351">
        <f t="shared" si="65"/>
        <v>0</v>
      </c>
      <c r="CF8" s="161" t="str">
        <f t="shared" si="66"/>
        <v/>
      </c>
      <c r="CG8" s="351">
        <f t="shared" si="67"/>
        <v>0</v>
      </c>
      <c r="CH8" s="161" t="str">
        <f t="shared" si="68"/>
        <v/>
      </c>
      <c r="CI8" s="161" t="str">
        <f t="shared" si="7"/>
        <v/>
      </c>
      <c r="CJ8" s="351">
        <f t="shared" si="8"/>
        <v>0</v>
      </c>
      <c r="CK8" s="161" t="str">
        <f t="shared" si="69"/>
        <v/>
      </c>
      <c r="CL8" s="161" t="str">
        <f t="shared" si="9"/>
        <v/>
      </c>
      <c r="CM8" s="351">
        <f t="shared" si="10"/>
        <v>0</v>
      </c>
      <c r="CN8" s="161" t="str">
        <f t="shared" si="70"/>
        <v/>
      </c>
      <c r="CO8" s="161" t="str">
        <f t="shared" si="11"/>
        <v/>
      </c>
      <c r="CP8" s="161">
        <f t="shared" si="71"/>
        <v>0</v>
      </c>
      <c r="CQ8" s="161">
        <v>0.05</v>
      </c>
      <c r="CR8" s="351" t="str">
        <f t="shared" si="72"/>
        <v/>
      </c>
      <c r="CS8" s="351" t="str">
        <f t="shared" si="73"/>
        <v/>
      </c>
      <c r="CT8" s="161" t="str">
        <f t="shared" si="12"/>
        <v/>
      </c>
      <c r="CU8" s="161" t="str">
        <f t="shared" si="74"/>
        <v/>
      </c>
      <c r="CV8" s="161" t="str">
        <f t="shared" si="75"/>
        <v/>
      </c>
      <c r="CW8" s="161" t="str">
        <f t="shared" si="76"/>
        <v/>
      </c>
      <c r="CX8" s="351" t="str">
        <f t="shared" si="77"/>
        <v/>
      </c>
      <c r="CY8" s="161" t="str">
        <f t="shared" si="13"/>
        <v>1.1</v>
      </c>
      <c r="CZ8" s="351" t="str">
        <f t="shared" si="78"/>
        <v/>
      </c>
      <c r="DA8" s="161">
        <f t="shared" si="14"/>
        <v>0</v>
      </c>
      <c r="DB8" s="161" t="str">
        <f t="shared" si="15"/>
        <v>2.1</v>
      </c>
      <c r="DC8" s="351" t="str">
        <f t="shared" si="79"/>
        <v/>
      </c>
      <c r="DD8" s="161">
        <f t="shared" si="16"/>
        <v>0</v>
      </c>
      <c r="DE8" s="161" t="str">
        <f t="shared" si="17"/>
        <v>3.1</v>
      </c>
      <c r="DF8" s="161">
        <f t="shared" si="80"/>
        <v>0</v>
      </c>
      <c r="DG8" s="161">
        <v>5.0000000000000001E-3</v>
      </c>
      <c r="DH8" s="351" t="str">
        <f t="shared" si="81"/>
        <v/>
      </c>
      <c r="DI8" s="351" t="str">
        <f t="shared" si="82"/>
        <v>2.1</v>
      </c>
      <c r="DJ8" s="161" t="str">
        <f t="shared" si="83"/>
        <v/>
      </c>
      <c r="DK8" s="161">
        <f t="shared" si="84"/>
        <v>0</v>
      </c>
      <c r="DL8" s="161">
        <f t="shared" si="85"/>
        <v>0</v>
      </c>
      <c r="DM8" s="161">
        <f t="shared" si="86"/>
        <v>0</v>
      </c>
      <c r="DN8" s="354">
        <v>8</v>
      </c>
      <c r="DO8" s="161" t="e">
        <f>VLOOKUP(DN8,'Matchblatt  FEUILLE DE MATCH'!BF:BG,2,FALSE)</f>
        <v>#N/A</v>
      </c>
      <c r="DP8" s="161" t="str">
        <f t="shared" si="2"/>
        <v/>
      </c>
      <c r="DQ8" s="161" t="str">
        <f t="shared" si="5"/>
        <v/>
      </c>
      <c r="DR8" s="161">
        <f t="shared" si="3"/>
        <v>0</v>
      </c>
      <c r="DT8" s="161">
        <v>5</v>
      </c>
      <c r="DU8" s="161" t="e">
        <f t="shared" si="18"/>
        <v>#N/A</v>
      </c>
      <c r="DV8" s="351" t="str">
        <f t="shared" si="87"/>
        <v/>
      </c>
      <c r="DW8" s="351" t="s">
        <v>280</v>
      </c>
      <c r="DX8" s="351"/>
      <c r="DY8" s="351"/>
      <c r="DZ8" s="371">
        <f t="shared" si="88"/>
        <v>0</v>
      </c>
      <c r="EA8" s="371">
        <f t="shared" si="89"/>
        <v>0</v>
      </c>
      <c r="EB8" s="371">
        <f t="shared" si="90"/>
        <v>0</v>
      </c>
      <c r="EC8" s="371">
        <f t="shared" si="91"/>
        <v>0</v>
      </c>
      <c r="ED8" s="371">
        <f t="shared" si="92"/>
        <v>0</v>
      </c>
      <c r="EE8" s="371" t="str">
        <f t="shared" si="93"/>
        <v/>
      </c>
      <c r="EF8" s="371">
        <f t="shared" si="94"/>
        <v>0</v>
      </c>
      <c r="EG8" s="371">
        <f t="shared" si="95"/>
        <v>0</v>
      </c>
      <c r="EH8" s="351">
        <f t="shared" si="96"/>
        <v>0</v>
      </c>
      <c r="EI8" s="351">
        <f t="shared" si="97"/>
        <v>0</v>
      </c>
      <c r="EJ8" s="351">
        <f t="shared" si="98"/>
        <v>0</v>
      </c>
      <c r="EK8" s="351">
        <f t="shared" si="99"/>
        <v>0</v>
      </c>
      <c r="EL8" s="351">
        <f t="shared" si="100"/>
        <v>0</v>
      </c>
      <c r="EM8" s="351" t="str">
        <f t="shared" si="101"/>
        <v/>
      </c>
      <c r="EN8" s="351">
        <f t="shared" si="102"/>
        <v>0</v>
      </c>
      <c r="EO8" s="351">
        <f t="shared" si="103"/>
        <v>0</v>
      </c>
      <c r="EP8" s="371">
        <f t="shared" si="104"/>
        <v>0</v>
      </c>
      <c r="EQ8" s="371">
        <f t="shared" si="105"/>
        <v>0</v>
      </c>
      <c r="ER8" s="371">
        <f t="shared" si="106"/>
        <v>0</v>
      </c>
      <c r="ES8" s="371">
        <f t="shared" si="107"/>
        <v>0</v>
      </c>
      <c r="ET8" s="371">
        <f t="shared" si="108"/>
        <v>0</v>
      </c>
      <c r="EU8" s="371" t="str">
        <f t="shared" si="109"/>
        <v/>
      </c>
      <c r="EV8" s="371">
        <f t="shared" si="110"/>
        <v>0</v>
      </c>
      <c r="EW8" s="371">
        <f t="shared" si="111"/>
        <v>0</v>
      </c>
      <c r="EX8" s="351" t="str">
        <f t="shared" si="112"/>
        <v/>
      </c>
      <c r="EY8" s="351">
        <f t="shared" si="113"/>
        <v>0</v>
      </c>
      <c r="EZ8" s="351" t="str">
        <f t="shared" si="114"/>
        <v/>
      </c>
      <c r="FA8" s="351" t="str">
        <f t="shared" si="115"/>
        <v/>
      </c>
      <c r="FB8" s="351" t="str">
        <f t="shared" si="116"/>
        <v/>
      </c>
      <c r="FC8" s="351">
        <f t="shared" si="117"/>
        <v>0</v>
      </c>
      <c r="FD8" s="351">
        <f t="shared" si="118"/>
        <v>0</v>
      </c>
      <c r="FE8" s="351">
        <f t="shared" si="119"/>
        <v>0</v>
      </c>
      <c r="FF8" s="351">
        <f t="shared" si="120"/>
        <v>0</v>
      </c>
      <c r="FG8" s="351">
        <f t="shared" si="121"/>
        <v>0</v>
      </c>
      <c r="FH8" s="351">
        <f t="shared" si="122"/>
        <v>0</v>
      </c>
      <c r="FI8" s="351">
        <f t="shared" si="123"/>
        <v>0</v>
      </c>
      <c r="FJ8" s="351">
        <f t="shared" si="124"/>
        <v>0</v>
      </c>
      <c r="FK8" s="351">
        <f t="shared" si="125"/>
        <v>0</v>
      </c>
      <c r="FL8" s="351">
        <f t="shared" si="126"/>
        <v>0</v>
      </c>
      <c r="FM8" s="161" t="str">
        <f t="shared" si="19"/>
        <v/>
      </c>
      <c r="FN8" s="351">
        <f t="shared" si="127"/>
        <v>0</v>
      </c>
      <c r="FO8" s="161" t="str">
        <f t="shared" si="128"/>
        <v/>
      </c>
      <c r="FP8" s="161" t="str">
        <f t="shared" si="129"/>
        <v/>
      </c>
      <c r="FQ8" s="351">
        <f t="shared" si="130"/>
        <v>0</v>
      </c>
      <c r="FR8" s="161" t="str">
        <f t="shared" si="131"/>
        <v/>
      </c>
      <c r="FS8" s="161" t="str">
        <f t="shared" si="132"/>
        <v/>
      </c>
      <c r="FT8" s="351">
        <f t="shared" si="133"/>
        <v>0</v>
      </c>
      <c r="FU8" s="161" t="str">
        <f t="shared" si="134"/>
        <v/>
      </c>
      <c r="FV8" s="161" t="str">
        <f t="shared" si="135"/>
        <v/>
      </c>
      <c r="FW8" s="161">
        <f t="shared" si="136"/>
        <v>0</v>
      </c>
      <c r="FX8" s="161">
        <v>0.05</v>
      </c>
      <c r="FY8" s="351" t="str">
        <f t="shared" si="20"/>
        <v/>
      </c>
      <c r="FZ8" s="351" t="str">
        <f t="shared" si="21"/>
        <v/>
      </c>
      <c r="GA8" s="161" t="str">
        <f t="shared" si="137"/>
        <v/>
      </c>
      <c r="GB8" s="161" t="str">
        <f t="shared" si="22"/>
        <v/>
      </c>
      <c r="GC8" s="161" t="str">
        <f t="shared" si="23"/>
        <v/>
      </c>
      <c r="GD8" s="161" t="str">
        <f t="shared" si="138"/>
        <v/>
      </c>
      <c r="GE8" s="351" t="str">
        <f t="shared" si="139"/>
        <v/>
      </c>
      <c r="GF8" s="161" t="str">
        <f t="shared" si="140"/>
        <v>1.1</v>
      </c>
      <c r="GG8" s="351" t="str">
        <f t="shared" si="141"/>
        <v/>
      </c>
      <c r="GH8" s="161">
        <f t="shared" si="24"/>
        <v>0</v>
      </c>
      <c r="GI8" s="161" t="str">
        <f t="shared" si="142"/>
        <v>2.1</v>
      </c>
      <c r="GJ8" s="351" t="str">
        <f t="shared" si="143"/>
        <v/>
      </c>
      <c r="GK8" s="161">
        <f t="shared" si="25"/>
        <v>0</v>
      </c>
      <c r="GL8" s="161" t="str">
        <f t="shared" si="144"/>
        <v>3.1</v>
      </c>
      <c r="GM8" s="161">
        <f t="shared" si="145"/>
        <v>0</v>
      </c>
      <c r="GN8" s="161">
        <v>5.0000000000000001E-3</v>
      </c>
      <c r="GO8" s="351" t="str">
        <f t="shared" si="146"/>
        <v/>
      </c>
      <c r="GP8" s="351" t="str">
        <f t="shared" si="147"/>
        <v>2.1</v>
      </c>
      <c r="GQ8" s="161" t="str">
        <f t="shared" si="148"/>
        <v/>
      </c>
      <c r="GR8" s="161">
        <f t="shared" si="149"/>
        <v>0</v>
      </c>
      <c r="GS8" s="161">
        <f t="shared" si="150"/>
        <v>0</v>
      </c>
      <c r="GT8" s="161">
        <f t="shared" si="151"/>
        <v>0</v>
      </c>
    </row>
    <row r="9" spans="1:202" ht="15.95" customHeight="1">
      <c r="A9" s="355" t="s">
        <v>1013</v>
      </c>
      <c r="B9" s="355" t="str">
        <f>IF($B$1=3,"","HD 1.4")</f>
        <v>HD 1.4</v>
      </c>
      <c r="C9" s="161" t="str">
        <f>IF(B9="","",VLOOKUP(B9,Average!$GC:$GE,3,FALSE))</f>
        <v/>
      </c>
      <c r="D9" s="161" t="s">
        <v>280</v>
      </c>
      <c r="E9" s="161">
        <f>IF(B9="","",VLOOKUP(B9,Average!$GC:$HA,24,FALSE))</f>
        <v>0</v>
      </c>
      <c r="F9" s="161">
        <f>IF(B9="","",VLOOKUP(B9,Average!$GC:$HA,25,FALSE))</f>
        <v>0</v>
      </c>
      <c r="G9" s="161" t="str">
        <f>IF(B9="","",VLOOKUP(B9,Average!$GC:$HB,26,FALSE))</f>
        <v/>
      </c>
      <c r="H9" s="161">
        <f>IF(B9="","",VLOOKUP(B9,Average!$GC:$HC,27,FALSE))</f>
        <v>0</v>
      </c>
      <c r="I9" s="161">
        <f>IF(B9="","",VLOOKUP(B9,Average!$GC:$HH,32,FALSE))</f>
        <v>0</v>
      </c>
      <c r="K9" s="161">
        <f>IF(P9="",0,VLOOKUP(P9,Average!GC:GD,2,FALSE))</f>
        <v>0</v>
      </c>
      <c r="O9" s="355" t="s">
        <v>1013</v>
      </c>
      <c r="P9" s="355" t="str">
        <f>IF($B$1=3,"","GD 1.4")</f>
        <v>GD 1.4</v>
      </c>
      <c r="Q9" s="161" t="str">
        <f>IF(P9="","",VLOOKUP(P9,Average!$GC:$GE,3,FALSE))</f>
        <v/>
      </c>
      <c r="R9" s="161" t="s">
        <v>280</v>
      </c>
      <c r="S9" s="161">
        <f>IF(P9="","",VLOOKUP(P9,Average!$GC:$HA,24,FALSE))</f>
        <v>0</v>
      </c>
      <c r="T9" s="161">
        <f>IF(P9="","",VLOOKUP(P9,Average!$GC:$HA,25,FALSE))</f>
        <v>0</v>
      </c>
      <c r="U9" s="161" t="str">
        <f>IF(P9="","",VLOOKUP(P9,Average!$GC:$HB,26,FALSE))</f>
        <v/>
      </c>
      <c r="V9" s="161">
        <f>IF(P9="","",VLOOKUP(P9,Average!$GC:$HC,27,FALSE))</f>
        <v>0</v>
      </c>
      <c r="W9" s="161">
        <f>IF(P9="","",VLOOKUP(P9,Average!$GC:$HH,32,FALSE))</f>
        <v>0</v>
      </c>
      <c r="Y9" s="161">
        <f>IF(B9="",0,VLOOKUP(B9,Average!GC:GD,2,FALSE))</f>
        <v>0</v>
      </c>
      <c r="AC9" s="161">
        <f>IF(K9=1,1,IF(I9=2,1,0))</f>
        <v>0</v>
      </c>
      <c r="AD9" s="161">
        <f>IF(Y9=1,1,IF(W9=2,1,0))</f>
        <v>0</v>
      </c>
      <c r="AE9" s="161">
        <f>IF(Y9=1,2,SUM(I9))</f>
        <v>0</v>
      </c>
      <c r="AF9" s="161">
        <f>IF(K9=1,2,SUM(W9))</f>
        <v>0</v>
      </c>
      <c r="AG9" s="161">
        <v>9</v>
      </c>
      <c r="AH9" s="161" t="e">
        <f>VLOOKUP(AG9,'Matchblatt  FEUILLE DE MATCH'!BD:BE,2,FALSE)</f>
        <v>#N/A</v>
      </c>
      <c r="AI9" s="161" t="str">
        <f t="shared" si="0"/>
        <v/>
      </c>
      <c r="AJ9" s="161" t="str">
        <f t="shared" si="4"/>
        <v/>
      </c>
      <c r="AK9" s="161">
        <f t="shared" si="1"/>
        <v>0</v>
      </c>
      <c r="AM9" s="161">
        <v>6</v>
      </c>
      <c r="AN9" s="161" t="e">
        <f t="shared" si="6"/>
        <v>#N/A</v>
      </c>
      <c r="AO9" s="351" t="str">
        <f t="shared" si="26"/>
        <v/>
      </c>
      <c r="AP9" s="351" t="s">
        <v>280</v>
      </c>
      <c r="AQ9" s="351"/>
      <c r="AR9" s="351"/>
      <c r="AS9" s="371">
        <f t="shared" si="27"/>
        <v>0</v>
      </c>
      <c r="AT9" s="371">
        <f t="shared" si="28"/>
        <v>0</v>
      </c>
      <c r="AU9" s="371">
        <f t="shared" si="29"/>
        <v>0</v>
      </c>
      <c r="AV9" s="371">
        <f t="shared" si="30"/>
        <v>0</v>
      </c>
      <c r="AW9" s="371">
        <f t="shared" si="31"/>
        <v>0</v>
      </c>
      <c r="AX9" s="371" t="str">
        <f t="shared" si="32"/>
        <v/>
      </c>
      <c r="AY9" s="371">
        <f t="shared" si="33"/>
        <v>0</v>
      </c>
      <c r="AZ9" s="371">
        <f t="shared" si="34"/>
        <v>0</v>
      </c>
      <c r="BA9" s="351">
        <f t="shared" si="35"/>
        <v>0</v>
      </c>
      <c r="BB9" s="351">
        <f t="shared" si="36"/>
        <v>0</v>
      </c>
      <c r="BC9" s="351">
        <f t="shared" si="37"/>
        <v>0</v>
      </c>
      <c r="BD9" s="351">
        <f t="shared" si="38"/>
        <v>0</v>
      </c>
      <c r="BE9" s="351">
        <f t="shared" si="39"/>
        <v>0</v>
      </c>
      <c r="BF9" s="351" t="str">
        <f t="shared" si="40"/>
        <v/>
      </c>
      <c r="BG9" s="351">
        <f t="shared" si="41"/>
        <v>0</v>
      </c>
      <c r="BH9" s="351">
        <f t="shared" si="42"/>
        <v>0</v>
      </c>
      <c r="BI9" s="371">
        <f t="shared" si="43"/>
        <v>0</v>
      </c>
      <c r="BJ9" s="371">
        <f t="shared" si="44"/>
        <v>0</v>
      </c>
      <c r="BK9" s="371">
        <f t="shared" si="45"/>
        <v>0</v>
      </c>
      <c r="BL9" s="371">
        <f t="shared" si="46"/>
        <v>0</v>
      </c>
      <c r="BM9" s="371">
        <f t="shared" si="47"/>
        <v>0</v>
      </c>
      <c r="BN9" s="371" t="str">
        <f t="shared" si="48"/>
        <v/>
      </c>
      <c r="BO9" s="371">
        <f t="shared" si="49"/>
        <v>0</v>
      </c>
      <c r="BP9" s="371">
        <f t="shared" si="50"/>
        <v>0</v>
      </c>
      <c r="BQ9" s="351" t="str">
        <f t="shared" si="51"/>
        <v/>
      </c>
      <c r="BR9" s="351">
        <f t="shared" si="52"/>
        <v>0</v>
      </c>
      <c r="BS9" s="351" t="str">
        <f t="shared" si="53"/>
        <v/>
      </c>
      <c r="BT9" s="351" t="str">
        <f t="shared" si="54"/>
        <v/>
      </c>
      <c r="BU9" s="351" t="str">
        <f t="shared" si="55"/>
        <v/>
      </c>
      <c r="BV9" s="351">
        <f t="shared" si="56"/>
        <v>0</v>
      </c>
      <c r="BW9" s="351">
        <f t="shared" si="57"/>
        <v>0</v>
      </c>
      <c r="BX9" s="351">
        <f t="shared" si="58"/>
        <v>0</v>
      </c>
      <c r="BY9" s="351">
        <f t="shared" si="59"/>
        <v>0</v>
      </c>
      <c r="BZ9" s="351">
        <f t="shared" si="60"/>
        <v>0</v>
      </c>
      <c r="CA9" s="351">
        <f t="shared" si="61"/>
        <v>0</v>
      </c>
      <c r="CB9" s="351">
        <f t="shared" si="62"/>
        <v>0</v>
      </c>
      <c r="CC9" s="351">
        <f t="shared" si="63"/>
        <v>0</v>
      </c>
      <c r="CD9" s="351">
        <f t="shared" si="64"/>
        <v>0</v>
      </c>
      <c r="CE9" s="351">
        <f t="shared" si="65"/>
        <v>0</v>
      </c>
      <c r="CF9" s="161" t="str">
        <f t="shared" si="66"/>
        <v/>
      </c>
      <c r="CG9" s="351">
        <f t="shared" si="67"/>
        <v>0</v>
      </c>
      <c r="CH9" s="161" t="str">
        <f t="shared" si="68"/>
        <v/>
      </c>
      <c r="CI9" s="161" t="str">
        <f t="shared" si="7"/>
        <v/>
      </c>
      <c r="CJ9" s="351">
        <f t="shared" si="8"/>
        <v>0</v>
      </c>
      <c r="CK9" s="161" t="str">
        <f t="shared" si="69"/>
        <v/>
      </c>
      <c r="CL9" s="161" t="str">
        <f t="shared" si="9"/>
        <v/>
      </c>
      <c r="CM9" s="351">
        <f t="shared" si="10"/>
        <v>0</v>
      </c>
      <c r="CN9" s="161" t="str">
        <f t="shared" si="70"/>
        <v/>
      </c>
      <c r="CO9" s="161" t="str">
        <f t="shared" si="11"/>
        <v/>
      </c>
      <c r="CP9" s="161">
        <f t="shared" si="71"/>
        <v>0</v>
      </c>
      <c r="CQ9" s="161">
        <v>0.06</v>
      </c>
      <c r="CR9" s="351" t="str">
        <f t="shared" si="72"/>
        <v/>
      </c>
      <c r="CS9" s="351" t="str">
        <f t="shared" si="73"/>
        <v/>
      </c>
      <c r="CT9" s="161" t="str">
        <f t="shared" si="12"/>
        <v/>
      </c>
      <c r="CU9" s="161" t="str">
        <f t="shared" si="74"/>
        <v/>
      </c>
      <c r="CV9" s="161" t="str">
        <f t="shared" si="75"/>
        <v/>
      </c>
      <c r="CW9" s="161" t="str">
        <f t="shared" si="76"/>
        <v/>
      </c>
      <c r="CX9" s="351" t="str">
        <f t="shared" si="77"/>
        <v/>
      </c>
      <c r="CY9" s="161" t="str">
        <f t="shared" si="13"/>
        <v>1.1</v>
      </c>
      <c r="CZ9" s="351" t="str">
        <f t="shared" si="78"/>
        <v/>
      </c>
      <c r="DA9" s="161">
        <f t="shared" si="14"/>
        <v>0</v>
      </c>
      <c r="DB9" s="161" t="str">
        <f t="shared" si="15"/>
        <v>2.1</v>
      </c>
      <c r="DC9" s="351" t="str">
        <f t="shared" si="79"/>
        <v/>
      </c>
      <c r="DD9" s="161">
        <f t="shared" si="16"/>
        <v>0</v>
      </c>
      <c r="DE9" s="161" t="str">
        <f t="shared" si="17"/>
        <v>3.1</v>
      </c>
      <c r="DF9" s="161">
        <f t="shared" si="80"/>
        <v>0</v>
      </c>
      <c r="DG9" s="161">
        <v>6.0000000000000001E-3</v>
      </c>
      <c r="DH9" s="351" t="str">
        <f t="shared" si="81"/>
        <v/>
      </c>
      <c r="DI9" s="351" t="str">
        <f t="shared" si="82"/>
        <v>2.1</v>
      </c>
      <c r="DJ9" s="161" t="str">
        <f t="shared" si="83"/>
        <v/>
      </c>
      <c r="DK9" s="161">
        <f t="shared" si="84"/>
        <v>0</v>
      </c>
      <c r="DL9" s="161">
        <f t="shared" si="85"/>
        <v>0</v>
      </c>
      <c r="DM9" s="161">
        <f t="shared" si="86"/>
        <v>0</v>
      </c>
      <c r="DN9" s="161">
        <v>9</v>
      </c>
      <c r="DO9" s="161" t="e">
        <f>VLOOKUP(DN9,'Matchblatt  FEUILLE DE MATCH'!BF:BG,2,FALSE)</f>
        <v>#N/A</v>
      </c>
      <c r="DP9" s="161" t="str">
        <f t="shared" si="2"/>
        <v/>
      </c>
      <c r="DQ9" s="161" t="str">
        <f t="shared" si="5"/>
        <v/>
      </c>
      <c r="DR9" s="161">
        <f t="shared" si="3"/>
        <v>0</v>
      </c>
      <c r="DT9" s="161">
        <v>6</v>
      </c>
      <c r="DU9" s="161" t="e">
        <f t="shared" si="18"/>
        <v>#N/A</v>
      </c>
      <c r="DV9" s="351" t="str">
        <f t="shared" si="87"/>
        <v/>
      </c>
      <c r="DW9" s="351" t="s">
        <v>280</v>
      </c>
      <c r="DX9" s="351"/>
      <c r="DY9" s="351"/>
      <c r="DZ9" s="371">
        <f t="shared" si="88"/>
        <v>0</v>
      </c>
      <c r="EA9" s="371">
        <f t="shared" si="89"/>
        <v>0</v>
      </c>
      <c r="EB9" s="371">
        <f t="shared" si="90"/>
        <v>0</v>
      </c>
      <c r="EC9" s="371">
        <f t="shared" si="91"/>
        <v>0</v>
      </c>
      <c r="ED9" s="371">
        <f t="shared" si="92"/>
        <v>0</v>
      </c>
      <c r="EE9" s="371" t="str">
        <f t="shared" si="93"/>
        <v/>
      </c>
      <c r="EF9" s="371">
        <f t="shared" si="94"/>
        <v>0</v>
      </c>
      <c r="EG9" s="371">
        <f t="shared" si="95"/>
        <v>0</v>
      </c>
      <c r="EH9" s="351">
        <f t="shared" si="96"/>
        <v>0</v>
      </c>
      <c r="EI9" s="351">
        <f t="shared" si="97"/>
        <v>0</v>
      </c>
      <c r="EJ9" s="351">
        <f t="shared" si="98"/>
        <v>0</v>
      </c>
      <c r="EK9" s="351">
        <f t="shared" si="99"/>
        <v>0</v>
      </c>
      <c r="EL9" s="351">
        <f t="shared" si="100"/>
        <v>0</v>
      </c>
      <c r="EM9" s="351" t="str">
        <f t="shared" si="101"/>
        <v/>
      </c>
      <c r="EN9" s="351">
        <f t="shared" si="102"/>
        <v>0</v>
      </c>
      <c r="EO9" s="351">
        <f t="shared" si="103"/>
        <v>0</v>
      </c>
      <c r="EP9" s="371">
        <f t="shared" si="104"/>
        <v>0</v>
      </c>
      <c r="EQ9" s="371">
        <f t="shared" si="105"/>
        <v>0</v>
      </c>
      <c r="ER9" s="371">
        <f t="shared" si="106"/>
        <v>0</v>
      </c>
      <c r="ES9" s="371">
        <f t="shared" si="107"/>
        <v>0</v>
      </c>
      <c r="ET9" s="371">
        <f t="shared" si="108"/>
        <v>0</v>
      </c>
      <c r="EU9" s="371" t="str">
        <f t="shared" si="109"/>
        <v/>
      </c>
      <c r="EV9" s="371">
        <f t="shared" si="110"/>
        <v>0</v>
      </c>
      <c r="EW9" s="371">
        <f t="shared" si="111"/>
        <v>0</v>
      </c>
      <c r="EX9" s="351" t="str">
        <f t="shared" si="112"/>
        <v/>
      </c>
      <c r="EY9" s="351">
        <f t="shared" si="113"/>
        <v>0</v>
      </c>
      <c r="EZ9" s="351" t="str">
        <f t="shared" si="114"/>
        <v/>
      </c>
      <c r="FA9" s="351" t="str">
        <f t="shared" si="115"/>
        <v/>
      </c>
      <c r="FB9" s="351" t="str">
        <f t="shared" si="116"/>
        <v/>
      </c>
      <c r="FC9" s="351">
        <f t="shared" si="117"/>
        <v>0</v>
      </c>
      <c r="FD9" s="351">
        <f t="shared" si="118"/>
        <v>0</v>
      </c>
      <c r="FE9" s="351">
        <f t="shared" si="119"/>
        <v>0</v>
      </c>
      <c r="FF9" s="351">
        <f t="shared" si="120"/>
        <v>0</v>
      </c>
      <c r="FG9" s="351">
        <f t="shared" si="121"/>
        <v>0</v>
      </c>
      <c r="FH9" s="351">
        <f t="shared" si="122"/>
        <v>0</v>
      </c>
      <c r="FI9" s="351">
        <f t="shared" si="123"/>
        <v>0</v>
      </c>
      <c r="FJ9" s="351">
        <f t="shared" si="124"/>
        <v>0</v>
      </c>
      <c r="FK9" s="351">
        <f t="shared" si="125"/>
        <v>0</v>
      </c>
      <c r="FL9" s="351">
        <f t="shared" si="126"/>
        <v>0</v>
      </c>
      <c r="FM9" s="161" t="str">
        <f t="shared" si="19"/>
        <v/>
      </c>
      <c r="FN9" s="351">
        <f t="shared" si="127"/>
        <v>0</v>
      </c>
      <c r="FO9" s="161" t="str">
        <f t="shared" si="128"/>
        <v/>
      </c>
      <c r="FP9" s="161" t="str">
        <f t="shared" si="129"/>
        <v/>
      </c>
      <c r="FQ9" s="351">
        <f t="shared" si="130"/>
        <v>0</v>
      </c>
      <c r="FR9" s="161" t="str">
        <f t="shared" si="131"/>
        <v/>
      </c>
      <c r="FS9" s="161" t="str">
        <f t="shared" si="132"/>
        <v/>
      </c>
      <c r="FT9" s="351">
        <f t="shared" si="133"/>
        <v>0</v>
      </c>
      <c r="FU9" s="161" t="str">
        <f t="shared" si="134"/>
        <v/>
      </c>
      <c r="FV9" s="161" t="str">
        <f t="shared" si="135"/>
        <v/>
      </c>
      <c r="FW9" s="161">
        <f t="shared" si="136"/>
        <v>0</v>
      </c>
      <c r="FX9" s="161">
        <v>0.06</v>
      </c>
      <c r="FY9" s="351" t="str">
        <f t="shared" si="20"/>
        <v/>
      </c>
      <c r="FZ9" s="351" t="str">
        <f t="shared" si="21"/>
        <v/>
      </c>
      <c r="GA9" s="161" t="str">
        <f t="shared" si="137"/>
        <v/>
      </c>
      <c r="GB9" s="161" t="str">
        <f t="shared" si="22"/>
        <v/>
      </c>
      <c r="GC9" s="161" t="str">
        <f t="shared" si="23"/>
        <v/>
      </c>
      <c r="GD9" s="161" t="str">
        <f t="shared" si="138"/>
        <v/>
      </c>
      <c r="GE9" s="351" t="str">
        <f t="shared" si="139"/>
        <v/>
      </c>
      <c r="GF9" s="161" t="str">
        <f t="shared" si="140"/>
        <v>1.1</v>
      </c>
      <c r="GG9" s="351" t="str">
        <f t="shared" si="141"/>
        <v/>
      </c>
      <c r="GH9" s="161">
        <f t="shared" si="24"/>
        <v>0</v>
      </c>
      <c r="GI9" s="161" t="str">
        <f t="shared" si="142"/>
        <v>2.1</v>
      </c>
      <c r="GJ9" s="351" t="str">
        <f t="shared" si="143"/>
        <v/>
      </c>
      <c r="GK9" s="161">
        <f t="shared" si="25"/>
        <v>0</v>
      </c>
      <c r="GL9" s="161" t="str">
        <f t="shared" si="144"/>
        <v>3.1</v>
      </c>
      <c r="GM9" s="161">
        <f t="shared" si="145"/>
        <v>0</v>
      </c>
      <c r="GN9" s="161">
        <v>6.0000000000000001E-3</v>
      </c>
      <c r="GO9" s="351" t="str">
        <f t="shared" si="146"/>
        <v/>
      </c>
      <c r="GP9" s="351" t="str">
        <f t="shared" si="147"/>
        <v>2.1</v>
      </c>
      <c r="GQ9" s="161" t="str">
        <f t="shared" si="148"/>
        <v/>
      </c>
      <c r="GR9" s="161">
        <f t="shared" si="149"/>
        <v>0</v>
      </c>
      <c r="GS9" s="161">
        <f t="shared" si="150"/>
        <v>0</v>
      </c>
      <c r="GT9" s="161">
        <f t="shared" si="151"/>
        <v>0</v>
      </c>
    </row>
    <row r="10" spans="1:202" ht="15.95" customHeight="1">
      <c r="A10" s="353" t="s">
        <v>1014</v>
      </c>
      <c r="B10" s="353" t="str">
        <f>IF($B$1=3,"","HD 1.4.2")</f>
        <v>HD 1.4.2</v>
      </c>
      <c r="C10" s="354" t="str">
        <f>IF(B10="","",VLOOKUP(B10,Average!$GC:$GE,3,FALSE))</f>
        <v/>
      </c>
      <c r="D10" s="354" t="s">
        <v>280</v>
      </c>
      <c r="E10" s="354"/>
      <c r="F10" s="354"/>
      <c r="G10" s="354" t="str">
        <f>IF(B10="","",VLOOKUP(B10,Average!$GC:$HB,26,FALSE))</f>
        <v/>
      </c>
      <c r="H10" s="354">
        <f>IF(B10="","",VLOOKUP(B10,Average!$GC:$HC,27,FALSE))</f>
        <v>0</v>
      </c>
      <c r="I10" s="354"/>
      <c r="J10" s="354"/>
      <c r="O10" s="353" t="s">
        <v>1014</v>
      </c>
      <c r="P10" s="353" t="str">
        <f>IF($B$1=3,"","GD 1.4.2")</f>
        <v>GD 1.4.2</v>
      </c>
      <c r="Q10" s="354" t="str">
        <f>IF(P10="","",VLOOKUP(P10,Average!$GC:$GE,3,FALSE))</f>
        <v/>
      </c>
      <c r="R10" s="354" t="s">
        <v>280</v>
      </c>
      <c r="S10" s="354"/>
      <c r="T10" s="354"/>
      <c r="U10" s="354" t="str">
        <f>IF(P10="","",VLOOKUP(P10,Average!$GC:$HB,26,FALSE))</f>
        <v/>
      </c>
      <c r="V10" s="354">
        <f>IF(P10="","",VLOOKUP(P10,Average!$GC:$HC,27,FALSE))</f>
        <v>0</v>
      </c>
      <c r="W10" s="354"/>
      <c r="X10" s="354"/>
      <c r="AG10" s="161">
        <v>10</v>
      </c>
      <c r="AH10" s="161" t="e">
        <f>VLOOKUP(AG10,'Matchblatt  FEUILLE DE MATCH'!BD:BE,2,FALSE)</f>
        <v>#N/A</v>
      </c>
      <c r="AI10" s="161" t="str">
        <f t="shared" si="0"/>
        <v/>
      </c>
      <c r="AJ10" s="161" t="str">
        <f t="shared" si="4"/>
        <v/>
      </c>
      <c r="AK10" s="161">
        <f t="shared" si="1"/>
        <v>0</v>
      </c>
      <c r="AM10" s="161">
        <v>7</v>
      </c>
      <c r="AN10" s="161" t="e">
        <f t="shared" si="6"/>
        <v>#N/A</v>
      </c>
      <c r="AO10" s="351" t="str">
        <f t="shared" si="26"/>
        <v/>
      </c>
      <c r="AP10" s="351" t="s">
        <v>280</v>
      </c>
      <c r="AQ10" s="351"/>
      <c r="AR10" s="351"/>
      <c r="AS10" s="371">
        <f t="shared" si="27"/>
        <v>0</v>
      </c>
      <c r="AT10" s="371">
        <f t="shared" si="28"/>
        <v>0</v>
      </c>
      <c r="AU10" s="371">
        <f t="shared" si="29"/>
        <v>0</v>
      </c>
      <c r="AV10" s="371">
        <f t="shared" si="30"/>
        <v>0</v>
      </c>
      <c r="AW10" s="371">
        <f t="shared" si="31"/>
        <v>0</v>
      </c>
      <c r="AX10" s="371" t="str">
        <f t="shared" si="32"/>
        <v/>
      </c>
      <c r="AY10" s="371">
        <f t="shared" si="33"/>
        <v>0</v>
      </c>
      <c r="AZ10" s="371">
        <f t="shared" si="34"/>
        <v>0</v>
      </c>
      <c r="BA10" s="351">
        <f t="shared" si="35"/>
        <v>0</v>
      </c>
      <c r="BB10" s="351">
        <f t="shared" si="36"/>
        <v>0</v>
      </c>
      <c r="BC10" s="351">
        <f t="shared" si="37"/>
        <v>0</v>
      </c>
      <c r="BD10" s="351">
        <f t="shared" si="38"/>
        <v>0</v>
      </c>
      <c r="BE10" s="351">
        <f t="shared" si="39"/>
        <v>0</v>
      </c>
      <c r="BF10" s="351" t="str">
        <f t="shared" si="40"/>
        <v/>
      </c>
      <c r="BG10" s="351">
        <f t="shared" si="41"/>
        <v>0</v>
      </c>
      <c r="BH10" s="351">
        <f t="shared" si="42"/>
        <v>0</v>
      </c>
      <c r="BI10" s="371">
        <f t="shared" si="43"/>
        <v>0</v>
      </c>
      <c r="BJ10" s="371">
        <f t="shared" si="44"/>
        <v>0</v>
      </c>
      <c r="BK10" s="371">
        <f t="shared" si="45"/>
        <v>0</v>
      </c>
      <c r="BL10" s="371">
        <f t="shared" si="46"/>
        <v>0</v>
      </c>
      <c r="BM10" s="371">
        <f t="shared" si="47"/>
        <v>0</v>
      </c>
      <c r="BN10" s="371" t="str">
        <f t="shared" si="48"/>
        <v/>
      </c>
      <c r="BO10" s="371">
        <f t="shared" si="49"/>
        <v>0</v>
      </c>
      <c r="BP10" s="371">
        <f t="shared" si="50"/>
        <v>0</v>
      </c>
      <c r="BQ10" s="351" t="str">
        <f t="shared" si="51"/>
        <v/>
      </c>
      <c r="BR10" s="351">
        <f t="shared" si="52"/>
        <v>0</v>
      </c>
      <c r="BS10" s="351" t="str">
        <f t="shared" si="53"/>
        <v/>
      </c>
      <c r="BT10" s="351" t="str">
        <f t="shared" si="54"/>
        <v/>
      </c>
      <c r="BU10" s="351" t="str">
        <f t="shared" si="55"/>
        <v/>
      </c>
      <c r="BV10" s="351">
        <f t="shared" si="56"/>
        <v>0</v>
      </c>
      <c r="BW10" s="351">
        <f t="shared" si="57"/>
        <v>0</v>
      </c>
      <c r="BX10" s="351">
        <f t="shared" si="58"/>
        <v>0</v>
      </c>
      <c r="BY10" s="351">
        <f t="shared" si="59"/>
        <v>0</v>
      </c>
      <c r="BZ10" s="351">
        <f t="shared" si="60"/>
        <v>0</v>
      </c>
      <c r="CA10" s="351">
        <f t="shared" si="61"/>
        <v>0</v>
      </c>
      <c r="CB10" s="351">
        <f t="shared" si="62"/>
        <v>0</v>
      </c>
      <c r="CC10" s="351">
        <f t="shared" si="63"/>
        <v>0</v>
      </c>
      <c r="CD10" s="351">
        <f t="shared" si="64"/>
        <v>0</v>
      </c>
      <c r="CE10" s="351">
        <f t="shared" si="65"/>
        <v>0</v>
      </c>
      <c r="CF10" s="161" t="str">
        <f t="shared" si="66"/>
        <v/>
      </c>
      <c r="CG10" s="351">
        <f t="shared" si="67"/>
        <v>0</v>
      </c>
      <c r="CH10" s="161" t="str">
        <f t="shared" si="68"/>
        <v/>
      </c>
      <c r="CI10" s="161" t="str">
        <f t="shared" si="7"/>
        <v/>
      </c>
      <c r="CJ10" s="351">
        <f t="shared" si="8"/>
        <v>0</v>
      </c>
      <c r="CK10" s="161" t="str">
        <f t="shared" si="69"/>
        <v/>
      </c>
      <c r="CL10" s="161" t="str">
        <f t="shared" si="9"/>
        <v/>
      </c>
      <c r="CM10" s="351">
        <f t="shared" si="10"/>
        <v>0</v>
      </c>
      <c r="CN10" s="161" t="str">
        <f t="shared" si="70"/>
        <v/>
      </c>
      <c r="CO10" s="161" t="str">
        <f t="shared" si="11"/>
        <v/>
      </c>
      <c r="CP10" s="161">
        <f t="shared" si="71"/>
        <v>0</v>
      </c>
      <c r="CQ10" s="161">
        <v>7.0000000000000007E-2</v>
      </c>
      <c r="CR10" s="351" t="str">
        <f t="shared" si="72"/>
        <v/>
      </c>
      <c r="CS10" s="351" t="str">
        <f t="shared" si="73"/>
        <v/>
      </c>
      <c r="CT10" s="161" t="str">
        <f t="shared" si="12"/>
        <v/>
      </c>
      <c r="CU10" s="161" t="str">
        <f t="shared" si="74"/>
        <v/>
      </c>
      <c r="CV10" s="161" t="str">
        <f t="shared" si="75"/>
        <v/>
      </c>
      <c r="CW10" s="161" t="str">
        <f t="shared" si="76"/>
        <v/>
      </c>
      <c r="CX10" s="351" t="str">
        <f t="shared" si="77"/>
        <v/>
      </c>
      <c r="CY10" s="161" t="str">
        <f t="shared" si="13"/>
        <v>1.1</v>
      </c>
      <c r="CZ10" s="351" t="str">
        <f t="shared" si="78"/>
        <v/>
      </c>
      <c r="DA10" s="161">
        <f t="shared" si="14"/>
        <v>0</v>
      </c>
      <c r="DB10" s="161" t="str">
        <f t="shared" si="15"/>
        <v>2.1</v>
      </c>
      <c r="DC10" s="351" t="str">
        <f t="shared" si="79"/>
        <v/>
      </c>
      <c r="DD10" s="161">
        <f t="shared" si="16"/>
        <v>0</v>
      </c>
      <c r="DE10" s="161" t="str">
        <f t="shared" si="17"/>
        <v>3.1</v>
      </c>
      <c r="DF10" s="161">
        <f t="shared" si="80"/>
        <v>0</v>
      </c>
      <c r="DG10" s="161">
        <v>7.0000000000000001E-3</v>
      </c>
      <c r="DH10" s="351" t="str">
        <f t="shared" si="81"/>
        <v/>
      </c>
      <c r="DI10" s="351" t="str">
        <f t="shared" si="82"/>
        <v>2.1</v>
      </c>
      <c r="DJ10" s="161" t="str">
        <f t="shared" si="83"/>
        <v/>
      </c>
      <c r="DK10" s="161">
        <f t="shared" si="84"/>
        <v>0</v>
      </c>
      <c r="DL10" s="161">
        <f t="shared" si="85"/>
        <v>0</v>
      </c>
      <c r="DM10" s="161">
        <f t="shared" si="86"/>
        <v>0</v>
      </c>
      <c r="DN10" s="161">
        <v>10</v>
      </c>
      <c r="DO10" s="161" t="e">
        <f>VLOOKUP(DN10,'Matchblatt  FEUILLE DE MATCH'!BF:BG,2,FALSE)</f>
        <v>#N/A</v>
      </c>
      <c r="DP10" s="161" t="str">
        <f t="shared" si="2"/>
        <v/>
      </c>
      <c r="DQ10" s="161" t="str">
        <f t="shared" si="5"/>
        <v/>
      </c>
      <c r="DR10" s="161">
        <f t="shared" si="3"/>
        <v>0</v>
      </c>
      <c r="DT10" s="161">
        <v>7</v>
      </c>
      <c r="DU10" s="161" t="e">
        <f t="shared" si="18"/>
        <v>#N/A</v>
      </c>
      <c r="DV10" s="351" t="str">
        <f t="shared" si="87"/>
        <v/>
      </c>
      <c r="DW10" s="351" t="s">
        <v>280</v>
      </c>
      <c r="DX10" s="351"/>
      <c r="DY10" s="351"/>
      <c r="DZ10" s="371">
        <f t="shared" si="88"/>
        <v>0</v>
      </c>
      <c r="EA10" s="371">
        <f t="shared" si="89"/>
        <v>0</v>
      </c>
      <c r="EB10" s="371">
        <f t="shared" si="90"/>
        <v>0</v>
      </c>
      <c r="EC10" s="371">
        <f t="shared" si="91"/>
        <v>0</v>
      </c>
      <c r="ED10" s="371">
        <f t="shared" si="92"/>
        <v>0</v>
      </c>
      <c r="EE10" s="371" t="str">
        <f t="shared" si="93"/>
        <v/>
      </c>
      <c r="EF10" s="371">
        <f t="shared" si="94"/>
        <v>0</v>
      </c>
      <c r="EG10" s="371">
        <f t="shared" si="95"/>
        <v>0</v>
      </c>
      <c r="EH10" s="351">
        <f t="shared" si="96"/>
        <v>0</v>
      </c>
      <c r="EI10" s="351">
        <f t="shared" si="97"/>
        <v>0</v>
      </c>
      <c r="EJ10" s="351">
        <f t="shared" si="98"/>
        <v>0</v>
      </c>
      <c r="EK10" s="351">
        <f t="shared" si="99"/>
        <v>0</v>
      </c>
      <c r="EL10" s="351">
        <f t="shared" si="100"/>
        <v>0</v>
      </c>
      <c r="EM10" s="351" t="str">
        <f t="shared" si="101"/>
        <v/>
      </c>
      <c r="EN10" s="351">
        <f t="shared" si="102"/>
        <v>0</v>
      </c>
      <c r="EO10" s="351">
        <f t="shared" si="103"/>
        <v>0</v>
      </c>
      <c r="EP10" s="371">
        <f t="shared" si="104"/>
        <v>0</v>
      </c>
      <c r="EQ10" s="371">
        <f t="shared" si="105"/>
        <v>0</v>
      </c>
      <c r="ER10" s="371">
        <f t="shared" si="106"/>
        <v>0</v>
      </c>
      <c r="ES10" s="371">
        <f t="shared" si="107"/>
        <v>0</v>
      </c>
      <c r="ET10" s="371">
        <f t="shared" si="108"/>
        <v>0</v>
      </c>
      <c r="EU10" s="371" t="str">
        <f t="shared" si="109"/>
        <v/>
      </c>
      <c r="EV10" s="371">
        <f t="shared" si="110"/>
        <v>0</v>
      </c>
      <c r="EW10" s="371">
        <f t="shared" si="111"/>
        <v>0</v>
      </c>
      <c r="EX10" s="351" t="str">
        <f t="shared" si="112"/>
        <v/>
      </c>
      <c r="EY10" s="351">
        <f t="shared" si="113"/>
        <v>0</v>
      </c>
      <c r="EZ10" s="351" t="str">
        <f t="shared" si="114"/>
        <v/>
      </c>
      <c r="FA10" s="351" t="str">
        <f t="shared" si="115"/>
        <v/>
      </c>
      <c r="FB10" s="351" t="str">
        <f t="shared" si="116"/>
        <v/>
      </c>
      <c r="FC10" s="351">
        <f t="shared" si="117"/>
        <v>0</v>
      </c>
      <c r="FD10" s="351">
        <f t="shared" si="118"/>
        <v>0</v>
      </c>
      <c r="FE10" s="351">
        <f t="shared" si="119"/>
        <v>0</v>
      </c>
      <c r="FF10" s="351">
        <f t="shared" si="120"/>
        <v>0</v>
      </c>
      <c r="FG10" s="351">
        <f t="shared" si="121"/>
        <v>0</v>
      </c>
      <c r="FH10" s="351">
        <f t="shared" si="122"/>
        <v>0</v>
      </c>
      <c r="FI10" s="351">
        <f t="shared" si="123"/>
        <v>0</v>
      </c>
      <c r="FJ10" s="351">
        <f t="shared" si="124"/>
        <v>0</v>
      </c>
      <c r="FK10" s="351">
        <f t="shared" si="125"/>
        <v>0</v>
      </c>
      <c r="FL10" s="351">
        <f t="shared" si="126"/>
        <v>0</v>
      </c>
      <c r="FM10" s="161" t="str">
        <f t="shared" si="19"/>
        <v/>
      </c>
      <c r="FN10" s="351">
        <f t="shared" si="127"/>
        <v>0</v>
      </c>
      <c r="FO10" s="161" t="str">
        <f t="shared" si="128"/>
        <v/>
      </c>
      <c r="FP10" s="161" t="str">
        <f t="shared" si="129"/>
        <v/>
      </c>
      <c r="FQ10" s="351">
        <f t="shared" si="130"/>
        <v>0</v>
      </c>
      <c r="FR10" s="161" t="str">
        <f t="shared" si="131"/>
        <v/>
      </c>
      <c r="FS10" s="161" t="str">
        <f t="shared" si="132"/>
        <v/>
      </c>
      <c r="FT10" s="351">
        <f t="shared" si="133"/>
        <v>0</v>
      </c>
      <c r="FU10" s="161" t="str">
        <f t="shared" si="134"/>
        <v/>
      </c>
      <c r="FV10" s="161" t="str">
        <f t="shared" si="135"/>
        <v/>
      </c>
      <c r="FW10" s="161">
        <f t="shared" si="136"/>
        <v>0</v>
      </c>
      <c r="FX10" s="161">
        <v>7.0000000000000007E-2</v>
      </c>
      <c r="FY10" s="351" t="str">
        <f t="shared" si="20"/>
        <v/>
      </c>
      <c r="FZ10" s="351" t="str">
        <f t="shared" si="21"/>
        <v/>
      </c>
      <c r="GA10" s="161" t="str">
        <f t="shared" si="137"/>
        <v/>
      </c>
      <c r="GB10" s="161" t="str">
        <f t="shared" si="22"/>
        <v/>
      </c>
      <c r="GC10" s="161" t="str">
        <f t="shared" si="23"/>
        <v/>
      </c>
      <c r="GD10" s="161" t="str">
        <f t="shared" si="138"/>
        <v/>
      </c>
      <c r="GE10" s="351" t="str">
        <f t="shared" si="139"/>
        <v/>
      </c>
      <c r="GF10" s="161" t="str">
        <f t="shared" si="140"/>
        <v>1.1</v>
      </c>
      <c r="GG10" s="351" t="str">
        <f t="shared" si="141"/>
        <v/>
      </c>
      <c r="GH10" s="161">
        <f t="shared" si="24"/>
        <v>0</v>
      </c>
      <c r="GI10" s="161" t="str">
        <f t="shared" si="142"/>
        <v>2.1</v>
      </c>
      <c r="GJ10" s="351" t="str">
        <f t="shared" si="143"/>
        <v/>
      </c>
      <c r="GK10" s="161">
        <f t="shared" si="25"/>
        <v>0</v>
      </c>
      <c r="GL10" s="161" t="str">
        <f t="shared" si="144"/>
        <v>3.1</v>
      </c>
      <c r="GM10" s="161">
        <f t="shared" si="145"/>
        <v>0</v>
      </c>
      <c r="GN10" s="161">
        <v>7.0000000000000001E-3</v>
      </c>
      <c r="GO10" s="351" t="str">
        <f t="shared" si="146"/>
        <v/>
      </c>
      <c r="GP10" s="351" t="str">
        <f t="shared" si="147"/>
        <v>2.1</v>
      </c>
      <c r="GQ10" s="161" t="str">
        <f t="shared" si="148"/>
        <v/>
      </c>
      <c r="GR10" s="161">
        <f t="shared" si="149"/>
        <v>0</v>
      </c>
      <c r="GS10" s="161">
        <f t="shared" si="150"/>
        <v>0</v>
      </c>
      <c r="GT10" s="161">
        <f t="shared" si="151"/>
        <v>0</v>
      </c>
    </row>
    <row r="11" spans="1:202" ht="15.95" customHeight="1">
      <c r="A11" s="355" t="s">
        <v>1015</v>
      </c>
      <c r="B11" s="355" t="str">
        <f>IF($B$1=1,"","HD 2.1")</f>
        <v/>
      </c>
      <c r="C11" s="161" t="str">
        <f>IF(B11="","",VLOOKUP(B11,Average!$GC:$GE,3,FALSE))</f>
        <v/>
      </c>
      <c r="D11" s="161" t="s">
        <v>280</v>
      </c>
      <c r="E11" s="161" t="str">
        <f>IF(B11="","",VLOOKUP(B11,Average!$GC:$HA,24,FALSE))</f>
        <v/>
      </c>
      <c r="F11" s="161" t="str">
        <f>IF(B11="","",VLOOKUP(B11,Average!$GC:$HA,25,FALSE))</f>
        <v/>
      </c>
      <c r="G11" s="161" t="str">
        <f>IF(B11="","",VLOOKUP(B11,Average!$GC:$HB,26,FALSE))</f>
        <v/>
      </c>
      <c r="H11" s="161" t="str">
        <f>IF(B11="","",VLOOKUP(B11,Average!$GC:$HC,27,FALSE))</f>
        <v/>
      </c>
      <c r="I11" s="161" t="str">
        <f>IF(B11="","",VLOOKUP(B11,Average!$GC:$HH,32,FALSE))</f>
        <v/>
      </c>
      <c r="K11" s="161">
        <f>IF(P11="",0,VLOOKUP(P11,Average!GC:GD,2,FALSE))</f>
        <v>0</v>
      </c>
      <c r="O11" s="355" t="s">
        <v>1015</v>
      </c>
      <c r="P11" s="355" t="str">
        <f>IF($B$1=1,"","GD 2.1")</f>
        <v/>
      </c>
      <c r="Q11" s="161" t="str">
        <f>IF(P11="","",VLOOKUP(P11,Average!$GC:$GE,3,FALSE))</f>
        <v/>
      </c>
      <c r="R11" s="161" t="s">
        <v>280</v>
      </c>
      <c r="S11" s="161" t="str">
        <f>IF(P11="","",VLOOKUP(P11,Average!$GC:$HA,24,FALSE))</f>
        <v/>
      </c>
      <c r="T11" s="161" t="str">
        <f>IF(P11="","",VLOOKUP(P11,Average!$GC:$HA,25,FALSE))</f>
        <v/>
      </c>
      <c r="U11" s="161" t="str">
        <f>IF(P11="","",VLOOKUP(P11,Average!$GC:$HB,26,FALSE))</f>
        <v/>
      </c>
      <c r="V11" s="161" t="str">
        <f>IF(P11="","",VLOOKUP(P11,Average!$GC:$HC,27,FALSE))</f>
        <v/>
      </c>
      <c r="W11" s="161" t="str">
        <f>IF(P11="","",VLOOKUP(P11,Average!$GC:$HH,32,FALSE))</f>
        <v/>
      </c>
      <c r="Y11" s="161">
        <f>IF(B11="",0,VLOOKUP(B11,Average!GC:GD,2,FALSE))</f>
        <v>0</v>
      </c>
      <c r="AC11" s="161">
        <f>IF(K11=1,1,IF(I11=2,1,0))</f>
        <v>0</v>
      </c>
      <c r="AD11" s="161">
        <f>IF(Y11=1,1,IF(W11=2,1,0))</f>
        <v>0</v>
      </c>
      <c r="AE11" s="161">
        <f>IF(Y11=1,2,SUM(I11))</f>
        <v>0</v>
      </c>
      <c r="AF11" s="161">
        <f>IF(K11=1,2,SUM(W11))</f>
        <v>0</v>
      </c>
      <c r="AG11" s="161">
        <v>11</v>
      </c>
      <c r="AH11" s="161" t="e">
        <f>VLOOKUP(AG11,'Matchblatt  FEUILLE DE MATCH'!BD:BE,2,FALSE)</f>
        <v>#N/A</v>
      </c>
      <c r="AI11" s="161" t="str">
        <f t="shared" si="0"/>
        <v/>
      </c>
      <c r="AJ11" s="161" t="str">
        <f t="shared" si="4"/>
        <v/>
      </c>
      <c r="AK11" s="161">
        <f t="shared" si="1"/>
        <v>0</v>
      </c>
      <c r="AM11" s="161">
        <v>8</v>
      </c>
      <c r="AN11" s="161" t="e">
        <f t="shared" si="6"/>
        <v>#N/A</v>
      </c>
      <c r="AO11" s="351" t="str">
        <f t="shared" si="26"/>
        <v/>
      </c>
      <c r="AP11" s="351" t="s">
        <v>280</v>
      </c>
      <c r="AQ11" s="351"/>
      <c r="AR11" s="351"/>
      <c r="AS11" s="371">
        <f t="shared" si="27"/>
        <v>0</v>
      </c>
      <c r="AT11" s="371">
        <f t="shared" si="28"/>
        <v>0</v>
      </c>
      <c r="AU11" s="371">
        <f t="shared" si="29"/>
        <v>0</v>
      </c>
      <c r="AV11" s="371">
        <f t="shared" si="30"/>
        <v>0</v>
      </c>
      <c r="AW11" s="371">
        <f t="shared" si="31"/>
        <v>0</v>
      </c>
      <c r="AX11" s="371" t="str">
        <f t="shared" si="32"/>
        <v/>
      </c>
      <c r="AY11" s="371">
        <f t="shared" si="33"/>
        <v>0</v>
      </c>
      <c r="AZ11" s="371">
        <f t="shared" si="34"/>
        <v>0</v>
      </c>
      <c r="BA11" s="351">
        <f t="shared" si="35"/>
        <v>0</v>
      </c>
      <c r="BB11" s="351">
        <f t="shared" si="36"/>
        <v>0</v>
      </c>
      <c r="BC11" s="351">
        <f t="shared" si="37"/>
        <v>0</v>
      </c>
      <c r="BD11" s="351">
        <f t="shared" si="38"/>
        <v>0</v>
      </c>
      <c r="BE11" s="351">
        <f t="shared" si="39"/>
        <v>0</v>
      </c>
      <c r="BF11" s="351" t="str">
        <f t="shared" si="40"/>
        <v/>
      </c>
      <c r="BG11" s="351">
        <f t="shared" si="41"/>
        <v>0</v>
      </c>
      <c r="BH11" s="351">
        <f t="shared" si="42"/>
        <v>0</v>
      </c>
      <c r="BI11" s="371">
        <f t="shared" si="43"/>
        <v>0</v>
      </c>
      <c r="BJ11" s="371">
        <f t="shared" si="44"/>
        <v>0</v>
      </c>
      <c r="BK11" s="371">
        <f t="shared" si="45"/>
        <v>0</v>
      </c>
      <c r="BL11" s="371">
        <f t="shared" si="46"/>
        <v>0</v>
      </c>
      <c r="BM11" s="371">
        <f t="shared" si="47"/>
        <v>0</v>
      </c>
      <c r="BN11" s="371" t="str">
        <f t="shared" si="48"/>
        <v/>
      </c>
      <c r="BO11" s="371">
        <f t="shared" si="49"/>
        <v>0</v>
      </c>
      <c r="BP11" s="371">
        <f t="shared" si="50"/>
        <v>0</v>
      </c>
      <c r="BQ11" s="351" t="str">
        <f t="shared" si="51"/>
        <v/>
      </c>
      <c r="BR11" s="351">
        <f t="shared" si="52"/>
        <v>0</v>
      </c>
      <c r="BS11" s="351" t="str">
        <f t="shared" si="53"/>
        <v/>
      </c>
      <c r="BT11" s="351" t="str">
        <f t="shared" si="54"/>
        <v/>
      </c>
      <c r="BU11" s="351" t="str">
        <f t="shared" si="55"/>
        <v/>
      </c>
      <c r="BV11" s="351">
        <f t="shared" si="56"/>
        <v>0</v>
      </c>
      <c r="BW11" s="351">
        <f t="shared" si="57"/>
        <v>0</v>
      </c>
      <c r="BX11" s="351">
        <f t="shared" si="58"/>
        <v>0</v>
      </c>
      <c r="BY11" s="351">
        <f t="shared" si="59"/>
        <v>0</v>
      </c>
      <c r="BZ11" s="351">
        <f t="shared" si="60"/>
        <v>0</v>
      </c>
      <c r="CA11" s="351">
        <f t="shared" si="61"/>
        <v>0</v>
      </c>
      <c r="CB11" s="351">
        <f t="shared" si="62"/>
        <v>0</v>
      </c>
      <c r="CC11" s="351">
        <f t="shared" si="63"/>
        <v>0</v>
      </c>
      <c r="CD11" s="351">
        <f t="shared" si="64"/>
        <v>0</v>
      </c>
      <c r="CE11" s="351">
        <f t="shared" si="65"/>
        <v>0</v>
      </c>
      <c r="CF11" s="161" t="str">
        <f t="shared" si="66"/>
        <v/>
      </c>
      <c r="CG11" s="351">
        <f t="shared" si="67"/>
        <v>0</v>
      </c>
      <c r="CH11" s="161" t="str">
        <f t="shared" si="68"/>
        <v/>
      </c>
      <c r="CI11" s="161" t="str">
        <f t="shared" si="7"/>
        <v/>
      </c>
      <c r="CJ11" s="351">
        <f t="shared" si="8"/>
        <v>0</v>
      </c>
      <c r="CK11" s="161" t="str">
        <f t="shared" si="69"/>
        <v/>
      </c>
      <c r="CL11" s="161" t="str">
        <f t="shared" si="9"/>
        <v/>
      </c>
      <c r="CM11" s="351">
        <f t="shared" si="10"/>
        <v>0</v>
      </c>
      <c r="CN11" s="161" t="str">
        <f t="shared" si="70"/>
        <v/>
      </c>
      <c r="CO11" s="161" t="str">
        <f t="shared" si="11"/>
        <v/>
      </c>
      <c r="CP11" s="161">
        <f t="shared" si="71"/>
        <v>0</v>
      </c>
      <c r="CQ11" s="161">
        <v>0.08</v>
      </c>
      <c r="CR11" s="351" t="str">
        <f t="shared" si="72"/>
        <v/>
      </c>
      <c r="CS11" s="351" t="str">
        <f t="shared" si="73"/>
        <v/>
      </c>
      <c r="CT11" s="161" t="str">
        <f t="shared" si="12"/>
        <v/>
      </c>
      <c r="CU11" s="161" t="str">
        <f t="shared" si="74"/>
        <v/>
      </c>
      <c r="CV11" s="161" t="str">
        <f t="shared" si="75"/>
        <v/>
      </c>
      <c r="CW11" s="161" t="str">
        <f t="shared" si="76"/>
        <v/>
      </c>
      <c r="CX11" s="351" t="str">
        <f t="shared" si="77"/>
        <v/>
      </c>
      <c r="CY11" s="161" t="str">
        <f t="shared" si="13"/>
        <v>1.1</v>
      </c>
      <c r="CZ11" s="351" t="str">
        <f t="shared" si="78"/>
        <v/>
      </c>
      <c r="DA11" s="161">
        <f t="shared" si="14"/>
        <v>0</v>
      </c>
      <c r="DB11" s="161" t="str">
        <f t="shared" si="15"/>
        <v>2.1</v>
      </c>
      <c r="DC11" s="351" t="str">
        <f t="shared" si="79"/>
        <v/>
      </c>
      <c r="DD11" s="161">
        <f t="shared" si="16"/>
        <v>0</v>
      </c>
      <c r="DE11" s="161" t="str">
        <f t="shared" si="17"/>
        <v>3.1</v>
      </c>
      <c r="DF11" s="161">
        <f t="shared" si="80"/>
        <v>0</v>
      </c>
      <c r="DG11" s="161">
        <v>8.0000000000000002E-3</v>
      </c>
      <c r="DH11" s="351" t="str">
        <f t="shared" si="81"/>
        <v/>
      </c>
      <c r="DI11" s="351" t="str">
        <f t="shared" si="82"/>
        <v>2.1</v>
      </c>
      <c r="DJ11" s="161" t="str">
        <f t="shared" si="83"/>
        <v/>
      </c>
      <c r="DK11" s="161">
        <f t="shared" si="84"/>
        <v>0</v>
      </c>
      <c r="DL11" s="161">
        <f t="shared" si="85"/>
        <v>0</v>
      </c>
      <c r="DM11" s="161">
        <f t="shared" si="86"/>
        <v>0</v>
      </c>
      <c r="DN11" s="161">
        <v>11</v>
      </c>
      <c r="DO11" s="161" t="e">
        <f>VLOOKUP(DN11,'Matchblatt  FEUILLE DE MATCH'!BF:BG,2,FALSE)</f>
        <v>#N/A</v>
      </c>
      <c r="DP11" s="161" t="str">
        <f t="shared" si="2"/>
        <v/>
      </c>
      <c r="DQ11" s="161" t="str">
        <f t="shared" si="5"/>
        <v/>
      </c>
      <c r="DR11" s="161">
        <f t="shared" si="3"/>
        <v>0</v>
      </c>
      <c r="DT11" s="161">
        <v>8</v>
      </c>
      <c r="DU11" s="161" t="e">
        <f t="shared" si="18"/>
        <v>#N/A</v>
      </c>
      <c r="DV11" s="351" t="str">
        <f t="shared" si="87"/>
        <v/>
      </c>
      <c r="DW11" s="351" t="s">
        <v>280</v>
      </c>
      <c r="DX11" s="351"/>
      <c r="DY11" s="351"/>
      <c r="DZ11" s="371">
        <f t="shared" si="88"/>
        <v>0</v>
      </c>
      <c r="EA11" s="371">
        <f t="shared" si="89"/>
        <v>0</v>
      </c>
      <c r="EB11" s="371">
        <f t="shared" si="90"/>
        <v>0</v>
      </c>
      <c r="EC11" s="371">
        <f t="shared" si="91"/>
        <v>0</v>
      </c>
      <c r="ED11" s="371">
        <f t="shared" si="92"/>
        <v>0</v>
      </c>
      <c r="EE11" s="371" t="str">
        <f t="shared" si="93"/>
        <v/>
      </c>
      <c r="EF11" s="371">
        <f t="shared" si="94"/>
        <v>0</v>
      </c>
      <c r="EG11" s="371">
        <f t="shared" si="95"/>
        <v>0</v>
      </c>
      <c r="EH11" s="351">
        <f t="shared" si="96"/>
        <v>0</v>
      </c>
      <c r="EI11" s="351">
        <f t="shared" si="97"/>
        <v>0</v>
      </c>
      <c r="EJ11" s="351">
        <f t="shared" si="98"/>
        <v>0</v>
      </c>
      <c r="EK11" s="351">
        <f t="shared" si="99"/>
        <v>0</v>
      </c>
      <c r="EL11" s="351">
        <f t="shared" si="100"/>
        <v>0</v>
      </c>
      <c r="EM11" s="351" t="str">
        <f t="shared" si="101"/>
        <v/>
      </c>
      <c r="EN11" s="351">
        <f t="shared" si="102"/>
        <v>0</v>
      </c>
      <c r="EO11" s="351">
        <f t="shared" si="103"/>
        <v>0</v>
      </c>
      <c r="EP11" s="371">
        <f t="shared" si="104"/>
        <v>0</v>
      </c>
      <c r="EQ11" s="371">
        <f t="shared" si="105"/>
        <v>0</v>
      </c>
      <c r="ER11" s="371">
        <f t="shared" si="106"/>
        <v>0</v>
      </c>
      <c r="ES11" s="371">
        <f t="shared" si="107"/>
        <v>0</v>
      </c>
      <c r="ET11" s="371">
        <f t="shared" si="108"/>
        <v>0</v>
      </c>
      <c r="EU11" s="371" t="str">
        <f t="shared" si="109"/>
        <v/>
      </c>
      <c r="EV11" s="371">
        <f t="shared" si="110"/>
        <v>0</v>
      </c>
      <c r="EW11" s="371">
        <f t="shared" si="111"/>
        <v>0</v>
      </c>
      <c r="EX11" s="351" t="str">
        <f t="shared" si="112"/>
        <v/>
      </c>
      <c r="EY11" s="351">
        <f t="shared" si="113"/>
        <v>0</v>
      </c>
      <c r="EZ11" s="351" t="str">
        <f t="shared" si="114"/>
        <v/>
      </c>
      <c r="FA11" s="351" t="str">
        <f t="shared" si="115"/>
        <v/>
      </c>
      <c r="FB11" s="351" t="str">
        <f t="shared" si="116"/>
        <v/>
      </c>
      <c r="FC11" s="351">
        <f t="shared" si="117"/>
        <v>0</v>
      </c>
      <c r="FD11" s="351">
        <f t="shared" si="118"/>
        <v>0</v>
      </c>
      <c r="FE11" s="351">
        <f t="shared" si="119"/>
        <v>0</v>
      </c>
      <c r="FF11" s="351">
        <f t="shared" si="120"/>
        <v>0</v>
      </c>
      <c r="FG11" s="351">
        <f t="shared" si="121"/>
        <v>0</v>
      </c>
      <c r="FH11" s="351">
        <f t="shared" si="122"/>
        <v>0</v>
      </c>
      <c r="FI11" s="351">
        <f t="shared" si="123"/>
        <v>0</v>
      </c>
      <c r="FJ11" s="351">
        <f t="shared" si="124"/>
        <v>0</v>
      </c>
      <c r="FK11" s="351">
        <f t="shared" si="125"/>
        <v>0</v>
      </c>
      <c r="FL11" s="351">
        <f t="shared" si="126"/>
        <v>0</v>
      </c>
      <c r="FM11" s="161" t="str">
        <f t="shared" si="19"/>
        <v/>
      </c>
      <c r="FN11" s="351">
        <f t="shared" si="127"/>
        <v>0</v>
      </c>
      <c r="FO11" s="161" t="str">
        <f t="shared" si="128"/>
        <v/>
      </c>
      <c r="FP11" s="161" t="str">
        <f t="shared" si="129"/>
        <v/>
      </c>
      <c r="FQ11" s="351">
        <f t="shared" si="130"/>
        <v>0</v>
      </c>
      <c r="FR11" s="161" t="str">
        <f t="shared" si="131"/>
        <v/>
      </c>
      <c r="FS11" s="161" t="str">
        <f t="shared" si="132"/>
        <v/>
      </c>
      <c r="FT11" s="351">
        <f t="shared" si="133"/>
        <v>0</v>
      </c>
      <c r="FU11" s="161" t="str">
        <f t="shared" si="134"/>
        <v/>
      </c>
      <c r="FV11" s="161" t="str">
        <f t="shared" si="135"/>
        <v/>
      </c>
      <c r="FW11" s="161">
        <f t="shared" si="136"/>
        <v>0</v>
      </c>
      <c r="FX11" s="161">
        <v>0.08</v>
      </c>
      <c r="FY11" s="351" t="str">
        <f t="shared" si="20"/>
        <v/>
      </c>
      <c r="FZ11" s="351" t="str">
        <f t="shared" si="21"/>
        <v/>
      </c>
      <c r="GA11" s="161" t="str">
        <f t="shared" si="137"/>
        <v/>
      </c>
      <c r="GB11" s="161" t="str">
        <f t="shared" si="22"/>
        <v/>
      </c>
      <c r="GC11" s="161" t="str">
        <f t="shared" si="23"/>
        <v/>
      </c>
      <c r="GD11" s="161" t="str">
        <f t="shared" si="138"/>
        <v/>
      </c>
      <c r="GE11" s="351" t="str">
        <f t="shared" si="139"/>
        <v/>
      </c>
      <c r="GF11" s="161" t="str">
        <f t="shared" si="140"/>
        <v>1.1</v>
      </c>
      <c r="GG11" s="351" t="str">
        <f t="shared" si="141"/>
        <v/>
      </c>
      <c r="GH11" s="161">
        <f t="shared" si="24"/>
        <v>0</v>
      </c>
      <c r="GI11" s="161" t="str">
        <f t="shared" si="142"/>
        <v>2.1</v>
      </c>
      <c r="GJ11" s="351" t="str">
        <f t="shared" si="143"/>
        <v/>
      </c>
      <c r="GK11" s="161">
        <f t="shared" si="25"/>
        <v>0</v>
      </c>
      <c r="GL11" s="161" t="str">
        <f t="shared" si="144"/>
        <v>3.1</v>
      </c>
      <c r="GM11" s="161">
        <f t="shared" si="145"/>
        <v>0</v>
      </c>
      <c r="GN11" s="161">
        <v>8.0000000000000002E-3</v>
      </c>
      <c r="GO11" s="351" t="str">
        <f t="shared" si="146"/>
        <v/>
      </c>
      <c r="GP11" s="351" t="str">
        <f t="shared" si="147"/>
        <v>2.1</v>
      </c>
      <c r="GQ11" s="161" t="str">
        <f t="shared" si="148"/>
        <v/>
      </c>
      <c r="GR11" s="161">
        <f t="shared" si="149"/>
        <v>0</v>
      </c>
      <c r="GS11" s="161">
        <f t="shared" si="150"/>
        <v>0</v>
      </c>
      <c r="GT11" s="161">
        <f t="shared" si="151"/>
        <v>0</v>
      </c>
    </row>
    <row r="12" spans="1:202" ht="15.95" customHeight="1">
      <c r="A12" s="355" t="s">
        <v>1016</v>
      </c>
      <c r="B12" s="355" t="str">
        <f>IF($B$1=1,"","HD 2.1.2")</f>
        <v/>
      </c>
      <c r="C12" s="161" t="str">
        <f>IF(B12="","",VLOOKUP(B12,Average!$GC:$GE,3,FALSE))</f>
        <v/>
      </c>
      <c r="D12" s="161" t="s">
        <v>280</v>
      </c>
      <c r="G12" s="161" t="str">
        <f>IF(B12="","",VLOOKUP(B12,Average!$GC:$HB,26,FALSE))</f>
        <v/>
      </c>
      <c r="H12" s="161" t="str">
        <f>IF(B12="","",VLOOKUP(B12,Average!$GC:$HC,27,FALSE))</f>
        <v/>
      </c>
      <c r="O12" s="355" t="s">
        <v>1017</v>
      </c>
      <c r="P12" s="355" t="str">
        <f>IF($B$1=1,"","GD 2.1.2")</f>
        <v/>
      </c>
      <c r="Q12" s="161" t="str">
        <f>IF(P12="","",VLOOKUP(P12,Average!$GC:$GE,3,FALSE))</f>
        <v/>
      </c>
      <c r="R12" s="161" t="s">
        <v>280</v>
      </c>
      <c r="U12" s="161" t="str">
        <f>IF(P12="","",VLOOKUP(P12,Average!$GC:$HB,26,FALSE))</f>
        <v/>
      </c>
      <c r="V12" s="161" t="str">
        <f>IF(P12="","",VLOOKUP(P12,Average!$GC:$HC,27,FALSE))</f>
        <v/>
      </c>
      <c r="AG12" s="161">
        <v>12</v>
      </c>
      <c r="AH12" s="161" t="e">
        <f>VLOOKUP(AG12,'Matchblatt  FEUILLE DE MATCH'!BD:BE,2,FALSE)</f>
        <v>#N/A</v>
      </c>
      <c r="AI12" s="161" t="str">
        <f t="shared" si="0"/>
        <v/>
      </c>
      <c r="AJ12" s="161" t="str">
        <f t="shared" si="4"/>
        <v/>
      </c>
      <c r="AK12" s="161">
        <f t="shared" si="1"/>
        <v>0</v>
      </c>
      <c r="AM12" s="161">
        <v>9</v>
      </c>
      <c r="AN12" s="161" t="e">
        <f t="shared" si="6"/>
        <v>#N/A</v>
      </c>
      <c r="AO12" s="351" t="str">
        <f t="shared" si="26"/>
        <v/>
      </c>
      <c r="AP12" s="351" t="s">
        <v>280</v>
      </c>
      <c r="AQ12" s="351"/>
      <c r="AR12" s="351"/>
      <c r="AS12" s="371">
        <f t="shared" si="27"/>
        <v>0</v>
      </c>
      <c r="AT12" s="371">
        <f t="shared" si="28"/>
        <v>0</v>
      </c>
      <c r="AU12" s="371">
        <f t="shared" si="29"/>
        <v>0</v>
      </c>
      <c r="AV12" s="371">
        <f t="shared" si="30"/>
        <v>0</v>
      </c>
      <c r="AW12" s="371">
        <f t="shared" si="31"/>
        <v>0</v>
      </c>
      <c r="AX12" s="371" t="str">
        <f t="shared" si="32"/>
        <v/>
      </c>
      <c r="AY12" s="371">
        <f t="shared" si="33"/>
        <v>0</v>
      </c>
      <c r="AZ12" s="371">
        <f t="shared" si="34"/>
        <v>0</v>
      </c>
      <c r="BA12" s="351">
        <f t="shared" si="35"/>
        <v>0</v>
      </c>
      <c r="BB12" s="351">
        <f t="shared" si="36"/>
        <v>0</v>
      </c>
      <c r="BC12" s="351">
        <f t="shared" si="37"/>
        <v>0</v>
      </c>
      <c r="BD12" s="351">
        <f t="shared" si="38"/>
        <v>0</v>
      </c>
      <c r="BE12" s="351">
        <f t="shared" si="39"/>
        <v>0</v>
      </c>
      <c r="BF12" s="351" t="str">
        <f t="shared" si="40"/>
        <v/>
      </c>
      <c r="BG12" s="351">
        <f t="shared" si="41"/>
        <v>0</v>
      </c>
      <c r="BH12" s="351">
        <f t="shared" si="42"/>
        <v>0</v>
      </c>
      <c r="BI12" s="371">
        <f t="shared" si="43"/>
        <v>0</v>
      </c>
      <c r="BJ12" s="371">
        <f t="shared" si="44"/>
        <v>0</v>
      </c>
      <c r="BK12" s="371">
        <f t="shared" si="45"/>
        <v>0</v>
      </c>
      <c r="BL12" s="371">
        <f t="shared" si="46"/>
        <v>0</v>
      </c>
      <c r="BM12" s="371">
        <f t="shared" si="47"/>
        <v>0</v>
      </c>
      <c r="BN12" s="371" t="str">
        <f t="shared" si="48"/>
        <v/>
      </c>
      <c r="BO12" s="371">
        <f t="shared" si="49"/>
        <v>0</v>
      </c>
      <c r="BP12" s="371">
        <f t="shared" si="50"/>
        <v>0</v>
      </c>
      <c r="BQ12" s="351" t="str">
        <f t="shared" si="51"/>
        <v/>
      </c>
      <c r="BR12" s="351">
        <f t="shared" si="52"/>
        <v>0</v>
      </c>
      <c r="BS12" s="351" t="str">
        <f t="shared" si="53"/>
        <v/>
      </c>
      <c r="BT12" s="351" t="str">
        <f t="shared" si="54"/>
        <v/>
      </c>
      <c r="BU12" s="351" t="str">
        <f t="shared" si="55"/>
        <v/>
      </c>
      <c r="BV12" s="351">
        <f t="shared" si="56"/>
        <v>0</v>
      </c>
      <c r="BW12" s="351">
        <f t="shared" si="57"/>
        <v>0</v>
      </c>
      <c r="BX12" s="351">
        <f t="shared" si="58"/>
        <v>0</v>
      </c>
      <c r="BY12" s="351">
        <f t="shared" si="59"/>
        <v>0</v>
      </c>
      <c r="BZ12" s="351">
        <f t="shared" si="60"/>
        <v>0</v>
      </c>
      <c r="CA12" s="351">
        <f t="shared" si="61"/>
        <v>0</v>
      </c>
      <c r="CB12" s="351">
        <f t="shared" si="62"/>
        <v>0</v>
      </c>
      <c r="CC12" s="351">
        <f t="shared" si="63"/>
        <v>0</v>
      </c>
      <c r="CD12" s="351">
        <f t="shared" si="64"/>
        <v>0</v>
      </c>
      <c r="CE12" s="351">
        <f t="shared" si="65"/>
        <v>0</v>
      </c>
      <c r="CF12" s="161" t="str">
        <f t="shared" si="66"/>
        <v/>
      </c>
      <c r="CG12" s="351">
        <f t="shared" si="67"/>
        <v>0</v>
      </c>
      <c r="CH12" s="161" t="str">
        <f t="shared" si="68"/>
        <v/>
      </c>
      <c r="CI12" s="161" t="str">
        <f t="shared" si="7"/>
        <v/>
      </c>
      <c r="CJ12" s="351">
        <f t="shared" si="8"/>
        <v>0</v>
      </c>
      <c r="CK12" s="161" t="str">
        <f t="shared" si="69"/>
        <v/>
      </c>
      <c r="CL12" s="161" t="str">
        <f t="shared" si="9"/>
        <v/>
      </c>
      <c r="CM12" s="351">
        <f t="shared" si="10"/>
        <v>0</v>
      </c>
      <c r="CN12" s="161" t="str">
        <f t="shared" si="70"/>
        <v/>
      </c>
      <c r="CO12" s="161" t="str">
        <f t="shared" si="11"/>
        <v/>
      </c>
      <c r="CP12" s="161">
        <f t="shared" si="71"/>
        <v>0</v>
      </c>
      <c r="CQ12" s="161">
        <v>0.09</v>
      </c>
      <c r="CR12" s="351" t="str">
        <f t="shared" si="72"/>
        <v/>
      </c>
      <c r="CS12" s="351" t="str">
        <f t="shared" si="73"/>
        <v/>
      </c>
      <c r="CT12" s="161" t="str">
        <f t="shared" si="12"/>
        <v/>
      </c>
      <c r="CU12" s="161" t="str">
        <f t="shared" si="74"/>
        <v/>
      </c>
      <c r="CV12" s="161" t="str">
        <f t="shared" si="75"/>
        <v/>
      </c>
      <c r="CW12" s="161" t="str">
        <f t="shared" si="76"/>
        <v/>
      </c>
      <c r="CX12" s="351" t="str">
        <f t="shared" si="77"/>
        <v/>
      </c>
      <c r="CY12" s="161" t="str">
        <f t="shared" si="13"/>
        <v>1.1</v>
      </c>
      <c r="CZ12" s="351" t="str">
        <f t="shared" si="78"/>
        <v/>
      </c>
      <c r="DA12" s="161">
        <f t="shared" si="14"/>
        <v>0</v>
      </c>
      <c r="DB12" s="161" t="str">
        <f t="shared" si="15"/>
        <v>2.1</v>
      </c>
      <c r="DC12" s="351" t="str">
        <f t="shared" si="79"/>
        <v/>
      </c>
      <c r="DD12" s="161">
        <f t="shared" si="16"/>
        <v>0</v>
      </c>
      <c r="DE12" s="161" t="str">
        <f t="shared" si="17"/>
        <v>3.1</v>
      </c>
      <c r="DF12" s="161">
        <f t="shared" si="80"/>
        <v>0</v>
      </c>
      <c r="DG12" s="161">
        <v>8.9999999999999993E-3</v>
      </c>
      <c r="DH12" s="351" t="str">
        <f t="shared" si="81"/>
        <v/>
      </c>
      <c r="DI12" s="351" t="str">
        <f t="shared" si="82"/>
        <v>2.1</v>
      </c>
      <c r="DJ12" s="161" t="str">
        <f t="shared" si="83"/>
        <v/>
      </c>
      <c r="DK12" s="161">
        <f t="shared" si="84"/>
        <v>0</v>
      </c>
      <c r="DL12" s="161">
        <f t="shared" si="85"/>
        <v>0</v>
      </c>
      <c r="DM12" s="161">
        <f t="shared" si="86"/>
        <v>0</v>
      </c>
      <c r="DN12" s="161">
        <v>12</v>
      </c>
      <c r="DO12" s="161" t="e">
        <f>VLOOKUP(DN12,'Matchblatt  FEUILLE DE MATCH'!BF:BG,2,FALSE)</f>
        <v>#N/A</v>
      </c>
      <c r="DP12" s="161" t="str">
        <f t="shared" si="2"/>
        <v/>
      </c>
      <c r="DQ12" s="161" t="str">
        <f t="shared" si="5"/>
        <v/>
      </c>
      <c r="DR12" s="161">
        <f t="shared" si="3"/>
        <v>0</v>
      </c>
      <c r="DT12" s="161">
        <v>9</v>
      </c>
      <c r="DU12" s="161" t="e">
        <f t="shared" si="18"/>
        <v>#N/A</v>
      </c>
      <c r="DV12" s="351" t="str">
        <f t="shared" si="87"/>
        <v/>
      </c>
      <c r="DW12" s="351" t="s">
        <v>280</v>
      </c>
      <c r="DX12" s="351"/>
      <c r="DY12" s="351"/>
      <c r="DZ12" s="371">
        <f t="shared" si="88"/>
        <v>0</v>
      </c>
      <c r="EA12" s="371">
        <f t="shared" si="89"/>
        <v>0</v>
      </c>
      <c r="EB12" s="371">
        <f t="shared" si="90"/>
        <v>0</v>
      </c>
      <c r="EC12" s="371">
        <f t="shared" si="91"/>
        <v>0</v>
      </c>
      <c r="ED12" s="371">
        <f t="shared" si="92"/>
        <v>0</v>
      </c>
      <c r="EE12" s="371" t="str">
        <f t="shared" si="93"/>
        <v/>
      </c>
      <c r="EF12" s="371">
        <f t="shared" si="94"/>
        <v>0</v>
      </c>
      <c r="EG12" s="371">
        <f t="shared" si="95"/>
        <v>0</v>
      </c>
      <c r="EH12" s="351">
        <f t="shared" si="96"/>
        <v>0</v>
      </c>
      <c r="EI12" s="351">
        <f t="shared" si="97"/>
        <v>0</v>
      </c>
      <c r="EJ12" s="351">
        <f t="shared" si="98"/>
        <v>0</v>
      </c>
      <c r="EK12" s="351">
        <f t="shared" si="99"/>
        <v>0</v>
      </c>
      <c r="EL12" s="351">
        <f t="shared" si="100"/>
        <v>0</v>
      </c>
      <c r="EM12" s="351" t="str">
        <f t="shared" si="101"/>
        <v/>
      </c>
      <c r="EN12" s="351">
        <f t="shared" si="102"/>
        <v>0</v>
      </c>
      <c r="EO12" s="351">
        <f t="shared" si="103"/>
        <v>0</v>
      </c>
      <c r="EP12" s="371">
        <f t="shared" si="104"/>
        <v>0</v>
      </c>
      <c r="EQ12" s="371">
        <f t="shared" si="105"/>
        <v>0</v>
      </c>
      <c r="ER12" s="371">
        <f t="shared" si="106"/>
        <v>0</v>
      </c>
      <c r="ES12" s="371">
        <f t="shared" si="107"/>
        <v>0</v>
      </c>
      <c r="ET12" s="371">
        <f t="shared" si="108"/>
        <v>0</v>
      </c>
      <c r="EU12" s="371" t="str">
        <f t="shared" si="109"/>
        <v/>
      </c>
      <c r="EV12" s="371">
        <f t="shared" si="110"/>
        <v>0</v>
      </c>
      <c r="EW12" s="371">
        <f t="shared" si="111"/>
        <v>0</v>
      </c>
      <c r="EX12" s="351" t="str">
        <f t="shared" si="112"/>
        <v/>
      </c>
      <c r="EY12" s="351">
        <f t="shared" si="113"/>
        <v>0</v>
      </c>
      <c r="EZ12" s="351" t="str">
        <f t="shared" si="114"/>
        <v/>
      </c>
      <c r="FA12" s="351" t="str">
        <f t="shared" si="115"/>
        <v/>
      </c>
      <c r="FB12" s="351" t="str">
        <f t="shared" si="116"/>
        <v/>
      </c>
      <c r="FC12" s="351">
        <f t="shared" si="117"/>
        <v>0</v>
      </c>
      <c r="FD12" s="351">
        <f t="shared" si="118"/>
        <v>0</v>
      </c>
      <c r="FE12" s="351">
        <f t="shared" si="119"/>
        <v>0</v>
      </c>
      <c r="FF12" s="351">
        <f t="shared" si="120"/>
        <v>0</v>
      </c>
      <c r="FG12" s="351">
        <f t="shared" si="121"/>
        <v>0</v>
      </c>
      <c r="FH12" s="351">
        <f t="shared" si="122"/>
        <v>0</v>
      </c>
      <c r="FI12" s="351">
        <f t="shared" si="123"/>
        <v>0</v>
      </c>
      <c r="FJ12" s="351">
        <f t="shared" si="124"/>
        <v>0</v>
      </c>
      <c r="FK12" s="351">
        <f t="shared" si="125"/>
        <v>0</v>
      </c>
      <c r="FL12" s="351">
        <f t="shared" si="126"/>
        <v>0</v>
      </c>
      <c r="FM12" s="161" t="str">
        <f t="shared" si="19"/>
        <v/>
      </c>
      <c r="FN12" s="351">
        <f t="shared" si="127"/>
        <v>0</v>
      </c>
      <c r="FO12" s="161" t="str">
        <f t="shared" si="128"/>
        <v/>
      </c>
      <c r="FP12" s="161" t="str">
        <f t="shared" si="129"/>
        <v/>
      </c>
      <c r="FQ12" s="351">
        <f t="shared" si="130"/>
        <v>0</v>
      </c>
      <c r="FR12" s="161" t="str">
        <f t="shared" si="131"/>
        <v/>
      </c>
      <c r="FS12" s="161" t="str">
        <f t="shared" si="132"/>
        <v/>
      </c>
      <c r="FT12" s="351">
        <f t="shared" si="133"/>
        <v>0</v>
      </c>
      <c r="FU12" s="161" t="str">
        <f t="shared" si="134"/>
        <v/>
      </c>
      <c r="FV12" s="161" t="str">
        <f t="shared" si="135"/>
        <v/>
      </c>
      <c r="FW12" s="161">
        <f t="shared" si="136"/>
        <v>0</v>
      </c>
      <c r="FX12" s="161">
        <v>0.09</v>
      </c>
      <c r="FY12" s="351" t="str">
        <f t="shared" si="20"/>
        <v/>
      </c>
      <c r="FZ12" s="351" t="str">
        <f t="shared" si="21"/>
        <v/>
      </c>
      <c r="GA12" s="161" t="str">
        <f t="shared" si="137"/>
        <v/>
      </c>
      <c r="GB12" s="161" t="str">
        <f t="shared" si="22"/>
        <v/>
      </c>
      <c r="GC12" s="161" t="str">
        <f t="shared" si="23"/>
        <v/>
      </c>
      <c r="GD12" s="161" t="str">
        <f t="shared" si="138"/>
        <v/>
      </c>
      <c r="GE12" s="351" t="str">
        <f t="shared" si="139"/>
        <v/>
      </c>
      <c r="GF12" s="161" t="str">
        <f t="shared" si="140"/>
        <v>1.1</v>
      </c>
      <c r="GG12" s="351" t="str">
        <f t="shared" si="141"/>
        <v/>
      </c>
      <c r="GH12" s="161">
        <f t="shared" si="24"/>
        <v>0</v>
      </c>
      <c r="GI12" s="161" t="str">
        <f t="shared" si="142"/>
        <v>2.1</v>
      </c>
      <c r="GJ12" s="351" t="str">
        <f t="shared" si="143"/>
        <v/>
      </c>
      <c r="GK12" s="161">
        <f t="shared" si="25"/>
        <v>0</v>
      </c>
      <c r="GL12" s="161" t="str">
        <f t="shared" si="144"/>
        <v>3.1</v>
      </c>
      <c r="GM12" s="161">
        <f t="shared" si="145"/>
        <v>0</v>
      </c>
      <c r="GN12" s="161">
        <v>8.9999999999999993E-3</v>
      </c>
      <c r="GO12" s="351" t="str">
        <f t="shared" si="146"/>
        <v/>
      </c>
      <c r="GP12" s="351" t="str">
        <f t="shared" si="147"/>
        <v>2.1</v>
      </c>
      <c r="GQ12" s="161" t="str">
        <f t="shared" si="148"/>
        <v/>
      </c>
      <c r="GR12" s="161">
        <f t="shared" si="149"/>
        <v>0</v>
      </c>
      <c r="GS12" s="161">
        <f t="shared" si="150"/>
        <v>0</v>
      </c>
      <c r="GT12" s="161">
        <f t="shared" si="151"/>
        <v>0</v>
      </c>
    </row>
    <row r="13" spans="1:202" ht="15.95" customHeight="1">
      <c r="A13" s="355" t="s">
        <v>1018</v>
      </c>
      <c r="B13" s="355" t="str">
        <f>IF($B$1=1,"","HD 2.2")</f>
        <v/>
      </c>
      <c r="C13" s="161" t="str">
        <f>IF(B13="","",VLOOKUP(B13,Average!$GC:$GE,3,FALSE))</f>
        <v/>
      </c>
      <c r="D13" s="161" t="s">
        <v>280</v>
      </c>
      <c r="E13" s="161" t="str">
        <f>IF(B13="","",VLOOKUP(B13,Average!$GC:$HA,24,FALSE))</f>
        <v/>
      </c>
      <c r="F13" s="161" t="str">
        <f>IF(B13="","",VLOOKUP(B13,Average!$GC:$HA,25,FALSE))</f>
        <v/>
      </c>
      <c r="G13" s="161" t="str">
        <f>IF(B13="","",VLOOKUP(B13,Average!$GC:$HB,26,FALSE))</f>
        <v/>
      </c>
      <c r="H13" s="161" t="str">
        <f>IF(B13="","",VLOOKUP(B13,Average!$GC:$HC,27,FALSE))</f>
        <v/>
      </c>
      <c r="I13" s="161" t="str">
        <f>IF(B13="","",VLOOKUP(B13,Average!$GC:$HH,32,FALSE))</f>
        <v/>
      </c>
      <c r="K13" s="161">
        <f>IF(P13="",0,VLOOKUP(P13,Average!GC:GD,2,FALSE))</f>
        <v>0</v>
      </c>
      <c r="O13" s="355" t="s">
        <v>1018</v>
      </c>
      <c r="P13" s="355" t="str">
        <f>IF($B$1=1,"","GD 2.2")</f>
        <v/>
      </c>
      <c r="Q13" s="161" t="str">
        <f>IF(P13="","",VLOOKUP(P13,Average!$GC:$GE,3,FALSE))</f>
        <v/>
      </c>
      <c r="R13" s="161" t="s">
        <v>280</v>
      </c>
      <c r="S13" s="161" t="str">
        <f>IF(P13="","",VLOOKUP(P13,Average!$GC:$HA,24,FALSE))</f>
        <v/>
      </c>
      <c r="T13" s="161" t="str">
        <f>IF(P13="","",VLOOKUP(P13,Average!$GC:$HA,25,FALSE))</f>
        <v/>
      </c>
      <c r="U13" s="161" t="str">
        <f>IF(P13="","",VLOOKUP(P13,Average!$GC:$HB,26,FALSE))</f>
        <v/>
      </c>
      <c r="V13" s="161" t="str">
        <f>IF(P13="","",VLOOKUP(P13,Average!$GC:$HC,27,FALSE))</f>
        <v/>
      </c>
      <c r="W13" s="161" t="str">
        <f>IF(P13="","",VLOOKUP(P13,Average!$GC:$HH,32,FALSE))</f>
        <v/>
      </c>
      <c r="Y13" s="161">
        <f>IF(B13="",0,VLOOKUP(B13,Average!GC:GD,2,FALSE))</f>
        <v>0</v>
      </c>
      <c r="AC13" s="161">
        <f>IF(K13=1,1,IF(I13=2,1,0))</f>
        <v>0</v>
      </c>
      <c r="AD13" s="161">
        <f>IF(Y13=1,1,IF(W13=2,1,0))</f>
        <v>0</v>
      </c>
      <c r="AE13" s="161">
        <f>IF(Y13=1,2,SUM(I13))</f>
        <v>0</v>
      </c>
      <c r="AF13" s="161">
        <f>IF(K13=1,2,SUM(W13))</f>
        <v>0</v>
      </c>
      <c r="AG13" s="161">
        <v>13</v>
      </c>
      <c r="AH13" s="161" t="e">
        <f>VLOOKUP(AG13,'Matchblatt  FEUILLE DE MATCH'!BD:BE,2,FALSE)</f>
        <v>#N/A</v>
      </c>
      <c r="AI13" s="161" t="str">
        <f t="shared" si="0"/>
        <v/>
      </c>
      <c r="AJ13" s="161" t="str">
        <f t="shared" si="4"/>
        <v/>
      </c>
      <c r="AK13" s="161">
        <f t="shared" si="1"/>
        <v>0</v>
      </c>
      <c r="AM13" s="161">
        <v>10</v>
      </c>
      <c r="AN13" s="161" t="e">
        <f t="shared" si="6"/>
        <v>#N/A</v>
      </c>
      <c r="AO13" s="351" t="str">
        <f t="shared" si="26"/>
        <v/>
      </c>
      <c r="AP13" s="351" t="s">
        <v>280</v>
      </c>
      <c r="AQ13" s="351"/>
      <c r="AR13" s="351"/>
      <c r="AS13" s="371">
        <f t="shared" si="27"/>
        <v>0</v>
      </c>
      <c r="AT13" s="371">
        <f t="shared" si="28"/>
        <v>0</v>
      </c>
      <c r="AU13" s="371">
        <f t="shared" si="29"/>
        <v>0</v>
      </c>
      <c r="AV13" s="371">
        <f t="shared" si="30"/>
        <v>0</v>
      </c>
      <c r="AW13" s="371">
        <f t="shared" si="31"/>
        <v>0</v>
      </c>
      <c r="AX13" s="371" t="str">
        <f t="shared" si="32"/>
        <v/>
      </c>
      <c r="AY13" s="371">
        <f t="shared" si="33"/>
        <v>0</v>
      </c>
      <c r="AZ13" s="371">
        <f t="shared" si="34"/>
        <v>0</v>
      </c>
      <c r="BA13" s="351">
        <f t="shared" si="35"/>
        <v>0</v>
      </c>
      <c r="BB13" s="351">
        <f t="shared" si="36"/>
        <v>0</v>
      </c>
      <c r="BC13" s="351">
        <f t="shared" si="37"/>
        <v>0</v>
      </c>
      <c r="BD13" s="351">
        <f t="shared" si="38"/>
        <v>0</v>
      </c>
      <c r="BE13" s="351">
        <f t="shared" si="39"/>
        <v>0</v>
      </c>
      <c r="BF13" s="351" t="str">
        <f t="shared" si="40"/>
        <v/>
      </c>
      <c r="BG13" s="351">
        <f t="shared" si="41"/>
        <v>0</v>
      </c>
      <c r="BH13" s="351">
        <f t="shared" si="42"/>
        <v>0</v>
      </c>
      <c r="BI13" s="371">
        <f t="shared" si="43"/>
        <v>0</v>
      </c>
      <c r="BJ13" s="371">
        <f t="shared" si="44"/>
        <v>0</v>
      </c>
      <c r="BK13" s="371">
        <f t="shared" si="45"/>
        <v>0</v>
      </c>
      <c r="BL13" s="371">
        <f t="shared" si="46"/>
        <v>0</v>
      </c>
      <c r="BM13" s="371">
        <f t="shared" si="47"/>
        <v>0</v>
      </c>
      <c r="BN13" s="371" t="str">
        <f t="shared" si="48"/>
        <v/>
      </c>
      <c r="BO13" s="371">
        <f t="shared" si="49"/>
        <v>0</v>
      </c>
      <c r="BP13" s="371">
        <f t="shared" si="50"/>
        <v>0</v>
      </c>
      <c r="BQ13" s="351" t="str">
        <f t="shared" si="51"/>
        <v/>
      </c>
      <c r="BR13" s="351">
        <f t="shared" si="52"/>
        <v>0</v>
      </c>
      <c r="BS13" s="351" t="str">
        <f t="shared" si="53"/>
        <v/>
      </c>
      <c r="BT13" s="351" t="str">
        <f t="shared" si="54"/>
        <v/>
      </c>
      <c r="BU13" s="351" t="str">
        <f t="shared" si="55"/>
        <v/>
      </c>
      <c r="BV13" s="351">
        <f t="shared" si="56"/>
        <v>0</v>
      </c>
      <c r="BW13" s="351">
        <f t="shared" si="57"/>
        <v>0</v>
      </c>
      <c r="BX13" s="351">
        <f t="shared" si="58"/>
        <v>0</v>
      </c>
      <c r="BY13" s="351">
        <f t="shared" si="59"/>
        <v>0</v>
      </c>
      <c r="BZ13" s="351">
        <f t="shared" si="60"/>
        <v>0</v>
      </c>
      <c r="CA13" s="351">
        <f t="shared" si="61"/>
        <v>0</v>
      </c>
      <c r="CB13" s="351">
        <f t="shared" si="62"/>
        <v>0</v>
      </c>
      <c r="CC13" s="351">
        <f t="shared" si="63"/>
        <v>0</v>
      </c>
      <c r="CD13" s="351">
        <f t="shared" si="64"/>
        <v>0</v>
      </c>
      <c r="CE13" s="351">
        <f t="shared" si="65"/>
        <v>0</v>
      </c>
      <c r="CF13" s="161" t="str">
        <f t="shared" si="66"/>
        <v/>
      </c>
      <c r="CG13" s="351">
        <f t="shared" si="67"/>
        <v>0</v>
      </c>
      <c r="CH13" s="161" t="str">
        <f t="shared" si="68"/>
        <v/>
      </c>
      <c r="CI13" s="161" t="str">
        <f t="shared" si="7"/>
        <v/>
      </c>
      <c r="CJ13" s="351">
        <f t="shared" si="8"/>
        <v>0</v>
      </c>
      <c r="CK13" s="161" t="str">
        <f t="shared" si="69"/>
        <v/>
      </c>
      <c r="CL13" s="161" t="str">
        <f t="shared" si="9"/>
        <v/>
      </c>
      <c r="CM13" s="351">
        <f t="shared" si="10"/>
        <v>0</v>
      </c>
      <c r="CN13" s="161" t="str">
        <f t="shared" si="70"/>
        <v/>
      </c>
      <c r="CO13" s="161" t="str">
        <f t="shared" si="11"/>
        <v/>
      </c>
      <c r="CP13" s="161">
        <f t="shared" si="71"/>
        <v>0</v>
      </c>
      <c r="CQ13" s="161">
        <v>0.1</v>
      </c>
      <c r="CR13" s="351" t="str">
        <f t="shared" si="72"/>
        <v/>
      </c>
      <c r="CS13" s="351" t="str">
        <f t="shared" si="73"/>
        <v/>
      </c>
      <c r="CT13" s="161" t="str">
        <f t="shared" si="12"/>
        <v/>
      </c>
      <c r="CU13" s="161" t="str">
        <f t="shared" si="74"/>
        <v/>
      </c>
      <c r="CV13" s="161" t="str">
        <f t="shared" si="75"/>
        <v/>
      </c>
      <c r="CW13" s="161" t="str">
        <f t="shared" si="76"/>
        <v/>
      </c>
      <c r="CX13" s="351" t="str">
        <f t="shared" si="77"/>
        <v/>
      </c>
      <c r="CY13" s="161" t="str">
        <f t="shared" si="13"/>
        <v>1.1</v>
      </c>
      <c r="CZ13" s="351" t="str">
        <f t="shared" si="78"/>
        <v/>
      </c>
      <c r="DA13" s="161">
        <f t="shared" si="14"/>
        <v>0</v>
      </c>
      <c r="DB13" s="161" t="str">
        <f t="shared" si="15"/>
        <v>2.1</v>
      </c>
      <c r="DC13" s="351" t="str">
        <f t="shared" si="79"/>
        <v/>
      </c>
      <c r="DD13" s="161">
        <f t="shared" si="16"/>
        <v>0</v>
      </c>
      <c r="DE13" s="161" t="str">
        <f t="shared" si="17"/>
        <v>3.1</v>
      </c>
      <c r="DF13" s="161">
        <f t="shared" si="80"/>
        <v>0</v>
      </c>
      <c r="DG13" s="161">
        <v>0.01</v>
      </c>
      <c r="DH13" s="351" t="str">
        <f t="shared" si="81"/>
        <v/>
      </c>
      <c r="DI13" s="351" t="str">
        <f t="shared" si="82"/>
        <v>2.1</v>
      </c>
      <c r="DJ13" s="161" t="str">
        <f t="shared" si="83"/>
        <v/>
      </c>
      <c r="DK13" s="161">
        <f t="shared" si="84"/>
        <v>0</v>
      </c>
      <c r="DL13" s="161">
        <f t="shared" si="85"/>
        <v>0</v>
      </c>
      <c r="DM13" s="161">
        <f t="shared" si="86"/>
        <v>0</v>
      </c>
      <c r="DN13" s="161">
        <v>13</v>
      </c>
      <c r="DO13" s="161" t="e">
        <f>VLOOKUP(DN13,'Matchblatt  FEUILLE DE MATCH'!BF:BG,2,FALSE)</f>
        <v>#N/A</v>
      </c>
      <c r="DP13" s="161" t="str">
        <f t="shared" si="2"/>
        <v/>
      </c>
      <c r="DQ13" s="161" t="str">
        <f t="shared" si="5"/>
        <v/>
      </c>
      <c r="DR13" s="161">
        <f t="shared" si="3"/>
        <v>0</v>
      </c>
      <c r="DT13" s="161">
        <v>10</v>
      </c>
      <c r="DU13" s="161" t="e">
        <f t="shared" si="18"/>
        <v>#N/A</v>
      </c>
      <c r="DV13" s="351" t="str">
        <f t="shared" si="87"/>
        <v/>
      </c>
      <c r="DW13" s="351" t="s">
        <v>280</v>
      </c>
      <c r="DX13" s="351"/>
      <c r="DY13" s="351"/>
      <c r="DZ13" s="371">
        <f t="shared" si="88"/>
        <v>0</v>
      </c>
      <c r="EA13" s="371">
        <f t="shared" si="89"/>
        <v>0</v>
      </c>
      <c r="EB13" s="371">
        <f t="shared" si="90"/>
        <v>0</v>
      </c>
      <c r="EC13" s="371">
        <f t="shared" si="91"/>
        <v>0</v>
      </c>
      <c r="ED13" s="371">
        <f t="shared" si="92"/>
        <v>0</v>
      </c>
      <c r="EE13" s="371" t="str">
        <f t="shared" si="93"/>
        <v/>
      </c>
      <c r="EF13" s="371">
        <f t="shared" si="94"/>
        <v>0</v>
      </c>
      <c r="EG13" s="371">
        <f t="shared" si="95"/>
        <v>0</v>
      </c>
      <c r="EH13" s="351">
        <f t="shared" si="96"/>
        <v>0</v>
      </c>
      <c r="EI13" s="351">
        <f t="shared" si="97"/>
        <v>0</v>
      </c>
      <c r="EJ13" s="351">
        <f t="shared" si="98"/>
        <v>0</v>
      </c>
      <c r="EK13" s="351">
        <f t="shared" si="99"/>
        <v>0</v>
      </c>
      <c r="EL13" s="351">
        <f t="shared" si="100"/>
        <v>0</v>
      </c>
      <c r="EM13" s="351" t="str">
        <f t="shared" si="101"/>
        <v/>
      </c>
      <c r="EN13" s="351">
        <f t="shared" si="102"/>
        <v>0</v>
      </c>
      <c r="EO13" s="351">
        <f t="shared" si="103"/>
        <v>0</v>
      </c>
      <c r="EP13" s="371">
        <f t="shared" si="104"/>
        <v>0</v>
      </c>
      <c r="EQ13" s="371">
        <f t="shared" si="105"/>
        <v>0</v>
      </c>
      <c r="ER13" s="371">
        <f t="shared" si="106"/>
        <v>0</v>
      </c>
      <c r="ES13" s="371">
        <f t="shared" si="107"/>
        <v>0</v>
      </c>
      <c r="ET13" s="371">
        <f t="shared" si="108"/>
        <v>0</v>
      </c>
      <c r="EU13" s="371" t="str">
        <f t="shared" si="109"/>
        <v/>
      </c>
      <c r="EV13" s="371">
        <f t="shared" si="110"/>
        <v>0</v>
      </c>
      <c r="EW13" s="371">
        <f t="shared" si="111"/>
        <v>0</v>
      </c>
      <c r="EX13" s="351" t="str">
        <f t="shared" si="112"/>
        <v/>
      </c>
      <c r="EY13" s="351">
        <f t="shared" si="113"/>
        <v>0</v>
      </c>
      <c r="EZ13" s="351" t="str">
        <f t="shared" si="114"/>
        <v/>
      </c>
      <c r="FA13" s="351" t="str">
        <f t="shared" si="115"/>
        <v/>
      </c>
      <c r="FB13" s="351" t="str">
        <f t="shared" si="116"/>
        <v/>
      </c>
      <c r="FC13" s="351">
        <f t="shared" si="117"/>
        <v>0</v>
      </c>
      <c r="FD13" s="351">
        <f t="shared" si="118"/>
        <v>0</v>
      </c>
      <c r="FE13" s="351">
        <f t="shared" si="119"/>
        <v>0</v>
      </c>
      <c r="FF13" s="351">
        <f t="shared" si="120"/>
        <v>0</v>
      </c>
      <c r="FG13" s="351">
        <f t="shared" si="121"/>
        <v>0</v>
      </c>
      <c r="FH13" s="351">
        <f t="shared" si="122"/>
        <v>0</v>
      </c>
      <c r="FI13" s="351">
        <f t="shared" si="123"/>
        <v>0</v>
      </c>
      <c r="FJ13" s="351">
        <f t="shared" si="124"/>
        <v>0</v>
      </c>
      <c r="FK13" s="351">
        <f t="shared" si="125"/>
        <v>0</v>
      </c>
      <c r="FL13" s="351">
        <f t="shared" si="126"/>
        <v>0</v>
      </c>
      <c r="FM13" s="161" t="str">
        <f t="shared" si="19"/>
        <v/>
      </c>
      <c r="FN13" s="351">
        <f t="shared" si="127"/>
        <v>0</v>
      </c>
      <c r="FO13" s="161" t="str">
        <f t="shared" si="128"/>
        <v/>
      </c>
      <c r="FP13" s="161" t="str">
        <f t="shared" si="129"/>
        <v/>
      </c>
      <c r="FQ13" s="351">
        <f t="shared" si="130"/>
        <v>0</v>
      </c>
      <c r="FR13" s="161" t="str">
        <f t="shared" si="131"/>
        <v/>
      </c>
      <c r="FS13" s="161" t="str">
        <f t="shared" si="132"/>
        <v/>
      </c>
      <c r="FT13" s="351">
        <f t="shared" si="133"/>
        <v>0</v>
      </c>
      <c r="FU13" s="161" t="str">
        <f t="shared" si="134"/>
        <v/>
      </c>
      <c r="FV13" s="161" t="str">
        <f t="shared" si="135"/>
        <v/>
      </c>
      <c r="FW13" s="161">
        <f t="shared" si="136"/>
        <v>0</v>
      </c>
      <c r="FX13" s="161">
        <v>0.1</v>
      </c>
      <c r="FY13" s="351" t="str">
        <f t="shared" si="20"/>
        <v/>
      </c>
      <c r="FZ13" s="351" t="str">
        <f t="shared" si="21"/>
        <v/>
      </c>
      <c r="GA13" s="161" t="str">
        <f t="shared" si="137"/>
        <v/>
      </c>
      <c r="GB13" s="161" t="str">
        <f t="shared" si="22"/>
        <v/>
      </c>
      <c r="GC13" s="161" t="str">
        <f t="shared" si="23"/>
        <v/>
      </c>
      <c r="GD13" s="161" t="str">
        <f t="shared" si="138"/>
        <v/>
      </c>
      <c r="GE13" s="351" t="str">
        <f t="shared" si="139"/>
        <v/>
      </c>
      <c r="GF13" s="161" t="str">
        <f t="shared" si="140"/>
        <v>1.1</v>
      </c>
      <c r="GG13" s="351" t="str">
        <f t="shared" si="141"/>
        <v/>
      </c>
      <c r="GH13" s="161">
        <f t="shared" si="24"/>
        <v>0</v>
      </c>
      <c r="GI13" s="161" t="str">
        <f t="shared" si="142"/>
        <v>2.1</v>
      </c>
      <c r="GJ13" s="351" t="str">
        <f t="shared" si="143"/>
        <v/>
      </c>
      <c r="GK13" s="161">
        <f t="shared" si="25"/>
        <v>0</v>
      </c>
      <c r="GL13" s="161" t="str">
        <f t="shared" si="144"/>
        <v>3.1</v>
      </c>
      <c r="GM13" s="161">
        <f t="shared" si="145"/>
        <v>0</v>
      </c>
      <c r="GN13" s="161">
        <v>0.01</v>
      </c>
      <c r="GO13" s="351" t="str">
        <f t="shared" si="146"/>
        <v/>
      </c>
      <c r="GP13" s="351" t="str">
        <f t="shared" si="147"/>
        <v>2.1</v>
      </c>
      <c r="GQ13" s="161" t="str">
        <f t="shared" si="148"/>
        <v/>
      </c>
      <c r="GR13" s="161">
        <f t="shared" si="149"/>
        <v>0</v>
      </c>
      <c r="GS13" s="161">
        <f t="shared" si="150"/>
        <v>0</v>
      </c>
      <c r="GT13" s="161">
        <f t="shared" si="151"/>
        <v>0</v>
      </c>
    </row>
    <row r="14" spans="1:202" ht="15.95" customHeight="1">
      <c r="A14" s="355" t="s">
        <v>1019</v>
      </c>
      <c r="B14" s="355" t="str">
        <f>IF($B$1=1,"","HD 2.2.2")</f>
        <v/>
      </c>
      <c r="C14" s="161" t="str">
        <f>IF(B14="","",VLOOKUP(B14,Average!$GC:$GE,3,FALSE))</f>
        <v/>
      </c>
      <c r="D14" s="161" t="s">
        <v>280</v>
      </c>
      <c r="G14" s="161" t="str">
        <f>IF(B14="","",VLOOKUP(B14,Average!$GC:$HB,26,FALSE))</f>
        <v/>
      </c>
      <c r="H14" s="161" t="str">
        <f>IF(B14="","",VLOOKUP(B14,Average!$GC:$HC,27,FALSE))</f>
        <v/>
      </c>
      <c r="O14" s="355" t="s">
        <v>1020</v>
      </c>
      <c r="P14" s="355" t="str">
        <f>IF($B$1=1,"","GD 2.2.2")</f>
        <v/>
      </c>
      <c r="Q14" s="161" t="str">
        <f>IF(P14="","",VLOOKUP(P14,Average!$GC:$GE,3,FALSE))</f>
        <v/>
      </c>
      <c r="R14" s="161" t="s">
        <v>280</v>
      </c>
      <c r="U14" s="161" t="str">
        <f>IF(P14="","",VLOOKUP(P14,Average!$GC:$HB,26,FALSE))</f>
        <v/>
      </c>
      <c r="V14" s="161" t="str">
        <f>IF(P14="","",VLOOKUP(P14,Average!$GC:$HC,27,FALSE))</f>
        <v/>
      </c>
      <c r="AG14" s="161">
        <v>14</v>
      </c>
      <c r="AH14" s="161" t="e">
        <f>VLOOKUP(AG14,'Matchblatt  FEUILLE DE MATCH'!BD:BE,2,FALSE)</f>
        <v>#N/A</v>
      </c>
      <c r="AI14" s="161" t="str">
        <f t="shared" si="0"/>
        <v/>
      </c>
      <c r="AJ14" s="161" t="str">
        <f t="shared" si="4"/>
        <v/>
      </c>
      <c r="AK14" s="161">
        <f t="shared" si="1"/>
        <v>0</v>
      </c>
      <c r="AM14" s="161">
        <v>11</v>
      </c>
      <c r="AN14" s="161" t="e">
        <f t="shared" si="6"/>
        <v>#N/A</v>
      </c>
      <c r="AO14" s="351" t="str">
        <f t="shared" si="26"/>
        <v/>
      </c>
      <c r="AP14" s="351" t="s">
        <v>280</v>
      </c>
      <c r="AQ14" s="351"/>
      <c r="AR14" s="351"/>
      <c r="AS14" s="371">
        <f t="shared" si="27"/>
        <v>0</v>
      </c>
      <c r="AT14" s="371">
        <f t="shared" si="28"/>
        <v>0</v>
      </c>
      <c r="AU14" s="371">
        <f t="shared" si="29"/>
        <v>0</v>
      </c>
      <c r="AV14" s="371">
        <f t="shared" si="30"/>
        <v>0</v>
      </c>
      <c r="AW14" s="371">
        <f t="shared" si="31"/>
        <v>0</v>
      </c>
      <c r="AX14" s="371" t="str">
        <f t="shared" si="32"/>
        <v/>
      </c>
      <c r="AY14" s="371">
        <f t="shared" si="33"/>
        <v>0</v>
      </c>
      <c r="AZ14" s="371">
        <f t="shared" si="34"/>
        <v>0</v>
      </c>
      <c r="BA14" s="351">
        <f t="shared" si="35"/>
        <v>0</v>
      </c>
      <c r="BB14" s="351">
        <f t="shared" si="36"/>
        <v>0</v>
      </c>
      <c r="BC14" s="351">
        <f t="shared" si="37"/>
        <v>0</v>
      </c>
      <c r="BD14" s="351">
        <f t="shared" si="38"/>
        <v>0</v>
      </c>
      <c r="BE14" s="351">
        <f t="shared" si="39"/>
        <v>0</v>
      </c>
      <c r="BF14" s="351" t="str">
        <f t="shared" si="40"/>
        <v/>
      </c>
      <c r="BG14" s="351">
        <f t="shared" si="41"/>
        <v>0</v>
      </c>
      <c r="BH14" s="351">
        <f t="shared" si="42"/>
        <v>0</v>
      </c>
      <c r="BI14" s="371">
        <f t="shared" si="43"/>
        <v>0</v>
      </c>
      <c r="BJ14" s="371">
        <f t="shared" si="44"/>
        <v>0</v>
      </c>
      <c r="BK14" s="371">
        <f t="shared" si="45"/>
        <v>0</v>
      </c>
      <c r="BL14" s="371">
        <f t="shared" si="46"/>
        <v>0</v>
      </c>
      <c r="BM14" s="371">
        <f t="shared" si="47"/>
        <v>0</v>
      </c>
      <c r="BN14" s="371" t="str">
        <f t="shared" si="48"/>
        <v/>
      </c>
      <c r="BO14" s="371">
        <f t="shared" si="49"/>
        <v>0</v>
      </c>
      <c r="BP14" s="371">
        <f t="shared" si="50"/>
        <v>0</v>
      </c>
      <c r="BQ14" s="351" t="str">
        <f t="shared" si="51"/>
        <v/>
      </c>
      <c r="BR14" s="351">
        <f t="shared" si="52"/>
        <v>0</v>
      </c>
      <c r="BS14" s="351" t="str">
        <f t="shared" si="53"/>
        <v/>
      </c>
      <c r="BT14" s="351" t="str">
        <f t="shared" si="54"/>
        <v/>
      </c>
      <c r="BU14" s="351" t="str">
        <f t="shared" si="55"/>
        <v/>
      </c>
      <c r="BV14" s="351">
        <f t="shared" si="56"/>
        <v>0</v>
      </c>
      <c r="BW14" s="351">
        <f t="shared" si="57"/>
        <v>0</v>
      </c>
      <c r="BX14" s="351">
        <f t="shared" si="58"/>
        <v>0</v>
      </c>
      <c r="BY14" s="351">
        <f t="shared" si="59"/>
        <v>0</v>
      </c>
      <c r="BZ14" s="351">
        <f t="shared" si="60"/>
        <v>0</v>
      </c>
      <c r="CA14" s="351">
        <f t="shared" si="61"/>
        <v>0</v>
      </c>
      <c r="CB14" s="351">
        <f t="shared" si="62"/>
        <v>0</v>
      </c>
      <c r="CC14" s="351">
        <f t="shared" si="63"/>
        <v>0</v>
      </c>
      <c r="CD14" s="351">
        <f t="shared" si="64"/>
        <v>0</v>
      </c>
      <c r="CE14" s="351">
        <f t="shared" si="65"/>
        <v>0</v>
      </c>
      <c r="CF14" s="161" t="str">
        <f t="shared" si="66"/>
        <v/>
      </c>
      <c r="CG14" s="351">
        <f t="shared" si="67"/>
        <v>0</v>
      </c>
      <c r="CH14" s="161" t="str">
        <f t="shared" si="68"/>
        <v/>
      </c>
      <c r="CI14" s="161" t="str">
        <f t="shared" si="7"/>
        <v/>
      </c>
      <c r="CJ14" s="351">
        <f t="shared" si="8"/>
        <v>0</v>
      </c>
      <c r="CK14" s="161" t="str">
        <f t="shared" si="69"/>
        <v/>
      </c>
      <c r="CL14" s="161" t="str">
        <f t="shared" si="9"/>
        <v/>
      </c>
      <c r="CM14" s="351">
        <f t="shared" si="10"/>
        <v>0</v>
      </c>
      <c r="CN14" s="161" t="str">
        <f t="shared" si="70"/>
        <v/>
      </c>
      <c r="CO14" s="161" t="str">
        <f t="shared" si="11"/>
        <v/>
      </c>
      <c r="CP14" s="161">
        <f t="shared" si="71"/>
        <v>0</v>
      </c>
      <c r="CQ14" s="161">
        <v>0.11</v>
      </c>
      <c r="CR14" s="351" t="str">
        <f t="shared" si="72"/>
        <v/>
      </c>
      <c r="CS14" s="351" t="str">
        <f t="shared" si="73"/>
        <v/>
      </c>
      <c r="CT14" s="161" t="str">
        <f t="shared" si="12"/>
        <v/>
      </c>
      <c r="CU14" s="161" t="str">
        <f t="shared" si="74"/>
        <v/>
      </c>
      <c r="CV14" s="161" t="str">
        <f t="shared" si="75"/>
        <v/>
      </c>
      <c r="CW14" s="161" t="str">
        <f t="shared" si="76"/>
        <v/>
      </c>
      <c r="CX14" s="351" t="str">
        <f t="shared" si="77"/>
        <v/>
      </c>
      <c r="CY14" s="161" t="str">
        <f t="shared" si="13"/>
        <v>1.1</v>
      </c>
      <c r="CZ14" s="351" t="str">
        <f t="shared" si="78"/>
        <v/>
      </c>
      <c r="DA14" s="161">
        <f t="shared" si="14"/>
        <v>0</v>
      </c>
      <c r="DB14" s="161" t="str">
        <f t="shared" si="15"/>
        <v>2.1</v>
      </c>
      <c r="DC14" s="351" t="str">
        <f t="shared" si="79"/>
        <v/>
      </c>
      <c r="DD14" s="161">
        <f t="shared" si="16"/>
        <v>0</v>
      </c>
      <c r="DE14" s="161" t="str">
        <f t="shared" si="17"/>
        <v>3.1</v>
      </c>
      <c r="DF14" s="161">
        <f t="shared" si="80"/>
        <v>0</v>
      </c>
      <c r="DG14" s="161">
        <v>1.0999999999999999E-2</v>
      </c>
      <c r="DH14" s="351" t="str">
        <f t="shared" si="81"/>
        <v/>
      </c>
      <c r="DI14" s="351" t="str">
        <f t="shared" si="82"/>
        <v>2.1</v>
      </c>
      <c r="DJ14" s="161" t="str">
        <f t="shared" si="83"/>
        <v/>
      </c>
      <c r="DK14" s="161">
        <f t="shared" si="84"/>
        <v>0</v>
      </c>
      <c r="DL14" s="161">
        <f t="shared" si="85"/>
        <v>0</v>
      </c>
      <c r="DM14" s="161">
        <f t="shared" si="86"/>
        <v>0</v>
      </c>
      <c r="DN14" s="161">
        <v>14</v>
      </c>
      <c r="DO14" s="161" t="e">
        <f>VLOOKUP(DN14,'Matchblatt  FEUILLE DE MATCH'!BF:BG,2,FALSE)</f>
        <v>#N/A</v>
      </c>
      <c r="DP14" s="161" t="str">
        <f t="shared" si="2"/>
        <v/>
      </c>
      <c r="DQ14" s="161" t="str">
        <f t="shared" si="5"/>
        <v/>
      </c>
      <c r="DR14" s="161">
        <f t="shared" si="3"/>
        <v>0</v>
      </c>
      <c r="DT14" s="161">
        <v>11</v>
      </c>
      <c r="DU14" s="161" t="e">
        <f t="shared" si="18"/>
        <v>#N/A</v>
      </c>
      <c r="DV14" s="351" t="str">
        <f t="shared" si="87"/>
        <v/>
      </c>
      <c r="DW14" s="351" t="s">
        <v>280</v>
      </c>
      <c r="DX14" s="351"/>
      <c r="DY14" s="351"/>
      <c r="DZ14" s="371">
        <f t="shared" si="88"/>
        <v>0</v>
      </c>
      <c r="EA14" s="371">
        <f t="shared" si="89"/>
        <v>0</v>
      </c>
      <c r="EB14" s="371">
        <f t="shared" si="90"/>
        <v>0</v>
      </c>
      <c r="EC14" s="371">
        <f t="shared" si="91"/>
        <v>0</v>
      </c>
      <c r="ED14" s="371">
        <f t="shared" si="92"/>
        <v>0</v>
      </c>
      <c r="EE14" s="371" t="str">
        <f t="shared" si="93"/>
        <v/>
      </c>
      <c r="EF14" s="371">
        <f t="shared" si="94"/>
        <v>0</v>
      </c>
      <c r="EG14" s="371">
        <f t="shared" si="95"/>
        <v>0</v>
      </c>
      <c r="EH14" s="351">
        <f t="shared" si="96"/>
        <v>0</v>
      </c>
      <c r="EI14" s="351">
        <f t="shared" si="97"/>
        <v>0</v>
      </c>
      <c r="EJ14" s="351">
        <f t="shared" si="98"/>
        <v>0</v>
      </c>
      <c r="EK14" s="351">
        <f t="shared" si="99"/>
        <v>0</v>
      </c>
      <c r="EL14" s="351">
        <f t="shared" si="100"/>
        <v>0</v>
      </c>
      <c r="EM14" s="351" t="str">
        <f t="shared" si="101"/>
        <v/>
      </c>
      <c r="EN14" s="351">
        <f t="shared" si="102"/>
        <v>0</v>
      </c>
      <c r="EO14" s="351">
        <f t="shared" si="103"/>
        <v>0</v>
      </c>
      <c r="EP14" s="371">
        <f t="shared" si="104"/>
        <v>0</v>
      </c>
      <c r="EQ14" s="371">
        <f t="shared" si="105"/>
        <v>0</v>
      </c>
      <c r="ER14" s="371">
        <f t="shared" si="106"/>
        <v>0</v>
      </c>
      <c r="ES14" s="371">
        <f t="shared" si="107"/>
        <v>0</v>
      </c>
      <c r="ET14" s="371">
        <f t="shared" si="108"/>
        <v>0</v>
      </c>
      <c r="EU14" s="371" t="str">
        <f t="shared" si="109"/>
        <v/>
      </c>
      <c r="EV14" s="371">
        <f t="shared" si="110"/>
        <v>0</v>
      </c>
      <c r="EW14" s="371">
        <f t="shared" si="111"/>
        <v>0</v>
      </c>
      <c r="EX14" s="351" t="str">
        <f t="shared" si="112"/>
        <v/>
      </c>
      <c r="EY14" s="351">
        <f t="shared" si="113"/>
        <v>0</v>
      </c>
      <c r="EZ14" s="351" t="str">
        <f t="shared" si="114"/>
        <v/>
      </c>
      <c r="FA14" s="351" t="str">
        <f t="shared" si="115"/>
        <v/>
      </c>
      <c r="FB14" s="351" t="str">
        <f t="shared" si="116"/>
        <v/>
      </c>
      <c r="FC14" s="351">
        <f t="shared" si="117"/>
        <v>0</v>
      </c>
      <c r="FD14" s="351">
        <f t="shared" si="118"/>
        <v>0</v>
      </c>
      <c r="FE14" s="351">
        <f t="shared" si="119"/>
        <v>0</v>
      </c>
      <c r="FF14" s="351">
        <f t="shared" si="120"/>
        <v>0</v>
      </c>
      <c r="FG14" s="351">
        <f t="shared" si="121"/>
        <v>0</v>
      </c>
      <c r="FH14" s="351">
        <f t="shared" si="122"/>
        <v>0</v>
      </c>
      <c r="FI14" s="351">
        <f t="shared" si="123"/>
        <v>0</v>
      </c>
      <c r="FJ14" s="351">
        <f t="shared" si="124"/>
        <v>0</v>
      </c>
      <c r="FK14" s="351">
        <f t="shared" si="125"/>
        <v>0</v>
      </c>
      <c r="FL14" s="351">
        <f t="shared" si="126"/>
        <v>0</v>
      </c>
      <c r="FM14" s="161" t="str">
        <f t="shared" si="19"/>
        <v/>
      </c>
      <c r="FN14" s="351">
        <f t="shared" si="127"/>
        <v>0</v>
      </c>
      <c r="FO14" s="161" t="str">
        <f t="shared" si="128"/>
        <v/>
      </c>
      <c r="FP14" s="161" t="str">
        <f t="shared" si="129"/>
        <v/>
      </c>
      <c r="FQ14" s="351">
        <f t="shared" si="130"/>
        <v>0</v>
      </c>
      <c r="FR14" s="161" t="str">
        <f t="shared" si="131"/>
        <v/>
      </c>
      <c r="FS14" s="161" t="str">
        <f t="shared" si="132"/>
        <v/>
      </c>
      <c r="FT14" s="351">
        <f t="shared" si="133"/>
        <v>0</v>
      </c>
      <c r="FU14" s="161" t="str">
        <f t="shared" si="134"/>
        <v/>
      </c>
      <c r="FV14" s="161" t="str">
        <f t="shared" si="135"/>
        <v/>
      </c>
      <c r="FW14" s="161">
        <f t="shared" si="136"/>
        <v>0</v>
      </c>
      <c r="FX14" s="161">
        <v>0.11</v>
      </c>
      <c r="FY14" s="351" t="str">
        <f t="shared" si="20"/>
        <v/>
      </c>
      <c r="FZ14" s="351" t="str">
        <f t="shared" si="21"/>
        <v/>
      </c>
      <c r="GA14" s="161" t="str">
        <f t="shared" si="137"/>
        <v/>
      </c>
      <c r="GB14" s="161" t="str">
        <f t="shared" si="22"/>
        <v/>
      </c>
      <c r="GC14" s="161" t="str">
        <f t="shared" si="23"/>
        <v/>
      </c>
      <c r="GD14" s="161" t="str">
        <f t="shared" si="138"/>
        <v/>
      </c>
      <c r="GE14" s="351" t="str">
        <f t="shared" si="139"/>
        <v/>
      </c>
      <c r="GF14" s="161" t="str">
        <f t="shared" si="140"/>
        <v>1.1</v>
      </c>
      <c r="GG14" s="351" t="str">
        <f t="shared" si="141"/>
        <v/>
      </c>
      <c r="GH14" s="161">
        <f t="shared" si="24"/>
        <v>0</v>
      </c>
      <c r="GI14" s="161" t="str">
        <f t="shared" si="142"/>
        <v>2.1</v>
      </c>
      <c r="GJ14" s="351" t="str">
        <f t="shared" si="143"/>
        <v/>
      </c>
      <c r="GK14" s="161">
        <f t="shared" si="25"/>
        <v>0</v>
      </c>
      <c r="GL14" s="161" t="str">
        <f t="shared" si="144"/>
        <v>3.1</v>
      </c>
      <c r="GM14" s="161">
        <f t="shared" si="145"/>
        <v>0</v>
      </c>
      <c r="GN14" s="161">
        <v>1.0999999999999999E-2</v>
      </c>
      <c r="GO14" s="351" t="str">
        <f t="shared" si="146"/>
        <v/>
      </c>
      <c r="GP14" s="351" t="str">
        <f t="shared" si="147"/>
        <v>2.1</v>
      </c>
      <c r="GQ14" s="161" t="str">
        <f t="shared" si="148"/>
        <v/>
      </c>
      <c r="GR14" s="161">
        <f t="shared" si="149"/>
        <v>0</v>
      </c>
      <c r="GS14" s="161">
        <f t="shared" si="150"/>
        <v>0</v>
      </c>
      <c r="GT14" s="161">
        <f t="shared" si="151"/>
        <v>0</v>
      </c>
    </row>
    <row r="15" spans="1:202" ht="15.95" customHeight="1">
      <c r="A15" s="355" t="s">
        <v>1021</v>
      </c>
      <c r="B15" s="355" t="str">
        <f>IF($B$1=1,"","HD 2.3")</f>
        <v/>
      </c>
      <c r="C15" s="161" t="str">
        <f>IF(B15="","",VLOOKUP(B15,Average!$GC:$GE,3,FALSE))</f>
        <v/>
      </c>
      <c r="D15" s="161" t="s">
        <v>280</v>
      </c>
      <c r="E15" s="161" t="str">
        <f>IF(B15="","",VLOOKUP(B15,Average!$GC:$HA,24,FALSE))</f>
        <v/>
      </c>
      <c r="F15" s="161" t="str">
        <f>IF(B15="","",VLOOKUP(B15,Average!$GC:$HA,25,FALSE))</f>
        <v/>
      </c>
      <c r="G15" s="161" t="str">
        <f>IF(B15="","",VLOOKUP(B15,Average!$GC:$HB,26,FALSE))</f>
        <v/>
      </c>
      <c r="H15" s="161" t="str">
        <f>IF(B15="","",VLOOKUP(B15,Average!$GC:$HC,27,FALSE))</f>
        <v/>
      </c>
      <c r="I15" s="161" t="str">
        <f>IF(B15="","",VLOOKUP(B15,Average!$GC:$HH,32,FALSE))</f>
        <v/>
      </c>
      <c r="K15" s="161">
        <f>IF(P15="",0,VLOOKUP(P15,Average!GC:GD,2,FALSE))</f>
        <v>0</v>
      </c>
      <c r="O15" s="355" t="s">
        <v>1021</v>
      </c>
      <c r="P15" s="355" t="str">
        <f>IF($B$1=1,"","GD 2.3")</f>
        <v/>
      </c>
      <c r="Q15" s="161" t="str">
        <f>IF(P15="","",VLOOKUP(P15,Average!$GC:$GE,3,FALSE))</f>
        <v/>
      </c>
      <c r="R15" s="161" t="s">
        <v>280</v>
      </c>
      <c r="S15" s="161" t="str">
        <f>IF(P15="","",VLOOKUP(P15,Average!$GC:$HA,24,FALSE))</f>
        <v/>
      </c>
      <c r="T15" s="161" t="str">
        <f>IF(P15="","",VLOOKUP(P15,Average!$GC:$HA,25,FALSE))</f>
        <v/>
      </c>
      <c r="U15" s="161" t="str">
        <f>IF(P15="","",VLOOKUP(P15,Average!$GC:$HB,26,FALSE))</f>
        <v/>
      </c>
      <c r="V15" s="161" t="str">
        <f>IF(P15="","",VLOOKUP(P15,Average!$GC:$HC,27,FALSE))</f>
        <v/>
      </c>
      <c r="W15" s="161" t="str">
        <f>IF(P15="","",VLOOKUP(P15,Average!$GC:$HH,32,FALSE))</f>
        <v/>
      </c>
      <c r="Y15" s="161">
        <f>IF(B15="",0,VLOOKUP(B15,Average!GC:GD,2,FALSE))</f>
        <v>0</v>
      </c>
      <c r="AC15" s="161">
        <f>IF(K15=1,1,IF(I15=2,1,0))</f>
        <v>0</v>
      </c>
      <c r="AD15" s="161">
        <f>IF(Y15=1,1,IF(W15=2,1,0))</f>
        <v>0</v>
      </c>
      <c r="AE15" s="161">
        <f>IF(Y15=1,2,SUM(I15))</f>
        <v>0</v>
      </c>
      <c r="AF15" s="161">
        <f>IF(K15=1,2,SUM(W15))</f>
        <v>0</v>
      </c>
      <c r="AG15" s="161">
        <v>15</v>
      </c>
      <c r="AH15" s="161" t="e">
        <f>VLOOKUP(AG15,'Matchblatt  FEUILLE DE MATCH'!BD:BE,2,FALSE)</f>
        <v>#N/A</v>
      </c>
      <c r="AI15" s="161" t="str">
        <f t="shared" si="0"/>
        <v/>
      </c>
      <c r="AJ15" s="161" t="str">
        <f t="shared" si="4"/>
        <v/>
      </c>
      <c r="AK15" s="161">
        <f t="shared" si="1"/>
        <v>0</v>
      </c>
      <c r="AM15" s="161">
        <v>12</v>
      </c>
      <c r="AN15" s="161" t="e">
        <f t="shared" si="6"/>
        <v>#N/A</v>
      </c>
      <c r="AO15" s="351" t="str">
        <f t="shared" si="26"/>
        <v/>
      </c>
      <c r="AP15" s="351" t="s">
        <v>280</v>
      </c>
      <c r="AQ15" s="351"/>
      <c r="AR15" s="351"/>
      <c r="AS15" s="371">
        <f t="shared" si="27"/>
        <v>0</v>
      </c>
      <c r="AT15" s="371">
        <f t="shared" si="28"/>
        <v>0</v>
      </c>
      <c r="AU15" s="371">
        <f t="shared" si="29"/>
        <v>0</v>
      </c>
      <c r="AV15" s="371">
        <f t="shared" si="30"/>
        <v>0</v>
      </c>
      <c r="AW15" s="371">
        <f t="shared" si="31"/>
        <v>0</v>
      </c>
      <c r="AX15" s="371" t="str">
        <f t="shared" si="32"/>
        <v/>
      </c>
      <c r="AY15" s="371">
        <f t="shared" si="33"/>
        <v>0</v>
      </c>
      <c r="AZ15" s="371">
        <f t="shared" si="34"/>
        <v>0</v>
      </c>
      <c r="BA15" s="351">
        <f t="shared" si="35"/>
        <v>0</v>
      </c>
      <c r="BB15" s="351">
        <f t="shared" si="36"/>
        <v>0</v>
      </c>
      <c r="BC15" s="351">
        <f t="shared" si="37"/>
        <v>0</v>
      </c>
      <c r="BD15" s="351">
        <f t="shared" si="38"/>
        <v>0</v>
      </c>
      <c r="BE15" s="351">
        <f t="shared" si="39"/>
        <v>0</v>
      </c>
      <c r="BF15" s="351" t="str">
        <f t="shared" si="40"/>
        <v/>
      </c>
      <c r="BG15" s="351">
        <f t="shared" si="41"/>
        <v>0</v>
      </c>
      <c r="BH15" s="351">
        <f t="shared" si="42"/>
        <v>0</v>
      </c>
      <c r="BI15" s="371">
        <f t="shared" si="43"/>
        <v>0</v>
      </c>
      <c r="BJ15" s="371">
        <f t="shared" si="44"/>
        <v>0</v>
      </c>
      <c r="BK15" s="371">
        <f t="shared" si="45"/>
        <v>0</v>
      </c>
      <c r="BL15" s="371">
        <f t="shared" si="46"/>
        <v>0</v>
      </c>
      <c r="BM15" s="371">
        <f t="shared" si="47"/>
        <v>0</v>
      </c>
      <c r="BN15" s="371" t="str">
        <f t="shared" si="48"/>
        <v/>
      </c>
      <c r="BO15" s="371">
        <f t="shared" si="49"/>
        <v>0</v>
      </c>
      <c r="BP15" s="371">
        <f t="shared" si="50"/>
        <v>0</v>
      </c>
      <c r="BQ15" s="351" t="str">
        <f t="shared" si="51"/>
        <v/>
      </c>
      <c r="BR15" s="351">
        <f t="shared" si="52"/>
        <v>0</v>
      </c>
      <c r="BS15" s="351" t="str">
        <f t="shared" si="53"/>
        <v/>
      </c>
      <c r="BT15" s="351" t="str">
        <f t="shared" si="54"/>
        <v/>
      </c>
      <c r="BU15" s="351" t="str">
        <f t="shared" si="55"/>
        <v/>
      </c>
      <c r="BV15" s="351">
        <f t="shared" si="56"/>
        <v>0</v>
      </c>
      <c r="BW15" s="351">
        <f t="shared" si="57"/>
        <v>0</v>
      </c>
      <c r="BX15" s="351">
        <f t="shared" si="58"/>
        <v>0</v>
      </c>
      <c r="BY15" s="351">
        <f t="shared" si="59"/>
        <v>0</v>
      </c>
      <c r="BZ15" s="351">
        <f t="shared" si="60"/>
        <v>0</v>
      </c>
      <c r="CA15" s="351">
        <f t="shared" si="61"/>
        <v>0</v>
      </c>
      <c r="CB15" s="351">
        <f t="shared" si="62"/>
        <v>0</v>
      </c>
      <c r="CC15" s="351">
        <f t="shared" si="63"/>
        <v>0</v>
      </c>
      <c r="CD15" s="351">
        <f t="shared" si="64"/>
        <v>0</v>
      </c>
      <c r="CE15" s="351">
        <f t="shared" si="65"/>
        <v>0</v>
      </c>
      <c r="CF15" s="161" t="str">
        <f t="shared" si="66"/>
        <v/>
      </c>
      <c r="CG15" s="351">
        <f t="shared" si="67"/>
        <v>0</v>
      </c>
      <c r="CH15" s="161" t="str">
        <f t="shared" si="68"/>
        <v/>
      </c>
      <c r="CI15" s="161" t="str">
        <f t="shared" si="7"/>
        <v/>
      </c>
      <c r="CJ15" s="351">
        <f t="shared" si="8"/>
        <v>0</v>
      </c>
      <c r="CK15" s="161" t="str">
        <f t="shared" si="69"/>
        <v/>
      </c>
      <c r="CL15" s="161" t="str">
        <f t="shared" si="9"/>
        <v/>
      </c>
      <c r="CM15" s="351">
        <f t="shared" si="10"/>
        <v>0</v>
      </c>
      <c r="CN15" s="161" t="str">
        <f t="shared" si="70"/>
        <v/>
      </c>
      <c r="CO15" s="161" t="str">
        <f t="shared" si="11"/>
        <v/>
      </c>
      <c r="CP15" s="161">
        <f t="shared" si="71"/>
        <v>0</v>
      </c>
      <c r="CQ15" s="161">
        <v>0.12</v>
      </c>
      <c r="CR15" s="351" t="str">
        <f t="shared" si="72"/>
        <v/>
      </c>
      <c r="CS15" s="351" t="str">
        <f t="shared" si="73"/>
        <v/>
      </c>
      <c r="CT15" s="161" t="str">
        <f t="shared" si="12"/>
        <v/>
      </c>
      <c r="CU15" s="161" t="str">
        <f t="shared" si="74"/>
        <v/>
      </c>
      <c r="CV15" s="161" t="str">
        <f t="shared" si="75"/>
        <v/>
      </c>
      <c r="CW15" s="161" t="str">
        <f t="shared" si="76"/>
        <v/>
      </c>
      <c r="CX15" s="351" t="str">
        <f t="shared" si="77"/>
        <v/>
      </c>
      <c r="CY15" s="161" t="str">
        <f t="shared" si="13"/>
        <v>1.1</v>
      </c>
      <c r="CZ15" s="351" t="str">
        <f t="shared" si="78"/>
        <v/>
      </c>
      <c r="DA15" s="161">
        <f t="shared" si="14"/>
        <v>0</v>
      </c>
      <c r="DB15" s="161" t="str">
        <f t="shared" si="15"/>
        <v>2.1</v>
      </c>
      <c r="DC15" s="351" t="str">
        <f t="shared" si="79"/>
        <v/>
      </c>
      <c r="DD15" s="161">
        <f t="shared" si="16"/>
        <v>0</v>
      </c>
      <c r="DE15" s="161" t="str">
        <f t="shared" si="17"/>
        <v>3.1</v>
      </c>
      <c r="DF15" s="161">
        <f t="shared" si="80"/>
        <v>0</v>
      </c>
      <c r="DG15" s="161">
        <v>1.2E-2</v>
      </c>
      <c r="DH15" s="351" t="str">
        <f t="shared" si="81"/>
        <v/>
      </c>
      <c r="DI15" s="351" t="str">
        <f t="shared" si="82"/>
        <v>2.1</v>
      </c>
      <c r="DJ15" s="161" t="str">
        <f t="shared" si="83"/>
        <v/>
      </c>
      <c r="DK15" s="161">
        <f t="shared" si="84"/>
        <v>0</v>
      </c>
      <c r="DL15" s="161">
        <f t="shared" si="85"/>
        <v>0</v>
      </c>
      <c r="DM15" s="161">
        <f t="shared" si="86"/>
        <v>0</v>
      </c>
      <c r="DN15" s="161">
        <v>15</v>
      </c>
      <c r="DO15" s="161" t="e">
        <f>VLOOKUP(DN15,'Matchblatt  FEUILLE DE MATCH'!BF:BG,2,FALSE)</f>
        <v>#N/A</v>
      </c>
      <c r="DP15" s="161" t="str">
        <f t="shared" si="2"/>
        <v/>
      </c>
      <c r="DQ15" s="161" t="str">
        <f t="shared" si="5"/>
        <v/>
      </c>
      <c r="DR15" s="161">
        <f t="shared" si="3"/>
        <v>0</v>
      </c>
      <c r="DT15" s="161">
        <v>12</v>
      </c>
      <c r="DU15" s="161" t="e">
        <f t="shared" si="18"/>
        <v>#N/A</v>
      </c>
      <c r="DV15" s="351" t="str">
        <f t="shared" si="87"/>
        <v/>
      </c>
      <c r="DW15" s="351" t="s">
        <v>280</v>
      </c>
      <c r="DX15" s="351"/>
      <c r="DY15" s="351"/>
      <c r="DZ15" s="371">
        <f t="shared" si="88"/>
        <v>0</v>
      </c>
      <c r="EA15" s="371">
        <f t="shared" si="89"/>
        <v>0</v>
      </c>
      <c r="EB15" s="371">
        <f t="shared" si="90"/>
        <v>0</v>
      </c>
      <c r="EC15" s="371">
        <f t="shared" si="91"/>
        <v>0</v>
      </c>
      <c r="ED15" s="371">
        <f t="shared" si="92"/>
        <v>0</v>
      </c>
      <c r="EE15" s="371" t="str">
        <f t="shared" si="93"/>
        <v/>
      </c>
      <c r="EF15" s="371">
        <f t="shared" si="94"/>
        <v>0</v>
      </c>
      <c r="EG15" s="371">
        <f t="shared" si="95"/>
        <v>0</v>
      </c>
      <c r="EH15" s="351">
        <f t="shared" si="96"/>
        <v>0</v>
      </c>
      <c r="EI15" s="351">
        <f t="shared" si="97"/>
        <v>0</v>
      </c>
      <c r="EJ15" s="351">
        <f t="shared" si="98"/>
        <v>0</v>
      </c>
      <c r="EK15" s="351">
        <f t="shared" si="99"/>
        <v>0</v>
      </c>
      <c r="EL15" s="351">
        <f t="shared" si="100"/>
        <v>0</v>
      </c>
      <c r="EM15" s="351" t="str">
        <f t="shared" si="101"/>
        <v/>
      </c>
      <c r="EN15" s="351">
        <f t="shared" si="102"/>
        <v>0</v>
      </c>
      <c r="EO15" s="351">
        <f t="shared" si="103"/>
        <v>0</v>
      </c>
      <c r="EP15" s="371">
        <f t="shared" si="104"/>
        <v>0</v>
      </c>
      <c r="EQ15" s="371">
        <f t="shared" si="105"/>
        <v>0</v>
      </c>
      <c r="ER15" s="371">
        <f t="shared" si="106"/>
        <v>0</v>
      </c>
      <c r="ES15" s="371">
        <f t="shared" si="107"/>
        <v>0</v>
      </c>
      <c r="ET15" s="371">
        <f t="shared" si="108"/>
        <v>0</v>
      </c>
      <c r="EU15" s="371" t="str">
        <f t="shared" si="109"/>
        <v/>
      </c>
      <c r="EV15" s="371">
        <f t="shared" si="110"/>
        <v>0</v>
      </c>
      <c r="EW15" s="371">
        <f t="shared" si="111"/>
        <v>0</v>
      </c>
      <c r="EX15" s="351" t="str">
        <f t="shared" si="112"/>
        <v/>
      </c>
      <c r="EY15" s="351">
        <f t="shared" si="113"/>
        <v>0</v>
      </c>
      <c r="EZ15" s="351" t="str">
        <f t="shared" si="114"/>
        <v/>
      </c>
      <c r="FA15" s="351" t="str">
        <f t="shared" si="115"/>
        <v/>
      </c>
      <c r="FB15" s="351" t="str">
        <f t="shared" si="116"/>
        <v/>
      </c>
      <c r="FC15" s="351">
        <f t="shared" si="117"/>
        <v>0</v>
      </c>
      <c r="FD15" s="351">
        <f t="shared" si="118"/>
        <v>0</v>
      </c>
      <c r="FE15" s="351">
        <f t="shared" si="119"/>
        <v>0</v>
      </c>
      <c r="FF15" s="351">
        <f t="shared" si="120"/>
        <v>0</v>
      </c>
      <c r="FG15" s="351">
        <f t="shared" si="121"/>
        <v>0</v>
      </c>
      <c r="FH15" s="351">
        <f t="shared" si="122"/>
        <v>0</v>
      </c>
      <c r="FI15" s="351">
        <f t="shared" si="123"/>
        <v>0</v>
      </c>
      <c r="FJ15" s="351">
        <f t="shared" si="124"/>
        <v>0</v>
      </c>
      <c r="FK15" s="351">
        <f t="shared" si="125"/>
        <v>0</v>
      </c>
      <c r="FL15" s="351">
        <f t="shared" si="126"/>
        <v>0</v>
      </c>
      <c r="FM15" s="161" t="str">
        <f t="shared" si="19"/>
        <v/>
      </c>
      <c r="FN15" s="351">
        <f t="shared" si="127"/>
        <v>0</v>
      </c>
      <c r="FO15" s="161" t="str">
        <f t="shared" si="128"/>
        <v/>
      </c>
      <c r="FP15" s="161" t="str">
        <f t="shared" si="129"/>
        <v/>
      </c>
      <c r="FQ15" s="351">
        <f t="shared" si="130"/>
        <v>0</v>
      </c>
      <c r="FR15" s="161" t="str">
        <f t="shared" si="131"/>
        <v/>
      </c>
      <c r="FS15" s="161" t="str">
        <f t="shared" si="132"/>
        <v/>
      </c>
      <c r="FT15" s="351">
        <f t="shared" si="133"/>
        <v>0</v>
      </c>
      <c r="FU15" s="161" t="str">
        <f t="shared" si="134"/>
        <v/>
      </c>
      <c r="FV15" s="161" t="str">
        <f t="shared" si="135"/>
        <v/>
      </c>
      <c r="FW15" s="161">
        <f t="shared" si="136"/>
        <v>0</v>
      </c>
      <c r="FX15" s="161">
        <v>0.12</v>
      </c>
      <c r="FY15" s="351" t="str">
        <f t="shared" si="20"/>
        <v/>
      </c>
      <c r="FZ15" s="351" t="str">
        <f t="shared" si="21"/>
        <v/>
      </c>
      <c r="GA15" s="161" t="str">
        <f t="shared" si="137"/>
        <v/>
      </c>
      <c r="GB15" s="161" t="str">
        <f t="shared" si="22"/>
        <v/>
      </c>
      <c r="GC15" s="161" t="str">
        <f t="shared" si="23"/>
        <v/>
      </c>
      <c r="GD15" s="161" t="str">
        <f t="shared" si="138"/>
        <v/>
      </c>
      <c r="GE15" s="351" t="str">
        <f t="shared" si="139"/>
        <v/>
      </c>
      <c r="GF15" s="161" t="str">
        <f t="shared" si="140"/>
        <v>1.1</v>
      </c>
      <c r="GG15" s="351" t="str">
        <f t="shared" si="141"/>
        <v/>
      </c>
      <c r="GH15" s="161">
        <f t="shared" si="24"/>
        <v>0</v>
      </c>
      <c r="GI15" s="161" t="str">
        <f t="shared" si="142"/>
        <v>2.1</v>
      </c>
      <c r="GJ15" s="351" t="str">
        <f t="shared" si="143"/>
        <v/>
      </c>
      <c r="GK15" s="161">
        <f t="shared" si="25"/>
        <v>0</v>
      </c>
      <c r="GL15" s="161" t="str">
        <f t="shared" si="144"/>
        <v>3.1</v>
      </c>
      <c r="GM15" s="161">
        <f t="shared" si="145"/>
        <v>0</v>
      </c>
      <c r="GN15" s="161">
        <v>1.2E-2</v>
      </c>
      <c r="GO15" s="351" t="str">
        <f t="shared" si="146"/>
        <v/>
      </c>
      <c r="GP15" s="351" t="str">
        <f t="shared" si="147"/>
        <v>2.1</v>
      </c>
      <c r="GQ15" s="161" t="str">
        <f t="shared" si="148"/>
        <v/>
      </c>
      <c r="GR15" s="161">
        <f t="shared" si="149"/>
        <v>0</v>
      </c>
      <c r="GS15" s="161">
        <f t="shared" si="150"/>
        <v>0</v>
      </c>
      <c r="GT15" s="161">
        <f t="shared" si="151"/>
        <v>0</v>
      </c>
    </row>
    <row r="16" spans="1:202" ht="15.95" customHeight="1">
      <c r="A16" s="355" t="s">
        <v>1022</v>
      </c>
      <c r="B16" s="355" t="str">
        <f>IF($B$1=1,"","HD 2.3.2")</f>
        <v/>
      </c>
      <c r="C16" s="161" t="str">
        <f>IF(B16="","",VLOOKUP(B16,Average!$GC:$GE,3,FALSE))</f>
        <v/>
      </c>
      <c r="D16" s="161" t="s">
        <v>280</v>
      </c>
      <c r="G16" s="161" t="str">
        <f>IF(B16="","",VLOOKUP(B16,Average!$GC:$HB,26,FALSE))</f>
        <v/>
      </c>
      <c r="H16" s="161" t="str">
        <f>IF(B16="","",VLOOKUP(B16,Average!$GC:$HC,27,FALSE))</f>
        <v/>
      </c>
      <c r="O16" s="355" t="s">
        <v>1023</v>
      </c>
      <c r="P16" s="355" t="str">
        <f>IF($B$1=1,"","GD 2.3.2")</f>
        <v/>
      </c>
      <c r="Q16" s="161" t="str">
        <f>IF(P16="","",VLOOKUP(P16,Average!$GC:$GE,3,FALSE))</f>
        <v/>
      </c>
      <c r="R16" s="161" t="s">
        <v>280</v>
      </c>
      <c r="U16" s="161" t="str">
        <f>IF(P16="","",VLOOKUP(P16,Average!$GC:$HB,26,FALSE))</f>
        <v/>
      </c>
      <c r="V16" s="161" t="str">
        <f>IF(P16="","",VLOOKUP(P16,Average!$GC:$HC,27,FALSE))</f>
        <v/>
      </c>
      <c r="AG16" s="354">
        <v>16</v>
      </c>
      <c r="AH16" s="161" t="e">
        <f>VLOOKUP(AG16,'Matchblatt  FEUILLE DE MATCH'!BD:BE,2,FALSE)</f>
        <v>#N/A</v>
      </c>
      <c r="AI16" s="161" t="str">
        <f t="shared" si="0"/>
        <v/>
      </c>
      <c r="AJ16" s="161" t="str">
        <f t="shared" si="4"/>
        <v/>
      </c>
      <c r="AK16" s="161">
        <f t="shared" si="1"/>
        <v>0</v>
      </c>
      <c r="AM16" s="161">
        <v>13</v>
      </c>
      <c r="AN16" s="161" t="e">
        <f t="shared" si="6"/>
        <v>#N/A</v>
      </c>
      <c r="AO16" s="351" t="str">
        <f t="shared" si="26"/>
        <v/>
      </c>
      <c r="AP16" s="351"/>
      <c r="AQ16" s="351"/>
      <c r="AR16" s="351"/>
      <c r="AS16" s="371">
        <f t="shared" si="27"/>
        <v>0</v>
      </c>
      <c r="AT16" s="371">
        <f t="shared" si="28"/>
        <v>0</v>
      </c>
      <c r="AU16" s="371">
        <f t="shared" si="29"/>
        <v>0</v>
      </c>
      <c r="AV16" s="371">
        <f t="shared" si="30"/>
        <v>0</v>
      </c>
      <c r="AW16" s="371">
        <f t="shared" si="31"/>
        <v>0</v>
      </c>
      <c r="AX16" s="371" t="str">
        <f t="shared" si="32"/>
        <v/>
      </c>
      <c r="AY16" s="371">
        <f t="shared" si="33"/>
        <v>0</v>
      </c>
      <c r="AZ16" s="371">
        <f t="shared" si="34"/>
        <v>0</v>
      </c>
      <c r="BA16" s="351">
        <f t="shared" si="35"/>
        <v>0</v>
      </c>
      <c r="BB16" s="351">
        <f t="shared" si="36"/>
        <v>0</v>
      </c>
      <c r="BC16" s="351">
        <f t="shared" si="37"/>
        <v>0</v>
      </c>
      <c r="BD16" s="351">
        <f t="shared" si="38"/>
        <v>0</v>
      </c>
      <c r="BE16" s="351">
        <f t="shared" si="39"/>
        <v>0</v>
      </c>
      <c r="BF16" s="351" t="str">
        <f t="shared" si="40"/>
        <v/>
      </c>
      <c r="BG16" s="351">
        <f t="shared" si="41"/>
        <v>0</v>
      </c>
      <c r="BH16" s="351">
        <f t="shared" si="42"/>
        <v>0</v>
      </c>
      <c r="BI16" s="371">
        <f t="shared" si="43"/>
        <v>0</v>
      </c>
      <c r="BJ16" s="371">
        <f t="shared" si="44"/>
        <v>0</v>
      </c>
      <c r="BK16" s="371">
        <f t="shared" si="45"/>
        <v>0</v>
      </c>
      <c r="BL16" s="371">
        <f t="shared" si="46"/>
        <v>0</v>
      </c>
      <c r="BM16" s="371">
        <f t="shared" si="47"/>
        <v>0</v>
      </c>
      <c r="BN16" s="371" t="str">
        <f t="shared" si="48"/>
        <v/>
      </c>
      <c r="BO16" s="371">
        <f t="shared" si="49"/>
        <v>0</v>
      </c>
      <c r="BP16" s="371">
        <f t="shared" si="50"/>
        <v>0</v>
      </c>
      <c r="BQ16" s="351" t="str">
        <f t="shared" si="51"/>
        <v/>
      </c>
      <c r="BR16" s="351">
        <f t="shared" si="52"/>
        <v>0</v>
      </c>
      <c r="BS16" s="351" t="str">
        <f t="shared" si="53"/>
        <v/>
      </c>
      <c r="BT16" s="351" t="str">
        <f t="shared" si="54"/>
        <v/>
      </c>
      <c r="BU16" s="351" t="str">
        <f t="shared" si="55"/>
        <v/>
      </c>
      <c r="BV16" s="351">
        <f t="shared" si="56"/>
        <v>0</v>
      </c>
      <c r="BW16" s="351">
        <f t="shared" si="57"/>
        <v>0</v>
      </c>
      <c r="BX16" s="351">
        <f t="shared" si="58"/>
        <v>0</v>
      </c>
      <c r="BY16" s="351">
        <f t="shared" si="59"/>
        <v>0</v>
      </c>
      <c r="BZ16" s="351">
        <f t="shared" si="60"/>
        <v>0</v>
      </c>
      <c r="CA16" s="351">
        <f t="shared" si="61"/>
        <v>0</v>
      </c>
      <c r="CB16" s="351">
        <f t="shared" si="62"/>
        <v>0</v>
      </c>
      <c r="CC16" s="351">
        <f t="shared" si="63"/>
        <v>0</v>
      </c>
      <c r="CD16" s="351">
        <f t="shared" si="64"/>
        <v>0</v>
      </c>
      <c r="CE16" s="351">
        <f t="shared" si="65"/>
        <v>0</v>
      </c>
      <c r="CF16" s="161" t="str">
        <f t="shared" si="66"/>
        <v/>
      </c>
      <c r="CG16" s="351">
        <f t="shared" si="67"/>
        <v>0</v>
      </c>
      <c r="CH16" s="161" t="str">
        <f t="shared" si="68"/>
        <v/>
      </c>
      <c r="CI16" s="161" t="str">
        <f t="shared" si="7"/>
        <v/>
      </c>
      <c r="CJ16" s="351">
        <f t="shared" si="8"/>
        <v>0</v>
      </c>
      <c r="CK16" s="161" t="str">
        <f t="shared" si="69"/>
        <v/>
      </c>
      <c r="CL16" s="161" t="str">
        <f t="shared" si="9"/>
        <v/>
      </c>
      <c r="CM16" s="351">
        <f t="shared" si="10"/>
        <v>0</v>
      </c>
      <c r="CN16" s="161" t="str">
        <f t="shared" si="70"/>
        <v/>
      </c>
      <c r="CO16" s="161" t="str">
        <f t="shared" si="11"/>
        <v/>
      </c>
      <c r="CP16" s="161">
        <f t="shared" si="71"/>
        <v>0</v>
      </c>
      <c r="CQ16" s="161">
        <v>0.13</v>
      </c>
      <c r="CR16" s="351" t="str">
        <f t="shared" si="72"/>
        <v/>
      </c>
      <c r="CS16" s="351" t="str">
        <f t="shared" si="73"/>
        <v/>
      </c>
      <c r="CT16" s="161" t="str">
        <f t="shared" si="12"/>
        <v/>
      </c>
      <c r="CU16" s="161" t="str">
        <f t="shared" si="74"/>
        <v/>
      </c>
      <c r="CV16" s="161" t="str">
        <f t="shared" si="75"/>
        <v/>
      </c>
      <c r="CW16" s="161" t="str">
        <f t="shared" si="76"/>
        <v/>
      </c>
      <c r="CX16" s="351" t="str">
        <f t="shared" si="77"/>
        <v/>
      </c>
      <c r="CY16" s="161" t="str">
        <f t="shared" si="13"/>
        <v>1.1</v>
      </c>
      <c r="CZ16" s="351" t="str">
        <f t="shared" si="78"/>
        <v/>
      </c>
      <c r="DA16" s="161">
        <f t="shared" si="14"/>
        <v>0</v>
      </c>
      <c r="DB16" s="161" t="str">
        <f t="shared" si="15"/>
        <v>2.1</v>
      </c>
      <c r="DC16" s="351" t="str">
        <f t="shared" si="79"/>
        <v/>
      </c>
      <c r="DD16" s="161">
        <f t="shared" si="16"/>
        <v>0</v>
      </c>
      <c r="DE16" s="161" t="str">
        <f t="shared" si="17"/>
        <v>3.1</v>
      </c>
      <c r="DF16" s="161">
        <f t="shared" si="80"/>
        <v>0</v>
      </c>
      <c r="DG16" s="161">
        <v>1.2999999999999999E-2</v>
      </c>
      <c r="DH16" s="351" t="str">
        <f t="shared" si="81"/>
        <v/>
      </c>
      <c r="DI16" s="351" t="str">
        <f t="shared" si="82"/>
        <v>2.1</v>
      </c>
      <c r="DJ16" s="161" t="str">
        <f t="shared" si="83"/>
        <v/>
      </c>
      <c r="DK16" s="161">
        <f t="shared" si="84"/>
        <v>0</v>
      </c>
      <c r="DL16" s="161">
        <f t="shared" si="85"/>
        <v>0</v>
      </c>
      <c r="DM16" s="161">
        <f t="shared" si="86"/>
        <v>0</v>
      </c>
      <c r="DN16" s="354">
        <v>16</v>
      </c>
      <c r="DO16" s="161" t="e">
        <f>VLOOKUP(DN16,'Matchblatt  FEUILLE DE MATCH'!BF:BG,2,FALSE)</f>
        <v>#N/A</v>
      </c>
      <c r="DP16" s="161" t="str">
        <f t="shared" si="2"/>
        <v/>
      </c>
      <c r="DQ16" s="161" t="str">
        <f t="shared" si="5"/>
        <v/>
      </c>
      <c r="DR16" s="161">
        <f t="shared" si="3"/>
        <v>0</v>
      </c>
      <c r="DT16" s="161">
        <v>13</v>
      </c>
      <c r="DU16" s="161" t="e">
        <f t="shared" si="18"/>
        <v>#N/A</v>
      </c>
      <c r="DV16" s="351" t="str">
        <f t="shared" si="87"/>
        <v/>
      </c>
      <c r="DW16" s="351"/>
      <c r="DX16" s="351"/>
      <c r="DY16" s="351"/>
      <c r="DZ16" s="371">
        <f t="shared" si="88"/>
        <v>0</v>
      </c>
      <c r="EA16" s="371">
        <f t="shared" si="89"/>
        <v>0</v>
      </c>
      <c r="EB16" s="371">
        <f t="shared" si="90"/>
        <v>0</v>
      </c>
      <c r="EC16" s="371">
        <f t="shared" si="91"/>
        <v>0</v>
      </c>
      <c r="ED16" s="371">
        <f t="shared" si="92"/>
        <v>0</v>
      </c>
      <c r="EE16" s="371" t="str">
        <f t="shared" si="93"/>
        <v/>
      </c>
      <c r="EF16" s="371">
        <f t="shared" si="94"/>
        <v>0</v>
      </c>
      <c r="EG16" s="371">
        <f t="shared" si="95"/>
        <v>0</v>
      </c>
      <c r="EH16" s="351">
        <f t="shared" si="96"/>
        <v>0</v>
      </c>
      <c r="EI16" s="351">
        <f t="shared" si="97"/>
        <v>0</v>
      </c>
      <c r="EJ16" s="351">
        <f t="shared" si="98"/>
        <v>0</v>
      </c>
      <c r="EK16" s="351">
        <f t="shared" si="99"/>
        <v>0</v>
      </c>
      <c r="EL16" s="351">
        <f t="shared" si="100"/>
        <v>0</v>
      </c>
      <c r="EM16" s="351" t="str">
        <f t="shared" si="101"/>
        <v/>
      </c>
      <c r="EN16" s="351">
        <f t="shared" si="102"/>
        <v>0</v>
      </c>
      <c r="EO16" s="351">
        <f t="shared" si="103"/>
        <v>0</v>
      </c>
      <c r="EP16" s="371">
        <f t="shared" si="104"/>
        <v>0</v>
      </c>
      <c r="EQ16" s="371">
        <f t="shared" si="105"/>
        <v>0</v>
      </c>
      <c r="ER16" s="371">
        <f t="shared" si="106"/>
        <v>0</v>
      </c>
      <c r="ES16" s="371">
        <f t="shared" si="107"/>
        <v>0</v>
      </c>
      <c r="ET16" s="371">
        <f t="shared" si="108"/>
        <v>0</v>
      </c>
      <c r="EU16" s="371" t="str">
        <f t="shared" si="109"/>
        <v/>
      </c>
      <c r="EV16" s="371">
        <f t="shared" si="110"/>
        <v>0</v>
      </c>
      <c r="EW16" s="371">
        <f t="shared" si="111"/>
        <v>0</v>
      </c>
      <c r="EX16" s="351" t="str">
        <f t="shared" si="112"/>
        <v/>
      </c>
      <c r="EY16" s="351">
        <f t="shared" si="113"/>
        <v>0</v>
      </c>
      <c r="EZ16" s="351" t="str">
        <f t="shared" si="114"/>
        <v/>
      </c>
      <c r="FA16" s="351" t="str">
        <f t="shared" si="115"/>
        <v/>
      </c>
      <c r="FB16" s="351" t="str">
        <f t="shared" si="116"/>
        <v/>
      </c>
      <c r="FC16" s="351">
        <f t="shared" si="117"/>
        <v>0</v>
      </c>
      <c r="FD16" s="351">
        <f t="shared" si="118"/>
        <v>0</v>
      </c>
      <c r="FE16" s="351">
        <f t="shared" si="119"/>
        <v>0</v>
      </c>
      <c r="FF16" s="351">
        <f t="shared" si="120"/>
        <v>0</v>
      </c>
      <c r="FG16" s="351">
        <f t="shared" si="121"/>
        <v>0</v>
      </c>
      <c r="FH16" s="351">
        <f t="shared" si="122"/>
        <v>0</v>
      </c>
      <c r="FI16" s="351">
        <f t="shared" si="123"/>
        <v>0</v>
      </c>
      <c r="FJ16" s="351">
        <f t="shared" si="124"/>
        <v>0</v>
      </c>
      <c r="FK16" s="351">
        <f t="shared" si="125"/>
        <v>0</v>
      </c>
      <c r="FL16" s="351">
        <f t="shared" si="126"/>
        <v>0</v>
      </c>
      <c r="FM16" s="161" t="str">
        <f t="shared" si="19"/>
        <v/>
      </c>
      <c r="FN16" s="351">
        <f t="shared" si="127"/>
        <v>0</v>
      </c>
      <c r="FO16" s="161" t="str">
        <f t="shared" si="128"/>
        <v/>
      </c>
      <c r="FP16" s="161" t="str">
        <f t="shared" si="129"/>
        <v/>
      </c>
      <c r="FQ16" s="351">
        <f t="shared" si="130"/>
        <v>0</v>
      </c>
      <c r="FR16" s="161" t="str">
        <f t="shared" si="131"/>
        <v/>
      </c>
      <c r="FS16" s="161" t="str">
        <f t="shared" si="132"/>
        <v/>
      </c>
      <c r="FT16" s="351">
        <f t="shared" si="133"/>
        <v>0</v>
      </c>
      <c r="FU16" s="161" t="str">
        <f t="shared" si="134"/>
        <v/>
      </c>
      <c r="FV16" s="161" t="str">
        <f t="shared" si="135"/>
        <v/>
      </c>
      <c r="FW16" s="161">
        <f t="shared" si="136"/>
        <v>0</v>
      </c>
      <c r="FX16" s="161">
        <v>0.13</v>
      </c>
      <c r="FY16" s="351" t="str">
        <f t="shared" si="20"/>
        <v/>
      </c>
      <c r="FZ16" s="351" t="str">
        <f t="shared" si="21"/>
        <v/>
      </c>
      <c r="GA16" s="161" t="str">
        <f t="shared" si="137"/>
        <v/>
      </c>
      <c r="GB16" s="161" t="str">
        <f t="shared" si="22"/>
        <v/>
      </c>
      <c r="GC16" s="161" t="str">
        <f t="shared" si="23"/>
        <v/>
      </c>
      <c r="GD16" s="161" t="str">
        <f t="shared" si="138"/>
        <v/>
      </c>
      <c r="GE16" s="351" t="str">
        <f t="shared" si="139"/>
        <v/>
      </c>
      <c r="GF16" s="161" t="str">
        <f t="shared" si="140"/>
        <v>1.1</v>
      </c>
      <c r="GG16" s="351" t="str">
        <f t="shared" si="141"/>
        <v/>
      </c>
      <c r="GH16" s="161">
        <f t="shared" si="24"/>
        <v>0</v>
      </c>
      <c r="GI16" s="161" t="str">
        <f t="shared" si="142"/>
        <v>2.1</v>
      </c>
      <c r="GJ16" s="351" t="str">
        <f t="shared" si="143"/>
        <v/>
      </c>
      <c r="GK16" s="161">
        <f t="shared" si="25"/>
        <v>0</v>
      </c>
      <c r="GL16" s="161" t="str">
        <f t="shared" si="144"/>
        <v>3.1</v>
      </c>
      <c r="GM16" s="161">
        <f t="shared" si="145"/>
        <v>0</v>
      </c>
      <c r="GN16" s="161">
        <v>1.2999999999999999E-2</v>
      </c>
      <c r="GO16" s="351" t="str">
        <f t="shared" si="146"/>
        <v/>
      </c>
      <c r="GP16" s="351" t="str">
        <f t="shared" si="147"/>
        <v>2.1</v>
      </c>
      <c r="GQ16" s="161" t="str">
        <f t="shared" si="148"/>
        <v/>
      </c>
      <c r="GR16" s="161">
        <f t="shared" si="149"/>
        <v>0</v>
      </c>
      <c r="GS16" s="161">
        <f t="shared" si="150"/>
        <v>0</v>
      </c>
      <c r="GT16" s="161">
        <f t="shared" si="151"/>
        <v>0</v>
      </c>
    </row>
    <row r="17" spans="1:202" ht="15.95" customHeight="1">
      <c r="A17" s="355" t="s">
        <v>1024</v>
      </c>
      <c r="B17" s="355" t="str">
        <f>IF($B$1=3,"",IF($B$1=1,"","HD 2.4"))</f>
        <v/>
      </c>
      <c r="C17" s="161" t="str">
        <f>IF(B17="","",VLOOKUP(B17,Average!$GC:$GE,3,FALSE))</f>
        <v/>
      </c>
      <c r="D17" s="161" t="s">
        <v>280</v>
      </c>
      <c r="E17" s="161" t="str">
        <f>IF(B17="","",VLOOKUP(B17,Average!$GC:$HA,24,FALSE))</f>
        <v/>
      </c>
      <c r="F17" s="161" t="str">
        <f>IF(B17="","",VLOOKUP(B17,Average!$GC:$HA,25,FALSE))</f>
        <v/>
      </c>
      <c r="G17" s="161" t="str">
        <f>IF(B17="","",VLOOKUP(B17,Average!$GC:$HB,26,FALSE))</f>
        <v/>
      </c>
      <c r="H17" s="161" t="str">
        <f>IF(B17="","",VLOOKUP(B17,Average!$GC:$HC,27,FALSE))</f>
        <v/>
      </c>
      <c r="I17" s="161" t="str">
        <f>IF(B17="","",VLOOKUP(B17,Average!$GC:$HH,32,FALSE))</f>
        <v/>
      </c>
      <c r="K17" s="161">
        <f>IF(P17="",0,VLOOKUP(P17,Average!GC:GD,2,FALSE))</f>
        <v>0</v>
      </c>
      <c r="O17" s="355" t="s">
        <v>1024</v>
      </c>
      <c r="P17" s="355" t="str">
        <f>IF($B$1=3,"",IF($B$1=1,"","GD 2.4"))</f>
        <v/>
      </c>
      <c r="Q17" s="161" t="str">
        <f>IF(P17="","",VLOOKUP(P17,Average!$GC:$GE,3,FALSE))</f>
        <v/>
      </c>
      <c r="R17" s="161" t="s">
        <v>280</v>
      </c>
      <c r="S17" s="161" t="str">
        <f>IF(P17="","",VLOOKUP(P17,Average!$GC:$HA,24,FALSE))</f>
        <v/>
      </c>
      <c r="T17" s="161" t="str">
        <f>IF(P17="","",VLOOKUP(P17,Average!$GC:$HA,25,FALSE))</f>
        <v/>
      </c>
      <c r="U17" s="161" t="str">
        <f>IF(P17="","",VLOOKUP(P17,Average!$GC:$HB,26,FALSE))</f>
        <v/>
      </c>
      <c r="V17" s="161" t="str">
        <f>IF(P17="","",VLOOKUP(P17,Average!$GC:$HC,27,FALSE))</f>
        <v/>
      </c>
      <c r="W17" s="161" t="str">
        <f>IF(P17="","",VLOOKUP(P17,Average!$GC:$HH,32,FALSE))</f>
        <v/>
      </c>
      <c r="Y17" s="161">
        <f>IF(B17="",0,VLOOKUP(B17,Average!GC:GD,2,FALSE))</f>
        <v>0</v>
      </c>
      <c r="AC17" s="161">
        <f>IF(K17=1,1,IF(I17=2,1,0))</f>
        <v>0</v>
      </c>
      <c r="AD17" s="161">
        <f>IF(Y17=1,1,IF(W17=2,1,0))</f>
        <v>0</v>
      </c>
      <c r="AE17" s="161">
        <f>IF(Y17=1,2,SUM(I17))</f>
        <v>0</v>
      </c>
      <c r="AF17" s="161">
        <f>IF(K17=1,2,SUM(W17))</f>
        <v>0</v>
      </c>
      <c r="AG17" s="161">
        <v>17</v>
      </c>
      <c r="AH17" s="161" t="e">
        <f>VLOOKUP(AG17,'Matchblatt  FEUILLE DE MATCH'!BD:BE,2,FALSE)</f>
        <v>#N/A</v>
      </c>
      <c r="AI17" s="161" t="str">
        <f t="shared" si="0"/>
        <v/>
      </c>
      <c r="AJ17" s="161" t="str">
        <f t="shared" si="4"/>
        <v/>
      </c>
      <c r="AK17" s="161">
        <f t="shared" si="1"/>
        <v>0</v>
      </c>
      <c r="AM17" s="161">
        <v>14</v>
      </c>
      <c r="AN17" s="161" t="e">
        <f t="shared" si="6"/>
        <v>#N/A</v>
      </c>
      <c r="AO17" s="351" t="str">
        <f t="shared" si="26"/>
        <v/>
      </c>
      <c r="AP17" s="351"/>
      <c r="AQ17" s="351"/>
      <c r="AR17" s="351"/>
      <c r="AS17" s="371">
        <f t="shared" si="27"/>
        <v>0</v>
      </c>
      <c r="AT17" s="371">
        <f t="shared" si="28"/>
        <v>0</v>
      </c>
      <c r="AU17" s="371">
        <f t="shared" si="29"/>
        <v>0</v>
      </c>
      <c r="AV17" s="371">
        <f t="shared" si="30"/>
        <v>0</v>
      </c>
      <c r="AW17" s="371">
        <f t="shared" si="31"/>
        <v>0</v>
      </c>
      <c r="AX17" s="371" t="str">
        <f t="shared" si="32"/>
        <v/>
      </c>
      <c r="AY17" s="371">
        <f t="shared" si="33"/>
        <v>0</v>
      </c>
      <c r="AZ17" s="371">
        <f t="shared" si="34"/>
        <v>0</v>
      </c>
      <c r="BA17" s="351">
        <f t="shared" si="35"/>
        <v>0</v>
      </c>
      <c r="BB17" s="351">
        <f t="shared" si="36"/>
        <v>0</v>
      </c>
      <c r="BC17" s="351">
        <f t="shared" si="37"/>
        <v>0</v>
      </c>
      <c r="BD17" s="351">
        <f t="shared" si="38"/>
        <v>0</v>
      </c>
      <c r="BE17" s="351">
        <f t="shared" si="39"/>
        <v>0</v>
      </c>
      <c r="BF17" s="351" t="str">
        <f t="shared" si="40"/>
        <v/>
      </c>
      <c r="BG17" s="351">
        <f t="shared" si="41"/>
        <v>0</v>
      </c>
      <c r="BH17" s="351">
        <f t="shared" si="42"/>
        <v>0</v>
      </c>
      <c r="BI17" s="371">
        <f t="shared" si="43"/>
        <v>0</v>
      </c>
      <c r="BJ17" s="371">
        <f t="shared" si="44"/>
        <v>0</v>
      </c>
      <c r="BK17" s="371">
        <f t="shared" si="45"/>
        <v>0</v>
      </c>
      <c r="BL17" s="371">
        <f t="shared" si="46"/>
        <v>0</v>
      </c>
      <c r="BM17" s="371">
        <f t="shared" si="47"/>
        <v>0</v>
      </c>
      <c r="BN17" s="371" t="str">
        <f t="shared" si="48"/>
        <v/>
      </c>
      <c r="BO17" s="371">
        <f t="shared" si="49"/>
        <v>0</v>
      </c>
      <c r="BP17" s="371">
        <f t="shared" si="50"/>
        <v>0</v>
      </c>
      <c r="BQ17" s="351" t="str">
        <f t="shared" si="51"/>
        <v/>
      </c>
      <c r="BR17" s="351">
        <f t="shared" si="52"/>
        <v>0</v>
      </c>
      <c r="BS17" s="351" t="str">
        <f t="shared" si="53"/>
        <v/>
      </c>
      <c r="BT17" s="351" t="str">
        <f t="shared" si="54"/>
        <v/>
      </c>
      <c r="BU17" s="351" t="str">
        <f t="shared" si="55"/>
        <v/>
      </c>
      <c r="BV17" s="351">
        <f t="shared" si="56"/>
        <v>0</v>
      </c>
      <c r="BW17" s="351">
        <f t="shared" si="57"/>
        <v>0</v>
      </c>
      <c r="BX17" s="351">
        <f t="shared" si="58"/>
        <v>0</v>
      </c>
      <c r="BY17" s="351">
        <f t="shared" si="59"/>
        <v>0</v>
      </c>
      <c r="BZ17" s="351">
        <f t="shared" si="60"/>
        <v>0</v>
      </c>
      <c r="CA17" s="351">
        <f t="shared" si="61"/>
        <v>0</v>
      </c>
      <c r="CB17" s="351">
        <f t="shared" si="62"/>
        <v>0</v>
      </c>
      <c r="CC17" s="351">
        <f t="shared" si="63"/>
        <v>0</v>
      </c>
      <c r="CD17" s="351">
        <f t="shared" si="64"/>
        <v>0</v>
      </c>
      <c r="CE17" s="351">
        <f t="shared" si="65"/>
        <v>0</v>
      </c>
      <c r="CF17" s="161" t="str">
        <f t="shared" si="66"/>
        <v/>
      </c>
      <c r="CG17" s="351">
        <f t="shared" si="67"/>
        <v>0</v>
      </c>
      <c r="CH17" s="161" t="str">
        <f t="shared" si="68"/>
        <v/>
      </c>
      <c r="CI17" s="161" t="str">
        <f t="shared" si="7"/>
        <v/>
      </c>
      <c r="CJ17" s="351">
        <f t="shared" si="8"/>
        <v>0</v>
      </c>
      <c r="CK17" s="161" t="str">
        <f t="shared" si="69"/>
        <v/>
      </c>
      <c r="CL17" s="161" t="str">
        <f t="shared" si="9"/>
        <v/>
      </c>
      <c r="CM17" s="351">
        <f t="shared" si="10"/>
        <v>0</v>
      </c>
      <c r="CN17" s="161" t="str">
        <f t="shared" si="70"/>
        <v/>
      </c>
      <c r="CO17" s="161" t="str">
        <f t="shared" si="11"/>
        <v/>
      </c>
      <c r="CP17" s="161">
        <f t="shared" si="71"/>
        <v>0</v>
      </c>
      <c r="CQ17" s="161">
        <v>0.14000000000000001</v>
      </c>
      <c r="CR17" s="351" t="str">
        <f t="shared" si="72"/>
        <v/>
      </c>
      <c r="CS17" s="351" t="str">
        <f t="shared" si="73"/>
        <v/>
      </c>
      <c r="CT17" s="161" t="str">
        <f t="shared" si="12"/>
        <v/>
      </c>
      <c r="CU17" s="161" t="str">
        <f t="shared" si="74"/>
        <v/>
      </c>
      <c r="CV17" s="161" t="str">
        <f t="shared" si="75"/>
        <v/>
      </c>
      <c r="CW17" s="161" t="str">
        <f t="shared" si="76"/>
        <v/>
      </c>
      <c r="CX17" s="351" t="str">
        <f t="shared" si="77"/>
        <v/>
      </c>
      <c r="CY17" s="161" t="str">
        <f t="shared" si="13"/>
        <v>1.1</v>
      </c>
      <c r="CZ17" s="351" t="str">
        <f t="shared" si="78"/>
        <v/>
      </c>
      <c r="DA17" s="161">
        <f t="shared" si="14"/>
        <v>0</v>
      </c>
      <c r="DB17" s="161" t="str">
        <f t="shared" si="15"/>
        <v>2.1</v>
      </c>
      <c r="DC17" s="351" t="str">
        <f t="shared" si="79"/>
        <v/>
      </c>
      <c r="DD17" s="161">
        <f t="shared" si="16"/>
        <v>0</v>
      </c>
      <c r="DE17" s="161" t="str">
        <f t="shared" si="17"/>
        <v>3.1</v>
      </c>
      <c r="DF17" s="161">
        <f t="shared" si="80"/>
        <v>0</v>
      </c>
      <c r="DG17" s="161">
        <v>1.4E-2</v>
      </c>
      <c r="DH17" s="351" t="str">
        <f t="shared" si="81"/>
        <v/>
      </c>
      <c r="DI17" s="351" t="str">
        <f t="shared" si="82"/>
        <v>2.1</v>
      </c>
      <c r="DJ17" s="161" t="str">
        <f t="shared" si="83"/>
        <v/>
      </c>
      <c r="DK17" s="161">
        <f t="shared" si="84"/>
        <v>0</v>
      </c>
      <c r="DL17" s="161">
        <f t="shared" si="85"/>
        <v>0</v>
      </c>
      <c r="DM17" s="161">
        <f t="shared" si="86"/>
        <v>0</v>
      </c>
      <c r="DN17" s="161">
        <v>17</v>
      </c>
      <c r="DO17" s="161" t="e">
        <f>VLOOKUP(DN17,'Matchblatt  FEUILLE DE MATCH'!BF:BG,2,FALSE)</f>
        <v>#N/A</v>
      </c>
      <c r="DP17" s="161" t="str">
        <f t="shared" si="2"/>
        <v/>
      </c>
      <c r="DQ17" s="161" t="str">
        <f t="shared" si="5"/>
        <v/>
      </c>
      <c r="DR17" s="161">
        <f t="shared" si="3"/>
        <v>0</v>
      </c>
      <c r="DT17" s="161">
        <v>14</v>
      </c>
      <c r="DU17" s="161" t="e">
        <f t="shared" si="18"/>
        <v>#N/A</v>
      </c>
      <c r="DV17" s="351" t="str">
        <f t="shared" si="87"/>
        <v/>
      </c>
      <c r="DW17" s="351"/>
      <c r="DX17" s="351"/>
      <c r="DY17" s="351"/>
      <c r="DZ17" s="371">
        <f t="shared" si="88"/>
        <v>0</v>
      </c>
      <c r="EA17" s="371">
        <f t="shared" si="89"/>
        <v>0</v>
      </c>
      <c r="EB17" s="371">
        <f t="shared" si="90"/>
        <v>0</v>
      </c>
      <c r="EC17" s="371">
        <f t="shared" si="91"/>
        <v>0</v>
      </c>
      <c r="ED17" s="371">
        <f t="shared" si="92"/>
        <v>0</v>
      </c>
      <c r="EE17" s="371" t="str">
        <f t="shared" si="93"/>
        <v/>
      </c>
      <c r="EF17" s="371">
        <f t="shared" si="94"/>
        <v>0</v>
      </c>
      <c r="EG17" s="371">
        <f t="shared" si="95"/>
        <v>0</v>
      </c>
      <c r="EH17" s="351">
        <f t="shared" si="96"/>
        <v>0</v>
      </c>
      <c r="EI17" s="351">
        <f t="shared" si="97"/>
        <v>0</v>
      </c>
      <c r="EJ17" s="351">
        <f t="shared" si="98"/>
        <v>0</v>
      </c>
      <c r="EK17" s="351">
        <f t="shared" si="99"/>
        <v>0</v>
      </c>
      <c r="EL17" s="351">
        <f t="shared" si="100"/>
        <v>0</v>
      </c>
      <c r="EM17" s="351" t="str">
        <f t="shared" si="101"/>
        <v/>
      </c>
      <c r="EN17" s="351">
        <f t="shared" si="102"/>
        <v>0</v>
      </c>
      <c r="EO17" s="351">
        <f t="shared" si="103"/>
        <v>0</v>
      </c>
      <c r="EP17" s="371">
        <f t="shared" si="104"/>
        <v>0</v>
      </c>
      <c r="EQ17" s="371">
        <f t="shared" si="105"/>
        <v>0</v>
      </c>
      <c r="ER17" s="371">
        <f t="shared" si="106"/>
        <v>0</v>
      </c>
      <c r="ES17" s="371">
        <f t="shared" si="107"/>
        <v>0</v>
      </c>
      <c r="ET17" s="371">
        <f t="shared" si="108"/>
        <v>0</v>
      </c>
      <c r="EU17" s="371" t="str">
        <f t="shared" si="109"/>
        <v/>
      </c>
      <c r="EV17" s="371">
        <f t="shared" si="110"/>
        <v>0</v>
      </c>
      <c r="EW17" s="371">
        <f t="shared" si="111"/>
        <v>0</v>
      </c>
      <c r="EX17" s="351" t="str">
        <f t="shared" si="112"/>
        <v/>
      </c>
      <c r="EY17" s="351">
        <f t="shared" si="113"/>
        <v>0</v>
      </c>
      <c r="EZ17" s="351" t="str">
        <f t="shared" si="114"/>
        <v/>
      </c>
      <c r="FA17" s="351" t="str">
        <f t="shared" si="115"/>
        <v/>
      </c>
      <c r="FB17" s="351" t="str">
        <f t="shared" si="116"/>
        <v/>
      </c>
      <c r="FC17" s="351">
        <f t="shared" si="117"/>
        <v>0</v>
      </c>
      <c r="FD17" s="351">
        <f t="shared" si="118"/>
        <v>0</v>
      </c>
      <c r="FE17" s="351">
        <f t="shared" si="119"/>
        <v>0</v>
      </c>
      <c r="FF17" s="351">
        <f t="shared" si="120"/>
        <v>0</v>
      </c>
      <c r="FG17" s="351">
        <f t="shared" si="121"/>
        <v>0</v>
      </c>
      <c r="FH17" s="351">
        <f t="shared" si="122"/>
        <v>0</v>
      </c>
      <c r="FI17" s="351">
        <f t="shared" si="123"/>
        <v>0</v>
      </c>
      <c r="FJ17" s="351">
        <f t="shared" si="124"/>
        <v>0</v>
      </c>
      <c r="FK17" s="351">
        <f t="shared" si="125"/>
        <v>0</v>
      </c>
      <c r="FL17" s="351">
        <f t="shared" si="126"/>
        <v>0</v>
      </c>
      <c r="FM17" s="161" t="str">
        <f t="shared" si="19"/>
        <v/>
      </c>
      <c r="FN17" s="351">
        <f t="shared" si="127"/>
        <v>0</v>
      </c>
      <c r="FO17" s="161" t="str">
        <f t="shared" si="128"/>
        <v/>
      </c>
      <c r="FP17" s="161" t="str">
        <f t="shared" si="129"/>
        <v/>
      </c>
      <c r="FQ17" s="351">
        <f t="shared" si="130"/>
        <v>0</v>
      </c>
      <c r="FR17" s="161" t="str">
        <f t="shared" si="131"/>
        <v/>
      </c>
      <c r="FS17" s="161" t="str">
        <f t="shared" si="132"/>
        <v/>
      </c>
      <c r="FT17" s="351">
        <f t="shared" si="133"/>
        <v>0</v>
      </c>
      <c r="FU17" s="161" t="str">
        <f t="shared" si="134"/>
        <v/>
      </c>
      <c r="FV17" s="161" t="str">
        <f t="shared" si="135"/>
        <v/>
      </c>
      <c r="FW17" s="161">
        <f t="shared" si="136"/>
        <v>0</v>
      </c>
      <c r="FX17" s="161">
        <v>0.14000000000000001</v>
      </c>
      <c r="FY17" s="351" t="str">
        <f t="shared" si="20"/>
        <v/>
      </c>
      <c r="FZ17" s="351" t="str">
        <f t="shared" si="21"/>
        <v/>
      </c>
      <c r="GA17" s="161" t="str">
        <f t="shared" si="137"/>
        <v/>
      </c>
      <c r="GB17" s="161" t="str">
        <f t="shared" si="22"/>
        <v/>
      </c>
      <c r="GC17" s="161" t="str">
        <f t="shared" si="23"/>
        <v/>
      </c>
      <c r="GD17" s="161" t="str">
        <f t="shared" si="138"/>
        <v/>
      </c>
      <c r="GE17" s="351" t="str">
        <f t="shared" si="139"/>
        <v/>
      </c>
      <c r="GF17" s="161" t="str">
        <f t="shared" si="140"/>
        <v>1.1</v>
      </c>
      <c r="GG17" s="351" t="str">
        <f t="shared" si="141"/>
        <v/>
      </c>
      <c r="GH17" s="161">
        <f t="shared" si="24"/>
        <v>0</v>
      </c>
      <c r="GI17" s="161" t="str">
        <f t="shared" si="142"/>
        <v>2.1</v>
      </c>
      <c r="GJ17" s="351" t="str">
        <f t="shared" si="143"/>
        <v/>
      </c>
      <c r="GK17" s="161">
        <f t="shared" si="25"/>
        <v>0</v>
      </c>
      <c r="GL17" s="161" t="str">
        <f t="shared" si="144"/>
        <v>3.1</v>
      </c>
      <c r="GM17" s="161">
        <f t="shared" si="145"/>
        <v>0</v>
      </c>
      <c r="GN17" s="161">
        <v>1.4E-2</v>
      </c>
      <c r="GO17" s="351" t="str">
        <f t="shared" si="146"/>
        <v/>
      </c>
      <c r="GP17" s="351" t="str">
        <f t="shared" si="147"/>
        <v>2.1</v>
      </c>
      <c r="GQ17" s="161" t="str">
        <f t="shared" si="148"/>
        <v/>
      </c>
      <c r="GR17" s="161">
        <f t="shared" si="149"/>
        <v>0</v>
      </c>
      <c r="GS17" s="161">
        <f t="shared" si="150"/>
        <v>0</v>
      </c>
      <c r="GT17" s="161">
        <f t="shared" si="151"/>
        <v>0</v>
      </c>
    </row>
    <row r="18" spans="1:202" ht="15.95" customHeight="1">
      <c r="A18" s="353" t="s">
        <v>1025</v>
      </c>
      <c r="B18" s="353" t="str">
        <f>IF($B$1=3,"",IF($B$1=1,"","HD 2.4.2"))</f>
        <v/>
      </c>
      <c r="C18" s="354" t="str">
        <f>IF(B18="","",VLOOKUP(B18,Average!$GC:$GE,3,FALSE))</f>
        <v/>
      </c>
      <c r="D18" s="354" t="s">
        <v>280</v>
      </c>
      <c r="E18" s="354"/>
      <c r="F18" s="354"/>
      <c r="G18" s="354" t="str">
        <f>IF(B18="","",VLOOKUP(B18,Average!$GC:$HB,26,FALSE))</f>
        <v/>
      </c>
      <c r="H18" s="354" t="str">
        <f>IF(B18="","",VLOOKUP(B18,Average!$GC:$HC,27,FALSE))</f>
        <v/>
      </c>
      <c r="I18" s="354"/>
      <c r="J18" s="354"/>
      <c r="O18" s="353" t="s">
        <v>1026</v>
      </c>
      <c r="P18" s="355" t="str">
        <f>IF($B$1=3,"",IF($B$1=1,"","GD 2.4.2"))</f>
        <v/>
      </c>
      <c r="Q18" s="354" t="str">
        <f>IF(P18="","",VLOOKUP(P18,Average!$GC:$GE,3,FALSE))</f>
        <v/>
      </c>
      <c r="R18" s="354" t="s">
        <v>280</v>
      </c>
      <c r="S18" s="354"/>
      <c r="T18" s="354"/>
      <c r="U18" s="354" t="str">
        <f>IF(P18="","",VLOOKUP(P18,Average!$GC:$HB,26,FALSE))</f>
        <v/>
      </c>
      <c r="V18" s="354" t="str">
        <f>IF(P18="","",VLOOKUP(P18,Average!$GC:$HC,27,FALSE))</f>
        <v/>
      </c>
      <c r="W18" s="354"/>
      <c r="X18" s="354"/>
      <c r="AG18" s="161">
        <v>18</v>
      </c>
      <c r="AH18" s="161" t="e">
        <f>VLOOKUP(AG18,'Matchblatt  FEUILLE DE MATCH'!BD:BE,2,FALSE)</f>
        <v>#N/A</v>
      </c>
      <c r="AI18" s="161" t="str">
        <f t="shared" si="0"/>
        <v/>
      </c>
      <c r="AJ18" s="161" t="str">
        <f t="shared" si="4"/>
        <v/>
      </c>
      <c r="AK18" s="161">
        <f t="shared" si="1"/>
        <v>0</v>
      </c>
      <c r="AM18" s="161">
        <v>15</v>
      </c>
      <c r="AN18" s="161" t="e">
        <f t="shared" si="6"/>
        <v>#N/A</v>
      </c>
      <c r="AO18" s="351" t="str">
        <f t="shared" si="26"/>
        <v/>
      </c>
      <c r="AP18" s="351"/>
      <c r="AQ18" s="351"/>
      <c r="AR18" s="351"/>
      <c r="AS18" s="371">
        <f t="shared" si="27"/>
        <v>0</v>
      </c>
      <c r="AT18" s="371">
        <f t="shared" si="28"/>
        <v>0</v>
      </c>
      <c r="AU18" s="371">
        <f t="shared" si="29"/>
        <v>0</v>
      </c>
      <c r="AV18" s="371">
        <f t="shared" si="30"/>
        <v>0</v>
      </c>
      <c r="AW18" s="371">
        <f t="shared" si="31"/>
        <v>0</v>
      </c>
      <c r="AX18" s="371" t="str">
        <f t="shared" si="32"/>
        <v/>
      </c>
      <c r="AY18" s="371">
        <f t="shared" si="33"/>
        <v>0</v>
      </c>
      <c r="AZ18" s="371">
        <f t="shared" si="34"/>
        <v>0</v>
      </c>
      <c r="BA18" s="351">
        <f t="shared" si="35"/>
        <v>0</v>
      </c>
      <c r="BB18" s="351">
        <f t="shared" si="36"/>
        <v>0</v>
      </c>
      <c r="BC18" s="351">
        <f t="shared" si="37"/>
        <v>0</v>
      </c>
      <c r="BD18" s="351">
        <f t="shared" si="38"/>
        <v>0</v>
      </c>
      <c r="BE18" s="351">
        <f t="shared" si="39"/>
        <v>0</v>
      </c>
      <c r="BF18" s="351" t="str">
        <f t="shared" si="40"/>
        <v/>
      </c>
      <c r="BG18" s="351">
        <f t="shared" si="41"/>
        <v>0</v>
      </c>
      <c r="BH18" s="351">
        <f t="shared" si="42"/>
        <v>0</v>
      </c>
      <c r="BI18" s="371">
        <f t="shared" si="43"/>
        <v>0</v>
      </c>
      <c r="BJ18" s="371">
        <f t="shared" si="44"/>
        <v>0</v>
      </c>
      <c r="BK18" s="371">
        <f t="shared" si="45"/>
        <v>0</v>
      </c>
      <c r="BL18" s="371">
        <f t="shared" si="46"/>
        <v>0</v>
      </c>
      <c r="BM18" s="371">
        <f t="shared" si="47"/>
        <v>0</v>
      </c>
      <c r="BN18" s="371" t="str">
        <f t="shared" si="48"/>
        <v/>
      </c>
      <c r="BO18" s="371">
        <f t="shared" si="49"/>
        <v>0</v>
      </c>
      <c r="BP18" s="371">
        <f t="shared" si="50"/>
        <v>0</v>
      </c>
      <c r="BQ18" s="351" t="str">
        <f t="shared" si="51"/>
        <v/>
      </c>
      <c r="BR18" s="351">
        <f t="shared" si="52"/>
        <v>0</v>
      </c>
      <c r="BS18" s="351" t="str">
        <f t="shared" si="53"/>
        <v/>
      </c>
      <c r="BT18" s="351" t="str">
        <f t="shared" si="54"/>
        <v/>
      </c>
      <c r="BU18" s="351" t="str">
        <f t="shared" si="55"/>
        <v/>
      </c>
      <c r="BV18" s="351">
        <f t="shared" si="56"/>
        <v>0</v>
      </c>
      <c r="BW18" s="351">
        <f t="shared" si="57"/>
        <v>0</v>
      </c>
      <c r="BX18" s="351">
        <f t="shared" si="58"/>
        <v>0</v>
      </c>
      <c r="BY18" s="351">
        <f t="shared" si="59"/>
        <v>0</v>
      </c>
      <c r="BZ18" s="351">
        <f t="shared" si="60"/>
        <v>0</v>
      </c>
      <c r="CA18" s="351">
        <f t="shared" si="61"/>
        <v>0</v>
      </c>
      <c r="CB18" s="351">
        <f t="shared" si="62"/>
        <v>0</v>
      </c>
      <c r="CC18" s="351">
        <f t="shared" si="63"/>
        <v>0</v>
      </c>
      <c r="CD18" s="351">
        <f t="shared" si="64"/>
        <v>0</v>
      </c>
      <c r="CE18" s="351">
        <f t="shared" si="65"/>
        <v>0</v>
      </c>
      <c r="CF18" s="161" t="str">
        <f t="shared" si="66"/>
        <v/>
      </c>
      <c r="CG18" s="351">
        <f t="shared" si="67"/>
        <v>0</v>
      </c>
      <c r="CH18" s="161" t="str">
        <f t="shared" si="68"/>
        <v/>
      </c>
      <c r="CI18" s="161" t="str">
        <f t="shared" si="7"/>
        <v/>
      </c>
      <c r="CJ18" s="351">
        <f t="shared" si="8"/>
        <v>0</v>
      </c>
      <c r="CK18" s="161" t="str">
        <f t="shared" si="69"/>
        <v/>
      </c>
      <c r="CL18" s="161" t="str">
        <f t="shared" si="9"/>
        <v/>
      </c>
      <c r="CM18" s="351">
        <f t="shared" si="10"/>
        <v>0</v>
      </c>
      <c r="CN18" s="161" t="str">
        <f t="shared" si="70"/>
        <v/>
      </c>
      <c r="CO18" s="161" t="str">
        <f t="shared" si="11"/>
        <v/>
      </c>
      <c r="CP18" s="161">
        <f t="shared" si="71"/>
        <v>0</v>
      </c>
      <c r="CQ18" s="161">
        <v>0.15</v>
      </c>
      <c r="CR18" s="351" t="str">
        <f t="shared" si="72"/>
        <v/>
      </c>
      <c r="CS18" s="351" t="str">
        <f t="shared" si="73"/>
        <v/>
      </c>
      <c r="CT18" s="161" t="str">
        <f t="shared" si="12"/>
        <v/>
      </c>
      <c r="CU18" s="161" t="str">
        <f t="shared" si="74"/>
        <v/>
      </c>
      <c r="CV18" s="161" t="str">
        <f t="shared" si="75"/>
        <v/>
      </c>
      <c r="CW18" s="161" t="str">
        <f t="shared" si="76"/>
        <v/>
      </c>
      <c r="CX18" s="351" t="str">
        <f t="shared" si="77"/>
        <v/>
      </c>
      <c r="CY18" s="161" t="str">
        <f t="shared" si="13"/>
        <v>1.1</v>
      </c>
      <c r="CZ18" s="351" t="str">
        <f t="shared" si="78"/>
        <v/>
      </c>
      <c r="DA18" s="161">
        <f t="shared" si="14"/>
        <v>0</v>
      </c>
      <c r="DB18" s="161" t="str">
        <f t="shared" si="15"/>
        <v>2.1</v>
      </c>
      <c r="DC18" s="351" t="str">
        <f t="shared" si="79"/>
        <v/>
      </c>
      <c r="DD18" s="161">
        <f t="shared" si="16"/>
        <v>0</v>
      </c>
      <c r="DE18" s="161" t="str">
        <f t="shared" si="17"/>
        <v>3.1</v>
      </c>
      <c r="DF18" s="161">
        <f t="shared" si="80"/>
        <v>0</v>
      </c>
      <c r="DG18" s="161">
        <v>1.4999999999999999E-2</v>
      </c>
      <c r="DH18" s="351" t="str">
        <f t="shared" si="81"/>
        <v/>
      </c>
      <c r="DI18" s="351" t="str">
        <f t="shared" si="82"/>
        <v>2.1</v>
      </c>
      <c r="DJ18" s="161" t="str">
        <f t="shared" si="83"/>
        <v/>
      </c>
      <c r="DK18" s="161">
        <f t="shared" si="84"/>
        <v>0</v>
      </c>
      <c r="DL18" s="161">
        <f t="shared" si="85"/>
        <v>0</v>
      </c>
      <c r="DM18" s="161">
        <f t="shared" si="86"/>
        <v>0</v>
      </c>
      <c r="DN18" s="161">
        <v>18</v>
      </c>
      <c r="DO18" s="161" t="e">
        <f>VLOOKUP(DN18,'Matchblatt  FEUILLE DE MATCH'!BF:BG,2,FALSE)</f>
        <v>#N/A</v>
      </c>
      <c r="DP18" s="161" t="str">
        <f t="shared" si="2"/>
        <v/>
      </c>
      <c r="DQ18" s="161" t="str">
        <f t="shared" si="5"/>
        <v/>
      </c>
      <c r="DR18" s="161">
        <f t="shared" si="3"/>
        <v>0</v>
      </c>
      <c r="DT18" s="161">
        <v>15</v>
      </c>
      <c r="DU18" s="161" t="e">
        <f t="shared" si="18"/>
        <v>#N/A</v>
      </c>
      <c r="DV18" s="351" t="str">
        <f t="shared" si="87"/>
        <v/>
      </c>
      <c r="DW18" s="351"/>
      <c r="DX18" s="351"/>
      <c r="DY18" s="351"/>
      <c r="DZ18" s="371">
        <f t="shared" si="88"/>
        <v>0</v>
      </c>
      <c r="EA18" s="371">
        <f t="shared" si="89"/>
        <v>0</v>
      </c>
      <c r="EB18" s="371">
        <f t="shared" si="90"/>
        <v>0</v>
      </c>
      <c r="EC18" s="371">
        <f t="shared" si="91"/>
        <v>0</v>
      </c>
      <c r="ED18" s="371">
        <f t="shared" si="92"/>
        <v>0</v>
      </c>
      <c r="EE18" s="371" t="str">
        <f t="shared" si="93"/>
        <v/>
      </c>
      <c r="EF18" s="371">
        <f t="shared" si="94"/>
        <v>0</v>
      </c>
      <c r="EG18" s="371">
        <f t="shared" si="95"/>
        <v>0</v>
      </c>
      <c r="EH18" s="351">
        <f t="shared" si="96"/>
        <v>0</v>
      </c>
      <c r="EI18" s="351">
        <f t="shared" si="97"/>
        <v>0</v>
      </c>
      <c r="EJ18" s="351">
        <f t="shared" si="98"/>
        <v>0</v>
      </c>
      <c r="EK18" s="351">
        <f t="shared" si="99"/>
        <v>0</v>
      </c>
      <c r="EL18" s="351">
        <f t="shared" si="100"/>
        <v>0</v>
      </c>
      <c r="EM18" s="351" t="str">
        <f t="shared" si="101"/>
        <v/>
      </c>
      <c r="EN18" s="351">
        <f t="shared" si="102"/>
        <v>0</v>
      </c>
      <c r="EO18" s="351">
        <f t="shared" si="103"/>
        <v>0</v>
      </c>
      <c r="EP18" s="371">
        <f t="shared" si="104"/>
        <v>0</v>
      </c>
      <c r="EQ18" s="371">
        <f t="shared" si="105"/>
        <v>0</v>
      </c>
      <c r="ER18" s="371">
        <f t="shared" si="106"/>
        <v>0</v>
      </c>
      <c r="ES18" s="371">
        <f t="shared" si="107"/>
        <v>0</v>
      </c>
      <c r="ET18" s="371">
        <f t="shared" si="108"/>
        <v>0</v>
      </c>
      <c r="EU18" s="371" t="str">
        <f t="shared" si="109"/>
        <v/>
      </c>
      <c r="EV18" s="371">
        <f t="shared" si="110"/>
        <v>0</v>
      </c>
      <c r="EW18" s="371">
        <f t="shared" si="111"/>
        <v>0</v>
      </c>
      <c r="EX18" s="351" t="str">
        <f t="shared" si="112"/>
        <v/>
      </c>
      <c r="EY18" s="351">
        <f t="shared" si="113"/>
        <v>0</v>
      </c>
      <c r="EZ18" s="351" t="str">
        <f t="shared" si="114"/>
        <v/>
      </c>
      <c r="FA18" s="351" t="str">
        <f t="shared" si="115"/>
        <v/>
      </c>
      <c r="FB18" s="351" t="str">
        <f t="shared" si="116"/>
        <v/>
      </c>
      <c r="FC18" s="351">
        <f t="shared" si="117"/>
        <v>0</v>
      </c>
      <c r="FD18" s="351">
        <f t="shared" si="118"/>
        <v>0</v>
      </c>
      <c r="FE18" s="351">
        <f t="shared" si="119"/>
        <v>0</v>
      </c>
      <c r="FF18" s="351">
        <f t="shared" si="120"/>
        <v>0</v>
      </c>
      <c r="FG18" s="351">
        <f t="shared" si="121"/>
        <v>0</v>
      </c>
      <c r="FH18" s="351">
        <f t="shared" si="122"/>
        <v>0</v>
      </c>
      <c r="FI18" s="351">
        <f t="shared" si="123"/>
        <v>0</v>
      </c>
      <c r="FJ18" s="351">
        <f t="shared" si="124"/>
        <v>0</v>
      </c>
      <c r="FK18" s="351">
        <f t="shared" si="125"/>
        <v>0</v>
      </c>
      <c r="FL18" s="351">
        <f t="shared" si="126"/>
        <v>0</v>
      </c>
      <c r="FM18" s="161" t="str">
        <f t="shared" si="19"/>
        <v/>
      </c>
      <c r="FN18" s="351">
        <f t="shared" si="127"/>
        <v>0</v>
      </c>
      <c r="FO18" s="161" t="str">
        <f t="shared" si="128"/>
        <v/>
      </c>
      <c r="FP18" s="161" t="str">
        <f t="shared" si="129"/>
        <v/>
      </c>
      <c r="FQ18" s="351">
        <f t="shared" si="130"/>
        <v>0</v>
      </c>
      <c r="FR18" s="161" t="str">
        <f t="shared" si="131"/>
        <v/>
      </c>
      <c r="FS18" s="161" t="str">
        <f t="shared" si="132"/>
        <v/>
      </c>
      <c r="FT18" s="351">
        <f t="shared" si="133"/>
        <v>0</v>
      </c>
      <c r="FU18" s="161" t="str">
        <f t="shared" si="134"/>
        <v/>
      </c>
      <c r="FV18" s="161" t="str">
        <f t="shared" si="135"/>
        <v/>
      </c>
      <c r="FW18" s="161">
        <f t="shared" si="136"/>
        <v>0</v>
      </c>
      <c r="FX18" s="161">
        <v>0.15</v>
      </c>
      <c r="FY18" s="351" t="str">
        <f t="shared" si="20"/>
        <v/>
      </c>
      <c r="FZ18" s="351" t="str">
        <f t="shared" si="21"/>
        <v/>
      </c>
      <c r="GA18" s="161" t="str">
        <f t="shared" si="137"/>
        <v/>
      </c>
      <c r="GB18" s="161" t="str">
        <f t="shared" si="22"/>
        <v/>
      </c>
      <c r="GC18" s="161" t="str">
        <f t="shared" si="23"/>
        <v/>
      </c>
      <c r="GD18" s="161" t="str">
        <f t="shared" si="138"/>
        <v/>
      </c>
      <c r="GE18" s="351" t="str">
        <f t="shared" si="139"/>
        <v/>
      </c>
      <c r="GF18" s="161" t="str">
        <f t="shared" si="140"/>
        <v>1.1</v>
      </c>
      <c r="GG18" s="351" t="str">
        <f t="shared" si="141"/>
        <v/>
      </c>
      <c r="GH18" s="161">
        <f t="shared" si="24"/>
        <v>0</v>
      </c>
      <c r="GI18" s="161" t="str">
        <f t="shared" si="142"/>
        <v>2.1</v>
      </c>
      <c r="GJ18" s="351" t="str">
        <f t="shared" si="143"/>
        <v/>
      </c>
      <c r="GK18" s="161">
        <f t="shared" si="25"/>
        <v>0</v>
      </c>
      <c r="GL18" s="161" t="str">
        <f t="shared" si="144"/>
        <v>3.1</v>
      </c>
      <c r="GM18" s="161">
        <f t="shared" si="145"/>
        <v>0</v>
      </c>
      <c r="GN18" s="161">
        <v>1.4999999999999999E-2</v>
      </c>
      <c r="GO18" s="351" t="str">
        <f t="shared" si="146"/>
        <v/>
      </c>
      <c r="GP18" s="351" t="str">
        <f t="shared" si="147"/>
        <v>2.1</v>
      </c>
      <c r="GQ18" s="161" t="str">
        <f t="shared" si="148"/>
        <v/>
      </c>
      <c r="GR18" s="161">
        <f t="shared" si="149"/>
        <v>0</v>
      </c>
      <c r="GS18" s="161">
        <f t="shared" si="150"/>
        <v>0</v>
      </c>
      <c r="GT18" s="161">
        <f t="shared" si="151"/>
        <v>0</v>
      </c>
    </row>
    <row r="19" spans="1:202" ht="15.95" customHeight="1">
      <c r="A19" s="355" t="s">
        <v>1004</v>
      </c>
      <c r="B19" s="355" t="s">
        <v>1027</v>
      </c>
      <c r="C19" s="161" t="str">
        <f>VLOOKUP(B19,Average!$GC:$GE,3,FALSE)</f>
        <v/>
      </c>
      <c r="D19" s="161" t="s">
        <v>280</v>
      </c>
      <c r="E19" s="161">
        <f>VLOOKUP(B19,Average!$GC:$HA,24,FALSE)</f>
        <v>0</v>
      </c>
      <c r="F19" s="161">
        <f>VLOOKUP(B19,Average!$GC:$HA,25,FALSE)</f>
        <v>0</v>
      </c>
      <c r="G19" s="161">
        <f>VLOOKUP(B19,Average!$GC:$HB,26,FALSE)</f>
        <v>0</v>
      </c>
      <c r="H19" s="161">
        <f>VLOOKUP(B19,Average!$GC:$HC,27,FALSE)</f>
        <v>0</v>
      </c>
      <c r="I19" s="161">
        <f>VLOOKUP(B19,Average!$GC:$HH,32,FALSE)</f>
        <v>0</v>
      </c>
      <c r="J19" s="161" t="str">
        <f>VLOOKUP(B19,Average!$GC:$HW,47,FALSE)</f>
        <v/>
      </c>
      <c r="K19" s="161">
        <f>IF(P19="",0,VLOOKUP(P19,Average!GC:GD,2,FALSE))</f>
        <v>0</v>
      </c>
      <c r="L19" s="161">
        <f>SUM(K19,M19,Y19)</f>
        <v>0</v>
      </c>
      <c r="M19" s="161">
        <f>IF(K19=1,0,IF(E19&gt;0,1,0))</f>
        <v>0</v>
      </c>
      <c r="N19" s="355" t="s">
        <v>1004</v>
      </c>
      <c r="O19" s="355" t="s">
        <v>1004</v>
      </c>
      <c r="P19" s="355" t="s">
        <v>1028</v>
      </c>
      <c r="Q19" s="161" t="str">
        <f>VLOOKUP(P19,Average!$GC:$GE,3,FALSE)</f>
        <v/>
      </c>
      <c r="R19" s="161" t="s">
        <v>280</v>
      </c>
      <c r="S19" s="161">
        <f>VLOOKUP(P19,Average!$GC:$HA,24,FALSE)</f>
        <v>0</v>
      </c>
      <c r="T19" s="161">
        <f>VLOOKUP(P19,Average!$GC:$HA,25,FALSE)</f>
        <v>0</v>
      </c>
      <c r="U19" s="161">
        <f>VLOOKUP(P19,Average!$GC:$HB,26,FALSE)</f>
        <v>0</v>
      </c>
      <c r="V19" s="161">
        <f>VLOOKUP(P19,Average!$GC:$HC,27,FALSE)</f>
        <v>0</v>
      </c>
      <c r="W19" s="161">
        <f>VLOOKUP(P19,Average!$GC:$HH,32,FALSE)</f>
        <v>0</v>
      </c>
      <c r="X19" s="161" t="str">
        <f>VLOOKUP(P19,Average!$GC:$HW,47,FALSE)</f>
        <v/>
      </c>
      <c r="Y19" s="161">
        <f>IF(B19="",0,VLOOKUP(B19,Average!GC:GD,2,FALSE))</f>
        <v>0</v>
      </c>
      <c r="Z19" s="161">
        <f>SUM(Y19,AA19,K19)</f>
        <v>0</v>
      </c>
      <c r="AA19" s="161">
        <f>IF(Y19=1,0,IF(S19&gt;0,1,0))</f>
        <v>0</v>
      </c>
      <c r="AB19" s="355" t="s">
        <v>1004</v>
      </c>
      <c r="AC19" s="161">
        <f>IF(K19=1,1,IF(I19=2,1,0))</f>
        <v>0</v>
      </c>
      <c r="AD19" s="161">
        <f>IF(Y19=1,1,IF(W19=2,1,0))</f>
        <v>0</v>
      </c>
      <c r="AE19" s="161">
        <f>IF(Y19=1,2,SUM(I19))</f>
        <v>0</v>
      </c>
      <c r="AF19" s="161">
        <f>IF(K19=1,2,SUM(W19))</f>
        <v>0</v>
      </c>
      <c r="AG19" s="161">
        <v>19</v>
      </c>
      <c r="AH19" s="161" t="e">
        <f>VLOOKUP(AG19,'Matchblatt  FEUILLE DE MATCH'!BD:BE,2,FALSE)</f>
        <v>#N/A</v>
      </c>
      <c r="AI19" s="161" t="str">
        <f t="shared" si="0"/>
        <v/>
      </c>
      <c r="AJ19" s="161" t="str">
        <f t="shared" si="4"/>
        <v/>
      </c>
      <c r="AK19" s="161">
        <f t="shared" si="1"/>
        <v>0</v>
      </c>
      <c r="AM19" s="161">
        <v>16</v>
      </c>
      <c r="AN19" s="161" t="e">
        <f t="shared" si="6"/>
        <v>#N/A</v>
      </c>
      <c r="AO19" s="351" t="str">
        <f t="shared" si="26"/>
        <v/>
      </c>
      <c r="AP19" s="351"/>
      <c r="AQ19" s="351"/>
      <c r="AR19" s="351"/>
      <c r="AS19" s="372">
        <f t="shared" si="27"/>
        <v>0</v>
      </c>
      <c r="AT19" s="372">
        <f t="shared" si="28"/>
        <v>0</v>
      </c>
      <c r="AU19" s="372">
        <f t="shared" si="29"/>
        <v>0</v>
      </c>
      <c r="AV19" s="372">
        <f t="shared" si="30"/>
        <v>0</v>
      </c>
      <c r="AW19" s="372">
        <f t="shared" si="31"/>
        <v>0</v>
      </c>
      <c r="AX19" s="372" t="str">
        <f t="shared" si="32"/>
        <v/>
      </c>
      <c r="AY19" s="372">
        <f t="shared" si="33"/>
        <v>0</v>
      </c>
      <c r="AZ19" s="372">
        <f t="shared" si="34"/>
        <v>0</v>
      </c>
      <c r="BA19" s="358">
        <f t="shared" si="35"/>
        <v>0</v>
      </c>
      <c r="BB19" s="358">
        <f t="shared" si="36"/>
        <v>0</v>
      </c>
      <c r="BC19" s="358">
        <f t="shared" si="37"/>
        <v>0</v>
      </c>
      <c r="BD19" s="358">
        <f t="shared" si="38"/>
        <v>0</v>
      </c>
      <c r="BE19" s="358">
        <f t="shared" si="39"/>
        <v>0</v>
      </c>
      <c r="BF19" s="358" t="str">
        <f t="shared" si="40"/>
        <v/>
      </c>
      <c r="BG19" s="351">
        <f t="shared" si="41"/>
        <v>0</v>
      </c>
      <c r="BH19" s="351">
        <f t="shared" si="42"/>
        <v>0</v>
      </c>
      <c r="BI19" s="372">
        <f t="shared" si="43"/>
        <v>0</v>
      </c>
      <c r="BJ19" s="372">
        <f t="shared" si="44"/>
        <v>0</v>
      </c>
      <c r="BK19" s="372">
        <f t="shared" si="45"/>
        <v>0</v>
      </c>
      <c r="BL19" s="372">
        <f t="shared" si="46"/>
        <v>0</v>
      </c>
      <c r="BM19" s="372">
        <f t="shared" si="47"/>
        <v>0</v>
      </c>
      <c r="BN19" s="371" t="str">
        <f t="shared" si="48"/>
        <v/>
      </c>
      <c r="BO19" s="371">
        <f t="shared" si="49"/>
        <v>0</v>
      </c>
      <c r="BP19" s="371">
        <f t="shared" si="50"/>
        <v>0</v>
      </c>
      <c r="BQ19" s="358" t="str">
        <f t="shared" si="51"/>
        <v/>
      </c>
      <c r="BR19" s="358">
        <f t="shared" si="52"/>
        <v>0</v>
      </c>
      <c r="BS19" s="358" t="str">
        <f t="shared" si="53"/>
        <v/>
      </c>
      <c r="BT19" s="358" t="str">
        <f t="shared" si="54"/>
        <v/>
      </c>
      <c r="BU19" s="358" t="str">
        <f t="shared" si="55"/>
        <v/>
      </c>
      <c r="BV19" s="358">
        <f t="shared" si="56"/>
        <v>0</v>
      </c>
      <c r="BW19" s="358">
        <f t="shared" si="57"/>
        <v>0</v>
      </c>
      <c r="BX19" s="358">
        <f t="shared" si="58"/>
        <v>0</v>
      </c>
      <c r="BY19" s="358">
        <f t="shared" si="59"/>
        <v>0</v>
      </c>
      <c r="BZ19" s="358">
        <f t="shared" si="60"/>
        <v>0</v>
      </c>
      <c r="CA19" s="358">
        <f t="shared" si="61"/>
        <v>0</v>
      </c>
      <c r="CB19" s="358">
        <f t="shared" si="62"/>
        <v>0</v>
      </c>
      <c r="CC19" s="358">
        <f t="shared" si="63"/>
        <v>0</v>
      </c>
      <c r="CD19" s="358">
        <f t="shared" si="64"/>
        <v>0</v>
      </c>
      <c r="CE19" s="351">
        <f t="shared" si="65"/>
        <v>0</v>
      </c>
      <c r="CF19" s="161" t="str">
        <f t="shared" si="66"/>
        <v/>
      </c>
      <c r="CG19" s="351">
        <f t="shared" si="67"/>
        <v>0</v>
      </c>
      <c r="CH19" s="161" t="str">
        <f t="shared" si="68"/>
        <v/>
      </c>
      <c r="CI19" s="161" t="str">
        <f t="shared" si="7"/>
        <v/>
      </c>
      <c r="CJ19" s="351">
        <f t="shared" si="8"/>
        <v>0</v>
      </c>
      <c r="CK19" s="161" t="str">
        <f t="shared" si="69"/>
        <v/>
      </c>
      <c r="CL19" s="161" t="str">
        <f t="shared" si="9"/>
        <v/>
      </c>
      <c r="CM19" s="351">
        <f t="shared" si="10"/>
        <v>0</v>
      </c>
      <c r="CN19" s="161" t="str">
        <f t="shared" si="70"/>
        <v/>
      </c>
      <c r="CO19" s="161" t="str">
        <f t="shared" si="11"/>
        <v/>
      </c>
      <c r="CP19" s="161">
        <f t="shared" si="71"/>
        <v>0</v>
      </c>
      <c r="CQ19" s="161">
        <v>0.16</v>
      </c>
      <c r="CR19" s="351" t="str">
        <f t="shared" si="72"/>
        <v/>
      </c>
      <c r="CS19" s="351" t="str">
        <f t="shared" si="73"/>
        <v/>
      </c>
      <c r="CT19" s="161" t="str">
        <f t="shared" si="12"/>
        <v/>
      </c>
      <c r="CU19" s="161" t="str">
        <f t="shared" si="74"/>
        <v/>
      </c>
      <c r="CV19" s="161" t="str">
        <f t="shared" si="75"/>
        <v/>
      </c>
      <c r="CW19" s="161" t="str">
        <f t="shared" si="76"/>
        <v/>
      </c>
      <c r="CX19" s="351" t="str">
        <f t="shared" si="77"/>
        <v/>
      </c>
      <c r="CY19" s="161" t="str">
        <f t="shared" si="13"/>
        <v>1.1</v>
      </c>
      <c r="CZ19" s="351" t="str">
        <f t="shared" si="78"/>
        <v/>
      </c>
      <c r="DA19" s="161">
        <f>IF(CX19=CZ19,0,CZ19)</f>
        <v>0</v>
      </c>
      <c r="DB19" s="161" t="str">
        <f t="shared" si="15"/>
        <v>2.1</v>
      </c>
      <c r="DC19" s="351" t="str">
        <f t="shared" si="79"/>
        <v/>
      </c>
      <c r="DD19" s="161">
        <f>IF(CZ19=DC19,0,IF(CX19=DC19,0,DC19))</f>
        <v>0</v>
      </c>
      <c r="DE19" s="161" t="str">
        <f t="shared" si="17"/>
        <v>3.1</v>
      </c>
      <c r="DF19" s="161">
        <f t="shared" si="80"/>
        <v>0</v>
      </c>
      <c r="DG19" s="161">
        <v>1.6E-2</v>
      </c>
      <c r="DH19" s="351" t="str">
        <f t="shared" si="81"/>
        <v/>
      </c>
      <c r="DI19" s="351" t="str">
        <f t="shared" si="82"/>
        <v>2.1</v>
      </c>
      <c r="DJ19" s="161" t="str">
        <f t="shared" si="83"/>
        <v/>
      </c>
      <c r="DK19" s="161">
        <f t="shared" si="84"/>
        <v>0</v>
      </c>
      <c r="DL19" s="161">
        <f t="shared" si="85"/>
        <v>0</v>
      </c>
      <c r="DM19" s="161">
        <f t="shared" si="86"/>
        <v>0</v>
      </c>
      <c r="DN19" s="161">
        <v>19</v>
      </c>
      <c r="DO19" s="161" t="e">
        <f>VLOOKUP(DN19,'Matchblatt  FEUILLE DE MATCH'!BF:BG,2,FALSE)</f>
        <v>#N/A</v>
      </c>
      <c r="DP19" s="161" t="str">
        <f t="shared" si="2"/>
        <v/>
      </c>
      <c r="DQ19" s="161" t="str">
        <f t="shared" si="5"/>
        <v/>
      </c>
      <c r="DR19" s="161">
        <f t="shared" si="3"/>
        <v>0</v>
      </c>
      <c r="DT19" s="161">
        <v>16</v>
      </c>
      <c r="DU19" s="161" t="e">
        <f t="shared" si="18"/>
        <v>#N/A</v>
      </c>
      <c r="DV19" s="351" t="str">
        <f t="shared" si="87"/>
        <v/>
      </c>
      <c r="DW19" s="351"/>
      <c r="DX19" s="351"/>
      <c r="DY19" s="351"/>
      <c r="DZ19" s="371">
        <f t="shared" si="88"/>
        <v>0</v>
      </c>
      <c r="EA19" s="371">
        <f t="shared" si="89"/>
        <v>0</v>
      </c>
      <c r="EB19" s="371">
        <f t="shared" si="90"/>
        <v>0</v>
      </c>
      <c r="EC19" s="371">
        <f t="shared" si="91"/>
        <v>0</v>
      </c>
      <c r="ED19" s="371">
        <f t="shared" si="92"/>
        <v>0</v>
      </c>
      <c r="EE19" s="371" t="str">
        <f t="shared" si="93"/>
        <v/>
      </c>
      <c r="EF19" s="371">
        <f t="shared" si="94"/>
        <v>0</v>
      </c>
      <c r="EG19" s="371">
        <f t="shared" si="95"/>
        <v>0</v>
      </c>
      <c r="EH19" s="351">
        <f t="shared" si="96"/>
        <v>0</v>
      </c>
      <c r="EI19" s="351">
        <f t="shared" si="97"/>
        <v>0</v>
      </c>
      <c r="EJ19" s="351">
        <f t="shared" si="98"/>
        <v>0</v>
      </c>
      <c r="EK19" s="351">
        <f t="shared" si="99"/>
        <v>0</v>
      </c>
      <c r="EL19" s="351">
        <f t="shared" si="100"/>
        <v>0</v>
      </c>
      <c r="EM19" s="351" t="str">
        <f t="shared" si="101"/>
        <v/>
      </c>
      <c r="EN19" s="351">
        <f t="shared" si="102"/>
        <v>0</v>
      </c>
      <c r="EO19" s="351">
        <f t="shared" si="103"/>
        <v>0</v>
      </c>
      <c r="EP19" s="371">
        <f t="shared" si="104"/>
        <v>0</v>
      </c>
      <c r="EQ19" s="371">
        <f t="shared" si="105"/>
        <v>0</v>
      </c>
      <c r="ER19" s="371">
        <f t="shared" si="106"/>
        <v>0</v>
      </c>
      <c r="ES19" s="371">
        <f t="shared" si="107"/>
        <v>0</v>
      </c>
      <c r="ET19" s="371">
        <f t="shared" si="108"/>
        <v>0</v>
      </c>
      <c r="EU19" s="371" t="str">
        <f t="shared" si="109"/>
        <v/>
      </c>
      <c r="EV19" s="371">
        <f t="shared" si="110"/>
        <v>0</v>
      </c>
      <c r="EW19" s="371">
        <f t="shared" si="111"/>
        <v>0</v>
      </c>
      <c r="EX19" s="351" t="str">
        <f t="shared" si="112"/>
        <v/>
      </c>
      <c r="EY19" s="351">
        <f t="shared" si="113"/>
        <v>0</v>
      </c>
      <c r="EZ19" s="351" t="str">
        <f t="shared" si="114"/>
        <v/>
      </c>
      <c r="FA19" s="351" t="str">
        <f t="shared" si="115"/>
        <v/>
      </c>
      <c r="FB19" s="351" t="str">
        <f t="shared" si="116"/>
        <v/>
      </c>
      <c r="FC19" s="351">
        <f t="shared" si="117"/>
        <v>0</v>
      </c>
      <c r="FD19" s="358">
        <f t="shared" si="118"/>
        <v>0</v>
      </c>
      <c r="FE19" s="358">
        <f t="shared" si="119"/>
        <v>0</v>
      </c>
      <c r="FF19" s="358">
        <f t="shared" si="120"/>
        <v>0</v>
      </c>
      <c r="FG19" s="358">
        <f t="shared" si="121"/>
        <v>0</v>
      </c>
      <c r="FH19" s="358">
        <f t="shared" si="122"/>
        <v>0</v>
      </c>
      <c r="FI19" s="358">
        <f t="shared" si="123"/>
        <v>0</v>
      </c>
      <c r="FJ19" s="358">
        <f t="shared" si="124"/>
        <v>0</v>
      </c>
      <c r="FK19" s="358">
        <f t="shared" si="125"/>
        <v>0</v>
      </c>
      <c r="FL19" s="351">
        <f t="shared" si="126"/>
        <v>0</v>
      </c>
      <c r="FM19" s="161" t="str">
        <f t="shared" si="19"/>
        <v/>
      </c>
      <c r="FN19" s="351">
        <f t="shared" si="127"/>
        <v>0</v>
      </c>
      <c r="FO19" s="161" t="str">
        <f t="shared" si="128"/>
        <v/>
      </c>
      <c r="FP19" s="161" t="str">
        <f t="shared" si="129"/>
        <v/>
      </c>
      <c r="FQ19" s="351">
        <f t="shared" si="130"/>
        <v>0</v>
      </c>
      <c r="FR19" s="161" t="str">
        <f t="shared" si="131"/>
        <v/>
      </c>
      <c r="FS19" s="161" t="str">
        <f t="shared" si="132"/>
        <v/>
      </c>
      <c r="FT19" s="351">
        <f t="shared" si="133"/>
        <v>0</v>
      </c>
      <c r="FU19" s="161" t="str">
        <f t="shared" si="134"/>
        <v/>
      </c>
      <c r="FV19" s="161" t="str">
        <f t="shared" si="135"/>
        <v/>
      </c>
      <c r="FW19" s="161">
        <f t="shared" si="136"/>
        <v>0</v>
      </c>
      <c r="FX19" s="161">
        <v>0.16</v>
      </c>
      <c r="FY19" s="358" t="str">
        <f t="shared" si="20"/>
        <v/>
      </c>
      <c r="FZ19" s="358" t="str">
        <f t="shared" si="21"/>
        <v/>
      </c>
      <c r="GA19" s="161" t="str">
        <f t="shared" si="137"/>
        <v/>
      </c>
      <c r="GB19" s="161" t="str">
        <f t="shared" si="22"/>
        <v/>
      </c>
      <c r="GC19" s="161" t="str">
        <f t="shared" si="23"/>
        <v/>
      </c>
      <c r="GD19" s="161" t="str">
        <f t="shared" si="138"/>
        <v/>
      </c>
      <c r="GE19" s="351" t="str">
        <f t="shared" si="139"/>
        <v/>
      </c>
      <c r="GF19" s="161" t="str">
        <f t="shared" si="140"/>
        <v>1.1</v>
      </c>
      <c r="GG19" s="351" t="str">
        <f t="shared" si="141"/>
        <v/>
      </c>
      <c r="GH19" s="161">
        <f>IF(GE19=GG19,0,GG19)</f>
        <v>0</v>
      </c>
      <c r="GI19" s="161" t="str">
        <f t="shared" si="142"/>
        <v>2.1</v>
      </c>
      <c r="GJ19" s="351" t="str">
        <f t="shared" si="143"/>
        <v/>
      </c>
      <c r="GK19" s="161">
        <f>IF(GG19=GJ19,0,IF(GE19=GJ19,0,GJ19))</f>
        <v>0</v>
      </c>
      <c r="GL19" s="161" t="str">
        <f t="shared" si="144"/>
        <v>3.1</v>
      </c>
      <c r="GM19" s="161">
        <f t="shared" si="145"/>
        <v>0</v>
      </c>
      <c r="GN19" s="161">
        <v>1.6E-2</v>
      </c>
      <c r="GO19" s="351" t="str">
        <f t="shared" si="146"/>
        <v/>
      </c>
      <c r="GP19" s="351" t="str">
        <f t="shared" si="147"/>
        <v>2.1</v>
      </c>
      <c r="GQ19" s="161" t="str">
        <f t="shared" si="148"/>
        <v/>
      </c>
      <c r="GR19" s="161">
        <f t="shared" si="149"/>
        <v>0</v>
      </c>
      <c r="GS19" s="161">
        <f t="shared" si="150"/>
        <v>0</v>
      </c>
      <c r="GT19" s="161">
        <f t="shared" si="151"/>
        <v>0</v>
      </c>
    </row>
    <row r="20" spans="1:202" ht="15.95" customHeight="1">
      <c r="A20" s="355" t="s">
        <v>1007</v>
      </c>
      <c r="B20" s="355" t="s">
        <v>1029</v>
      </c>
      <c r="C20" s="161" t="str">
        <f>VLOOKUP(B20,Average!$GC:$GE,3,FALSE)</f>
        <v/>
      </c>
      <c r="D20" s="161" t="s">
        <v>280</v>
      </c>
      <c r="E20" s="161">
        <f>VLOOKUP(B20,Average!$GC:$HA,24,FALSE)</f>
        <v>0</v>
      </c>
      <c r="F20" s="161">
        <f>VLOOKUP(B20,Average!$GC:$HA,25,FALSE)</f>
        <v>0</v>
      </c>
      <c r="G20" s="161">
        <f>VLOOKUP(B20,Average!$GC:$HB,26,FALSE)</f>
        <v>0</v>
      </c>
      <c r="H20" s="161">
        <f>VLOOKUP(B20,Average!$GC:$HC,27,FALSE)</f>
        <v>0</v>
      </c>
      <c r="I20" s="161">
        <f>VLOOKUP(B20,Average!$GC:$HH,32,FALSE)</f>
        <v>0</v>
      </c>
      <c r="J20" s="161" t="str">
        <f>VLOOKUP(B20,Average!$GC:$HW,47,FALSE)</f>
        <v/>
      </c>
      <c r="K20" s="161">
        <f>IF(P20="",0,VLOOKUP(P20,Average!GC:GD,2,FALSE))</f>
        <v>0</v>
      </c>
      <c r="L20" s="161">
        <f t="shared" ref="L20:L40" si="152">SUM(K20,M20,Y20)</f>
        <v>0</v>
      </c>
      <c r="M20" s="161">
        <f t="shared" ref="M20:M40" si="153">IF(K20=1,0,IF(E20&gt;0,1,0))</f>
        <v>0</v>
      </c>
      <c r="N20" s="355" t="s">
        <v>1007</v>
      </c>
      <c r="O20" s="355" t="s">
        <v>1007</v>
      </c>
      <c r="P20" s="355" t="s">
        <v>1030</v>
      </c>
      <c r="Q20" s="161" t="str">
        <f>VLOOKUP(P20,Average!$GC:$GE,3,FALSE)</f>
        <v/>
      </c>
      <c r="R20" s="161" t="s">
        <v>280</v>
      </c>
      <c r="S20" s="161">
        <f>VLOOKUP(P20,Average!$GC:$HA,24,FALSE)</f>
        <v>0</v>
      </c>
      <c r="T20" s="161">
        <f>VLOOKUP(P20,Average!$GC:$HA,25,FALSE)</f>
        <v>0</v>
      </c>
      <c r="U20" s="161">
        <f>VLOOKUP(P20,Average!$GC:$HB,26,FALSE)</f>
        <v>0</v>
      </c>
      <c r="V20" s="161">
        <f>VLOOKUP(P20,Average!$GC:$HC,27,FALSE)</f>
        <v>0</v>
      </c>
      <c r="W20" s="161">
        <f>VLOOKUP(P20,Average!$GC:$HH,32,FALSE)</f>
        <v>0</v>
      </c>
      <c r="X20" s="161" t="str">
        <f>VLOOKUP(P20,Average!$GC:$HW,47,FALSE)</f>
        <v/>
      </c>
      <c r="Y20" s="161">
        <f>IF(B20="",0,VLOOKUP(B20,Average!GC:GD,2,FALSE))</f>
        <v>0</v>
      </c>
      <c r="Z20" s="161">
        <f t="shared" ref="Z20:Z40" si="154">SUM(Y20,AA20,K20)</f>
        <v>0</v>
      </c>
      <c r="AA20" s="161">
        <f t="shared" ref="AA20:AA40" si="155">IF(Y20=1,0,IF(S20&gt;0,1,0))</f>
        <v>0</v>
      </c>
      <c r="AB20" s="355" t="s">
        <v>1007</v>
      </c>
      <c r="AC20" s="161">
        <f t="shared" ref="AC20:AC42" si="156">IF(K20=1,1,IF(I20=2,1,0))</f>
        <v>0</v>
      </c>
      <c r="AD20" s="161">
        <f t="shared" ref="AD20:AD42" si="157">IF(Y20=1,1,IF(W20=2,1,0))</f>
        <v>0</v>
      </c>
      <c r="AE20" s="161">
        <f>IF(Y20=1,2,SUM(I20))</f>
        <v>0</v>
      </c>
      <c r="AF20" s="161">
        <f>IF(K20=1,2,SUM(W20))</f>
        <v>0</v>
      </c>
      <c r="AG20" s="161">
        <v>20</v>
      </c>
      <c r="AH20" s="161" t="e">
        <f>VLOOKUP(AG20,'Matchblatt  FEUILLE DE MATCH'!BD:BE,2,FALSE)</f>
        <v>#N/A</v>
      </c>
      <c r="AI20" s="161" t="str">
        <f t="shared" si="0"/>
        <v/>
      </c>
      <c r="AJ20" s="161" t="str">
        <f t="shared" si="4"/>
        <v/>
      </c>
      <c r="AK20" s="161">
        <f t="shared" si="1"/>
        <v>0</v>
      </c>
      <c r="AS20" s="370"/>
      <c r="AT20" s="370"/>
      <c r="AU20" s="370"/>
      <c r="AV20" s="370"/>
      <c r="AW20" s="370"/>
      <c r="AX20" s="370"/>
      <c r="AY20" s="370"/>
      <c r="AZ20" s="370"/>
      <c r="DN20" s="161">
        <v>20</v>
      </c>
      <c r="DO20" s="161" t="e">
        <f>VLOOKUP(DN20,'Matchblatt  FEUILLE DE MATCH'!BF:BG,2,FALSE)</f>
        <v>#N/A</v>
      </c>
      <c r="DP20" s="161" t="str">
        <f t="shared" si="2"/>
        <v/>
      </c>
      <c r="DQ20" s="161" t="str">
        <f t="shared" si="5"/>
        <v/>
      </c>
      <c r="DR20" s="161">
        <f t="shared" si="3"/>
        <v>0</v>
      </c>
      <c r="DZ20" s="370"/>
      <c r="EA20" s="370"/>
      <c r="EB20" s="370"/>
      <c r="EC20" s="370"/>
      <c r="ED20" s="370"/>
      <c r="EE20" s="370"/>
      <c r="EF20" s="370"/>
      <c r="EG20" s="370"/>
      <c r="GC20" s="161" t="str">
        <f t="shared" si="23"/>
        <v/>
      </c>
    </row>
    <row r="21" spans="1:202" ht="15.95" customHeight="1">
      <c r="A21" s="355" t="s">
        <v>1010</v>
      </c>
      <c r="B21" s="355" t="s">
        <v>1031</v>
      </c>
      <c r="C21" s="161" t="str">
        <f>VLOOKUP(B21,Average!$GC:$GE,3,FALSE)</f>
        <v/>
      </c>
      <c r="D21" s="161" t="s">
        <v>280</v>
      </c>
      <c r="E21" s="161">
        <f>VLOOKUP(B21,Average!$GC:$HA,24,FALSE)</f>
        <v>0</v>
      </c>
      <c r="F21" s="161">
        <f>VLOOKUP(B21,Average!$GC:$HA,25,FALSE)</f>
        <v>0</v>
      </c>
      <c r="G21" s="161">
        <f>VLOOKUP(B21,Average!$GC:$HB,26,FALSE)</f>
        <v>0</v>
      </c>
      <c r="H21" s="161">
        <f>VLOOKUP(B21,Average!$GC:$HC,27,FALSE)</f>
        <v>0</v>
      </c>
      <c r="I21" s="161">
        <f>VLOOKUP(B21,Average!$GC:$HH,32,FALSE)</f>
        <v>0</v>
      </c>
      <c r="J21" s="161" t="str">
        <f>VLOOKUP(B21,Average!$GC:$HW,47,FALSE)</f>
        <v/>
      </c>
      <c r="K21" s="161">
        <f>IF(P21="",0,VLOOKUP(P21,Average!GC:GD,2,FALSE))</f>
        <v>0</v>
      </c>
      <c r="L21" s="161">
        <f t="shared" si="152"/>
        <v>0</v>
      </c>
      <c r="M21" s="161">
        <f t="shared" si="153"/>
        <v>0</v>
      </c>
      <c r="N21" s="355" t="s">
        <v>1010</v>
      </c>
      <c r="O21" s="355" t="s">
        <v>1010</v>
      </c>
      <c r="P21" s="355" t="s">
        <v>1032</v>
      </c>
      <c r="Q21" s="161" t="str">
        <f>VLOOKUP(P21,Average!$GC:$GE,3,FALSE)</f>
        <v/>
      </c>
      <c r="R21" s="161" t="s">
        <v>280</v>
      </c>
      <c r="S21" s="161">
        <f>VLOOKUP(P21,Average!$GC:$HA,24,FALSE)</f>
        <v>0</v>
      </c>
      <c r="T21" s="161">
        <f>VLOOKUP(P21,Average!$GC:$HA,25,FALSE)</f>
        <v>0</v>
      </c>
      <c r="U21" s="161">
        <f>VLOOKUP(P21,Average!$GC:$HB,26,FALSE)</f>
        <v>0</v>
      </c>
      <c r="V21" s="161">
        <f>VLOOKUP(P21,Average!$GC:$HC,27,FALSE)</f>
        <v>0</v>
      </c>
      <c r="W21" s="161">
        <f>VLOOKUP(P21,Average!$GC:$HH,32,FALSE)</f>
        <v>0</v>
      </c>
      <c r="X21" s="161" t="str">
        <f>VLOOKUP(P21,Average!$GC:$HW,47,FALSE)</f>
        <v/>
      </c>
      <c r="Y21" s="161">
        <f>IF(B21="",0,VLOOKUP(B21,Average!GC:GD,2,FALSE))</f>
        <v>0</v>
      </c>
      <c r="Z21" s="161">
        <f t="shared" si="154"/>
        <v>0</v>
      </c>
      <c r="AA21" s="161">
        <f t="shared" si="155"/>
        <v>0</v>
      </c>
      <c r="AB21" s="355" t="s">
        <v>1010</v>
      </c>
      <c r="AC21" s="161">
        <f t="shared" si="156"/>
        <v>0</v>
      </c>
      <c r="AD21" s="161">
        <f t="shared" si="157"/>
        <v>0</v>
      </c>
      <c r="AE21" s="161">
        <f t="shared" ref="AE21:AE42" si="158">IF(Y21=1,2,SUM(I21))</f>
        <v>0</v>
      </c>
      <c r="AF21" s="161">
        <f t="shared" ref="AF21:AF42" si="159">IF(K21=1,2,SUM(W21))</f>
        <v>0</v>
      </c>
      <c r="AG21" s="161">
        <v>21</v>
      </c>
      <c r="AH21" s="161" t="e">
        <f>VLOOKUP(AG21,'Matchblatt  FEUILLE DE MATCH'!BD:BE,2,FALSE)</f>
        <v>#N/A</v>
      </c>
      <c r="AI21" s="161" t="str">
        <f t="shared" si="0"/>
        <v/>
      </c>
      <c r="AJ21" s="161" t="str">
        <f t="shared" si="4"/>
        <v/>
      </c>
      <c r="AK21" s="161">
        <f t="shared" si="1"/>
        <v>0</v>
      </c>
      <c r="AS21" s="370"/>
      <c r="AT21" s="370"/>
      <c r="AU21" s="370"/>
      <c r="AV21" s="370"/>
      <c r="AW21" s="370"/>
      <c r="AX21" s="370"/>
      <c r="AY21" s="370"/>
      <c r="AZ21" s="370"/>
      <c r="DN21" s="161">
        <v>21</v>
      </c>
      <c r="DO21" s="161" t="e">
        <f>VLOOKUP(DN21,'Matchblatt  FEUILLE DE MATCH'!BF:BG,2,FALSE)</f>
        <v>#N/A</v>
      </c>
      <c r="DP21" s="161" t="str">
        <f t="shared" si="2"/>
        <v/>
      </c>
      <c r="DQ21" s="161" t="str">
        <f t="shared" si="5"/>
        <v/>
      </c>
      <c r="DR21" s="161">
        <f t="shared" si="3"/>
        <v>0</v>
      </c>
      <c r="DZ21" s="370"/>
      <c r="EA21" s="370"/>
      <c r="EB21" s="370"/>
      <c r="EC21" s="370"/>
      <c r="ED21" s="370"/>
      <c r="EE21" s="370"/>
      <c r="EF21" s="370"/>
      <c r="EG21" s="370"/>
    </row>
    <row r="22" spans="1:202" ht="15.95" customHeight="1">
      <c r="A22" s="355" t="s">
        <v>1013</v>
      </c>
      <c r="B22" s="355" t="s">
        <v>1033</v>
      </c>
      <c r="C22" s="161" t="str">
        <f>VLOOKUP(B22,Average!$GC:$GE,3,FALSE)</f>
        <v/>
      </c>
      <c r="D22" s="161" t="s">
        <v>280</v>
      </c>
      <c r="E22" s="161">
        <f>VLOOKUP(B22,Average!$GC:$HA,24,FALSE)</f>
        <v>0</v>
      </c>
      <c r="F22" s="161">
        <f>VLOOKUP(B22,Average!$GC:$HA,25,FALSE)</f>
        <v>0</v>
      </c>
      <c r="G22" s="161">
        <f>VLOOKUP(B22,Average!$GC:$HB,26,FALSE)</f>
        <v>0</v>
      </c>
      <c r="H22" s="161">
        <f>VLOOKUP(B22,Average!$GC:$HC,27,FALSE)</f>
        <v>0</v>
      </c>
      <c r="I22" s="161">
        <f>VLOOKUP(B22,Average!$GC:$HH,32,FALSE)</f>
        <v>0</v>
      </c>
      <c r="J22" s="161" t="str">
        <f>VLOOKUP(B22,Average!$GC:$HW,47,FALSE)</f>
        <v/>
      </c>
      <c r="K22" s="161">
        <f>IF(P22="",0,VLOOKUP(P22,Average!GC:GD,2,FALSE))</f>
        <v>0</v>
      </c>
      <c r="L22" s="161">
        <f t="shared" si="152"/>
        <v>0</v>
      </c>
      <c r="M22" s="161">
        <f t="shared" si="153"/>
        <v>0</v>
      </c>
      <c r="N22" s="355" t="s">
        <v>1013</v>
      </c>
      <c r="O22" s="355" t="s">
        <v>1013</v>
      </c>
      <c r="P22" s="355" t="s">
        <v>1034</v>
      </c>
      <c r="Q22" s="161" t="str">
        <f>VLOOKUP(P22,Average!$GC:$GE,3,FALSE)</f>
        <v/>
      </c>
      <c r="R22" s="161" t="s">
        <v>280</v>
      </c>
      <c r="S22" s="161">
        <f>VLOOKUP(P22,Average!$GC:$HA,24,FALSE)</f>
        <v>0</v>
      </c>
      <c r="T22" s="161">
        <f>VLOOKUP(P22,Average!$GC:$HA,25,FALSE)</f>
        <v>0</v>
      </c>
      <c r="U22" s="161">
        <f>VLOOKUP(P22,Average!$GC:$HB,26,FALSE)</f>
        <v>0</v>
      </c>
      <c r="V22" s="161">
        <f>VLOOKUP(P22,Average!$GC:$HC,27,FALSE)</f>
        <v>0</v>
      </c>
      <c r="W22" s="161">
        <f>VLOOKUP(P22,Average!$GC:$HH,32,FALSE)</f>
        <v>0</v>
      </c>
      <c r="X22" s="161" t="str">
        <f>VLOOKUP(P22,Average!$GC:$HW,47,FALSE)</f>
        <v/>
      </c>
      <c r="Y22" s="161">
        <f>IF(B22="",0,VLOOKUP(B22,Average!GC:GD,2,FALSE))</f>
        <v>0</v>
      </c>
      <c r="Z22" s="161">
        <f t="shared" si="154"/>
        <v>0</v>
      </c>
      <c r="AA22" s="161">
        <f t="shared" si="155"/>
        <v>0</v>
      </c>
      <c r="AB22" s="355" t="s">
        <v>1013</v>
      </c>
      <c r="AC22" s="161">
        <f t="shared" si="156"/>
        <v>0</v>
      </c>
      <c r="AD22" s="161">
        <f t="shared" si="157"/>
        <v>0</v>
      </c>
      <c r="AE22" s="161">
        <f t="shared" si="158"/>
        <v>0</v>
      </c>
      <c r="AF22" s="161">
        <f t="shared" si="159"/>
        <v>0</v>
      </c>
      <c r="AG22" s="161">
        <v>22</v>
      </c>
      <c r="AH22" s="161" t="e">
        <f>VLOOKUP(AG22,'Matchblatt  FEUILLE DE MATCH'!BD:BE,2,FALSE)</f>
        <v>#N/A</v>
      </c>
      <c r="AI22" s="161" t="str">
        <f t="shared" si="0"/>
        <v/>
      </c>
      <c r="AJ22" s="161" t="str">
        <f t="shared" si="4"/>
        <v/>
      </c>
      <c r="AK22" s="161">
        <f t="shared" si="1"/>
        <v>0</v>
      </c>
      <c r="AS22" s="370"/>
      <c r="AT22" s="370"/>
      <c r="AU22" s="370"/>
      <c r="AV22" s="370"/>
      <c r="AW22" s="370"/>
      <c r="AX22" s="370"/>
      <c r="AY22" s="370"/>
      <c r="AZ22" s="370"/>
      <c r="DN22" s="161">
        <v>22</v>
      </c>
      <c r="DO22" s="161" t="e">
        <f>VLOOKUP(DN22,'Matchblatt  FEUILLE DE MATCH'!BF:BG,2,FALSE)</f>
        <v>#N/A</v>
      </c>
      <c r="DP22" s="161" t="str">
        <f t="shared" si="2"/>
        <v/>
      </c>
      <c r="DQ22" s="161" t="str">
        <f t="shared" si="5"/>
        <v/>
      </c>
      <c r="DR22" s="161">
        <f t="shared" si="3"/>
        <v>0</v>
      </c>
      <c r="DZ22" s="370"/>
      <c r="EA22" s="370"/>
      <c r="EB22" s="370"/>
      <c r="EC22" s="370"/>
      <c r="ED22" s="370"/>
      <c r="EE22" s="370"/>
      <c r="EF22" s="370"/>
      <c r="EG22" s="370"/>
    </row>
    <row r="23" spans="1:202" ht="15.95" customHeight="1">
      <c r="A23" s="355" t="s">
        <v>1035</v>
      </c>
      <c r="B23" s="355" t="s">
        <v>1036</v>
      </c>
      <c r="C23" s="161" t="str">
        <f>VLOOKUP(B23,Average!$GC:$GE,3,FALSE)</f>
        <v/>
      </c>
      <c r="D23" s="161" t="s">
        <v>280</v>
      </c>
      <c r="E23" s="161">
        <f>VLOOKUP(B23,Average!$GC:$HA,24,FALSE)</f>
        <v>0</v>
      </c>
      <c r="F23" s="161">
        <f>VLOOKUP(B23,Average!$GC:$HA,25,FALSE)</f>
        <v>0</v>
      </c>
      <c r="G23" s="161">
        <f>VLOOKUP(B23,Average!$GC:$HB,26,FALSE)</f>
        <v>0</v>
      </c>
      <c r="H23" s="161">
        <f>VLOOKUP(B23,Average!$GC:$HC,27,FALSE)</f>
        <v>0</v>
      </c>
      <c r="I23" s="161">
        <f>VLOOKUP(B23,Average!$GC:$HH,32,FALSE)</f>
        <v>0</v>
      </c>
      <c r="J23" s="161" t="str">
        <f>VLOOKUP(B23,Average!$GC:$HW,47,FALSE)</f>
        <v/>
      </c>
      <c r="K23" s="161">
        <f>IF(P23="",0,VLOOKUP(P23,Average!GC:GD,2,FALSE))</f>
        <v>0</v>
      </c>
      <c r="L23" s="161">
        <f t="shared" si="152"/>
        <v>0</v>
      </c>
      <c r="M23" s="161">
        <f t="shared" si="153"/>
        <v>0</v>
      </c>
      <c r="N23" s="355" t="s">
        <v>1035</v>
      </c>
      <c r="O23" s="355" t="s">
        <v>1035</v>
      </c>
      <c r="P23" s="355" t="s">
        <v>1037</v>
      </c>
      <c r="Q23" s="161" t="str">
        <f>VLOOKUP(P23,Average!$GC:$GE,3,FALSE)</f>
        <v/>
      </c>
      <c r="R23" s="161" t="s">
        <v>280</v>
      </c>
      <c r="S23" s="161">
        <f>VLOOKUP(P23,Average!$GC:$HA,24,FALSE)</f>
        <v>0</v>
      </c>
      <c r="T23" s="161">
        <f>VLOOKUP(P23,Average!$GC:$HA,25,FALSE)</f>
        <v>0</v>
      </c>
      <c r="U23" s="161">
        <f>VLOOKUP(P23,Average!$GC:$HB,26,FALSE)</f>
        <v>0</v>
      </c>
      <c r="V23" s="161">
        <f>VLOOKUP(P23,Average!$GC:$HC,27,FALSE)</f>
        <v>0</v>
      </c>
      <c r="W23" s="161">
        <f>VLOOKUP(P23,Average!$GC:$HH,32,FALSE)</f>
        <v>0</v>
      </c>
      <c r="X23" s="161" t="str">
        <f>VLOOKUP(P23,Average!$GC:$HW,47,FALSE)</f>
        <v/>
      </c>
      <c r="Y23" s="161">
        <f>IF(B23="",0,VLOOKUP(B23,Average!GC:GD,2,FALSE))</f>
        <v>0</v>
      </c>
      <c r="Z23" s="161">
        <f t="shared" si="154"/>
        <v>0</v>
      </c>
      <c r="AA23" s="161">
        <f t="shared" si="155"/>
        <v>0</v>
      </c>
      <c r="AB23" s="355" t="s">
        <v>1035</v>
      </c>
      <c r="AC23" s="161">
        <f t="shared" si="156"/>
        <v>0</v>
      </c>
      <c r="AD23" s="161">
        <f t="shared" si="157"/>
        <v>0</v>
      </c>
      <c r="AE23" s="161">
        <f t="shared" si="158"/>
        <v>0</v>
      </c>
      <c r="AF23" s="161">
        <f t="shared" si="159"/>
        <v>0</v>
      </c>
      <c r="AG23" s="161">
        <v>23</v>
      </c>
      <c r="AH23" s="161" t="e">
        <f>VLOOKUP(AG23,'Matchblatt  FEUILLE DE MATCH'!BD:BE,2,FALSE)</f>
        <v>#N/A</v>
      </c>
      <c r="AI23" s="161" t="str">
        <f t="shared" si="0"/>
        <v/>
      </c>
      <c r="AJ23" s="161" t="str">
        <f t="shared" si="4"/>
        <v/>
      </c>
      <c r="AK23" s="161">
        <f t="shared" si="1"/>
        <v>0</v>
      </c>
      <c r="AS23" s="370"/>
      <c r="AT23" s="370"/>
      <c r="AU23" s="370"/>
      <c r="AV23" s="370"/>
      <c r="AW23" s="370"/>
      <c r="AX23" s="370"/>
      <c r="AY23" s="370"/>
      <c r="AZ23" s="370"/>
      <c r="DN23" s="161">
        <v>23</v>
      </c>
      <c r="DO23" s="161" t="e">
        <f>VLOOKUP(DN23,'Matchblatt  FEUILLE DE MATCH'!BF:BG,2,FALSE)</f>
        <v>#N/A</v>
      </c>
      <c r="DP23" s="161" t="str">
        <f t="shared" si="2"/>
        <v/>
      </c>
      <c r="DQ23" s="161" t="str">
        <f t="shared" si="5"/>
        <v/>
      </c>
      <c r="DR23" s="161">
        <f t="shared" si="3"/>
        <v>0</v>
      </c>
      <c r="DZ23" s="370"/>
      <c r="EA23" s="370"/>
      <c r="EB23" s="370"/>
      <c r="EC23" s="370"/>
      <c r="ED23" s="370"/>
      <c r="EE23" s="370"/>
      <c r="EF23" s="370"/>
      <c r="EG23" s="370"/>
    </row>
    <row r="24" spans="1:202" ht="15.95" customHeight="1">
      <c r="A24" s="355" t="s">
        <v>1038</v>
      </c>
      <c r="B24" s="355" t="s">
        <v>1039</v>
      </c>
      <c r="C24" s="161" t="str">
        <f>VLOOKUP(B24,Average!$GC:$GE,3,FALSE)</f>
        <v/>
      </c>
      <c r="D24" s="161" t="s">
        <v>280</v>
      </c>
      <c r="E24" s="161">
        <f>VLOOKUP(B24,Average!$GC:$HA,24,FALSE)</f>
        <v>0</v>
      </c>
      <c r="F24" s="161">
        <f>VLOOKUP(B24,Average!$GC:$HA,25,FALSE)</f>
        <v>0</v>
      </c>
      <c r="G24" s="161">
        <f>VLOOKUP(B24,Average!$GC:$HB,26,FALSE)</f>
        <v>0</v>
      </c>
      <c r="H24" s="161">
        <f>VLOOKUP(B24,Average!$GC:$HC,27,FALSE)</f>
        <v>0</v>
      </c>
      <c r="I24" s="161">
        <f>VLOOKUP(B24,Average!$GC:$HH,32,FALSE)</f>
        <v>0</v>
      </c>
      <c r="J24" s="161" t="str">
        <f>VLOOKUP(B24,Average!$GC:$HW,47,FALSE)</f>
        <v/>
      </c>
      <c r="K24" s="161">
        <f>IF(P24="",0,VLOOKUP(P24,Average!GC:GD,2,FALSE))</f>
        <v>0</v>
      </c>
      <c r="L24" s="161">
        <f t="shared" si="152"/>
        <v>0</v>
      </c>
      <c r="M24" s="161">
        <f t="shared" si="153"/>
        <v>0</v>
      </c>
      <c r="N24" s="355" t="s">
        <v>1038</v>
      </c>
      <c r="O24" s="355" t="s">
        <v>1038</v>
      </c>
      <c r="P24" s="355" t="s">
        <v>1040</v>
      </c>
      <c r="Q24" s="161" t="str">
        <f>VLOOKUP(P24,Average!$GC:$GE,3,FALSE)</f>
        <v/>
      </c>
      <c r="R24" s="161" t="s">
        <v>280</v>
      </c>
      <c r="S24" s="161">
        <f>VLOOKUP(P24,Average!$GC:$HA,24,FALSE)</f>
        <v>0</v>
      </c>
      <c r="T24" s="161">
        <f>VLOOKUP(P24,Average!$GC:$HA,25,FALSE)</f>
        <v>0</v>
      </c>
      <c r="U24" s="161">
        <f>VLOOKUP(P24,Average!$GC:$HB,26,FALSE)</f>
        <v>0</v>
      </c>
      <c r="V24" s="161">
        <f>VLOOKUP(P24,Average!$GC:$HC,27,FALSE)</f>
        <v>0</v>
      </c>
      <c r="W24" s="161">
        <f>VLOOKUP(P24,Average!$GC:$HH,32,FALSE)</f>
        <v>0</v>
      </c>
      <c r="X24" s="161" t="str">
        <f>VLOOKUP(P24,Average!$GC:$HW,47,FALSE)</f>
        <v/>
      </c>
      <c r="Y24" s="161">
        <f>IF(B24="",0,VLOOKUP(B24,Average!GC:GD,2,FALSE))</f>
        <v>0</v>
      </c>
      <c r="Z24" s="161">
        <f t="shared" si="154"/>
        <v>0</v>
      </c>
      <c r="AA24" s="161">
        <f t="shared" si="155"/>
        <v>0</v>
      </c>
      <c r="AB24" s="355" t="s">
        <v>1038</v>
      </c>
      <c r="AC24" s="161">
        <f t="shared" si="156"/>
        <v>0</v>
      </c>
      <c r="AD24" s="161">
        <f t="shared" si="157"/>
        <v>0</v>
      </c>
      <c r="AE24" s="161">
        <f t="shared" si="158"/>
        <v>0</v>
      </c>
      <c r="AF24" s="161">
        <f t="shared" si="159"/>
        <v>0</v>
      </c>
      <c r="AG24" s="354">
        <v>24</v>
      </c>
      <c r="AH24" s="161" t="e">
        <f>VLOOKUP(AG24,'Matchblatt  FEUILLE DE MATCH'!BD:BE,2,FALSE)</f>
        <v>#N/A</v>
      </c>
      <c r="AI24" s="161" t="str">
        <f t="shared" si="0"/>
        <v/>
      </c>
      <c r="AJ24" s="161" t="str">
        <f t="shared" si="4"/>
        <v/>
      </c>
      <c r="AK24" s="161">
        <f t="shared" si="1"/>
        <v>0</v>
      </c>
      <c r="DN24" s="354">
        <v>24</v>
      </c>
      <c r="DO24" s="161" t="e">
        <f>VLOOKUP(DN24,'Matchblatt  FEUILLE DE MATCH'!BF:BG,2,FALSE)</f>
        <v>#N/A</v>
      </c>
      <c r="DP24" s="161" t="str">
        <f t="shared" si="2"/>
        <v/>
      </c>
      <c r="DQ24" s="161" t="str">
        <f t="shared" si="5"/>
        <v/>
      </c>
      <c r="DR24" s="161">
        <f t="shared" si="3"/>
        <v>0</v>
      </c>
    </row>
    <row r="25" spans="1:202" ht="15.95" customHeight="1">
      <c r="A25" s="355" t="s">
        <v>1041</v>
      </c>
      <c r="B25" s="355" t="str">
        <f>IF($B$1=3,"","HS 1.7")</f>
        <v>HS 1.7</v>
      </c>
      <c r="C25" s="161" t="str">
        <f>IF(B25="","",VLOOKUP(B25,Average!$GC:$GE,3,FALSE))</f>
        <v/>
      </c>
      <c r="D25" s="161" t="s">
        <v>280</v>
      </c>
      <c r="E25" s="161">
        <f>IF(B25="","",VLOOKUP(B25,Average!$GC:$HA,24,FALSE))</f>
        <v>0</v>
      </c>
      <c r="F25" s="161">
        <f>IF(B25="","",VLOOKUP(B25,Average!$GC:$HA,25,FALSE))</f>
        <v>0</v>
      </c>
      <c r="G25" s="161">
        <f>IF(B25="","",VLOOKUP(B25,Average!$GC:$HB,26,FALSE))</f>
        <v>0</v>
      </c>
      <c r="H25" s="161">
        <f>IF(B25="","",VLOOKUP(B25,Average!$GC:$HC,27,FALSE))</f>
        <v>0</v>
      </c>
      <c r="I25" s="161">
        <f>IF(B25="","",VLOOKUP(B25,Average!$GC:$HH,32,FALSE))</f>
        <v>0</v>
      </c>
      <c r="J25" s="161" t="str">
        <f>IF(B25="","",VLOOKUP(B25,Average!$GC:$HW,47,FALSE))</f>
        <v/>
      </c>
      <c r="K25" s="161">
        <f>IF(P25="",0,VLOOKUP(P25,Average!GC:GD,2,FALSE))</f>
        <v>0</v>
      </c>
      <c r="L25" s="161">
        <f>IF(B25="",0,SUM(K25,M25,Y25))</f>
        <v>0</v>
      </c>
      <c r="M25" s="161">
        <f>IF(B25="",0,IF(K25=1,0,IF(E25&gt;0,1,0)))</f>
        <v>0</v>
      </c>
      <c r="N25" s="355" t="s">
        <v>1041</v>
      </c>
      <c r="O25" s="355" t="s">
        <v>1041</v>
      </c>
      <c r="P25" s="355" t="str">
        <f>IF($B$1=3,"","GS 1.7")</f>
        <v>GS 1.7</v>
      </c>
      <c r="Q25" s="161" t="str">
        <f>IF(P25="","",VLOOKUP(P25,Average!$GC:$GE,3,FALSE))</f>
        <v/>
      </c>
      <c r="R25" s="161" t="s">
        <v>280</v>
      </c>
      <c r="S25" s="161">
        <f>IF(P25="","",VLOOKUP(P25,Average!$GC:$HA,24,FALSE))</f>
        <v>0</v>
      </c>
      <c r="T25" s="161">
        <f>IF(P25="","",VLOOKUP(P25,Average!$GC:$HA,25,FALSE))</f>
        <v>0</v>
      </c>
      <c r="U25" s="161">
        <f>IF(P25="","",VLOOKUP(P25,Average!$GC:$HB,26,FALSE))</f>
        <v>0</v>
      </c>
      <c r="V25" s="161">
        <f>IF(P25="","",VLOOKUP(P25,Average!$GC:$HC,27,FALSE))</f>
        <v>0</v>
      </c>
      <c r="W25" s="161">
        <f>IF(P25="","",VLOOKUP(P25,Average!$GC:$HH,32,FALSE))</f>
        <v>0</v>
      </c>
      <c r="X25" s="161" t="str">
        <f>IF(P25="","",VLOOKUP(P25,Average!$GC:$HW,47,FALSE))</f>
        <v/>
      </c>
      <c r="Y25" s="161">
        <f>IF(B25="",0,VLOOKUP(B25,Average!GC:GD,2,FALSE))</f>
        <v>0</v>
      </c>
      <c r="Z25" s="161">
        <f>IF(P25="",0,SUM(Y25,AA25,K25))</f>
        <v>0</v>
      </c>
      <c r="AA25" s="161">
        <f>IF(P25="",0,IF(Y25=1,0,IF(S25&gt;0,1,0)))</f>
        <v>0</v>
      </c>
      <c r="AB25" s="355" t="s">
        <v>1041</v>
      </c>
      <c r="AC25" s="161">
        <f t="shared" si="156"/>
        <v>0</v>
      </c>
      <c r="AD25" s="161">
        <f t="shared" si="157"/>
        <v>0</v>
      </c>
      <c r="AE25" s="161">
        <f t="shared" si="158"/>
        <v>0</v>
      </c>
      <c r="AF25" s="161">
        <f t="shared" si="159"/>
        <v>0</v>
      </c>
      <c r="AG25" s="161">
        <v>25</v>
      </c>
      <c r="AH25" s="161" t="e">
        <f>VLOOKUP(AG25,'Matchblatt  FEUILLE DE MATCH'!BD:BE,2,FALSE)</f>
        <v>#N/A</v>
      </c>
      <c r="AI25" s="161" t="str">
        <f t="shared" si="0"/>
        <v/>
      </c>
      <c r="AJ25" s="161" t="str">
        <f t="shared" si="4"/>
        <v/>
      </c>
      <c r="AK25" s="161">
        <f t="shared" si="1"/>
        <v>0</v>
      </c>
      <c r="DN25" s="161">
        <v>25</v>
      </c>
      <c r="DO25" s="161" t="e">
        <f>VLOOKUP(DN25,'Matchblatt  FEUILLE DE MATCH'!BF:BG,2,FALSE)</f>
        <v>#N/A</v>
      </c>
      <c r="DP25" s="161" t="str">
        <f t="shared" si="2"/>
        <v/>
      </c>
      <c r="DQ25" s="161" t="str">
        <f t="shared" si="5"/>
        <v/>
      </c>
      <c r="DR25" s="161">
        <f t="shared" si="3"/>
        <v>0</v>
      </c>
    </row>
    <row r="26" spans="1:202" ht="15.95" customHeight="1">
      <c r="A26" s="353" t="s">
        <v>1044</v>
      </c>
      <c r="B26" s="353" t="str">
        <f>IF($B$1=3,"","HS 1.8")</f>
        <v>HS 1.8</v>
      </c>
      <c r="C26" s="161" t="str">
        <f>IF(B26="","",VLOOKUP(B26,Average!$GC:$GE,3,FALSE))</f>
        <v/>
      </c>
      <c r="D26" s="354" t="s">
        <v>280</v>
      </c>
      <c r="E26" s="161">
        <f>IF(B26="","",VLOOKUP(B26,Average!$GC:$HA,24,FALSE))</f>
        <v>0</v>
      </c>
      <c r="F26" s="161">
        <f>IF(B26="","",VLOOKUP(B26,Average!$GC:$HA,25,FALSE))</f>
        <v>0</v>
      </c>
      <c r="G26" s="161">
        <f>IF(B26="","",VLOOKUP(B26,Average!$GC:$HB,26,FALSE))</f>
        <v>0</v>
      </c>
      <c r="H26" s="161">
        <f>IF(B26="","",VLOOKUP(B26,Average!$GC:$HC,27,FALSE))</f>
        <v>0</v>
      </c>
      <c r="I26" s="161">
        <f>IF(B26="","",VLOOKUP(B26,Average!$GC:$HH,32,FALSE))</f>
        <v>0</v>
      </c>
      <c r="J26" s="161" t="str">
        <f>IF(B26="","",VLOOKUP(B26,Average!$GC:$HW,47,FALSE))</f>
        <v/>
      </c>
      <c r="K26" s="161">
        <f>IF(P26="",0,VLOOKUP(P26,Average!GC:GD,2,FALSE))</f>
        <v>0</v>
      </c>
      <c r="L26" s="161">
        <f>IF(B26="",0,SUM(K26,M26,Y26))</f>
        <v>0</v>
      </c>
      <c r="M26" s="161">
        <f>IF(B26="",0,IF(K26=1,0,IF(E26&gt;0,1,0)))</f>
        <v>0</v>
      </c>
      <c r="N26" s="353" t="s">
        <v>1044</v>
      </c>
      <c r="O26" s="353" t="s">
        <v>1044</v>
      </c>
      <c r="P26" s="353" t="str">
        <f>IF($B$1=3,"","GS 1.8")</f>
        <v>GS 1.8</v>
      </c>
      <c r="Q26" s="161" t="str">
        <f>IF(P26="","",VLOOKUP(P26,Average!$GC:$GE,3,FALSE))</f>
        <v/>
      </c>
      <c r="R26" s="354" t="s">
        <v>280</v>
      </c>
      <c r="S26" s="161">
        <f>IF(P26="","",VLOOKUP(P26,Average!$GC:$HA,24,FALSE))</f>
        <v>0</v>
      </c>
      <c r="T26" s="161">
        <f>IF(P26="","",VLOOKUP(P26,Average!$GC:$HA,25,FALSE))</f>
        <v>0</v>
      </c>
      <c r="U26" s="161">
        <f>IF(P26="","",VLOOKUP(P26,Average!$GC:$HB,26,FALSE))</f>
        <v>0</v>
      </c>
      <c r="V26" s="161">
        <f>IF(P26="","",VLOOKUP(P26,Average!$GC:$HC,27,FALSE))</f>
        <v>0</v>
      </c>
      <c r="W26" s="161">
        <f>IF(P26="","",VLOOKUP(P26,Average!$GC:$HH,32,FALSE))</f>
        <v>0</v>
      </c>
      <c r="X26" s="161" t="str">
        <f>IF(P26="","",VLOOKUP(P26,Average!$GC:$HW,47,FALSE))</f>
        <v/>
      </c>
      <c r="Y26" s="161">
        <f>IF(B26="",0,VLOOKUP(B26,Average!GC:GD,2,FALSE))</f>
        <v>0</v>
      </c>
      <c r="Z26" s="161">
        <f>IF(P26="",0,SUM(Y26,AA26,K26))</f>
        <v>0</v>
      </c>
      <c r="AA26" s="161">
        <f>IF(P26="",0,IF(Y26=1,0,IF(S26&gt;0,1,0)))</f>
        <v>0</v>
      </c>
      <c r="AB26" s="353" t="s">
        <v>1044</v>
      </c>
      <c r="AC26" s="161">
        <f t="shared" si="156"/>
        <v>0</v>
      </c>
      <c r="AD26" s="161">
        <f t="shared" si="157"/>
        <v>0</v>
      </c>
      <c r="AE26" s="161">
        <f t="shared" si="158"/>
        <v>0</v>
      </c>
      <c r="AF26" s="161">
        <f t="shared" si="159"/>
        <v>0</v>
      </c>
      <c r="AG26" s="161">
        <v>26</v>
      </c>
      <c r="AH26" s="161" t="e">
        <f>VLOOKUP(AG26,'Matchblatt  FEUILLE DE MATCH'!BD:BE,2,FALSE)</f>
        <v>#N/A</v>
      </c>
      <c r="AI26" s="161" t="str">
        <f t="shared" si="0"/>
        <v/>
      </c>
      <c r="AJ26" s="161" t="str">
        <f t="shared" si="4"/>
        <v/>
      </c>
      <c r="AK26" s="161">
        <f t="shared" si="1"/>
        <v>0</v>
      </c>
      <c r="DN26" s="161">
        <v>26</v>
      </c>
      <c r="DO26" s="161" t="e">
        <f>VLOOKUP(DN26,'Matchblatt  FEUILLE DE MATCH'!BF:BG,2,FALSE)</f>
        <v>#N/A</v>
      </c>
      <c r="DP26" s="161" t="str">
        <f t="shared" si="2"/>
        <v/>
      </c>
      <c r="DQ26" s="161" t="str">
        <f t="shared" si="5"/>
        <v/>
      </c>
      <c r="DR26" s="161">
        <f t="shared" si="3"/>
        <v>0</v>
      </c>
    </row>
    <row r="27" spans="1:202" ht="15.95" customHeight="1">
      <c r="A27" s="355" t="s">
        <v>1015</v>
      </c>
      <c r="B27" s="355" t="s">
        <v>1047</v>
      </c>
      <c r="C27" s="161" t="str">
        <f>VLOOKUP(B27,Average!$GC:$GE,3,FALSE)</f>
        <v/>
      </c>
      <c r="D27" s="161" t="s">
        <v>280</v>
      </c>
      <c r="E27" s="161">
        <f>VLOOKUP(B27,Average!$GC:$HA,24,FALSE)</f>
        <v>0</v>
      </c>
      <c r="F27" s="161">
        <f>VLOOKUP(B27,Average!$GC:$HA,25,FALSE)</f>
        <v>0</v>
      </c>
      <c r="G27" s="161">
        <f>VLOOKUP(B27,Average!$GC:$HB,26,FALSE)</f>
        <v>0</v>
      </c>
      <c r="H27" s="161">
        <f>VLOOKUP(B27,Average!$GC:$HC,27,FALSE)</f>
        <v>0</v>
      </c>
      <c r="I27" s="161">
        <f>VLOOKUP(B27,Average!$GC:$HH,32,FALSE)</f>
        <v>0</v>
      </c>
      <c r="J27" s="161" t="str">
        <f>VLOOKUP(B27,Average!$GC:$HW,47,FALSE)</f>
        <v/>
      </c>
      <c r="K27" s="161">
        <f>IF(P27="",0,VLOOKUP(P27,Average!GC:GD,2,FALSE))</f>
        <v>0</v>
      </c>
      <c r="L27" s="161">
        <f t="shared" si="152"/>
        <v>0</v>
      </c>
      <c r="M27" s="161">
        <f t="shared" si="153"/>
        <v>0</v>
      </c>
      <c r="N27" s="355" t="s">
        <v>1015</v>
      </c>
      <c r="O27" s="355" t="s">
        <v>1015</v>
      </c>
      <c r="P27" s="355" t="s">
        <v>1048</v>
      </c>
      <c r="Q27" s="161" t="str">
        <f>VLOOKUP(P27,Average!$GC:$GE,3,FALSE)</f>
        <v/>
      </c>
      <c r="R27" s="161" t="s">
        <v>280</v>
      </c>
      <c r="S27" s="161">
        <f>VLOOKUP(P27,Average!$GC:$HA,24,FALSE)</f>
        <v>0</v>
      </c>
      <c r="T27" s="161">
        <f>VLOOKUP(P27,Average!$GC:$HA,25,FALSE)</f>
        <v>0</v>
      </c>
      <c r="U27" s="161">
        <f>VLOOKUP(P27,Average!$GC:$HB,26,FALSE)</f>
        <v>0</v>
      </c>
      <c r="V27" s="161">
        <f>VLOOKUP(P27,Average!$GC:$HC,27,FALSE)</f>
        <v>0</v>
      </c>
      <c r="W27" s="161">
        <f>VLOOKUP(P27,Average!$GC:$HH,32,FALSE)</f>
        <v>0</v>
      </c>
      <c r="X27" s="161" t="str">
        <f>VLOOKUP(P27,Average!$GC:$HW,47,FALSE)</f>
        <v/>
      </c>
      <c r="Y27" s="161">
        <f>IF(B27="",0,VLOOKUP(B27,Average!GC:GD,2,FALSE))</f>
        <v>0</v>
      </c>
      <c r="Z27" s="161">
        <f t="shared" si="154"/>
        <v>0</v>
      </c>
      <c r="AA27" s="161">
        <f t="shared" si="155"/>
        <v>0</v>
      </c>
      <c r="AB27" s="355" t="s">
        <v>1015</v>
      </c>
      <c r="AC27" s="161">
        <f t="shared" si="156"/>
        <v>0</v>
      </c>
      <c r="AD27" s="161">
        <f t="shared" si="157"/>
        <v>0</v>
      </c>
      <c r="AE27" s="161">
        <f t="shared" si="158"/>
        <v>0</v>
      </c>
      <c r="AF27" s="161">
        <f t="shared" si="159"/>
        <v>0</v>
      </c>
      <c r="AG27" s="161">
        <v>27</v>
      </c>
      <c r="AH27" s="161" t="e">
        <f>VLOOKUP(AG27,'Matchblatt  FEUILLE DE MATCH'!BD:BE,2,FALSE)</f>
        <v>#N/A</v>
      </c>
      <c r="AI27" s="161" t="str">
        <f t="shared" si="0"/>
        <v/>
      </c>
      <c r="AJ27" s="161" t="str">
        <f t="shared" si="4"/>
        <v/>
      </c>
      <c r="AK27" s="161">
        <f t="shared" si="1"/>
        <v>0</v>
      </c>
      <c r="DN27" s="161">
        <v>27</v>
      </c>
      <c r="DO27" s="161" t="e">
        <f>VLOOKUP(DN27,'Matchblatt  FEUILLE DE MATCH'!BF:BG,2,FALSE)</f>
        <v>#N/A</v>
      </c>
      <c r="DP27" s="161" t="str">
        <f t="shared" si="2"/>
        <v/>
      </c>
      <c r="DQ27" s="161" t="str">
        <f t="shared" si="5"/>
        <v/>
      </c>
      <c r="DR27" s="161">
        <f t="shared" si="3"/>
        <v>0</v>
      </c>
    </row>
    <row r="28" spans="1:202" ht="15.95" customHeight="1">
      <c r="A28" s="355" t="s">
        <v>1018</v>
      </c>
      <c r="B28" s="355" t="s">
        <v>1049</v>
      </c>
      <c r="C28" s="161" t="str">
        <f>VLOOKUP(B28,Average!$GC:$GE,3,FALSE)</f>
        <v/>
      </c>
      <c r="D28" s="161" t="s">
        <v>280</v>
      </c>
      <c r="E28" s="161">
        <f>VLOOKUP(B28,Average!$GC:$HA,24,FALSE)</f>
        <v>0</v>
      </c>
      <c r="F28" s="161">
        <f>VLOOKUP(B28,Average!$GC:$HA,25,FALSE)</f>
        <v>0</v>
      </c>
      <c r="G28" s="161">
        <f>VLOOKUP(B28,Average!$GC:$HB,26,FALSE)</f>
        <v>0</v>
      </c>
      <c r="H28" s="161">
        <f>VLOOKUP(B28,Average!$GC:$HC,27,FALSE)</f>
        <v>0</v>
      </c>
      <c r="I28" s="161">
        <f>VLOOKUP(B28,Average!$GC:$HH,32,FALSE)</f>
        <v>0</v>
      </c>
      <c r="J28" s="161" t="str">
        <f>VLOOKUP(B28,Average!$GC:$HW,47,FALSE)</f>
        <v/>
      </c>
      <c r="K28" s="161">
        <f>IF(P28="",0,VLOOKUP(P28,Average!GC:GD,2,FALSE))</f>
        <v>0</v>
      </c>
      <c r="L28" s="161">
        <f t="shared" si="152"/>
        <v>0</v>
      </c>
      <c r="M28" s="161">
        <f t="shared" si="153"/>
        <v>0</v>
      </c>
      <c r="N28" s="355" t="s">
        <v>1018</v>
      </c>
      <c r="O28" s="355" t="s">
        <v>1018</v>
      </c>
      <c r="P28" s="355" t="s">
        <v>1050</v>
      </c>
      <c r="Q28" s="161" t="str">
        <f>VLOOKUP(P28,Average!$GC:$GE,3,FALSE)</f>
        <v/>
      </c>
      <c r="R28" s="161" t="s">
        <v>280</v>
      </c>
      <c r="S28" s="161">
        <f>VLOOKUP(P28,Average!$GC:$HA,24,FALSE)</f>
        <v>0</v>
      </c>
      <c r="T28" s="161">
        <f>VLOOKUP(P28,Average!$GC:$HA,25,FALSE)</f>
        <v>0</v>
      </c>
      <c r="U28" s="161">
        <f>VLOOKUP(P28,Average!$GC:$HB,26,FALSE)</f>
        <v>0</v>
      </c>
      <c r="V28" s="161">
        <f>VLOOKUP(P28,Average!$GC:$HC,27,FALSE)</f>
        <v>0</v>
      </c>
      <c r="W28" s="161">
        <f>VLOOKUP(P28,Average!$GC:$HH,32,FALSE)</f>
        <v>0</v>
      </c>
      <c r="X28" s="161" t="str">
        <f>VLOOKUP(P28,Average!$GC:$HW,47,FALSE)</f>
        <v/>
      </c>
      <c r="Y28" s="161">
        <f>IF(B28="",0,VLOOKUP(B28,Average!GC:GD,2,FALSE))</f>
        <v>0</v>
      </c>
      <c r="Z28" s="161">
        <f t="shared" si="154"/>
        <v>0</v>
      </c>
      <c r="AA28" s="161">
        <f t="shared" si="155"/>
        <v>0</v>
      </c>
      <c r="AB28" s="355" t="s">
        <v>1018</v>
      </c>
      <c r="AC28" s="161">
        <f t="shared" si="156"/>
        <v>0</v>
      </c>
      <c r="AD28" s="161">
        <f t="shared" si="157"/>
        <v>0</v>
      </c>
      <c r="AE28" s="161">
        <f t="shared" si="158"/>
        <v>0</v>
      </c>
      <c r="AF28" s="161">
        <f t="shared" si="159"/>
        <v>0</v>
      </c>
      <c r="AG28" s="161">
        <v>28</v>
      </c>
      <c r="AH28" s="161" t="e">
        <f>VLOOKUP(AG28,'Matchblatt  FEUILLE DE MATCH'!BD:BE,2,FALSE)</f>
        <v>#N/A</v>
      </c>
      <c r="AI28" s="161" t="str">
        <f t="shared" si="0"/>
        <v/>
      </c>
      <c r="AJ28" s="161" t="str">
        <f t="shared" si="4"/>
        <v/>
      </c>
      <c r="AK28" s="161">
        <f t="shared" si="1"/>
        <v>0</v>
      </c>
      <c r="DN28" s="161">
        <v>28</v>
      </c>
      <c r="DO28" s="161" t="e">
        <f>VLOOKUP(DN28,'Matchblatt  FEUILLE DE MATCH'!BF:BG,2,FALSE)</f>
        <v>#N/A</v>
      </c>
      <c r="DP28" s="161" t="str">
        <f t="shared" si="2"/>
        <v/>
      </c>
      <c r="DQ28" s="161" t="str">
        <f t="shared" si="5"/>
        <v/>
      </c>
      <c r="DR28" s="161">
        <f t="shared" si="3"/>
        <v>0</v>
      </c>
    </row>
    <row r="29" spans="1:202" ht="15.95" customHeight="1">
      <c r="A29" s="355" t="s">
        <v>1021</v>
      </c>
      <c r="B29" s="355" t="s">
        <v>1051</v>
      </c>
      <c r="C29" s="161" t="str">
        <f>VLOOKUP(B29,Average!$GC:$GE,3,FALSE)</f>
        <v/>
      </c>
      <c r="D29" s="161" t="s">
        <v>280</v>
      </c>
      <c r="E29" s="161">
        <f>VLOOKUP(B29,Average!$GC:$HA,24,FALSE)</f>
        <v>0</v>
      </c>
      <c r="F29" s="161">
        <f>VLOOKUP(B29,Average!$GC:$HA,25,FALSE)</f>
        <v>0</v>
      </c>
      <c r="G29" s="161">
        <f>VLOOKUP(B29,Average!$GC:$HB,26,FALSE)</f>
        <v>0</v>
      </c>
      <c r="H29" s="161">
        <f>VLOOKUP(B29,Average!$GC:$HC,27,FALSE)</f>
        <v>0</v>
      </c>
      <c r="I29" s="161">
        <f>VLOOKUP(B29,Average!$GC:$HH,32,FALSE)</f>
        <v>0</v>
      </c>
      <c r="J29" s="161" t="str">
        <f>VLOOKUP(B29,Average!$GC:$HW,47,FALSE)</f>
        <v/>
      </c>
      <c r="K29" s="161">
        <f>IF(P29="",0,VLOOKUP(P29,Average!GC:GD,2,FALSE))</f>
        <v>0</v>
      </c>
      <c r="L29" s="161">
        <f t="shared" si="152"/>
        <v>0</v>
      </c>
      <c r="M29" s="161">
        <f t="shared" si="153"/>
        <v>0</v>
      </c>
      <c r="N29" s="355" t="s">
        <v>1021</v>
      </c>
      <c r="O29" s="355" t="s">
        <v>1021</v>
      </c>
      <c r="P29" s="355" t="s">
        <v>1052</v>
      </c>
      <c r="Q29" s="161" t="str">
        <f>VLOOKUP(P29,Average!$GC:$GE,3,FALSE)</f>
        <v/>
      </c>
      <c r="R29" s="161" t="s">
        <v>280</v>
      </c>
      <c r="S29" s="161">
        <f>VLOOKUP(P29,Average!$GC:$HA,24,FALSE)</f>
        <v>0</v>
      </c>
      <c r="T29" s="161">
        <f>VLOOKUP(P29,Average!$GC:$HA,25,FALSE)</f>
        <v>0</v>
      </c>
      <c r="U29" s="161">
        <f>VLOOKUP(P29,Average!$GC:$HB,26,FALSE)</f>
        <v>0</v>
      </c>
      <c r="V29" s="161">
        <f>VLOOKUP(P29,Average!$GC:$HC,27,FALSE)</f>
        <v>0</v>
      </c>
      <c r="W29" s="161">
        <f>VLOOKUP(P29,Average!$GC:$HH,32,FALSE)</f>
        <v>0</v>
      </c>
      <c r="X29" s="161" t="str">
        <f>VLOOKUP(P29,Average!$GC:$HW,47,FALSE)</f>
        <v/>
      </c>
      <c r="Y29" s="161">
        <f>IF(B29="",0,VLOOKUP(B29,Average!GC:GD,2,FALSE))</f>
        <v>0</v>
      </c>
      <c r="Z29" s="161">
        <f t="shared" si="154"/>
        <v>0</v>
      </c>
      <c r="AA29" s="161">
        <f t="shared" si="155"/>
        <v>0</v>
      </c>
      <c r="AB29" s="355" t="s">
        <v>1021</v>
      </c>
      <c r="AC29" s="161">
        <f t="shared" si="156"/>
        <v>0</v>
      </c>
      <c r="AD29" s="161">
        <f t="shared" si="157"/>
        <v>0</v>
      </c>
      <c r="AE29" s="161">
        <f t="shared" si="158"/>
        <v>0</v>
      </c>
      <c r="AF29" s="161">
        <f t="shared" si="159"/>
        <v>0</v>
      </c>
      <c r="AG29" s="161">
        <v>29</v>
      </c>
      <c r="AH29" s="161" t="e">
        <f>VLOOKUP(AG29,'Matchblatt  FEUILLE DE MATCH'!BD:BE,2,FALSE)</f>
        <v>#N/A</v>
      </c>
      <c r="AI29" s="161" t="str">
        <f t="shared" si="0"/>
        <v/>
      </c>
      <c r="AJ29" s="161" t="str">
        <f t="shared" si="4"/>
        <v/>
      </c>
      <c r="AK29" s="161">
        <f t="shared" si="1"/>
        <v>0</v>
      </c>
      <c r="DN29" s="161">
        <v>29</v>
      </c>
      <c r="DO29" s="161" t="e">
        <f>VLOOKUP(DN29,'Matchblatt  FEUILLE DE MATCH'!BF:BG,2,FALSE)</f>
        <v>#N/A</v>
      </c>
      <c r="DP29" s="161" t="str">
        <f t="shared" si="2"/>
        <v/>
      </c>
      <c r="DQ29" s="161" t="str">
        <f t="shared" si="5"/>
        <v/>
      </c>
      <c r="DR29" s="161">
        <f t="shared" si="3"/>
        <v>0</v>
      </c>
    </row>
    <row r="30" spans="1:202" ht="15.95" customHeight="1">
      <c r="A30" s="355" t="s">
        <v>1024</v>
      </c>
      <c r="B30" s="355" t="s">
        <v>1053</v>
      </c>
      <c r="C30" s="161" t="str">
        <f>VLOOKUP(B30,Average!$GC:$GE,3,FALSE)</f>
        <v/>
      </c>
      <c r="D30" s="161" t="s">
        <v>280</v>
      </c>
      <c r="E30" s="161">
        <f>VLOOKUP(B30,Average!$GC:$HA,24,FALSE)</f>
        <v>0</v>
      </c>
      <c r="F30" s="161">
        <f>VLOOKUP(B30,Average!$GC:$HA,25,FALSE)</f>
        <v>0</v>
      </c>
      <c r="G30" s="161">
        <f>VLOOKUP(B30,Average!$GC:$HB,26,FALSE)</f>
        <v>0</v>
      </c>
      <c r="H30" s="161">
        <f>VLOOKUP(B30,Average!$GC:$HC,27,FALSE)</f>
        <v>0</v>
      </c>
      <c r="I30" s="161">
        <f>VLOOKUP(B30,Average!$GC:$HH,32,FALSE)</f>
        <v>0</v>
      </c>
      <c r="J30" s="161" t="str">
        <f>VLOOKUP(B30,Average!$GC:$HW,47,FALSE)</f>
        <v/>
      </c>
      <c r="K30" s="161">
        <f>IF(P30="",0,VLOOKUP(P30,Average!GC:GD,2,FALSE))</f>
        <v>0</v>
      </c>
      <c r="L30" s="161">
        <f t="shared" si="152"/>
        <v>0</v>
      </c>
      <c r="M30" s="161">
        <f t="shared" si="153"/>
        <v>0</v>
      </c>
      <c r="N30" s="355" t="s">
        <v>1024</v>
      </c>
      <c r="O30" s="355" t="s">
        <v>1024</v>
      </c>
      <c r="P30" s="355" t="s">
        <v>1054</v>
      </c>
      <c r="Q30" s="161" t="str">
        <f>VLOOKUP(P30,Average!$GC:$GE,3,FALSE)</f>
        <v/>
      </c>
      <c r="R30" s="161" t="s">
        <v>280</v>
      </c>
      <c r="S30" s="161">
        <f>VLOOKUP(P30,Average!$GC:$HA,24,FALSE)</f>
        <v>0</v>
      </c>
      <c r="T30" s="161">
        <f>VLOOKUP(P30,Average!$GC:$HA,25,FALSE)</f>
        <v>0</v>
      </c>
      <c r="U30" s="161">
        <f>VLOOKUP(P30,Average!$GC:$HB,26,FALSE)</f>
        <v>0</v>
      </c>
      <c r="V30" s="161">
        <f>VLOOKUP(P30,Average!$GC:$HC,27,FALSE)</f>
        <v>0</v>
      </c>
      <c r="W30" s="161">
        <f>VLOOKUP(P30,Average!$GC:$HH,32,FALSE)</f>
        <v>0</v>
      </c>
      <c r="X30" s="161" t="str">
        <f>VLOOKUP(P30,Average!$GC:$HW,47,FALSE)</f>
        <v/>
      </c>
      <c r="Y30" s="161">
        <f>IF(B30="",0,VLOOKUP(B30,Average!GC:GD,2,FALSE))</f>
        <v>0</v>
      </c>
      <c r="Z30" s="161">
        <f t="shared" si="154"/>
        <v>0</v>
      </c>
      <c r="AA30" s="161">
        <f t="shared" si="155"/>
        <v>0</v>
      </c>
      <c r="AB30" s="355" t="s">
        <v>1024</v>
      </c>
      <c r="AC30" s="161">
        <f t="shared" si="156"/>
        <v>0</v>
      </c>
      <c r="AD30" s="161">
        <f t="shared" si="157"/>
        <v>0</v>
      </c>
      <c r="AE30" s="161">
        <f t="shared" si="158"/>
        <v>0</v>
      </c>
      <c r="AF30" s="161">
        <f t="shared" si="159"/>
        <v>0</v>
      </c>
      <c r="AG30" s="161">
        <v>30</v>
      </c>
      <c r="AH30" s="161" t="e">
        <f>VLOOKUP(AG30,'Matchblatt  FEUILLE DE MATCH'!BD:BE,2,FALSE)</f>
        <v>#N/A</v>
      </c>
      <c r="AI30" s="161" t="str">
        <f t="shared" si="0"/>
        <v/>
      </c>
      <c r="AJ30" s="161" t="str">
        <f t="shared" si="4"/>
        <v/>
      </c>
      <c r="AK30" s="161">
        <f t="shared" si="1"/>
        <v>0</v>
      </c>
      <c r="DN30" s="161">
        <v>30</v>
      </c>
      <c r="DO30" s="161" t="e">
        <f>VLOOKUP(DN30,'Matchblatt  FEUILLE DE MATCH'!BF:BG,2,FALSE)</f>
        <v>#N/A</v>
      </c>
      <c r="DP30" s="161" t="str">
        <f t="shared" si="2"/>
        <v/>
      </c>
      <c r="DQ30" s="161" t="str">
        <f t="shared" si="5"/>
        <v/>
      </c>
      <c r="DR30" s="161">
        <f t="shared" si="3"/>
        <v>0</v>
      </c>
    </row>
    <row r="31" spans="1:202" ht="15.95" customHeight="1">
      <c r="A31" s="355" t="s">
        <v>1055</v>
      </c>
      <c r="B31" s="355" t="s">
        <v>1056</v>
      </c>
      <c r="C31" s="161" t="str">
        <f>VLOOKUP(B31,Average!$GC:$GE,3,FALSE)</f>
        <v/>
      </c>
      <c r="D31" s="161" t="s">
        <v>280</v>
      </c>
      <c r="E31" s="161">
        <f>VLOOKUP(B31,Average!$GC:$HA,24,FALSE)</f>
        <v>0</v>
      </c>
      <c r="F31" s="161">
        <f>VLOOKUP(B31,Average!$GC:$HA,25,FALSE)</f>
        <v>0</v>
      </c>
      <c r="G31" s="161">
        <f>VLOOKUP(B31,Average!$GC:$HB,26,FALSE)</f>
        <v>0</v>
      </c>
      <c r="H31" s="161">
        <f>VLOOKUP(B31,Average!$GC:$HC,27,FALSE)</f>
        <v>0</v>
      </c>
      <c r="I31" s="161">
        <f>VLOOKUP(B31,Average!$GC:$HH,32,FALSE)</f>
        <v>0</v>
      </c>
      <c r="J31" s="161" t="str">
        <f>VLOOKUP(B31,Average!$GC:$HW,47,FALSE)</f>
        <v/>
      </c>
      <c r="K31" s="161">
        <f>IF(P31="",0,VLOOKUP(P31,Average!GC:GD,2,FALSE))</f>
        <v>0</v>
      </c>
      <c r="L31" s="161">
        <f t="shared" si="152"/>
        <v>0</v>
      </c>
      <c r="M31" s="161">
        <f t="shared" si="153"/>
        <v>0</v>
      </c>
      <c r="N31" s="355" t="s">
        <v>1055</v>
      </c>
      <c r="O31" s="355" t="s">
        <v>1055</v>
      </c>
      <c r="P31" s="355" t="s">
        <v>1057</v>
      </c>
      <c r="Q31" s="161" t="str">
        <f>VLOOKUP(P31,Average!$GC:$GE,3,FALSE)</f>
        <v/>
      </c>
      <c r="R31" s="161" t="s">
        <v>280</v>
      </c>
      <c r="S31" s="161">
        <f>VLOOKUP(P31,Average!$GC:$HA,24,FALSE)</f>
        <v>0</v>
      </c>
      <c r="T31" s="161">
        <f>VLOOKUP(P31,Average!$GC:$HA,25,FALSE)</f>
        <v>0</v>
      </c>
      <c r="U31" s="161">
        <f>VLOOKUP(P31,Average!$GC:$HB,26,FALSE)</f>
        <v>0</v>
      </c>
      <c r="V31" s="161">
        <f>VLOOKUP(P31,Average!$GC:$HC,27,FALSE)</f>
        <v>0</v>
      </c>
      <c r="W31" s="161">
        <f>VLOOKUP(P31,Average!$GC:$HH,32,FALSE)</f>
        <v>0</v>
      </c>
      <c r="X31" s="161" t="str">
        <f>VLOOKUP(P31,Average!$GC:$HW,47,FALSE)</f>
        <v/>
      </c>
      <c r="Y31" s="161">
        <f>IF(B31="",0,VLOOKUP(B31,Average!GC:GD,2,FALSE))</f>
        <v>0</v>
      </c>
      <c r="Z31" s="161">
        <f t="shared" si="154"/>
        <v>0</v>
      </c>
      <c r="AA31" s="161">
        <f t="shared" si="155"/>
        <v>0</v>
      </c>
      <c r="AB31" s="355" t="s">
        <v>1055</v>
      </c>
      <c r="AC31" s="161">
        <f t="shared" si="156"/>
        <v>0</v>
      </c>
      <c r="AD31" s="161">
        <f t="shared" si="157"/>
        <v>0</v>
      </c>
      <c r="AE31" s="161">
        <f t="shared" si="158"/>
        <v>0</v>
      </c>
      <c r="AF31" s="161">
        <f t="shared" si="159"/>
        <v>0</v>
      </c>
      <c r="AG31" s="161">
        <v>31</v>
      </c>
      <c r="AH31" s="161" t="e">
        <f>VLOOKUP(AG31,'Matchblatt  FEUILLE DE MATCH'!BD:BE,2,FALSE)</f>
        <v>#N/A</v>
      </c>
      <c r="AI31" s="161" t="str">
        <f t="shared" si="0"/>
        <v/>
      </c>
      <c r="AJ31" s="161" t="str">
        <f t="shared" si="4"/>
        <v/>
      </c>
      <c r="AK31" s="161">
        <f t="shared" si="1"/>
        <v>0</v>
      </c>
      <c r="DN31" s="161">
        <v>31</v>
      </c>
      <c r="DO31" s="161" t="e">
        <f>VLOOKUP(DN31,'Matchblatt  FEUILLE DE MATCH'!BF:BG,2,FALSE)</f>
        <v>#N/A</v>
      </c>
      <c r="DP31" s="161" t="str">
        <f t="shared" si="2"/>
        <v/>
      </c>
      <c r="DQ31" s="161" t="str">
        <f t="shared" si="5"/>
        <v/>
      </c>
      <c r="DR31" s="161">
        <f t="shared" si="3"/>
        <v>0</v>
      </c>
    </row>
    <row r="32" spans="1:202" ht="15.95" customHeight="1">
      <c r="A32" s="355" t="s">
        <v>1058</v>
      </c>
      <c r="B32" s="355" t="s">
        <v>1059</v>
      </c>
      <c r="C32" s="161" t="str">
        <f>VLOOKUP(B32,Average!$GC:$GE,3,FALSE)</f>
        <v/>
      </c>
      <c r="D32" s="161" t="s">
        <v>280</v>
      </c>
      <c r="E32" s="161">
        <f>VLOOKUP(B32,Average!$GC:$HA,24,FALSE)</f>
        <v>0</v>
      </c>
      <c r="F32" s="161">
        <f>VLOOKUP(B32,Average!$GC:$HA,25,FALSE)</f>
        <v>0</v>
      </c>
      <c r="G32" s="161">
        <f>VLOOKUP(B32,Average!$GC:$HB,26,FALSE)</f>
        <v>0</v>
      </c>
      <c r="H32" s="161">
        <f>VLOOKUP(B32,Average!$GC:$HC,27,FALSE)</f>
        <v>0</v>
      </c>
      <c r="I32" s="161">
        <f>VLOOKUP(B32,Average!$GC:$HH,32,FALSE)</f>
        <v>0</v>
      </c>
      <c r="J32" s="161" t="str">
        <f>VLOOKUP(B32,Average!$GC:$HW,47,FALSE)</f>
        <v/>
      </c>
      <c r="K32" s="161">
        <f>IF(P32="",0,VLOOKUP(P32,Average!GC:GD,2,FALSE))</f>
        <v>0</v>
      </c>
      <c r="L32" s="161">
        <f t="shared" si="152"/>
        <v>0</v>
      </c>
      <c r="M32" s="161">
        <f t="shared" si="153"/>
        <v>0</v>
      </c>
      <c r="N32" s="355" t="s">
        <v>1058</v>
      </c>
      <c r="O32" s="355" t="s">
        <v>1058</v>
      </c>
      <c r="P32" s="355" t="s">
        <v>1060</v>
      </c>
      <c r="Q32" s="161" t="str">
        <f>VLOOKUP(P32,Average!$GC:$GE,3,FALSE)</f>
        <v/>
      </c>
      <c r="R32" s="161" t="s">
        <v>280</v>
      </c>
      <c r="S32" s="161">
        <f>VLOOKUP(P32,Average!$GC:$HA,24,FALSE)</f>
        <v>0</v>
      </c>
      <c r="T32" s="161">
        <f>VLOOKUP(P32,Average!$GC:$HA,25,FALSE)</f>
        <v>0</v>
      </c>
      <c r="U32" s="161">
        <f>VLOOKUP(P32,Average!$GC:$HB,26,FALSE)</f>
        <v>0</v>
      </c>
      <c r="V32" s="161">
        <f>VLOOKUP(P32,Average!$GC:$HC,27,FALSE)</f>
        <v>0</v>
      </c>
      <c r="W32" s="161">
        <f>VLOOKUP(P32,Average!$GC:$HH,32,FALSE)</f>
        <v>0</v>
      </c>
      <c r="X32" s="161" t="str">
        <f>VLOOKUP(P32,Average!$GC:$HW,47,FALSE)</f>
        <v/>
      </c>
      <c r="Y32" s="161">
        <f>IF(B32="",0,VLOOKUP(B32,Average!GC:GD,2,FALSE))</f>
        <v>0</v>
      </c>
      <c r="Z32" s="161">
        <f t="shared" si="154"/>
        <v>0</v>
      </c>
      <c r="AA32" s="161">
        <f t="shared" si="155"/>
        <v>0</v>
      </c>
      <c r="AB32" s="355" t="s">
        <v>1058</v>
      </c>
      <c r="AC32" s="161">
        <f t="shared" si="156"/>
        <v>0</v>
      </c>
      <c r="AD32" s="161">
        <f t="shared" si="157"/>
        <v>0</v>
      </c>
      <c r="AE32" s="161">
        <f t="shared" si="158"/>
        <v>0</v>
      </c>
      <c r="AF32" s="161">
        <f t="shared" si="159"/>
        <v>0</v>
      </c>
      <c r="AG32" s="354">
        <v>32</v>
      </c>
      <c r="AH32" s="161" t="e">
        <f>VLOOKUP(AG32,'Matchblatt  FEUILLE DE MATCH'!BD:BE,2,FALSE)</f>
        <v>#N/A</v>
      </c>
      <c r="AI32" s="161" t="str">
        <f t="shared" si="0"/>
        <v/>
      </c>
      <c r="AJ32" s="161" t="str">
        <f t="shared" si="4"/>
        <v/>
      </c>
      <c r="AK32" s="161">
        <f t="shared" si="1"/>
        <v>0</v>
      </c>
      <c r="AM32" s="2"/>
      <c r="AN32" s="2"/>
      <c r="AO32" s="2"/>
      <c r="AP32" s="2"/>
      <c r="AQ32" s="2"/>
      <c r="AR32" s="2"/>
      <c r="AS32" s="2"/>
      <c r="AT32" s="2"/>
      <c r="AU32" s="2"/>
      <c r="AV32" s="2"/>
      <c r="AW32" s="2"/>
      <c r="DN32" s="354">
        <v>32</v>
      </c>
      <c r="DO32" s="161" t="e">
        <f>VLOOKUP(DN32,'Matchblatt  FEUILLE DE MATCH'!BF:BG,2,FALSE)</f>
        <v>#N/A</v>
      </c>
      <c r="DP32" s="161" t="str">
        <f t="shared" si="2"/>
        <v/>
      </c>
      <c r="DQ32" s="161" t="str">
        <f t="shared" si="5"/>
        <v/>
      </c>
      <c r="DR32" s="161">
        <f t="shared" si="3"/>
        <v>0</v>
      </c>
    </row>
    <row r="33" spans="1:122" ht="15.95" customHeight="1">
      <c r="A33" s="355" t="s">
        <v>1061</v>
      </c>
      <c r="B33" s="355" t="str">
        <f>IF($B$1=3,"","HS 2.7")</f>
        <v>HS 2.7</v>
      </c>
      <c r="C33" s="161" t="str">
        <f>IF(B33="","",VLOOKUP(B33,Average!$GC:$GE,3,FALSE))</f>
        <v/>
      </c>
      <c r="D33" s="161" t="s">
        <v>280</v>
      </c>
      <c r="E33" s="161">
        <f>IF(B33="","",VLOOKUP(B33,Average!$GC:$HA,24,FALSE))</f>
        <v>0</v>
      </c>
      <c r="F33" s="161">
        <f>IF(B33="","",VLOOKUP(B33,Average!$GC:$HA,25,FALSE))</f>
        <v>0</v>
      </c>
      <c r="G33" s="161">
        <f>IF(B33="","",VLOOKUP(B33,Average!$GC:$HB,26,FALSE))</f>
        <v>0</v>
      </c>
      <c r="H33" s="161">
        <f>IF(B33="","",VLOOKUP(B33,Average!$GC:$HC,27,FALSE))</f>
        <v>0</v>
      </c>
      <c r="I33" s="161">
        <f>IF(B33="","",VLOOKUP(B33,Average!$GC:$HH,32,FALSE))</f>
        <v>0</v>
      </c>
      <c r="J33" s="161" t="str">
        <f>IF(B33="","",VLOOKUP(B33,Average!$GC:$HW,47,FALSE))</f>
        <v/>
      </c>
      <c r="K33" s="161">
        <f>IF(P33="",0,VLOOKUP(P33,Average!GC:GD,2,FALSE))</f>
        <v>0</v>
      </c>
      <c r="L33" s="161">
        <f>IF(B33="",0,SUM(K33,M33,Y33))</f>
        <v>0</v>
      </c>
      <c r="M33" s="161">
        <f>IF(B33="",0,IF(K33=1,0,IF(E33&gt;0,1,0)))</f>
        <v>0</v>
      </c>
      <c r="N33" s="355" t="s">
        <v>1061</v>
      </c>
      <c r="O33" s="355" t="s">
        <v>1061</v>
      </c>
      <c r="P33" s="355" t="str">
        <f>IF($B$1=3,"","GS 2.7")</f>
        <v>GS 2.7</v>
      </c>
      <c r="Q33" s="161" t="str">
        <f>IF(P33="","",VLOOKUP(P33,Average!$GC:$GE,3,FALSE))</f>
        <v/>
      </c>
      <c r="R33" s="161" t="s">
        <v>280</v>
      </c>
      <c r="S33" s="161">
        <f>IF(P33="","",VLOOKUP(P33,Average!$GC:$HA,24,FALSE))</f>
        <v>0</v>
      </c>
      <c r="T33" s="161">
        <f>IF(P33="","",VLOOKUP(P33,Average!$GC:$HA,25,FALSE))</f>
        <v>0</v>
      </c>
      <c r="U33" s="161">
        <f>IF(P33="","",VLOOKUP(P33,Average!$GC:$HB,26,FALSE))</f>
        <v>0</v>
      </c>
      <c r="V33" s="161">
        <f>IF(P33="","",VLOOKUP(P33,Average!$GC:$HC,27,FALSE))</f>
        <v>0</v>
      </c>
      <c r="W33" s="161">
        <f>IF(P33="","",VLOOKUP(P33,Average!$GC:$HH,32,FALSE))</f>
        <v>0</v>
      </c>
      <c r="X33" s="161" t="str">
        <f>IF(P33="","",VLOOKUP(P33,Average!$GC:$HW,47,FALSE))</f>
        <v/>
      </c>
      <c r="Y33" s="161">
        <f>IF(B33="",0,VLOOKUP(B33,Average!GC:GD,2,FALSE))</f>
        <v>0</v>
      </c>
      <c r="Z33" s="161">
        <f>IF(P33="",0,SUM(Y33,AA33,K33))</f>
        <v>0</v>
      </c>
      <c r="AA33" s="161">
        <f>IF(P33="",0,IF(Y33=1,0,IF(S33&gt;0,1,0)))</f>
        <v>0</v>
      </c>
      <c r="AB33" s="355" t="s">
        <v>1061</v>
      </c>
      <c r="AC33" s="161">
        <f t="shared" si="156"/>
        <v>0</v>
      </c>
      <c r="AD33" s="161">
        <f t="shared" si="157"/>
        <v>0</v>
      </c>
      <c r="AE33" s="161">
        <f t="shared" si="158"/>
        <v>0</v>
      </c>
      <c r="AF33" s="161">
        <f t="shared" si="159"/>
        <v>0</v>
      </c>
      <c r="AG33" s="161">
        <v>33</v>
      </c>
      <c r="AH33" s="161" t="e">
        <f>VLOOKUP(AG33,'Matchblatt  FEUILLE DE MATCH'!BD:BE,2,FALSE)</f>
        <v>#N/A</v>
      </c>
      <c r="AI33" s="161" t="str">
        <f t="shared" si="0"/>
        <v/>
      </c>
      <c r="AJ33" s="161" t="str">
        <f t="shared" si="4"/>
        <v/>
      </c>
      <c r="AK33" s="161">
        <f t="shared" si="1"/>
        <v>0</v>
      </c>
      <c r="AM33" s="2"/>
      <c r="AN33" s="2"/>
      <c r="AO33" s="2"/>
      <c r="AP33" s="2"/>
      <c r="AQ33" s="2"/>
      <c r="AR33" s="2"/>
      <c r="AS33" s="2"/>
      <c r="AT33" s="2"/>
      <c r="AU33" s="2"/>
      <c r="AV33" s="2"/>
      <c r="AW33" s="2"/>
      <c r="DN33" s="161">
        <v>33</v>
      </c>
      <c r="DO33" s="161" t="e">
        <f>VLOOKUP(DN33,'Matchblatt  FEUILLE DE MATCH'!BF:BG,2,FALSE)</f>
        <v>#N/A</v>
      </c>
      <c r="DP33" s="161" t="str">
        <f t="shared" si="2"/>
        <v/>
      </c>
      <c r="DQ33" s="161" t="str">
        <f t="shared" si="5"/>
        <v/>
      </c>
      <c r="DR33" s="161">
        <f t="shared" si="3"/>
        <v>0</v>
      </c>
    </row>
    <row r="34" spans="1:122" ht="15.95" customHeight="1">
      <c r="A34" s="353" t="s">
        <v>1064</v>
      </c>
      <c r="B34" s="353" t="str">
        <f>IF($B$1=3,"","HS 2.8")</f>
        <v>HS 2.8</v>
      </c>
      <c r="C34" s="161" t="str">
        <f>IF(B34="","",VLOOKUP(B34,Average!$GC:$GE,3,FALSE))</f>
        <v/>
      </c>
      <c r="D34" s="354" t="s">
        <v>280</v>
      </c>
      <c r="E34" s="161">
        <f>IF(B34="","",VLOOKUP(B34,Average!$GC:$HA,24,FALSE))</f>
        <v>0</v>
      </c>
      <c r="F34" s="161">
        <f>IF(B34="","",VLOOKUP(B34,Average!$GC:$HA,25,FALSE))</f>
        <v>0</v>
      </c>
      <c r="G34" s="161">
        <f>IF(B34="","",VLOOKUP(B34,Average!$GC:$HB,26,FALSE))</f>
        <v>0</v>
      </c>
      <c r="H34" s="161">
        <f>IF(B34="","",VLOOKUP(B34,Average!$GC:$HC,27,FALSE))</f>
        <v>0</v>
      </c>
      <c r="I34" s="161">
        <f>IF(B34="","",VLOOKUP(B34,Average!$GC:$HH,32,FALSE))</f>
        <v>0</v>
      </c>
      <c r="J34" s="161" t="str">
        <f>IF(B34="","",VLOOKUP(B34,Average!$GC:$HW,47,FALSE))</f>
        <v/>
      </c>
      <c r="K34" s="161">
        <f>IF(P34="",0,VLOOKUP(P34,Average!GC:GD,2,FALSE))</f>
        <v>0</v>
      </c>
      <c r="L34" s="161">
        <f>IF(B34="",0,SUM(K34,M34,Y34))</f>
        <v>0</v>
      </c>
      <c r="M34" s="161">
        <f>IF(B34="",0,IF(K34=1,0,IF(E34&gt;0,1,0)))</f>
        <v>0</v>
      </c>
      <c r="N34" s="353" t="s">
        <v>1064</v>
      </c>
      <c r="O34" s="353" t="s">
        <v>1064</v>
      </c>
      <c r="P34" s="353" t="str">
        <f>IF($B$1=3,"","GS 2.8")</f>
        <v>GS 2.8</v>
      </c>
      <c r="Q34" s="161" t="str">
        <f>IF(P34="","",VLOOKUP(P34,Average!$GC:$GE,3,FALSE))</f>
        <v/>
      </c>
      <c r="R34" s="354" t="s">
        <v>280</v>
      </c>
      <c r="S34" s="161">
        <f>IF(P34="","",VLOOKUP(P34,Average!$GC:$HA,24,FALSE))</f>
        <v>0</v>
      </c>
      <c r="T34" s="161">
        <f>IF(P34="","",VLOOKUP(P34,Average!$GC:$HA,25,FALSE))</f>
        <v>0</v>
      </c>
      <c r="U34" s="161">
        <f>IF(P34="","",VLOOKUP(P34,Average!$GC:$HB,26,FALSE))</f>
        <v>0</v>
      </c>
      <c r="V34" s="161">
        <f>IF(P34="","",VLOOKUP(P34,Average!$GC:$HC,27,FALSE))</f>
        <v>0</v>
      </c>
      <c r="W34" s="161">
        <f>IF(P34="","",VLOOKUP(P34,Average!$GC:$HH,32,FALSE))</f>
        <v>0</v>
      </c>
      <c r="X34" s="161" t="str">
        <f>IF(P34="","",VLOOKUP(P34,Average!$GC:$HW,47,FALSE))</f>
        <v/>
      </c>
      <c r="Y34" s="161">
        <f>IF(B34="",0,VLOOKUP(B34,Average!GC:GD,2,FALSE))</f>
        <v>0</v>
      </c>
      <c r="Z34" s="161">
        <f>IF(P34="",0,SUM(Y34,AA34,K34))</f>
        <v>0</v>
      </c>
      <c r="AA34" s="161">
        <f>IF(P34="",0,IF(Y34=1,0,IF(S34&gt;0,1,0)))</f>
        <v>0</v>
      </c>
      <c r="AB34" s="353" t="s">
        <v>1064</v>
      </c>
      <c r="AC34" s="161">
        <f t="shared" si="156"/>
        <v>0</v>
      </c>
      <c r="AD34" s="161">
        <f t="shared" si="157"/>
        <v>0</v>
      </c>
      <c r="AE34" s="161">
        <f t="shared" si="158"/>
        <v>0</v>
      </c>
      <c r="AF34" s="161">
        <f t="shared" si="159"/>
        <v>0</v>
      </c>
      <c r="AG34" s="161">
        <v>34</v>
      </c>
      <c r="AH34" s="161" t="e">
        <f>VLOOKUP(AG34,'Matchblatt  FEUILLE DE MATCH'!BD:BE,2,FALSE)</f>
        <v>#N/A</v>
      </c>
      <c r="AI34" s="161" t="str">
        <f t="shared" si="0"/>
        <v/>
      </c>
      <c r="AJ34" s="161" t="str">
        <f t="shared" si="4"/>
        <v/>
      </c>
      <c r="AK34" s="161">
        <f t="shared" si="1"/>
        <v>0</v>
      </c>
      <c r="AM34" s="2"/>
      <c r="AN34" s="2"/>
      <c r="AO34" s="2"/>
      <c r="AP34" s="2"/>
      <c r="AQ34" s="2"/>
      <c r="AR34" s="2"/>
      <c r="AS34" s="2"/>
      <c r="AT34" s="2"/>
      <c r="AU34" s="2"/>
      <c r="AV34" s="2"/>
      <c r="AW34" s="2"/>
      <c r="DN34" s="161">
        <v>34</v>
      </c>
      <c r="DO34" s="161" t="e">
        <f>VLOOKUP(DN34,'Matchblatt  FEUILLE DE MATCH'!BF:BG,2,FALSE)</f>
        <v>#N/A</v>
      </c>
      <c r="DP34" s="161" t="str">
        <f t="shared" si="2"/>
        <v/>
      </c>
      <c r="DQ34" s="161" t="str">
        <f t="shared" si="5"/>
        <v/>
      </c>
      <c r="DR34" s="161">
        <f t="shared" si="3"/>
        <v>0</v>
      </c>
    </row>
    <row r="35" spans="1:122" ht="15.95" customHeight="1">
      <c r="A35" s="355" t="s">
        <v>1067</v>
      </c>
      <c r="B35" s="355" t="s">
        <v>1068</v>
      </c>
      <c r="C35" s="161" t="str">
        <f>VLOOKUP(B35,Average!$GC:$GE,3,FALSE)</f>
        <v/>
      </c>
      <c r="D35" s="161" t="s">
        <v>280</v>
      </c>
      <c r="E35" s="161">
        <f>VLOOKUP(B35,Average!$GC:$HA,24,FALSE)</f>
        <v>0</v>
      </c>
      <c r="F35" s="161">
        <f>VLOOKUP(B35,Average!$GC:$HA,25,FALSE)</f>
        <v>0</v>
      </c>
      <c r="G35" s="161">
        <f>VLOOKUP(B35,Average!$GC:$HB,26,FALSE)</f>
        <v>0</v>
      </c>
      <c r="H35" s="161">
        <f>VLOOKUP(B35,Average!$GC:$HC,27,FALSE)</f>
        <v>0</v>
      </c>
      <c r="I35" s="161">
        <f>VLOOKUP(B35,Average!$GC:$HH,32,FALSE)</f>
        <v>0</v>
      </c>
      <c r="J35" s="161" t="str">
        <f>VLOOKUP(B35,Average!$GC:$HW,47,FALSE)</f>
        <v/>
      </c>
      <c r="K35" s="161">
        <f>IF(P35="",0,VLOOKUP(P35,Average!GC:GD,2,FALSE))</f>
        <v>0</v>
      </c>
      <c r="L35" s="161">
        <f t="shared" si="152"/>
        <v>0</v>
      </c>
      <c r="M35" s="161">
        <f t="shared" si="153"/>
        <v>0</v>
      </c>
      <c r="N35" s="355" t="s">
        <v>1067</v>
      </c>
      <c r="O35" s="355" t="s">
        <v>1067</v>
      </c>
      <c r="P35" s="355" t="s">
        <v>1069</v>
      </c>
      <c r="Q35" s="161" t="str">
        <f>VLOOKUP(P35,Average!$GC:$GE,3,FALSE)</f>
        <v/>
      </c>
      <c r="R35" s="161" t="s">
        <v>280</v>
      </c>
      <c r="S35" s="161">
        <f>VLOOKUP(P35,Average!$GC:$HA,24,FALSE)</f>
        <v>0</v>
      </c>
      <c r="T35" s="161">
        <f>VLOOKUP(P35,Average!$GC:$HA,25,FALSE)</f>
        <v>0</v>
      </c>
      <c r="U35" s="161">
        <f>VLOOKUP(P35,Average!$GC:$HB,26,FALSE)</f>
        <v>0</v>
      </c>
      <c r="V35" s="161">
        <f>VLOOKUP(P35,Average!$GC:$HC,27,FALSE)</f>
        <v>0</v>
      </c>
      <c r="W35" s="161">
        <f>VLOOKUP(P35,Average!$GC:$HH,32,FALSE)</f>
        <v>0</v>
      </c>
      <c r="X35" s="161" t="str">
        <f>VLOOKUP(P35,Average!$GC:$HW,47,FALSE)</f>
        <v/>
      </c>
      <c r="Y35" s="161">
        <f>IF(B35="",0,VLOOKUP(B35,Average!GC:GD,2,FALSE))</f>
        <v>0</v>
      </c>
      <c r="Z35" s="161">
        <f t="shared" si="154"/>
        <v>0</v>
      </c>
      <c r="AA35" s="161">
        <f t="shared" si="155"/>
        <v>0</v>
      </c>
      <c r="AB35" s="355" t="s">
        <v>1067</v>
      </c>
      <c r="AC35" s="161">
        <f t="shared" si="156"/>
        <v>0</v>
      </c>
      <c r="AD35" s="161">
        <f t="shared" si="157"/>
        <v>0</v>
      </c>
      <c r="AE35" s="161">
        <f t="shared" si="158"/>
        <v>0</v>
      </c>
      <c r="AF35" s="161">
        <f t="shared" si="159"/>
        <v>0</v>
      </c>
      <c r="AG35" s="161">
        <v>35</v>
      </c>
      <c r="AH35" s="161" t="e">
        <f>VLOOKUP(AG35,'Matchblatt  FEUILLE DE MATCH'!BD:BE,2,FALSE)</f>
        <v>#N/A</v>
      </c>
      <c r="AI35" s="161" t="str">
        <f t="shared" ref="AI35:AI64" si="160">IFERROR(AH35,"")</f>
        <v/>
      </c>
      <c r="AJ35" s="161" t="str">
        <f t="shared" ref="AJ35:AJ64" si="161">IF(AI35="","",_xlfn.RANK.EQ(AI35,AI:AI,1))</f>
        <v/>
      </c>
      <c r="AK35" s="161">
        <f t="shared" ref="AK35:AK64" si="162">SUM(AI35)</f>
        <v>0</v>
      </c>
      <c r="AM35" s="2"/>
      <c r="AN35" s="2"/>
      <c r="AO35" s="2"/>
      <c r="AP35" s="2"/>
      <c r="AQ35" s="2"/>
      <c r="AR35" s="2"/>
      <c r="AS35" s="2"/>
      <c r="AT35" s="2"/>
      <c r="AU35" s="2"/>
      <c r="AV35" s="2"/>
      <c r="AW35" s="2"/>
      <c r="DN35" s="161">
        <v>35</v>
      </c>
      <c r="DO35" s="161" t="e">
        <f>VLOOKUP(DN35,'Matchblatt  FEUILLE DE MATCH'!BF:BG,2,FALSE)</f>
        <v>#N/A</v>
      </c>
      <c r="DP35" s="161" t="str">
        <f t="shared" ref="DP35:DP64" si="163">IFERROR(DO35,"")</f>
        <v/>
      </c>
      <c r="DQ35" s="161" t="str">
        <f t="shared" ref="DQ35:DQ64" si="164">IF(DP35="","",_xlfn.RANK.EQ(DP35,DP:DP,1))</f>
        <v/>
      </c>
      <c r="DR35" s="161">
        <f t="shared" ref="DR35:DR64" si="165">SUM(DP35)</f>
        <v>0</v>
      </c>
    </row>
    <row r="36" spans="1:122" ht="15.95" customHeight="1">
      <c r="A36" s="355" t="s">
        <v>1070</v>
      </c>
      <c r="B36" s="355" t="s">
        <v>1071</v>
      </c>
      <c r="C36" s="161" t="str">
        <f>VLOOKUP(B36,Average!$GC:$GE,3,FALSE)</f>
        <v/>
      </c>
      <c r="D36" s="161" t="s">
        <v>280</v>
      </c>
      <c r="E36" s="161">
        <f>VLOOKUP(B36,Average!$GC:$HA,24,FALSE)</f>
        <v>0</v>
      </c>
      <c r="F36" s="161">
        <f>VLOOKUP(B36,Average!$GC:$HA,25,FALSE)</f>
        <v>0</v>
      </c>
      <c r="G36" s="161">
        <f>VLOOKUP(B36,Average!$GC:$HB,26,FALSE)</f>
        <v>0</v>
      </c>
      <c r="H36" s="161">
        <f>VLOOKUP(B36,Average!$GC:$HC,27,FALSE)</f>
        <v>0</v>
      </c>
      <c r="I36" s="161">
        <f>VLOOKUP(B36,Average!$GC:$HH,32,FALSE)</f>
        <v>0</v>
      </c>
      <c r="J36" s="161" t="str">
        <f>VLOOKUP(B36,Average!$GC:$HW,47,FALSE)</f>
        <v/>
      </c>
      <c r="K36" s="161">
        <f>IF(P36="",0,VLOOKUP(P36,Average!GC:GD,2,FALSE))</f>
        <v>0</v>
      </c>
      <c r="L36" s="161">
        <f t="shared" si="152"/>
        <v>0</v>
      </c>
      <c r="M36" s="161">
        <f t="shared" si="153"/>
        <v>0</v>
      </c>
      <c r="N36" s="355" t="s">
        <v>1070</v>
      </c>
      <c r="O36" s="355" t="s">
        <v>1070</v>
      </c>
      <c r="P36" s="355" t="s">
        <v>1072</v>
      </c>
      <c r="Q36" s="161" t="str">
        <f>VLOOKUP(P36,Average!$GC:$GE,3,FALSE)</f>
        <v/>
      </c>
      <c r="R36" s="161" t="s">
        <v>280</v>
      </c>
      <c r="S36" s="161">
        <f>VLOOKUP(P36,Average!$GC:$HA,24,FALSE)</f>
        <v>0</v>
      </c>
      <c r="T36" s="161">
        <f>VLOOKUP(P36,Average!$GC:$HA,25,FALSE)</f>
        <v>0</v>
      </c>
      <c r="U36" s="161">
        <f>VLOOKUP(P36,Average!$GC:$HB,26,FALSE)</f>
        <v>0</v>
      </c>
      <c r="V36" s="161">
        <f>VLOOKUP(P36,Average!$GC:$HC,27,FALSE)</f>
        <v>0</v>
      </c>
      <c r="W36" s="161">
        <f>VLOOKUP(P36,Average!$GC:$HH,32,FALSE)</f>
        <v>0</v>
      </c>
      <c r="X36" s="161" t="str">
        <f>VLOOKUP(P36,Average!$GC:$HW,47,FALSE)</f>
        <v/>
      </c>
      <c r="Y36" s="161">
        <f>IF(B36="",0,VLOOKUP(B36,Average!GC:GD,2,FALSE))</f>
        <v>0</v>
      </c>
      <c r="Z36" s="161">
        <f t="shared" si="154"/>
        <v>0</v>
      </c>
      <c r="AA36" s="161">
        <f t="shared" si="155"/>
        <v>0</v>
      </c>
      <c r="AB36" s="355" t="s">
        <v>1070</v>
      </c>
      <c r="AC36" s="161">
        <f t="shared" si="156"/>
        <v>0</v>
      </c>
      <c r="AD36" s="161">
        <f t="shared" si="157"/>
        <v>0</v>
      </c>
      <c r="AE36" s="161">
        <f t="shared" si="158"/>
        <v>0</v>
      </c>
      <c r="AF36" s="161">
        <f t="shared" si="159"/>
        <v>0</v>
      </c>
      <c r="AG36" s="161">
        <v>36</v>
      </c>
      <c r="AH36" s="161" t="e">
        <f>VLOOKUP(AG36,'Matchblatt  FEUILLE DE MATCH'!BD:BE,2,FALSE)</f>
        <v>#N/A</v>
      </c>
      <c r="AI36" s="161" t="str">
        <f t="shared" si="160"/>
        <v/>
      </c>
      <c r="AJ36" s="161" t="str">
        <f t="shared" si="161"/>
        <v/>
      </c>
      <c r="AK36" s="161">
        <f t="shared" si="162"/>
        <v>0</v>
      </c>
      <c r="AM36" s="2"/>
      <c r="AN36" s="2"/>
      <c r="AO36" s="2"/>
      <c r="AP36" s="2"/>
      <c r="AQ36" s="2"/>
      <c r="AR36" s="2"/>
      <c r="AS36" s="2"/>
      <c r="AT36" s="2"/>
      <c r="AU36" s="2"/>
      <c r="AV36" s="2"/>
      <c r="AW36" s="2"/>
      <c r="DN36" s="161">
        <v>36</v>
      </c>
      <c r="DO36" s="161" t="e">
        <f>VLOOKUP(DN36,'Matchblatt  FEUILLE DE MATCH'!BF:BG,2,FALSE)</f>
        <v>#N/A</v>
      </c>
      <c r="DP36" s="161" t="str">
        <f t="shared" si="163"/>
        <v/>
      </c>
      <c r="DQ36" s="161" t="str">
        <f t="shared" si="164"/>
        <v/>
      </c>
      <c r="DR36" s="161">
        <f t="shared" si="165"/>
        <v>0</v>
      </c>
    </row>
    <row r="37" spans="1:122" ht="15.95" customHeight="1">
      <c r="A37" s="355" t="s">
        <v>1073</v>
      </c>
      <c r="B37" s="355" t="s">
        <v>1074</v>
      </c>
      <c r="C37" s="161" t="str">
        <f>VLOOKUP(B37,Average!$GC:$GE,3,FALSE)</f>
        <v/>
      </c>
      <c r="D37" s="161" t="s">
        <v>280</v>
      </c>
      <c r="E37" s="161">
        <f>VLOOKUP(B37,Average!$GC:$HA,24,FALSE)</f>
        <v>0</v>
      </c>
      <c r="F37" s="161">
        <f>VLOOKUP(B37,Average!$GC:$HA,25,FALSE)</f>
        <v>0</v>
      </c>
      <c r="G37" s="161">
        <f>VLOOKUP(B37,Average!$GC:$HB,26,FALSE)</f>
        <v>0</v>
      </c>
      <c r="H37" s="161">
        <f>VLOOKUP(B37,Average!$GC:$HC,27,FALSE)</f>
        <v>0</v>
      </c>
      <c r="I37" s="161">
        <f>VLOOKUP(B37,Average!$GC:$HH,32,FALSE)</f>
        <v>0</v>
      </c>
      <c r="J37" s="161" t="str">
        <f>VLOOKUP(B37,Average!$GC:$HW,47,FALSE)</f>
        <v/>
      </c>
      <c r="K37" s="161">
        <f>IF(P37="",0,VLOOKUP(P37,Average!GC:GD,2,FALSE))</f>
        <v>0</v>
      </c>
      <c r="L37" s="161">
        <f t="shared" si="152"/>
        <v>0</v>
      </c>
      <c r="M37" s="161">
        <f t="shared" si="153"/>
        <v>0</v>
      </c>
      <c r="N37" s="355" t="s">
        <v>1073</v>
      </c>
      <c r="O37" s="355" t="s">
        <v>1073</v>
      </c>
      <c r="P37" s="355" t="s">
        <v>1075</v>
      </c>
      <c r="Q37" s="161" t="str">
        <f>VLOOKUP(P37,Average!$GC:$GE,3,FALSE)</f>
        <v/>
      </c>
      <c r="R37" s="161" t="s">
        <v>280</v>
      </c>
      <c r="S37" s="161">
        <f>VLOOKUP(P37,Average!$GC:$HA,24,FALSE)</f>
        <v>0</v>
      </c>
      <c r="T37" s="161">
        <f>VLOOKUP(P37,Average!$GC:$HA,25,FALSE)</f>
        <v>0</v>
      </c>
      <c r="U37" s="161">
        <f>VLOOKUP(P37,Average!$GC:$HB,26,FALSE)</f>
        <v>0</v>
      </c>
      <c r="V37" s="161">
        <f>VLOOKUP(P37,Average!$GC:$HC,27,FALSE)</f>
        <v>0</v>
      </c>
      <c r="W37" s="161">
        <f>VLOOKUP(P37,Average!$GC:$HH,32,FALSE)</f>
        <v>0</v>
      </c>
      <c r="X37" s="161" t="str">
        <f>VLOOKUP(P37,Average!$GC:$HW,47,FALSE)</f>
        <v/>
      </c>
      <c r="Y37" s="161">
        <f>IF(B37="",0,VLOOKUP(B37,Average!GC:GD,2,FALSE))</f>
        <v>0</v>
      </c>
      <c r="Z37" s="161">
        <f t="shared" si="154"/>
        <v>0</v>
      </c>
      <c r="AA37" s="161">
        <f t="shared" si="155"/>
        <v>0</v>
      </c>
      <c r="AB37" s="355" t="s">
        <v>1073</v>
      </c>
      <c r="AC37" s="161">
        <f t="shared" si="156"/>
        <v>0</v>
      </c>
      <c r="AD37" s="161">
        <f t="shared" si="157"/>
        <v>0</v>
      </c>
      <c r="AE37" s="161">
        <f t="shared" si="158"/>
        <v>0</v>
      </c>
      <c r="AF37" s="161">
        <f t="shared" si="159"/>
        <v>0</v>
      </c>
      <c r="AG37" s="161">
        <v>37</v>
      </c>
      <c r="AH37" s="161" t="e">
        <f>VLOOKUP(AG37,'Matchblatt  FEUILLE DE MATCH'!BD:BE,2,FALSE)</f>
        <v>#N/A</v>
      </c>
      <c r="AI37" s="161" t="str">
        <f t="shared" si="160"/>
        <v/>
      </c>
      <c r="AJ37" s="161" t="str">
        <f t="shared" si="161"/>
        <v/>
      </c>
      <c r="AK37" s="161">
        <f t="shared" si="162"/>
        <v>0</v>
      </c>
      <c r="AM37" s="2"/>
      <c r="AN37" s="2"/>
      <c r="AO37" s="2"/>
      <c r="AP37" s="2"/>
      <c r="AQ37" s="2"/>
      <c r="AR37" s="2"/>
      <c r="AS37" s="2"/>
      <c r="AT37" s="2"/>
      <c r="AU37" s="2"/>
      <c r="AV37" s="2"/>
      <c r="AW37" s="2"/>
      <c r="DN37" s="161">
        <v>37</v>
      </c>
      <c r="DO37" s="161" t="e">
        <f>VLOOKUP(DN37,'Matchblatt  FEUILLE DE MATCH'!BF:BG,2,FALSE)</f>
        <v>#N/A</v>
      </c>
      <c r="DP37" s="161" t="str">
        <f t="shared" si="163"/>
        <v/>
      </c>
      <c r="DQ37" s="161" t="str">
        <f t="shared" si="164"/>
        <v/>
      </c>
      <c r="DR37" s="161">
        <f t="shared" si="165"/>
        <v>0</v>
      </c>
    </row>
    <row r="38" spans="1:122" ht="15.95" customHeight="1">
      <c r="A38" s="355" t="s">
        <v>1076</v>
      </c>
      <c r="B38" s="355" t="s">
        <v>1077</v>
      </c>
      <c r="C38" s="161" t="str">
        <f>VLOOKUP(B38,Average!$GC:$GE,3,FALSE)</f>
        <v/>
      </c>
      <c r="D38" s="161" t="s">
        <v>280</v>
      </c>
      <c r="E38" s="161">
        <f>VLOOKUP(B38,Average!$GC:$HA,24,FALSE)</f>
        <v>0</v>
      </c>
      <c r="F38" s="161">
        <f>VLOOKUP(B38,Average!$GC:$HA,25,FALSE)</f>
        <v>0</v>
      </c>
      <c r="G38" s="161">
        <f>VLOOKUP(B38,Average!$GC:$HB,26,FALSE)</f>
        <v>0</v>
      </c>
      <c r="H38" s="161">
        <f>VLOOKUP(B38,Average!$GC:$HC,27,FALSE)</f>
        <v>0</v>
      </c>
      <c r="I38" s="161">
        <f>VLOOKUP(B38,Average!$GC:$HH,32,FALSE)</f>
        <v>0</v>
      </c>
      <c r="J38" s="161" t="str">
        <f>VLOOKUP(B38,Average!$GC:$HW,47,FALSE)</f>
        <v/>
      </c>
      <c r="K38" s="161">
        <f>IF(P38="",0,VLOOKUP(P38,Average!GC:GD,2,FALSE))</f>
        <v>0</v>
      </c>
      <c r="L38" s="161">
        <f t="shared" si="152"/>
        <v>0</v>
      </c>
      <c r="M38" s="161">
        <f t="shared" si="153"/>
        <v>0</v>
      </c>
      <c r="N38" s="355" t="s">
        <v>1076</v>
      </c>
      <c r="O38" s="355" t="s">
        <v>1076</v>
      </c>
      <c r="P38" s="355" t="s">
        <v>1078</v>
      </c>
      <c r="Q38" s="161" t="str">
        <f>VLOOKUP(P38,Average!$GC:$GE,3,FALSE)</f>
        <v/>
      </c>
      <c r="R38" s="161" t="s">
        <v>280</v>
      </c>
      <c r="S38" s="161">
        <f>VLOOKUP(P38,Average!$GC:$HA,24,FALSE)</f>
        <v>0</v>
      </c>
      <c r="T38" s="161">
        <f>VLOOKUP(P38,Average!$GC:$HA,25,FALSE)</f>
        <v>0</v>
      </c>
      <c r="U38" s="161">
        <f>VLOOKUP(P38,Average!$GC:$HB,26,FALSE)</f>
        <v>0</v>
      </c>
      <c r="V38" s="161">
        <f>VLOOKUP(P38,Average!$GC:$HC,27,FALSE)</f>
        <v>0</v>
      </c>
      <c r="W38" s="161">
        <f>VLOOKUP(P38,Average!$GC:$HH,32,FALSE)</f>
        <v>0</v>
      </c>
      <c r="X38" s="161" t="str">
        <f>VLOOKUP(P38,Average!$GC:$HW,47,FALSE)</f>
        <v/>
      </c>
      <c r="Y38" s="161">
        <f>IF(B38="",0,VLOOKUP(B38,Average!GC:GD,2,FALSE))</f>
        <v>0</v>
      </c>
      <c r="Z38" s="161">
        <f t="shared" si="154"/>
        <v>0</v>
      </c>
      <c r="AA38" s="161">
        <f t="shared" si="155"/>
        <v>0</v>
      </c>
      <c r="AB38" s="355" t="s">
        <v>1076</v>
      </c>
      <c r="AC38" s="161">
        <f t="shared" si="156"/>
        <v>0</v>
      </c>
      <c r="AD38" s="161">
        <f t="shared" si="157"/>
        <v>0</v>
      </c>
      <c r="AE38" s="161">
        <f t="shared" si="158"/>
        <v>0</v>
      </c>
      <c r="AF38" s="161">
        <f t="shared" si="159"/>
        <v>0</v>
      </c>
      <c r="AG38" s="161">
        <v>38</v>
      </c>
      <c r="AH38" s="161" t="e">
        <f>VLOOKUP(AG38,'Matchblatt  FEUILLE DE MATCH'!BD:BE,2,FALSE)</f>
        <v>#N/A</v>
      </c>
      <c r="AI38" s="161" t="str">
        <f t="shared" si="160"/>
        <v/>
      </c>
      <c r="AJ38" s="161" t="str">
        <f t="shared" si="161"/>
        <v/>
      </c>
      <c r="AK38" s="161">
        <f t="shared" si="162"/>
        <v>0</v>
      </c>
      <c r="AM38" s="2"/>
      <c r="AN38" s="2"/>
      <c r="AO38" s="2"/>
      <c r="AP38" s="2"/>
      <c r="AQ38" s="2"/>
      <c r="AR38" s="2"/>
      <c r="AS38" s="2"/>
      <c r="AT38" s="2"/>
      <c r="AU38" s="2"/>
      <c r="AV38" s="2"/>
      <c r="AW38" s="2"/>
      <c r="DN38" s="161">
        <v>38</v>
      </c>
      <c r="DO38" s="161" t="e">
        <f>VLOOKUP(DN38,'Matchblatt  FEUILLE DE MATCH'!BF:BG,2,FALSE)</f>
        <v>#N/A</v>
      </c>
      <c r="DP38" s="161" t="str">
        <f t="shared" si="163"/>
        <v/>
      </c>
      <c r="DQ38" s="161" t="str">
        <f t="shared" si="164"/>
        <v/>
      </c>
      <c r="DR38" s="161">
        <f t="shared" si="165"/>
        <v>0</v>
      </c>
    </row>
    <row r="39" spans="1:122" ht="15.95" customHeight="1">
      <c r="A39" s="355" t="s">
        <v>1079</v>
      </c>
      <c r="B39" s="355" t="s">
        <v>1080</v>
      </c>
      <c r="C39" s="161" t="str">
        <f>VLOOKUP(B39,Average!$GC:$GE,3,FALSE)</f>
        <v/>
      </c>
      <c r="D39" s="161" t="s">
        <v>280</v>
      </c>
      <c r="E39" s="161">
        <f>VLOOKUP(B39,Average!$GC:$HA,24,FALSE)</f>
        <v>0</v>
      </c>
      <c r="F39" s="161">
        <f>VLOOKUP(B39,Average!$GC:$HA,25,FALSE)</f>
        <v>0</v>
      </c>
      <c r="G39" s="161">
        <f>VLOOKUP(B39,Average!$GC:$HB,26,FALSE)</f>
        <v>0</v>
      </c>
      <c r="H39" s="161">
        <f>VLOOKUP(B39,Average!$GC:$HC,27,FALSE)</f>
        <v>0</v>
      </c>
      <c r="I39" s="161">
        <f>VLOOKUP(B39,Average!$GC:$HH,32,FALSE)</f>
        <v>0</v>
      </c>
      <c r="J39" s="161" t="str">
        <f>VLOOKUP(B39,Average!$GC:$HW,47,FALSE)</f>
        <v/>
      </c>
      <c r="K39" s="161">
        <f>IF(P39="",0,VLOOKUP(P39,Average!GC:GD,2,FALSE))</f>
        <v>0</v>
      </c>
      <c r="L39" s="161">
        <f t="shared" si="152"/>
        <v>0</v>
      </c>
      <c r="M39" s="161">
        <f t="shared" si="153"/>
        <v>0</v>
      </c>
      <c r="N39" s="355" t="s">
        <v>1079</v>
      </c>
      <c r="O39" s="355" t="s">
        <v>1079</v>
      </c>
      <c r="P39" s="355" t="s">
        <v>1081</v>
      </c>
      <c r="Q39" s="161" t="str">
        <f>VLOOKUP(P39,Average!$GC:$GE,3,FALSE)</f>
        <v/>
      </c>
      <c r="R39" s="161" t="s">
        <v>280</v>
      </c>
      <c r="S39" s="161">
        <f>VLOOKUP(P39,Average!$GC:$HA,24,FALSE)</f>
        <v>0</v>
      </c>
      <c r="T39" s="161">
        <f>VLOOKUP(P39,Average!$GC:$HA,25,FALSE)</f>
        <v>0</v>
      </c>
      <c r="U39" s="161">
        <f>VLOOKUP(P39,Average!$GC:$HB,26,FALSE)</f>
        <v>0</v>
      </c>
      <c r="V39" s="161">
        <f>VLOOKUP(P39,Average!$GC:$HC,27,FALSE)</f>
        <v>0</v>
      </c>
      <c r="W39" s="161">
        <f>VLOOKUP(P39,Average!$GC:$HH,32,FALSE)</f>
        <v>0</v>
      </c>
      <c r="X39" s="161" t="str">
        <f>VLOOKUP(P39,Average!$GC:$HW,47,FALSE)</f>
        <v/>
      </c>
      <c r="Y39" s="161">
        <f>IF(B39="",0,VLOOKUP(B39,Average!GC:GD,2,FALSE))</f>
        <v>0</v>
      </c>
      <c r="Z39" s="161">
        <f t="shared" si="154"/>
        <v>0</v>
      </c>
      <c r="AA39" s="161">
        <f t="shared" si="155"/>
        <v>0</v>
      </c>
      <c r="AB39" s="355" t="s">
        <v>1079</v>
      </c>
      <c r="AC39" s="161">
        <f t="shared" si="156"/>
        <v>0</v>
      </c>
      <c r="AD39" s="161">
        <f t="shared" si="157"/>
        <v>0</v>
      </c>
      <c r="AE39" s="161">
        <f t="shared" si="158"/>
        <v>0</v>
      </c>
      <c r="AF39" s="161">
        <f t="shared" si="159"/>
        <v>0</v>
      </c>
      <c r="AG39" s="161">
        <v>39</v>
      </c>
      <c r="AH39" s="161" t="e">
        <f>VLOOKUP(AG39,'Matchblatt  FEUILLE DE MATCH'!BD:BE,2,FALSE)</f>
        <v>#N/A</v>
      </c>
      <c r="AI39" s="161" t="str">
        <f t="shared" si="160"/>
        <v/>
      </c>
      <c r="AJ39" s="161" t="str">
        <f t="shared" si="161"/>
        <v/>
      </c>
      <c r="AK39" s="161">
        <f t="shared" si="162"/>
        <v>0</v>
      </c>
      <c r="AM39" s="2"/>
      <c r="AN39" s="2"/>
      <c r="AO39" s="2"/>
      <c r="AP39" s="2"/>
      <c r="AQ39" s="2"/>
      <c r="AR39" s="2"/>
      <c r="AS39" s="2"/>
      <c r="AT39" s="2"/>
      <c r="AU39" s="2"/>
      <c r="AV39" s="2"/>
      <c r="AW39" s="2"/>
      <c r="DN39" s="161">
        <v>39</v>
      </c>
      <c r="DO39" s="161" t="e">
        <f>VLOOKUP(DN39,'Matchblatt  FEUILLE DE MATCH'!BF:BG,2,FALSE)</f>
        <v>#N/A</v>
      </c>
      <c r="DP39" s="161" t="str">
        <f t="shared" si="163"/>
        <v/>
      </c>
      <c r="DQ39" s="161" t="str">
        <f t="shared" si="164"/>
        <v/>
      </c>
      <c r="DR39" s="161">
        <f t="shared" si="165"/>
        <v>0</v>
      </c>
    </row>
    <row r="40" spans="1:122" ht="15.95" customHeight="1">
      <c r="A40" s="355" t="s">
        <v>1082</v>
      </c>
      <c r="B40" s="355" t="s">
        <v>1083</v>
      </c>
      <c r="C40" s="161" t="str">
        <f>VLOOKUP(B40,Average!$GC:$GE,3,FALSE)</f>
        <v/>
      </c>
      <c r="D40" s="161" t="s">
        <v>280</v>
      </c>
      <c r="E40" s="161">
        <f>VLOOKUP(B40,Average!$GC:$HA,24,FALSE)</f>
        <v>0</v>
      </c>
      <c r="F40" s="161">
        <f>VLOOKUP(B40,Average!$GC:$HA,25,FALSE)</f>
        <v>0</v>
      </c>
      <c r="G40" s="161">
        <f>VLOOKUP(B40,Average!$GC:$HB,26,FALSE)</f>
        <v>0</v>
      </c>
      <c r="H40" s="161">
        <f>VLOOKUP(B40,Average!$GC:$HC,27,FALSE)</f>
        <v>0</v>
      </c>
      <c r="I40" s="161">
        <f>VLOOKUP(B40,Average!$GC:$HH,32,FALSE)</f>
        <v>0</v>
      </c>
      <c r="J40" s="161" t="str">
        <f>VLOOKUP(B40,Average!$GC:$HW,47,FALSE)</f>
        <v/>
      </c>
      <c r="K40" s="161">
        <f>IF(P40="",0,VLOOKUP(P40,Average!GC:GD,2,FALSE))</f>
        <v>0</v>
      </c>
      <c r="L40" s="161">
        <f t="shared" si="152"/>
        <v>0</v>
      </c>
      <c r="M40" s="161">
        <f t="shared" si="153"/>
        <v>0</v>
      </c>
      <c r="N40" s="355" t="s">
        <v>1082</v>
      </c>
      <c r="O40" s="355" t="s">
        <v>1082</v>
      </c>
      <c r="P40" s="355" t="s">
        <v>1084</v>
      </c>
      <c r="Q40" s="161" t="str">
        <f>VLOOKUP(P40,Average!$GC:$GE,3,FALSE)</f>
        <v/>
      </c>
      <c r="R40" s="161" t="s">
        <v>280</v>
      </c>
      <c r="S40" s="161">
        <f>VLOOKUP(P40,Average!$GC:$HA,24,FALSE)</f>
        <v>0</v>
      </c>
      <c r="T40" s="161">
        <f>VLOOKUP(P40,Average!$GC:$HA,25,FALSE)</f>
        <v>0</v>
      </c>
      <c r="U40" s="161">
        <f>VLOOKUP(P40,Average!$GC:$HB,26,FALSE)</f>
        <v>0</v>
      </c>
      <c r="V40" s="161">
        <f>VLOOKUP(P40,Average!$GC:$HC,27,FALSE)</f>
        <v>0</v>
      </c>
      <c r="W40" s="161">
        <f>VLOOKUP(P40,Average!$GC:$HH,32,FALSE)</f>
        <v>0</v>
      </c>
      <c r="X40" s="161" t="str">
        <f>VLOOKUP(P40,Average!$GC:$HW,47,FALSE)</f>
        <v/>
      </c>
      <c r="Y40" s="161">
        <f>IF(B40="",0,VLOOKUP(B40,Average!GC:GD,2,FALSE))</f>
        <v>0</v>
      </c>
      <c r="Z40" s="161">
        <f t="shared" si="154"/>
        <v>0</v>
      </c>
      <c r="AA40" s="161">
        <f t="shared" si="155"/>
        <v>0</v>
      </c>
      <c r="AB40" s="355" t="s">
        <v>1082</v>
      </c>
      <c r="AC40" s="161">
        <f t="shared" si="156"/>
        <v>0</v>
      </c>
      <c r="AD40" s="161">
        <f t="shared" si="157"/>
        <v>0</v>
      </c>
      <c r="AE40" s="161">
        <f t="shared" si="158"/>
        <v>0</v>
      </c>
      <c r="AF40" s="161">
        <f t="shared" si="159"/>
        <v>0</v>
      </c>
      <c r="AG40" s="161">
        <v>40</v>
      </c>
      <c r="AH40" s="161" t="e">
        <f>VLOOKUP(AG40,'Matchblatt  FEUILLE DE MATCH'!BD:BE,2,FALSE)</f>
        <v>#N/A</v>
      </c>
      <c r="AI40" s="161" t="str">
        <f t="shared" si="160"/>
        <v/>
      </c>
      <c r="AJ40" s="161" t="str">
        <f t="shared" si="161"/>
        <v/>
      </c>
      <c r="AK40" s="161">
        <f t="shared" si="162"/>
        <v>0</v>
      </c>
      <c r="AM40" s="2"/>
      <c r="AN40" s="2"/>
      <c r="AO40" s="2"/>
      <c r="AP40" s="2"/>
      <c r="AQ40" s="2"/>
      <c r="AR40" s="2"/>
      <c r="AS40" s="2"/>
      <c r="AT40" s="2"/>
      <c r="AU40" s="2"/>
      <c r="AV40" s="2"/>
      <c r="AW40" s="2"/>
      <c r="DN40" s="161">
        <v>40</v>
      </c>
      <c r="DO40" s="161" t="e">
        <f>VLOOKUP(DN40,'Matchblatt  FEUILLE DE MATCH'!BF:BG,2,FALSE)</f>
        <v>#N/A</v>
      </c>
      <c r="DP40" s="161" t="str">
        <f t="shared" si="163"/>
        <v/>
      </c>
      <c r="DQ40" s="161" t="str">
        <f t="shared" si="164"/>
        <v/>
      </c>
      <c r="DR40" s="161">
        <f t="shared" si="165"/>
        <v>0</v>
      </c>
    </row>
    <row r="41" spans="1:122" ht="15.95" customHeight="1">
      <c r="A41" s="355" t="s">
        <v>1085</v>
      </c>
      <c r="B41" s="355" t="str">
        <f>IF($B$1=3,"","HS 3.7")</f>
        <v>HS 3.7</v>
      </c>
      <c r="C41" s="161" t="str">
        <f>IF(B41="","",VLOOKUP(B41,Average!$GC:$GE,3,FALSE))</f>
        <v/>
      </c>
      <c r="D41" s="161" t="s">
        <v>280</v>
      </c>
      <c r="E41" s="161">
        <f>IF(B41="","",VLOOKUP(B41,Average!$GC:$HA,24,FALSE))</f>
        <v>0</v>
      </c>
      <c r="F41" s="161">
        <f>IF(B41="","",VLOOKUP(B41,Average!$GC:$HA,25,FALSE))</f>
        <v>0</v>
      </c>
      <c r="G41" s="161">
        <f>IF(B41="","",VLOOKUP(B41,Average!$GC:$HB,26,FALSE))</f>
        <v>0</v>
      </c>
      <c r="H41" s="161">
        <f>IF(B41="","",VLOOKUP(B41,Average!$GC:$HC,27,FALSE))</f>
        <v>0</v>
      </c>
      <c r="I41" s="161">
        <f>IF(B41="","",VLOOKUP(B41,Average!$GC:$HH,32,FALSE))</f>
        <v>0</v>
      </c>
      <c r="J41" s="161" t="str">
        <f>IF(B41="","",VLOOKUP(B41,Average!$GC:$HW,47,FALSE))</f>
        <v/>
      </c>
      <c r="K41" s="161">
        <f>IF(P41="",0,VLOOKUP(P41,Average!GC:GD,2,FALSE))</f>
        <v>0</v>
      </c>
      <c r="L41" s="161">
        <f>IF(B41="",0,SUM(K41,M41,Y41))</f>
        <v>0</v>
      </c>
      <c r="M41" s="161">
        <f>IF(B41="",0,IF(K41=1,0,IF(E41&gt;0,1,0)))</f>
        <v>0</v>
      </c>
      <c r="N41" s="355" t="s">
        <v>1085</v>
      </c>
      <c r="O41" s="355" t="s">
        <v>1085</v>
      </c>
      <c r="P41" s="355" t="str">
        <f>IF($B$1=3,"","GS 3.7")</f>
        <v>GS 3.7</v>
      </c>
      <c r="Q41" s="161" t="str">
        <f>IF(P41="","",VLOOKUP(P41,Average!$GC:$GE,3,FALSE))</f>
        <v/>
      </c>
      <c r="R41" s="161" t="s">
        <v>280</v>
      </c>
      <c r="S41" s="161">
        <f>IF(P41="","",VLOOKUP(P41,Average!$GC:$HA,24,FALSE))</f>
        <v>0</v>
      </c>
      <c r="T41" s="161">
        <f>IF(P41="","",VLOOKUP(P41,Average!$GC:$HA,25,FALSE))</f>
        <v>0</v>
      </c>
      <c r="U41" s="161">
        <f>IF(P41="","",VLOOKUP(P41,Average!$GC:$HB,26,FALSE))</f>
        <v>0</v>
      </c>
      <c r="V41" s="161">
        <f>IF(P41="","",VLOOKUP(P41,Average!$GC:$HC,27,FALSE))</f>
        <v>0</v>
      </c>
      <c r="W41" s="161">
        <f>IF(P41="","",VLOOKUP(P41,Average!$GC:$HH,32,FALSE))</f>
        <v>0</v>
      </c>
      <c r="X41" s="161" t="str">
        <f>IF(P41="","",VLOOKUP(P41,Average!$GC:$HW,47,FALSE))</f>
        <v/>
      </c>
      <c r="Y41" s="161">
        <f>IF(B41="",0,VLOOKUP(B41,Average!GC:GD,2,FALSE))</f>
        <v>0</v>
      </c>
      <c r="Z41" s="161">
        <f>IF(P41="",0,SUM(Y41,AA41,K41))</f>
        <v>0</v>
      </c>
      <c r="AA41" s="161">
        <f>IF(P41="",0,IF(Y41=1,0,IF(S41&gt;0,1,0)))</f>
        <v>0</v>
      </c>
      <c r="AB41" s="355" t="s">
        <v>1085</v>
      </c>
      <c r="AC41" s="161">
        <f t="shared" si="156"/>
        <v>0</v>
      </c>
      <c r="AD41" s="161">
        <f t="shared" si="157"/>
        <v>0</v>
      </c>
      <c r="AE41" s="161">
        <f t="shared" si="158"/>
        <v>0</v>
      </c>
      <c r="AF41" s="161">
        <f t="shared" si="159"/>
        <v>0</v>
      </c>
      <c r="AG41" s="161">
        <v>41</v>
      </c>
      <c r="AH41" s="161" t="e">
        <f>VLOOKUP(AG41,'Matchblatt  FEUILLE DE MATCH'!BD:BE,2,FALSE)</f>
        <v>#N/A</v>
      </c>
      <c r="AI41" s="161" t="str">
        <f t="shared" si="160"/>
        <v/>
      </c>
      <c r="AJ41" s="161" t="str">
        <f t="shared" si="161"/>
        <v/>
      </c>
      <c r="AK41" s="161">
        <f t="shared" si="162"/>
        <v>0</v>
      </c>
      <c r="AM41" s="2"/>
      <c r="AN41" s="2"/>
      <c r="AO41" s="2"/>
      <c r="AP41" s="2"/>
      <c r="AQ41" s="2"/>
      <c r="AR41" s="2"/>
      <c r="AS41" s="2"/>
      <c r="AT41" s="2"/>
      <c r="AU41" s="2"/>
      <c r="AV41" s="2"/>
      <c r="AW41" s="2"/>
      <c r="DN41" s="161">
        <v>41</v>
      </c>
      <c r="DO41" s="161" t="e">
        <f>VLOOKUP(DN41,'Matchblatt  FEUILLE DE MATCH'!BF:BG,2,FALSE)</f>
        <v>#N/A</v>
      </c>
      <c r="DP41" s="161" t="str">
        <f t="shared" si="163"/>
        <v/>
      </c>
      <c r="DQ41" s="161" t="str">
        <f t="shared" si="164"/>
        <v/>
      </c>
      <c r="DR41" s="161">
        <f t="shared" si="165"/>
        <v>0</v>
      </c>
    </row>
    <row r="42" spans="1:122" ht="15.95" customHeight="1">
      <c r="A42" s="355" t="s">
        <v>1088</v>
      </c>
      <c r="B42" s="355" t="str">
        <f>IF($B$1=3,"","HS 3.8")</f>
        <v>HS 3.8</v>
      </c>
      <c r="C42" s="161" t="str">
        <f>IF(B42="","",VLOOKUP(B42,Average!$GC:$GE,3,FALSE))</f>
        <v/>
      </c>
      <c r="D42" s="161" t="s">
        <v>280</v>
      </c>
      <c r="E42" s="161">
        <f>IF(B42="","",VLOOKUP(B42,Average!$GC:$HA,24,FALSE))</f>
        <v>0</v>
      </c>
      <c r="F42" s="161">
        <f>IF(B42="","",VLOOKUP(B42,Average!$GC:$HA,25,FALSE))</f>
        <v>0</v>
      </c>
      <c r="G42" s="161">
        <f>IF(B42="","",VLOOKUP(B42,Average!$GC:$HB,26,FALSE))</f>
        <v>0</v>
      </c>
      <c r="H42" s="161">
        <f>IF(B42="","",VLOOKUP(B42,Average!$GC:$HC,27,FALSE))</f>
        <v>0</v>
      </c>
      <c r="I42" s="161">
        <f>IF(B42="","",VLOOKUP(B42,Average!$GC:$HH,32,FALSE))</f>
        <v>0</v>
      </c>
      <c r="J42" s="161" t="str">
        <f>IF(B42="","",VLOOKUP(B42,Average!$GC:$HW,47,FALSE))</f>
        <v/>
      </c>
      <c r="K42" s="161">
        <f>IF(P42="",0,VLOOKUP(P42,Average!GC:GD,2,FALSE))</f>
        <v>0</v>
      </c>
      <c r="L42" s="161">
        <f>IF(B42="",0,SUM(K42,M42,Y42))</f>
        <v>0</v>
      </c>
      <c r="M42" s="161">
        <f>IF(B42="",0,IF(K42=1,0,IF(E42&gt;0,1,0)))</f>
        <v>0</v>
      </c>
      <c r="N42" s="355" t="s">
        <v>1088</v>
      </c>
      <c r="O42" s="355" t="s">
        <v>1088</v>
      </c>
      <c r="P42" s="355" t="str">
        <f>IF($B$1=3,"","GS 3.8")</f>
        <v>GS 3.8</v>
      </c>
      <c r="Q42" s="161" t="str">
        <f>IF(P42="","",VLOOKUP(P42,Average!$GC:$GE,3,FALSE))</f>
        <v/>
      </c>
      <c r="R42" s="161" t="s">
        <v>280</v>
      </c>
      <c r="S42" s="161">
        <f>IF(P42="","",VLOOKUP(P42,Average!$GC:$HA,24,FALSE))</f>
        <v>0</v>
      </c>
      <c r="T42" s="161">
        <f>IF(P42="","",VLOOKUP(P42,Average!$GC:$HA,25,FALSE))</f>
        <v>0</v>
      </c>
      <c r="U42" s="161">
        <f>IF(P42="","",VLOOKUP(P42,Average!$GC:$HB,26,FALSE))</f>
        <v>0</v>
      </c>
      <c r="V42" s="161">
        <f>IF(P42="","",VLOOKUP(P42,Average!$GC:$HC,27,FALSE))</f>
        <v>0</v>
      </c>
      <c r="W42" s="161">
        <f>IF(P42="","",VLOOKUP(P42,Average!$GC:$HH,32,FALSE))</f>
        <v>0</v>
      </c>
      <c r="X42" s="161" t="str">
        <f>IF(P42="","",VLOOKUP(P42,Average!$GC:$HW,47,FALSE))</f>
        <v/>
      </c>
      <c r="Y42" s="161">
        <f>IF(B42="",0,VLOOKUP(B42,Average!GC:GD,2,FALSE))</f>
        <v>0</v>
      </c>
      <c r="Z42" s="161">
        <f>IF(P42="",0,SUM(Y42,AA42,K42))</f>
        <v>0</v>
      </c>
      <c r="AA42" s="161">
        <f>IF(P42="",0,IF(Y42=1,0,IF(S42&gt;0,1,0)))</f>
        <v>0</v>
      </c>
      <c r="AB42" s="355" t="s">
        <v>1088</v>
      </c>
      <c r="AC42" s="161">
        <f t="shared" si="156"/>
        <v>0</v>
      </c>
      <c r="AD42" s="161">
        <f t="shared" si="157"/>
        <v>0</v>
      </c>
      <c r="AE42" s="161">
        <f t="shared" si="158"/>
        <v>0</v>
      </c>
      <c r="AF42" s="161">
        <f t="shared" si="159"/>
        <v>0</v>
      </c>
      <c r="AG42" s="161">
        <v>42</v>
      </c>
      <c r="AH42" s="161" t="e">
        <f>VLOOKUP(AG42,'Matchblatt  FEUILLE DE MATCH'!BD:BE,2,FALSE)</f>
        <v>#N/A</v>
      </c>
      <c r="AI42" s="161" t="str">
        <f t="shared" si="160"/>
        <v/>
      </c>
      <c r="AJ42" s="161" t="str">
        <f t="shared" si="161"/>
        <v/>
      </c>
      <c r="AK42" s="161">
        <f t="shared" si="162"/>
        <v>0</v>
      </c>
      <c r="AM42" s="2"/>
      <c r="AN42" s="2"/>
      <c r="AO42" s="2"/>
      <c r="AP42" s="2"/>
      <c r="AQ42" s="2"/>
      <c r="AR42" s="2"/>
      <c r="AS42" s="2"/>
      <c r="AT42" s="2"/>
      <c r="AU42" s="2"/>
      <c r="AV42" s="2"/>
      <c r="AW42" s="2"/>
      <c r="DN42" s="161">
        <v>42</v>
      </c>
      <c r="DO42" s="161" t="e">
        <f>VLOOKUP(DN42,'Matchblatt  FEUILLE DE MATCH'!BF:BG,2,FALSE)</f>
        <v>#N/A</v>
      </c>
      <c r="DP42" s="161" t="str">
        <f t="shared" si="163"/>
        <v/>
      </c>
      <c r="DQ42" s="161" t="str">
        <f t="shared" si="164"/>
        <v/>
      </c>
      <c r="DR42" s="161">
        <f t="shared" si="165"/>
        <v>0</v>
      </c>
    </row>
    <row r="43" spans="1:122" ht="15.95" customHeight="1">
      <c r="A43" s="358" t="s">
        <v>280</v>
      </c>
      <c r="B43" s="358" t="s">
        <v>1107</v>
      </c>
      <c r="C43" s="357" t="str">
        <f>VLOOKUP(B43,Average!$GC:$GE,3,FALSE)</f>
        <v/>
      </c>
      <c r="D43" s="357" t="s">
        <v>280</v>
      </c>
      <c r="E43" s="357">
        <f>VLOOKUP(B43,Average!$GC:$HA,24,FALSE)</f>
        <v>0</v>
      </c>
      <c r="F43" s="357">
        <f>VLOOKUP(B43,Average!$GC:$HA,25,FALSE)</f>
        <v>0</v>
      </c>
      <c r="G43" s="357" t="str">
        <f>VLOOKUP(B43,Average!$GC:$HB,26,FALSE)</f>
        <v/>
      </c>
      <c r="H43" s="359">
        <f>VLOOKUP(B43,Average!$GC:$HC,27,FALSE)</f>
        <v>0</v>
      </c>
      <c r="I43" s="357">
        <f>VLOOKUP(B43,Average!$GC:$HH,32,FALSE)</f>
        <v>0</v>
      </c>
      <c r="O43" s="358" t="s">
        <v>280</v>
      </c>
      <c r="P43" s="358" t="s">
        <v>1109</v>
      </c>
      <c r="Q43" s="357" t="str">
        <f>VLOOKUP(P43,Average!$GC:$GE,3,FALSE)</f>
        <v/>
      </c>
      <c r="R43" s="357" t="s">
        <v>280</v>
      </c>
      <c r="S43" s="357">
        <f>VLOOKUP(P43,Average!$GC:$HA,24,FALSE)</f>
        <v>0</v>
      </c>
      <c r="T43" s="357">
        <f>VLOOKUP(P43,Average!$GC:$HA,25,FALSE)</f>
        <v>0</v>
      </c>
      <c r="U43" s="357" t="str">
        <f>VLOOKUP(P43,Average!$GC:$HB,26,FALSE)</f>
        <v/>
      </c>
      <c r="V43" s="359">
        <f>VLOOKUP(P43,Average!$GC:$HC,27,FALSE)</f>
        <v>0</v>
      </c>
      <c r="W43" s="357">
        <f>VLOOKUP(P43,Average!$GC:$HH,32,FALSE)</f>
        <v>0</v>
      </c>
      <c r="AC43" s="161">
        <f>SUM(AC3:AC42)</f>
        <v>0</v>
      </c>
      <c r="AD43" s="161">
        <f>SUM(AD3:AD42)</f>
        <v>0</v>
      </c>
      <c r="AE43" s="161">
        <f>SUM(AE3:AE42)</f>
        <v>0</v>
      </c>
      <c r="AF43" s="161">
        <f>SUM(AF3:AF42)</f>
        <v>0</v>
      </c>
      <c r="AG43" s="161">
        <v>43</v>
      </c>
      <c r="AH43" s="161" t="e">
        <f>VLOOKUP(AG43,'Matchblatt  FEUILLE DE MATCH'!BD:BE,2,FALSE)</f>
        <v>#N/A</v>
      </c>
      <c r="AI43" s="161" t="str">
        <f t="shared" si="160"/>
        <v/>
      </c>
      <c r="AJ43" s="161" t="str">
        <f t="shared" si="161"/>
        <v/>
      </c>
      <c r="AK43" s="161">
        <f t="shared" si="162"/>
        <v>0</v>
      </c>
      <c r="AM43" s="2"/>
      <c r="AN43" s="2"/>
      <c r="AO43" s="2"/>
      <c r="AP43" s="2"/>
      <c r="AQ43" s="2"/>
      <c r="AR43" s="2"/>
      <c r="AS43" s="2"/>
      <c r="AT43" s="2"/>
      <c r="AU43" s="2"/>
      <c r="AV43" s="2"/>
      <c r="AW43" s="2"/>
      <c r="DN43" s="161">
        <v>43</v>
      </c>
      <c r="DO43" s="161" t="e">
        <f>VLOOKUP(DN43,'Matchblatt  FEUILLE DE MATCH'!BF:BG,2,FALSE)</f>
        <v>#N/A</v>
      </c>
      <c r="DP43" s="161" t="str">
        <f t="shared" si="163"/>
        <v/>
      </c>
      <c r="DQ43" s="161" t="str">
        <f t="shared" si="164"/>
        <v/>
      </c>
      <c r="DR43" s="161">
        <f t="shared" si="165"/>
        <v>0</v>
      </c>
    </row>
    <row r="44" spans="1:122" ht="15.95" customHeight="1">
      <c r="A44" s="360" t="s">
        <v>1091</v>
      </c>
      <c r="B44" s="360" t="s">
        <v>1108</v>
      </c>
      <c r="C44" s="354" t="str">
        <f>VLOOKUP(B44,Average!$GC:$GE,3,FALSE)</f>
        <v/>
      </c>
      <c r="D44" s="354" t="s">
        <v>280</v>
      </c>
      <c r="E44" s="354"/>
      <c r="F44" s="354"/>
      <c r="G44" s="354" t="str">
        <f>VLOOKUP(B44,Average!$GC:$HB,26,FALSE)</f>
        <v/>
      </c>
      <c r="H44" s="356">
        <f>VLOOKUP(B44,Average!$GC:$HC,27,FALSE)</f>
        <v>0</v>
      </c>
      <c r="I44" s="354"/>
      <c r="O44" s="360" t="s">
        <v>1091</v>
      </c>
      <c r="P44" s="360" t="s">
        <v>1110</v>
      </c>
      <c r="Q44" s="354" t="str">
        <f>VLOOKUP(P44,Average!$GC:$GE,3,FALSE)</f>
        <v/>
      </c>
      <c r="R44" s="354" t="s">
        <v>280</v>
      </c>
      <c r="S44" s="354"/>
      <c r="T44" s="354"/>
      <c r="U44" s="354" t="str">
        <f>VLOOKUP(P44,Average!$GC:$HB,26,FALSE)</f>
        <v/>
      </c>
      <c r="V44" s="356">
        <f>VLOOKUP(P44,Average!$GC:$HC,27,FALSE)</f>
        <v>0</v>
      </c>
      <c r="W44" s="354"/>
      <c r="AC44" s="161">
        <f>IF(I43=2,1,0)</f>
        <v>0</v>
      </c>
      <c r="AD44" s="161">
        <f>IF(W43=2,1,0)</f>
        <v>0</v>
      </c>
      <c r="AE44" s="161">
        <f>SUM(I43)</f>
        <v>0</v>
      </c>
      <c r="AF44" s="161">
        <f>SUM(W43)</f>
        <v>0</v>
      </c>
      <c r="AG44" s="161">
        <v>44</v>
      </c>
      <c r="AH44" s="161" t="e">
        <f>VLOOKUP(AG44,'Matchblatt  FEUILLE DE MATCH'!BD:BE,2,FALSE)</f>
        <v>#N/A</v>
      </c>
      <c r="AI44" s="161" t="str">
        <f t="shared" si="160"/>
        <v/>
      </c>
      <c r="AJ44" s="161" t="str">
        <f t="shared" si="161"/>
        <v/>
      </c>
      <c r="AK44" s="161">
        <f t="shared" si="162"/>
        <v>0</v>
      </c>
      <c r="AM44" s="2"/>
      <c r="AN44" s="2"/>
      <c r="AO44" s="2"/>
      <c r="AP44" s="2"/>
      <c r="AQ44" s="2"/>
      <c r="AR44" s="2"/>
      <c r="AS44" s="2"/>
      <c r="AT44" s="2"/>
      <c r="AU44" s="2"/>
      <c r="AV44" s="2"/>
      <c r="AW44" s="2"/>
      <c r="DN44" s="161">
        <v>44</v>
      </c>
      <c r="DO44" s="161" t="e">
        <f>VLOOKUP(DN44,'Matchblatt  FEUILLE DE MATCH'!BF:BG,2,FALSE)</f>
        <v>#N/A</v>
      </c>
      <c r="DP44" s="161" t="str">
        <f t="shared" si="163"/>
        <v/>
      </c>
      <c r="DQ44" s="161" t="str">
        <f t="shared" si="164"/>
        <v/>
      </c>
      <c r="DR44" s="161">
        <f t="shared" si="165"/>
        <v>0</v>
      </c>
    </row>
    <row r="45" spans="1:122">
      <c r="AG45" s="161">
        <v>45</v>
      </c>
      <c r="AH45" s="161" t="e">
        <f>VLOOKUP(AG45,'Matchblatt  FEUILLE DE MATCH'!BD:BE,2,FALSE)</f>
        <v>#N/A</v>
      </c>
      <c r="AI45" s="161" t="str">
        <f t="shared" si="160"/>
        <v/>
      </c>
      <c r="AJ45" s="161" t="str">
        <f t="shared" si="161"/>
        <v/>
      </c>
      <c r="AK45" s="161">
        <f t="shared" si="162"/>
        <v>0</v>
      </c>
      <c r="AM45" s="2"/>
      <c r="AN45" s="2"/>
      <c r="AO45" s="2"/>
      <c r="AP45" s="2"/>
      <c r="AQ45" s="2"/>
      <c r="AR45" s="2"/>
      <c r="AS45" s="2"/>
      <c r="AT45" s="2"/>
      <c r="AU45" s="2"/>
      <c r="AV45" s="2"/>
      <c r="AW45" s="2"/>
      <c r="DN45" s="161">
        <v>45</v>
      </c>
      <c r="DO45" s="161" t="e">
        <f>VLOOKUP(DN45,'Matchblatt  FEUILLE DE MATCH'!BF:BG,2,FALSE)</f>
        <v>#N/A</v>
      </c>
      <c r="DP45" s="161" t="str">
        <f t="shared" si="163"/>
        <v/>
      </c>
      <c r="DQ45" s="161" t="str">
        <f t="shared" si="164"/>
        <v/>
      </c>
      <c r="DR45" s="161">
        <f t="shared" si="165"/>
        <v>0</v>
      </c>
    </row>
    <row r="46" spans="1:122">
      <c r="C46" s="161" t="s">
        <v>1092</v>
      </c>
      <c r="E46" s="161">
        <f>SUM(E3:E43)</f>
        <v>0</v>
      </c>
      <c r="F46" s="161">
        <f>SUM(F3:F43)</f>
        <v>0</v>
      </c>
      <c r="I46" s="161" t="s">
        <v>1141</v>
      </c>
      <c r="J46" s="161" t="s">
        <v>1093</v>
      </c>
      <c r="K46" s="161" t="s">
        <v>1000</v>
      </c>
      <c r="L46" s="161" t="s">
        <v>881</v>
      </c>
      <c r="S46" s="161">
        <f>SUM(S3:S43)</f>
        <v>0</v>
      </c>
      <c r="T46" s="161">
        <f>SUM(T3:T43)</f>
        <v>0</v>
      </c>
      <c r="W46" s="161" t="s">
        <v>1141</v>
      </c>
      <c r="X46" s="161" t="s">
        <v>1093</v>
      </c>
      <c r="Y46" s="161" t="s">
        <v>1000</v>
      </c>
      <c r="Z46" s="161" t="s">
        <v>881</v>
      </c>
      <c r="AC46" s="161">
        <f>SUM(AC43:AC44)</f>
        <v>0</v>
      </c>
      <c r="AD46" s="161">
        <f>SUM(AD43:AD44)</f>
        <v>0</v>
      </c>
      <c r="AE46" s="161">
        <f>SUM(AE43:AE44)</f>
        <v>0</v>
      </c>
      <c r="AF46" s="161">
        <f>SUM(AF43:AF44)</f>
        <v>0</v>
      </c>
      <c r="AG46" s="161">
        <v>46</v>
      </c>
      <c r="AH46" s="161" t="e">
        <f>VLOOKUP(AG46,'Matchblatt  FEUILLE DE MATCH'!BD:BE,2,FALSE)</f>
        <v>#N/A</v>
      </c>
      <c r="AI46" s="161" t="str">
        <f t="shared" si="160"/>
        <v/>
      </c>
      <c r="AJ46" s="161" t="str">
        <f t="shared" si="161"/>
        <v/>
      </c>
      <c r="AK46" s="161">
        <f t="shared" si="162"/>
        <v>0</v>
      </c>
      <c r="AM46" s="2"/>
      <c r="AN46" s="2"/>
      <c r="AO46" s="2"/>
      <c r="AP46" s="2"/>
      <c r="AQ46" s="2"/>
      <c r="AR46" s="2"/>
      <c r="AS46" s="2"/>
      <c r="AT46" s="2"/>
      <c r="AU46" s="2"/>
      <c r="AV46" s="2"/>
      <c r="AW46" s="2"/>
      <c r="DN46" s="161">
        <v>46</v>
      </c>
      <c r="DO46" s="161" t="e">
        <f>VLOOKUP(DN46,'Matchblatt  FEUILLE DE MATCH'!BF:BG,2,FALSE)</f>
        <v>#N/A</v>
      </c>
      <c r="DP46" s="161" t="str">
        <f t="shared" si="163"/>
        <v/>
      </c>
      <c r="DQ46" s="161" t="str">
        <f t="shared" si="164"/>
        <v/>
      </c>
      <c r="DR46" s="161">
        <f t="shared" si="165"/>
        <v>0</v>
      </c>
    </row>
    <row r="47" spans="1:122">
      <c r="A47" s="161">
        <v>1</v>
      </c>
      <c r="C47" s="351" t="str">
        <f>IFERROR(VLOOKUP(A47,$AM$4:$AN$19,2,FALSE),"")</f>
        <v/>
      </c>
      <c r="D47" s="351" t="str">
        <f>IFERROR(VLOOKUP(C47,Licenses!B:C,2,FALSE),"")</f>
        <v/>
      </c>
      <c r="E47" s="351" t="str">
        <f>IF(C47="","",VLOOKUP(A47,$AM$4:$CE$19,37,FALSE))</f>
        <v/>
      </c>
      <c r="F47" s="351" t="str">
        <f>IF(C47="","",VLOOKUP(A47,$AM$4:$CE$19,38,FALSE))</f>
        <v/>
      </c>
      <c r="G47" s="351" t="str">
        <f>IF(C47="","",VLOOKUP(A47,$AM$4:$CE$19,39,FALSE))</f>
        <v/>
      </c>
      <c r="H47" s="351" t="str">
        <f>IF(C47="","",VLOOKUP(A47,$AM$4:$CE$19,40,FALSE))</f>
        <v/>
      </c>
      <c r="I47" s="351" t="str">
        <f>IF(C47="","",VLOOKUP(A47,$AM$4:$CE$19,45,FALSE))</f>
        <v/>
      </c>
      <c r="J47" s="351" t="str">
        <f>IF(C47="","",VLOOKUP(A47,$AM$4:$CE$19,44,FALSE))</f>
        <v/>
      </c>
      <c r="K47" s="351" t="str">
        <f>IF(C47="","",VLOOKUP(A47,$AM$4:$CE$19,43,FALSE))</f>
        <v/>
      </c>
      <c r="L47" s="351" t="str">
        <f>IF(C47="","",VLOOKUP(A47,$AM$4:$CE$19,42,FALSE))</f>
        <v/>
      </c>
      <c r="M47" s="351" t="str">
        <f>IF(C47="","",VLOOKUP(A47,$AM$4:$CE$19,45,FALSE))</f>
        <v/>
      </c>
      <c r="N47" s="161" t="s">
        <v>280</v>
      </c>
      <c r="O47" s="161">
        <v>1</v>
      </c>
      <c r="Q47" s="351" t="str">
        <f>IFERROR(VLOOKUP(O47,$DT$4:$FL$19,2,FALSE),"")</f>
        <v/>
      </c>
      <c r="R47" s="351" t="str">
        <f>IFERROR(VLOOKUP(Q47,Licenses!B:C,2,FALSE),"")</f>
        <v/>
      </c>
      <c r="S47" s="351" t="str">
        <f>IF(Q47="","",VLOOKUP(O47,$DT$4:$FL$19,37,FALSE))</f>
        <v/>
      </c>
      <c r="T47" s="351" t="str">
        <f>IF(Q47="","",VLOOKUP(O47,$DT$4:$FL$19,38,FALSE))</f>
        <v/>
      </c>
      <c r="U47" s="351" t="str">
        <f>IF(Q47="","",VLOOKUP(O47,$DT$4:$FL$19,39,FALSE))</f>
        <v/>
      </c>
      <c r="V47" s="351" t="str">
        <f>IF(Q47="","",VLOOKUP(O47,$DT$4:$FL$19,40,FALSE))</f>
        <v/>
      </c>
      <c r="W47" s="351" t="str">
        <f>IF(Q47="","",VLOOKUP(O47,$DT$4:$FL$19,45,FALSE))</f>
        <v/>
      </c>
      <c r="X47" s="351" t="str">
        <f>IF(Q47="","",VLOOKUP(O47,$DT$4:$FL$19,44,FALSE))</f>
        <v/>
      </c>
      <c r="Y47" s="351" t="str">
        <f>IF(Q47="","",VLOOKUP(O47,$DT$4:$FL$19,43,FALSE))</f>
        <v/>
      </c>
      <c r="Z47" s="351" t="str">
        <f>IF(Q47="","",VLOOKUP(O47,$DT$4:$FL$19,42,FALSE))</f>
        <v/>
      </c>
      <c r="AA47" s="351" t="str">
        <f>IF(Q47="","",VLOOKUP(O47,$DT$4:$FL$19,45,FALSE))</f>
        <v/>
      </c>
      <c r="AB47" s="161" t="s">
        <v>280</v>
      </c>
      <c r="AC47" s="161">
        <f>IF(H1=3,24,IF(H1=2,32,IF(H1=1,28,0)))</f>
        <v>28</v>
      </c>
      <c r="AG47" s="161">
        <v>47</v>
      </c>
      <c r="AH47" s="161" t="e">
        <f>VLOOKUP(AG47,'Matchblatt  FEUILLE DE MATCH'!BD:BE,2,FALSE)</f>
        <v>#N/A</v>
      </c>
      <c r="AI47" s="161" t="str">
        <f t="shared" si="160"/>
        <v/>
      </c>
      <c r="AJ47" s="161" t="str">
        <f t="shared" si="161"/>
        <v/>
      </c>
      <c r="AK47" s="161">
        <f t="shared" si="162"/>
        <v>0</v>
      </c>
      <c r="DN47" s="161">
        <v>47</v>
      </c>
      <c r="DO47" s="161" t="e">
        <f>VLOOKUP(DN47,'Matchblatt  FEUILLE DE MATCH'!BF:BG,2,FALSE)</f>
        <v>#N/A</v>
      </c>
      <c r="DP47" s="161" t="str">
        <f t="shared" si="163"/>
        <v/>
      </c>
      <c r="DQ47" s="161" t="str">
        <f t="shared" si="164"/>
        <v/>
      </c>
      <c r="DR47" s="161">
        <f t="shared" si="165"/>
        <v>0</v>
      </c>
    </row>
    <row r="48" spans="1:122">
      <c r="A48" s="161">
        <v>2</v>
      </c>
      <c r="C48" s="351" t="str">
        <f t="shared" ref="C48:C58" si="166">IFERROR(VLOOKUP(A48,$AM$4:$AN$19,2,FALSE),"")</f>
        <v/>
      </c>
      <c r="D48" s="351" t="str">
        <f>IFERROR(VLOOKUP(C48,Licenses!B:C,2,FALSE),"")</f>
        <v/>
      </c>
      <c r="E48" s="351" t="str">
        <f t="shared" ref="E48:E58" si="167">IF(C48="","",VLOOKUP(A48,$AM$4:$CE$19,37,FALSE))</f>
        <v/>
      </c>
      <c r="F48" s="351" t="str">
        <f t="shared" ref="F48:F58" si="168">IF(C48="","",VLOOKUP(A48,$AM$4:$CE$19,38,FALSE))</f>
        <v/>
      </c>
      <c r="G48" s="351" t="str">
        <f t="shared" ref="G48:G58" si="169">IF(C48="","",VLOOKUP(A48,$AM$4:$CE$19,39,FALSE))</f>
        <v/>
      </c>
      <c r="H48" s="351" t="str">
        <f t="shared" ref="H48:H58" si="170">IF(C48="","",VLOOKUP(A48,$AM$4:$CE$19,40,FALSE))</f>
        <v/>
      </c>
      <c r="I48" s="351" t="str">
        <f t="shared" ref="I48:I58" si="171">IF(C48="","",VLOOKUP(A48,$AM$4:$CE$19,45,FALSE))</f>
        <v/>
      </c>
      <c r="J48" s="351" t="str">
        <f t="shared" ref="J48:J58" si="172">IF(C48="","",VLOOKUP(A48,$AM$4:$CE$19,44,FALSE))</f>
        <v/>
      </c>
      <c r="K48" s="351" t="str">
        <f t="shared" ref="K48:K58" si="173">IF(C48="","",VLOOKUP(A48,$AM$4:$CE$19,43,FALSE))</f>
        <v/>
      </c>
      <c r="L48" s="351" t="str">
        <f t="shared" ref="L48:L58" si="174">IF(C48="","",VLOOKUP(A48,$AM$4:$CE$19,42,FALSE))</f>
        <v/>
      </c>
      <c r="M48" s="351" t="str">
        <f t="shared" ref="M48:M58" si="175">IF(C48="","",VLOOKUP(A48,$AM$4:$CE$19,45,FALSE))</f>
        <v/>
      </c>
      <c r="N48" s="161" t="s">
        <v>280</v>
      </c>
      <c r="O48" s="161">
        <v>2</v>
      </c>
      <c r="Q48" s="161" t="str">
        <f t="shared" ref="Q48:Q58" si="176">IFERROR(VLOOKUP(O48,$DT$4:$FL$19,2,FALSE),"")</f>
        <v/>
      </c>
      <c r="R48" s="161" t="str">
        <f>IFERROR(VLOOKUP(Q48,Licenses!B:C,2,FALSE),"")</f>
        <v/>
      </c>
      <c r="S48" s="161" t="str">
        <f t="shared" ref="S48:S58" si="177">IF(Q48="","",VLOOKUP(O48,$DT$4:$FL$19,37,FALSE))</f>
        <v/>
      </c>
      <c r="T48" s="161" t="str">
        <f t="shared" ref="T48:T58" si="178">IF(Q48="","",VLOOKUP(O48,$DT$4:$FL$19,38,FALSE))</f>
        <v/>
      </c>
      <c r="U48" s="161" t="str">
        <f t="shared" ref="U48:U58" si="179">IF(Q48="","",VLOOKUP(O48,$DT$4:$FL$19,39,FALSE))</f>
        <v/>
      </c>
      <c r="V48" s="161" t="str">
        <f t="shared" ref="V48:V58" si="180">IF(Q48="","",VLOOKUP(O48,$DT$4:$FL$19,40,FALSE))</f>
        <v/>
      </c>
      <c r="W48" s="161" t="str">
        <f t="shared" ref="W48:W58" si="181">IF(Q48="","",VLOOKUP(O48,$DT$4:$FL$19,45,FALSE))</f>
        <v/>
      </c>
      <c r="X48" s="161" t="str">
        <f t="shared" ref="X48:X58" si="182">IF(Q48="","",VLOOKUP(O48,$DT$4:$FL$19,44,FALSE))</f>
        <v/>
      </c>
      <c r="Y48" s="161" t="str">
        <f t="shared" ref="Y48:Y58" si="183">IF(Q48="","",VLOOKUP(O48,$DT$4:$FL$19,43,FALSE))</f>
        <v/>
      </c>
      <c r="Z48" s="161" t="str">
        <f t="shared" ref="Z48:Z58" si="184">IF(Q48="","",VLOOKUP(O48,$DT$4:$FL$19,42,FALSE))</f>
        <v/>
      </c>
      <c r="AA48" s="161" t="str">
        <f t="shared" ref="AA48:AA58" si="185">IF(Q48="","",VLOOKUP(O48,$DT$4:$FL$19,45,FALSE))</f>
        <v/>
      </c>
      <c r="AB48" s="161" t="s">
        <v>280</v>
      </c>
      <c r="AC48" s="161">
        <f>SUM(AC47/2)</f>
        <v>14</v>
      </c>
      <c r="AG48" s="161">
        <v>48</v>
      </c>
      <c r="AH48" s="161" t="e">
        <f>VLOOKUP(AG48,'Matchblatt  FEUILLE DE MATCH'!BD:BE,2,FALSE)</f>
        <v>#N/A</v>
      </c>
      <c r="AI48" s="161" t="str">
        <f t="shared" si="160"/>
        <v/>
      </c>
      <c r="AJ48" s="161" t="str">
        <f t="shared" si="161"/>
        <v/>
      </c>
      <c r="AK48" s="161">
        <f t="shared" si="162"/>
        <v>0</v>
      </c>
      <c r="DN48" s="161">
        <v>48</v>
      </c>
      <c r="DO48" s="161" t="e">
        <f>VLOOKUP(DN48,'Matchblatt  FEUILLE DE MATCH'!BF:BG,2,FALSE)</f>
        <v>#N/A</v>
      </c>
      <c r="DP48" s="161" t="str">
        <f t="shared" si="163"/>
        <v/>
      </c>
      <c r="DQ48" s="161" t="str">
        <f t="shared" si="164"/>
        <v/>
      </c>
      <c r="DR48" s="161">
        <f t="shared" si="165"/>
        <v>0</v>
      </c>
    </row>
    <row r="49" spans="1:122">
      <c r="A49" s="161">
        <v>3</v>
      </c>
      <c r="C49" s="351" t="str">
        <f t="shared" si="166"/>
        <v/>
      </c>
      <c r="D49" s="351" t="str">
        <f>IFERROR(VLOOKUP(C49,Licenses!B:C,2,FALSE),"")</f>
        <v/>
      </c>
      <c r="E49" s="351" t="str">
        <f t="shared" si="167"/>
        <v/>
      </c>
      <c r="F49" s="351" t="str">
        <f t="shared" si="168"/>
        <v/>
      </c>
      <c r="G49" s="351" t="str">
        <f t="shared" si="169"/>
        <v/>
      </c>
      <c r="H49" s="351" t="str">
        <f t="shared" si="170"/>
        <v/>
      </c>
      <c r="I49" s="351" t="str">
        <f t="shared" si="171"/>
        <v/>
      </c>
      <c r="J49" s="351" t="str">
        <f t="shared" si="172"/>
        <v/>
      </c>
      <c r="K49" s="351" t="str">
        <f t="shared" si="173"/>
        <v/>
      </c>
      <c r="L49" s="351" t="str">
        <f t="shared" si="174"/>
        <v/>
      </c>
      <c r="M49" s="351" t="str">
        <f t="shared" si="175"/>
        <v/>
      </c>
      <c r="N49" s="161" t="s">
        <v>280</v>
      </c>
      <c r="O49" s="161">
        <v>3</v>
      </c>
      <c r="Q49" s="161" t="str">
        <f t="shared" si="176"/>
        <v/>
      </c>
      <c r="R49" s="161" t="str">
        <f>IFERROR(VLOOKUP(Q49,Licenses!B:C,2,FALSE),"")</f>
        <v/>
      </c>
      <c r="S49" s="161" t="str">
        <f t="shared" si="177"/>
        <v/>
      </c>
      <c r="T49" s="161" t="str">
        <f t="shared" si="178"/>
        <v/>
      </c>
      <c r="U49" s="161" t="str">
        <f t="shared" si="179"/>
        <v/>
      </c>
      <c r="V49" s="161" t="str">
        <f t="shared" si="180"/>
        <v/>
      </c>
      <c r="W49" s="161" t="str">
        <f t="shared" si="181"/>
        <v/>
      </c>
      <c r="X49" s="161" t="str">
        <f t="shared" si="182"/>
        <v/>
      </c>
      <c r="Y49" s="161" t="str">
        <f t="shared" si="183"/>
        <v/>
      </c>
      <c r="Z49" s="161" t="str">
        <f t="shared" si="184"/>
        <v/>
      </c>
      <c r="AA49" s="161" t="str">
        <f t="shared" si="185"/>
        <v/>
      </c>
      <c r="AB49" s="161" t="s">
        <v>280</v>
      </c>
      <c r="AC49" s="161">
        <f>IF(AC43=AC48,1,0)</f>
        <v>0</v>
      </c>
      <c r="AD49" s="161">
        <f>IF(AC48=AD43,1,0)</f>
        <v>0</v>
      </c>
      <c r="AE49" s="161">
        <f>SUM(AC49:AD49)</f>
        <v>0</v>
      </c>
      <c r="AG49" s="161">
        <v>49</v>
      </c>
      <c r="AH49" s="161" t="e">
        <f>VLOOKUP(AG49,'Matchblatt  FEUILLE DE MATCH'!BD:BE,2,FALSE)</f>
        <v>#N/A</v>
      </c>
      <c r="AI49" s="161" t="str">
        <f t="shared" si="160"/>
        <v/>
      </c>
      <c r="AJ49" s="161" t="str">
        <f t="shared" si="161"/>
        <v/>
      </c>
      <c r="AK49" s="161">
        <f t="shared" si="162"/>
        <v>0</v>
      </c>
      <c r="DN49" s="161">
        <v>49</v>
      </c>
      <c r="DO49" s="161" t="e">
        <f>VLOOKUP(DN49,'Matchblatt  FEUILLE DE MATCH'!BF:BG,2,FALSE)</f>
        <v>#N/A</v>
      </c>
      <c r="DP49" s="161" t="str">
        <f t="shared" si="163"/>
        <v/>
      </c>
      <c r="DQ49" s="161" t="str">
        <f t="shared" si="164"/>
        <v/>
      </c>
      <c r="DR49" s="161">
        <f t="shared" si="165"/>
        <v>0</v>
      </c>
    </row>
    <row r="50" spans="1:122">
      <c r="A50" s="161">
        <v>4</v>
      </c>
      <c r="C50" s="351" t="str">
        <f t="shared" si="166"/>
        <v/>
      </c>
      <c r="D50" s="351" t="str">
        <f>IFERROR(VLOOKUP(C50,Licenses!B:C,2,FALSE),"")</f>
        <v/>
      </c>
      <c r="E50" s="351" t="str">
        <f t="shared" si="167"/>
        <v/>
      </c>
      <c r="F50" s="351" t="str">
        <f t="shared" si="168"/>
        <v/>
      </c>
      <c r="G50" s="351" t="str">
        <f t="shared" si="169"/>
        <v/>
      </c>
      <c r="H50" s="351" t="str">
        <f t="shared" si="170"/>
        <v/>
      </c>
      <c r="I50" s="351" t="str">
        <f t="shared" si="171"/>
        <v/>
      </c>
      <c r="J50" s="351" t="str">
        <f t="shared" si="172"/>
        <v/>
      </c>
      <c r="K50" s="351" t="str">
        <f t="shared" si="173"/>
        <v/>
      </c>
      <c r="L50" s="351" t="str">
        <f t="shared" si="174"/>
        <v/>
      </c>
      <c r="M50" s="351" t="str">
        <f t="shared" si="175"/>
        <v/>
      </c>
      <c r="N50" s="161" t="s">
        <v>280</v>
      </c>
      <c r="O50" s="161">
        <v>4</v>
      </c>
      <c r="Q50" s="161" t="str">
        <f t="shared" si="176"/>
        <v/>
      </c>
      <c r="R50" s="161" t="str">
        <f>IFERROR(VLOOKUP(Q50,Licenses!B:C,2,FALSE),"")</f>
        <v/>
      </c>
      <c r="S50" s="161" t="str">
        <f t="shared" si="177"/>
        <v/>
      </c>
      <c r="T50" s="161" t="str">
        <f t="shared" si="178"/>
        <v/>
      </c>
      <c r="U50" s="161" t="str">
        <f t="shared" si="179"/>
        <v/>
      </c>
      <c r="V50" s="161" t="str">
        <f t="shared" si="180"/>
        <v/>
      </c>
      <c r="W50" s="161" t="str">
        <f t="shared" si="181"/>
        <v/>
      </c>
      <c r="X50" s="161" t="str">
        <f t="shared" si="182"/>
        <v/>
      </c>
      <c r="Y50" s="161" t="str">
        <f t="shared" si="183"/>
        <v/>
      </c>
      <c r="Z50" s="161" t="str">
        <f t="shared" si="184"/>
        <v/>
      </c>
      <c r="AA50" s="161" t="str">
        <f t="shared" si="185"/>
        <v/>
      </c>
      <c r="AB50" s="161" t="s">
        <v>280</v>
      </c>
      <c r="AG50" s="161">
        <v>50</v>
      </c>
      <c r="AH50" s="161" t="e">
        <f>VLOOKUP(AG50,'Matchblatt  FEUILLE DE MATCH'!BD:BE,2,FALSE)</f>
        <v>#N/A</v>
      </c>
      <c r="AI50" s="161" t="str">
        <f t="shared" si="160"/>
        <v/>
      </c>
      <c r="AJ50" s="161" t="str">
        <f t="shared" si="161"/>
        <v/>
      </c>
      <c r="AK50" s="161">
        <f t="shared" si="162"/>
        <v>0</v>
      </c>
      <c r="DN50" s="161">
        <v>50</v>
      </c>
      <c r="DO50" s="161" t="e">
        <f>VLOOKUP(DN50,'Matchblatt  FEUILLE DE MATCH'!BF:BG,2,FALSE)</f>
        <v>#N/A</v>
      </c>
      <c r="DP50" s="161" t="str">
        <f t="shared" si="163"/>
        <v/>
      </c>
      <c r="DQ50" s="161" t="str">
        <f t="shared" si="164"/>
        <v/>
      </c>
      <c r="DR50" s="161">
        <f t="shared" si="165"/>
        <v>0</v>
      </c>
    </row>
    <row r="51" spans="1:122">
      <c r="A51" s="161">
        <v>5</v>
      </c>
      <c r="C51" s="351" t="str">
        <f t="shared" si="166"/>
        <v/>
      </c>
      <c r="D51" s="351" t="str">
        <f>IFERROR(VLOOKUP(C51,Licenses!B:C,2,FALSE),"")</f>
        <v/>
      </c>
      <c r="E51" s="351" t="str">
        <f t="shared" si="167"/>
        <v/>
      </c>
      <c r="F51" s="351" t="str">
        <f t="shared" si="168"/>
        <v/>
      </c>
      <c r="G51" s="351" t="str">
        <f t="shared" si="169"/>
        <v/>
      </c>
      <c r="H51" s="351" t="str">
        <f t="shared" si="170"/>
        <v/>
      </c>
      <c r="I51" s="351" t="str">
        <f t="shared" si="171"/>
        <v/>
      </c>
      <c r="J51" s="351" t="str">
        <f t="shared" si="172"/>
        <v/>
      </c>
      <c r="K51" s="351" t="str">
        <f t="shared" si="173"/>
        <v/>
      </c>
      <c r="L51" s="351" t="str">
        <f t="shared" si="174"/>
        <v/>
      </c>
      <c r="M51" s="351" t="str">
        <f t="shared" si="175"/>
        <v/>
      </c>
      <c r="N51" s="161" t="s">
        <v>280</v>
      </c>
      <c r="O51" s="161">
        <v>5</v>
      </c>
      <c r="Q51" s="161" t="str">
        <f t="shared" si="176"/>
        <v/>
      </c>
      <c r="R51" s="161" t="str">
        <f>IFERROR(VLOOKUP(Q51,Licenses!B:C,2,FALSE),"")</f>
        <v/>
      </c>
      <c r="S51" s="161" t="str">
        <f t="shared" si="177"/>
        <v/>
      </c>
      <c r="T51" s="161" t="str">
        <f t="shared" si="178"/>
        <v/>
      </c>
      <c r="U51" s="161" t="str">
        <f t="shared" si="179"/>
        <v/>
      </c>
      <c r="V51" s="161" t="str">
        <f t="shared" si="180"/>
        <v/>
      </c>
      <c r="W51" s="161" t="str">
        <f t="shared" si="181"/>
        <v/>
      </c>
      <c r="X51" s="161" t="str">
        <f t="shared" si="182"/>
        <v/>
      </c>
      <c r="Y51" s="161" t="str">
        <f t="shared" si="183"/>
        <v/>
      </c>
      <c r="Z51" s="161" t="str">
        <f t="shared" si="184"/>
        <v/>
      </c>
      <c r="AA51" s="161" t="str">
        <f t="shared" si="185"/>
        <v/>
      </c>
      <c r="AB51" s="161" t="s">
        <v>280</v>
      </c>
      <c r="AG51" s="161">
        <v>51</v>
      </c>
      <c r="AH51" s="161" t="e">
        <f>VLOOKUP(AG51,'Matchblatt  FEUILLE DE MATCH'!BD:BE,2,FALSE)</f>
        <v>#N/A</v>
      </c>
      <c r="AI51" s="161" t="str">
        <f t="shared" si="160"/>
        <v/>
      </c>
      <c r="AJ51" s="161" t="str">
        <f t="shared" si="161"/>
        <v/>
      </c>
      <c r="AK51" s="161">
        <f t="shared" si="162"/>
        <v>0</v>
      </c>
      <c r="DN51" s="161">
        <v>51</v>
      </c>
      <c r="DO51" s="161" t="e">
        <f>VLOOKUP(DN51,'Matchblatt  FEUILLE DE MATCH'!BF:BG,2,FALSE)</f>
        <v>#N/A</v>
      </c>
      <c r="DP51" s="161" t="str">
        <f t="shared" si="163"/>
        <v/>
      </c>
      <c r="DQ51" s="161" t="str">
        <f t="shared" si="164"/>
        <v/>
      </c>
      <c r="DR51" s="161">
        <f t="shared" si="165"/>
        <v>0</v>
      </c>
    </row>
    <row r="52" spans="1:122">
      <c r="A52" s="161">
        <v>6</v>
      </c>
      <c r="C52" s="351" t="str">
        <f t="shared" si="166"/>
        <v/>
      </c>
      <c r="D52" s="351" t="str">
        <f>IFERROR(VLOOKUP(C52,Licenses!B:C,2,FALSE),"")</f>
        <v/>
      </c>
      <c r="E52" s="351" t="str">
        <f t="shared" si="167"/>
        <v/>
      </c>
      <c r="F52" s="351" t="str">
        <f t="shared" si="168"/>
        <v/>
      </c>
      <c r="G52" s="351" t="str">
        <f t="shared" si="169"/>
        <v/>
      </c>
      <c r="H52" s="351" t="str">
        <f t="shared" si="170"/>
        <v/>
      </c>
      <c r="I52" s="351" t="str">
        <f t="shared" si="171"/>
        <v/>
      </c>
      <c r="J52" s="351" t="str">
        <f t="shared" si="172"/>
        <v/>
      </c>
      <c r="K52" s="351" t="str">
        <f t="shared" si="173"/>
        <v/>
      </c>
      <c r="L52" s="351" t="str">
        <f t="shared" si="174"/>
        <v/>
      </c>
      <c r="M52" s="351" t="str">
        <f t="shared" si="175"/>
        <v/>
      </c>
      <c r="N52" s="161" t="s">
        <v>280</v>
      </c>
      <c r="O52" s="161">
        <v>6</v>
      </c>
      <c r="Q52" s="161" t="str">
        <f t="shared" si="176"/>
        <v/>
      </c>
      <c r="R52" s="161" t="str">
        <f>IFERROR(VLOOKUP(Q52,Licenses!B:C,2,FALSE),"")</f>
        <v/>
      </c>
      <c r="S52" s="161" t="str">
        <f t="shared" si="177"/>
        <v/>
      </c>
      <c r="T52" s="161" t="str">
        <f t="shared" si="178"/>
        <v/>
      </c>
      <c r="U52" s="161" t="str">
        <f t="shared" si="179"/>
        <v/>
      </c>
      <c r="V52" s="161" t="str">
        <f t="shared" si="180"/>
        <v/>
      </c>
      <c r="W52" s="161" t="str">
        <f t="shared" si="181"/>
        <v/>
      </c>
      <c r="X52" s="161" t="str">
        <f t="shared" si="182"/>
        <v/>
      </c>
      <c r="Y52" s="161" t="str">
        <f t="shared" si="183"/>
        <v/>
      </c>
      <c r="Z52" s="161" t="str">
        <f t="shared" si="184"/>
        <v/>
      </c>
      <c r="AA52" s="161" t="str">
        <f t="shared" si="185"/>
        <v/>
      </c>
      <c r="AB52" s="161" t="s">
        <v>280</v>
      </c>
      <c r="AG52" s="161">
        <v>52</v>
      </c>
      <c r="AH52" s="161" t="e">
        <f>VLOOKUP(AG52,'Matchblatt  FEUILLE DE MATCH'!BD:BE,2,FALSE)</f>
        <v>#N/A</v>
      </c>
      <c r="AI52" s="161" t="str">
        <f t="shared" si="160"/>
        <v/>
      </c>
      <c r="AJ52" s="161" t="str">
        <f t="shared" si="161"/>
        <v/>
      </c>
      <c r="AK52" s="161">
        <f t="shared" si="162"/>
        <v>0</v>
      </c>
      <c r="DN52" s="161">
        <v>52</v>
      </c>
      <c r="DO52" s="161" t="e">
        <f>VLOOKUP(DN52,'Matchblatt  FEUILLE DE MATCH'!BF:BG,2,FALSE)</f>
        <v>#N/A</v>
      </c>
      <c r="DP52" s="161" t="str">
        <f t="shared" si="163"/>
        <v/>
      </c>
      <c r="DQ52" s="161" t="str">
        <f t="shared" si="164"/>
        <v/>
      </c>
      <c r="DR52" s="161">
        <f t="shared" si="165"/>
        <v>0</v>
      </c>
    </row>
    <row r="53" spans="1:122">
      <c r="A53" s="161">
        <v>7</v>
      </c>
      <c r="C53" s="351" t="str">
        <f t="shared" si="166"/>
        <v/>
      </c>
      <c r="D53" s="351" t="str">
        <f>IFERROR(VLOOKUP(C53,Licenses!B:C,2,FALSE),"")</f>
        <v/>
      </c>
      <c r="E53" s="351" t="str">
        <f t="shared" si="167"/>
        <v/>
      </c>
      <c r="F53" s="351" t="str">
        <f t="shared" si="168"/>
        <v/>
      </c>
      <c r="G53" s="351" t="str">
        <f t="shared" si="169"/>
        <v/>
      </c>
      <c r="H53" s="351" t="str">
        <f t="shared" si="170"/>
        <v/>
      </c>
      <c r="I53" s="351" t="str">
        <f t="shared" si="171"/>
        <v/>
      </c>
      <c r="J53" s="351" t="str">
        <f t="shared" si="172"/>
        <v/>
      </c>
      <c r="K53" s="351" t="str">
        <f t="shared" si="173"/>
        <v/>
      </c>
      <c r="L53" s="351" t="str">
        <f t="shared" si="174"/>
        <v/>
      </c>
      <c r="M53" s="351" t="str">
        <f t="shared" si="175"/>
        <v/>
      </c>
      <c r="N53" s="161" t="s">
        <v>280</v>
      </c>
      <c r="O53" s="161">
        <v>7</v>
      </c>
      <c r="Q53" s="161" t="str">
        <f t="shared" si="176"/>
        <v/>
      </c>
      <c r="R53" s="161" t="str">
        <f>IFERROR(VLOOKUP(Q53,Licenses!B:C,2,FALSE),"")</f>
        <v/>
      </c>
      <c r="S53" s="161" t="str">
        <f t="shared" si="177"/>
        <v/>
      </c>
      <c r="T53" s="161" t="str">
        <f t="shared" si="178"/>
        <v/>
      </c>
      <c r="U53" s="161" t="str">
        <f t="shared" si="179"/>
        <v/>
      </c>
      <c r="V53" s="161" t="str">
        <f t="shared" si="180"/>
        <v/>
      </c>
      <c r="W53" s="161" t="str">
        <f t="shared" si="181"/>
        <v/>
      </c>
      <c r="X53" s="161" t="str">
        <f t="shared" si="182"/>
        <v/>
      </c>
      <c r="Y53" s="161" t="str">
        <f t="shared" si="183"/>
        <v/>
      </c>
      <c r="Z53" s="161" t="str">
        <f t="shared" si="184"/>
        <v/>
      </c>
      <c r="AA53" s="161" t="str">
        <f t="shared" si="185"/>
        <v/>
      </c>
      <c r="AB53" s="161" t="s">
        <v>280</v>
      </c>
      <c r="AG53" s="161">
        <v>53</v>
      </c>
      <c r="AH53" s="161" t="e">
        <f>VLOOKUP(AG53,'Matchblatt  FEUILLE DE MATCH'!BD:BE,2,FALSE)</f>
        <v>#N/A</v>
      </c>
      <c r="AI53" s="161" t="str">
        <f t="shared" si="160"/>
        <v/>
      </c>
      <c r="AJ53" s="161" t="str">
        <f t="shared" si="161"/>
        <v/>
      </c>
      <c r="AK53" s="161">
        <f t="shared" si="162"/>
        <v>0</v>
      </c>
      <c r="DN53" s="161">
        <v>53</v>
      </c>
      <c r="DO53" s="161" t="e">
        <f>VLOOKUP(DN53,'Matchblatt  FEUILLE DE MATCH'!BF:BG,2,FALSE)</f>
        <v>#N/A</v>
      </c>
      <c r="DP53" s="161" t="str">
        <f t="shared" si="163"/>
        <v/>
      </c>
      <c r="DQ53" s="161" t="str">
        <f t="shared" si="164"/>
        <v/>
      </c>
      <c r="DR53" s="161">
        <f t="shared" si="165"/>
        <v>0</v>
      </c>
    </row>
    <row r="54" spans="1:122">
      <c r="A54" s="161">
        <v>8</v>
      </c>
      <c r="C54" s="351" t="str">
        <f t="shared" si="166"/>
        <v/>
      </c>
      <c r="D54" s="351" t="str">
        <f>IFERROR(VLOOKUP(C54,Licenses!B:C,2,FALSE),"")</f>
        <v/>
      </c>
      <c r="E54" s="351" t="str">
        <f t="shared" si="167"/>
        <v/>
      </c>
      <c r="F54" s="351" t="str">
        <f t="shared" si="168"/>
        <v/>
      </c>
      <c r="G54" s="351" t="str">
        <f t="shared" si="169"/>
        <v/>
      </c>
      <c r="H54" s="351" t="str">
        <f t="shared" si="170"/>
        <v/>
      </c>
      <c r="I54" s="351" t="str">
        <f t="shared" si="171"/>
        <v/>
      </c>
      <c r="J54" s="351" t="str">
        <f t="shared" si="172"/>
        <v/>
      </c>
      <c r="K54" s="351" t="str">
        <f t="shared" si="173"/>
        <v/>
      </c>
      <c r="L54" s="351" t="str">
        <f t="shared" si="174"/>
        <v/>
      </c>
      <c r="M54" s="351" t="str">
        <f t="shared" si="175"/>
        <v/>
      </c>
      <c r="N54" s="161" t="s">
        <v>280</v>
      </c>
      <c r="O54" s="161">
        <v>8</v>
      </c>
      <c r="Q54" s="161" t="str">
        <f t="shared" si="176"/>
        <v/>
      </c>
      <c r="R54" s="161" t="str">
        <f>IFERROR(VLOOKUP(Q54,Licenses!B:C,2,FALSE),"")</f>
        <v/>
      </c>
      <c r="S54" s="161" t="str">
        <f t="shared" si="177"/>
        <v/>
      </c>
      <c r="T54" s="161" t="str">
        <f t="shared" si="178"/>
        <v/>
      </c>
      <c r="U54" s="161" t="str">
        <f t="shared" si="179"/>
        <v/>
      </c>
      <c r="V54" s="161" t="str">
        <f t="shared" si="180"/>
        <v/>
      </c>
      <c r="W54" s="161" t="str">
        <f t="shared" si="181"/>
        <v/>
      </c>
      <c r="X54" s="161" t="str">
        <f t="shared" si="182"/>
        <v/>
      </c>
      <c r="Y54" s="161" t="str">
        <f t="shared" si="183"/>
        <v/>
      </c>
      <c r="Z54" s="161" t="str">
        <f t="shared" si="184"/>
        <v/>
      </c>
      <c r="AA54" s="161" t="str">
        <f t="shared" si="185"/>
        <v/>
      </c>
      <c r="AB54" s="161" t="s">
        <v>280</v>
      </c>
      <c r="AG54" s="161">
        <v>54</v>
      </c>
      <c r="AH54" s="161" t="e">
        <f>VLOOKUP(AG54,'Matchblatt  FEUILLE DE MATCH'!BD:BE,2,FALSE)</f>
        <v>#N/A</v>
      </c>
      <c r="AI54" s="161" t="str">
        <f t="shared" si="160"/>
        <v/>
      </c>
      <c r="AJ54" s="161" t="str">
        <f t="shared" si="161"/>
        <v/>
      </c>
      <c r="AK54" s="161">
        <f t="shared" si="162"/>
        <v>0</v>
      </c>
      <c r="DN54" s="161">
        <v>54</v>
      </c>
      <c r="DO54" s="161" t="e">
        <f>VLOOKUP(DN54,'Matchblatt  FEUILLE DE MATCH'!BF:BG,2,FALSE)</f>
        <v>#N/A</v>
      </c>
      <c r="DP54" s="161" t="str">
        <f t="shared" si="163"/>
        <v/>
      </c>
      <c r="DQ54" s="161" t="str">
        <f t="shared" si="164"/>
        <v/>
      </c>
      <c r="DR54" s="161">
        <f t="shared" si="165"/>
        <v>0</v>
      </c>
    </row>
    <row r="55" spans="1:122">
      <c r="A55" s="161">
        <v>9</v>
      </c>
      <c r="C55" s="351" t="str">
        <f t="shared" si="166"/>
        <v/>
      </c>
      <c r="D55" s="351" t="str">
        <f>IFERROR(VLOOKUP(C55,Licenses!B:C,2,FALSE),"")</f>
        <v/>
      </c>
      <c r="E55" s="351" t="str">
        <f t="shared" si="167"/>
        <v/>
      </c>
      <c r="F55" s="351" t="str">
        <f t="shared" si="168"/>
        <v/>
      </c>
      <c r="G55" s="351" t="str">
        <f t="shared" si="169"/>
        <v/>
      </c>
      <c r="H55" s="351" t="str">
        <f t="shared" si="170"/>
        <v/>
      </c>
      <c r="I55" s="351" t="str">
        <f t="shared" si="171"/>
        <v/>
      </c>
      <c r="J55" s="351" t="str">
        <f t="shared" si="172"/>
        <v/>
      </c>
      <c r="K55" s="351" t="str">
        <f t="shared" si="173"/>
        <v/>
      </c>
      <c r="L55" s="351" t="str">
        <f t="shared" si="174"/>
        <v/>
      </c>
      <c r="M55" s="351" t="str">
        <f t="shared" si="175"/>
        <v/>
      </c>
      <c r="N55" s="161" t="s">
        <v>280</v>
      </c>
      <c r="O55" s="161">
        <v>9</v>
      </c>
      <c r="Q55" s="161" t="str">
        <f t="shared" si="176"/>
        <v/>
      </c>
      <c r="R55" s="161" t="str">
        <f>IFERROR(VLOOKUP(Q55,Licenses!B:C,2,FALSE),"")</f>
        <v/>
      </c>
      <c r="S55" s="161" t="str">
        <f t="shared" si="177"/>
        <v/>
      </c>
      <c r="T55" s="161" t="str">
        <f t="shared" si="178"/>
        <v/>
      </c>
      <c r="U55" s="161" t="str">
        <f t="shared" si="179"/>
        <v/>
      </c>
      <c r="V55" s="161" t="str">
        <f t="shared" si="180"/>
        <v/>
      </c>
      <c r="W55" s="161" t="str">
        <f t="shared" si="181"/>
        <v/>
      </c>
      <c r="X55" s="161" t="str">
        <f t="shared" si="182"/>
        <v/>
      </c>
      <c r="Y55" s="161" t="str">
        <f t="shared" si="183"/>
        <v/>
      </c>
      <c r="Z55" s="161" t="str">
        <f t="shared" si="184"/>
        <v/>
      </c>
      <c r="AA55" s="161" t="str">
        <f t="shared" si="185"/>
        <v/>
      </c>
      <c r="AB55" s="161" t="s">
        <v>280</v>
      </c>
      <c r="AG55" s="161">
        <v>55</v>
      </c>
      <c r="AH55" s="161" t="e">
        <f>VLOOKUP(AG55,'Matchblatt  FEUILLE DE MATCH'!BD:BE,2,FALSE)</f>
        <v>#N/A</v>
      </c>
      <c r="AI55" s="161" t="str">
        <f t="shared" si="160"/>
        <v/>
      </c>
      <c r="AJ55" s="161" t="str">
        <f t="shared" si="161"/>
        <v/>
      </c>
      <c r="AK55" s="161">
        <f t="shared" si="162"/>
        <v>0</v>
      </c>
      <c r="DN55" s="161">
        <v>55</v>
      </c>
      <c r="DO55" s="161" t="e">
        <f>VLOOKUP(DN55,'Matchblatt  FEUILLE DE MATCH'!BF:BG,2,FALSE)</f>
        <v>#N/A</v>
      </c>
      <c r="DP55" s="161" t="str">
        <f t="shared" si="163"/>
        <v/>
      </c>
      <c r="DQ55" s="161" t="str">
        <f t="shared" si="164"/>
        <v/>
      </c>
      <c r="DR55" s="161">
        <f t="shared" si="165"/>
        <v>0</v>
      </c>
    </row>
    <row r="56" spans="1:122">
      <c r="A56" s="161">
        <v>10</v>
      </c>
      <c r="C56" s="351" t="str">
        <f t="shared" si="166"/>
        <v/>
      </c>
      <c r="D56" s="351" t="str">
        <f>IFERROR(VLOOKUP(C56,Licenses!B:C,2,FALSE),"")</f>
        <v/>
      </c>
      <c r="E56" s="351" t="str">
        <f t="shared" si="167"/>
        <v/>
      </c>
      <c r="F56" s="351" t="str">
        <f t="shared" si="168"/>
        <v/>
      </c>
      <c r="G56" s="351" t="str">
        <f t="shared" si="169"/>
        <v/>
      </c>
      <c r="H56" s="351" t="str">
        <f t="shared" si="170"/>
        <v/>
      </c>
      <c r="I56" s="351" t="str">
        <f t="shared" si="171"/>
        <v/>
      </c>
      <c r="J56" s="351" t="str">
        <f t="shared" si="172"/>
        <v/>
      </c>
      <c r="K56" s="351" t="str">
        <f t="shared" si="173"/>
        <v/>
      </c>
      <c r="L56" s="351" t="str">
        <f t="shared" si="174"/>
        <v/>
      </c>
      <c r="M56" s="351" t="str">
        <f t="shared" si="175"/>
        <v/>
      </c>
      <c r="N56" s="161" t="s">
        <v>280</v>
      </c>
      <c r="O56" s="161">
        <v>10</v>
      </c>
      <c r="Q56" s="161" t="str">
        <f t="shared" si="176"/>
        <v/>
      </c>
      <c r="R56" s="161" t="str">
        <f>IFERROR(VLOOKUP(Q56,Licenses!B:C,2,FALSE),"")</f>
        <v/>
      </c>
      <c r="S56" s="161" t="str">
        <f t="shared" si="177"/>
        <v/>
      </c>
      <c r="T56" s="161" t="str">
        <f t="shared" si="178"/>
        <v/>
      </c>
      <c r="U56" s="161" t="str">
        <f t="shared" si="179"/>
        <v/>
      </c>
      <c r="V56" s="161" t="str">
        <f t="shared" si="180"/>
        <v/>
      </c>
      <c r="W56" s="161" t="str">
        <f t="shared" si="181"/>
        <v/>
      </c>
      <c r="X56" s="161" t="str">
        <f t="shared" si="182"/>
        <v/>
      </c>
      <c r="Y56" s="161" t="str">
        <f t="shared" si="183"/>
        <v/>
      </c>
      <c r="Z56" s="161" t="str">
        <f t="shared" si="184"/>
        <v/>
      </c>
      <c r="AA56" s="161" t="str">
        <f t="shared" si="185"/>
        <v/>
      </c>
      <c r="AB56" s="161" t="s">
        <v>280</v>
      </c>
      <c r="AG56" s="161">
        <v>56</v>
      </c>
      <c r="AH56" s="161" t="e">
        <f>VLOOKUP(AG56,'Matchblatt  FEUILLE DE MATCH'!BD:BE,2,FALSE)</f>
        <v>#N/A</v>
      </c>
      <c r="AI56" s="161" t="str">
        <f t="shared" si="160"/>
        <v/>
      </c>
      <c r="AJ56" s="161" t="str">
        <f t="shared" si="161"/>
        <v/>
      </c>
      <c r="AK56" s="161">
        <f t="shared" si="162"/>
        <v>0</v>
      </c>
      <c r="DN56" s="161">
        <v>56</v>
      </c>
      <c r="DO56" s="161" t="e">
        <f>VLOOKUP(DN56,'Matchblatt  FEUILLE DE MATCH'!BF:BG,2,FALSE)</f>
        <v>#N/A</v>
      </c>
      <c r="DP56" s="161" t="str">
        <f t="shared" si="163"/>
        <v/>
      </c>
      <c r="DQ56" s="161" t="str">
        <f t="shared" si="164"/>
        <v/>
      </c>
      <c r="DR56" s="161">
        <f t="shared" si="165"/>
        <v>0</v>
      </c>
    </row>
    <row r="57" spans="1:122">
      <c r="A57" s="161">
        <v>11</v>
      </c>
      <c r="C57" s="351" t="str">
        <f t="shared" si="166"/>
        <v/>
      </c>
      <c r="D57" s="351" t="str">
        <f>IFERROR(VLOOKUP(C57,Licenses!B:C,2,FALSE),"")</f>
        <v/>
      </c>
      <c r="E57" s="351" t="str">
        <f t="shared" si="167"/>
        <v/>
      </c>
      <c r="F57" s="351" t="str">
        <f t="shared" si="168"/>
        <v/>
      </c>
      <c r="G57" s="351" t="str">
        <f t="shared" si="169"/>
        <v/>
      </c>
      <c r="H57" s="351" t="str">
        <f t="shared" si="170"/>
        <v/>
      </c>
      <c r="I57" s="351" t="str">
        <f t="shared" si="171"/>
        <v/>
      </c>
      <c r="J57" s="351" t="str">
        <f t="shared" si="172"/>
        <v/>
      </c>
      <c r="K57" s="351" t="str">
        <f t="shared" si="173"/>
        <v/>
      </c>
      <c r="L57" s="351" t="str">
        <f t="shared" si="174"/>
        <v/>
      </c>
      <c r="M57" s="351" t="str">
        <f t="shared" si="175"/>
        <v/>
      </c>
      <c r="N57" s="161" t="s">
        <v>280</v>
      </c>
      <c r="O57" s="161">
        <v>11</v>
      </c>
      <c r="Q57" s="161" t="str">
        <f t="shared" si="176"/>
        <v/>
      </c>
      <c r="R57" s="161" t="str">
        <f>IFERROR(VLOOKUP(Q57,Licenses!B:C,2,FALSE),"")</f>
        <v/>
      </c>
      <c r="S57" s="161" t="str">
        <f t="shared" si="177"/>
        <v/>
      </c>
      <c r="T57" s="161" t="str">
        <f t="shared" si="178"/>
        <v/>
      </c>
      <c r="U57" s="161" t="str">
        <f t="shared" si="179"/>
        <v/>
      </c>
      <c r="V57" s="161" t="str">
        <f t="shared" si="180"/>
        <v/>
      </c>
      <c r="W57" s="161" t="str">
        <f t="shared" si="181"/>
        <v/>
      </c>
      <c r="X57" s="161" t="str">
        <f t="shared" si="182"/>
        <v/>
      </c>
      <c r="Y57" s="161" t="str">
        <f t="shared" si="183"/>
        <v/>
      </c>
      <c r="Z57" s="161" t="str">
        <f t="shared" si="184"/>
        <v/>
      </c>
      <c r="AA57" s="161" t="str">
        <f t="shared" si="185"/>
        <v/>
      </c>
      <c r="AB57" s="161" t="s">
        <v>280</v>
      </c>
      <c r="AG57" s="161">
        <v>57</v>
      </c>
      <c r="AH57" s="161" t="e">
        <f>VLOOKUP(AG57,'Matchblatt  FEUILLE DE MATCH'!BD:BE,2,FALSE)</f>
        <v>#N/A</v>
      </c>
      <c r="AI57" s="161" t="str">
        <f t="shared" si="160"/>
        <v/>
      </c>
      <c r="AJ57" s="161" t="str">
        <f t="shared" si="161"/>
        <v/>
      </c>
      <c r="AK57" s="161">
        <f t="shared" si="162"/>
        <v>0</v>
      </c>
      <c r="DN57" s="161">
        <v>57</v>
      </c>
      <c r="DO57" s="161" t="e">
        <f>VLOOKUP(DN57,'Matchblatt  FEUILLE DE MATCH'!BF:BG,2,FALSE)</f>
        <v>#N/A</v>
      </c>
      <c r="DP57" s="161" t="str">
        <f t="shared" si="163"/>
        <v/>
      </c>
      <c r="DQ57" s="161" t="str">
        <f t="shared" si="164"/>
        <v/>
      </c>
      <c r="DR57" s="161">
        <f t="shared" si="165"/>
        <v>0</v>
      </c>
    </row>
    <row r="58" spans="1:122">
      <c r="A58" s="161">
        <v>12</v>
      </c>
      <c r="C58" s="351" t="str">
        <f t="shared" si="166"/>
        <v/>
      </c>
      <c r="D58" s="351" t="str">
        <f>IFERROR(VLOOKUP(C58,Licenses!B:C,2,FALSE),"")</f>
        <v/>
      </c>
      <c r="E58" s="351" t="str">
        <f t="shared" si="167"/>
        <v/>
      </c>
      <c r="F58" s="351" t="str">
        <f t="shared" si="168"/>
        <v/>
      </c>
      <c r="G58" s="351" t="str">
        <f t="shared" si="169"/>
        <v/>
      </c>
      <c r="H58" s="351" t="str">
        <f t="shared" si="170"/>
        <v/>
      </c>
      <c r="I58" s="351" t="str">
        <f t="shared" si="171"/>
        <v/>
      </c>
      <c r="J58" s="351" t="str">
        <f t="shared" si="172"/>
        <v/>
      </c>
      <c r="K58" s="351" t="str">
        <f t="shared" si="173"/>
        <v/>
      </c>
      <c r="L58" s="351" t="str">
        <f t="shared" si="174"/>
        <v/>
      </c>
      <c r="M58" s="351" t="str">
        <f t="shared" si="175"/>
        <v/>
      </c>
      <c r="N58" s="161" t="s">
        <v>280</v>
      </c>
      <c r="O58" s="161">
        <v>12</v>
      </c>
      <c r="Q58" s="161" t="str">
        <f t="shared" si="176"/>
        <v/>
      </c>
      <c r="R58" s="161" t="str">
        <f>IFERROR(VLOOKUP(Q58,Licenses!B:C,2,FALSE),"")</f>
        <v/>
      </c>
      <c r="S58" s="161" t="str">
        <f t="shared" si="177"/>
        <v/>
      </c>
      <c r="T58" s="161" t="str">
        <f t="shared" si="178"/>
        <v/>
      </c>
      <c r="U58" s="161" t="str">
        <f t="shared" si="179"/>
        <v/>
      </c>
      <c r="V58" s="161" t="str">
        <f t="shared" si="180"/>
        <v/>
      </c>
      <c r="W58" s="161" t="str">
        <f t="shared" si="181"/>
        <v/>
      </c>
      <c r="X58" s="161" t="str">
        <f t="shared" si="182"/>
        <v/>
      </c>
      <c r="Y58" s="161" t="str">
        <f t="shared" si="183"/>
        <v/>
      </c>
      <c r="Z58" s="161" t="str">
        <f t="shared" si="184"/>
        <v/>
      </c>
      <c r="AA58" s="161" t="str">
        <f t="shared" si="185"/>
        <v/>
      </c>
      <c r="AB58" s="161" t="s">
        <v>280</v>
      </c>
      <c r="AG58" s="161">
        <v>58</v>
      </c>
      <c r="AH58" s="161" t="e">
        <f>VLOOKUP(AG58,'Matchblatt  FEUILLE DE MATCH'!BD:BE,2,FALSE)</f>
        <v>#N/A</v>
      </c>
      <c r="AI58" s="161" t="str">
        <f t="shared" si="160"/>
        <v/>
      </c>
      <c r="AJ58" s="161" t="str">
        <f t="shared" si="161"/>
        <v/>
      </c>
      <c r="AK58" s="161">
        <f t="shared" si="162"/>
        <v>0</v>
      </c>
      <c r="DN58" s="161">
        <v>58</v>
      </c>
      <c r="DO58" s="161" t="e">
        <f>VLOOKUP(DN58,'Matchblatt  FEUILLE DE MATCH'!BF:BG,2,FALSE)</f>
        <v>#N/A</v>
      </c>
      <c r="DP58" s="161" t="str">
        <f t="shared" si="163"/>
        <v/>
      </c>
      <c r="DQ58" s="161" t="str">
        <f t="shared" si="164"/>
        <v/>
      </c>
      <c r="DR58" s="161">
        <f t="shared" si="165"/>
        <v>0</v>
      </c>
    </row>
    <row r="59" spans="1:122">
      <c r="A59" s="161" t="s">
        <v>867</v>
      </c>
      <c r="B59" s="161" t="s">
        <v>280</v>
      </c>
      <c r="C59" s="161" t="s">
        <v>280</v>
      </c>
      <c r="D59" s="161" t="s">
        <v>280</v>
      </c>
      <c r="E59" s="361" t="s">
        <v>280</v>
      </c>
      <c r="I59" s="161">
        <v>45</v>
      </c>
      <c r="J59" s="161">
        <v>44</v>
      </c>
      <c r="K59" s="161">
        <v>43</v>
      </c>
      <c r="L59" s="161">
        <v>42</v>
      </c>
      <c r="O59" s="161" t="s">
        <v>867</v>
      </c>
      <c r="P59" s="161" t="s">
        <v>280</v>
      </c>
      <c r="Q59" s="161" t="s">
        <v>280</v>
      </c>
      <c r="R59" s="161" t="s">
        <v>280</v>
      </c>
      <c r="S59" s="361" t="s">
        <v>280</v>
      </c>
      <c r="W59" s="161">
        <v>45</v>
      </c>
      <c r="X59" s="161">
        <v>44</v>
      </c>
      <c r="Y59" s="161">
        <v>43</v>
      </c>
      <c r="Z59" s="161">
        <v>42</v>
      </c>
      <c r="AG59" s="161">
        <v>59</v>
      </c>
      <c r="AH59" s="161" t="e">
        <f>VLOOKUP(AG59,'Matchblatt  FEUILLE DE MATCH'!BD:BE,2,FALSE)</f>
        <v>#N/A</v>
      </c>
      <c r="AI59" s="161" t="str">
        <f t="shared" si="160"/>
        <v/>
      </c>
      <c r="AJ59" s="161" t="str">
        <f t="shared" si="161"/>
        <v/>
      </c>
      <c r="AK59" s="161">
        <f t="shared" si="162"/>
        <v>0</v>
      </c>
      <c r="DN59" s="161">
        <v>59</v>
      </c>
      <c r="DO59" s="161" t="e">
        <f>VLOOKUP(DN59,'Matchblatt  FEUILLE DE MATCH'!BF:BG,2,FALSE)</f>
        <v>#N/A</v>
      </c>
      <c r="DP59" s="161" t="str">
        <f t="shared" si="163"/>
        <v/>
      </c>
      <c r="DQ59" s="161" t="str">
        <f t="shared" si="164"/>
        <v/>
      </c>
      <c r="DR59" s="161">
        <f t="shared" si="165"/>
        <v>0</v>
      </c>
    </row>
    <row r="60" spans="1:122">
      <c r="B60" s="161" t="s">
        <v>280</v>
      </c>
      <c r="C60" s="161" t="s">
        <v>280</v>
      </c>
      <c r="D60" s="161" t="s">
        <v>280</v>
      </c>
      <c r="E60" s="361" t="s">
        <v>280</v>
      </c>
      <c r="P60" s="161" t="s">
        <v>280</v>
      </c>
      <c r="Q60" s="161" t="s">
        <v>280</v>
      </c>
      <c r="R60" s="161" t="s">
        <v>280</v>
      </c>
      <c r="S60" s="361" t="s">
        <v>280</v>
      </c>
      <c r="AG60" s="161">
        <v>60</v>
      </c>
      <c r="AH60" s="161" t="e">
        <f>VLOOKUP(AG60,'Matchblatt  FEUILLE DE MATCH'!BD:BE,2,FALSE)</f>
        <v>#N/A</v>
      </c>
      <c r="AI60" s="161" t="str">
        <f t="shared" si="160"/>
        <v/>
      </c>
      <c r="AJ60" s="161" t="str">
        <f t="shared" si="161"/>
        <v/>
      </c>
      <c r="AK60" s="161">
        <f t="shared" si="162"/>
        <v>0</v>
      </c>
      <c r="DN60" s="161">
        <v>60</v>
      </c>
      <c r="DO60" s="161" t="e">
        <f>VLOOKUP(DN60,'Matchblatt  FEUILLE DE MATCH'!BF:BG,2,FALSE)</f>
        <v>#N/A</v>
      </c>
      <c r="DP60" s="161" t="str">
        <f t="shared" si="163"/>
        <v/>
      </c>
      <c r="DQ60" s="161" t="str">
        <f t="shared" si="164"/>
        <v/>
      </c>
      <c r="DR60" s="161">
        <f t="shared" si="165"/>
        <v>0</v>
      </c>
    </row>
    <row r="61" spans="1:122">
      <c r="A61" s="161" t="s">
        <v>869</v>
      </c>
      <c r="B61" s="161" t="s">
        <v>280</v>
      </c>
      <c r="C61" s="161" t="s">
        <v>280</v>
      </c>
      <c r="D61" s="161" t="s">
        <v>280</v>
      </c>
      <c r="E61" s="361" t="s">
        <v>280</v>
      </c>
      <c r="O61" s="161" t="s">
        <v>869</v>
      </c>
      <c r="P61" s="161" t="s">
        <v>280</v>
      </c>
      <c r="Q61" s="161" t="s">
        <v>280</v>
      </c>
      <c r="R61" s="161" t="s">
        <v>280</v>
      </c>
      <c r="S61" s="361" t="s">
        <v>280</v>
      </c>
      <c r="AG61" s="161">
        <v>61</v>
      </c>
      <c r="AH61" s="161" t="e">
        <f>VLOOKUP(AG61,'Matchblatt  FEUILLE DE MATCH'!BD:BE,2,FALSE)</f>
        <v>#N/A</v>
      </c>
      <c r="AI61" s="161" t="str">
        <f t="shared" si="160"/>
        <v/>
      </c>
      <c r="AJ61" s="161" t="str">
        <f t="shared" si="161"/>
        <v/>
      </c>
      <c r="AK61" s="161">
        <f t="shared" si="162"/>
        <v>0</v>
      </c>
      <c r="DN61" s="161">
        <v>61</v>
      </c>
      <c r="DO61" s="161" t="e">
        <f>VLOOKUP(DN61,'Matchblatt  FEUILLE DE MATCH'!BF:BG,2,FALSE)</f>
        <v>#N/A</v>
      </c>
      <c r="DP61" s="161" t="str">
        <f t="shared" si="163"/>
        <v/>
      </c>
      <c r="DQ61" s="161" t="str">
        <f t="shared" si="164"/>
        <v/>
      </c>
      <c r="DR61" s="161">
        <f t="shared" si="165"/>
        <v>0</v>
      </c>
    </row>
    <row r="62" spans="1:122">
      <c r="B62" s="161" t="s">
        <v>280</v>
      </c>
      <c r="C62" s="161" t="s">
        <v>280</v>
      </c>
      <c r="D62" s="161" t="s">
        <v>280</v>
      </c>
      <c r="E62" s="361" t="s">
        <v>280</v>
      </c>
      <c r="P62" s="161" t="s">
        <v>280</v>
      </c>
      <c r="Q62" s="161" t="s">
        <v>280</v>
      </c>
      <c r="R62" s="161" t="s">
        <v>280</v>
      </c>
      <c r="S62" s="361" t="s">
        <v>280</v>
      </c>
      <c r="AG62" s="161">
        <v>62</v>
      </c>
      <c r="AH62" s="161" t="e">
        <f>VLOOKUP(AG62,'Matchblatt  FEUILLE DE MATCH'!BD:BE,2,FALSE)</f>
        <v>#N/A</v>
      </c>
      <c r="AI62" s="161" t="str">
        <f t="shared" si="160"/>
        <v/>
      </c>
      <c r="AJ62" s="161" t="str">
        <f t="shared" si="161"/>
        <v/>
      </c>
      <c r="AK62" s="161">
        <f t="shared" si="162"/>
        <v>0</v>
      </c>
      <c r="DN62" s="161">
        <v>62</v>
      </c>
      <c r="DO62" s="161" t="e">
        <f>VLOOKUP(DN62,'Matchblatt  FEUILLE DE MATCH'!BF:BG,2,FALSE)</f>
        <v>#N/A</v>
      </c>
      <c r="DP62" s="161" t="str">
        <f t="shared" si="163"/>
        <v/>
      </c>
      <c r="DQ62" s="161" t="str">
        <f t="shared" si="164"/>
        <v/>
      </c>
      <c r="DR62" s="161">
        <f t="shared" si="165"/>
        <v>0</v>
      </c>
    </row>
    <row r="63" spans="1:122">
      <c r="L63" s="161" t="s">
        <v>280</v>
      </c>
      <c r="AC63" s="161" t="s">
        <v>1094</v>
      </c>
      <c r="AD63" s="161" t="s">
        <v>1095</v>
      </c>
      <c r="AG63" s="161">
        <v>63</v>
      </c>
      <c r="AH63" s="161" t="e">
        <f>VLOOKUP(AG63,'Matchblatt  FEUILLE DE MATCH'!BD:BE,2,FALSE)</f>
        <v>#N/A</v>
      </c>
      <c r="AI63" s="161" t="str">
        <f t="shared" si="160"/>
        <v/>
      </c>
      <c r="AJ63" s="161" t="str">
        <f t="shared" si="161"/>
        <v/>
      </c>
      <c r="AK63" s="161">
        <f t="shared" si="162"/>
        <v>0</v>
      </c>
      <c r="DN63" s="161">
        <v>63</v>
      </c>
      <c r="DO63" s="161" t="e">
        <f>VLOOKUP(DN63,'Matchblatt  FEUILLE DE MATCH'!BF:BG,2,FALSE)</f>
        <v>#N/A</v>
      </c>
      <c r="DP63" s="161" t="str">
        <f t="shared" si="163"/>
        <v/>
      </c>
      <c r="DQ63" s="161" t="str">
        <f t="shared" si="164"/>
        <v/>
      </c>
      <c r="DR63" s="161">
        <f t="shared" si="165"/>
        <v>0</v>
      </c>
    </row>
    <row r="64" spans="1:122">
      <c r="A64" s="362"/>
      <c r="B64" s="355" t="s">
        <v>1027</v>
      </c>
      <c r="C64" s="161" t="str">
        <f>VLOOKUP(B64,Average!$GC:$GE,3,FALSE)</f>
        <v/>
      </c>
      <c r="D64" s="161">
        <f>VLOOKUP(B64,Average!GC:HG,31,FALSE)</f>
        <v>0</v>
      </c>
      <c r="E64" s="161">
        <f>VLOOKUP(B64,Average!$GC:$HF,30,FALSE)</f>
        <v>0</v>
      </c>
      <c r="F64" s="351" t="str">
        <f>IF(E64=0,"",1.1)</f>
        <v/>
      </c>
      <c r="G64" s="351" t="s">
        <v>280</v>
      </c>
      <c r="J64" s="161" t="s">
        <v>280</v>
      </c>
      <c r="K64" s="161" t="s">
        <v>280</v>
      </c>
      <c r="M64" s="161" t="s">
        <v>1027</v>
      </c>
      <c r="O64" s="355"/>
      <c r="P64" s="355" t="s">
        <v>1028</v>
      </c>
      <c r="Q64" s="161" t="str">
        <f>VLOOKUP(P64,Average!$GC:$GE,3,FALSE)</f>
        <v/>
      </c>
      <c r="R64" s="161">
        <f>VLOOKUP(P64,Average!GC:HG,31,FALSE)</f>
        <v>0</v>
      </c>
      <c r="S64" s="161">
        <f>VLOOKUP(P64,Average!$GC:$HF,30,FALSE)</f>
        <v>0</v>
      </c>
      <c r="T64" s="351" t="str">
        <f>IF(S64=0,"",1.1)</f>
        <v/>
      </c>
      <c r="U64" s="351" t="s">
        <v>280</v>
      </c>
      <c r="X64" s="161" t="s">
        <v>280</v>
      </c>
      <c r="Y64" s="161" t="s">
        <v>280</v>
      </c>
      <c r="AA64" s="161" t="s">
        <v>1028</v>
      </c>
      <c r="AB64" s="161">
        <v>0</v>
      </c>
      <c r="AC64" s="161">
        <v>0</v>
      </c>
      <c r="AD64" s="161">
        <v>0</v>
      </c>
      <c r="AG64" s="161">
        <v>64</v>
      </c>
      <c r="AH64" s="161" t="e">
        <f>VLOOKUP(AG64,'Matchblatt  FEUILLE DE MATCH'!BD:BE,2,FALSE)</f>
        <v>#N/A</v>
      </c>
      <c r="AI64" s="161" t="str">
        <f t="shared" si="160"/>
        <v/>
      </c>
      <c r="AJ64" s="161" t="str">
        <f t="shared" si="161"/>
        <v/>
      </c>
      <c r="AK64" s="161">
        <f t="shared" si="162"/>
        <v>0</v>
      </c>
      <c r="DN64" s="161">
        <v>64</v>
      </c>
      <c r="DO64" s="161" t="e">
        <f>VLOOKUP(DN64,'Matchblatt  FEUILLE DE MATCH'!BF:BG,2,FALSE)</f>
        <v>#N/A</v>
      </c>
      <c r="DP64" s="161" t="str">
        <f t="shared" si="163"/>
        <v/>
      </c>
      <c r="DQ64" s="161" t="str">
        <f t="shared" si="164"/>
        <v/>
      </c>
      <c r="DR64" s="161">
        <f t="shared" si="165"/>
        <v>0</v>
      </c>
    </row>
    <row r="65" spans="1:30">
      <c r="A65" s="363" t="s">
        <v>1096</v>
      </c>
      <c r="B65" s="355" t="s">
        <v>1029</v>
      </c>
      <c r="C65" s="161" t="str">
        <f>VLOOKUP(B65,Average!$GC:$GE,3,FALSE)</f>
        <v/>
      </c>
      <c r="D65" s="161">
        <f>VLOOKUP(B65,Average!GC:HG,31,FALSE)</f>
        <v>0</v>
      </c>
      <c r="E65" s="161">
        <f>VLOOKUP(B65,Average!$GC:$HF,30,FALSE)</f>
        <v>0</v>
      </c>
      <c r="F65" s="351" t="str">
        <f>IF(E65=0,"",1.2)</f>
        <v/>
      </c>
      <c r="G65" s="351" t="s">
        <v>280</v>
      </c>
      <c r="J65" s="161" t="s">
        <v>280</v>
      </c>
      <c r="K65" s="161" t="s">
        <v>280</v>
      </c>
      <c r="M65" s="161" t="s">
        <v>1029</v>
      </c>
      <c r="O65" s="364" t="s">
        <v>1096</v>
      </c>
      <c r="P65" s="355" t="s">
        <v>1030</v>
      </c>
      <c r="Q65" s="161" t="str">
        <f>VLOOKUP(P65,Average!$GC:$GE,3,FALSE)</f>
        <v/>
      </c>
      <c r="R65" s="161">
        <f>VLOOKUP(P65,Average!GC:HG,31,FALSE)</f>
        <v>0</v>
      </c>
      <c r="S65" s="161">
        <f>VLOOKUP(P65,Average!$GC:$HF,30,FALSE)</f>
        <v>0</v>
      </c>
      <c r="T65" s="351" t="str">
        <f>IF(S65=0,"",1.2)</f>
        <v/>
      </c>
      <c r="U65" s="351" t="s">
        <v>280</v>
      </c>
      <c r="X65" s="161" t="s">
        <v>280</v>
      </c>
      <c r="Y65" s="161" t="s">
        <v>280</v>
      </c>
      <c r="AA65" s="161" t="s">
        <v>1030</v>
      </c>
      <c r="AB65" s="161">
        <v>0</v>
      </c>
      <c r="AC65" s="161">
        <v>0</v>
      </c>
      <c r="AD65" s="161">
        <v>0</v>
      </c>
    </row>
    <row r="66" spans="1:30">
      <c r="A66" s="363" t="s">
        <v>1097</v>
      </c>
      <c r="B66" s="355" t="s">
        <v>1031</v>
      </c>
      <c r="C66" s="161" t="str">
        <f>VLOOKUP(B66,Average!$GC:$GE,3,FALSE)</f>
        <v/>
      </c>
      <c r="D66" s="161">
        <f>VLOOKUP(B66,Average!GC:HG,31,FALSE)</f>
        <v>0</v>
      </c>
      <c r="E66" s="161">
        <f>VLOOKUP(B66,Average!$GC:$HF,30,FALSE)</f>
        <v>0</v>
      </c>
      <c r="F66" s="351" t="str">
        <f>IF(E66=0,"",1.3)</f>
        <v/>
      </c>
      <c r="G66" s="351" t="s">
        <v>280</v>
      </c>
      <c r="J66" s="161" t="s">
        <v>280</v>
      </c>
      <c r="K66" s="161" t="s">
        <v>280</v>
      </c>
      <c r="M66" s="161" t="s">
        <v>1031</v>
      </c>
      <c r="O66" s="364" t="s">
        <v>1097</v>
      </c>
      <c r="P66" s="355" t="s">
        <v>1032</v>
      </c>
      <c r="Q66" s="161" t="str">
        <f>VLOOKUP(P66,Average!$GC:$GE,3,FALSE)</f>
        <v/>
      </c>
      <c r="R66" s="161">
        <f>VLOOKUP(P66,Average!GC:HG,31,FALSE)</f>
        <v>0</v>
      </c>
      <c r="S66" s="161">
        <f>VLOOKUP(P66,Average!$GC:$HF,30,FALSE)</f>
        <v>0</v>
      </c>
      <c r="T66" s="351" t="str">
        <f>IF(S66=0,"",1.3)</f>
        <v/>
      </c>
      <c r="U66" s="351" t="s">
        <v>280</v>
      </c>
      <c r="X66" s="161" t="s">
        <v>280</v>
      </c>
      <c r="Y66" s="161" t="s">
        <v>280</v>
      </c>
      <c r="AA66" s="161" t="s">
        <v>1032</v>
      </c>
      <c r="AB66" s="161">
        <v>0</v>
      </c>
      <c r="AC66" s="161">
        <v>0</v>
      </c>
      <c r="AD66" s="161">
        <v>0</v>
      </c>
    </row>
    <row r="67" spans="1:30">
      <c r="A67" s="363" t="s">
        <v>1098</v>
      </c>
      <c r="B67" s="355" t="s">
        <v>1033</v>
      </c>
      <c r="C67" s="161" t="str">
        <f>VLOOKUP(B67,Average!$GC:$GE,3,FALSE)</f>
        <v/>
      </c>
      <c r="D67" s="161">
        <f>VLOOKUP(B67,Average!GC:HG,31,FALSE)</f>
        <v>0</v>
      </c>
      <c r="E67" s="161">
        <f>VLOOKUP(B67,Average!$GC:$HF,30,FALSE)</f>
        <v>0</v>
      </c>
      <c r="F67" s="351" t="str">
        <f>IF(E67=0,"",1.4)</f>
        <v/>
      </c>
      <c r="G67" s="351" t="s">
        <v>280</v>
      </c>
      <c r="J67" s="161" t="s">
        <v>280</v>
      </c>
      <c r="K67" s="161" t="s">
        <v>280</v>
      </c>
      <c r="M67" s="161" t="s">
        <v>1033</v>
      </c>
      <c r="O67" s="364" t="s">
        <v>1098</v>
      </c>
      <c r="P67" s="355" t="s">
        <v>1034</v>
      </c>
      <c r="Q67" s="161" t="str">
        <f>VLOOKUP(P67,Average!$GC:$GE,3,FALSE)</f>
        <v/>
      </c>
      <c r="R67" s="161">
        <f>VLOOKUP(P67,Average!GC:HG,31,FALSE)</f>
        <v>0</v>
      </c>
      <c r="S67" s="161">
        <f>VLOOKUP(P67,Average!$GC:$HF,30,FALSE)</f>
        <v>0</v>
      </c>
      <c r="T67" s="351" t="str">
        <f>IF(S67=0,"",1.4)</f>
        <v/>
      </c>
      <c r="U67" s="351" t="s">
        <v>280</v>
      </c>
      <c r="X67" s="161" t="s">
        <v>280</v>
      </c>
      <c r="Y67" s="161" t="s">
        <v>280</v>
      </c>
      <c r="AA67" s="161" t="s">
        <v>1034</v>
      </c>
      <c r="AB67" s="161">
        <v>0</v>
      </c>
      <c r="AC67" s="161">
        <v>0</v>
      </c>
      <c r="AD67" s="161">
        <v>0</v>
      </c>
    </row>
    <row r="68" spans="1:30">
      <c r="A68" s="363" t="s">
        <v>1099</v>
      </c>
      <c r="B68" s="355" t="s">
        <v>1036</v>
      </c>
      <c r="C68" s="161" t="str">
        <f>VLOOKUP(B68,Average!$GC:$GE,3,FALSE)</f>
        <v/>
      </c>
      <c r="D68" s="161">
        <f>VLOOKUP(B68,Average!GC:HG,31,FALSE)</f>
        <v>0</v>
      </c>
      <c r="E68" s="161">
        <f>VLOOKUP(B68,Average!$GC:$HF,30,FALSE)</f>
        <v>0</v>
      </c>
      <c r="F68" s="351" t="str">
        <f>IF(E68=0,"",1.5)</f>
        <v/>
      </c>
      <c r="G68" s="351" t="s">
        <v>280</v>
      </c>
      <c r="J68" s="161" t="s">
        <v>280</v>
      </c>
      <c r="K68" s="161" t="s">
        <v>280</v>
      </c>
      <c r="M68" s="161" t="s">
        <v>1036</v>
      </c>
      <c r="O68" s="364" t="s">
        <v>1099</v>
      </c>
      <c r="P68" s="355" t="s">
        <v>1037</v>
      </c>
      <c r="Q68" s="161" t="str">
        <f>VLOOKUP(P68,Average!$GC:$GE,3,FALSE)</f>
        <v/>
      </c>
      <c r="R68" s="161">
        <f>VLOOKUP(P68,Average!GC:HG,31,FALSE)</f>
        <v>0</v>
      </c>
      <c r="S68" s="161">
        <f>VLOOKUP(P68,Average!$GC:$HF,30,FALSE)</f>
        <v>0</v>
      </c>
      <c r="T68" s="351" t="str">
        <f>IF(S68=0,"",1.5)</f>
        <v/>
      </c>
      <c r="U68" s="351" t="s">
        <v>280</v>
      </c>
      <c r="X68" s="161" t="s">
        <v>280</v>
      </c>
      <c r="Y68" s="161" t="s">
        <v>280</v>
      </c>
      <c r="AA68" s="161" t="s">
        <v>1037</v>
      </c>
      <c r="AB68" s="161">
        <v>0</v>
      </c>
      <c r="AC68" s="161">
        <v>0</v>
      </c>
      <c r="AD68" s="161">
        <v>0</v>
      </c>
    </row>
    <row r="69" spans="1:30">
      <c r="A69" s="363" t="s">
        <v>1100</v>
      </c>
      <c r="B69" s="355" t="s">
        <v>1039</v>
      </c>
      <c r="C69" s="161" t="str">
        <f>VLOOKUP(B69,Average!$GC:$GE,3,FALSE)</f>
        <v/>
      </c>
      <c r="D69" s="161">
        <f>VLOOKUP(B69,Average!GC:HG,31,FALSE)</f>
        <v>0</v>
      </c>
      <c r="E69" s="161">
        <f>VLOOKUP(B69,Average!$GC:$HF,30,FALSE)</f>
        <v>0</v>
      </c>
      <c r="F69" s="351" t="str">
        <f>IF(E69=0,"",1.6)</f>
        <v/>
      </c>
      <c r="G69" s="351" t="s">
        <v>280</v>
      </c>
      <c r="J69" s="161" t="s">
        <v>280</v>
      </c>
      <c r="K69" s="161" t="s">
        <v>280</v>
      </c>
      <c r="M69" s="161" t="s">
        <v>1039</v>
      </c>
      <c r="O69" s="364" t="s">
        <v>1100</v>
      </c>
      <c r="P69" s="355" t="s">
        <v>1040</v>
      </c>
      <c r="Q69" s="161" t="str">
        <f>VLOOKUP(P69,Average!$GC:$GE,3,FALSE)</f>
        <v/>
      </c>
      <c r="R69" s="161">
        <f>VLOOKUP(P69,Average!GC:HG,31,FALSE)</f>
        <v>0</v>
      </c>
      <c r="S69" s="161">
        <f>VLOOKUP(P69,Average!$GC:$HF,30,FALSE)</f>
        <v>0</v>
      </c>
      <c r="T69" s="351" t="str">
        <f>IF(S69=0,"",1.6)</f>
        <v/>
      </c>
      <c r="U69" s="351" t="s">
        <v>280</v>
      </c>
      <c r="X69" s="161" t="s">
        <v>280</v>
      </c>
      <c r="Y69" s="161" t="s">
        <v>280</v>
      </c>
      <c r="AA69" s="161" t="s">
        <v>1040</v>
      </c>
      <c r="AB69" s="161">
        <v>0</v>
      </c>
      <c r="AC69" s="161">
        <v>0</v>
      </c>
      <c r="AD69" s="161">
        <v>0</v>
      </c>
    </row>
    <row r="70" spans="1:30">
      <c r="A70" s="363" t="s">
        <v>963</v>
      </c>
      <c r="B70" s="355" t="s">
        <v>1042</v>
      </c>
      <c r="C70" s="161" t="str">
        <f>VLOOKUP(B70,Average!$GC:$GE,3,FALSE)</f>
        <v/>
      </c>
      <c r="D70" s="161">
        <f>VLOOKUP(B70,Average!GC:HG,31,FALSE)</f>
        <v>0</v>
      </c>
      <c r="E70" s="161">
        <f>VLOOKUP(B70,Average!$GC:$HF,30,FALSE)</f>
        <v>0</v>
      </c>
      <c r="F70" s="351" t="str">
        <f>IF(E70=0,"",1.7)</f>
        <v/>
      </c>
      <c r="G70" s="351" t="s">
        <v>280</v>
      </c>
      <c r="J70" s="161" t="s">
        <v>280</v>
      </c>
      <c r="K70" s="161" t="s">
        <v>280</v>
      </c>
      <c r="M70" s="161" t="s">
        <v>1042</v>
      </c>
      <c r="O70" s="364" t="s">
        <v>963</v>
      </c>
      <c r="P70" s="355" t="s">
        <v>1043</v>
      </c>
      <c r="Q70" s="161" t="str">
        <f>VLOOKUP(P70,Average!$GC:$GE,3,FALSE)</f>
        <v/>
      </c>
      <c r="R70" s="161">
        <f>VLOOKUP(P70,Average!GC:HG,31,FALSE)</f>
        <v>0</v>
      </c>
      <c r="S70" s="161">
        <f>VLOOKUP(P70,Average!$GC:$HF,30,FALSE)</f>
        <v>0</v>
      </c>
      <c r="T70" s="351" t="str">
        <f>IF(S70=0,"",1.7)</f>
        <v/>
      </c>
      <c r="U70" s="351" t="s">
        <v>280</v>
      </c>
      <c r="X70" s="161" t="s">
        <v>280</v>
      </c>
      <c r="Y70" s="161" t="s">
        <v>280</v>
      </c>
      <c r="AA70" s="161" t="s">
        <v>1043</v>
      </c>
      <c r="AB70" s="161">
        <v>0</v>
      </c>
      <c r="AC70" s="161">
        <v>0</v>
      </c>
      <c r="AD70" s="161">
        <v>0</v>
      </c>
    </row>
    <row r="71" spans="1:30" ht="13.5">
      <c r="A71" s="365" t="s">
        <v>1101</v>
      </c>
      <c r="B71" s="353" t="s">
        <v>1045</v>
      </c>
      <c r="C71" s="161" t="str">
        <f>VLOOKUP(B71,Average!$GC:$GE,3,FALSE)</f>
        <v/>
      </c>
      <c r="D71" s="161">
        <f>VLOOKUP(B71,Average!GC:HG,31,FALSE)</f>
        <v>0</v>
      </c>
      <c r="E71" s="161">
        <f>VLOOKUP(B71,Average!$GC:$HF,30,FALSE)</f>
        <v>0</v>
      </c>
      <c r="F71" s="351" t="str">
        <f>IF(E71=0,"",1.8)</f>
        <v/>
      </c>
      <c r="G71" s="351" t="s">
        <v>280</v>
      </c>
      <c r="J71" s="161" t="s">
        <v>280</v>
      </c>
      <c r="K71" s="161" t="s">
        <v>280</v>
      </c>
      <c r="M71" s="161" t="s">
        <v>1045</v>
      </c>
      <c r="O71" s="366" t="s">
        <v>1101</v>
      </c>
      <c r="P71" s="355" t="s">
        <v>1046</v>
      </c>
      <c r="Q71" s="161" t="str">
        <f>VLOOKUP(P71,Average!$GC:$GE,3,FALSE)</f>
        <v/>
      </c>
      <c r="R71" s="161">
        <f>VLOOKUP(P71,Average!GC:HG,31,FALSE)</f>
        <v>0</v>
      </c>
      <c r="S71" s="161">
        <f>VLOOKUP(P71,Average!$GC:$HF,30,FALSE)</f>
        <v>0</v>
      </c>
      <c r="T71" s="351" t="str">
        <f>IF(S71=0,"",1.8)</f>
        <v/>
      </c>
      <c r="U71" s="351" t="s">
        <v>280</v>
      </c>
      <c r="X71" s="161" t="s">
        <v>280</v>
      </c>
      <c r="Y71" s="161" t="s">
        <v>280</v>
      </c>
      <c r="AA71" s="161" t="s">
        <v>1046</v>
      </c>
      <c r="AB71" s="161">
        <v>0</v>
      </c>
      <c r="AC71" s="161">
        <v>0</v>
      </c>
      <c r="AD71" s="161">
        <v>0</v>
      </c>
    </row>
    <row r="72" spans="1:30">
      <c r="A72" s="362"/>
      <c r="B72" s="355" t="s">
        <v>1047</v>
      </c>
      <c r="C72" s="161" t="str">
        <f>VLOOKUP(B72,Average!$GC:$GE,3,FALSE)</f>
        <v/>
      </c>
      <c r="D72" s="161">
        <f>VLOOKUP(B72,Average!GC:HG,31,FALSE)</f>
        <v>0</v>
      </c>
      <c r="E72" s="161">
        <f>VLOOKUP(B72,Average!$GC:$HF,30,FALSE)</f>
        <v>0</v>
      </c>
      <c r="F72" s="351" t="str">
        <f>IF(E72=0,"",2.1)</f>
        <v/>
      </c>
      <c r="G72" s="351" t="s">
        <v>280</v>
      </c>
      <c r="J72" s="161" t="s">
        <v>280</v>
      </c>
      <c r="K72" s="161" t="s">
        <v>280</v>
      </c>
      <c r="M72" s="161" t="s">
        <v>1047</v>
      </c>
      <c r="O72" s="355"/>
      <c r="P72" s="355" t="s">
        <v>1048</v>
      </c>
      <c r="Q72" s="161" t="str">
        <f>VLOOKUP(P72,Average!$GC:$GE,3,FALSE)</f>
        <v/>
      </c>
      <c r="R72" s="161">
        <f>VLOOKUP(P72,Average!GC:HG,31,FALSE)</f>
        <v>0</v>
      </c>
      <c r="S72" s="161">
        <f>VLOOKUP(P72,Average!$GC:$HF,30,FALSE)</f>
        <v>0</v>
      </c>
      <c r="T72" s="351" t="str">
        <f>IF(S72=0,"",2.1)</f>
        <v/>
      </c>
      <c r="U72" s="351" t="s">
        <v>280</v>
      </c>
      <c r="X72" s="161" t="s">
        <v>280</v>
      </c>
      <c r="Y72" s="161" t="s">
        <v>280</v>
      </c>
      <c r="AA72" s="161" t="s">
        <v>1048</v>
      </c>
      <c r="AB72" s="161">
        <v>0</v>
      </c>
      <c r="AC72" s="161">
        <v>0</v>
      </c>
      <c r="AD72" s="161">
        <v>0</v>
      </c>
    </row>
    <row r="73" spans="1:30">
      <c r="A73" s="363" t="s">
        <v>1096</v>
      </c>
      <c r="B73" s="355" t="s">
        <v>1049</v>
      </c>
      <c r="C73" s="161" t="str">
        <f>VLOOKUP(B73,Average!$GC:$GE,3,FALSE)</f>
        <v/>
      </c>
      <c r="D73" s="161">
        <f>VLOOKUP(B73,Average!GC:HG,31,FALSE)</f>
        <v>0</v>
      </c>
      <c r="E73" s="161">
        <f>VLOOKUP(B73,Average!$GC:$HF,30,FALSE)</f>
        <v>0</v>
      </c>
      <c r="F73" s="351" t="str">
        <f>IF(E73=0,"",2.2)</f>
        <v/>
      </c>
      <c r="G73" s="351" t="s">
        <v>280</v>
      </c>
      <c r="J73" s="161" t="s">
        <v>280</v>
      </c>
      <c r="K73" s="161" t="s">
        <v>280</v>
      </c>
      <c r="M73" s="161" t="s">
        <v>1049</v>
      </c>
      <c r="O73" s="364" t="s">
        <v>1096</v>
      </c>
      <c r="P73" s="355" t="s">
        <v>1050</v>
      </c>
      <c r="Q73" s="161" t="str">
        <f>VLOOKUP(P73,Average!$GC:$GE,3,FALSE)</f>
        <v/>
      </c>
      <c r="R73" s="161">
        <f>VLOOKUP(P73,Average!GC:HG,31,FALSE)</f>
        <v>0</v>
      </c>
      <c r="S73" s="161">
        <f>VLOOKUP(P73,Average!$GC:$HF,30,FALSE)</f>
        <v>0</v>
      </c>
      <c r="T73" s="351" t="str">
        <f>IF(S73=0,"",2.2)</f>
        <v/>
      </c>
      <c r="U73" s="351" t="s">
        <v>280</v>
      </c>
      <c r="X73" s="161" t="s">
        <v>280</v>
      </c>
      <c r="Y73" s="161" t="s">
        <v>280</v>
      </c>
      <c r="AA73" s="161" t="s">
        <v>1050</v>
      </c>
      <c r="AB73" s="161">
        <v>0</v>
      </c>
      <c r="AC73" s="161">
        <v>0</v>
      </c>
      <c r="AD73" s="161">
        <v>0</v>
      </c>
    </row>
    <row r="74" spans="1:30">
      <c r="A74" s="363" t="s">
        <v>1097</v>
      </c>
      <c r="B74" s="355" t="s">
        <v>1051</v>
      </c>
      <c r="C74" s="161" t="str">
        <f>VLOOKUP(B74,Average!$GC:$GE,3,FALSE)</f>
        <v/>
      </c>
      <c r="D74" s="161">
        <f>VLOOKUP(B74,Average!GC:HG,31,FALSE)</f>
        <v>0</v>
      </c>
      <c r="E74" s="161">
        <f>VLOOKUP(B74,Average!$GC:$HF,30,FALSE)</f>
        <v>0</v>
      </c>
      <c r="F74" s="351" t="str">
        <f>IF(E74=0,"",2.3)</f>
        <v/>
      </c>
      <c r="G74" s="351" t="s">
        <v>280</v>
      </c>
      <c r="J74" s="161" t="s">
        <v>280</v>
      </c>
      <c r="K74" s="161" t="s">
        <v>280</v>
      </c>
      <c r="M74" s="161" t="s">
        <v>1051</v>
      </c>
      <c r="O74" s="364" t="s">
        <v>1097</v>
      </c>
      <c r="P74" s="355" t="s">
        <v>1052</v>
      </c>
      <c r="Q74" s="161" t="str">
        <f>VLOOKUP(P74,Average!$GC:$GE,3,FALSE)</f>
        <v/>
      </c>
      <c r="R74" s="161">
        <f>VLOOKUP(P74,Average!GC:HG,31,FALSE)</f>
        <v>0</v>
      </c>
      <c r="S74" s="161">
        <f>VLOOKUP(P74,Average!$GC:$HF,30,FALSE)</f>
        <v>0</v>
      </c>
      <c r="T74" s="351" t="str">
        <f>IF(S74=0,"",2.3)</f>
        <v/>
      </c>
      <c r="U74" s="351" t="s">
        <v>280</v>
      </c>
      <c r="X74" s="161" t="s">
        <v>280</v>
      </c>
      <c r="Y74" s="161" t="s">
        <v>280</v>
      </c>
      <c r="AA74" s="161" t="s">
        <v>1052</v>
      </c>
      <c r="AB74" s="161">
        <v>0</v>
      </c>
      <c r="AC74" s="161">
        <v>0</v>
      </c>
      <c r="AD74" s="161">
        <v>0</v>
      </c>
    </row>
    <row r="75" spans="1:30">
      <c r="A75" s="363" t="s">
        <v>1098</v>
      </c>
      <c r="B75" s="355" t="s">
        <v>1053</v>
      </c>
      <c r="C75" s="161" t="str">
        <f>VLOOKUP(B75,Average!$GC:$GE,3,FALSE)</f>
        <v/>
      </c>
      <c r="D75" s="161">
        <f>VLOOKUP(B75,Average!GC:HG,31,FALSE)</f>
        <v>0</v>
      </c>
      <c r="E75" s="161">
        <f>VLOOKUP(B75,Average!$GC:$HF,30,FALSE)</f>
        <v>0</v>
      </c>
      <c r="F75" s="351" t="str">
        <f>IF(E75=0,"",2.4)</f>
        <v/>
      </c>
      <c r="G75" s="351" t="s">
        <v>280</v>
      </c>
      <c r="J75" s="161" t="s">
        <v>280</v>
      </c>
      <c r="K75" s="161" t="s">
        <v>280</v>
      </c>
      <c r="M75" s="161" t="s">
        <v>1053</v>
      </c>
      <c r="O75" s="364" t="s">
        <v>1098</v>
      </c>
      <c r="P75" s="355" t="s">
        <v>1054</v>
      </c>
      <c r="Q75" s="161" t="str">
        <f>VLOOKUP(P75,Average!$GC:$GE,3,FALSE)</f>
        <v/>
      </c>
      <c r="R75" s="161">
        <f>VLOOKUP(P75,Average!GC:HG,31,FALSE)</f>
        <v>0</v>
      </c>
      <c r="S75" s="161">
        <f>VLOOKUP(P75,Average!$GC:$HF,30,FALSE)</f>
        <v>0</v>
      </c>
      <c r="T75" s="351" t="str">
        <f>IF(S75=0,"",2.4)</f>
        <v/>
      </c>
      <c r="U75" s="351" t="s">
        <v>280</v>
      </c>
      <c r="X75" s="161" t="s">
        <v>280</v>
      </c>
      <c r="Y75" s="161" t="s">
        <v>280</v>
      </c>
      <c r="AA75" s="161" t="s">
        <v>1054</v>
      </c>
      <c r="AB75" s="161">
        <v>0</v>
      </c>
      <c r="AC75" s="161">
        <v>0</v>
      </c>
      <c r="AD75" s="161">
        <v>0</v>
      </c>
    </row>
    <row r="76" spans="1:30">
      <c r="A76" s="363" t="s">
        <v>1099</v>
      </c>
      <c r="B76" s="355" t="s">
        <v>1056</v>
      </c>
      <c r="C76" s="161" t="str">
        <f>VLOOKUP(B76,Average!$GC:$GE,3,FALSE)</f>
        <v/>
      </c>
      <c r="D76" s="161">
        <f>VLOOKUP(B76,Average!GC:HG,31,FALSE)</f>
        <v>0</v>
      </c>
      <c r="E76" s="161">
        <f>VLOOKUP(B76,Average!$GC:$HF,30,FALSE)</f>
        <v>0</v>
      </c>
      <c r="F76" s="351" t="str">
        <f>IF(E76=0,"",2.5)</f>
        <v/>
      </c>
      <c r="G76" s="351" t="s">
        <v>280</v>
      </c>
      <c r="J76" s="161" t="s">
        <v>280</v>
      </c>
      <c r="K76" s="161" t="s">
        <v>280</v>
      </c>
      <c r="M76" s="161" t="s">
        <v>1056</v>
      </c>
      <c r="O76" s="364" t="s">
        <v>1099</v>
      </c>
      <c r="P76" s="355" t="s">
        <v>1057</v>
      </c>
      <c r="Q76" s="161" t="str">
        <f>VLOOKUP(P76,Average!$GC:$GE,3,FALSE)</f>
        <v/>
      </c>
      <c r="R76" s="161">
        <f>VLOOKUP(P76,Average!GC:HG,31,FALSE)</f>
        <v>0</v>
      </c>
      <c r="S76" s="161">
        <f>VLOOKUP(P76,Average!$GC:$HF,30,FALSE)</f>
        <v>0</v>
      </c>
      <c r="T76" s="351" t="str">
        <f>IF(S76=0,"",2.5)</f>
        <v/>
      </c>
      <c r="U76" s="351" t="s">
        <v>280</v>
      </c>
      <c r="X76" s="161" t="s">
        <v>280</v>
      </c>
      <c r="Y76" s="161" t="s">
        <v>280</v>
      </c>
      <c r="AA76" s="161" t="s">
        <v>1057</v>
      </c>
      <c r="AB76" s="161">
        <v>0</v>
      </c>
      <c r="AC76" s="161">
        <v>0</v>
      </c>
      <c r="AD76" s="161">
        <v>0</v>
      </c>
    </row>
    <row r="77" spans="1:30">
      <c r="A77" s="363" t="s">
        <v>1100</v>
      </c>
      <c r="B77" s="355" t="s">
        <v>1059</v>
      </c>
      <c r="C77" s="161" t="str">
        <f>VLOOKUP(B77,Average!$GC:$GE,3,FALSE)</f>
        <v/>
      </c>
      <c r="D77" s="161">
        <f>VLOOKUP(B77,Average!GC:HG,31,FALSE)</f>
        <v>0</v>
      </c>
      <c r="E77" s="161">
        <f>VLOOKUP(B77,Average!$GC:$HF,30,FALSE)</f>
        <v>0</v>
      </c>
      <c r="F77" s="351" t="str">
        <f>IF(E77=0,"",2.6)</f>
        <v/>
      </c>
      <c r="G77" s="351" t="s">
        <v>280</v>
      </c>
      <c r="J77" s="161" t="s">
        <v>280</v>
      </c>
      <c r="K77" s="161" t="s">
        <v>280</v>
      </c>
      <c r="M77" s="161" t="s">
        <v>1059</v>
      </c>
      <c r="O77" s="364" t="s">
        <v>1100</v>
      </c>
      <c r="P77" s="355" t="s">
        <v>1060</v>
      </c>
      <c r="Q77" s="161" t="str">
        <f>VLOOKUP(P77,Average!$GC:$GE,3,FALSE)</f>
        <v/>
      </c>
      <c r="R77" s="161">
        <f>VLOOKUP(P77,Average!GC:HG,31,FALSE)</f>
        <v>0</v>
      </c>
      <c r="S77" s="161">
        <f>VLOOKUP(P77,Average!$GC:$HF,30,FALSE)</f>
        <v>0</v>
      </c>
      <c r="T77" s="351" t="str">
        <f>IF(S77=0,"",2.6)</f>
        <v/>
      </c>
      <c r="U77" s="351" t="s">
        <v>280</v>
      </c>
      <c r="X77" s="161" t="s">
        <v>280</v>
      </c>
      <c r="Y77" s="161" t="s">
        <v>280</v>
      </c>
      <c r="AA77" s="161" t="s">
        <v>1060</v>
      </c>
      <c r="AB77" s="161">
        <v>0</v>
      </c>
      <c r="AC77" s="161">
        <v>0</v>
      </c>
      <c r="AD77" s="161">
        <v>0</v>
      </c>
    </row>
    <row r="78" spans="1:30">
      <c r="A78" s="363" t="s">
        <v>963</v>
      </c>
      <c r="B78" s="355" t="s">
        <v>1062</v>
      </c>
      <c r="C78" s="161" t="str">
        <f>VLOOKUP(B78,Average!$GC:$GE,3,FALSE)</f>
        <v/>
      </c>
      <c r="D78" s="161">
        <f>VLOOKUP(B78,Average!GC:HG,31,FALSE)</f>
        <v>0</v>
      </c>
      <c r="E78" s="161">
        <f>VLOOKUP(B78,Average!$GC:$HF,30,FALSE)</f>
        <v>0</v>
      </c>
      <c r="F78" s="351" t="str">
        <f>IF(E78=0,"",2.7)</f>
        <v/>
      </c>
      <c r="G78" s="351" t="s">
        <v>280</v>
      </c>
      <c r="J78" s="161" t="s">
        <v>280</v>
      </c>
      <c r="K78" s="161" t="s">
        <v>280</v>
      </c>
      <c r="M78" s="161" t="s">
        <v>1062</v>
      </c>
      <c r="O78" s="364" t="s">
        <v>963</v>
      </c>
      <c r="P78" s="355" t="s">
        <v>1063</v>
      </c>
      <c r="Q78" s="161" t="str">
        <f>VLOOKUP(P78,Average!$GC:$GE,3,FALSE)</f>
        <v/>
      </c>
      <c r="R78" s="161">
        <f>VLOOKUP(P78,Average!GC:HG,31,FALSE)</f>
        <v>0</v>
      </c>
      <c r="S78" s="161">
        <f>VLOOKUP(P78,Average!$GC:$HF,30,FALSE)</f>
        <v>0</v>
      </c>
      <c r="T78" s="351" t="str">
        <f>IF(S78=0,"",2.7)</f>
        <v/>
      </c>
      <c r="U78" s="351" t="s">
        <v>280</v>
      </c>
      <c r="X78" s="161" t="s">
        <v>280</v>
      </c>
      <c r="Y78" s="161" t="s">
        <v>280</v>
      </c>
      <c r="AA78" s="161" t="s">
        <v>1063</v>
      </c>
      <c r="AB78" s="161">
        <v>0</v>
      </c>
      <c r="AC78" s="161">
        <v>0</v>
      </c>
      <c r="AD78" s="161">
        <v>0</v>
      </c>
    </row>
    <row r="79" spans="1:30" ht="13.5">
      <c r="A79" s="365" t="s">
        <v>1102</v>
      </c>
      <c r="B79" s="353" t="s">
        <v>1065</v>
      </c>
      <c r="C79" s="161" t="str">
        <f>VLOOKUP(B79,Average!$GC:$GE,3,FALSE)</f>
        <v/>
      </c>
      <c r="D79" s="161">
        <f>VLOOKUP(B79,Average!GC:HG,31,FALSE)</f>
        <v>0</v>
      </c>
      <c r="E79" s="161">
        <f>VLOOKUP(B79,Average!$GC:$HF,30,FALSE)</f>
        <v>0</v>
      </c>
      <c r="F79" s="351" t="str">
        <f>IF(E79=0,"",2.8)</f>
        <v/>
      </c>
      <c r="G79" s="351" t="s">
        <v>280</v>
      </c>
      <c r="J79" s="161" t="s">
        <v>280</v>
      </c>
      <c r="K79" s="161" t="s">
        <v>280</v>
      </c>
      <c r="M79" s="161" t="s">
        <v>1065</v>
      </c>
      <c r="O79" s="366" t="s">
        <v>1102</v>
      </c>
      <c r="P79" s="355" t="s">
        <v>1066</v>
      </c>
      <c r="Q79" s="161" t="str">
        <f>VLOOKUP(P79,Average!$GC:$GE,3,FALSE)</f>
        <v/>
      </c>
      <c r="R79" s="161">
        <f>VLOOKUP(P79,Average!GC:HG,31,FALSE)</f>
        <v>0</v>
      </c>
      <c r="S79" s="161">
        <f>VLOOKUP(P79,Average!$GC:$HF,30,FALSE)</f>
        <v>0</v>
      </c>
      <c r="T79" s="351" t="str">
        <f>IF(S79=0,"",2.8)</f>
        <v/>
      </c>
      <c r="U79" s="351" t="s">
        <v>280</v>
      </c>
      <c r="X79" s="161" t="s">
        <v>280</v>
      </c>
      <c r="Y79" s="161" t="s">
        <v>280</v>
      </c>
      <c r="AA79" s="161" t="s">
        <v>1066</v>
      </c>
      <c r="AB79" s="161">
        <v>0</v>
      </c>
      <c r="AC79" s="161">
        <v>0</v>
      </c>
      <c r="AD79" s="161">
        <v>0</v>
      </c>
    </row>
    <row r="80" spans="1:30">
      <c r="A80" s="362"/>
      <c r="B80" s="355" t="s">
        <v>1068</v>
      </c>
      <c r="C80" s="161" t="str">
        <f>VLOOKUP(B80,Average!$GC:$GE,3,FALSE)</f>
        <v/>
      </c>
      <c r="D80" s="161">
        <f>VLOOKUP(B80,Average!GC:HG,31,FALSE)</f>
        <v>0</v>
      </c>
      <c r="E80" s="161">
        <f>VLOOKUP(B80,Average!$GC:$HF,30,FALSE)</f>
        <v>0</v>
      </c>
      <c r="F80" s="351" t="str">
        <f>IF(E80=0,"",3.1)</f>
        <v/>
      </c>
      <c r="G80" s="351" t="s">
        <v>280</v>
      </c>
      <c r="J80" s="161" t="s">
        <v>280</v>
      </c>
      <c r="K80" s="161" t="s">
        <v>280</v>
      </c>
      <c r="M80" s="161" t="s">
        <v>1068</v>
      </c>
      <c r="O80" s="355"/>
      <c r="P80" s="355" t="s">
        <v>1069</v>
      </c>
      <c r="Q80" s="161" t="str">
        <f>VLOOKUP(P80,Average!$GC:$GE,3,FALSE)</f>
        <v/>
      </c>
      <c r="R80" s="161">
        <f>VLOOKUP(P80,Average!GC:HG,31,FALSE)</f>
        <v>0</v>
      </c>
      <c r="S80" s="161">
        <f>VLOOKUP(P80,Average!$GC:$HF,30,FALSE)</f>
        <v>0</v>
      </c>
      <c r="T80" s="351" t="str">
        <f>IF(S80=0,"",3.1)</f>
        <v/>
      </c>
      <c r="U80" s="351" t="s">
        <v>280</v>
      </c>
      <c r="X80" s="161" t="s">
        <v>280</v>
      </c>
      <c r="Y80" s="161" t="s">
        <v>280</v>
      </c>
      <c r="AA80" s="161" t="s">
        <v>1069</v>
      </c>
      <c r="AB80" s="161">
        <v>0</v>
      </c>
      <c r="AC80" s="161">
        <v>0</v>
      </c>
      <c r="AD80" s="161">
        <v>0</v>
      </c>
    </row>
    <row r="81" spans="1:36">
      <c r="A81" s="363" t="s">
        <v>1096</v>
      </c>
      <c r="B81" s="355" t="s">
        <v>1071</v>
      </c>
      <c r="C81" s="161" t="str">
        <f>VLOOKUP(B81,Average!$GC:$GE,3,FALSE)</f>
        <v/>
      </c>
      <c r="D81" s="161">
        <f>VLOOKUP(B81,Average!GC:HG,31,FALSE)</f>
        <v>0</v>
      </c>
      <c r="E81" s="161">
        <f>VLOOKUP(B81,Average!$GC:$HF,30,FALSE)</f>
        <v>0</v>
      </c>
      <c r="F81" s="351" t="str">
        <f>IF(E81=0,"",3.2)</f>
        <v/>
      </c>
      <c r="G81" s="351" t="s">
        <v>280</v>
      </c>
      <c r="J81" s="161" t="s">
        <v>280</v>
      </c>
      <c r="K81" s="161" t="s">
        <v>280</v>
      </c>
      <c r="M81" s="161" t="s">
        <v>1071</v>
      </c>
      <c r="O81" s="364" t="s">
        <v>1096</v>
      </c>
      <c r="P81" s="355" t="s">
        <v>1072</v>
      </c>
      <c r="Q81" s="161" t="str">
        <f>VLOOKUP(P81,Average!$GC:$GE,3,FALSE)</f>
        <v/>
      </c>
      <c r="R81" s="161">
        <f>VLOOKUP(P81,Average!GC:HG,31,FALSE)</f>
        <v>0</v>
      </c>
      <c r="S81" s="161">
        <f>VLOOKUP(P81,Average!$GC:$HF,30,FALSE)</f>
        <v>0</v>
      </c>
      <c r="T81" s="351" t="str">
        <f>IF(S81=0,"",3.2)</f>
        <v/>
      </c>
      <c r="U81" s="351" t="s">
        <v>280</v>
      </c>
      <c r="X81" s="161" t="s">
        <v>280</v>
      </c>
      <c r="Y81" s="161" t="s">
        <v>280</v>
      </c>
      <c r="AA81" s="161" t="s">
        <v>1072</v>
      </c>
      <c r="AB81" s="161">
        <v>0</v>
      </c>
      <c r="AC81" s="161">
        <v>0</v>
      </c>
      <c r="AD81" s="161">
        <v>0</v>
      </c>
    </row>
    <row r="82" spans="1:36">
      <c r="A82" s="363" t="s">
        <v>1097</v>
      </c>
      <c r="B82" s="355" t="s">
        <v>1074</v>
      </c>
      <c r="C82" s="161" t="str">
        <f>VLOOKUP(B82,Average!$GC:$GE,3,FALSE)</f>
        <v/>
      </c>
      <c r="D82" s="161">
        <f>VLOOKUP(B82,Average!GC:HG,31,FALSE)</f>
        <v>0</v>
      </c>
      <c r="E82" s="161">
        <f>VLOOKUP(B82,Average!$GC:$HF,30,FALSE)</f>
        <v>0</v>
      </c>
      <c r="F82" s="351" t="str">
        <f>IF(E82=0,"",3.3)</f>
        <v/>
      </c>
      <c r="G82" s="351" t="s">
        <v>280</v>
      </c>
      <c r="J82" s="161" t="s">
        <v>280</v>
      </c>
      <c r="K82" s="161" t="s">
        <v>280</v>
      </c>
      <c r="M82" s="161" t="s">
        <v>1074</v>
      </c>
      <c r="O82" s="364" t="s">
        <v>1097</v>
      </c>
      <c r="P82" s="355" t="s">
        <v>1075</v>
      </c>
      <c r="Q82" s="161" t="str">
        <f>VLOOKUP(P82,Average!$GC:$GE,3,FALSE)</f>
        <v/>
      </c>
      <c r="R82" s="161">
        <f>VLOOKUP(P82,Average!GC:HG,31,FALSE)</f>
        <v>0</v>
      </c>
      <c r="S82" s="161">
        <f>VLOOKUP(P82,Average!$GC:$HF,30,FALSE)</f>
        <v>0</v>
      </c>
      <c r="T82" s="351" t="str">
        <f>IF(S82=0,"",3.3)</f>
        <v/>
      </c>
      <c r="U82" s="351" t="s">
        <v>280</v>
      </c>
      <c r="X82" s="161" t="s">
        <v>280</v>
      </c>
      <c r="Y82" s="161" t="s">
        <v>280</v>
      </c>
      <c r="AA82" s="161" t="s">
        <v>1075</v>
      </c>
      <c r="AB82" s="161">
        <v>0</v>
      </c>
      <c r="AC82" s="161">
        <v>0</v>
      </c>
      <c r="AD82" s="161">
        <v>0</v>
      </c>
    </row>
    <row r="83" spans="1:36">
      <c r="A83" s="363" t="s">
        <v>1098</v>
      </c>
      <c r="B83" s="355" t="s">
        <v>1077</v>
      </c>
      <c r="C83" s="161" t="str">
        <f>VLOOKUP(B83,Average!$GC:$GE,3,FALSE)</f>
        <v/>
      </c>
      <c r="D83" s="161">
        <f>VLOOKUP(B83,Average!GC:HG,31,FALSE)</f>
        <v>0</v>
      </c>
      <c r="E83" s="161">
        <f>VLOOKUP(B83,Average!$GC:$HF,30,FALSE)</f>
        <v>0</v>
      </c>
      <c r="F83" s="351" t="str">
        <f>IF(E83=0,"",3.4)</f>
        <v/>
      </c>
      <c r="G83" s="351" t="s">
        <v>280</v>
      </c>
      <c r="J83" s="161" t="s">
        <v>280</v>
      </c>
      <c r="K83" s="161" t="s">
        <v>280</v>
      </c>
      <c r="M83" s="161" t="s">
        <v>1077</v>
      </c>
      <c r="O83" s="364" t="s">
        <v>1098</v>
      </c>
      <c r="P83" s="355" t="s">
        <v>1078</v>
      </c>
      <c r="Q83" s="161" t="str">
        <f>VLOOKUP(P83,Average!$GC:$GE,3,FALSE)</f>
        <v/>
      </c>
      <c r="R83" s="161">
        <f>VLOOKUP(P83,Average!GC:HG,31,FALSE)</f>
        <v>0</v>
      </c>
      <c r="S83" s="161">
        <f>VLOOKUP(P83,Average!$GC:$HF,30,FALSE)</f>
        <v>0</v>
      </c>
      <c r="T83" s="351" t="str">
        <f>IF(S83=0,"",3.4)</f>
        <v/>
      </c>
      <c r="U83" s="351" t="s">
        <v>280</v>
      </c>
      <c r="X83" s="161" t="s">
        <v>280</v>
      </c>
      <c r="Y83" s="161" t="s">
        <v>280</v>
      </c>
      <c r="AA83" s="161" t="s">
        <v>1078</v>
      </c>
      <c r="AB83" s="161">
        <v>0</v>
      </c>
      <c r="AC83" s="161">
        <v>0</v>
      </c>
      <c r="AD83" s="161">
        <v>0</v>
      </c>
    </row>
    <row r="84" spans="1:36">
      <c r="A84" s="363" t="s">
        <v>1099</v>
      </c>
      <c r="B84" s="355" t="s">
        <v>1080</v>
      </c>
      <c r="C84" s="161" t="str">
        <f>VLOOKUP(B84,Average!$GC:$GE,3,FALSE)</f>
        <v/>
      </c>
      <c r="D84" s="161">
        <f>VLOOKUP(B84,Average!GC:HG,31,FALSE)</f>
        <v>0</v>
      </c>
      <c r="E84" s="161">
        <f>VLOOKUP(B84,Average!$GC:$HF,30,FALSE)</f>
        <v>0</v>
      </c>
      <c r="F84" s="351" t="str">
        <f>IF(E84=0,"",3.5)</f>
        <v/>
      </c>
      <c r="G84" s="351" t="s">
        <v>280</v>
      </c>
      <c r="J84" s="161" t="s">
        <v>280</v>
      </c>
      <c r="K84" s="161" t="s">
        <v>280</v>
      </c>
      <c r="M84" s="161" t="s">
        <v>1080</v>
      </c>
      <c r="O84" s="364" t="s">
        <v>1099</v>
      </c>
      <c r="P84" s="355" t="s">
        <v>1081</v>
      </c>
      <c r="Q84" s="161" t="str">
        <f>VLOOKUP(P84,Average!$GC:$GE,3,FALSE)</f>
        <v/>
      </c>
      <c r="R84" s="161">
        <f>VLOOKUP(P84,Average!GC:HG,31,FALSE)</f>
        <v>0</v>
      </c>
      <c r="S84" s="161">
        <f>VLOOKUP(P84,Average!$GC:$HF,30,FALSE)</f>
        <v>0</v>
      </c>
      <c r="T84" s="351" t="str">
        <f>IF(S84=0,"",3.5)</f>
        <v/>
      </c>
      <c r="U84" s="351" t="s">
        <v>280</v>
      </c>
      <c r="X84" s="161" t="s">
        <v>280</v>
      </c>
      <c r="Y84" s="161" t="s">
        <v>280</v>
      </c>
      <c r="AA84" s="161" t="s">
        <v>1081</v>
      </c>
      <c r="AB84" s="161">
        <v>0</v>
      </c>
      <c r="AC84" s="161">
        <v>0</v>
      </c>
      <c r="AD84" s="161">
        <v>0</v>
      </c>
    </row>
    <row r="85" spans="1:36">
      <c r="A85" s="363" t="s">
        <v>1100</v>
      </c>
      <c r="B85" s="355" t="s">
        <v>1083</v>
      </c>
      <c r="C85" s="161" t="str">
        <f>VLOOKUP(B85,Average!$GC:$GE,3,FALSE)</f>
        <v/>
      </c>
      <c r="D85" s="161">
        <f>VLOOKUP(B85,Average!GC:HG,31,FALSE)</f>
        <v>0</v>
      </c>
      <c r="E85" s="161">
        <f>VLOOKUP(B85,Average!$GC:$HF,30,FALSE)</f>
        <v>0</v>
      </c>
      <c r="F85" s="351" t="str">
        <f>IF(E85=0,"",3.6)</f>
        <v/>
      </c>
      <c r="G85" s="351" t="s">
        <v>280</v>
      </c>
      <c r="J85" s="161" t="s">
        <v>280</v>
      </c>
      <c r="K85" s="161" t="s">
        <v>280</v>
      </c>
      <c r="M85" s="161" t="s">
        <v>1083</v>
      </c>
      <c r="O85" s="364" t="s">
        <v>1100</v>
      </c>
      <c r="P85" s="355" t="s">
        <v>1084</v>
      </c>
      <c r="Q85" s="161" t="str">
        <f>VLOOKUP(P85,Average!$GC:$GE,3,FALSE)</f>
        <v/>
      </c>
      <c r="R85" s="161">
        <f>VLOOKUP(P85,Average!GC:HG,31,FALSE)</f>
        <v>0</v>
      </c>
      <c r="S85" s="161">
        <f>VLOOKUP(P85,Average!$GC:$HF,30,FALSE)</f>
        <v>0</v>
      </c>
      <c r="T85" s="351" t="str">
        <f>IF(S85=0,"",3.6)</f>
        <v/>
      </c>
      <c r="U85" s="351" t="s">
        <v>280</v>
      </c>
      <c r="X85" s="161" t="s">
        <v>280</v>
      </c>
      <c r="Y85" s="161" t="s">
        <v>280</v>
      </c>
      <c r="AA85" s="161" t="s">
        <v>1084</v>
      </c>
      <c r="AB85" s="161">
        <v>0</v>
      </c>
      <c r="AC85" s="161">
        <v>0</v>
      </c>
      <c r="AD85" s="161">
        <v>0</v>
      </c>
    </row>
    <row r="86" spans="1:36" s="2" customFormat="1">
      <c r="A86" s="363" t="s">
        <v>963</v>
      </c>
      <c r="B86" s="355" t="s">
        <v>1086</v>
      </c>
      <c r="C86" s="161" t="str">
        <f>VLOOKUP(B86,Average!$GC:$GE,3,FALSE)</f>
        <v/>
      </c>
      <c r="D86" s="161">
        <f>VLOOKUP(B86,Average!GC:HG,31,FALSE)</f>
        <v>0</v>
      </c>
      <c r="E86" s="161">
        <f>VLOOKUP(B86,Average!$GC:$HF,30,FALSE)</f>
        <v>0</v>
      </c>
      <c r="F86" s="351" t="str">
        <f>IF(E86=0,"",3.7)</f>
        <v/>
      </c>
      <c r="G86" s="351" t="s">
        <v>280</v>
      </c>
      <c r="H86" s="161"/>
      <c r="I86" s="161"/>
      <c r="J86" s="161" t="s">
        <v>280</v>
      </c>
      <c r="K86" s="161" t="s">
        <v>280</v>
      </c>
      <c r="L86" s="161"/>
      <c r="M86" s="161" t="s">
        <v>1086</v>
      </c>
      <c r="N86" s="161"/>
      <c r="O86" s="364" t="s">
        <v>963</v>
      </c>
      <c r="P86" s="355" t="s">
        <v>1087</v>
      </c>
      <c r="Q86" s="161" t="str">
        <f>VLOOKUP(P86,Average!$GC:$GE,3,FALSE)</f>
        <v/>
      </c>
      <c r="R86" s="161">
        <f>VLOOKUP(P86,Average!GC:HG,31,FALSE)</f>
        <v>0</v>
      </c>
      <c r="S86" s="161">
        <f>VLOOKUP(P86,Average!$GC:$HF,30,FALSE)</f>
        <v>0</v>
      </c>
      <c r="T86" s="351" t="str">
        <f>IF(S86=0,"",3.7)</f>
        <v/>
      </c>
      <c r="U86" s="351" t="s">
        <v>280</v>
      </c>
      <c r="V86" s="161"/>
      <c r="W86" s="161"/>
      <c r="X86" s="161" t="s">
        <v>280</v>
      </c>
      <c r="Y86" s="161" t="s">
        <v>280</v>
      </c>
      <c r="Z86" s="161"/>
      <c r="AA86" s="161" t="s">
        <v>1087</v>
      </c>
      <c r="AB86" s="161">
        <v>0</v>
      </c>
      <c r="AC86" s="161">
        <v>0</v>
      </c>
      <c r="AD86" s="161">
        <v>0</v>
      </c>
      <c r="AE86" s="161"/>
      <c r="AF86" s="161"/>
      <c r="AG86" s="161"/>
      <c r="AH86" s="161"/>
      <c r="AI86" s="161"/>
      <c r="AJ86" s="161"/>
    </row>
    <row r="87" spans="1:36" s="2" customFormat="1" ht="13.5">
      <c r="A87" s="367" t="s">
        <v>1103</v>
      </c>
      <c r="B87" s="355" t="s">
        <v>1089</v>
      </c>
      <c r="C87" s="161" t="str">
        <f>VLOOKUP(B87,Average!$GC:$GE,3,FALSE)</f>
        <v/>
      </c>
      <c r="D87" s="161">
        <f>VLOOKUP(B87,Average!GC:HG,31,FALSE)</f>
        <v>0</v>
      </c>
      <c r="E87" s="161">
        <f>VLOOKUP(B87,Average!$GC:$HF,30,FALSE)</f>
        <v>0</v>
      </c>
      <c r="F87" s="351" t="str">
        <f>IF(E87=0,"",1.8)</f>
        <v/>
      </c>
      <c r="G87" s="351" t="s">
        <v>280</v>
      </c>
      <c r="H87" s="161"/>
      <c r="I87" s="161"/>
      <c r="J87" s="161" t="s">
        <v>280</v>
      </c>
      <c r="K87" s="161" t="s">
        <v>280</v>
      </c>
      <c r="L87" s="161"/>
      <c r="M87" s="161" t="s">
        <v>1089</v>
      </c>
      <c r="N87" s="161"/>
      <c r="O87" s="368" t="s">
        <v>1103</v>
      </c>
      <c r="P87" s="355" t="s">
        <v>1090</v>
      </c>
      <c r="Q87" s="161" t="str">
        <f>VLOOKUP(P87,Average!$GC:$GE,3,FALSE)</f>
        <v/>
      </c>
      <c r="R87" s="161">
        <f>VLOOKUP(P87,Average!GC:HG,31,FALSE)</f>
        <v>0</v>
      </c>
      <c r="S87" s="161">
        <f>VLOOKUP(P87,Average!$GC:$HF,30,FALSE)</f>
        <v>0</v>
      </c>
      <c r="T87" s="351" t="str">
        <f>IF(S87=0,"",1.8)</f>
        <v/>
      </c>
      <c r="U87" s="351" t="s">
        <v>280</v>
      </c>
      <c r="V87" s="161"/>
      <c r="W87" s="161"/>
      <c r="X87" s="161" t="s">
        <v>280</v>
      </c>
      <c r="Y87" s="161" t="s">
        <v>280</v>
      </c>
      <c r="Z87" s="161"/>
      <c r="AA87" s="161" t="s">
        <v>1090</v>
      </c>
      <c r="AB87" s="161">
        <v>0</v>
      </c>
      <c r="AC87" s="161">
        <v>0</v>
      </c>
      <c r="AD87" s="161">
        <v>0</v>
      </c>
      <c r="AE87" s="161"/>
      <c r="AF87" s="161"/>
      <c r="AG87" s="161"/>
      <c r="AH87" s="161"/>
      <c r="AI87" s="161"/>
      <c r="AJ87" s="161"/>
    </row>
    <row r="88" spans="1:36" s="2" customFormat="1">
      <c r="A88" s="161"/>
      <c r="B88" s="161"/>
      <c r="C88" s="161"/>
      <c r="D88" s="161"/>
      <c r="E88" s="161"/>
      <c r="F88" s="161"/>
      <c r="G88" s="161"/>
      <c r="H88" s="161"/>
      <c r="I88" s="161"/>
      <c r="J88" s="161"/>
      <c r="K88" s="161"/>
      <c r="L88" s="161"/>
      <c r="M88" s="161"/>
      <c r="N88" s="161"/>
      <c r="O88" s="161"/>
      <c r="P88" s="161"/>
      <c r="Q88" s="161"/>
      <c r="R88" s="161"/>
      <c r="S88" s="161"/>
      <c r="T88" s="161"/>
      <c r="U88" s="161"/>
      <c r="V88" s="161"/>
      <c r="W88" s="161"/>
      <c r="X88" s="161"/>
      <c r="Y88" s="161"/>
      <c r="Z88" s="161"/>
      <c r="AA88" s="161"/>
      <c r="AB88" s="161"/>
      <c r="AC88" s="161"/>
      <c r="AD88" s="161"/>
      <c r="AE88" s="161"/>
      <c r="AF88" s="161"/>
      <c r="AG88" s="161"/>
      <c r="AH88" s="161"/>
      <c r="AI88" s="161"/>
      <c r="AJ88" s="161"/>
    </row>
    <row r="89" spans="1:36" s="2" customFormat="1">
      <c r="A89" s="161"/>
      <c r="B89" s="161"/>
      <c r="C89" s="161"/>
      <c r="D89" s="161"/>
      <c r="E89" s="161"/>
      <c r="F89" s="161"/>
      <c r="G89" s="161"/>
      <c r="H89" s="161"/>
      <c r="I89" s="161"/>
      <c r="J89" s="161"/>
      <c r="K89" s="161"/>
      <c r="L89" s="161"/>
      <c r="M89" s="161"/>
      <c r="N89" s="161"/>
      <c r="O89" s="161"/>
      <c r="P89" s="161"/>
      <c r="Q89" s="161"/>
      <c r="R89" s="161"/>
      <c r="S89" s="161"/>
      <c r="T89" s="161"/>
      <c r="U89" s="161"/>
      <c r="V89" s="161"/>
      <c r="W89" s="161"/>
      <c r="X89" s="161"/>
      <c r="Y89" s="161"/>
      <c r="Z89" s="161"/>
      <c r="AA89" s="161"/>
      <c r="AB89" s="161"/>
      <c r="AC89" s="161"/>
      <c r="AD89" s="161"/>
      <c r="AE89" s="161"/>
      <c r="AF89" s="161"/>
      <c r="AG89" s="161"/>
      <c r="AH89" s="161"/>
      <c r="AI89" s="161"/>
      <c r="AJ89" s="161"/>
    </row>
    <row r="90" spans="1:36" s="2" customFormat="1">
      <c r="L90" s="369"/>
      <c r="M90" s="369"/>
      <c r="AA90" s="369"/>
      <c r="AB90" s="369"/>
    </row>
    <row r="91" spans="1:36" s="2" customFormat="1">
      <c r="L91" s="369"/>
      <c r="M91" s="369"/>
      <c r="AA91" s="369"/>
      <c r="AB91" s="369"/>
    </row>
    <row r="92" spans="1:36" s="2" customFormat="1">
      <c r="L92" s="369"/>
      <c r="M92" s="369"/>
      <c r="AA92" s="369"/>
      <c r="AB92" s="369"/>
    </row>
    <row r="93" spans="1:36" s="2" customFormat="1">
      <c r="L93" s="369"/>
      <c r="M93" s="369"/>
      <c r="AA93" s="369"/>
      <c r="AB93" s="369"/>
    </row>
    <row r="94" spans="1:36" s="2" customFormat="1">
      <c r="L94" s="369"/>
      <c r="M94" s="369"/>
      <c r="AA94" s="369"/>
      <c r="AB94" s="369"/>
    </row>
    <row r="95" spans="1:36" s="2" customFormat="1">
      <c r="L95" s="369"/>
      <c r="M95" s="369"/>
      <c r="AA95" s="369"/>
      <c r="AB95" s="369"/>
    </row>
    <row r="96" spans="1:36" s="2" customFormat="1">
      <c r="L96" s="369"/>
      <c r="M96" s="369"/>
      <c r="AA96" s="369"/>
      <c r="AB96" s="369"/>
    </row>
    <row r="97" spans="1:29" s="2" customFormat="1">
      <c r="L97" s="369"/>
      <c r="M97" s="369"/>
      <c r="AA97" s="369"/>
      <c r="AB97" s="369"/>
    </row>
    <row r="98" spans="1:29" s="2" customFormat="1">
      <c r="L98" s="369"/>
      <c r="M98" s="369"/>
      <c r="AA98" s="369"/>
      <c r="AB98" s="369"/>
    </row>
    <row r="99" spans="1:29" s="2" customFormat="1">
      <c r="L99" s="369"/>
      <c r="M99" s="369"/>
      <c r="AA99" s="369"/>
      <c r="AB99" s="369"/>
    </row>
    <row r="100" spans="1:29" s="2" customFormat="1">
      <c r="L100" s="369"/>
      <c r="M100" s="369"/>
      <c r="AA100" s="369"/>
      <c r="AB100" s="369"/>
    </row>
    <row r="101" spans="1:29" s="2" customFormat="1">
      <c r="L101" s="369"/>
      <c r="M101" s="369"/>
      <c r="AA101" s="369"/>
      <c r="AB101" s="369"/>
    </row>
    <row r="102" spans="1:29" s="2" customFormat="1">
      <c r="L102" s="369"/>
      <c r="M102" s="369"/>
      <c r="AA102" s="369"/>
      <c r="AB102" s="369"/>
    </row>
    <row r="103" spans="1:29" s="2" customFormat="1">
      <c r="L103" s="369"/>
      <c r="M103" s="369"/>
      <c r="AA103" s="369"/>
      <c r="AB103" s="369"/>
    </row>
    <row r="104" spans="1:29" s="2" customFormat="1">
      <c r="L104" s="369"/>
      <c r="M104" s="369"/>
      <c r="AA104" s="369"/>
      <c r="AB104" s="369"/>
    </row>
    <row r="105" spans="1:29" s="2" customFormat="1">
      <c r="L105" s="369"/>
      <c r="M105" s="369"/>
      <c r="AA105" s="369"/>
      <c r="AB105" s="369"/>
    </row>
    <row r="106" spans="1:29" s="2" customFormat="1">
      <c r="L106" s="369"/>
      <c r="M106" s="369"/>
      <c r="AA106" s="369"/>
      <c r="AB106" s="369"/>
    </row>
    <row r="107" spans="1:29" s="2" customFormat="1">
      <c r="L107" s="369"/>
      <c r="M107" s="369"/>
      <c r="AA107" s="369"/>
      <c r="AB107" s="369"/>
    </row>
    <row r="108" spans="1:29" s="2" customFormat="1">
      <c r="L108" s="369"/>
      <c r="M108" s="369"/>
      <c r="AA108" s="369"/>
      <c r="AB108" s="369"/>
    </row>
    <row r="109" spans="1:29" s="2" customFormat="1">
      <c r="L109" s="369"/>
      <c r="M109" s="369"/>
      <c r="AA109" s="369"/>
      <c r="AB109" s="369"/>
    </row>
    <row r="110" spans="1:29">
      <c r="A110" s="2"/>
      <c r="B110" s="2"/>
      <c r="C110" s="2"/>
      <c r="D110" s="2"/>
      <c r="E110" s="2"/>
      <c r="F110" s="2"/>
      <c r="G110" s="2"/>
      <c r="H110" s="2"/>
      <c r="I110" s="2"/>
      <c r="J110" s="2"/>
      <c r="K110" s="2"/>
      <c r="L110" s="369"/>
      <c r="M110" s="369"/>
      <c r="N110" s="2"/>
      <c r="O110" s="2"/>
      <c r="P110" s="2"/>
      <c r="Q110" s="2"/>
      <c r="R110" s="2"/>
      <c r="S110" s="2"/>
      <c r="T110" s="2"/>
      <c r="U110" s="2"/>
      <c r="V110" s="2"/>
      <c r="W110" s="2"/>
      <c r="X110" s="2"/>
      <c r="Y110" s="2"/>
      <c r="Z110" s="2"/>
      <c r="AA110" s="369"/>
      <c r="AB110" s="369"/>
      <c r="AC110" s="2"/>
    </row>
    <row r="111" spans="1:29">
      <c r="A111" s="2"/>
      <c r="B111" s="2"/>
      <c r="C111" s="2"/>
      <c r="D111" s="2"/>
      <c r="E111" s="2"/>
      <c r="F111" s="2"/>
      <c r="G111" s="2"/>
      <c r="H111" s="2"/>
      <c r="I111" s="2"/>
      <c r="J111" s="2"/>
      <c r="K111" s="2"/>
      <c r="L111" s="369"/>
      <c r="M111" s="369"/>
      <c r="N111" s="2"/>
      <c r="O111" s="2"/>
      <c r="P111" s="2"/>
      <c r="Q111" s="2"/>
      <c r="R111" s="2"/>
      <c r="S111" s="2"/>
      <c r="T111" s="2"/>
      <c r="U111" s="2"/>
      <c r="V111" s="2"/>
      <c r="W111" s="2"/>
      <c r="X111" s="2"/>
      <c r="Y111" s="2"/>
      <c r="Z111" s="2"/>
      <c r="AA111" s="369"/>
      <c r="AB111" s="369"/>
      <c r="AC111" s="2"/>
    </row>
    <row r="112" spans="1:29">
      <c r="A112" s="2"/>
      <c r="B112" s="2"/>
      <c r="C112" s="2"/>
      <c r="D112" s="2"/>
      <c r="E112" s="2"/>
      <c r="F112" s="2"/>
      <c r="G112" s="2"/>
      <c r="H112" s="2"/>
      <c r="I112" s="2"/>
      <c r="J112" s="2"/>
      <c r="K112" s="2"/>
      <c r="L112" s="369"/>
      <c r="M112" s="369"/>
      <c r="N112" s="2"/>
      <c r="O112" s="2"/>
      <c r="P112" s="2"/>
      <c r="Q112" s="2"/>
      <c r="R112" s="2"/>
      <c r="S112" s="2"/>
      <c r="T112" s="2"/>
      <c r="U112" s="2"/>
      <c r="V112" s="2"/>
      <c r="W112" s="2"/>
      <c r="X112" s="2"/>
      <c r="Y112" s="2"/>
      <c r="Z112" s="2"/>
      <c r="AA112" s="369"/>
      <c r="AB112" s="369"/>
      <c r="AC112" s="2"/>
    </row>
    <row r="113" spans="1:29">
      <c r="A113" s="2"/>
      <c r="B113" s="2"/>
      <c r="C113" s="2"/>
      <c r="D113" s="2"/>
      <c r="E113" s="2"/>
      <c r="F113" s="2"/>
      <c r="G113" s="2"/>
      <c r="H113" s="2"/>
      <c r="I113" s="2"/>
      <c r="J113" s="2"/>
      <c r="K113" s="2"/>
      <c r="L113" s="369"/>
      <c r="M113" s="369"/>
      <c r="N113" s="2"/>
      <c r="O113" s="2"/>
      <c r="P113" s="2"/>
      <c r="Q113" s="2"/>
      <c r="R113" s="2"/>
      <c r="S113" s="2"/>
      <c r="T113" s="2"/>
      <c r="U113" s="2"/>
      <c r="V113" s="2"/>
      <c r="W113" s="2"/>
      <c r="X113" s="2"/>
      <c r="Y113" s="2"/>
      <c r="Z113" s="2"/>
      <c r="AA113" s="369"/>
      <c r="AB113" s="369"/>
      <c r="AC113" s="2"/>
    </row>
    <row r="114" spans="1:29">
      <c r="A114" s="2"/>
      <c r="B114" s="2"/>
      <c r="C114" s="2"/>
      <c r="D114" s="2"/>
      <c r="E114" s="2"/>
      <c r="F114" s="2"/>
      <c r="G114" s="2"/>
      <c r="I114" s="361"/>
      <c r="J114" s="361"/>
      <c r="O114" s="2"/>
      <c r="P114" s="2"/>
      <c r="Q114" s="2"/>
      <c r="R114" s="2"/>
      <c r="S114" s="2"/>
      <c r="T114" s="2"/>
      <c r="U114" s="2"/>
      <c r="Y114" s="361"/>
      <c r="AC114" s="161" t="s">
        <v>280</v>
      </c>
    </row>
    <row r="115" spans="1:29">
      <c r="A115" s="2"/>
      <c r="B115" s="2"/>
      <c r="C115" s="2"/>
      <c r="D115" s="2"/>
      <c r="E115" s="2"/>
      <c r="F115" s="2"/>
      <c r="G115" s="2"/>
      <c r="J115" s="361"/>
      <c r="O115" s="2"/>
      <c r="P115" s="2"/>
      <c r="Q115" s="2"/>
      <c r="R115" s="2"/>
      <c r="S115" s="2"/>
      <c r="T115" s="2"/>
      <c r="U115" s="2"/>
      <c r="Y115" s="361"/>
      <c r="AC115" s="161" t="s">
        <v>280</v>
      </c>
    </row>
    <row r="116" spans="1:29">
      <c r="A116" s="2"/>
      <c r="B116" s="2"/>
      <c r="C116" s="2"/>
      <c r="D116" s="2"/>
      <c r="E116" s="2"/>
      <c r="F116" s="2"/>
      <c r="G116" s="2"/>
      <c r="J116" s="361"/>
      <c r="O116" s="2"/>
      <c r="P116" s="2"/>
      <c r="Q116" s="2"/>
      <c r="R116" s="2"/>
      <c r="S116" s="2"/>
      <c r="T116" s="2"/>
      <c r="U116" s="2"/>
      <c r="Y116" s="361"/>
      <c r="AC116" s="161" t="s">
        <v>280</v>
      </c>
    </row>
    <row r="117" spans="1:29">
      <c r="A117" s="2"/>
      <c r="B117" s="2"/>
      <c r="C117" s="2"/>
      <c r="D117" s="2"/>
      <c r="E117" s="2"/>
      <c r="F117" s="2"/>
      <c r="G117" s="2"/>
      <c r="J117" s="361"/>
      <c r="O117" s="2"/>
      <c r="P117" s="2"/>
      <c r="Q117" s="2"/>
      <c r="R117" s="2"/>
      <c r="S117" s="2"/>
      <c r="T117" s="2"/>
      <c r="U117" s="2"/>
      <c r="Y117" s="361"/>
      <c r="AC117" s="161" t="s">
        <v>280</v>
      </c>
    </row>
    <row r="118" spans="1:29">
      <c r="A118" s="2"/>
      <c r="B118" s="2"/>
      <c r="C118" s="2"/>
      <c r="D118" s="2"/>
      <c r="E118" s="2"/>
      <c r="F118" s="2"/>
      <c r="G118" s="2"/>
      <c r="J118" s="361"/>
      <c r="O118" s="2"/>
      <c r="P118" s="2"/>
      <c r="Q118" s="2"/>
      <c r="R118" s="2"/>
      <c r="S118" s="2"/>
      <c r="T118" s="2"/>
      <c r="U118" s="2"/>
      <c r="Y118" s="361"/>
      <c r="AC118" s="161" t="s">
        <v>280</v>
      </c>
    </row>
    <row r="119" spans="1:29">
      <c r="A119" s="2"/>
      <c r="B119" s="2"/>
      <c r="C119" s="2"/>
      <c r="D119" s="2"/>
      <c r="E119" s="2"/>
      <c r="F119" s="2"/>
      <c r="G119" s="2"/>
      <c r="J119" s="361"/>
      <c r="O119" s="2"/>
      <c r="P119" s="2"/>
      <c r="Q119" s="2"/>
      <c r="R119" s="2"/>
      <c r="S119" s="2"/>
      <c r="T119" s="2"/>
      <c r="U119" s="2"/>
      <c r="Y119" s="361"/>
      <c r="AC119" s="161" t="s">
        <v>280</v>
      </c>
    </row>
    <row r="120" spans="1:29">
      <c r="A120" s="2"/>
      <c r="B120" s="2"/>
      <c r="C120" s="2"/>
      <c r="D120" s="2"/>
      <c r="E120" s="2"/>
      <c r="F120" s="2"/>
      <c r="G120" s="2"/>
      <c r="J120" s="361"/>
      <c r="O120" s="2"/>
      <c r="P120" s="2"/>
      <c r="Q120" s="2"/>
      <c r="R120" s="2"/>
      <c r="S120" s="2"/>
      <c r="T120" s="2"/>
      <c r="U120" s="2"/>
      <c r="Y120" s="361"/>
      <c r="AC120" s="161" t="s">
        <v>280</v>
      </c>
    </row>
    <row r="121" spans="1:29">
      <c r="A121" s="2"/>
      <c r="B121" s="2"/>
      <c r="C121" s="2"/>
      <c r="D121" s="2"/>
      <c r="E121" s="2"/>
      <c r="F121" s="2"/>
      <c r="G121" s="2"/>
      <c r="J121" s="361"/>
      <c r="O121" s="2"/>
      <c r="P121" s="2"/>
      <c r="Q121" s="2"/>
      <c r="R121" s="2"/>
      <c r="S121" s="2"/>
      <c r="T121" s="2"/>
      <c r="U121" s="2"/>
      <c r="Y121" s="361"/>
      <c r="AC121" s="161" t="s">
        <v>280</v>
      </c>
    </row>
    <row r="122" spans="1:29">
      <c r="A122" s="2"/>
      <c r="B122" s="2"/>
      <c r="C122" s="2"/>
      <c r="D122" s="2"/>
      <c r="E122" s="2"/>
      <c r="F122" s="2"/>
      <c r="G122" s="2"/>
      <c r="J122" s="361"/>
      <c r="O122" s="2"/>
      <c r="P122" s="2"/>
      <c r="Q122" s="2"/>
      <c r="R122" s="2"/>
      <c r="S122" s="2"/>
      <c r="T122" s="2"/>
      <c r="U122" s="2"/>
      <c r="Y122" s="361"/>
      <c r="AC122" s="161" t="s">
        <v>280</v>
      </c>
    </row>
    <row r="123" spans="1:29">
      <c r="A123" s="2"/>
      <c r="B123" s="2"/>
      <c r="C123" s="2"/>
      <c r="D123" s="2"/>
      <c r="E123" s="2"/>
      <c r="F123" s="2"/>
      <c r="G123" s="2"/>
      <c r="J123" s="361"/>
      <c r="O123" s="2"/>
      <c r="P123" s="2"/>
      <c r="Q123" s="2"/>
      <c r="R123" s="2"/>
      <c r="S123" s="2"/>
      <c r="T123" s="2"/>
      <c r="U123" s="2"/>
      <c r="Y123" s="361"/>
      <c r="AC123" s="161" t="s">
        <v>280</v>
      </c>
    </row>
    <row r="124" spans="1:29">
      <c r="A124" s="2"/>
      <c r="B124" s="2"/>
      <c r="C124" s="2"/>
      <c r="D124" s="2"/>
      <c r="E124" s="2"/>
      <c r="F124" s="2"/>
      <c r="G124" s="2"/>
      <c r="J124" s="361"/>
      <c r="O124" s="2"/>
      <c r="P124" s="2"/>
      <c r="Q124" s="2"/>
      <c r="R124" s="2"/>
      <c r="S124" s="2"/>
      <c r="T124" s="2"/>
      <c r="U124" s="2"/>
      <c r="Y124" s="361"/>
      <c r="AC124" s="161" t="s">
        <v>280</v>
      </c>
    </row>
    <row r="125" spans="1:29">
      <c r="A125" s="2"/>
      <c r="B125" s="2"/>
      <c r="C125" s="2"/>
      <c r="D125" s="2"/>
      <c r="E125" s="2"/>
      <c r="F125" s="2"/>
      <c r="G125" s="2"/>
      <c r="J125" s="361"/>
      <c r="O125" s="2"/>
      <c r="P125" s="2"/>
      <c r="Q125" s="2"/>
      <c r="R125" s="2"/>
      <c r="S125" s="2"/>
      <c r="T125" s="2"/>
      <c r="U125" s="2"/>
      <c r="Y125" s="361"/>
      <c r="AC125" s="161" t="s">
        <v>280</v>
      </c>
    </row>
    <row r="126" spans="1:29">
      <c r="A126" s="2"/>
      <c r="B126" s="2"/>
      <c r="C126" s="2"/>
      <c r="D126" s="2"/>
      <c r="E126" s="2"/>
      <c r="F126" s="2"/>
      <c r="G126" s="2"/>
      <c r="J126" s="361"/>
      <c r="O126" s="2"/>
      <c r="P126" s="2"/>
      <c r="Q126" s="2"/>
      <c r="R126" s="2"/>
      <c r="S126" s="2"/>
      <c r="T126" s="2"/>
      <c r="U126" s="2"/>
      <c r="Y126" s="361"/>
      <c r="AC126" s="161" t="s">
        <v>280</v>
      </c>
    </row>
    <row r="127" spans="1:29">
      <c r="A127" s="2"/>
      <c r="B127" s="2"/>
      <c r="C127" s="2"/>
      <c r="D127" s="2"/>
      <c r="E127" s="2"/>
      <c r="F127" s="2"/>
      <c r="G127" s="2"/>
      <c r="J127" s="361"/>
      <c r="O127" s="2"/>
      <c r="P127" s="2"/>
      <c r="Q127" s="2"/>
      <c r="R127" s="2"/>
      <c r="S127" s="2"/>
      <c r="T127" s="2"/>
      <c r="U127" s="2"/>
      <c r="Y127" s="361"/>
      <c r="AC127" s="161" t="s">
        <v>280</v>
      </c>
    </row>
    <row r="128" spans="1:29">
      <c r="A128" s="2"/>
      <c r="B128" s="2"/>
      <c r="C128" s="2"/>
      <c r="D128" s="2"/>
      <c r="E128" s="2"/>
      <c r="F128" s="2"/>
      <c r="G128" s="2"/>
      <c r="J128" s="361"/>
      <c r="O128" s="2"/>
      <c r="P128" s="2"/>
      <c r="Q128" s="2"/>
      <c r="R128" s="2"/>
      <c r="S128" s="2"/>
      <c r="T128" s="2"/>
      <c r="U128" s="2"/>
      <c r="Y128" s="361"/>
      <c r="AC128" s="161" t="s">
        <v>280</v>
      </c>
    </row>
    <row r="129" spans="1:33">
      <c r="A129" s="2"/>
      <c r="B129" s="2"/>
      <c r="C129" s="2"/>
      <c r="D129" s="2"/>
      <c r="E129" s="2"/>
      <c r="F129" s="2"/>
      <c r="G129" s="2"/>
      <c r="J129" s="361"/>
      <c r="O129" s="2"/>
      <c r="P129" s="2"/>
      <c r="Q129" s="2"/>
      <c r="R129" s="2"/>
      <c r="S129" s="2"/>
      <c r="T129" s="2"/>
      <c r="U129" s="2"/>
      <c r="Y129" s="361"/>
      <c r="AC129" s="161" t="s">
        <v>280</v>
      </c>
    </row>
    <row r="130" spans="1:33">
      <c r="A130" s="2"/>
      <c r="B130" s="2"/>
      <c r="C130" s="2"/>
      <c r="D130" s="2"/>
      <c r="E130" s="2"/>
      <c r="F130" s="2"/>
      <c r="G130" s="2"/>
      <c r="J130" s="361"/>
      <c r="O130" s="2"/>
      <c r="P130" s="2"/>
      <c r="Q130" s="2"/>
      <c r="R130" s="2"/>
      <c r="S130" s="2"/>
      <c r="T130" s="2"/>
      <c r="U130" s="2"/>
      <c r="Y130" s="361"/>
      <c r="AC130" s="161" t="s">
        <v>280</v>
      </c>
    </row>
    <row r="131" spans="1:33">
      <c r="A131" s="2"/>
      <c r="B131" s="2"/>
      <c r="C131" s="2"/>
      <c r="D131" s="2"/>
      <c r="E131" s="2"/>
      <c r="F131" s="2"/>
      <c r="G131" s="2"/>
      <c r="J131" s="361"/>
      <c r="O131" s="2"/>
      <c r="P131" s="2"/>
      <c r="Q131" s="2"/>
      <c r="R131" s="2"/>
      <c r="S131" s="2"/>
      <c r="T131" s="2"/>
      <c r="U131" s="2"/>
      <c r="Y131" s="361"/>
      <c r="AC131" s="161" t="s">
        <v>280</v>
      </c>
    </row>
    <row r="132" spans="1:33">
      <c r="A132" s="2"/>
      <c r="B132" s="2"/>
      <c r="C132" s="2"/>
      <c r="D132" s="2"/>
      <c r="E132" s="2"/>
      <c r="F132" s="2"/>
      <c r="G132" s="2"/>
      <c r="J132" s="361"/>
      <c r="O132" s="2"/>
      <c r="P132" s="2"/>
      <c r="Q132" s="2"/>
      <c r="R132" s="2"/>
      <c r="S132" s="2"/>
      <c r="T132" s="2"/>
      <c r="U132" s="2"/>
      <c r="Y132" s="361"/>
      <c r="AC132" s="161" t="s">
        <v>280</v>
      </c>
    </row>
    <row r="133" spans="1:33">
      <c r="A133" s="2"/>
      <c r="B133" s="2"/>
      <c r="C133" s="2"/>
      <c r="D133" s="2"/>
      <c r="E133" s="2"/>
      <c r="F133" s="2"/>
      <c r="G133" s="2"/>
      <c r="J133" s="361"/>
      <c r="O133" s="2"/>
      <c r="P133" s="2"/>
      <c r="Q133" s="2"/>
      <c r="R133" s="2"/>
      <c r="S133" s="2"/>
      <c r="T133" s="2"/>
      <c r="U133" s="2"/>
      <c r="Y133" s="361"/>
      <c r="AC133" s="161" t="s">
        <v>280</v>
      </c>
    </row>
    <row r="134" spans="1:33">
      <c r="A134" s="2"/>
      <c r="B134" s="2"/>
      <c r="C134" s="2"/>
      <c r="D134" s="2"/>
      <c r="E134" s="2"/>
      <c r="F134" s="2"/>
      <c r="G134" s="2"/>
      <c r="J134" s="361"/>
      <c r="O134" s="2"/>
      <c r="P134" s="2"/>
      <c r="Q134" s="2"/>
      <c r="R134" s="2"/>
      <c r="S134" s="2"/>
      <c r="T134" s="2"/>
      <c r="U134" s="2"/>
      <c r="Y134" s="361"/>
      <c r="AC134" s="161" t="s">
        <v>280</v>
      </c>
    </row>
    <row r="135" spans="1:33">
      <c r="A135" s="2"/>
      <c r="B135" s="2"/>
      <c r="C135" s="2"/>
      <c r="D135" s="2"/>
      <c r="E135" s="2"/>
      <c r="F135" s="2"/>
      <c r="G135" s="2"/>
      <c r="J135" s="361"/>
      <c r="O135" s="2"/>
      <c r="P135" s="2"/>
      <c r="Q135" s="2"/>
      <c r="R135" s="2"/>
      <c r="S135" s="2"/>
      <c r="T135" s="2"/>
      <c r="U135" s="2"/>
      <c r="Y135" s="361"/>
      <c r="AC135" s="161" t="s">
        <v>280</v>
      </c>
    </row>
    <row r="136" spans="1:33">
      <c r="A136" s="2"/>
      <c r="B136" s="2"/>
      <c r="C136" s="2"/>
      <c r="D136" s="2"/>
      <c r="E136" s="2"/>
      <c r="F136" s="2"/>
      <c r="G136" s="2"/>
      <c r="J136" s="361"/>
      <c r="O136" s="2"/>
      <c r="P136" s="2"/>
      <c r="Q136" s="2"/>
      <c r="R136" s="2"/>
      <c r="S136" s="2"/>
      <c r="T136" s="2"/>
      <c r="U136" s="2"/>
      <c r="Y136" s="361"/>
      <c r="AC136" s="161" t="s">
        <v>280</v>
      </c>
    </row>
    <row r="137" spans="1:33">
      <c r="A137" s="2"/>
      <c r="B137" s="2"/>
      <c r="C137" s="2"/>
      <c r="D137" s="2"/>
      <c r="E137" s="2"/>
      <c r="F137" s="2"/>
      <c r="G137" s="2"/>
      <c r="J137" s="361"/>
      <c r="O137" s="2"/>
      <c r="P137" s="2"/>
      <c r="Q137" s="2"/>
      <c r="R137" s="2"/>
      <c r="S137" s="2"/>
      <c r="T137" s="2"/>
      <c r="U137" s="2"/>
      <c r="Y137" s="361"/>
      <c r="AC137" s="161" t="s">
        <v>280</v>
      </c>
      <c r="AG137" s="22"/>
    </row>
  </sheetData>
  <sheetProtection algorithmName="SHA-512" hashValue="+0zR3qwrjilkH34MwNnV/lSeku19NLF3ET4MBKLLMaitbJaodt9InQhGQeTo1qX1n2ltmXjhn2KTZTDyjTOBdg==" saltValue="hFEnFLrzP41JM6Fa7B/QCg==" spinCount="100000" sheet="1" objects="1" scenarios="1"/>
  <phoneticPr fontId="8" type="noConversion"/>
  <pageMargins left="0.7" right="0.7" top="0.78740157499999996" bottom="0.78740157499999996"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F8F067-F9AF-4888-96A1-40CE9B3C5142}">
  <sheetPr>
    <tabColor theme="8" tint="0.59999389629810485"/>
  </sheetPr>
  <dimension ref="A1:N9997"/>
  <sheetViews>
    <sheetView topLeftCell="A2319" zoomScale="75" zoomScaleNormal="70" workbookViewId="0">
      <selection activeCell="D2346" sqref="D2346"/>
    </sheetView>
  </sheetViews>
  <sheetFormatPr baseColWidth="10" defaultColWidth="12.28515625" defaultRowHeight="15"/>
  <cols>
    <col min="1" max="1" width="23.42578125" style="73" customWidth="1"/>
    <col min="2" max="2" width="11.140625" style="56" bestFit="1" customWidth="1"/>
    <col min="3" max="3" width="34.42578125" style="56" bestFit="1" customWidth="1"/>
    <col min="4" max="4" width="18" style="56" bestFit="1" customWidth="1"/>
    <col min="5" max="5" width="10.85546875" bestFit="1" customWidth="1"/>
    <col min="6" max="6" width="11.7109375" style="602" bestFit="1" customWidth="1"/>
    <col min="7" max="7" width="11.85546875" style="56" bestFit="1" customWidth="1"/>
    <col min="8" max="8" width="24" style="74" customWidth="1"/>
    <col min="9" max="9" width="34.140625" style="75" customWidth="1"/>
    <col min="10" max="10" width="12.85546875" style="54" customWidth="1"/>
    <col min="11" max="13" width="12.28515625" style="54"/>
    <col min="14" max="14" width="19.28515625" style="54" customWidth="1"/>
    <col min="15" max="256" width="12.28515625" style="54"/>
    <col min="257" max="257" width="23.42578125" style="54" customWidth="1"/>
    <col min="258" max="258" width="11.140625" style="54" bestFit="1" customWidth="1"/>
    <col min="259" max="259" width="34.42578125" style="54" bestFit="1" customWidth="1"/>
    <col min="260" max="260" width="18" style="54" bestFit="1" customWidth="1"/>
    <col min="261" max="261" width="10.85546875" style="54" bestFit="1" customWidth="1"/>
    <col min="262" max="262" width="11.7109375" style="54" bestFit="1" customWidth="1"/>
    <col min="263" max="263" width="11.85546875" style="54" bestFit="1" customWidth="1"/>
    <col min="264" max="264" width="24" style="54" customWidth="1"/>
    <col min="265" max="265" width="34.140625" style="54" customWidth="1"/>
    <col min="266" max="266" width="12.85546875" style="54" customWidth="1"/>
    <col min="267" max="269" width="12.28515625" style="54"/>
    <col min="270" max="270" width="19.28515625" style="54" customWidth="1"/>
    <col min="271" max="512" width="12.28515625" style="54"/>
    <col min="513" max="513" width="23.42578125" style="54" customWidth="1"/>
    <col min="514" max="514" width="11.140625" style="54" bestFit="1" customWidth="1"/>
    <col min="515" max="515" width="34.42578125" style="54" bestFit="1" customWidth="1"/>
    <col min="516" max="516" width="18" style="54" bestFit="1" customWidth="1"/>
    <col min="517" max="517" width="10.85546875" style="54" bestFit="1" customWidth="1"/>
    <col min="518" max="518" width="11.7109375" style="54" bestFit="1" customWidth="1"/>
    <col min="519" max="519" width="11.85546875" style="54" bestFit="1" customWidth="1"/>
    <col min="520" max="520" width="24" style="54" customWidth="1"/>
    <col min="521" max="521" width="34.140625" style="54" customWidth="1"/>
    <col min="522" max="522" width="12.85546875" style="54" customWidth="1"/>
    <col min="523" max="525" width="12.28515625" style="54"/>
    <col min="526" max="526" width="19.28515625" style="54" customWidth="1"/>
    <col min="527" max="768" width="12.28515625" style="54"/>
    <col min="769" max="769" width="23.42578125" style="54" customWidth="1"/>
    <col min="770" max="770" width="11.140625" style="54" bestFit="1" customWidth="1"/>
    <col min="771" max="771" width="34.42578125" style="54" bestFit="1" customWidth="1"/>
    <col min="772" max="772" width="18" style="54" bestFit="1" customWidth="1"/>
    <col min="773" max="773" width="10.85546875" style="54" bestFit="1" customWidth="1"/>
    <col min="774" max="774" width="11.7109375" style="54" bestFit="1" customWidth="1"/>
    <col min="775" max="775" width="11.85546875" style="54" bestFit="1" customWidth="1"/>
    <col min="776" max="776" width="24" style="54" customWidth="1"/>
    <col min="777" max="777" width="34.140625" style="54" customWidth="1"/>
    <col min="778" max="778" width="12.85546875" style="54" customWidth="1"/>
    <col min="779" max="781" width="12.28515625" style="54"/>
    <col min="782" max="782" width="19.28515625" style="54" customWidth="1"/>
    <col min="783" max="1024" width="12.28515625" style="54"/>
    <col min="1025" max="1025" width="23.42578125" style="54" customWidth="1"/>
    <col min="1026" max="1026" width="11.140625" style="54" bestFit="1" customWidth="1"/>
    <col min="1027" max="1027" width="34.42578125" style="54" bestFit="1" customWidth="1"/>
    <col min="1028" max="1028" width="18" style="54" bestFit="1" customWidth="1"/>
    <col min="1029" max="1029" width="10.85546875" style="54" bestFit="1" customWidth="1"/>
    <col min="1030" max="1030" width="11.7109375" style="54" bestFit="1" customWidth="1"/>
    <col min="1031" max="1031" width="11.85546875" style="54" bestFit="1" customWidth="1"/>
    <col min="1032" max="1032" width="24" style="54" customWidth="1"/>
    <col min="1033" max="1033" width="34.140625" style="54" customWidth="1"/>
    <col min="1034" max="1034" width="12.85546875" style="54" customWidth="1"/>
    <col min="1035" max="1037" width="12.28515625" style="54"/>
    <col min="1038" max="1038" width="19.28515625" style="54" customWidth="1"/>
    <col min="1039" max="1280" width="12.28515625" style="54"/>
    <col min="1281" max="1281" width="23.42578125" style="54" customWidth="1"/>
    <col min="1282" max="1282" width="11.140625" style="54" bestFit="1" customWidth="1"/>
    <col min="1283" max="1283" width="34.42578125" style="54" bestFit="1" customWidth="1"/>
    <col min="1284" max="1284" width="18" style="54" bestFit="1" customWidth="1"/>
    <col min="1285" max="1285" width="10.85546875" style="54" bestFit="1" customWidth="1"/>
    <col min="1286" max="1286" width="11.7109375" style="54" bestFit="1" customWidth="1"/>
    <col min="1287" max="1287" width="11.85546875" style="54" bestFit="1" customWidth="1"/>
    <col min="1288" max="1288" width="24" style="54" customWidth="1"/>
    <col min="1289" max="1289" width="34.140625" style="54" customWidth="1"/>
    <col min="1290" max="1290" width="12.85546875" style="54" customWidth="1"/>
    <col min="1291" max="1293" width="12.28515625" style="54"/>
    <col min="1294" max="1294" width="19.28515625" style="54" customWidth="1"/>
    <col min="1295" max="1536" width="12.28515625" style="54"/>
    <col min="1537" max="1537" width="23.42578125" style="54" customWidth="1"/>
    <col min="1538" max="1538" width="11.140625" style="54" bestFit="1" customWidth="1"/>
    <col min="1539" max="1539" width="34.42578125" style="54" bestFit="1" customWidth="1"/>
    <col min="1540" max="1540" width="18" style="54" bestFit="1" customWidth="1"/>
    <col min="1541" max="1541" width="10.85546875" style="54" bestFit="1" customWidth="1"/>
    <col min="1542" max="1542" width="11.7109375" style="54" bestFit="1" customWidth="1"/>
    <col min="1543" max="1543" width="11.85546875" style="54" bestFit="1" customWidth="1"/>
    <col min="1544" max="1544" width="24" style="54" customWidth="1"/>
    <col min="1545" max="1545" width="34.140625" style="54" customWidth="1"/>
    <col min="1546" max="1546" width="12.85546875" style="54" customWidth="1"/>
    <col min="1547" max="1549" width="12.28515625" style="54"/>
    <col min="1550" max="1550" width="19.28515625" style="54" customWidth="1"/>
    <col min="1551" max="1792" width="12.28515625" style="54"/>
    <col min="1793" max="1793" width="23.42578125" style="54" customWidth="1"/>
    <col min="1794" max="1794" width="11.140625" style="54" bestFit="1" customWidth="1"/>
    <col min="1795" max="1795" width="34.42578125" style="54" bestFit="1" customWidth="1"/>
    <col min="1796" max="1796" width="18" style="54" bestFit="1" customWidth="1"/>
    <col min="1797" max="1797" width="10.85546875" style="54" bestFit="1" customWidth="1"/>
    <col min="1798" max="1798" width="11.7109375" style="54" bestFit="1" customWidth="1"/>
    <col min="1799" max="1799" width="11.85546875" style="54" bestFit="1" customWidth="1"/>
    <col min="1800" max="1800" width="24" style="54" customWidth="1"/>
    <col min="1801" max="1801" width="34.140625" style="54" customWidth="1"/>
    <col min="1802" max="1802" width="12.85546875" style="54" customWidth="1"/>
    <col min="1803" max="1805" width="12.28515625" style="54"/>
    <col min="1806" max="1806" width="19.28515625" style="54" customWidth="1"/>
    <col min="1807" max="2048" width="12.28515625" style="54"/>
    <col min="2049" max="2049" width="23.42578125" style="54" customWidth="1"/>
    <col min="2050" max="2050" width="11.140625" style="54" bestFit="1" customWidth="1"/>
    <col min="2051" max="2051" width="34.42578125" style="54" bestFit="1" customWidth="1"/>
    <col min="2052" max="2052" width="18" style="54" bestFit="1" customWidth="1"/>
    <col min="2053" max="2053" width="10.85546875" style="54" bestFit="1" customWidth="1"/>
    <col min="2054" max="2054" width="11.7109375" style="54" bestFit="1" customWidth="1"/>
    <col min="2055" max="2055" width="11.85546875" style="54" bestFit="1" customWidth="1"/>
    <col min="2056" max="2056" width="24" style="54" customWidth="1"/>
    <col min="2057" max="2057" width="34.140625" style="54" customWidth="1"/>
    <col min="2058" max="2058" width="12.85546875" style="54" customWidth="1"/>
    <col min="2059" max="2061" width="12.28515625" style="54"/>
    <col min="2062" max="2062" width="19.28515625" style="54" customWidth="1"/>
    <col min="2063" max="2304" width="12.28515625" style="54"/>
    <col min="2305" max="2305" width="23.42578125" style="54" customWidth="1"/>
    <col min="2306" max="2306" width="11.140625" style="54" bestFit="1" customWidth="1"/>
    <col min="2307" max="2307" width="34.42578125" style="54" bestFit="1" customWidth="1"/>
    <col min="2308" max="2308" width="18" style="54" bestFit="1" customWidth="1"/>
    <col min="2309" max="2309" width="10.85546875" style="54" bestFit="1" customWidth="1"/>
    <col min="2310" max="2310" width="11.7109375" style="54" bestFit="1" customWidth="1"/>
    <col min="2311" max="2311" width="11.85546875" style="54" bestFit="1" customWidth="1"/>
    <col min="2312" max="2312" width="24" style="54" customWidth="1"/>
    <col min="2313" max="2313" width="34.140625" style="54" customWidth="1"/>
    <col min="2314" max="2314" width="12.85546875" style="54" customWidth="1"/>
    <col min="2315" max="2317" width="12.28515625" style="54"/>
    <col min="2318" max="2318" width="19.28515625" style="54" customWidth="1"/>
    <col min="2319" max="2560" width="12.28515625" style="54"/>
    <col min="2561" max="2561" width="23.42578125" style="54" customWidth="1"/>
    <col min="2562" max="2562" width="11.140625" style="54" bestFit="1" customWidth="1"/>
    <col min="2563" max="2563" width="34.42578125" style="54" bestFit="1" customWidth="1"/>
    <col min="2564" max="2564" width="18" style="54" bestFit="1" customWidth="1"/>
    <col min="2565" max="2565" width="10.85546875" style="54" bestFit="1" customWidth="1"/>
    <col min="2566" max="2566" width="11.7109375" style="54" bestFit="1" customWidth="1"/>
    <col min="2567" max="2567" width="11.85546875" style="54" bestFit="1" customWidth="1"/>
    <col min="2568" max="2568" width="24" style="54" customWidth="1"/>
    <col min="2569" max="2569" width="34.140625" style="54" customWidth="1"/>
    <col min="2570" max="2570" width="12.85546875" style="54" customWidth="1"/>
    <col min="2571" max="2573" width="12.28515625" style="54"/>
    <col min="2574" max="2574" width="19.28515625" style="54" customWidth="1"/>
    <col min="2575" max="2816" width="12.28515625" style="54"/>
    <col min="2817" max="2817" width="23.42578125" style="54" customWidth="1"/>
    <col min="2818" max="2818" width="11.140625" style="54" bestFit="1" customWidth="1"/>
    <col min="2819" max="2819" width="34.42578125" style="54" bestFit="1" customWidth="1"/>
    <col min="2820" max="2820" width="18" style="54" bestFit="1" customWidth="1"/>
    <col min="2821" max="2821" width="10.85546875" style="54" bestFit="1" customWidth="1"/>
    <col min="2822" max="2822" width="11.7109375" style="54" bestFit="1" customWidth="1"/>
    <col min="2823" max="2823" width="11.85546875" style="54" bestFit="1" customWidth="1"/>
    <col min="2824" max="2824" width="24" style="54" customWidth="1"/>
    <col min="2825" max="2825" width="34.140625" style="54" customWidth="1"/>
    <col min="2826" max="2826" width="12.85546875" style="54" customWidth="1"/>
    <col min="2827" max="2829" width="12.28515625" style="54"/>
    <col min="2830" max="2830" width="19.28515625" style="54" customWidth="1"/>
    <col min="2831" max="3072" width="12.28515625" style="54"/>
    <col min="3073" max="3073" width="23.42578125" style="54" customWidth="1"/>
    <col min="3074" max="3074" width="11.140625" style="54" bestFit="1" customWidth="1"/>
    <col min="3075" max="3075" width="34.42578125" style="54" bestFit="1" customWidth="1"/>
    <col min="3076" max="3076" width="18" style="54" bestFit="1" customWidth="1"/>
    <col min="3077" max="3077" width="10.85546875" style="54" bestFit="1" customWidth="1"/>
    <col min="3078" max="3078" width="11.7109375" style="54" bestFit="1" customWidth="1"/>
    <col min="3079" max="3079" width="11.85546875" style="54" bestFit="1" customWidth="1"/>
    <col min="3080" max="3080" width="24" style="54" customWidth="1"/>
    <col min="3081" max="3081" width="34.140625" style="54" customWidth="1"/>
    <col min="3082" max="3082" width="12.85546875" style="54" customWidth="1"/>
    <col min="3083" max="3085" width="12.28515625" style="54"/>
    <col min="3086" max="3086" width="19.28515625" style="54" customWidth="1"/>
    <col min="3087" max="3328" width="12.28515625" style="54"/>
    <col min="3329" max="3329" width="23.42578125" style="54" customWidth="1"/>
    <col min="3330" max="3330" width="11.140625" style="54" bestFit="1" customWidth="1"/>
    <col min="3331" max="3331" width="34.42578125" style="54" bestFit="1" customWidth="1"/>
    <col min="3332" max="3332" width="18" style="54" bestFit="1" customWidth="1"/>
    <col min="3333" max="3333" width="10.85546875" style="54" bestFit="1" customWidth="1"/>
    <col min="3334" max="3334" width="11.7109375" style="54" bestFit="1" customWidth="1"/>
    <col min="3335" max="3335" width="11.85546875" style="54" bestFit="1" customWidth="1"/>
    <col min="3336" max="3336" width="24" style="54" customWidth="1"/>
    <col min="3337" max="3337" width="34.140625" style="54" customWidth="1"/>
    <col min="3338" max="3338" width="12.85546875" style="54" customWidth="1"/>
    <col min="3339" max="3341" width="12.28515625" style="54"/>
    <col min="3342" max="3342" width="19.28515625" style="54" customWidth="1"/>
    <col min="3343" max="3584" width="12.28515625" style="54"/>
    <col min="3585" max="3585" width="23.42578125" style="54" customWidth="1"/>
    <col min="3586" max="3586" width="11.140625" style="54" bestFit="1" customWidth="1"/>
    <col min="3587" max="3587" width="34.42578125" style="54" bestFit="1" customWidth="1"/>
    <col min="3588" max="3588" width="18" style="54" bestFit="1" customWidth="1"/>
    <col min="3589" max="3589" width="10.85546875" style="54" bestFit="1" customWidth="1"/>
    <col min="3590" max="3590" width="11.7109375" style="54" bestFit="1" customWidth="1"/>
    <col min="3591" max="3591" width="11.85546875" style="54" bestFit="1" customWidth="1"/>
    <col min="3592" max="3592" width="24" style="54" customWidth="1"/>
    <col min="3593" max="3593" width="34.140625" style="54" customWidth="1"/>
    <col min="3594" max="3594" width="12.85546875" style="54" customWidth="1"/>
    <col min="3595" max="3597" width="12.28515625" style="54"/>
    <col min="3598" max="3598" width="19.28515625" style="54" customWidth="1"/>
    <col min="3599" max="3840" width="12.28515625" style="54"/>
    <col min="3841" max="3841" width="23.42578125" style="54" customWidth="1"/>
    <col min="3842" max="3842" width="11.140625" style="54" bestFit="1" customWidth="1"/>
    <col min="3843" max="3843" width="34.42578125" style="54" bestFit="1" customWidth="1"/>
    <col min="3844" max="3844" width="18" style="54" bestFit="1" customWidth="1"/>
    <col min="3845" max="3845" width="10.85546875" style="54" bestFit="1" customWidth="1"/>
    <col min="3846" max="3846" width="11.7109375" style="54" bestFit="1" customWidth="1"/>
    <col min="3847" max="3847" width="11.85546875" style="54" bestFit="1" customWidth="1"/>
    <col min="3848" max="3848" width="24" style="54" customWidth="1"/>
    <col min="3849" max="3849" width="34.140625" style="54" customWidth="1"/>
    <col min="3850" max="3850" width="12.85546875" style="54" customWidth="1"/>
    <col min="3851" max="3853" width="12.28515625" style="54"/>
    <col min="3854" max="3854" width="19.28515625" style="54" customWidth="1"/>
    <col min="3855" max="4096" width="12.28515625" style="54"/>
    <col min="4097" max="4097" width="23.42578125" style="54" customWidth="1"/>
    <col min="4098" max="4098" width="11.140625" style="54" bestFit="1" customWidth="1"/>
    <col min="4099" max="4099" width="34.42578125" style="54" bestFit="1" customWidth="1"/>
    <col min="4100" max="4100" width="18" style="54" bestFit="1" customWidth="1"/>
    <col min="4101" max="4101" width="10.85546875" style="54" bestFit="1" customWidth="1"/>
    <col min="4102" max="4102" width="11.7109375" style="54" bestFit="1" customWidth="1"/>
    <col min="4103" max="4103" width="11.85546875" style="54" bestFit="1" customWidth="1"/>
    <col min="4104" max="4104" width="24" style="54" customWidth="1"/>
    <col min="4105" max="4105" width="34.140625" style="54" customWidth="1"/>
    <col min="4106" max="4106" width="12.85546875" style="54" customWidth="1"/>
    <col min="4107" max="4109" width="12.28515625" style="54"/>
    <col min="4110" max="4110" width="19.28515625" style="54" customWidth="1"/>
    <col min="4111" max="4352" width="12.28515625" style="54"/>
    <col min="4353" max="4353" width="23.42578125" style="54" customWidth="1"/>
    <col min="4354" max="4354" width="11.140625" style="54" bestFit="1" customWidth="1"/>
    <col min="4355" max="4355" width="34.42578125" style="54" bestFit="1" customWidth="1"/>
    <col min="4356" max="4356" width="18" style="54" bestFit="1" customWidth="1"/>
    <col min="4357" max="4357" width="10.85546875" style="54" bestFit="1" customWidth="1"/>
    <col min="4358" max="4358" width="11.7109375" style="54" bestFit="1" customWidth="1"/>
    <col min="4359" max="4359" width="11.85546875" style="54" bestFit="1" customWidth="1"/>
    <col min="4360" max="4360" width="24" style="54" customWidth="1"/>
    <col min="4361" max="4361" width="34.140625" style="54" customWidth="1"/>
    <col min="4362" max="4362" width="12.85546875" style="54" customWidth="1"/>
    <col min="4363" max="4365" width="12.28515625" style="54"/>
    <col min="4366" max="4366" width="19.28515625" style="54" customWidth="1"/>
    <col min="4367" max="4608" width="12.28515625" style="54"/>
    <col min="4609" max="4609" width="23.42578125" style="54" customWidth="1"/>
    <col min="4610" max="4610" width="11.140625" style="54" bestFit="1" customWidth="1"/>
    <col min="4611" max="4611" width="34.42578125" style="54" bestFit="1" customWidth="1"/>
    <col min="4612" max="4612" width="18" style="54" bestFit="1" customWidth="1"/>
    <col min="4613" max="4613" width="10.85546875" style="54" bestFit="1" customWidth="1"/>
    <col min="4614" max="4614" width="11.7109375" style="54" bestFit="1" customWidth="1"/>
    <col min="4615" max="4615" width="11.85546875" style="54" bestFit="1" customWidth="1"/>
    <col min="4616" max="4616" width="24" style="54" customWidth="1"/>
    <col min="4617" max="4617" width="34.140625" style="54" customWidth="1"/>
    <col min="4618" max="4618" width="12.85546875" style="54" customWidth="1"/>
    <col min="4619" max="4621" width="12.28515625" style="54"/>
    <col min="4622" max="4622" width="19.28515625" style="54" customWidth="1"/>
    <col min="4623" max="4864" width="12.28515625" style="54"/>
    <col min="4865" max="4865" width="23.42578125" style="54" customWidth="1"/>
    <col min="4866" max="4866" width="11.140625" style="54" bestFit="1" customWidth="1"/>
    <col min="4867" max="4867" width="34.42578125" style="54" bestFit="1" customWidth="1"/>
    <col min="4868" max="4868" width="18" style="54" bestFit="1" customWidth="1"/>
    <col min="4869" max="4869" width="10.85546875" style="54" bestFit="1" customWidth="1"/>
    <col min="4870" max="4870" width="11.7109375" style="54" bestFit="1" customWidth="1"/>
    <col min="4871" max="4871" width="11.85546875" style="54" bestFit="1" customWidth="1"/>
    <col min="4872" max="4872" width="24" style="54" customWidth="1"/>
    <col min="4873" max="4873" width="34.140625" style="54" customWidth="1"/>
    <col min="4874" max="4874" width="12.85546875" style="54" customWidth="1"/>
    <col min="4875" max="4877" width="12.28515625" style="54"/>
    <col min="4878" max="4878" width="19.28515625" style="54" customWidth="1"/>
    <col min="4879" max="5120" width="12.28515625" style="54"/>
    <col min="5121" max="5121" width="23.42578125" style="54" customWidth="1"/>
    <col min="5122" max="5122" width="11.140625" style="54" bestFit="1" customWidth="1"/>
    <col min="5123" max="5123" width="34.42578125" style="54" bestFit="1" customWidth="1"/>
    <col min="5124" max="5124" width="18" style="54" bestFit="1" customWidth="1"/>
    <col min="5125" max="5125" width="10.85546875" style="54" bestFit="1" customWidth="1"/>
    <col min="5126" max="5126" width="11.7109375" style="54" bestFit="1" customWidth="1"/>
    <col min="5127" max="5127" width="11.85546875" style="54" bestFit="1" customWidth="1"/>
    <col min="5128" max="5128" width="24" style="54" customWidth="1"/>
    <col min="5129" max="5129" width="34.140625" style="54" customWidth="1"/>
    <col min="5130" max="5130" width="12.85546875" style="54" customWidth="1"/>
    <col min="5131" max="5133" width="12.28515625" style="54"/>
    <col min="5134" max="5134" width="19.28515625" style="54" customWidth="1"/>
    <col min="5135" max="5376" width="12.28515625" style="54"/>
    <col min="5377" max="5377" width="23.42578125" style="54" customWidth="1"/>
    <col min="5378" max="5378" width="11.140625" style="54" bestFit="1" customWidth="1"/>
    <col min="5379" max="5379" width="34.42578125" style="54" bestFit="1" customWidth="1"/>
    <col min="5380" max="5380" width="18" style="54" bestFit="1" customWidth="1"/>
    <col min="5381" max="5381" width="10.85546875" style="54" bestFit="1" customWidth="1"/>
    <col min="5382" max="5382" width="11.7109375" style="54" bestFit="1" customWidth="1"/>
    <col min="5383" max="5383" width="11.85546875" style="54" bestFit="1" customWidth="1"/>
    <col min="5384" max="5384" width="24" style="54" customWidth="1"/>
    <col min="5385" max="5385" width="34.140625" style="54" customWidth="1"/>
    <col min="5386" max="5386" width="12.85546875" style="54" customWidth="1"/>
    <col min="5387" max="5389" width="12.28515625" style="54"/>
    <col min="5390" max="5390" width="19.28515625" style="54" customWidth="1"/>
    <col min="5391" max="5632" width="12.28515625" style="54"/>
    <col min="5633" max="5633" width="23.42578125" style="54" customWidth="1"/>
    <col min="5634" max="5634" width="11.140625" style="54" bestFit="1" customWidth="1"/>
    <col min="5635" max="5635" width="34.42578125" style="54" bestFit="1" customWidth="1"/>
    <col min="5636" max="5636" width="18" style="54" bestFit="1" customWidth="1"/>
    <col min="5637" max="5637" width="10.85546875" style="54" bestFit="1" customWidth="1"/>
    <col min="5638" max="5638" width="11.7109375" style="54" bestFit="1" customWidth="1"/>
    <col min="5639" max="5639" width="11.85546875" style="54" bestFit="1" customWidth="1"/>
    <col min="5640" max="5640" width="24" style="54" customWidth="1"/>
    <col min="5641" max="5641" width="34.140625" style="54" customWidth="1"/>
    <col min="5642" max="5642" width="12.85546875" style="54" customWidth="1"/>
    <col min="5643" max="5645" width="12.28515625" style="54"/>
    <col min="5646" max="5646" width="19.28515625" style="54" customWidth="1"/>
    <col min="5647" max="5888" width="12.28515625" style="54"/>
    <col min="5889" max="5889" width="23.42578125" style="54" customWidth="1"/>
    <col min="5890" max="5890" width="11.140625" style="54" bestFit="1" customWidth="1"/>
    <col min="5891" max="5891" width="34.42578125" style="54" bestFit="1" customWidth="1"/>
    <col min="5892" max="5892" width="18" style="54" bestFit="1" customWidth="1"/>
    <col min="5893" max="5893" width="10.85546875" style="54" bestFit="1" customWidth="1"/>
    <col min="5894" max="5894" width="11.7109375" style="54" bestFit="1" customWidth="1"/>
    <col min="5895" max="5895" width="11.85546875" style="54" bestFit="1" customWidth="1"/>
    <col min="5896" max="5896" width="24" style="54" customWidth="1"/>
    <col min="5897" max="5897" width="34.140625" style="54" customWidth="1"/>
    <col min="5898" max="5898" width="12.85546875" style="54" customWidth="1"/>
    <col min="5899" max="5901" width="12.28515625" style="54"/>
    <col min="5902" max="5902" width="19.28515625" style="54" customWidth="1"/>
    <col min="5903" max="6144" width="12.28515625" style="54"/>
    <col min="6145" max="6145" width="23.42578125" style="54" customWidth="1"/>
    <col min="6146" max="6146" width="11.140625" style="54" bestFit="1" customWidth="1"/>
    <col min="6147" max="6147" width="34.42578125" style="54" bestFit="1" customWidth="1"/>
    <col min="6148" max="6148" width="18" style="54" bestFit="1" customWidth="1"/>
    <col min="6149" max="6149" width="10.85546875" style="54" bestFit="1" customWidth="1"/>
    <col min="6150" max="6150" width="11.7109375" style="54" bestFit="1" customWidth="1"/>
    <col min="6151" max="6151" width="11.85546875" style="54" bestFit="1" customWidth="1"/>
    <col min="6152" max="6152" width="24" style="54" customWidth="1"/>
    <col min="6153" max="6153" width="34.140625" style="54" customWidth="1"/>
    <col min="6154" max="6154" width="12.85546875" style="54" customWidth="1"/>
    <col min="6155" max="6157" width="12.28515625" style="54"/>
    <col min="6158" max="6158" width="19.28515625" style="54" customWidth="1"/>
    <col min="6159" max="6400" width="12.28515625" style="54"/>
    <col min="6401" max="6401" width="23.42578125" style="54" customWidth="1"/>
    <col min="6402" max="6402" width="11.140625" style="54" bestFit="1" customWidth="1"/>
    <col min="6403" max="6403" width="34.42578125" style="54" bestFit="1" customWidth="1"/>
    <col min="6404" max="6404" width="18" style="54" bestFit="1" customWidth="1"/>
    <col min="6405" max="6405" width="10.85546875" style="54" bestFit="1" customWidth="1"/>
    <col min="6406" max="6406" width="11.7109375" style="54" bestFit="1" customWidth="1"/>
    <col min="6407" max="6407" width="11.85546875" style="54" bestFit="1" customWidth="1"/>
    <col min="6408" max="6408" width="24" style="54" customWidth="1"/>
    <col min="6409" max="6409" width="34.140625" style="54" customWidth="1"/>
    <col min="6410" max="6410" width="12.85546875" style="54" customWidth="1"/>
    <col min="6411" max="6413" width="12.28515625" style="54"/>
    <col min="6414" max="6414" width="19.28515625" style="54" customWidth="1"/>
    <col min="6415" max="6656" width="12.28515625" style="54"/>
    <col min="6657" max="6657" width="23.42578125" style="54" customWidth="1"/>
    <col min="6658" max="6658" width="11.140625" style="54" bestFit="1" customWidth="1"/>
    <col min="6659" max="6659" width="34.42578125" style="54" bestFit="1" customWidth="1"/>
    <col min="6660" max="6660" width="18" style="54" bestFit="1" customWidth="1"/>
    <col min="6661" max="6661" width="10.85546875" style="54" bestFit="1" customWidth="1"/>
    <col min="6662" max="6662" width="11.7109375" style="54" bestFit="1" customWidth="1"/>
    <col min="6663" max="6663" width="11.85546875" style="54" bestFit="1" customWidth="1"/>
    <col min="6664" max="6664" width="24" style="54" customWidth="1"/>
    <col min="6665" max="6665" width="34.140625" style="54" customWidth="1"/>
    <col min="6666" max="6666" width="12.85546875" style="54" customWidth="1"/>
    <col min="6667" max="6669" width="12.28515625" style="54"/>
    <col min="6670" max="6670" width="19.28515625" style="54" customWidth="1"/>
    <col min="6671" max="6912" width="12.28515625" style="54"/>
    <col min="6913" max="6913" width="23.42578125" style="54" customWidth="1"/>
    <col min="6914" max="6914" width="11.140625" style="54" bestFit="1" customWidth="1"/>
    <col min="6915" max="6915" width="34.42578125" style="54" bestFit="1" customWidth="1"/>
    <col min="6916" max="6916" width="18" style="54" bestFit="1" customWidth="1"/>
    <col min="6917" max="6917" width="10.85546875" style="54" bestFit="1" customWidth="1"/>
    <col min="6918" max="6918" width="11.7109375" style="54" bestFit="1" customWidth="1"/>
    <col min="6919" max="6919" width="11.85546875" style="54" bestFit="1" customWidth="1"/>
    <col min="6920" max="6920" width="24" style="54" customWidth="1"/>
    <col min="6921" max="6921" width="34.140625" style="54" customWidth="1"/>
    <col min="6922" max="6922" width="12.85546875" style="54" customWidth="1"/>
    <col min="6923" max="6925" width="12.28515625" style="54"/>
    <col min="6926" max="6926" width="19.28515625" style="54" customWidth="1"/>
    <col min="6927" max="7168" width="12.28515625" style="54"/>
    <col min="7169" max="7169" width="23.42578125" style="54" customWidth="1"/>
    <col min="7170" max="7170" width="11.140625" style="54" bestFit="1" customWidth="1"/>
    <col min="7171" max="7171" width="34.42578125" style="54" bestFit="1" customWidth="1"/>
    <col min="7172" max="7172" width="18" style="54" bestFit="1" customWidth="1"/>
    <col min="7173" max="7173" width="10.85546875" style="54" bestFit="1" customWidth="1"/>
    <col min="7174" max="7174" width="11.7109375" style="54" bestFit="1" customWidth="1"/>
    <col min="7175" max="7175" width="11.85546875" style="54" bestFit="1" customWidth="1"/>
    <col min="7176" max="7176" width="24" style="54" customWidth="1"/>
    <col min="7177" max="7177" width="34.140625" style="54" customWidth="1"/>
    <col min="7178" max="7178" width="12.85546875" style="54" customWidth="1"/>
    <col min="7179" max="7181" width="12.28515625" style="54"/>
    <col min="7182" max="7182" width="19.28515625" style="54" customWidth="1"/>
    <col min="7183" max="7424" width="12.28515625" style="54"/>
    <col min="7425" max="7425" width="23.42578125" style="54" customWidth="1"/>
    <col min="7426" max="7426" width="11.140625" style="54" bestFit="1" customWidth="1"/>
    <col min="7427" max="7427" width="34.42578125" style="54" bestFit="1" customWidth="1"/>
    <col min="7428" max="7428" width="18" style="54" bestFit="1" customWidth="1"/>
    <col min="7429" max="7429" width="10.85546875" style="54" bestFit="1" customWidth="1"/>
    <col min="7430" max="7430" width="11.7109375" style="54" bestFit="1" customWidth="1"/>
    <col min="7431" max="7431" width="11.85546875" style="54" bestFit="1" customWidth="1"/>
    <col min="7432" max="7432" width="24" style="54" customWidth="1"/>
    <col min="7433" max="7433" width="34.140625" style="54" customWidth="1"/>
    <col min="7434" max="7434" width="12.85546875" style="54" customWidth="1"/>
    <col min="7435" max="7437" width="12.28515625" style="54"/>
    <col min="7438" max="7438" width="19.28515625" style="54" customWidth="1"/>
    <col min="7439" max="7680" width="12.28515625" style="54"/>
    <col min="7681" max="7681" width="23.42578125" style="54" customWidth="1"/>
    <col min="7682" max="7682" width="11.140625" style="54" bestFit="1" customWidth="1"/>
    <col min="7683" max="7683" width="34.42578125" style="54" bestFit="1" customWidth="1"/>
    <col min="7684" max="7684" width="18" style="54" bestFit="1" customWidth="1"/>
    <col min="7685" max="7685" width="10.85546875" style="54" bestFit="1" customWidth="1"/>
    <col min="7686" max="7686" width="11.7109375" style="54" bestFit="1" customWidth="1"/>
    <col min="7687" max="7687" width="11.85546875" style="54" bestFit="1" customWidth="1"/>
    <col min="7688" max="7688" width="24" style="54" customWidth="1"/>
    <col min="7689" max="7689" width="34.140625" style="54" customWidth="1"/>
    <col min="7690" max="7690" width="12.85546875" style="54" customWidth="1"/>
    <col min="7691" max="7693" width="12.28515625" style="54"/>
    <col min="7694" max="7694" width="19.28515625" style="54" customWidth="1"/>
    <col min="7695" max="7936" width="12.28515625" style="54"/>
    <col min="7937" max="7937" width="23.42578125" style="54" customWidth="1"/>
    <col min="7938" max="7938" width="11.140625" style="54" bestFit="1" customWidth="1"/>
    <col min="7939" max="7939" width="34.42578125" style="54" bestFit="1" customWidth="1"/>
    <col min="7940" max="7940" width="18" style="54" bestFit="1" customWidth="1"/>
    <col min="7941" max="7941" width="10.85546875" style="54" bestFit="1" customWidth="1"/>
    <col min="7942" max="7942" width="11.7109375" style="54" bestFit="1" customWidth="1"/>
    <col min="7943" max="7943" width="11.85546875" style="54" bestFit="1" customWidth="1"/>
    <col min="7944" max="7944" width="24" style="54" customWidth="1"/>
    <col min="7945" max="7945" width="34.140625" style="54" customWidth="1"/>
    <col min="7946" max="7946" width="12.85546875" style="54" customWidth="1"/>
    <col min="7947" max="7949" width="12.28515625" style="54"/>
    <col min="7950" max="7950" width="19.28515625" style="54" customWidth="1"/>
    <col min="7951" max="8192" width="12.28515625" style="54"/>
    <col min="8193" max="8193" width="23.42578125" style="54" customWidth="1"/>
    <col min="8194" max="8194" width="11.140625" style="54" bestFit="1" customWidth="1"/>
    <col min="8195" max="8195" width="34.42578125" style="54" bestFit="1" customWidth="1"/>
    <col min="8196" max="8196" width="18" style="54" bestFit="1" customWidth="1"/>
    <col min="8197" max="8197" width="10.85546875" style="54" bestFit="1" customWidth="1"/>
    <col min="8198" max="8198" width="11.7109375" style="54" bestFit="1" customWidth="1"/>
    <col min="8199" max="8199" width="11.85546875" style="54" bestFit="1" customWidth="1"/>
    <col min="8200" max="8200" width="24" style="54" customWidth="1"/>
    <col min="8201" max="8201" width="34.140625" style="54" customWidth="1"/>
    <col min="8202" max="8202" width="12.85546875" style="54" customWidth="1"/>
    <col min="8203" max="8205" width="12.28515625" style="54"/>
    <col min="8206" max="8206" width="19.28515625" style="54" customWidth="1"/>
    <col min="8207" max="8448" width="12.28515625" style="54"/>
    <col min="8449" max="8449" width="23.42578125" style="54" customWidth="1"/>
    <col min="8450" max="8450" width="11.140625" style="54" bestFit="1" customWidth="1"/>
    <col min="8451" max="8451" width="34.42578125" style="54" bestFit="1" customWidth="1"/>
    <col min="8452" max="8452" width="18" style="54" bestFit="1" customWidth="1"/>
    <col min="8453" max="8453" width="10.85546875" style="54" bestFit="1" customWidth="1"/>
    <col min="8454" max="8454" width="11.7109375" style="54" bestFit="1" customWidth="1"/>
    <col min="8455" max="8455" width="11.85546875" style="54" bestFit="1" customWidth="1"/>
    <col min="8456" max="8456" width="24" style="54" customWidth="1"/>
    <col min="8457" max="8457" width="34.140625" style="54" customWidth="1"/>
    <col min="8458" max="8458" width="12.85546875" style="54" customWidth="1"/>
    <col min="8459" max="8461" width="12.28515625" style="54"/>
    <col min="8462" max="8462" width="19.28515625" style="54" customWidth="1"/>
    <col min="8463" max="8704" width="12.28515625" style="54"/>
    <col min="8705" max="8705" width="23.42578125" style="54" customWidth="1"/>
    <col min="8706" max="8706" width="11.140625" style="54" bestFit="1" customWidth="1"/>
    <col min="8707" max="8707" width="34.42578125" style="54" bestFit="1" customWidth="1"/>
    <col min="8708" max="8708" width="18" style="54" bestFit="1" customWidth="1"/>
    <col min="8709" max="8709" width="10.85546875" style="54" bestFit="1" customWidth="1"/>
    <col min="8710" max="8710" width="11.7109375" style="54" bestFit="1" customWidth="1"/>
    <col min="8711" max="8711" width="11.85546875" style="54" bestFit="1" customWidth="1"/>
    <col min="8712" max="8712" width="24" style="54" customWidth="1"/>
    <col min="8713" max="8713" width="34.140625" style="54" customWidth="1"/>
    <col min="8714" max="8714" width="12.85546875" style="54" customWidth="1"/>
    <col min="8715" max="8717" width="12.28515625" style="54"/>
    <col min="8718" max="8718" width="19.28515625" style="54" customWidth="1"/>
    <col min="8719" max="8960" width="12.28515625" style="54"/>
    <col min="8961" max="8961" width="23.42578125" style="54" customWidth="1"/>
    <col min="8962" max="8962" width="11.140625" style="54" bestFit="1" customWidth="1"/>
    <col min="8963" max="8963" width="34.42578125" style="54" bestFit="1" customWidth="1"/>
    <col min="8964" max="8964" width="18" style="54" bestFit="1" customWidth="1"/>
    <col min="8965" max="8965" width="10.85546875" style="54" bestFit="1" customWidth="1"/>
    <col min="8966" max="8966" width="11.7109375" style="54" bestFit="1" customWidth="1"/>
    <col min="8967" max="8967" width="11.85546875" style="54" bestFit="1" customWidth="1"/>
    <col min="8968" max="8968" width="24" style="54" customWidth="1"/>
    <col min="8969" max="8969" width="34.140625" style="54" customWidth="1"/>
    <col min="8970" max="8970" width="12.85546875" style="54" customWidth="1"/>
    <col min="8971" max="8973" width="12.28515625" style="54"/>
    <col min="8974" max="8974" width="19.28515625" style="54" customWidth="1"/>
    <col min="8975" max="9216" width="12.28515625" style="54"/>
    <col min="9217" max="9217" width="23.42578125" style="54" customWidth="1"/>
    <col min="9218" max="9218" width="11.140625" style="54" bestFit="1" customWidth="1"/>
    <col min="9219" max="9219" width="34.42578125" style="54" bestFit="1" customWidth="1"/>
    <col min="9220" max="9220" width="18" style="54" bestFit="1" customWidth="1"/>
    <col min="9221" max="9221" width="10.85546875" style="54" bestFit="1" customWidth="1"/>
    <col min="9222" max="9222" width="11.7109375" style="54" bestFit="1" customWidth="1"/>
    <col min="9223" max="9223" width="11.85546875" style="54" bestFit="1" customWidth="1"/>
    <col min="9224" max="9224" width="24" style="54" customWidth="1"/>
    <col min="9225" max="9225" width="34.140625" style="54" customWidth="1"/>
    <col min="9226" max="9226" width="12.85546875" style="54" customWidth="1"/>
    <col min="9227" max="9229" width="12.28515625" style="54"/>
    <col min="9230" max="9230" width="19.28515625" style="54" customWidth="1"/>
    <col min="9231" max="9472" width="12.28515625" style="54"/>
    <col min="9473" max="9473" width="23.42578125" style="54" customWidth="1"/>
    <col min="9474" max="9474" width="11.140625" style="54" bestFit="1" customWidth="1"/>
    <col min="9475" max="9475" width="34.42578125" style="54" bestFit="1" customWidth="1"/>
    <col min="9476" max="9476" width="18" style="54" bestFit="1" customWidth="1"/>
    <col min="9477" max="9477" width="10.85546875" style="54" bestFit="1" customWidth="1"/>
    <col min="9478" max="9478" width="11.7109375" style="54" bestFit="1" customWidth="1"/>
    <col min="9479" max="9479" width="11.85546875" style="54" bestFit="1" customWidth="1"/>
    <col min="9480" max="9480" width="24" style="54" customWidth="1"/>
    <col min="9481" max="9481" width="34.140625" style="54" customWidth="1"/>
    <col min="9482" max="9482" width="12.85546875" style="54" customWidth="1"/>
    <col min="9483" max="9485" width="12.28515625" style="54"/>
    <col min="9486" max="9486" width="19.28515625" style="54" customWidth="1"/>
    <col min="9487" max="9728" width="12.28515625" style="54"/>
    <col min="9729" max="9729" width="23.42578125" style="54" customWidth="1"/>
    <col min="9730" max="9730" width="11.140625" style="54" bestFit="1" customWidth="1"/>
    <col min="9731" max="9731" width="34.42578125" style="54" bestFit="1" customWidth="1"/>
    <col min="9732" max="9732" width="18" style="54" bestFit="1" customWidth="1"/>
    <col min="9733" max="9733" width="10.85546875" style="54" bestFit="1" customWidth="1"/>
    <col min="9734" max="9734" width="11.7109375" style="54" bestFit="1" customWidth="1"/>
    <col min="9735" max="9735" width="11.85546875" style="54" bestFit="1" customWidth="1"/>
    <col min="9736" max="9736" width="24" style="54" customWidth="1"/>
    <col min="9737" max="9737" width="34.140625" style="54" customWidth="1"/>
    <col min="9738" max="9738" width="12.85546875" style="54" customWidth="1"/>
    <col min="9739" max="9741" width="12.28515625" style="54"/>
    <col min="9742" max="9742" width="19.28515625" style="54" customWidth="1"/>
    <col min="9743" max="9984" width="12.28515625" style="54"/>
    <col min="9985" max="9985" width="23.42578125" style="54" customWidth="1"/>
    <col min="9986" max="9986" width="11.140625" style="54" bestFit="1" customWidth="1"/>
    <col min="9987" max="9987" width="34.42578125" style="54" bestFit="1" customWidth="1"/>
    <col min="9988" max="9988" width="18" style="54" bestFit="1" customWidth="1"/>
    <col min="9989" max="9989" width="10.85546875" style="54" bestFit="1" customWidth="1"/>
    <col min="9990" max="9990" width="11.7109375" style="54" bestFit="1" customWidth="1"/>
    <col min="9991" max="9991" width="11.85546875" style="54" bestFit="1" customWidth="1"/>
    <col min="9992" max="9992" width="24" style="54" customWidth="1"/>
    <col min="9993" max="9993" width="34.140625" style="54" customWidth="1"/>
    <col min="9994" max="9994" width="12.85546875" style="54" customWidth="1"/>
    <col min="9995" max="9997" width="12.28515625" style="54"/>
    <col min="9998" max="9998" width="19.28515625" style="54" customWidth="1"/>
    <col min="9999" max="10240" width="12.28515625" style="54"/>
    <col min="10241" max="10241" width="23.42578125" style="54" customWidth="1"/>
    <col min="10242" max="10242" width="11.140625" style="54" bestFit="1" customWidth="1"/>
    <col min="10243" max="10243" width="34.42578125" style="54" bestFit="1" customWidth="1"/>
    <col min="10244" max="10244" width="18" style="54" bestFit="1" customWidth="1"/>
    <col min="10245" max="10245" width="10.85546875" style="54" bestFit="1" customWidth="1"/>
    <col min="10246" max="10246" width="11.7109375" style="54" bestFit="1" customWidth="1"/>
    <col min="10247" max="10247" width="11.85546875" style="54" bestFit="1" customWidth="1"/>
    <col min="10248" max="10248" width="24" style="54" customWidth="1"/>
    <col min="10249" max="10249" width="34.140625" style="54" customWidth="1"/>
    <col min="10250" max="10250" width="12.85546875" style="54" customWidth="1"/>
    <col min="10251" max="10253" width="12.28515625" style="54"/>
    <col min="10254" max="10254" width="19.28515625" style="54" customWidth="1"/>
    <col min="10255" max="10496" width="12.28515625" style="54"/>
    <col min="10497" max="10497" width="23.42578125" style="54" customWidth="1"/>
    <col min="10498" max="10498" width="11.140625" style="54" bestFit="1" customWidth="1"/>
    <col min="10499" max="10499" width="34.42578125" style="54" bestFit="1" customWidth="1"/>
    <col min="10500" max="10500" width="18" style="54" bestFit="1" customWidth="1"/>
    <col min="10501" max="10501" width="10.85546875" style="54" bestFit="1" customWidth="1"/>
    <col min="10502" max="10502" width="11.7109375" style="54" bestFit="1" customWidth="1"/>
    <col min="10503" max="10503" width="11.85546875" style="54" bestFit="1" customWidth="1"/>
    <col min="10504" max="10504" width="24" style="54" customWidth="1"/>
    <col min="10505" max="10505" width="34.140625" style="54" customWidth="1"/>
    <col min="10506" max="10506" width="12.85546875" style="54" customWidth="1"/>
    <col min="10507" max="10509" width="12.28515625" style="54"/>
    <col min="10510" max="10510" width="19.28515625" style="54" customWidth="1"/>
    <col min="10511" max="10752" width="12.28515625" style="54"/>
    <col min="10753" max="10753" width="23.42578125" style="54" customWidth="1"/>
    <col min="10754" max="10754" width="11.140625" style="54" bestFit="1" customWidth="1"/>
    <col min="10755" max="10755" width="34.42578125" style="54" bestFit="1" customWidth="1"/>
    <col min="10756" max="10756" width="18" style="54" bestFit="1" customWidth="1"/>
    <col min="10757" max="10757" width="10.85546875" style="54" bestFit="1" customWidth="1"/>
    <col min="10758" max="10758" width="11.7109375" style="54" bestFit="1" customWidth="1"/>
    <col min="10759" max="10759" width="11.85546875" style="54" bestFit="1" customWidth="1"/>
    <col min="10760" max="10760" width="24" style="54" customWidth="1"/>
    <col min="10761" max="10761" width="34.140625" style="54" customWidth="1"/>
    <col min="10762" max="10762" width="12.85546875" style="54" customWidth="1"/>
    <col min="10763" max="10765" width="12.28515625" style="54"/>
    <col min="10766" max="10766" width="19.28515625" style="54" customWidth="1"/>
    <col min="10767" max="11008" width="12.28515625" style="54"/>
    <col min="11009" max="11009" width="23.42578125" style="54" customWidth="1"/>
    <col min="11010" max="11010" width="11.140625" style="54" bestFit="1" customWidth="1"/>
    <col min="11011" max="11011" width="34.42578125" style="54" bestFit="1" customWidth="1"/>
    <col min="11012" max="11012" width="18" style="54" bestFit="1" customWidth="1"/>
    <col min="11013" max="11013" width="10.85546875" style="54" bestFit="1" customWidth="1"/>
    <col min="11014" max="11014" width="11.7109375" style="54" bestFit="1" customWidth="1"/>
    <col min="11015" max="11015" width="11.85546875" style="54" bestFit="1" customWidth="1"/>
    <col min="11016" max="11016" width="24" style="54" customWidth="1"/>
    <col min="11017" max="11017" width="34.140625" style="54" customWidth="1"/>
    <col min="11018" max="11018" width="12.85546875" style="54" customWidth="1"/>
    <col min="11019" max="11021" width="12.28515625" style="54"/>
    <col min="11022" max="11022" width="19.28515625" style="54" customWidth="1"/>
    <col min="11023" max="11264" width="12.28515625" style="54"/>
    <col min="11265" max="11265" width="23.42578125" style="54" customWidth="1"/>
    <col min="11266" max="11266" width="11.140625" style="54" bestFit="1" customWidth="1"/>
    <col min="11267" max="11267" width="34.42578125" style="54" bestFit="1" customWidth="1"/>
    <col min="11268" max="11268" width="18" style="54" bestFit="1" customWidth="1"/>
    <col min="11269" max="11269" width="10.85546875" style="54" bestFit="1" customWidth="1"/>
    <col min="11270" max="11270" width="11.7109375" style="54" bestFit="1" customWidth="1"/>
    <col min="11271" max="11271" width="11.85546875" style="54" bestFit="1" customWidth="1"/>
    <col min="11272" max="11272" width="24" style="54" customWidth="1"/>
    <col min="11273" max="11273" width="34.140625" style="54" customWidth="1"/>
    <col min="11274" max="11274" width="12.85546875" style="54" customWidth="1"/>
    <col min="11275" max="11277" width="12.28515625" style="54"/>
    <col min="11278" max="11278" width="19.28515625" style="54" customWidth="1"/>
    <col min="11279" max="11520" width="12.28515625" style="54"/>
    <col min="11521" max="11521" width="23.42578125" style="54" customWidth="1"/>
    <col min="11522" max="11522" width="11.140625" style="54" bestFit="1" customWidth="1"/>
    <col min="11523" max="11523" width="34.42578125" style="54" bestFit="1" customWidth="1"/>
    <col min="11524" max="11524" width="18" style="54" bestFit="1" customWidth="1"/>
    <col min="11525" max="11525" width="10.85546875" style="54" bestFit="1" customWidth="1"/>
    <col min="11526" max="11526" width="11.7109375" style="54" bestFit="1" customWidth="1"/>
    <col min="11527" max="11527" width="11.85546875" style="54" bestFit="1" customWidth="1"/>
    <col min="11528" max="11528" width="24" style="54" customWidth="1"/>
    <col min="11529" max="11529" width="34.140625" style="54" customWidth="1"/>
    <col min="11530" max="11530" width="12.85546875" style="54" customWidth="1"/>
    <col min="11531" max="11533" width="12.28515625" style="54"/>
    <col min="11534" max="11534" width="19.28515625" style="54" customWidth="1"/>
    <col min="11535" max="11776" width="12.28515625" style="54"/>
    <col min="11777" max="11777" width="23.42578125" style="54" customWidth="1"/>
    <col min="11778" max="11778" width="11.140625" style="54" bestFit="1" customWidth="1"/>
    <col min="11779" max="11779" width="34.42578125" style="54" bestFit="1" customWidth="1"/>
    <col min="11780" max="11780" width="18" style="54" bestFit="1" customWidth="1"/>
    <col min="11781" max="11781" width="10.85546875" style="54" bestFit="1" customWidth="1"/>
    <col min="11782" max="11782" width="11.7109375" style="54" bestFit="1" customWidth="1"/>
    <col min="11783" max="11783" width="11.85546875" style="54" bestFit="1" customWidth="1"/>
    <col min="11784" max="11784" width="24" style="54" customWidth="1"/>
    <col min="11785" max="11785" width="34.140625" style="54" customWidth="1"/>
    <col min="11786" max="11786" width="12.85546875" style="54" customWidth="1"/>
    <col min="11787" max="11789" width="12.28515625" style="54"/>
    <col min="11790" max="11790" width="19.28515625" style="54" customWidth="1"/>
    <col min="11791" max="12032" width="12.28515625" style="54"/>
    <col min="12033" max="12033" width="23.42578125" style="54" customWidth="1"/>
    <col min="12034" max="12034" width="11.140625" style="54" bestFit="1" customWidth="1"/>
    <col min="12035" max="12035" width="34.42578125" style="54" bestFit="1" customWidth="1"/>
    <col min="12036" max="12036" width="18" style="54" bestFit="1" customWidth="1"/>
    <col min="12037" max="12037" width="10.85546875" style="54" bestFit="1" customWidth="1"/>
    <col min="12038" max="12038" width="11.7109375" style="54" bestFit="1" customWidth="1"/>
    <col min="12039" max="12039" width="11.85546875" style="54" bestFit="1" customWidth="1"/>
    <col min="12040" max="12040" width="24" style="54" customWidth="1"/>
    <col min="12041" max="12041" width="34.140625" style="54" customWidth="1"/>
    <col min="12042" max="12042" width="12.85546875" style="54" customWidth="1"/>
    <col min="12043" max="12045" width="12.28515625" style="54"/>
    <col min="12046" max="12046" width="19.28515625" style="54" customWidth="1"/>
    <col min="12047" max="12288" width="12.28515625" style="54"/>
    <col min="12289" max="12289" width="23.42578125" style="54" customWidth="1"/>
    <col min="12290" max="12290" width="11.140625" style="54" bestFit="1" customWidth="1"/>
    <col min="12291" max="12291" width="34.42578125" style="54" bestFit="1" customWidth="1"/>
    <col min="12292" max="12292" width="18" style="54" bestFit="1" customWidth="1"/>
    <col min="12293" max="12293" width="10.85546875" style="54" bestFit="1" customWidth="1"/>
    <col min="12294" max="12294" width="11.7109375" style="54" bestFit="1" customWidth="1"/>
    <col min="12295" max="12295" width="11.85546875" style="54" bestFit="1" customWidth="1"/>
    <col min="12296" max="12296" width="24" style="54" customWidth="1"/>
    <col min="12297" max="12297" width="34.140625" style="54" customWidth="1"/>
    <col min="12298" max="12298" width="12.85546875" style="54" customWidth="1"/>
    <col min="12299" max="12301" width="12.28515625" style="54"/>
    <col min="12302" max="12302" width="19.28515625" style="54" customWidth="1"/>
    <col min="12303" max="12544" width="12.28515625" style="54"/>
    <col min="12545" max="12545" width="23.42578125" style="54" customWidth="1"/>
    <col min="12546" max="12546" width="11.140625" style="54" bestFit="1" customWidth="1"/>
    <col min="12547" max="12547" width="34.42578125" style="54" bestFit="1" customWidth="1"/>
    <col min="12548" max="12548" width="18" style="54" bestFit="1" customWidth="1"/>
    <col min="12549" max="12549" width="10.85546875" style="54" bestFit="1" customWidth="1"/>
    <col min="12550" max="12550" width="11.7109375" style="54" bestFit="1" customWidth="1"/>
    <col min="12551" max="12551" width="11.85546875" style="54" bestFit="1" customWidth="1"/>
    <col min="12552" max="12552" width="24" style="54" customWidth="1"/>
    <col min="12553" max="12553" width="34.140625" style="54" customWidth="1"/>
    <col min="12554" max="12554" width="12.85546875" style="54" customWidth="1"/>
    <col min="12555" max="12557" width="12.28515625" style="54"/>
    <col min="12558" max="12558" width="19.28515625" style="54" customWidth="1"/>
    <col min="12559" max="12800" width="12.28515625" style="54"/>
    <col min="12801" max="12801" width="23.42578125" style="54" customWidth="1"/>
    <col min="12802" max="12802" width="11.140625" style="54" bestFit="1" customWidth="1"/>
    <col min="12803" max="12803" width="34.42578125" style="54" bestFit="1" customWidth="1"/>
    <col min="12804" max="12804" width="18" style="54" bestFit="1" customWidth="1"/>
    <col min="12805" max="12805" width="10.85546875" style="54" bestFit="1" customWidth="1"/>
    <col min="12806" max="12806" width="11.7109375" style="54" bestFit="1" customWidth="1"/>
    <col min="12807" max="12807" width="11.85546875" style="54" bestFit="1" customWidth="1"/>
    <col min="12808" max="12808" width="24" style="54" customWidth="1"/>
    <col min="12809" max="12809" width="34.140625" style="54" customWidth="1"/>
    <col min="12810" max="12810" width="12.85546875" style="54" customWidth="1"/>
    <col min="12811" max="12813" width="12.28515625" style="54"/>
    <col min="12814" max="12814" width="19.28515625" style="54" customWidth="1"/>
    <col min="12815" max="13056" width="12.28515625" style="54"/>
    <col min="13057" max="13057" width="23.42578125" style="54" customWidth="1"/>
    <col min="13058" max="13058" width="11.140625" style="54" bestFit="1" customWidth="1"/>
    <col min="13059" max="13059" width="34.42578125" style="54" bestFit="1" customWidth="1"/>
    <col min="13060" max="13060" width="18" style="54" bestFit="1" customWidth="1"/>
    <col min="13061" max="13061" width="10.85546875" style="54" bestFit="1" customWidth="1"/>
    <col min="13062" max="13062" width="11.7109375" style="54" bestFit="1" customWidth="1"/>
    <col min="13063" max="13063" width="11.85546875" style="54" bestFit="1" customWidth="1"/>
    <col min="13064" max="13064" width="24" style="54" customWidth="1"/>
    <col min="13065" max="13065" width="34.140625" style="54" customWidth="1"/>
    <col min="13066" max="13066" width="12.85546875" style="54" customWidth="1"/>
    <col min="13067" max="13069" width="12.28515625" style="54"/>
    <col min="13070" max="13070" width="19.28515625" style="54" customWidth="1"/>
    <col min="13071" max="13312" width="12.28515625" style="54"/>
    <col min="13313" max="13313" width="23.42578125" style="54" customWidth="1"/>
    <col min="13314" max="13314" width="11.140625" style="54" bestFit="1" customWidth="1"/>
    <col min="13315" max="13315" width="34.42578125" style="54" bestFit="1" customWidth="1"/>
    <col min="13316" max="13316" width="18" style="54" bestFit="1" customWidth="1"/>
    <col min="13317" max="13317" width="10.85546875" style="54" bestFit="1" customWidth="1"/>
    <col min="13318" max="13318" width="11.7109375" style="54" bestFit="1" customWidth="1"/>
    <col min="13319" max="13319" width="11.85546875" style="54" bestFit="1" customWidth="1"/>
    <col min="13320" max="13320" width="24" style="54" customWidth="1"/>
    <col min="13321" max="13321" width="34.140625" style="54" customWidth="1"/>
    <col min="13322" max="13322" width="12.85546875" style="54" customWidth="1"/>
    <col min="13323" max="13325" width="12.28515625" style="54"/>
    <col min="13326" max="13326" width="19.28515625" style="54" customWidth="1"/>
    <col min="13327" max="13568" width="12.28515625" style="54"/>
    <col min="13569" max="13569" width="23.42578125" style="54" customWidth="1"/>
    <col min="13570" max="13570" width="11.140625" style="54" bestFit="1" customWidth="1"/>
    <col min="13571" max="13571" width="34.42578125" style="54" bestFit="1" customWidth="1"/>
    <col min="13572" max="13572" width="18" style="54" bestFit="1" customWidth="1"/>
    <col min="13573" max="13573" width="10.85546875" style="54" bestFit="1" customWidth="1"/>
    <col min="13574" max="13574" width="11.7109375" style="54" bestFit="1" customWidth="1"/>
    <col min="13575" max="13575" width="11.85546875" style="54" bestFit="1" customWidth="1"/>
    <col min="13576" max="13576" width="24" style="54" customWidth="1"/>
    <col min="13577" max="13577" width="34.140625" style="54" customWidth="1"/>
    <col min="13578" max="13578" width="12.85546875" style="54" customWidth="1"/>
    <col min="13579" max="13581" width="12.28515625" style="54"/>
    <col min="13582" max="13582" width="19.28515625" style="54" customWidth="1"/>
    <col min="13583" max="13824" width="12.28515625" style="54"/>
    <col min="13825" max="13825" width="23.42578125" style="54" customWidth="1"/>
    <col min="13826" max="13826" width="11.140625" style="54" bestFit="1" customWidth="1"/>
    <col min="13827" max="13827" width="34.42578125" style="54" bestFit="1" customWidth="1"/>
    <col min="13828" max="13828" width="18" style="54" bestFit="1" customWidth="1"/>
    <col min="13829" max="13829" width="10.85546875" style="54" bestFit="1" customWidth="1"/>
    <col min="13830" max="13830" width="11.7109375" style="54" bestFit="1" customWidth="1"/>
    <col min="13831" max="13831" width="11.85546875" style="54" bestFit="1" customWidth="1"/>
    <col min="13832" max="13832" width="24" style="54" customWidth="1"/>
    <col min="13833" max="13833" width="34.140625" style="54" customWidth="1"/>
    <col min="13834" max="13834" width="12.85546875" style="54" customWidth="1"/>
    <col min="13835" max="13837" width="12.28515625" style="54"/>
    <col min="13838" max="13838" width="19.28515625" style="54" customWidth="1"/>
    <col min="13839" max="14080" width="12.28515625" style="54"/>
    <col min="14081" max="14081" width="23.42578125" style="54" customWidth="1"/>
    <col min="14082" max="14082" width="11.140625" style="54" bestFit="1" customWidth="1"/>
    <col min="14083" max="14083" width="34.42578125" style="54" bestFit="1" customWidth="1"/>
    <col min="14084" max="14084" width="18" style="54" bestFit="1" customWidth="1"/>
    <col min="14085" max="14085" width="10.85546875" style="54" bestFit="1" customWidth="1"/>
    <col min="14086" max="14086" width="11.7109375" style="54" bestFit="1" customWidth="1"/>
    <col min="14087" max="14087" width="11.85546875" style="54" bestFit="1" customWidth="1"/>
    <col min="14088" max="14088" width="24" style="54" customWidth="1"/>
    <col min="14089" max="14089" width="34.140625" style="54" customWidth="1"/>
    <col min="14090" max="14090" width="12.85546875" style="54" customWidth="1"/>
    <col min="14091" max="14093" width="12.28515625" style="54"/>
    <col min="14094" max="14094" width="19.28515625" style="54" customWidth="1"/>
    <col min="14095" max="14336" width="12.28515625" style="54"/>
    <col min="14337" max="14337" width="23.42578125" style="54" customWidth="1"/>
    <col min="14338" max="14338" width="11.140625" style="54" bestFit="1" customWidth="1"/>
    <col min="14339" max="14339" width="34.42578125" style="54" bestFit="1" customWidth="1"/>
    <col min="14340" max="14340" width="18" style="54" bestFit="1" customWidth="1"/>
    <col min="14341" max="14341" width="10.85546875" style="54" bestFit="1" customWidth="1"/>
    <col min="14342" max="14342" width="11.7109375" style="54" bestFit="1" customWidth="1"/>
    <col min="14343" max="14343" width="11.85546875" style="54" bestFit="1" customWidth="1"/>
    <col min="14344" max="14344" width="24" style="54" customWidth="1"/>
    <col min="14345" max="14345" width="34.140625" style="54" customWidth="1"/>
    <col min="14346" max="14346" width="12.85546875" style="54" customWidth="1"/>
    <col min="14347" max="14349" width="12.28515625" style="54"/>
    <col min="14350" max="14350" width="19.28515625" style="54" customWidth="1"/>
    <col min="14351" max="14592" width="12.28515625" style="54"/>
    <col min="14593" max="14593" width="23.42578125" style="54" customWidth="1"/>
    <col min="14594" max="14594" width="11.140625" style="54" bestFit="1" customWidth="1"/>
    <col min="14595" max="14595" width="34.42578125" style="54" bestFit="1" customWidth="1"/>
    <col min="14596" max="14596" width="18" style="54" bestFit="1" customWidth="1"/>
    <col min="14597" max="14597" width="10.85546875" style="54" bestFit="1" customWidth="1"/>
    <col min="14598" max="14598" width="11.7109375" style="54" bestFit="1" customWidth="1"/>
    <col min="14599" max="14599" width="11.85546875" style="54" bestFit="1" customWidth="1"/>
    <col min="14600" max="14600" width="24" style="54" customWidth="1"/>
    <col min="14601" max="14601" width="34.140625" style="54" customWidth="1"/>
    <col min="14602" max="14602" width="12.85546875" style="54" customWidth="1"/>
    <col min="14603" max="14605" width="12.28515625" style="54"/>
    <col min="14606" max="14606" width="19.28515625" style="54" customWidth="1"/>
    <col min="14607" max="14848" width="12.28515625" style="54"/>
    <col min="14849" max="14849" width="23.42578125" style="54" customWidth="1"/>
    <col min="14850" max="14850" width="11.140625" style="54" bestFit="1" customWidth="1"/>
    <col min="14851" max="14851" width="34.42578125" style="54" bestFit="1" customWidth="1"/>
    <col min="14852" max="14852" width="18" style="54" bestFit="1" customWidth="1"/>
    <col min="14853" max="14853" width="10.85546875" style="54" bestFit="1" customWidth="1"/>
    <col min="14854" max="14854" width="11.7109375" style="54" bestFit="1" customWidth="1"/>
    <col min="14855" max="14855" width="11.85546875" style="54" bestFit="1" customWidth="1"/>
    <col min="14856" max="14856" width="24" style="54" customWidth="1"/>
    <col min="14857" max="14857" width="34.140625" style="54" customWidth="1"/>
    <col min="14858" max="14858" width="12.85546875" style="54" customWidth="1"/>
    <col min="14859" max="14861" width="12.28515625" style="54"/>
    <col min="14862" max="14862" width="19.28515625" style="54" customWidth="1"/>
    <col min="14863" max="15104" width="12.28515625" style="54"/>
    <col min="15105" max="15105" width="23.42578125" style="54" customWidth="1"/>
    <col min="15106" max="15106" width="11.140625" style="54" bestFit="1" customWidth="1"/>
    <col min="15107" max="15107" width="34.42578125" style="54" bestFit="1" customWidth="1"/>
    <col min="15108" max="15108" width="18" style="54" bestFit="1" customWidth="1"/>
    <col min="15109" max="15109" width="10.85546875" style="54" bestFit="1" customWidth="1"/>
    <col min="15110" max="15110" width="11.7109375" style="54" bestFit="1" customWidth="1"/>
    <col min="15111" max="15111" width="11.85546875" style="54" bestFit="1" customWidth="1"/>
    <col min="15112" max="15112" width="24" style="54" customWidth="1"/>
    <col min="15113" max="15113" width="34.140625" style="54" customWidth="1"/>
    <col min="15114" max="15114" width="12.85546875" style="54" customWidth="1"/>
    <col min="15115" max="15117" width="12.28515625" style="54"/>
    <col min="15118" max="15118" width="19.28515625" style="54" customWidth="1"/>
    <col min="15119" max="15360" width="12.28515625" style="54"/>
    <col min="15361" max="15361" width="23.42578125" style="54" customWidth="1"/>
    <col min="15362" max="15362" width="11.140625" style="54" bestFit="1" customWidth="1"/>
    <col min="15363" max="15363" width="34.42578125" style="54" bestFit="1" customWidth="1"/>
    <col min="15364" max="15364" width="18" style="54" bestFit="1" customWidth="1"/>
    <col min="15365" max="15365" width="10.85546875" style="54" bestFit="1" customWidth="1"/>
    <col min="15366" max="15366" width="11.7109375" style="54" bestFit="1" customWidth="1"/>
    <col min="15367" max="15367" width="11.85546875" style="54" bestFit="1" customWidth="1"/>
    <col min="15368" max="15368" width="24" style="54" customWidth="1"/>
    <col min="15369" max="15369" width="34.140625" style="54" customWidth="1"/>
    <col min="15370" max="15370" width="12.85546875" style="54" customWidth="1"/>
    <col min="15371" max="15373" width="12.28515625" style="54"/>
    <col min="15374" max="15374" width="19.28515625" style="54" customWidth="1"/>
    <col min="15375" max="15616" width="12.28515625" style="54"/>
    <col min="15617" max="15617" width="23.42578125" style="54" customWidth="1"/>
    <col min="15618" max="15618" width="11.140625" style="54" bestFit="1" customWidth="1"/>
    <col min="15619" max="15619" width="34.42578125" style="54" bestFit="1" customWidth="1"/>
    <col min="15620" max="15620" width="18" style="54" bestFit="1" customWidth="1"/>
    <col min="15621" max="15621" width="10.85546875" style="54" bestFit="1" customWidth="1"/>
    <col min="15622" max="15622" width="11.7109375" style="54" bestFit="1" customWidth="1"/>
    <col min="15623" max="15623" width="11.85546875" style="54" bestFit="1" customWidth="1"/>
    <col min="15624" max="15624" width="24" style="54" customWidth="1"/>
    <col min="15625" max="15625" width="34.140625" style="54" customWidth="1"/>
    <col min="15626" max="15626" width="12.85546875" style="54" customWidth="1"/>
    <col min="15627" max="15629" width="12.28515625" style="54"/>
    <col min="15630" max="15630" width="19.28515625" style="54" customWidth="1"/>
    <col min="15631" max="15872" width="12.28515625" style="54"/>
    <col min="15873" max="15873" width="23.42578125" style="54" customWidth="1"/>
    <col min="15874" max="15874" width="11.140625" style="54" bestFit="1" customWidth="1"/>
    <col min="15875" max="15875" width="34.42578125" style="54" bestFit="1" customWidth="1"/>
    <col min="15876" max="15876" width="18" style="54" bestFit="1" customWidth="1"/>
    <col min="15877" max="15877" width="10.85546875" style="54" bestFit="1" customWidth="1"/>
    <col min="15878" max="15878" width="11.7109375" style="54" bestFit="1" customWidth="1"/>
    <col min="15879" max="15879" width="11.85546875" style="54" bestFit="1" customWidth="1"/>
    <col min="15880" max="15880" width="24" style="54" customWidth="1"/>
    <col min="15881" max="15881" width="34.140625" style="54" customWidth="1"/>
    <col min="15882" max="15882" width="12.85546875" style="54" customWidth="1"/>
    <col min="15883" max="15885" width="12.28515625" style="54"/>
    <col min="15886" max="15886" width="19.28515625" style="54" customWidth="1"/>
    <col min="15887" max="16128" width="12.28515625" style="54"/>
    <col min="16129" max="16129" width="23.42578125" style="54" customWidth="1"/>
    <col min="16130" max="16130" width="11.140625" style="54" bestFit="1" customWidth="1"/>
    <col min="16131" max="16131" width="34.42578125" style="54" bestFit="1" customWidth="1"/>
    <col min="16132" max="16132" width="18" style="54" bestFit="1" customWidth="1"/>
    <col min="16133" max="16133" width="10.85546875" style="54" bestFit="1" customWidth="1"/>
    <col min="16134" max="16134" width="11.7109375" style="54" bestFit="1" customWidth="1"/>
    <col min="16135" max="16135" width="11.85546875" style="54" bestFit="1" customWidth="1"/>
    <col min="16136" max="16136" width="24" style="54" customWidth="1"/>
    <col min="16137" max="16137" width="34.140625" style="54" customWidth="1"/>
    <col min="16138" max="16138" width="12.85546875" style="54" customWidth="1"/>
    <col min="16139" max="16141" width="12.28515625" style="54"/>
    <col min="16142" max="16142" width="19.28515625" style="54" customWidth="1"/>
    <col min="16143" max="16384" width="12.28515625" style="54"/>
  </cols>
  <sheetData>
    <row r="1" spans="1:14" ht="12.75">
      <c r="A1" s="574" t="s">
        <v>273</v>
      </c>
      <c r="B1" s="575" t="s">
        <v>274</v>
      </c>
      <c r="C1" s="575" t="s">
        <v>275</v>
      </c>
      <c r="D1" s="575" t="s">
        <v>276</v>
      </c>
      <c r="E1" s="576" t="s">
        <v>248</v>
      </c>
      <c r="F1" s="601">
        <v>45696</v>
      </c>
      <c r="G1" s="575" t="s">
        <v>277</v>
      </c>
      <c r="H1" s="590" t="s">
        <v>1973</v>
      </c>
      <c r="I1" s="590" t="s">
        <v>278</v>
      </c>
      <c r="K1" s="54" t="s">
        <v>273</v>
      </c>
    </row>
    <row r="2" spans="1:14" ht="13.5">
      <c r="A2" s="578"/>
      <c r="B2" s="579">
        <v>200</v>
      </c>
      <c r="C2" s="579" t="s">
        <v>279</v>
      </c>
      <c r="D2" s="579"/>
      <c r="E2" s="581" t="s">
        <v>2051</v>
      </c>
      <c r="F2" s="596"/>
      <c r="G2" s="65">
        <v>0</v>
      </c>
      <c r="H2" s="591" t="s">
        <v>280</v>
      </c>
      <c r="I2" s="591" t="s">
        <v>280</v>
      </c>
      <c r="J2" s="57"/>
      <c r="N2" s="55"/>
    </row>
    <row r="3" spans="1:14" ht="13.5">
      <c r="A3" s="578"/>
      <c r="B3" s="65">
        <v>201</v>
      </c>
      <c r="C3" s="579" t="s">
        <v>281</v>
      </c>
      <c r="D3" s="579"/>
      <c r="E3" s="65"/>
      <c r="F3" s="596"/>
      <c r="G3" s="65">
        <v>0</v>
      </c>
      <c r="H3" s="591" t="s">
        <v>280</v>
      </c>
      <c r="I3" s="591" t="s">
        <v>280</v>
      </c>
      <c r="J3" s="57"/>
      <c r="N3" s="55"/>
    </row>
    <row r="4" spans="1:14" ht="13.5">
      <c r="A4" s="578"/>
      <c r="B4" s="65">
        <v>202</v>
      </c>
      <c r="C4" s="579" t="s">
        <v>281</v>
      </c>
      <c r="D4" s="579"/>
      <c r="E4" s="65"/>
      <c r="F4" s="596"/>
      <c r="G4" s="65">
        <v>0</v>
      </c>
      <c r="H4" s="591" t="s">
        <v>280</v>
      </c>
      <c r="I4" s="591" t="s">
        <v>280</v>
      </c>
      <c r="J4" s="57"/>
    </row>
    <row r="5" spans="1:14" ht="13.5">
      <c r="A5" s="578"/>
      <c r="B5" s="65">
        <v>203</v>
      </c>
      <c r="C5" s="579" t="s">
        <v>281</v>
      </c>
      <c r="D5" s="579"/>
      <c r="E5" s="65"/>
      <c r="F5" s="596"/>
      <c r="G5" s="65">
        <v>0</v>
      </c>
      <c r="H5" s="591" t="s">
        <v>280</v>
      </c>
      <c r="I5" s="591" t="s">
        <v>280</v>
      </c>
      <c r="J5" s="57"/>
    </row>
    <row r="6" spans="1:14" ht="13.5">
      <c r="A6" s="578"/>
      <c r="B6" s="65">
        <v>204</v>
      </c>
      <c r="C6" s="579" t="s">
        <v>281</v>
      </c>
      <c r="D6" s="579"/>
      <c r="E6" s="65"/>
      <c r="F6" s="596"/>
      <c r="G6" s="65">
        <v>0</v>
      </c>
      <c r="H6" s="591" t="s">
        <v>280</v>
      </c>
      <c r="I6" s="591" t="s">
        <v>280</v>
      </c>
      <c r="J6" s="57"/>
    </row>
    <row r="7" spans="1:14" ht="13.5">
      <c r="A7" s="578"/>
      <c r="B7" s="65">
        <v>205</v>
      </c>
      <c r="C7" s="579" t="s">
        <v>281</v>
      </c>
      <c r="D7" s="579"/>
      <c r="E7" s="65"/>
      <c r="F7" s="596"/>
      <c r="G7" s="65">
        <v>0</v>
      </c>
      <c r="H7" s="591" t="s">
        <v>280</v>
      </c>
      <c r="I7" s="591" t="s">
        <v>280</v>
      </c>
      <c r="J7" s="58"/>
    </row>
    <row r="8" spans="1:14" ht="13.5">
      <c r="A8" s="578"/>
      <c r="B8" s="65">
        <v>206</v>
      </c>
      <c r="C8" s="579" t="s">
        <v>281</v>
      </c>
      <c r="D8" s="579"/>
      <c r="E8" s="65"/>
      <c r="F8" s="596"/>
      <c r="G8" s="65">
        <v>0</v>
      </c>
      <c r="H8" s="591" t="s">
        <v>280</v>
      </c>
      <c r="I8" s="591" t="s">
        <v>280</v>
      </c>
      <c r="J8" s="58"/>
    </row>
    <row r="9" spans="1:14" ht="13.5">
      <c r="A9" s="578"/>
      <c r="B9" s="65">
        <v>207</v>
      </c>
      <c r="C9" s="579" t="s">
        <v>281</v>
      </c>
      <c r="D9" s="579"/>
      <c r="E9" s="65"/>
      <c r="F9" s="596"/>
      <c r="G9" s="65">
        <v>0</v>
      </c>
      <c r="H9" s="591" t="s">
        <v>280</v>
      </c>
      <c r="I9" s="591" t="s">
        <v>280</v>
      </c>
      <c r="J9" s="58"/>
    </row>
    <row r="10" spans="1:14" ht="13.5">
      <c r="A10" s="578"/>
      <c r="B10" s="65">
        <v>208</v>
      </c>
      <c r="C10" s="579" t="s">
        <v>281</v>
      </c>
      <c r="D10" s="579"/>
      <c r="E10" s="579"/>
      <c r="F10" s="596"/>
      <c r="G10" s="65">
        <v>0</v>
      </c>
      <c r="H10" s="591" t="s">
        <v>280</v>
      </c>
      <c r="I10" s="591" t="s">
        <v>280</v>
      </c>
      <c r="J10" s="58"/>
    </row>
    <row r="11" spans="1:14" ht="13.5">
      <c r="A11" s="578"/>
      <c r="B11" s="65">
        <v>209</v>
      </c>
      <c r="C11" s="579" t="s">
        <v>281</v>
      </c>
      <c r="D11" s="579"/>
      <c r="E11" s="65"/>
      <c r="F11" s="596"/>
      <c r="G11" s="65">
        <v>0</v>
      </c>
      <c r="H11" s="591" t="s">
        <v>280</v>
      </c>
      <c r="I11" s="591" t="s">
        <v>280</v>
      </c>
      <c r="J11" s="58"/>
    </row>
    <row r="12" spans="1:14" ht="13.5">
      <c r="A12" s="578"/>
      <c r="B12" s="65">
        <v>210</v>
      </c>
      <c r="C12" s="579" t="s">
        <v>281</v>
      </c>
      <c r="D12" s="579"/>
      <c r="E12" s="65"/>
      <c r="F12" s="596"/>
      <c r="G12" s="65">
        <v>0</v>
      </c>
      <c r="H12" s="591" t="s">
        <v>280</v>
      </c>
      <c r="I12" s="591" t="s">
        <v>280</v>
      </c>
      <c r="J12" s="58"/>
    </row>
    <row r="13" spans="1:14" ht="13.5">
      <c r="A13" s="578"/>
      <c r="B13" s="65">
        <v>211</v>
      </c>
      <c r="C13" s="579" t="s">
        <v>281</v>
      </c>
      <c r="D13" s="579"/>
      <c r="E13" s="65"/>
      <c r="F13" s="597"/>
      <c r="G13" s="65">
        <v>0</v>
      </c>
      <c r="H13" s="591" t="s">
        <v>280</v>
      </c>
      <c r="I13" s="591" t="s">
        <v>280</v>
      </c>
      <c r="J13" s="58"/>
    </row>
    <row r="14" spans="1:14" ht="12.75">
      <c r="A14" s="578"/>
      <c r="B14" s="65">
        <v>212</v>
      </c>
      <c r="C14" s="579" t="s">
        <v>281</v>
      </c>
      <c r="D14" s="579"/>
      <c r="E14" s="65"/>
      <c r="F14" s="596"/>
      <c r="G14" s="65">
        <v>0</v>
      </c>
      <c r="H14" s="591" t="s">
        <v>280</v>
      </c>
      <c r="I14" s="591" t="s">
        <v>280</v>
      </c>
      <c r="J14" s="59"/>
    </row>
    <row r="15" spans="1:14" ht="12.75">
      <c r="A15" s="578"/>
      <c r="B15" s="65">
        <v>213</v>
      </c>
      <c r="C15" s="579" t="s">
        <v>281</v>
      </c>
      <c r="D15" s="579"/>
      <c r="E15" s="65"/>
      <c r="F15" s="596"/>
      <c r="G15" s="65">
        <v>0</v>
      </c>
      <c r="H15" s="591" t="s">
        <v>280</v>
      </c>
      <c r="I15" s="591" t="s">
        <v>280</v>
      </c>
      <c r="J15" s="59"/>
    </row>
    <row r="16" spans="1:14">
      <c r="A16" s="578"/>
      <c r="B16" s="65">
        <v>214</v>
      </c>
      <c r="C16" s="579" t="s">
        <v>281</v>
      </c>
      <c r="D16" s="579"/>
      <c r="E16" s="583"/>
      <c r="F16" s="596"/>
      <c r="G16" s="65">
        <v>0</v>
      </c>
      <c r="H16" s="591" t="s">
        <v>280</v>
      </c>
      <c r="I16" s="591" t="s">
        <v>280</v>
      </c>
      <c r="J16" s="59"/>
    </row>
    <row r="17" spans="1:10" ht="12.75">
      <c r="A17" s="578"/>
      <c r="B17" s="579">
        <v>215</v>
      </c>
      <c r="C17" s="579" t="s">
        <v>281</v>
      </c>
      <c r="D17" s="579"/>
      <c r="E17" s="65"/>
      <c r="F17" s="596"/>
      <c r="G17" s="65">
        <v>0</v>
      </c>
      <c r="H17" s="591" t="s">
        <v>280</v>
      </c>
      <c r="I17" s="591" t="s">
        <v>280</v>
      </c>
      <c r="J17" s="59"/>
    </row>
    <row r="18" spans="1:10">
      <c r="A18" s="578"/>
      <c r="B18" s="579">
        <v>216</v>
      </c>
      <c r="C18" s="579" t="s">
        <v>281</v>
      </c>
      <c r="D18" s="579"/>
      <c r="E18" s="583"/>
      <c r="F18" s="596"/>
      <c r="G18" s="65">
        <v>0</v>
      </c>
      <c r="H18" s="591" t="s">
        <v>280</v>
      </c>
      <c r="I18" s="591" t="s">
        <v>280</v>
      </c>
    </row>
    <row r="19" spans="1:10">
      <c r="A19" s="578"/>
      <c r="B19" s="579">
        <v>217</v>
      </c>
      <c r="C19" s="579" t="s">
        <v>281</v>
      </c>
      <c r="D19" s="579"/>
      <c r="E19" s="583"/>
      <c r="F19" s="596"/>
      <c r="G19" s="65">
        <v>0</v>
      </c>
      <c r="H19" s="591" t="s">
        <v>280</v>
      </c>
      <c r="I19" s="591" t="s">
        <v>280</v>
      </c>
    </row>
    <row r="20" spans="1:10">
      <c r="A20" s="578"/>
      <c r="B20" s="579">
        <v>218</v>
      </c>
      <c r="C20" s="579" t="s">
        <v>281</v>
      </c>
      <c r="D20" s="579"/>
      <c r="E20" s="583"/>
      <c r="F20" s="596"/>
      <c r="G20" s="65">
        <v>0</v>
      </c>
      <c r="H20" s="591" t="s">
        <v>280</v>
      </c>
      <c r="I20" s="591" t="s">
        <v>280</v>
      </c>
    </row>
    <row r="21" spans="1:10">
      <c r="A21" s="578"/>
      <c r="B21" s="65">
        <v>219</v>
      </c>
      <c r="C21" s="579" t="s">
        <v>281</v>
      </c>
      <c r="D21" s="579"/>
      <c r="E21" s="583"/>
      <c r="F21" s="596"/>
      <c r="G21" s="65">
        <v>0</v>
      </c>
      <c r="H21" s="591" t="s">
        <v>280</v>
      </c>
      <c r="I21" s="591" t="s">
        <v>280</v>
      </c>
    </row>
    <row r="22" spans="1:10">
      <c r="A22" s="578"/>
      <c r="B22" s="65">
        <v>220</v>
      </c>
      <c r="C22" s="579" t="s">
        <v>281</v>
      </c>
      <c r="D22" s="579"/>
      <c r="E22" s="583"/>
      <c r="F22" s="596"/>
      <c r="G22" s="65">
        <v>0</v>
      </c>
      <c r="H22" s="591" t="s">
        <v>280</v>
      </c>
      <c r="I22" s="591" t="s">
        <v>280</v>
      </c>
    </row>
    <row r="23" spans="1:10">
      <c r="A23" s="578"/>
      <c r="B23" s="65">
        <v>221</v>
      </c>
      <c r="C23" s="579" t="s">
        <v>281</v>
      </c>
      <c r="D23" s="579"/>
      <c r="E23" s="583"/>
      <c r="F23" s="596"/>
      <c r="G23" s="65">
        <v>0</v>
      </c>
      <c r="H23" s="591" t="s">
        <v>280</v>
      </c>
      <c r="I23" s="591" t="s">
        <v>280</v>
      </c>
    </row>
    <row r="24" spans="1:10">
      <c r="A24" s="578"/>
      <c r="B24" s="579">
        <v>222</v>
      </c>
      <c r="C24" s="579" t="s">
        <v>281</v>
      </c>
      <c r="D24" s="579"/>
      <c r="E24" s="583"/>
      <c r="F24" s="596"/>
      <c r="G24" s="65">
        <v>0</v>
      </c>
      <c r="H24" s="591" t="s">
        <v>280</v>
      </c>
      <c r="I24" s="591" t="s">
        <v>280</v>
      </c>
    </row>
    <row r="25" spans="1:10">
      <c r="A25" s="578"/>
      <c r="B25" s="65">
        <v>223</v>
      </c>
      <c r="C25" s="579" t="s">
        <v>281</v>
      </c>
      <c r="D25" s="579"/>
      <c r="E25" s="583"/>
      <c r="F25" s="596"/>
      <c r="G25" s="65">
        <v>0</v>
      </c>
      <c r="H25" s="591" t="s">
        <v>280</v>
      </c>
      <c r="I25" s="591" t="s">
        <v>280</v>
      </c>
    </row>
    <row r="26" spans="1:10">
      <c r="A26" s="578"/>
      <c r="B26" s="65">
        <v>224</v>
      </c>
      <c r="C26" s="579" t="s">
        <v>281</v>
      </c>
      <c r="D26" s="579"/>
      <c r="E26" s="583"/>
      <c r="F26" s="596"/>
      <c r="G26" s="65">
        <v>0</v>
      </c>
      <c r="H26" s="591" t="s">
        <v>280</v>
      </c>
      <c r="I26" s="591" t="s">
        <v>280</v>
      </c>
    </row>
    <row r="27" spans="1:10">
      <c r="A27" s="578"/>
      <c r="B27" s="65">
        <v>225</v>
      </c>
      <c r="C27" s="579" t="s">
        <v>281</v>
      </c>
      <c r="D27" s="579"/>
      <c r="E27" s="583"/>
      <c r="F27" s="596"/>
      <c r="G27" s="65">
        <v>0</v>
      </c>
      <c r="H27" s="591" t="s">
        <v>280</v>
      </c>
      <c r="I27" s="591" t="s">
        <v>280</v>
      </c>
    </row>
    <row r="28" spans="1:10">
      <c r="A28" s="578"/>
      <c r="B28" s="65">
        <v>226</v>
      </c>
      <c r="C28" s="579" t="s">
        <v>281</v>
      </c>
      <c r="D28" s="579"/>
      <c r="E28" s="583"/>
      <c r="F28" s="596"/>
      <c r="G28" s="65">
        <v>0</v>
      </c>
      <c r="H28" s="591" t="s">
        <v>280</v>
      </c>
      <c r="I28" s="591" t="s">
        <v>280</v>
      </c>
    </row>
    <row r="29" spans="1:10">
      <c r="A29" s="578"/>
      <c r="B29" s="579">
        <v>227</v>
      </c>
      <c r="C29" s="579" t="s">
        <v>281</v>
      </c>
      <c r="D29" s="579"/>
      <c r="E29" s="583"/>
      <c r="F29" s="596"/>
      <c r="G29" s="65">
        <v>0</v>
      </c>
      <c r="H29" s="591" t="s">
        <v>280</v>
      </c>
      <c r="I29" s="591" t="s">
        <v>280</v>
      </c>
    </row>
    <row r="30" spans="1:10">
      <c r="A30" s="578"/>
      <c r="B30" s="579">
        <v>228</v>
      </c>
      <c r="C30" s="579" t="s">
        <v>281</v>
      </c>
      <c r="D30" s="579"/>
      <c r="E30" s="583"/>
      <c r="F30" s="596"/>
      <c r="G30" s="65">
        <v>0</v>
      </c>
      <c r="H30" s="591" t="s">
        <v>280</v>
      </c>
      <c r="I30" s="591" t="s">
        <v>280</v>
      </c>
    </row>
    <row r="31" spans="1:10">
      <c r="A31" s="578"/>
      <c r="B31" s="579">
        <v>229</v>
      </c>
      <c r="C31" s="579" t="s">
        <v>281</v>
      </c>
      <c r="D31" s="579"/>
      <c r="E31" s="583"/>
      <c r="F31" s="596"/>
      <c r="G31" s="65">
        <v>0</v>
      </c>
      <c r="H31" s="591" t="s">
        <v>280</v>
      </c>
      <c r="I31" s="591" t="s">
        <v>280</v>
      </c>
    </row>
    <row r="32" spans="1:10">
      <c r="A32" s="578"/>
      <c r="B32" s="579">
        <v>230</v>
      </c>
      <c r="C32" s="579" t="s">
        <v>281</v>
      </c>
      <c r="D32" s="579"/>
      <c r="E32" s="583"/>
      <c r="F32" s="596"/>
      <c r="G32" s="65">
        <v>0</v>
      </c>
      <c r="H32" s="591" t="s">
        <v>280</v>
      </c>
      <c r="I32" s="591" t="s">
        <v>280</v>
      </c>
    </row>
    <row r="33" spans="1:9">
      <c r="A33" s="578"/>
      <c r="B33" s="579">
        <v>231</v>
      </c>
      <c r="C33" s="579" t="s">
        <v>281</v>
      </c>
      <c r="D33" s="579"/>
      <c r="E33" s="583"/>
      <c r="F33" s="596"/>
      <c r="G33" s="65">
        <v>0</v>
      </c>
      <c r="H33" s="591" t="s">
        <v>280</v>
      </c>
      <c r="I33" s="591" t="s">
        <v>280</v>
      </c>
    </row>
    <row r="34" spans="1:9">
      <c r="A34" s="578"/>
      <c r="B34" s="579">
        <v>232</v>
      </c>
      <c r="C34" s="579" t="s">
        <v>281</v>
      </c>
      <c r="D34" s="579"/>
      <c r="E34" s="583"/>
      <c r="F34" s="596"/>
      <c r="G34" s="65">
        <v>0</v>
      </c>
      <c r="H34" s="591" t="s">
        <v>280</v>
      </c>
      <c r="I34" s="591" t="s">
        <v>280</v>
      </c>
    </row>
    <row r="35" spans="1:9">
      <c r="A35" s="578"/>
      <c r="B35" s="579">
        <v>233</v>
      </c>
      <c r="C35" s="579" t="s">
        <v>281</v>
      </c>
      <c r="D35" s="579"/>
      <c r="E35" s="583"/>
      <c r="F35" s="596"/>
      <c r="G35" s="65">
        <v>0</v>
      </c>
      <c r="H35" s="591" t="s">
        <v>280</v>
      </c>
      <c r="I35" s="591" t="s">
        <v>280</v>
      </c>
    </row>
    <row r="36" spans="1:9">
      <c r="A36" s="578"/>
      <c r="B36" s="579">
        <v>234</v>
      </c>
      <c r="C36" s="579" t="s">
        <v>281</v>
      </c>
      <c r="D36" s="579"/>
      <c r="E36" s="583"/>
      <c r="F36" s="596"/>
      <c r="G36" s="65">
        <v>0</v>
      </c>
      <c r="H36" s="591" t="s">
        <v>280</v>
      </c>
      <c r="I36" s="591" t="s">
        <v>280</v>
      </c>
    </row>
    <row r="37" spans="1:9">
      <c r="A37" s="578"/>
      <c r="B37" s="579">
        <v>235</v>
      </c>
      <c r="C37" s="579" t="s">
        <v>281</v>
      </c>
      <c r="D37" s="579"/>
      <c r="E37" s="583"/>
      <c r="F37" s="596"/>
      <c r="G37" s="65">
        <v>0</v>
      </c>
      <c r="H37" s="591" t="s">
        <v>280</v>
      </c>
      <c r="I37" s="591" t="s">
        <v>280</v>
      </c>
    </row>
    <row r="38" spans="1:9">
      <c r="A38" s="578"/>
      <c r="B38" s="579">
        <v>236</v>
      </c>
      <c r="C38" s="579" t="s">
        <v>281</v>
      </c>
      <c r="D38" s="579"/>
      <c r="E38" s="583"/>
      <c r="F38" s="596"/>
      <c r="G38" s="65">
        <v>0</v>
      </c>
      <c r="H38" s="591" t="s">
        <v>280</v>
      </c>
      <c r="I38" s="591" t="s">
        <v>280</v>
      </c>
    </row>
    <row r="39" spans="1:9">
      <c r="A39" s="578"/>
      <c r="B39" s="579">
        <v>237</v>
      </c>
      <c r="C39" s="579" t="s">
        <v>281</v>
      </c>
      <c r="D39" s="579"/>
      <c r="E39" s="583"/>
      <c r="F39" s="596"/>
      <c r="G39" s="65">
        <v>0</v>
      </c>
      <c r="H39" s="591" t="s">
        <v>280</v>
      </c>
      <c r="I39" s="591" t="s">
        <v>280</v>
      </c>
    </row>
    <row r="40" spans="1:9">
      <c r="A40" s="578"/>
      <c r="B40" s="579">
        <v>238</v>
      </c>
      <c r="C40" s="579" t="s">
        <v>281</v>
      </c>
      <c r="D40" s="579"/>
      <c r="E40" s="583"/>
      <c r="F40" s="596"/>
      <c r="G40" s="65">
        <v>0</v>
      </c>
      <c r="H40" s="591" t="s">
        <v>280</v>
      </c>
      <c r="I40" s="591" t="s">
        <v>280</v>
      </c>
    </row>
    <row r="41" spans="1:9">
      <c r="A41" s="578"/>
      <c r="B41" s="579">
        <v>239</v>
      </c>
      <c r="C41" s="579" t="s">
        <v>281</v>
      </c>
      <c r="D41" s="579"/>
      <c r="E41" s="583"/>
      <c r="F41" s="596"/>
      <c r="G41" s="65">
        <v>0</v>
      </c>
      <c r="H41" s="591" t="s">
        <v>280</v>
      </c>
      <c r="I41" s="591" t="s">
        <v>280</v>
      </c>
    </row>
    <row r="42" spans="1:9">
      <c r="A42" s="578"/>
      <c r="B42" s="579">
        <v>240</v>
      </c>
      <c r="C42" s="579" t="s">
        <v>281</v>
      </c>
      <c r="D42" s="579"/>
      <c r="E42" s="583"/>
      <c r="F42" s="596"/>
      <c r="G42" s="65">
        <v>0</v>
      </c>
      <c r="H42" s="591" t="s">
        <v>280</v>
      </c>
      <c r="I42" s="591" t="s">
        <v>280</v>
      </c>
    </row>
    <row r="43" spans="1:9">
      <c r="A43" s="578"/>
      <c r="B43" s="579">
        <v>241</v>
      </c>
      <c r="C43" s="579" t="s">
        <v>281</v>
      </c>
      <c r="D43" s="579"/>
      <c r="E43" s="583"/>
      <c r="F43" s="596"/>
      <c r="G43" s="65">
        <v>0</v>
      </c>
      <c r="H43" s="591" t="s">
        <v>280</v>
      </c>
      <c r="I43" s="591" t="s">
        <v>280</v>
      </c>
    </row>
    <row r="44" spans="1:9">
      <c r="A44" s="578"/>
      <c r="B44" s="579">
        <v>242</v>
      </c>
      <c r="C44" s="579" t="s">
        <v>281</v>
      </c>
      <c r="D44" s="579"/>
      <c r="E44" s="583"/>
      <c r="F44" s="596"/>
      <c r="G44" s="65">
        <v>0</v>
      </c>
      <c r="H44" s="591" t="s">
        <v>280</v>
      </c>
      <c r="I44" s="591" t="s">
        <v>280</v>
      </c>
    </row>
    <row r="45" spans="1:9">
      <c r="A45" s="578"/>
      <c r="B45" s="579">
        <v>243</v>
      </c>
      <c r="C45" s="579" t="s">
        <v>281</v>
      </c>
      <c r="D45" s="579"/>
      <c r="E45" s="583"/>
      <c r="F45" s="596"/>
      <c r="G45" s="65">
        <v>0</v>
      </c>
      <c r="H45" s="591" t="s">
        <v>280</v>
      </c>
      <c r="I45" s="591" t="s">
        <v>280</v>
      </c>
    </row>
    <row r="46" spans="1:9">
      <c r="A46" s="578"/>
      <c r="B46" s="579">
        <v>244</v>
      </c>
      <c r="C46" s="579" t="s">
        <v>281</v>
      </c>
      <c r="D46" s="579"/>
      <c r="E46" s="583"/>
      <c r="F46" s="596"/>
      <c r="G46" s="65">
        <v>0</v>
      </c>
      <c r="H46" s="591" t="s">
        <v>280</v>
      </c>
      <c r="I46" s="591" t="s">
        <v>280</v>
      </c>
    </row>
    <row r="47" spans="1:9">
      <c r="A47" s="578"/>
      <c r="B47" s="579">
        <v>245</v>
      </c>
      <c r="C47" s="579" t="s">
        <v>281</v>
      </c>
      <c r="D47" s="579"/>
      <c r="E47" s="583"/>
      <c r="F47" s="596"/>
      <c r="G47" s="65">
        <v>0</v>
      </c>
      <c r="H47" s="591" t="s">
        <v>280</v>
      </c>
      <c r="I47" s="591" t="s">
        <v>280</v>
      </c>
    </row>
    <row r="48" spans="1:9">
      <c r="A48" s="578"/>
      <c r="B48" s="579">
        <v>246</v>
      </c>
      <c r="C48" s="579" t="s">
        <v>281</v>
      </c>
      <c r="D48" s="579"/>
      <c r="E48" s="583"/>
      <c r="F48" s="596"/>
      <c r="G48" s="65">
        <v>0</v>
      </c>
      <c r="H48" s="591" t="s">
        <v>280</v>
      </c>
      <c r="I48" s="591" t="s">
        <v>280</v>
      </c>
    </row>
    <row r="49" spans="1:9">
      <c r="A49" s="578"/>
      <c r="B49" s="579">
        <v>247</v>
      </c>
      <c r="C49" s="579" t="s">
        <v>281</v>
      </c>
      <c r="D49" s="579"/>
      <c r="E49" s="583"/>
      <c r="F49" s="596"/>
      <c r="G49" s="65">
        <v>0</v>
      </c>
      <c r="H49" s="591" t="s">
        <v>280</v>
      </c>
      <c r="I49" s="591" t="s">
        <v>280</v>
      </c>
    </row>
    <row r="50" spans="1:9">
      <c r="A50" s="578"/>
      <c r="B50" s="579">
        <v>248</v>
      </c>
      <c r="C50" s="579" t="s">
        <v>281</v>
      </c>
      <c r="D50" s="579"/>
      <c r="E50" s="583"/>
      <c r="F50" s="596"/>
      <c r="G50" s="65">
        <v>0</v>
      </c>
      <c r="H50" s="591" t="s">
        <v>280</v>
      </c>
      <c r="I50" s="591" t="s">
        <v>280</v>
      </c>
    </row>
    <row r="51" spans="1:9">
      <c r="A51" s="578"/>
      <c r="B51" s="579">
        <v>249</v>
      </c>
      <c r="C51" s="579" t="s">
        <v>281</v>
      </c>
      <c r="D51" s="579"/>
      <c r="E51" s="583"/>
      <c r="F51" s="596"/>
      <c r="G51" s="65">
        <v>0</v>
      </c>
      <c r="H51" s="591" t="s">
        <v>280</v>
      </c>
      <c r="I51" s="591" t="s">
        <v>280</v>
      </c>
    </row>
    <row r="52" spans="1:9">
      <c r="A52" s="578"/>
      <c r="B52" s="579">
        <v>250</v>
      </c>
      <c r="C52" s="579" t="s">
        <v>281</v>
      </c>
      <c r="D52" s="579"/>
      <c r="E52" s="583"/>
      <c r="F52" s="596"/>
      <c r="G52" s="65">
        <v>0</v>
      </c>
      <c r="H52" s="591" t="s">
        <v>280</v>
      </c>
      <c r="I52" s="591" t="s">
        <v>280</v>
      </c>
    </row>
    <row r="53" spans="1:9">
      <c r="A53" s="578"/>
      <c r="B53" s="579">
        <v>251</v>
      </c>
      <c r="C53" s="579" t="s">
        <v>281</v>
      </c>
      <c r="D53" s="579"/>
      <c r="E53" s="583"/>
      <c r="F53" s="596"/>
      <c r="G53" s="65">
        <v>0</v>
      </c>
      <c r="H53" s="591" t="s">
        <v>280</v>
      </c>
      <c r="I53" s="591" t="s">
        <v>280</v>
      </c>
    </row>
    <row r="54" spans="1:9">
      <c r="A54" s="578"/>
      <c r="B54" s="579">
        <v>252</v>
      </c>
      <c r="C54" s="579" t="s">
        <v>281</v>
      </c>
      <c r="D54" s="579"/>
      <c r="E54" s="583"/>
      <c r="F54" s="596"/>
      <c r="G54" s="65">
        <v>0</v>
      </c>
      <c r="H54" s="591" t="s">
        <v>280</v>
      </c>
      <c r="I54" s="591" t="s">
        <v>280</v>
      </c>
    </row>
    <row r="55" spans="1:9">
      <c r="A55" s="578"/>
      <c r="B55" s="579">
        <v>253</v>
      </c>
      <c r="C55" s="579" t="s">
        <v>281</v>
      </c>
      <c r="D55" s="579"/>
      <c r="E55" s="583"/>
      <c r="F55" s="596"/>
      <c r="G55" s="65">
        <v>0</v>
      </c>
      <c r="H55" s="591" t="s">
        <v>280</v>
      </c>
      <c r="I55" s="591" t="s">
        <v>280</v>
      </c>
    </row>
    <row r="56" spans="1:9">
      <c r="A56" s="578"/>
      <c r="B56" s="579">
        <v>254</v>
      </c>
      <c r="C56" s="579" t="s">
        <v>281</v>
      </c>
      <c r="D56" s="579"/>
      <c r="E56" s="583"/>
      <c r="F56" s="596"/>
      <c r="G56" s="65">
        <v>0</v>
      </c>
      <c r="H56" s="591" t="s">
        <v>280</v>
      </c>
      <c r="I56" s="591" t="s">
        <v>280</v>
      </c>
    </row>
    <row r="57" spans="1:9">
      <c r="A57" s="578"/>
      <c r="B57" s="579">
        <v>255</v>
      </c>
      <c r="C57" s="579" t="s">
        <v>281</v>
      </c>
      <c r="D57" s="579"/>
      <c r="E57" s="583"/>
      <c r="F57" s="596"/>
      <c r="G57" s="65">
        <v>0</v>
      </c>
      <c r="H57" s="591" t="s">
        <v>280</v>
      </c>
      <c r="I57" s="591" t="s">
        <v>280</v>
      </c>
    </row>
    <row r="58" spans="1:9">
      <c r="A58" s="578"/>
      <c r="B58" s="579">
        <v>256</v>
      </c>
      <c r="C58" s="579" t="s">
        <v>281</v>
      </c>
      <c r="D58" s="579"/>
      <c r="E58" s="583"/>
      <c r="F58" s="596"/>
      <c r="G58" s="65">
        <v>0</v>
      </c>
      <c r="H58" s="591" t="s">
        <v>280</v>
      </c>
      <c r="I58" s="591" t="s">
        <v>280</v>
      </c>
    </row>
    <row r="59" spans="1:9">
      <c r="A59" s="578"/>
      <c r="B59" s="579">
        <v>257</v>
      </c>
      <c r="C59" s="579" t="s">
        <v>281</v>
      </c>
      <c r="D59" s="579"/>
      <c r="E59" s="583"/>
      <c r="F59" s="596"/>
      <c r="G59" s="65">
        <v>0</v>
      </c>
      <c r="H59" s="591" t="s">
        <v>280</v>
      </c>
      <c r="I59" s="591" t="s">
        <v>280</v>
      </c>
    </row>
    <row r="60" spans="1:9">
      <c r="A60" s="578"/>
      <c r="B60" s="579">
        <v>258</v>
      </c>
      <c r="C60" s="579" t="s">
        <v>281</v>
      </c>
      <c r="D60" s="579"/>
      <c r="E60" s="583"/>
      <c r="F60" s="596"/>
      <c r="G60" s="65">
        <v>0</v>
      </c>
      <c r="H60" s="591" t="s">
        <v>280</v>
      </c>
      <c r="I60" s="591" t="s">
        <v>280</v>
      </c>
    </row>
    <row r="61" spans="1:9">
      <c r="A61" s="578"/>
      <c r="B61" s="579">
        <v>259</v>
      </c>
      <c r="C61" s="579" t="s">
        <v>281</v>
      </c>
      <c r="D61" s="579"/>
      <c r="E61" s="583"/>
      <c r="F61" s="596"/>
      <c r="G61" s="65">
        <v>0</v>
      </c>
      <c r="H61" s="591" t="s">
        <v>280</v>
      </c>
      <c r="I61" s="591" t="s">
        <v>280</v>
      </c>
    </row>
    <row r="62" spans="1:9">
      <c r="A62" s="578"/>
      <c r="B62" s="579">
        <v>260</v>
      </c>
      <c r="C62" s="579" t="s">
        <v>281</v>
      </c>
      <c r="D62" s="579"/>
      <c r="E62" s="583"/>
      <c r="F62" s="596"/>
      <c r="G62" s="65">
        <v>0</v>
      </c>
      <c r="H62" s="591" t="s">
        <v>280</v>
      </c>
      <c r="I62" s="591" t="s">
        <v>280</v>
      </c>
    </row>
    <row r="63" spans="1:9">
      <c r="A63" s="578"/>
      <c r="B63" s="579">
        <v>261</v>
      </c>
      <c r="C63" s="579" t="s">
        <v>281</v>
      </c>
      <c r="D63" s="579"/>
      <c r="E63" s="583"/>
      <c r="F63" s="596"/>
      <c r="G63" s="65">
        <v>0</v>
      </c>
      <c r="H63" s="591" t="s">
        <v>280</v>
      </c>
      <c r="I63" s="591" t="s">
        <v>280</v>
      </c>
    </row>
    <row r="64" spans="1:9">
      <c r="A64" s="578"/>
      <c r="B64" s="579">
        <v>262</v>
      </c>
      <c r="C64" s="579" t="s">
        <v>281</v>
      </c>
      <c r="D64" s="579"/>
      <c r="E64" s="583"/>
      <c r="F64" s="596"/>
      <c r="G64" s="65">
        <v>0</v>
      </c>
      <c r="H64" s="591" t="s">
        <v>280</v>
      </c>
      <c r="I64" s="591" t="s">
        <v>280</v>
      </c>
    </row>
    <row r="65" spans="1:9">
      <c r="A65" s="578"/>
      <c r="B65" s="579">
        <v>263</v>
      </c>
      <c r="C65" s="579" t="s">
        <v>281</v>
      </c>
      <c r="D65" s="579"/>
      <c r="E65" s="583"/>
      <c r="F65" s="596"/>
      <c r="G65" s="65">
        <v>0</v>
      </c>
      <c r="H65" s="591" t="s">
        <v>280</v>
      </c>
      <c r="I65" s="591" t="s">
        <v>280</v>
      </c>
    </row>
    <row r="66" spans="1:9">
      <c r="A66" s="578"/>
      <c r="B66" s="579">
        <v>264</v>
      </c>
      <c r="C66" s="579" t="s">
        <v>281</v>
      </c>
      <c r="D66" s="579"/>
      <c r="E66" s="583"/>
      <c r="F66" s="596"/>
      <c r="G66" s="65">
        <v>0</v>
      </c>
      <c r="H66" s="591" t="s">
        <v>280</v>
      </c>
      <c r="I66" s="591" t="s">
        <v>280</v>
      </c>
    </row>
    <row r="67" spans="1:9">
      <c r="A67" s="578"/>
      <c r="B67" s="579">
        <v>265</v>
      </c>
      <c r="C67" s="579" t="s">
        <v>281</v>
      </c>
      <c r="D67" s="579"/>
      <c r="E67" s="583"/>
      <c r="F67" s="596"/>
      <c r="G67" s="65">
        <v>0</v>
      </c>
      <c r="H67" s="591" t="s">
        <v>280</v>
      </c>
      <c r="I67" s="591" t="s">
        <v>280</v>
      </c>
    </row>
    <row r="68" spans="1:9">
      <c r="A68" s="578"/>
      <c r="B68" s="579">
        <v>266</v>
      </c>
      <c r="C68" s="579" t="s">
        <v>281</v>
      </c>
      <c r="D68" s="579"/>
      <c r="E68" s="583"/>
      <c r="F68" s="596"/>
      <c r="G68" s="65">
        <v>0</v>
      </c>
      <c r="H68" s="591" t="s">
        <v>280</v>
      </c>
      <c r="I68" s="591" t="s">
        <v>280</v>
      </c>
    </row>
    <row r="69" spans="1:9">
      <c r="A69" s="578"/>
      <c r="B69" s="579">
        <v>267</v>
      </c>
      <c r="C69" s="579" t="s">
        <v>281</v>
      </c>
      <c r="D69" s="579"/>
      <c r="E69" s="583"/>
      <c r="F69" s="596"/>
      <c r="G69" s="65">
        <v>0</v>
      </c>
      <c r="H69" s="591" t="s">
        <v>280</v>
      </c>
      <c r="I69" s="591" t="s">
        <v>280</v>
      </c>
    </row>
    <row r="70" spans="1:9">
      <c r="A70" s="578"/>
      <c r="B70" s="579">
        <v>268</v>
      </c>
      <c r="C70" s="579" t="s">
        <v>281</v>
      </c>
      <c r="D70" s="579"/>
      <c r="E70" s="583"/>
      <c r="F70" s="596"/>
      <c r="G70" s="65">
        <v>0</v>
      </c>
      <c r="H70" s="591" t="s">
        <v>280</v>
      </c>
      <c r="I70" s="591" t="s">
        <v>280</v>
      </c>
    </row>
    <row r="71" spans="1:9">
      <c r="A71" s="578"/>
      <c r="B71" s="579">
        <v>269</v>
      </c>
      <c r="C71" s="579" t="s">
        <v>281</v>
      </c>
      <c r="D71" s="579"/>
      <c r="E71" s="583"/>
      <c r="F71" s="596"/>
      <c r="G71" s="65">
        <v>0</v>
      </c>
      <c r="H71" s="591" t="s">
        <v>280</v>
      </c>
      <c r="I71" s="591" t="s">
        <v>280</v>
      </c>
    </row>
    <row r="72" spans="1:9">
      <c r="A72" s="578"/>
      <c r="B72" s="579">
        <v>270</v>
      </c>
      <c r="C72" s="579" t="s">
        <v>281</v>
      </c>
      <c r="D72" s="579"/>
      <c r="E72" s="583"/>
      <c r="F72" s="596"/>
      <c r="G72" s="65">
        <v>0</v>
      </c>
      <c r="H72" s="591" t="s">
        <v>280</v>
      </c>
      <c r="I72" s="591" t="s">
        <v>280</v>
      </c>
    </row>
    <row r="73" spans="1:9">
      <c r="A73" s="578"/>
      <c r="B73" s="579">
        <v>271</v>
      </c>
      <c r="C73" s="579" t="s">
        <v>281</v>
      </c>
      <c r="D73" s="579"/>
      <c r="E73" s="583"/>
      <c r="F73" s="596"/>
      <c r="G73" s="65">
        <v>0</v>
      </c>
      <c r="H73" s="591" t="s">
        <v>280</v>
      </c>
      <c r="I73" s="591" t="s">
        <v>280</v>
      </c>
    </row>
    <row r="74" spans="1:9">
      <c r="A74" s="578"/>
      <c r="B74" s="579">
        <v>272</v>
      </c>
      <c r="C74" s="579" t="s">
        <v>281</v>
      </c>
      <c r="D74" s="579"/>
      <c r="E74" s="583"/>
      <c r="F74" s="596"/>
      <c r="G74" s="65">
        <v>0</v>
      </c>
      <c r="H74" s="591" t="s">
        <v>280</v>
      </c>
      <c r="I74" s="591" t="s">
        <v>280</v>
      </c>
    </row>
    <row r="75" spans="1:9">
      <c r="A75" s="578"/>
      <c r="B75" s="579">
        <v>273</v>
      </c>
      <c r="C75" s="579" t="s">
        <v>281</v>
      </c>
      <c r="D75" s="579"/>
      <c r="E75" s="583"/>
      <c r="F75" s="596"/>
      <c r="G75" s="65">
        <v>0</v>
      </c>
      <c r="H75" s="591" t="s">
        <v>280</v>
      </c>
      <c r="I75" s="591" t="s">
        <v>280</v>
      </c>
    </row>
    <row r="76" spans="1:9">
      <c r="A76" s="578"/>
      <c r="B76" s="579">
        <v>274</v>
      </c>
      <c r="C76" s="579" t="s">
        <v>281</v>
      </c>
      <c r="D76" s="579"/>
      <c r="E76" s="583"/>
      <c r="F76" s="596"/>
      <c r="G76" s="65">
        <v>0</v>
      </c>
      <c r="H76" s="591" t="s">
        <v>280</v>
      </c>
      <c r="I76" s="591" t="s">
        <v>280</v>
      </c>
    </row>
    <row r="77" spans="1:9">
      <c r="A77" s="578"/>
      <c r="B77" s="579">
        <v>275</v>
      </c>
      <c r="C77" s="579" t="s">
        <v>281</v>
      </c>
      <c r="D77" s="579"/>
      <c r="E77" s="583"/>
      <c r="F77" s="596"/>
      <c r="G77" s="65">
        <v>0</v>
      </c>
      <c r="H77" s="591" t="s">
        <v>280</v>
      </c>
      <c r="I77" s="591" t="s">
        <v>280</v>
      </c>
    </row>
    <row r="78" spans="1:9">
      <c r="A78" s="578"/>
      <c r="B78" s="579">
        <v>276</v>
      </c>
      <c r="C78" s="579" t="s">
        <v>281</v>
      </c>
      <c r="D78" s="579"/>
      <c r="E78" s="583"/>
      <c r="F78" s="596"/>
      <c r="G78" s="65">
        <v>0</v>
      </c>
      <c r="H78" s="591" t="s">
        <v>280</v>
      </c>
      <c r="I78" s="591" t="s">
        <v>280</v>
      </c>
    </row>
    <row r="79" spans="1:9">
      <c r="A79" s="578"/>
      <c r="B79" s="579">
        <v>277</v>
      </c>
      <c r="C79" s="579" t="s">
        <v>281</v>
      </c>
      <c r="D79" s="579"/>
      <c r="E79" s="583"/>
      <c r="F79" s="596"/>
      <c r="G79" s="65">
        <v>0</v>
      </c>
      <c r="H79" s="591" t="s">
        <v>280</v>
      </c>
      <c r="I79" s="591" t="s">
        <v>280</v>
      </c>
    </row>
    <row r="80" spans="1:9">
      <c r="A80" s="578"/>
      <c r="B80" s="579">
        <v>278</v>
      </c>
      <c r="C80" s="579" t="s">
        <v>281</v>
      </c>
      <c r="D80" s="579"/>
      <c r="E80" s="583"/>
      <c r="F80" s="596"/>
      <c r="G80" s="65">
        <v>0</v>
      </c>
      <c r="H80" s="591" t="s">
        <v>280</v>
      </c>
      <c r="I80" s="591" t="s">
        <v>280</v>
      </c>
    </row>
    <row r="81" spans="1:9">
      <c r="A81" s="578"/>
      <c r="B81" s="579">
        <v>279</v>
      </c>
      <c r="C81" s="579" t="s">
        <v>281</v>
      </c>
      <c r="D81" s="579"/>
      <c r="E81" s="583"/>
      <c r="F81" s="596"/>
      <c r="G81" s="65">
        <v>0</v>
      </c>
      <c r="H81" s="591" t="s">
        <v>280</v>
      </c>
      <c r="I81" s="591" t="s">
        <v>280</v>
      </c>
    </row>
    <row r="82" spans="1:9">
      <c r="A82" s="578"/>
      <c r="B82" s="579">
        <v>280</v>
      </c>
      <c r="C82" s="579" t="s">
        <v>281</v>
      </c>
      <c r="D82" s="579"/>
      <c r="E82" s="583"/>
      <c r="F82" s="596"/>
      <c r="G82" s="65">
        <v>0</v>
      </c>
      <c r="H82" s="591" t="s">
        <v>280</v>
      </c>
      <c r="I82" s="591" t="s">
        <v>280</v>
      </c>
    </row>
    <row r="83" spans="1:9">
      <c r="A83" s="578"/>
      <c r="B83" s="579">
        <v>281</v>
      </c>
      <c r="C83" s="579" t="s">
        <v>281</v>
      </c>
      <c r="D83" s="579"/>
      <c r="E83" s="583"/>
      <c r="F83" s="596"/>
      <c r="G83" s="65">
        <v>0</v>
      </c>
      <c r="H83" s="591" t="s">
        <v>280</v>
      </c>
      <c r="I83" s="591" t="s">
        <v>280</v>
      </c>
    </row>
    <row r="84" spans="1:9">
      <c r="A84" s="578"/>
      <c r="B84" s="579">
        <v>282</v>
      </c>
      <c r="C84" s="579" t="s">
        <v>281</v>
      </c>
      <c r="D84" s="579"/>
      <c r="E84" s="583"/>
      <c r="F84" s="596"/>
      <c r="G84" s="65">
        <v>0</v>
      </c>
      <c r="H84" s="591" t="s">
        <v>280</v>
      </c>
      <c r="I84" s="591" t="s">
        <v>280</v>
      </c>
    </row>
    <row r="85" spans="1:9">
      <c r="A85" s="578"/>
      <c r="B85" s="579">
        <v>283</v>
      </c>
      <c r="C85" s="579" t="s">
        <v>281</v>
      </c>
      <c r="D85" s="579"/>
      <c r="E85" s="583"/>
      <c r="F85" s="596"/>
      <c r="G85" s="65">
        <v>0</v>
      </c>
      <c r="H85" s="591" t="s">
        <v>280</v>
      </c>
      <c r="I85" s="591" t="s">
        <v>280</v>
      </c>
    </row>
    <row r="86" spans="1:9">
      <c r="A86" s="578"/>
      <c r="B86" s="579">
        <v>284</v>
      </c>
      <c r="C86" s="579" t="s">
        <v>281</v>
      </c>
      <c r="D86" s="579"/>
      <c r="E86" s="583"/>
      <c r="F86" s="596"/>
      <c r="G86" s="65">
        <v>0</v>
      </c>
      <c r="H86" s="591" t="s">
        <v>280</v>
      </c>
      <c r="I86" s="591" t="s">
        <v>280</v>
      </c>
    </row>
    <row r="87" spans="1:9">
      <c r="A87" s="578"/>
      <c r="B87" s="579">
        <v>285</v>
      </c>
      <c r="C87" s="579" t="s">
        <v>281</v>
      </c>
      <c r="D87" s="579"/>
      <c r="E87" s="583"/>
      <c r="F87" s="596"/>
      <c r="G87" s="65">
        <v>0</v>
      </c>
      <c r="H87" s="591" t="s">
        <v>280</v>
      </c>
      <c r="I87" s="591" t="s">
        <v>280</v>
      </c>
    </row>
    <row r="88" spans="1:9">
      <c r="A88" s="578"/>
      <c r="B88" s="579">
        <v>286</v>
      </c>
      <c r="C88" s="579" t="s">
        <v>281</v>
      </c>
      <c r="D88" s="579"/>
      <c r="E88" s="583"/>
      <c r="F88" s="596"/>
      <c r="G88" s="65">
        <v>0</v>
      </c>
      <c r="H88" s="591" t="s">
        <v>280</v>
      </c>
      <c r="I88" s="591" t="s">
        <v>280</v>
      </c>
    </row>
    <row r="89" spans="1:9">
      <c r="A89" s="578"/>
      <c r="B89" s="579">
        <v>287</v>
      </c>
      <c r="C89" s="579" t="s">
        <v>281</v>
      </c>
      <c r="D89" s="579"/>
      <c r="E89" s="583"/>
      <c r="F89" s="596"/>
      <c r="G89" s="65">
        <v>0</v>
      </c>
      <c r="H89" s="591" t="s">
        <v>280</v>
      </c>
      <c r="I89" s="591" t="s">
        <v>280</v>
      </c>
    </row>
    <row r="90" spans="1:9">
      <c r="A90" s="578"/>
      <c r="B90" s="579">
        <v>288</v>
      </c>
      <c r="C90" s="579" t="s">
        <v>281</v>
      </c>
      <c r="D90" s="579"/>
      <c r="E90" s="583"/>
      <c r="F90" s="596"/>
      <c r="G90" s="65">
        <v>0</v>
      </c>
      <c r="H90" s="591" t="s">
        <v>280</v>
      </c>
      <c r="I90" s="591" t="s">
        <v>280</v>
      </c>
    </row>
    <row r="91" spans="1:9">
      <c r="A91" s="578"/>
      <c r="B91" s="579">
        <v>289</v>
      </c>
      <c r="C91" s="579" t="s">
        <v>281</v>
      </c>
      <c r="D91" s="579"/>
      <c r="E91" s="583"/>
      <c r="F91" s="596"/>
      <c r="G91" s="65">
        <v>0</v>
      </c>
      <c r="H91" s="591" t="s">
        <v>280</v>
      </c>
      <c r="I91" s="591" t="s">
        <v>280</v>
      </c>
    </row>
    <row r="92" spans="1:9">
      <c r="A92" s="578"/>
      <c r="B92" s="579">
        <v>290</v>
      </c>
      <c r="C92" s="579" t="s">
        <v>281</v>
      </c>
      <c r="D92" s="579"/>
      <c r="E92" s="583"/>
      <c r="F92" s="596"/>
      <c r="G92" s="65">
        <v>0</v>
      </c>
      <c r="H92" s="591" t="s">
        <v>280</v>
      </c>
      <c r="I92" s="591" t="s">
        <v>280</v>
      </c>
    </row>
    <row r="93" spans="1:9">
      <c r="A93" s="578"/>
      <c r="B93" s="579">
        <v>291</v>
      </c>
      <c r="C93" s="579" t="s">
        <v>281</v>
      </c>
      <c r="D93" s="579"/>
      <c r="E93" s="583"/>
      <c r="F93" s="596"/>
      <c r="G93" s="65">
        <v>0</v>
      </c>
      <c r="H93" s="591" t="s">
        <v>280</v>
      </c>
      <c r="I93" s="591" t="s">
        <v>280</v>
      </c>
    </row>
    <row r="94" spans="1:9">
      <c r="A94" s="578"/>
      <c r="B94" s="579">
        <v>292</v>
      </c>
      <c r="C94" s="579" t="s">
        <v>281</v>
      </c>
      <c r="D94" s="579"/>
      <c r="E94" s="583"/>
      <c r="F94" s="596"/>
      <c r="G94" s="65">
        <v>0</v>
      </c>
      <c r="H94" s="591" t="s">
        <v>280</v>
      </c>
      <c r="I94" s="591" t="s">
        <v>280</v>
      </c>
    </row>
    <row r="95" spans="1:9">
      <c r="A95" s="578"/>
      <c r="B95" s="579">
        <v>293</v>
      </c>
      <c r="C95" s="579" t="s">
        <v>281</v>
      </c>
      <c r="D95" s="579"/>
      <c r="E95" s="583"/>
      <c r="F95" s="596"/>
      <c r="G95" s="65">
        <v>0</v>
      </c>
      <c r="H95" s="591" t="s">
        <v>280</v>
      </c>
      <c r="I95" s="591" t="s">
        <v>280</v>
      </c>
    </row>
    <row r="96" spans="1:9">
      <c r="A96" s="578"/>
      <c r="B96" s="579">
        <v>294</v>
      </c>
      <c r="C96" s="579" t="s">
        <v>281</v>
      </c>
      <c r="D96" s="579"/>
      <c r="E96" s="583"/>
      <c r="F96" s="596"/>
      <c r="G96" s="65">
        <v>0</v>
      </c>
      <c r="H96" s="591" t="s">
        <v>280</v>
      </c>
      <c r="I96" s="591" t="s">
        <v>280</v>
      </c>
    </row>
    <row r="97" spans="1:10">
      <c r="A97" s="578"/>
      <c r="B97" s="579">
        <v>295</v>
      </c>
      <c r="C97" s="579" t="s">
        <v>281</v>
      </c>
      <c r="D97" s="579"/>
      <c r="E97" s="583"/>
      <c r="F97" s="596"/>
      <c r="G97" s="65">
        <v>0</v>
      </c>
      <c r="H97" s="591" t="s">
        <v>280</v>
      </c>
      <c r="I97" s="591" t="s">
        <v>280</v>
      </c>
    </row>
    <row r="98" spans="1:10">
      <c r="A98" s="578"/>
      <c r="B98" s="579">
        <v>296</v>
      </c>
      <c r="C98" s="579" t="s">
        <v>281</v>
      </c>
      <c r="D98" s="579"/>
      <c r="E98" s="583"/>
      <c r="F98" s="596"/>
      <c r="G98" s="65">
        <v>0</v>
      </c>
      <c r="H98" s="591" t="s">
        <v>280</v>
      </c>
      <c r="I98" s="591" t="s">
        <v>280</v>
      </c>
    </row>
    <row r="99" spans="1:10">
      <c r="A99" s="578"/>
      <c r="B99" s="579">
        <v>297</v>
      </c>
      <c r="C99" s="579" t="s">
        <v>281</v>
      </c>
      <c r="D99" s="579"/>
      <c r="E99" s="583"/>
      <c r="F99" s="596"/>
      <c r="G99" s="65">
        <v>0</v>
      </c>
      <c r="H99" s="591" t="s">
        <v>280</v>
      </c>
      <c r="I99" s="591" t="s">
        <v>280</v>
      </c>
    </row>
    <row r="100" spans="1:10">
      <c r="A100" s="578"/>
      <c r="B100" s="579">
        <v>298</v>
      </c>
      <c r="C100" s="579" t="s">
        <v>281</v>
      </c>
      <c r="D100" s="579"/>
      <c r="E100" s="583"/>
      <c r="F100" s="596"/>
      <c r="G100" s="65">
        <v>0</v>
      </c>
      <c r="H100" s="591" t="s">
        <v>280</v>
      </c>
      <c r="I100" s="591" t="s">
        <v>280</v>
      </c>
    </row>
    <row r="101" spans="1:10">
      <c r="A101" s="578"/>
      <c r="B101" s="579">
        <v>299</v>
      </c>
      <c r="C101" s="579" t="s">
        <v>281</v>
      </c>
      <c r="D101" s="579"/>
      <c r="E101" s="583"/>
      <c r="F101" s="596"/>
      <c r="G101" s="65">
        <v>0</v>
      </c>
      <c r="H101" s="591" t="s">
        <v>280</v>
      </c>
      <c r="I101" s="591" t="s">
        <v>280</v>
      </c>
    </row>
    <row r="102" spans="1:10">
      <c r="A102" s="582" t="s">
        <v>282</v>
      </c>
      <c r="B102" s="65">
        <v>300</v>
      </c>
      <c r="C102" s="579" t="s">
        <v>279</v>
      </c>
      <c r="D102" s="579"/>
      <c r="E102" s="583"/>
      <c r="F102" s="596" t="s">
        <v>486</v>
      </c>
      <c r="G102" s="65">
        <v>1</v>
      </c>
      <c r="H102" s="591" t="s">
        <v>280</v>
      </c>
      <c r="I102" s="591" t="s">
        <v>280</v>
      </c>
    </row>
    <row r="103" spans="1:10">
      <c r="A103" s="582" t="s">
        <v>282</v>
      </c>
      <c r="B103" s="65">
        <v>301</v>
      </c>
      <c r="C103" s="579" t="s">
        <v>281</v>
      </c>
      <c r="D103" s="579"/>
      <c r="E103" s="583"/>
      <c r="F103" s="596"/>
      <c r="G103" s="65">
        <v>0</v>
      </c>
      <c r="H103" s="591" t="s">
        <v>280</v>
      </c>
      <c r="I103" s="591" t="s">
        <v>280</v>
      </c>
      <c r="J103" s="57"/>
    </row>
    <row r="104" spans="1:10">
      <c r="A104" s="582" t="s">
        <v>282</v>
      </c>
      <c r="B104" s="65">
        <v>302</v>
      </c>
      <c r="C104" s="579" t="s">
        <v>281</v>
      </c>
      <c r="D104" s="579"/>
      <c r="E104" s="583"/>
      <c r="F104" s="596"/>
      <c r="G104" s="65">
        <v>0</v>
      </c>
      <c r="H104" s="591" t="s">
        <v>280</v>
      </c>
      <c r="I104" s="591" t="s">
        <v>280</v>
      </c>
      <c r="J104" s="57"/>
    </row>
    <row r="105" spans="1:10">
      <c r="A105" s="582" t="s">
        <v>282</v>
      </c>
      <c r="B105" s="65">
        <v>303</v>
      </c>
      <c r="C105" s="579" t="s">
        <v>283</v>
      </c>
      <c r="D105" s="579">
        <v>10124</v>
      </c>
      <c r="E105" s="583"/>
      <c r="F105" s="585">
        <v>45535</v>
      </c>
      <c r="G105" s="65">
        <v>1</v>
      </c>
      <c r="H105" s="591" t="s">
        <v>1974</v>
      </c>
      <c r="I105" s="591" t="s">
        <v>53</v>
      </c>
      <c r="J105" s="57"/>
    </row>
    <row r="106" spans="1:10">
      <c r="A106" s="582" t="s">
        <v>282</v>
      </c>
      <c r="B106" s="65">
        <v>304</v>
      </c>
      <c r="C106" s="63" t="s">
        <v>284</v>
      </c>
      <c r="D106" s="579">
        <v>10254</v>
      </c>
      <c r="E106" s="583"/>
      <c r="F106" s="585">
        <v>45535</v>
      </c>
      <c r="G106" s="65">
        <v>1</v>
      </c>
      <c r="H106" s="591" t="s">
        <v>1974</v>
      </c>
      <c r="I106" s="591" t="s">
        <v>53</v>
      </c>
      <c r="J106" s="57"/>
    </row>
    <row r="107" spans="1:10">
      <c r="A107" s="582" t="s">
        <v>282</v>
      </c>
      <c r="B107" s="65">
        <v>305</v>
      </c>
      <c r="C107" s="579" t="s">
        <v>285</v>
      </c>
      <c r="D107" s="579">
        <v>10379</v>
      </c>
      <c r="E107" s="583"/>
      <c r="F107" s="585">
        <v>45535</v>
      </c>
      <c r="G107" s="65">
        <v>1</v>
      </c>
      <c r="H107" s="591" t="s">
        <v>1974</v>
      </c>
      <c r="I107" s="591" t="s">
        <v>53</v>
      </c>
      <c r="J107" s="57"/>
    </row>
    <row r="108" spans="1:10">
      <c r="A108" s="582" t="s">
        <v>282</v>
      </c>
      <c r="B108" s="65">
        <v>306</v>
      </c>
      <c r="C108" s="579" t="s">
        <v>281</v>
      </c>
      <c r="D108" s="579"/>
      <c r="E108" s="583"/>
      <c r="F108" s="596"/>
      <c r="G108" s="65">
        <v>0</v>
      </c>
      <c r="H108" s="591" t="s">
        <v>280</v>
      </c>
      <c r="I108" s="591" t="s">
        <v>280</v>
      </c>
      <c r="J108" s="57"/>
    </row>
    <row r="109" spans="1:10">
      <c r="A109" s="582" t="s">
        <v>282</v>
      </c>
      <c r="B109" s="65">
        <v>307</v>
      </c>
      <c r="C109" s="579" t="s">
        <v>286</v>
      </c>
      <c r="D109" s="579">
        <v>10419</v>
      </c>
      <c r="E109" s="583"/>
      <c r="F109" s="585">
        <v>45535</v>
      </c>
      <c r="G109" s="65">
        <v>1</v>
      </c>
      <c r="H109" s="591" t="s">
        <v>1974</v>
      </c>
      <c r="I109" s="591" t="s">
        <v>53</v>
      </c>
      <c r="J109" s="57"/>
    </row>
    <row r="110" spans="1:10">
      <c r="A110" s="582" t="s">
        <v>282</v>
      </c>
      <c r="B110" s="65">
        <v>308</v>
      </c>
      <c r="C110" s="579" t="s">
        <v>281</v>
      </c>
      <c r="D110" s="63"/>
      <c r="E110" s="583"/>
      <c r="F110" s="596"/>
      <c r="G110" s="65">
        <v>0</v>
      </c>
      <c r="H110" s="591" t="s">
        <v>280</v>
      </c>
      <c r="I110" s="591" t="s">
        <v>280</v>
      </c>
      <c r="J110" s="57"/>
    </row>
    <row r="111" spans="1:10">
      <c r="A111" s="582" t="s">
        <v>282</v>
      </c>
      <c r="B111" s="65">
        <v>309</v>
      </c>
      <c r="C111" s="579" t="s">
        <v>281</v>
      </c>
      <c r="D111" s="579"/>
      <c r="E111" s="583"/>
      <c r="F111" s="596"/>
      <c r="G111" s="65">
        <v>0</v>
      </c>
      <c r="H111" s="591" t="s">
        <v>280</v>
      </c>
      <c r="I111" s="591" t="s">
        <v>280</v>
      </c>
      <c r="J111" s="57"/>
    </row>
    <row r="112" spans="1:10">
      <c r="A112" s="582" t="s">
        <v>282</v>
      </c>
      <c r="B112" s="65">
        <v>310</v>
      </c>
      <c r="C112" s="579" t="s">
        <v>281</v>
      </c>
      <c r="D112" s="579"/>
      <c r="E112" s="583"/>
      <c r="F112" s="596"/>
      <c r="G112" s="65">
        <v>0</v>
      </c>
      <c r="H112" s="591" t="s">
        <v>280</v>
      </c>
      <c r="I112" s="591" t="s">
        <v>280</v>
      </c>
      <c r="J112" s="57"/>
    </row>
    <row r="113" spans="1:10">
      <c r="A113" s="582" t="s">
        <v>282</v>
      </c>
      <c r="B113" s="65">
        <v>311</v>
      </c>
      <c r="C113" s="579" t="s">
        <v>281</v>
      </c>
      <c r="D113" s="579"/>
      <c r="E113" s="583"/>
      <c r="F113" s="596"/>
      <c r="G113" s="65">
        <v>0</v>
      </c>
      <c r="H113" s="591" t="s">
        <v>280</v>
      </c>
      <c r="I113" s="591" t="s">
        <v>280</v>
      </c>
      <c r="J113" s="57"/>
    </row>
    <row r="114" spans="1:10">
      <c r="A114" s="582" t="s">
        <v>282</v>
      </c>
      <c r="B114" s="65">
        <v>312</v>
      </c>
      <c r="C114" s="579" t="s">
        <v>287</v>
      </c>
      <c r="D114" s="579">
        <v>10177</v>
      </c>
      <c r="E114" s="583"/>
      <c r="F114" s="585">
        <v>45535</v>
      </c>
      <c r="G114" s="65">
        <v>1</v>
      </c>
      <c r="H114" s="591" t="s">
        <v>1974</v>
      </c>
      <c r="I114" s="591" t="s">
        <v>53</v>
      </c>
      <c r="J114" s="57"/>
    </row>
    <row r="115" spans="1:10">
      <c r="A115" s="582" t="s">
        <v>282</v>
      </c>
      <c r="B115" s="65">
        <v>313</v>
      </c>
      <c r="C115" s="579" t="s">
        <v>281</v>
      </c>
      <c r="D115" s="579"/>
      <c r="E115" s="583"/>
      <c r="F115" s="596"/>
      <c r="G115" s="65">
        <v>0</v>
      </c>
      <c r="H115" s="591" t="s">
        <v>280</v>
      </c>
      <c r="I115" s="591" t="s">
        <v>280</v>
      </c>
      <c r="J115" s="57"/>
    </row>
    <row r="116" spans="1:10">
      <c r="A116" s="582" t="s">
        <v>282</v>
      </c>
      <c r="B116" s="65">
        <v>314</v>
      </c>
      <c r="C116" s="579" t="s">
        <v>281</v>
      </c>
      <c r="D116" s="579"/>
      <c r="E116" s="583"/>
      <c r="F116" s="596"/>
      <c r="G116" s="65">
        <v>0</v>
      </c>
      <c r="H116" s="591" t="s">
        <v>280</v>
      </c>
      <c r="I116" s="591" t="s">
        <v>280</v>
      </c>
      <c r="J116" s="57"/>
    </row>
    <row r="117" spans="1:10">
      <c r="A117" s="582" t="s">
        <v>282</v>
      </c>
      <c r="B117" s="65">
        <v>315</v>
      </c>
      <c r="C117" s="579" t="s">
        <v>281</v>
      </c>
      <c r="D117" s="579"/>
      <c r="E117" s="583"/>
      <c r="F117" s="596"/>
      <c r="G117" s="65">
        <v>0</v>
      </c>
      <c r="H117" s="591" t="s">
        <v>280</v>
      </c>
      <c r="I117" s="591" t="s">
        <v>280</v>
      </c>
      <c r="J117" s="57"/>
    </row>
    <row r="118" spans="1:10">
      <c r="A118" s="582" t="s">
        <v>282</v>
      </c>
      <c r="B118" s="65">
        <v>316</v>
      </c>
      <c r="C118" s="579" t="s">
        <v>281</v>
      </c>
      <c r="D118" s="63"/>
      <c r="E118" s="583"/>
      <c r="F118" s="596"/>
      <c r="G118" s="65">
        <v>0</v>
      </c>
      <c r="H118" s="591" t="s">
        <v>280</v>
      </c>
      <c r="I118" s="591" t="s">
        <v>280</v>
      </c>
      <c r="J118" s="57"/>
    </row>
    <row r="119" spans="1:10">
      <c r="A119" s="582" t="s">
        <v>282</v>
      </c>
      <c r="B119" s="65">
        <v>317</v>
      </c>
      <c r="C119" s="579" t="s">
        <v>281</v>
      </c>
      <c r="D119" s="579"/>
      <c r="E119" s="583"/>
      <c r="F119" s="596"/>
      <c r="G119" s="65">
        <v>0</v>
      </c>
      <c r="H119" s="591" t="s">
        <v>280</v>
      </c>
      <c r="I119" s="591" t="s">
        <v>280</v>
      </c>
      <c r="J119" s="57"/>
    </row>
    <row r="120" spans="1:10">
      <c r="A120" s="582" t="s">
        <v>282</v>
      </c>
      <c r="B120" s="65">
        <v>318</v>
      </c>
      <c r="C120" s="579" t="s">
        <v>281</v>
      </c>
      <c r="D120" s="579"/>
      <c r="E120" s="583"/>
      <c r="F120" s="596"/>
      <c r="G120" s="65">
        <v>0</v>
      </c>
      <c r="H120" s="591" t="s">
        <v>280</v>
      </c>
      <c r="I120" s="591" t="s">
        <v>280</v>
      </c>
      <c r="J120" s="57"/>
    </row>
    <row r="121" spans="1:10">
      <c r="A121" s="582" t="s">
        <v>282</v>
      </c>
      <c r="B121" s="65">
        <v>319</v>
      </c>
      <c r="C121" s="65" t="s">
        <v>288</v>
      </c>
      <c r="D121" s="579">
        <v>10022</v>
      </c>
      <c r="E121" s="583"/>
      <c r="F121" s="585">
        <v>45535</v>
      </c>
      <c r="G121" s="65">
        <v>1</v>
      </c>
      <c r="H121" s="591" t="s">
        <v>280</v>
      </c>
      <c r="I121" s="591" t="s">
        <v>280</v>
      </c>
      <c r="J121" s="57"/>
    </row>
    <row r="122" spans="1:10">
      <c r="A122" s="582" t="s">
        <v>282</v>
      </c>
      <c r="B122" s="65">
        <v>320</v>
      </c>
      <c r="C122" s="579" t="s">
        <v>281</v>
      </c>
      <c r="D122" s="579"/>
      <c r="E122" s="583"/>
      <c r="F122" s="596"/>
      <c r="G122" s="65">
        <v>0</v>
      </c>
      <c r="H122" s="591" t="s">
        <v>280</v>
      </c>
      <c r="I122" s="591" t="s">
        <v>280</v>
      </c>
      <c r="J122" s="57"/>
    </row>
    <row r="123" spans="1:10">
      <c r="A123" s="582" t="s">
        <v>282</v>
      </c>
      <c r="B123" s="65">
        <v>321</v>
      </c>
      <c r="C123" s="579" t="s">
        <v>281</v>
      </c>
      <c r="D123" s="579"/>
      <c r="E123" s="583"/>
      <c r="F123" s="596"/>
      <c r="G123" s="65">
        <v>0</v>
      </c>
      <c r="H123" s="591" t="s">
        <v>280</v>
      </c>
      <c r="I123" s="591" t="s">
        <v>280</v>
      </c>
      <c r="J123" s="57"/>
    </row>
    <row r="124" spans="1:10">
      <c r="A124" s="582" t="s">
        <v>282</v>
      </c>
      <c r="B124" s="65">
        <v>322</v>
      </c>
      <c r="C124" s="579" t="s">
        <v>281</v>
      </c>
      <c r="D124" s="579"/>
      <c r="E124" s="583"/>
      <c r="F124" s="596"/>
      <c r="G124" s="65">
        <v>0</v>
      </c>
      <c r="H124" s="591" t="s">
        <v>280</v>
      </c>
      <c r="I124" s="591" t="s">
        <v>280</v>
      </c>
    </row>
    <row r="125" spans="1:10">
      <c r="A125" s="582" t="s">
        <v>282</v>
      </c>
      <c r="B125" s="65">
        <v>323</v>
      </c>
      <c r="C125" s="579" t="s">
        <v>281</v>
      </c>
      <c r="D125" s="579"/>
      <c r="E125" s="583"/>
      <c r="F125" s="596"/>
      <c r="G125" s="65">
        <v>0</v>
      </c>
      <c r="H125" s="591" t="s">
        <v>280</v>
      </c>
      <c r="I125" s="591" t="s">
        <v>280</v>
      </c>
    </row>
    <row r="126" spans="1:10">
      <c r="A126" s="582" t="s">
        <v>282</v>
      </c>
      <c r="B126" s="65">
        <v>324</v>
      </c>
      <c r="C126" s="579" t="s">
        <v>281</v>
      </c>
      <c r="D126" s="579"/>
      <c r="E126" s="583"/>
      <c r="F126" s="596"/>
      <c r="G126" s="65">
        <v>0</v>
      </c>
      <c r="H126" s="591" t="s">
        <v>280</v>
      </c>
      <c r="I126" s="591" t="s">
        <v>280</v>
      </c>
    </row>
    <row r="127" spans="1:10">
      <c r="A127" s="582" t="s">
        <v>282</v>
      </c>
      <c r="B127" s="65">
        <v>325</v>
      </c>
      <c r="C127" s="579" t="s">
        <v>289</v>
      </c>
      <c r="D127" s="579">
        <v>10331</v>
      </c>
      <c r="E127" s="583"/>
      <c r="F127" s="585">
        <v>45535</v>
      </c>
      <c r="G127" s="65">
        <v>1</v>
      </c>
      <c r="H127" s="591" t="s">
        <v>280</v>
      </c>
      <c r="I127" s="591" t="s">
        <v>280</v>
      </c>
    </row>
    <row r="128" spans="1:10">
      <c r="A128" s="582" t="s">
        <v>282</v>
      </c>
      <c r="B128" s="65">
        <v>326</v>
      </c>
      <c r="C128" s="579" t="s">
        <v>281</v>
      </c>
      <c r="D128" s="579"/>
      <c r="E128" s="583"/>
      <c r="F128" s="596"/>
      <c r="G128" s="65">
        <v>0</v>
      </c>
      <c r="H128" s="591" t="s">
        <v>280</v>
      </c>
      <c r="I128" s="591" t="s">
        <v>280</v>
      </c>
    </row>
    <row r="129" spans="1:9">
      <c r="A129" s="582" t="s">
        <v>282</v>
      </c>
      <c r="B129" s="65">
        <v>327</v>
      </c>
      <c r="C129" s="579" t="s">
        <v>281</v>
      </c>
      <c r="D129" s="579"/>
      <c r="E129" s="583"/>
      <c r="F129" s="596"/>
      <c r="G129" s="65">
        <v>0</v>
      </c>
      <c r="H129" s="591" t="s">
        <v>280</v>
      </c>
      <c r="I129" s="591" t="s">
        <v>280</v>
      </c>
    </row>
    <row r="130" spans="1:9">
      <c r="A130" s="582" t="s">
        <v>282</v>
      </c>
      <c r="B130" s="65">
        <v>328</v>
      </c>
      <c r="C130" s="579" t="s">
        <v>290</v>
      </c>
      <c r="D130" s="63">
        <v>10510</v>
      </c>
      <c r="E130" s="583"/>
      <c r="F130" s="585">
        <v>45535</v>
      </c>
      <c r="G130" s="65">
        <v>1</v>
      </c>
      <c r="H130" s="591" t="s">
        <v>280</v>
      </c>
      <c r="I130" s="591" t="s">
        <v>280</v>
      </c>
    </row>
    <row r="131" spans="1:9">
      <c r="A131" s="582" t="s">
        <v>282</v>
      </c>
      <c r="B131" s="65">
        <v>329</v>
      </c>
      <c r="C131" s="579" t="s">
        <v>281</v>
      </c>
      <c r="D131" s="579"/>
      <c r="E131" s="583"/>
      <c r="F131" s="596"/>
      <c r="G131" s="65">
        <v>0</v>
      </c>
      <c r="H131" s="591" t="s">
        <v>280</v>
      </c>
      <c r="I131" s="591" t="s">
        <v>280</v>
      </c>
    </row>
    <row r="132" spans="1:9">
      <c r="A132" s="582" t="s">
        <v>282</v>
      </c>
      <c r="B132" s="65">
        <v>330</v>
      </c>
      <c r="C132" s="579" t="s">
        <v>281</v>
      </c>
      <c r="D132" s="579"/>
      <c r="E132" s="583"/>
      <c r="F132" s="596"/>
      <c r="G132" s="65">
        <v>0</v>
      </c>
      <c r="H132" s="591" t="s">
        <v>280</v>
      </c>
      <c r="I132" s="591" t="s">
        <v>280</v>
      </c>
    </row>
    <row r="133" spans="1:9">
      <c r="A133" s="582" t="s">
        <v>282</v>
      </c>
      <c r="B133" s="65">
        <v>331</v>
      </c>
      <c r="C133" s="579" t="s">
        <v>281</v>
      </c>
      <c r="D133" s="579"/>
      <c r="E133" s="583"/>
      <c r="F133" s="596"/>
      <c r="G133" s="65">
        <v>0</v>
      </c>
      <c r="H133" s="591" t="s">
        <v>280</v>
      </c>
      <c r="I133" s="591" t="s">
        <v>280</v>
      </c>
    </row>
    <row r="134" spans="1:9">
      <c r="A134" s="582" t="s">
        <v>282</v>
      </c>
      <c r="B134" s="65">
        <v>332</v>
      </c>
      <c r="C134" s="579" t="s">
        <v>281</v>
      </c>
      <c r="D134" s="579"/>
      <c r="E134" s="583"/>
      <c r="F134" s="596"/>
      <c r="G134" s="65">
        <v>0</v>
      </c>
      <c r="H134" s="591" t="s">
        <v>280</v>
      </c>
      <c r="I134" s="591" t="s">
        <v>280</v>
      </c>
    </row>
    <row r="135" spans="1:9">
      <c r="A135" s="582" t="s">
        <v>282</v>
      </c>
      <c r="B135" s="65">
        <v>333</v>
      </c>
      <c r="C135" s="579" t="s">
        <v>281</v>
      </c>
      <c r="D135" s="579"/>
      <c r="E135" s="583"/>
      <c r="F135" s="596"/>
      <c r="G135" s="65">
        <v>0</v>
      </c>
      <c r="H135" s="591" t="s">
        <v>280</v>
      </c>
      <c r="I135" s="591" t="s">
        <v>280</v>
      </c>
    </row>
    <row r="136" spans="1:9">
      <c r="A136" s="582" t="s">
        <v>282</v>
      </c>
      <c r="B136" s="65">
        <v>334</v>
      </c>
      <c r="C136" s="579" t="s">
        <v>281</v>
      </c>
      <c r="D136" s="579"/>
      <c r="E136" s="583"/>
      <c r="F136" s="596"/>
      <c r="G136" s="65">
        <v>0</v>
      </c>
      <c r="H136" s="591" t="s">
        <v>280</v>
      </c>
      <c r="I136" s="591" t="s">
        <v>280</v>
      </c>
    </row>
    <row r="137" spans="1:9">
      <c r="A137" s="582" t="s">
        <v>282</v>
      </c>
      <c r="B137" s="65">
        <v>335</v>
      </c>
      <c r="C137" s="579" t="s">
        <v>281</v>
      </c>
      <c r="D137" s="579"/>
      <c r="E137" s="583"/>
      <c r="F137" s="596"/>
      <c r="G137" s="65">
        <v>0</v>
      </c>
      <c r="H137" s="591" t="s">
        <v>280</v>
      </c>
      <c r="I137" s="591" t="s">
        <v>280</v>
      </c>
    </row>
    <row r="138" spans="1:9">
      <c r="A138" s="582" t="s">
        <v>282</v>
      </c>
      <c r="B138" s="65">
        <v>336</v>
      </c>
      <c r="C138" s="579" t="s">
        <v>281</v>
      </c>
      <c r="D138" s="579"/>
      <c r="E138" s="583"/>
      <c r="F138" s="596"/>
      <c r="G138" s="65">
        <v>0</v>
      </c>
      <c r="H138" s="591" t="s">
        <v>280</v>
      </c>
      <c r="I138" s="591" t="s">
        <v>280</v>
      </c>
    </row>
    <row r="139" spans="1:9">
      <c r="A139" s="582" t="s">
        <v>282</v>
      </c>
      <c r="B139" s="65">
        <v>337</v>
      </c>
      <c r="C139" s="579" t="s">
        <v>281</v>
      </c>
      <c r="D139" s="579"/>
      <c r="E139" s="583"/>
      <c r="F139" s="596"/>
      <c r="G139" s="65">
        <v>0</v>
      </c>
      <c r="H139" s="591" t="s">
        <v>280</v>
      </c>
      <c r="I139" s="591" t="s">
        <v>280</v>
      </c>
    </row>
    <row r="140" spans="1:9">
      <c r="A140" s="582" t="s">
        <v>282</v>
      </c>
      <c r="B140" s="65">
        <v>338</v>
      </c>
      <c r="C140" s="579" t="s">
        <v>281</v>
      </c>
      <c r="D140" s="579"/>
      <c r="E140" s="583"/>
      <c r="F140" s="596"/>
      <c r="G140" s="65">
        <v>0</v>
      </c>
      <c r="H140" s="591" t="s">
        <v>280</v>
      </c>
      <c r="I140" s="591" t="s">
        <v>280</v>
      </c>
    </row>
    <row r="141" spans="1:9">
      <c r="A141" s="582" t="s">
        <v>282</v>
      </c>
      <c r="B141" s="65">
        <v>339</v>
      </c>
      <c r="C141" s="579" t="s">
        <v>281</v>
      </c>
      <c r="D141" s="579"/>
      <c r="E141" s="583"/>
      <c r="F141" s="596"/>
      <c r="G141" s="65">
        <v>0</v>
      </c>
      <c r="H141" s="591" t="s">
        <v>280</v>
      </c>
      <c r="I141" s="591" t="s">
        <v>280</v>
      </c>
    </row>
    <row r="142" spans="1:9">
      <c r="A142" s="582" t="s">
        <v>282</v>
      </c>
      <c r="B142" s="65">
        <v>340</v>
      </c>
      <c r="C142" s="579" t="s">
        <v>281</v>
      </c>
      <c r="D142" s="579"/>
      <c r="E142" s="583"/>
      <c r="F142" s="596"/>
      <c r="G142" s="65">
        <v>0</v>
      </c>
      <c r="H142" s="591" t="s">
        <v>280</v>
      </c>
      <c r="I142" s="591" t="s">
        <v>280</v>
      </c>
    </row>
    <row r="143" spans="1:9">
      <c r="A143" s="582" t="s">
        <v>282</v>
      </c>
      <c r="B143" s="65">
        <v>341</v>
      </c>
      <c r="C143" s="579" t="s">
        <v>281</v>
      </c>
      <c r="D143" s="579"/>
      <c r="E143" s="583"/>
      <c r="F143" s="596"/>
      <c r="G143" s="65">
        <v>0</v>
      </c>
      <c r="H143" s="591" t="s">
        <v>280</v>
      </c>
      <c r="I143" s="591" t="s">
        <v>280</v>
      </c>
    </row>
    <row r="144" spans="1:9">
      <c r="A144" s="582" t="s">
        <v>282</v>
      </c>
      <c r="B144" s="65">
        <v>342</v>
      </c>
      <c r="C144" s="579" t="s">
        <v>281</v>
      </c>
      <c r="D144" s="579"/>
      <c r="E144" s="583"/>
      <c r="F144" s="596"/>
      <c r="G144" s="65">
        <v>0</v>
      </c>
      <c r="H144" s="591" t="s">
        <v>280</v>
      </c>
      <c r="I144" s="591" t="s">
        <v>280</v>
      </c>
    </row>
    <row r="145" spans="1:9">
      <c r="A145" s="582" t="s">
        <v>282</v>
      </c>
      <c r="B145" s="65">
        <v>343</v>
      </c>
      <c r="C145" s="579" t="s">
        <v>281</v>
      </c>
      <c r="D145" s="579"/>
      <c r="E145" s="583"/>
      <c r="F145" s="596"/>
      <c r="G145" s="65">
        <v>0</v>
      </c>
      <c r="H145" s="591" t="s">
        <v>280</v>
      </c>
      <c r="I145" s="591" t="s">
        <v>280</v>
      </c>
    </row>
    <row r="146" spans="1:9">
      <c r="A146" s="582" t="s">
        <v>282</v>
      </c>
      <c r="B146" s="65">
        <v>344</v>
      </c>
      <c r="C146" s="579" t="s">
        <v>281</v>
      </c>
      <c r="D146" s="579"/>
      <c r="E146" s="583"/>
      <c r="F146" s="596"/>
      <c r="G146" s="65">
        <v>0</v>
      </c>
      <c r="H146" s="591" t="s">
        <v>280</v>
      </c>
      <c r="I146" s="591" t="s">
        <v>280</v>
      </c>
    </row>
    <row r="147" spans="1:9">
      <c r="A147" s="580" t="s">
        <v>282</v>
      </c>
      <c r="B147" s="65">
        <v>345</v>
      </c>
      <c r="C147" s="65" t="s">
        <v>1657</v>
      </c>
      <c r="D147" s="65">
        <v>10876</v>
      </c>
      <c r="E147" s="583"/>
      <c r="F147" s="585">
        <v>45535</v>
      </c>
      <c r="G147" s="65">
        <v>1</v>
      </c>
      <c r="H147" s="591" t="s">
        <v>1974</v>
      </c>
      <c r="I147" s="591" t="s">
        <v>53</v>
      </c>
    </row>
    <row r="148" spans="1:9">
      <c r="A148" s="582" t="s">
        <v>282</v>
      </c>
      <c r="B148" s="65">
        <v>346</v>
      </c>
      <c r="C148" s="579" t="s">
        <v>281</v>
      </c>
      <c r="D148" s="579"/>
      <c r="E148" s="583"/>
      <c r="F148" s="596"/>
      <c r="G148" s="65">
        <v>0</v>
      </c>
      <c r="H148" s="591" t="s">
        <v>280</v>
      </c>
      <c r="I148" s="591" t="s">
        <v>280</v>
      </c>
    </row>
    <row r="149" spans="1:9">
      <c r="A149" s="582" t="s">
        <v>282</v>
      </c>
      <c r="B149" s="65">
        <v>347</v>
      </c>
      <c r="C149" s="579" t="s">
        <v>291</v>
      </c>
      <c r="D149" s="65">
        <v>10601</v>
      </c>
      <c r="E149" s="583"/>
      <c r="F149" s="585">
        <v>45535</v>
      </c>
      <c r="G149" s="65">
        <v>1</v>
      </c>
      <c r="H149" s="591" t="s">
        <v>1974</v>
      </c>
      <c r="I149" s="591" t="s">
        <v>53</v>
      </c>
    </row>
    <row r="150" spans="1:9">
      <c r="A150" s="582" t="s">
        <v>282</v>
      </c>
      <c r="B150" s="65">
        <v>348</v>
      </c>
      <c r="C150" s="579" t="s">
        <v>281</v>
      </c>
      <c r="D150" s="579"/>
      <c r="E150" s="583"/>
      <c r="F150" s="596"/>
      <c r="G150" s="65">
        <v>0</v>
      </c>
      <c r="H150" s="591" t="s">
        <v>280</v>
      </c>
      <c r="I150" s="591" t="s">
        <v>280</v>
      </c>
    </row>
    <row r="151" spans="1:9">
      <c r="A151" s="582" t="s">
        <v>282</v>
      </c>
      <c r="B151" s="65">
        <v>349</v>
      </c>
      <c r="C151" s="579" t="s">
        <v>281</v>
      </c>
      <c r="D151" s="579"/>
      <c r="E151" s="583"/>
      <c r="F151" s="596"/>
      <c r="G151" s="65">
        <v>0</v>
      </c>
      <c r="H151" s="591" t="s">
        <v>280</v>
      </c>
      <c r="I151" s="591" t="s">
        <v>280</v>
      </c>
    </row>
    <row r="152" spans="1:9">
      <c r="A152" s="582" t="s">
        <v>282</v>
      </c>
      <c r="B152" s="65">
        <v>350</v>
      </c>
      <c r="C152" s="579" t="s">
        <v>281</v>
      </c>
      <c r="D152" s="579"/>
      <c r="E152" s="583"/>
      <c r="F152" s="596"/>
      <c r="G152" s="65">
        <v>0</v>
      </c>
      <c r="H152" s="591" t="s">
        <v>280</v>
      </c>
      <c r="I152" s="591" t="s">
        <v>280</v>
      </c>
    </row>
    <row r="153" spans="1:9">
      <c r="A153" s="582" t="s">
        <v>282</v>
      </c>
      <c r="B153" s="65">
        <v>351</v>
      </c>
      <c r="C153" s="65" t="s">
        <v>281</v>
      </c>
      <c r="D153" s="579"/>
      <c r="E153" s="583"/>
      <c r="F153" s="596"/>
      <c r="G153" s="65">
        <v>0</v>
      </c>
      <c r="H153" s="591" t="s">
        <v>280</v>
      </c>
      <c r="I153" s="591" t="s">
        <v>280</v>
      </c>
    </row>
    <row r="154" spans="1:9">
      <c r="A154" s="582" t="s">
        <v>282</v>
      </c>
      <c r="B154" s="65">
        <v>352</v>
      </c>
      <c r="C154" s="579" t="s">
        <v>292</v>
      </c>
      <c r="D154" s="65">
        <v>10499</v>
      </c>
      <c r="E154" s="583"/>
      <c r="F154" s="585">
        <v>45535</v>
      </c>
      <c r="G154" s="65">
        <v>1</v>
      </c>
      <c r="H154" s="591" t="s">
        <v>1974</v>
      </c>
      <c r="I154" s="591" t="s">
        <v>53</v>
      </c>
    </row>
    <row r="155" spans="1:9">
      <c r="A155" s="582" t="s">
        <v>282</v>
      </c>
      <c r="B155" s="65">
        <v>353</v>
      </c>
      <c r="C155" s="579" t="s">
        <v>281</v>
      </c>
      <c r="D155" s="579"/>
      <c r="E155" s="583"/>
      <c r="F155" s="596"/>
      <c r="G155" s="65">
        <v>0</v>
      </c>
      <c r="H155" s="591" t="s">
        <v>280</v>
      </c>
      <c r="I155" s="591" t="s">
        <v>280</v>
      </c>
    </row>
    <row r="156" spans="1:9">
      <c r="A156" s="582" t="s">
        <v>282</v>
      </c>
      <c r="B156" s="65">
        <v>354</v>
      </c>
      <c r="C156" s="579" t="s">
        <v>281</v>
      </c>
      <c r="D156" s="579"/>
      <c r="E156" s="583"/>
      <c r="F156" s="596"/>
      <c r="G156" s="65">
        <v>0</v>
      </c>
      <c r="H156" s="591" t="s">
        <v>280</v>
      </c>
      <c r="I156" s="591" t="s">
        <v>280</v>
      </c>
    </row>
    <row r="157" spans="1:9">
      <c r="A157" s="582" t="s">
        <v>282</v>
      </c>
      <c r="B157" s="65">
        <v>355</v>
      </c>
      <c r="C157" s="579" t="s">
        <v>293</v>
      </c>
      <c r="D157" s="579">
        <v>10713</v>
      </c>
      <c r="E157" s="583"/>
      <c r="F157" s="585">
        <v>45535</v>
      </c>
      <c r="G157" s="65">
        <v>1</v>
      </c>
      <c r="H157" s="591" t="s">
        <v>280</v>
      </c>
      <c r="I157" s="591" t="s">
        <v>280</v>
      </c>
    </row>
    <row r="158" spans="1:9">
      <c r="A158" s="580" t="s">
        <v>282</v>
      </c>
      <c r="B158" s="65">
        <v>356</v>
      </c>
      <c r="C158" s="65" t="s">
        <v>1658</v>
      </c>
      <c r="D158" s="65">
        <v>10831</v>
      </c>
      <c r="E158" s="583"/>
      <c r="F158" s="585">
        <v>45535</v>
      </c>
      <c r="G158" s="65">
        <v>1</v>
      </c>
      <c r="H158" s="591" t="s">
        <v>1974</v>
      </c>
      <c r="I158" s="591" t="s">
        <v>53</v>
      </c>
    </row>
    <row r="159" spans="1:9">
      <c r="A159" s="580" t="s">
        <v>282</v>
      </c>
      <c r="B159" s="65">
        <v>357</v>
      </c>
      <c r="C159" s="65" t="s">
        <v>1659</v>
      </c>
      <c r="D159" s="65">
        <v>10896</v>
      </c>
      <c r="E159" s="583"/>
      <c r="F159" s="585">
        <v>45535</v>
      </c>
      <c r="G159" s="65">
        <v>1</v>
      </c>
      <c r="H159" s="591" t="s">
        <v>1974</v>
      </c>
      <c r="I159" s="591" t="s">
        <v>53</v>
      </c>
    </row>
    <row r="160" spans="1:9">
      <c r="A160" s="580" t="s">
        <v>282</v>
      </c>
      <c r="B160" s="65">
        <v>358</v>
      </c>
      <c r="C160" s="65" t="s">
        <v>1660</v>
      </c>
      <c r="D160" s="65">
        <v>10915</v>
      </c>
      <c r="E160" s="583"/>
      <c r="F160" s="585">
        <v>45535</v>
      </c>
      <c r="G160" s="65">
        <v>1</v>
      </c>
      <c r="H160" s="591" t="s">
        <v>280</v>
      </c>
      <c r="I160" s="591" t="s">
        <v>280</v>
      </c>
    </row>
    <row r="161" spans="1:9">
      <c r="A161" s="582" t="s">
        <v>282</v>
      </c>
      <c r="B161" s="65">
        <v>359</v>
      </c>
      <c r="C161" s="65" t="s">
        <v>1661</v>
      </c>
      <c r="D161" s="65">
        <v>11024</v>
      </c>
      <c r="E161" s="583"/>
      <c r="F161" s="585">
        <v>45535</v>
      </c>
      <c r="G161" s="65">
        <v>1</v>
      </c>
      <c r="H161" s="591" t="s">
        <v>1974</v>
      </c>
      <c r="I161" s="591" t="s">
        <v>53</v>
      </c>
    </row>
    <row r="162" spans="1:9">
      <c r="A162" s="582" t="s">
        <v>282</v>
      </c>
      <c r="B162" s="65">
        <v>360</v>
      </c>
      <c r="C162" s="65" t="s">
        <v>1948</v>
      </c>
      <c r="D162" s="65">
        <v>11048</v>
      </c>
      <c r="E162" s="583"/>
      <c r="F162" s="585">
        <v>45549</v>
      </c>
      <c r="G162" s="65">
        <v>1</v>
      </c>
      <c r="H162" s="591" t="s">
        <v>280</v>
      </c>
      <c r="I162" s="591" t="s">
        <v>280</v>
      </c>
    </row>
    <row r="163" spans="1:9" ht="14.25">
      <c r="A163" s="582" t="s">
        <v>282</v>
      </c>
      <c r="B163" s="65">
        <v>361</v>
      </c>
      <c r="C163" s="65" t="s">
        <v>2020</v>
      </c>
      <c r="D163" s="65">
        <v>11064</v>
      </c>
      <c r="E163" s="587"/>
      <c r="F163" s="600">
        <v>45612</v>
      </c>
      <c r="G163" s="65">
        <v>1</v>
      </c>
      <c r="H163" s="591" t="s">
        <v>1974</v>
      </c>
      <c r="I163" s="591" t="s">
        <v>53</v>
      </c>
    </row>
    <row r="164" spans="1:9" ht="14.25">
      <c r="A164" s="580" t="s">
        <v>282</v>
      </c>
      <c r="B164" s="65">
        <v>362</v>
      </c>
      <c r="C164" s="65" t="s">
        <v>2033</v>
      </c>
      <c r="D164" s="65">
        <v>11075</v>
      </c>
      <c r="E164" s="587"/>
      <c r="F164" s="585">
        <v>45675</v>
      </c>
      <c r="G164" s="65">
        <v>1</v>
      </c>
      <c r="H164" s="591" t="s">
        <v>280</v>
      </c>
      <c r="I164" s="591" t="s">
        <v>280</v>
      </c>
    </row>
    <row r="165" spans="1:9">
      <c r="A165" s="582" t="s">
        <v>282</v>
      </c>
      <c r="B165" s="65">
        <v>363</v>
      </c>
      <c r="C165" s="579" t="s">
        <v>281</v>
      </c>
      <c r="D165" s="579"/>
      <c r="E165" s="583"/>
      <c r="F165" s="596"/>
      <c r="G165" s="65">
        <v>0</v>
      </c>
      <c r="H165" s="591" t="s">
        <v>280</v>
      </c>
      <c r="I165" s="591" t="s">
        <v>280</v>
      </c>
    </row>
    <row r="166" spans="1:9">
      <c r="A166" s="582" t="s">
        <v>282</v>
      </c>
      <c r="B166" s="65">
        <v>364</v>
      </c>
      <c r="C166" s="579" t="s">
        <v>281</v>
      </c>
      <c r="D166" s="579"/>
      <c r="E166" s="583"/>
      <c r="F166" s="596"/>
      <c r="G166" s="65">
        <v>0</v>
      </c>
      <c r="H166" s="591" t="s">
        <v>280</v>
      </c>
      <c r="I166" s="591" t="s">
        <v>280</v>
      </c>
    </row>
    <row r="167" spans="1:9">
      <c r="A167" s="582" t="s">
        <v>282</v>
      </c>
      <c r="B167" s="65">
        <v>365</v>
      </c>
      <c r="C167" s="579" t="s">
        <v>281</v>
      </c>
      <c r="D167" s="579"/>
      <c r="E167" s="583"/>
      <c r="F167" s="596"/>
      <c r="G167" s="65">
        <v>0</v>
      </c>
      <c r="H167" s="591" t="s">
        <v>280</v>
      </c>
      <c r="I167" s="591" t="s">
        <v>280</v>
      </c>
    </row>
    <row r="168" spans="1:9">
      <c r="A168" s="582" t="s">
        <v>282</v>
      </c>
      <c r="B168" s="65">
        <v>366</v>
      </c>
      <c r="C168" s="579" t="s">
        <v>281</v>
      </c>
      <c r="D168" s="579"/>
      <c r="E168" s="583"/>
      <c r="F168" s="596"/>
      <c r="G168" s="65">
        <v>0</v>
      </c>
      <c r="H168" s="591" t="s">
        <v>280</v>
      </c>
      <c r="I168" s="591" t="s">
        <v>280</v>
      </c>
    </row>
    <row r="169" spans="1:9">
      <c r="A169" s="582" t="s">
        <v>282</v>
      </c>
      <c r="B169" s="65">
        <v>367</v>
      </c>
      <c r="C169" s="579" t="s">
        <v>281</v>
      </c>
      <c r="D169" s="579"/>
      <c r="E169" s="583"/>
      <c r="F169" s="596"/>
      <c r="G169" s="65">
        <v>0</v>
      </c>
      <c r="H169" s="591" t="s">
        <v>280</v>
      </c>
      <c r="I169" s="591" t="s">
        <v>280</v>
      </c>
    </row>
    <row r="170" spans="1:9">
      <c r="A170" s="582" t="s">
        <v>282</v>
      </c>
      <c r="B170" s="65">
        <v>368</v>
      </c>
      <c r="C170" s="579" t="s">
        <v>281</v>
      </c>
      <c r="D170" s="579"/>
      <c r="E170" s="583"/>
      <c r="F170" s="596"/>
      <c r="G170" s="65">
        <v>0</v>
      </c>
      <c r="H170" s="591" t="s">
        <v>280</v>
      </c>
      <c r="I170" s="591" t="s">
        <v>280</v>
      </c>
    </row>
    <row r="171" spans="1:9">
      <c r="A171" s="582" t="s">
        <v>282</v>
      </c>
      <c r="B171" s="65">
        <v>369</v>
      </c>
      <c r="C171" s="579" t="s">
        <v>281</v>
      </c>
      <c r="D171" s="579"/>
      <c r="E171" s="583"/>
      <c r="F171" s="596"/>
      <c r="G171" s="65">
        <v>0</v>
      </c>
      <c r="H171" s="591" t="s">
        <v>280</v>
      </c>
      <c r="I171" s="591" t="s">
        <v>280</v>
      </c>
    </row>
    <row r="172" spans="1:9">
      <c r="A172" s="582" t="s">
        <v>282</v>
      </c>
      <c r="B172" s="65">
        <v>370</v>
      </c>
      <c r="C172" s="579" t="s">
        <v>281</v>
      </c>
      <c r="D172" s="579"/>
      <c r="E172" s="583"/>
      <c r="F172" s="596"/>
      <c r="G172" s="65">
        <v>0</v>
      </c>
      <c r="H172" s="591" t="s">
        <v>280</v>
      </c>
      <c r="I172" s="591" t="s">
        <v>280</v>
      </c>
    </row>
    <row r="173" spans="1:9">
      <c r="A173" s="582" t="s">
        <v>282</v>
      </c>
      <c r="B173" s="65">
        <v>371</v>
      </c>
      <c r="C173" s="579" t="s">
        <v>281</v>
      </c>
      <c r="D173" s="579"/>
      <c r="E173" s="583"/>
      <c r="F173" s="596"/>
      <c r="G173" s="65">
        <v>0</v>
      </c>
      <c r="H173" s="591" t="s">
        <v>280</v>
      </c>
      <c r="I173" s="591" t="s">
        <v>280</v>
      </c>
    </row>
    <row r="174" spans="1:9">
      <c r="A174" s="582" t="s">
        <v>282</v>
      </c>
      <c r="B174" s="65">
        <v>372</v>
      </c>
      <c r="C174" s="579" t="s">
        <v>281</v>
      </c>
      <c r="D174" s="579"/>
      <c r="E174" s="583"/>
      <c r="F174" s="596"/>
      <c r="G174" s="65">
        <v>0</v>
      </c>
      <c r="H174" s="591" t="s">
        <v>280</v>
      </c>
      <c r="I174" s="591" t="s">
        <v>280</v>
      </c>
    </row>
    <row r="175" spans="1:9">
      <c r="A175" s="582" t="s">
        <v>282</v>
      </c>
      <c r="B175" s="65">
        <v>373</v>
      </c>
      <c r="C175" s="579" t="s">
        <v>281</v>
      </c>
      <c r="D175" s="579"/>
      <c r="E175" s="583"/>
      <c r="F175" s="596"/>
      <c r="G175" s="65">
        <v>0</v>
      </c>
      <c r="H175" s="591" t="s">
        <v>280</v>
      </c>
      <c r="I175" s="591" t="s">
        <v>280</v>
      </c>
    </row>
    <row r="176" spans="1:9">
      <c r="A176" s="582" t="s">
        <v>282</v>
      </c>
      <c r="B176" s="65">
        <v>374</v>
      </c>
      <c r="C176" s="579" t="s">
        <v>281</v>
      </c>
      <c r="D176" s="579"/>
      <c r="E176" s="583"/>
      <c r="F176" s="596"/>
      <c r="G176" s="65">
        <v>0</v>
      </c>
      <c r="H176" s="591" t="s">
        <v>280</v>
      </c>
      <c r="I176" s="591" t="s">
        <v>280</v>
      </c>
    </row>
    <row r="177" spans="1:9">
      <c r="A177" s="582" t="s">
        <v>282</v>
      </c>
      <c r="B177" s="65">
        <v>375</v>
      </c>
      <c r="C177" s="579" t="s">
        <v>281</v>
      </c>
      <c r="D177" s="579"/>
      <c r="E177" s="583"/>
      <c r="F177" s="596"/>
      <c r="G177" s="65">
        <v>0</v>
      </c>
      <c r="H177" s="591" t="s">
        <v>280</v>
      </c>
      <c r="I177" s="591" t="s">
        <v>280</v>
      </c>
    </row>
    <row r="178" spans="1:9">
      <c r="A178" s="582" t="s">
        <v>282</v>
      </c>
      <c r="B178" s="65">
        <v>376</v>
      </c>
      <c r="C178" s="579" t="s">
        <v>281</v>
      </c>
      <c r="D178" s="579"/>
      <c r="E178" s="583"/>
      <c r="F178" s="596"/>
      <c r="G178" s="65">
        <v>0</v>
      </c>
      <c r="H178" s="591" t="s">
        <v>280</v>
      </c>
      <c r="I178" s="591" t="s">
        <v>280</v>
      </c>
    </row>
    <row r="179" spans="1:9">
      <c r="A179" s="582" t="s">
        <v>282</v>
      </c>
      <c r="B179" s="65">
        <v>377</v>
      </c>
      <c r="C179" s="579" t="s">
        <v>281</v>
      </c>
      <c r="D179" s="579"/>
      <c r="E179" s="583"/>
      <c r="F179" s="596"/>
      <c r="G179" s="65">
        <v>0</v>
      </c>
      <c r="H179" s="591" t="s">
        <v>280</v>
      </c>
      <c r="I179" s="591" t="s">
        <v>280</v>
      </c>
    </row>
    <row r="180" spans="1:9">
      <c r="A180" s="582" t="s">
        <v>282</v>
      </c>
      <c r="B180" s="65">
        <v>378</v>
      </c>
      <c r="C180" s="579" t="s">
        <v>281</v>
      </c>
      <c r="D180" s="579"/>
      <c r="E180" s="583"/>
      <c r="F180" s="596"/>
      <c r="G180" s="65">
        <v>0</v>
      </c>
      <c r="H180" s="591" t="s">
        <v>280</v>
      </c>
      <c r="I180" s="591" t="s">
        <v>280</v>
      </c>
    </row>
    <row r="181" spans="1:9">
      <c r="A181" s="582" t="s">
        <v>282</v>
      </c>
      <c r="B181" s="65">
        <v>379</v>
      </c>
      <c r="C181" s="579" t="s">
        <v>281</v>
      </c>
      <c r="D181" s="579"/>
      <c r="E181" s="583"/>
      <c r="F181" s="596"/>
      <c r="G181" s="65">
        <v>0</v>
      </c>
      <c r="H181" s="591" t="s">
        <v>280</v>
      </c>
      <c r="I181" s="591" t="s">
        <v>280</v>
      </c>
    </row>
    <row r="182" spans="1:9">
      <c r="A182" s="582" t="s">
        <v>282</v>
      </c>
      <c r="B182" s="65">
        <v>380</v>
      </c>
      <c r="C182" s="579" t="s">
        <v>281</v>
      </c>
      <c r="D182" s="579"/>
      <c r="E182" s="583"/>
      <c r="F182" s="596"/>
      <c r="G182" s="65">
        <v>0</v>
      </c>
      <c r="H182" s="591" t="s">
        <v>280</v>
      </c>
      <c r="I182" s="591" t="s">
        <v>280</v>
      </c>
    </row>
    <row r="183" spans="1:9">
      <c r="A183" s="582" t="s">
        <v>282</v>
      </c>
      <c r="B183" s="65">
        <v>381</v>
      </c>
      <c r="C183" s="579" t="s">
        <v>281</v>
      </c>
      <c r="D183" s="579"/>
      <c r="E183" s="583"/>
      <c r="F183" s="596"/>
      <c r="G183" s="65">
        <v>0</v>
      </c>
      <c r="H183" s="591" t="s">
        <v>280</v>
      </c>
      <c r="I183" s="591" t="s">
        <v>280</v>
      </c>
    </row>
    <row r="184" spans="1:9">
      <c r="A184" s="582" t="s">
        <v>282</v>
      </c>
      <c r="B184" s="65">
        <v>382</v>
      </c>
      <c r="C184" s="579" t="s">
        <v>281</v>
      </c>
      <c r="D184" s="579"/>
      <c r="E184" s="583"/>
      <c r="F184" s="596"/>
      <c r="G184" s="65">
        <v>0</v>
      </c>
      <c r="H184" s="591" t="s">
        <v>280</v>
      </c>
      <c r="I184" s="591" t="s">
        <v>280</v>
      </c>
    </row>
    <row r="185" spans="1:9">
      <c r="A185" s="582" t="s">
        <v>282</v>
      </c>
      <c r="B185" s="65">
        <v>383</v>
      </c>
      <c r="C185" s="579" t="s">
        <v>281</v>
      </c>
      <c r="D185" s="579"/>
      <c r="E185" s="583"/>
      <c r="F185" s="596"/>
      <c r="G185" s="65">
        <v>0</v>
      </c>
      <c r="H185" s="591" t="s">
        <v>280</v>
      </c>
      <c r="I185" s="591" t="s">
        <v>280</v>
      </c>
    </row>
    <row r="186" spans="1:9">
      <c r="A186" s="582" t="s">
        <v>282</v>
      </c>
      <c r="B186" s="65">
        <v>384</v>
      </c>
      <c r="C186" s="579" t="s">
        <v>281</v>
      </c>
      <c r="D186" s="579"/>
      <c r="E186" s="583"/>
      <c r="F186" s="596"/>
      <c r="G186" s="65">
        <v>0</v>
      </c>
      <c r="H186" s="591" t="s">
        <v>280</v>
      </c>
      <c r="I186" s="591" t="s">
        <v>280</v>
      </c>
    </row>
    <row r="187" spans="1:9">
      <c r="A187" s="582" t="s">
        <v>282</v>
      </c>
      <c r="B187" s="65">
        <v>385</v>
      </c>
      <c r="C187" s="579" t="s">
        <v>281</v>
      </c>
      <c r="D187" s="579"/>
      <c r="E187" s="583"/>
      <c r="F187" s="596"/>
      <c r="G187" s="65">
        <v>0</v>
      </c>
      <c r="H187" s="591" t="s">
        <v>280</v>
      </c>
      <c r="I187" s="591" t="s">
        <v>280</v>
      </c>
    </row>
    <row r="188" spans="1:9">
      <c r="A188" s="582" t="s">
        <v>282</v>
      </c>
      <c r="B188" s="65">
        <v>386</v>
      </c>
      <c r="C188" s="579" t="s">
        <v>281</v>
      </c>
      <c r="D188" s="579"/>
      <c r="E188" s="583"/>
      <c r="F188" s="596"/>
      <c r="G188" s="65">
        <v>0</v>
      </c>
      <c r="H188" s="591" t="s">
        <v>280</v>
      </c>
      <c r="I188" s="591" t="s">
        <v>280</v>
      </c>
    </row>
    <row r="189" spans="1:9">
      <c r="A189" s="582" t="s">
        <v>282</v>
      </c>
      <c r="B189" s="65">
        <v>387</v>
      </c>
      <c r="C189" s="579" t="s">
        <v>281</v>
      </c>
      <c r="D189" s="579"/>
      <c r="E189" s="583"/>
      <c r="F189" s="596"/>
      <c r="G189" s="65">
        <v>0</v>
      </c>
      <c r="H189" s="591" t="s">
        <v>280</v>
      </c>
      <c r="I189" s="591" t="s">
        <v>280</v>
      </c>
    </row>
    <row r="190" spans="1:9">
      <c r="A190" s="582" t="s">
        <v>282</v>
      </c>
      <c r="B190" s="65">
        <v>388</v>
      </c>
      <c r="C190" s="579" t="s">
        <v>281</v>
      </c>
      <c r="D190" s="579"/>
      <c r="E190" s="583"/>
      <c r="F190" s="596"/>
      <c r="G190" s="65">
        <v>0</v>
      </c>
      <c r="H190" s="591" t="s">
        <v>280</v>
      </c>
      <c r="I190" s="591" t="s">
        <v>280</v>
      </c>
    </row>
    <row r="191" spans="1:9">
      <c r="A191" s="582" t="s">
        <v>282</v>
      </c>
      <c r="B191" s="65">
        <v>389</v>
      </c>
      <c r="C191" s="579" t="s">
        <v>281</v>
      </c>
      <c r="D191" s="579"/>
      <c r="E191" s="583"/>
      <c r="F191" s="596"/>
      <c r="G191" s="65">
        <v>0</v>
      </c>
      <c r="H191" s="591" t="s">
        <v>280</v>
      </c>
      <c r="I191" s="591" t="s">
        <v>280</v>
      </c>
    </row>
    <row r="192" spans="1:9">
      <c r="A192" s="582" t="s">
        <v>282</v>
      </c>
      <c r="B192" s="65">
        <v>390</v>
      </c>
      <c r="C192" s="579" t="s">
        <v>281</v>
      </c>
      <c r="D192" s="579"/>
      <c r="E192" s="583"/>
      <c r="F192" s="596"/>
      <c r="G192" s="65">
        <v>0</v>
      </c>
      <c r="H192" s="591" t="s">
        <v>280</v>
      </c>
      <c r="I192" s="591" t="s">
        <v>280</v>
      </c>
    </row>
    <row r="193" spans="1:10">
      <c r="A193" s="582" t="s">
        <v>282</v>
      </c>
      <c r="B193" s="65">
        <v>391</v>
      </c>
      <c r="C193" s="579" t="s">
        <v>281</v>
      </c>
      <c r="D193" s="579"/>
      <c r="E193" s="583"/>
      <c r="F193" s="596"/>
      <c r="G193" s="65">
        <v>0</v>
      </c>
      <c r="H193" s="591" t="s">
        <v>280</v>
      </c>
      <c r="I193" s="591" t="s">
        <v>280</v>
      </c>
    </row>
    <row r="194" spans="1:10">
      <c r="A194" s="582" t="s">
        <v>282</v>
      </c>
      <c r="B194" s="65">
        <v>392</v>
      </c>
      <c r="C194" s="579" t="s">
        <v>281</v>
      </c>
      <c r="D194" s="579"/>
      <c r="E194" s="583"/>
      <c r="F194" s="596"/>
      <c r="G194" s="65">
        <v>0</v>
      </c>
      <c r="H194" s="591" t="s">
        <v>280</v>
      </c>
      <c r="I194" s="591" t="s">
        <v>280</v>
      </c>
    </row>
    <row r="195" spans="1:10">
      <c r="A195" s="582" t="s">
        <v>282</v>
      </c>
      <c r="B195" s="65">
        <v>393</v>
      </c>
      <c r="C195" s="579" t="s">
        <v>281</v>
      </c>
      <c r="D195" s="579"/>
      <c r="E195" s="583"/>
      <c r="F195" s="596"/>
      <c r="G195" s="65">
        <v>0</v>
      </c>
      <c r="H195" s="591" t="s">
        <v>280</v>
      </c>
      <c r="I195" s="591" t="s">
        <v>280</v>
      </c>
    </row>
    <row r="196" spans="1:10">
      <c r="A196" s="582" t="s">
        <v>282</v>
      </c>
      <c r="B196" s="65">
        <v>394</v>
      </c>
      <c r="C196" s="579" t="s">
        <v>281</v>
      </c>
      <c r="D196" s="579"/>
      <c r="E196" s="583"/>
      <c r="F196" s="596"/>
      <c r="G196" s="65">
        <v>0</v>
      </c>
      <c r="H196" s="591" t="s">
        <v>280</v>
      </c>
      <c r="I196" s="591" t="s">
        <v>280</v>
      </c>
    </row>
    <row r="197" spans="1:10">
      <c r="A197" s="582" t="s">
        <v>282</v>
      </c>
      <c r="B197" s="65">
        <v>395</v>
      </c>
      <c r="C197" s="579" t="s">
        <v>281</v>
      </c>
      <c r="D197" s="579"/>
      <c r="E197" s="583"/>
      <c r="F197" s="596"/>
      <c r="G197" s="65">
        <v>0</v>
      </c>
      <c r="H197" s="591" t="s">
        <v>280</v>
      </c>
      <c r="I197" s="591" t="s">
        <v>280</v>
      </c>
    </row>
    <row r="198" spans="1:10">
      <c r="A198" s="582" t="s">
        <v>282</v>
      </c>
      <c r="B198" s="65">
        <v>396</v>
      </c>
      <c r="C198" s="579" t="s">
        <v>281</v>
      </c>
      <c r="D198" s="579"/>
      <c r="E198" s="583"/>
      <c r="F198" s="596"/>
      <c r="G198" s="65">
        <v>0</v>
      </c>
      <c r="H198" s="591" t="s">
        <v>280</v>
      </c>
      <c r="I198" s="591" t="s">
        <v>280</v>
      </c>
    </row>
    <row r="199" spans="1:10">
      <c r="A199" s="582" t="s">
        <v>282</v>
      </c>
      <c r="B199" s="65">
        <v>397</v>
      </c>
      <c r="C199" s="579" t="s">
        <v>281</v>
      </c>
      <c r="D199" s="579"/>
      <c r="E199" s="583"/>
      <c r="F199" s="596"/>
      <c r="G199" s="65">
        <v>0</v>
      </c>
      <c r="H199" s="591" t="s">
        <v>280</v>
      </c>
      <c r="I199" s="591" t="s">
        <v>280</v>
      </c>
    </row>
    <row r="200" spans="1:10">
      <c r="A200" s="582" t="s">
        <v>282</v>
      </c>
      <c r="B200" s="65">
        <v>398</v>
      </c>
      <c r="C200" s="579" t="s">
        <v>281</v>
      </c>
      <c r="D200" s="579"/>
      <c r="E200" s="583"/>
      <c r="F200" s="596"/>
      <c r="G200" s="65">
        <v>0</v>
      </c>
      <c r="H200" s="591" t="s">
        <v>280</v>
      </c>
      <c r="I200" s="591" t="s">
        <v>280</v>
      </c>
    </row>
    <row r="201" spans="1:10">
      <c r="A201" s="582" t="s">
        <v>282</v>
      </c>
      <c r="B201" s="65">
        <v>399</v>
      </c>
      <c r="C201" s="579" t="s">
        <v>281</v>
      </c>
      <c r="D201" s="579"/>
      <c r="E201" s="583"/>
      <c r="F201" s="596"/>
      <c r="G201" s="65">
        <v>0</v>
      </c>
      <c r="H201" s="591" t="s">
        <v>280</v>
      </c>
      <c r="I201" s="591" t="s">
        <v>280</v>
      </c>
    </row>
    <row r="202" spans="1:10">
      <c r="A202" s="582" t="s">
        <v>294</v>
      </c>
      <c r="B202" s="65">
        <v>400</v>
      </c>
      <c r="C202" s="579" t="s">
        <v>279</v>
      </c>
      <c r="D202" s="579"/>
      <c r="E202" s="583"/>
      <c r="F202" s="585">
        <v>45535</v>
      </c>
      <c r="G202" s="65">
        <v>1</v>
      </c>
      <c r="H202" s="591" t="s">
        <v>280</v>
      </c>
      <c r="I202" s="591" t="s">
        <v>280</v>
      </c>
    </row>
    <row r="203" spans="1:10">
      <c r="A203" s="582" t="s">
        <v>294</v>
      </c>
      <c r="B203" s="65">
        <v>401</v>
      </c>
      <c r="C203" s="579" t="s">
        <v>281</v>
      </c>
      <c r="D203" s="579"/>
      <c r="E203" s="583"/>
      <c r="F203" s="596"/>
      <c r="G203" s="65">
        <v>0</v>
      </c>
      <c r="H203" s="591" t="s">
        <v>280</v>
      </c>
      <c r="I203" s="591" t="s">
        <v>280</v>
      </c>
      <c r="J203" s="57"/>
    </row>
    <row r="204" spans="1:10">
      <c r="A204" s="582" t="s">
        <v>294</v>
      </c>
      <c r="B204" s="65">
        <v>402</v>
      </c>
      <c r="C204" s="579" t="s">
        <v>295</v>
      </c>
      <c r="D204" s="63">
        <v>10084</v>
      </c>
      <c r="E204" s="583"/>
      <c r="F204" s="585">
        <v>45535</v>
      </c>
      <c r="G204" s="65">
        <v>1</v>
      </c>
      <c r="H204" s="591" t="s">
        <v>1978</v>
      </c>
      <c r="I204" s="591" t="s">
        <v>85</v>
      </c>
      <c r="J204" s="57"/>
    </row>
    <row r="205" spans="1:10">
      <c r="A205" s="582" t="s">
        <v>294</v>
      </c>
      <c r="B205" s="65">
        <v>403</v>
      </c>
      <c r="C205" s="579" t="s">
        <v>281</v>
      </c>
      <c r="D205" s="579"/>
      <c r="E205" s="583"/>
      <c r="F205" s="596"/>
      <c r="G205" s="65">
        <v>0</v>
      </c>
      <c r="H205" s="591" t="s">
        <v>280</v>
      </c>
      <c r="I205" s="591" t="s">
        <v>280</v>
      </c>
      <c r="J205" s="57"/>
    </row>
    <row r="206" spans="1:10">
      <c r="A206" s="582" t="s">
        <v>294</v>
      </c>
      <c r="B206" s="65">
        <v>404</v>
      </c>
      <c r="C206" s="579" t="s">
        <v>296</v>
      </c>
      <c r="D206" s="65">
        <v>10490</v>
      </c>
      <c r="E206" s="583"/>
      <c r="F206" s="585">
        <v>45535</v>
      </c>
      <c r="G206" s="65">
        <v>1</v>
      </c>
      <c r="H206" s="591" t="s">
        <v>1978</v>
      </c>
      <c r="I206" s="591" t="s">
        <v>85</v>
      </c>
      <c r="J206" s="57"/>
    </row>
    <row r="207" spans="1:10">
      <c r="A207" s="582" t="s">
        <v>294</v>
      </c>
      <c r="B207" s="65">
        <v>405</v>
      </c>
      <c r="C207" s="579" t="s">
        <v>2028</v>
      </c>
      <c r="D207" s="63">
        <v>10575</v>
      </c>
      <c r="E207" s="587"/>
      <c r="F207" s="600">
        <v>45633</v>
      </c>
      <c r="G207" s="65">
        <v>1</v>
      </c>
      <c r="H207" s="591" t="s">
        <v>280</v>
      </c>
      <c r="I207" s="591" t="s">
        <v>280</v>
      </c>
      <c r="J207" s="57"/>
    </row>
    <row r="208" spans="1:10">
      <c r="A208" s="582" t="s">
        <v>294</v>
      </c>
      <c r="B208" s="65">
        <v>406</v>
      </c>
      <c r="C208" s="579" t="s">
        <v>297</v>
      </c>
      <c r="D208" s="63">
        <v>10239</v>
      </c>
      <c r="E208" s="583"/>
      <c r="F208" s="585">
        <v>45535</v>
      </c>
      <c r="G208" s="65">
        <v>1</v>
      </c>
      <c r="H208" s="591" t="s">
        <v>1974</v>
      </c>
      <c r="I208" s="591" t="s">
        <v>56</v>
      </c>
      <c r="J208" s="57"/>
    </row>
    <row r="209" spans="1:10">
      <c r="A209" s="582" t="s">
        <v>294</v>
      </c>
      <c r="B209" s="65">
        <v>407</v>
      </c>
      <c r="C209" s="579" t="s">
        <v>298</v>
      </c>
      <c r="D209" s="63">
        <v>10654</v>
      </c>
      <c r="E209" s="583"/>
      <c r="F209" s="585">
        <v>45535</v>
      </c>
      <c r="G209" s="65">
        <v>1</v>
      </c>
      <c r="H209" s="591" t="s">
        <v>1974</v>
      </c>
      <c r="I209" s="591" t="s">
        <v>56</v>
      </c>
      <c r="J209" s="57"/>
    </row>
    <row r="210" spans="1:10">
      <c r="A210" s="582" t="s">
        <v>294</v>
      </c>
      <c r="B210" s="65">
        <v>408</v>
      </c>
      <c r="C210" s="579" t="s">
        <v>281</v>
      </c>
      <c r="D210" s="579"/>
      <c r="E210" s="583"/>
      <c r="F210" s="596"/>
      <c r="G210" s="65">
        <v>0</v>
      </c>
      <c r="H210" s="591" t="s">
        <v>280</v>
      </c>
      <c r="I210" s="591" t="s">
        <v>280</v>
      </c>
      <c r="J210" s="57"/>
    </row>
    <row r="211" spans="1:10">
      <c r="A211" s="582" t="s">
        <v>294</v>
      </c>
      <c r="B211" s="65">
        <v>409</v>
      </c>
      <c r="C211" s="579" t="s">
        <v>299</v>
      </c>
      <c r="D211" s="63">
        <v>10341</v>
      </c>
      <c r="E211" s="583"/>
      <c r="F211" s="585">
        <v>45535</v>
      </c>
      <c r="G211" s="65">
        <v>1</v>
      </c>
      <c r="H211" s="591" t="s">
        <v>1978</v>
      </c>
      <c r="I211" s="591" t="s">
        <v>85</v>
      </c>
      <c r="J211" s="57"/>
    </row>
    <row r="212" spans="1:10">
      <c r="A212" s="582" t="s">
        <v>294</v>
      </c>
      <c r="B212" s="65">
        <v>410</v>
      </c>
      <c r="C212" s="579" t="s">
        <v>281</v>
      </c>
      <c r="D212" s="579"/>
      <c r="E212" s="583"/>
      <c r="F212" s="596"/>
      <c r="G212" s="65">
        <v>0</v>
      </c>
      <c r="H212" s="591" t="s">
        <v>280</v>
      </c>
      <c r="I212" s="591" t="s">
        <v>280</v>
      </c>
      <c r="J212" s="57"/>
    </row>
    <row r="213" spans="1:10">
      <c r="A213" s="582" t="s">
        <v>294</v>
      </c>
      <c r="B213" s="65">
        <v>411</v>
      </c>
      <c r="C213" s="579" t="s">
        <v>300</v>
      </c>
      <c r="D213" s="63">
        <v>10564</v>
      </c>
      <c r="E213" s="583"/>
      <c r="F213" s="585">
        <v>45535</v>
      </c>
      <c r="G213" s="65">
        <v>1</v>
      </c>
      <c r="H213" s="591" t="s">
        <v>1974</v>
      </c>
      <c r="I213" s="591" t="s">
        <v>56</v>
      </c>
      <c r="J213" s="57"/>
    </row>
    <row r="214" spans="1:10">
      <c r="A214" s="582" t="s">
        <v>294</v>
      </c>
      <c r="B214" s="65">
        <v>412</v>
      </c>
      <c r="C214" s="579" t="s">
        <v>281</v>
      </c>
      <c r="D214" s="579"/>
      <c r="E214" s="583"/>
      <c r="F214" s="596"/>
      <c r="G214" s="65">
        <v>0</v>
      </c>
      <c r="H214" s="591" t="s">
        <v>280</v>
      </c>
      <c r="I214" s="591" t="s">
        <v>280</v>
      </c>
      <c r="J214" s="57"/>
    </row>
    <row r="215" spans="1:10">
      <c r="A215" s="582" t="s">
        <v>294</v>
      </c>
      <c r="B215" s="65">
        <v>413</v>
      </c>
      <c r="C215" s="579" t="s">
        <v>281</v>
      </c>
      <c r="D215" s="63" t="s">
        <v>486</v>
      </c>
      <c r="E215" s="583"/>
      <c r="F215" s="596"/>
      <c r="G215" s="65">
        <v>0</v>
      </c>
      <c r="H215" s="591" t="s">
        <v>280</v>
      </c>
      <c r="I215" s="591" t="s">
        <v>280</v>
      </c>
      <c r="J215" s="57"/>
    </row>
    <row r="216" spans="1:10">
      <c r="A216" s="582" t="s">
        <v>294</v>
      </c>
      <c r="B216" s="65">
        <v>414</v>
      </c>
      <c r="C216" s="579" t="s">
        <v>301</v>
      </c>
      <c r="D216" s="579">
        <v>10536</v>
      </c>
      <c r="E216" s="583"/>
      <c r="F216" s="585">
        <v>45535</v>
      </c>
      <c r="G216" s="65">
        <v>1</v>
      </c>
      <c r="H216" s="591" t="s">
        <v>280</v>
      </c>
      <c r="I216" s="591" t="s">
        <v>280</v>
      </c>
      <c r="J216" s="57"/>
    </row>
    <row r="217" spans="1:10">
      <c r="A217" s="582" t="s">
        <v>294</v>
      </c>
      <c r="B217" s="65">
        <v>415</v>
      </c>
      <c r="C217" s="579" t="s">
        <v>281</v>
      </c>
      <c r="D217" s="579"/>
      <c r="E217" s="583"/>
      <c r="F217" s="596"/>
      <c r="G217" s="65">
        <v>0</v>
      </c>
      <c r="H217" s="591" t="s">
        <v>280</v>
      </c>
      <c r="I217" s="591" t="s">
        <v>280</v>
      </c>
      <c r="J217" s="57"/>
    </row>
    <row r="218" spans="1:10">
      <c r="A218" s="582" t="s">
        <v>294</v>
      </c>
      <c r="B218" s="65">
        <v>416</v>
      </c>
      <c r="C218" s="579" t="s">
        <v>281</v>
      </c>
      <c r="D218" s="579"/>
      <c r="E218" s="583"/>
      <c r="F218" s="596"/>
      <c r="G218" s="65">
        <v>0</v>
      </c>
      <c r="H218" s="591" t="s">
        <v>280</v>
      </c>
      <c r="I218" s="591" t="s">
        <v>280</v>
      </c>
      <c r="J218" s="57"/>
    </row>
    <row r="219" spans="1:10">
      <c r="A219" s="582" t="s">
        <v>294</v>
      </c>
      <c r="B219" s="65">
        <v>417</v>
      </c>
      <c r="C219" s="579" t="s">
        <v>302</v>
      </c>
      <c r="D219" s="579">
        <v>10641</v>
      </c>
      <c r="E219" s="583"/>
      <c r="F219" s="585">
        <v>45535</v>
      </c>
      <c r="G219" s="65">
        <v>1</v>
      </c>
      <c r="H219" s="591" t="s">
        <v>1978</v>
      </c>
      <c r="I219" s="591" t="s">
        <v>85</v>
      </c>
      <c r="J219" s="57"/>
    </row>
    <row r="220" spans="1:10">
      <c r="A220" s="582" t="s">
        <v>294</v>
      </c>
      <c r="B220" s="65">
        <v>418</v>
      </c>
      <c r="C220" s="579" t="s">
        <v>303</v>
      </c>
      <c r="D220" s="579">
        <v>10258</v>
      </c>
      <c r="E220" s="583"/>
      <c r="F220" s="585">
        <v>45535</v>
      </c>
      <c r="G220" s="65">
        <v>1</v>
      </c>
      <c r="H220" s="591" t="s">
        <v>1978</v>
      </c>
      <c r="I220" s="591" t="s">
        <v>85</v>
      </c>
      <c r="J220" s="57"/>
    </row>
    <row r="221" spans="1:10">
      <c r="A221" s="582" t="s">
        <v>294</v>
      </c>
      <c r="B221" s="65">
        <v>419</v>
      </c>
      <c r="C221" s="579" t="s">
        <v>281</v>
      </c>
      <c r="D221" s="63"/>
      <c r="E221" s="583"/>
      <c r="F221" s="596"/>
      <c r="G221" s="65">
        <v>0</v>
      </c>
      <c r="H221" s="591" t="s">
        <v>280</v>
      </c>
      <c r="I221" s="591" t="s">
        <v>280</v>
      </c>
      <c r="J221" s="57"/>
    </row>
    <row r="222" spans="1:10">
      <c r="A222" s="582" t="s">
        <v>294</v>
      </c>
      <c r="B222" s="65">
        <v>420</v>
      </c>
      <c r="C222" s="579" t="s">
        <v>281</v>
      </c>
      <c r="D222" s="65"/>
      <c r="E222" s="583"/>
      <c r="F222" s="596"/>
      <c r="G222" s="65">
        <v>0</v>
      </c>
      <c r="H222" s="591" t="s">
        <v>280</v>
      </c>
      <c r="I222" s="591" t="s">
        <v>280</v>
      </c>
      <c r="J222" s="57"/>
    </row>
    <row r="223" spans="1:10">
      <c r="A223" s="582" t="s">
        <v>294</v>
      </c>
      <c r="B223" s="65">
        <v>421</v>
      </c>
      <c r="C223" s="579" t="s">
        <v>281</v>
      </c>
      <c r="D223" s="579"/>
      <c r="E223" s="583"/>
      <c r="F223" s="596"/>
      <c r="G223" s="65">
        <v>0</v>
      </c>
      <c r="H223" s="591" t="s">
        <v>280</v>
      </c>
      <c r="I223" s="591" t="s">
        <v>280</v>
      </c>
      <c r="J223" s="57"/>
    </row>
    <row r="224" spans="1:10">
      <c r="A224" s="582" t="s">
        <v>294</v>
      </c>
      <c r="B224" s="65">
        <v>422</v>
      </c>
      <c r="C224" s="579" t="s">
        <v>305</v>
      </c>
      <c r="D224" s="63">
        <v>10089</v>
      </c>
      <c r="E224" s="583"/>
      <c r="F224" s="585">
        <v>45535</v>
      </c>
      <c r="G224" s="65">
        <v>1</v>
      </c>
      <c r="H224" s="591" t="s">
        <v>1974</v>
      </c>
      <c r="I224" s="591" t="s">
        <v>56</v>
      </c>
    </row>
    <row r="225" spans="1:9">
      <c r="A225" s="582" t="s">
        <v>294</v>
      </c>
      <c r="B225" s="65">
        <v>423</v>
      </c>
      <c r="C225" s="579" t="s">
        <v>281</v>
      </c>
      <c r="D225" s="579"/>
      <c r="E225" s="583"/>
      <c r="F225" s="596"/>
      <c r="G225" s="65">
        <v>0</v>
      </c>
      <c r="H225" s="591" t="s">
        <v>280</v>
      </c>
      <c r="I225" s="591" t="s">
        <v>280</v>
      </c>
    </row>
    <row r="226" spans="1:9">
      <c r="A226" s="582" t="s">
        <v>294</v>
      </c>
      <c r="B226" s="65">
        <v>424</v>
      </c>
      <c r="C226" s="579" t="s">
        <v>281</v>
      </c>
      <c r="D226" s="579"/>
      <c r="E226" s="583"/>
      <c r="F226" s="596"/>
      <c r="G226" s="65">
        <v>0</v>
      </c>
      <c r="H226" s="591" t="s">
        <v>280</v>
      </c>
      <c r="I226" s="591" t="s">
        <v>280</v>
      </c>
    </row>
    <row r="227" spans="1:9">
      <c r="A227" s="582" t="s">
        <v>294</v>
      </c>
      <c r="B227" s="65">
        <v>425</v>
      </c>
      <c r="C227" s="579" t="s">
        <v>281</v>
      </c>
      <c r="D227" s="579"/>
      <c r="E227" s="583"/>
      <c r="F227" s="596"/>
      <c r="G227" s="65">
        <v>0</v>
      </c>
      <c r="H227" s="591" t="s">
        <v>280</v>
      </c>
      <c r="I227" s="591" t="s">
        <v>280</v>
      </c>
    </row>
    <row r="228" spans="1:9">
      <c r="A228" s="582" t="s">
        <v>294</v>
      </c>
      <c r="B228" s="65">
        <v>426</v>
      </c>
      <c r="C228" s="579" t="s">
        <v>281</v>
      </c>
      <c r="D228" s="579"/>
      <c r="E228" s="583"/>
      <c r="F228" s="596"/>
      <c r="G228" s="65">
        <v>0</v>
      </c>
      <c r="H228" s="591" t="s">
        <v>280</v>
      </c>
      <c r="I228" s="591" t="s">
        <v>280</v>
      </c>
    </row>
    <row r="229" spans="1:9">
      <c r="A229" s="582" t="s">
        <v>294</v>
      </c>
      <c r="B229" s="65">
        <v>427</v>
      </c>
      <c r="C229" s="579" t="s">
        <v>306</v>
      </c>
      <c r="D229" s="579">
        <v>10181</v>
      </c>
      <c r="E229" s="583"/>
      <c r="F229" s="585">
        <v>45535</v>
      </c>
      <c r="G229" s="65">
        <v>1</v>
      </c>
      <c r="H229" s="591" t="s">
        <v>1978</v>
      </c>
      <c r="I229" s="591" t="s">
        <v>85</v>
      </c>
    </row>
    <row r="230" spans="1:9">
      <c r="A230" s="582" t="s">
        <v>294</v>
      </c>
      <c r="B230" s="65">
        <v>428</v>
      </c>
      <c r="C230" s="579" t="s">
        <v>281</v>
      </c>
      <c r="D230" s="579"/>
      <c r="E230" s="583"/>
      <c r="F230" s="596"/>
      <c r="G230" s="65">
        <v>0</v>
      </c>
      <c r="H230" s="591" t="s">
        <v>280</v>
      </c>
      <c r="I230" s="591" t="s">
        <v>280</v>
      </c>
    </row>
    <row r="231" spans="1:9">
      <c r="A231" s="582" t="s">
        <v>294</v>
      </c>
      <c r="B231" s="65">
        <v>429</v>
      </c>
      <c r="C231" s="579" t="s">
        <v>281</v>
      </c>
      <c r="D231" s="579"/>
      <c r="E231" s="583"/>
      <c r="F231" s="596"/>
      <c r="G231" s="65">
        <v>0</v>
      </c>
      <c r="H231" s="591" t="s">
        <v>280</v>
      </c>
      <c r="I231" s="591" t="s">
        <v>280</v>
      </c>
    </row>
    <row r="232" spans="1:9">
      <c r="A232" s="582" t="s">
        <v>294</v>
      </c>
      <c r="B232" s="65">
        <v>430</v>
      </c>
      <c r="C232" s="579" t="s">
        <v>281</v>
      </c>
      <c r="D232" s="579"/>
      <c r="E232" s="583"/>
      <c r="F232" s="596"/>
      <c r="G232" s="65">
        <v>0</v>
      </c>
      <c r="H232" s="591" t="s">
        <v>280</v>
      </c>
      <c r="I232" s="591" t="s">
        <v>280</v>
      </c>
    </row>
    <row r="233" spans="1:9">
      <c r="A233" s="582" t="s">
        <v>294</v>
      </c>
      <c r="B233" s="65">
        <v>431</v>
      </c>
      <c r="C233" s="579" t="s">
        <v>281</v>
      </c>
      <c r="D233" s="579"/>
      <c r="E233" s="583"/>
      <c r="F233" s="596"/>
      <c r="G233" s="65">
        <v>0</v>
      </c>
      <c r="H233" s="591" t="s">
        <v>280</v>
      </c>
      <c r="I233" s="591" t="s">
        <v>280</v>
      </c>
    </row>
    <row r="234" spans="1:9">
      <c r="A234" s="582" t="s">
        <v>294</v>
      </c>
      <c r="B234" s="65">
        <v>432</v>
      </c>
      <c r="C234" s="579" t="s">
        <v>281</v>
      </c>
      <c r="D234" s="579"/>
      <c r="E234" s="583"/>
      <c r="F234" s="596"/>
      <c r="G234" s="65">
        <v>0</v>
      </c>
      <c r="H234" s="591" t="s">
        <v>280</v>
      </c>
      <c r="I234" s="591" t="s">
        <v>280</v>
      </c>
    </row>
    <row r="235" spans="1:9">
      <c r="A235" s="582" t="s">
        <v>294</v>
      </c>
      <c r="B235" s="65">
        <v>433</v>
      </c>
      <c r="C235" s="579" t="s">
        <v>281</v>
      </c>
      <c r="D235" s="579"/>
      <c r="E235" s="583"/>
      <c r="F235" s="596"/>
      <c r="G235" s="65">
        <v>0</v>
      </c>
      <c r="H235" s="591" t="s">
        <v>280</v>
      </c>
      <c r="I235" s="591" t="s">
        <v>280</v>
      </c>
    </row>
    <row r="236" spans="1:9">
      <c r="A236" s="582" t="s">
        <v>294</v>
      </c>
      <c r="B236" s="65">
        <v>434</v>
      </c>
      <c r="C236" s="579" t="s">
        <v>307</v>
      </c>
      <c r="D236" s="579">
        <v>10061</v>
      </c>
      <c r="E236" s="583"/>
      <c r="F236" s="585">
        <v>45535</v>
      </c>
      <c r="G236" s="65">
        <v>1</v>
      </c>
      <c r="H236" s="591" t="s">
        <v>1974</v>
      </c>
      <c r="I236" s="591" t="s">
        <v>56</v>
      </c>
    </row>
    <row r="237" spans="1:9">
      <c r="A237" s="582" t="s">
        <v>294</v>
      </c>
      <c r="B237" s="65">
        <v>435</v>
      </c>
      <c r="C237" s="579" t="s">
        <v>281</v>
      </c>
      <c r="D237" s="579"/>
      <c r="E237" s="583"/>
      <c r="F237" s="596"/>
      <c r="G237" s="65">
        <v>0</v>
      </c>
      <c r="H237" s="591" t="s">
        <v>280</v>
      </c>
      <c r="I237" s="591" t="s">
        <v>280</v>
      </c>
    </row>
    <row r="238" spans="1:9">
      <c r="A238" s="582" t="s">
        <v>294</v>
      </c>
      <c r="B238" s="65">
        <v>436</v>
      </c>
      <c r="C238" s="579" t="s">
        <v>308</v>
      </c>
      <c r="D238" s="63">
        <v>10332</v>
      </c>
      <c r="E238" s="583"/>
      <c r="F238" s="585">
        <v>45535</v>
      </c>
      <c r="G238" s="65">
        <v>1</v>
      </c>
      <c r="H238" s="591" t="s">
        <v>1974</v>
      </c>
      <c r="I238" s="591" t="s">
        <v>56</v>
      </c>
    </row>
    <row r="239" spans="1:9">
      <c r="A239" s="582" t="s">
        <v>294</v>
      </c>
      <c r="B239" s="65">
        <v>437</v>
      </c>
      <c r="C239" s="579" t="s">
        <v>281</v>
      </c>
      <c r="D239" s="579"/>
      <c r="E239" s="583"/>
      <c r="F239" s="596"/>
      <c r="G239" s="65">
        <v>0</v>
      </c>
      <c r="H239" s="591" t="s">
        <v>280</v>
      </c>
      <c r="I239" s="591" t="s">
        <v>280</v>
      </c>
    </row>
    <row r="240" spans="1:9">
      <c r="A240" s="582" t="s">
        <v>294</v>
      </c>
      <c r="B240" s="65">
        <v>438</v>
      </c>
      <c r="C240" s="579" t="s">
        <v>281</v>
      </c>
      <c r="D240" s="579"/>
      <c r="E240" s="583"/>
      <c r="F240" s="596"/>
      <c r="G240" s="65">
        <v>0</v>
      </c>
      <c r="H240" s="591" t="s">
        <v>280</v>
      </c>
      <c r="I240" s="591" t="s">
        <v>280</v>
      </c>
    </row>
    <row r="241" spans="1:9">
      <c r="A241" s="582" t="s">
        <v>294</v>
      </c>
      <c r="B241" s="65">
        <v>439</v>
      </c>
      <c r="C241" s="579" t="s">
        <v>281</v>
      </c>
      <c r="D241" s="579"/>
      <c r="E241" s="583"/>
      <c r="F241" s="596"/>
      <c r="G241" s="65">
        <v>0</v>
      </c>
      <c r="H241" s="591" t="s">
        <v>280</v>
      </c>
      <c r="I241" s="591" t="s">
        <v>280</v>
      </c>
    </row>
    <row r="242" spans="1:9">
      <c r="A242" s="582" t="s">
        <v>294</v>
      </c>
      <c r="B242" s="65">
        <v>440</v>
      </c>
      <c r="C242" s="579" t="s">
        <v>281</v>
      </c>
      <c r="D242" s="579"/>
      <c r="E242" s="583"/>
      <c r="F242" s="596"/>
      <c r="G242" s="65">
        <v>0</v>
      </c>
      <c r="H242" s="591" t="s">
        <v>280</v>
      </c>
      <c r="I242" s="591" t="s">
        <v>280</v>
      </c>
    </row>
    <row r="243" spans="1:9">
      <c r="A243" s="582" t="s">
        <v>294</v>
      </c>
      <c r="B243" s="65">
        <v>441</v>
      </c>
      <c r="C243" s="579" t="s">
        <v>281</v>
      </c>
      <c r="D243" s="579"/>
      <c r="E243" s="583"/>
      <c r="F243" s="596"/>
      <c r="G243" s="65">
        <v>0</v>
      </c>
      <c r="H243" s="591" t="s">
        <v>280</v>
      </c>
      <c r="I243" s="591" t="s">
        <v>280</v>
      </c>
    </row>
    <row r="244" spans="1:9">
      <c r="A244" s="582" t="s">
        <v>294</v>
      </c>
      <c r="B244" s="65">
        <v>442</v>
      </c>
      <c r="C244" s="579" t="s">
        <v>281</v>
      </c>
      <c r="D244" s="579"/>
      <c r="E244" s="583"/>
      <c r="F244" s="596"/>
      <c r="G244" s="65">
        <v>0</v>
      </c>
      <c r="H244" s="591" t="s">
        <v>280</v>
      </c>
      <c r="I244" s="591" t="s">
        <v>280</v>
      </c>
    </row>
    <row r="245" spans="1:9">
      <c r="A245" s="582" t="s">
        <v>294</v>
      </c>
      <c r="B245" s="65">
        <v>443</v>
      </c>
      <c r="C245" s="579" t="s">
        <v>309</v>
      </c>
      <c r="D245" s="65">
        <v>10466</v>
      </c>
      <c r="E245" s="583"/>
      <c r="F245" s="585">
        <v>45535</v>
      </c>
      <c r="G245" s="65">
        <v>1</v>
      </c>
      <c r="H245" s="591" t="s">
        <v>1974</v>
      </c>
      <c r="I245" s="591" t="s">
        <v>56</v>
      </c>
    </row>
    <row r="246" spans="1:9">
      <c r="A246" s="582" t="s">
        <v>294</v>
      </c>
      <c r="B246" s="65">
        <v>444</v>
      </c>
      <c r="C246" s="579" t="s">
        <v>281</v>
      </c>
      <c r="D246" s="579"/>
      <c r="E246" s="583"/>
      <c r="F246" s="596"/>
      <c r="G246" s="65">
        <v>0</v>
      </c>
      <c r="H246" s="591" t="s">
        <v>280</v>
      </c>
      <c r="I246" s="591" t="s">
        <v>280</v>
      </c>
    </row>
    <row r="247" spans="1:9">
      <c r="A247" s="582" t="s">
        <v>294</v>
      </c>
      <c r="B247" s="65">
        <v>445</v>
      </c>
      <c r="C247" s="579" t="s">
        <v>281</v>
      </c>
      <c r="D247" s="63"/>
      <c r="E247" s="583"/>
      <c r="F247" s="596"/>
      <c r="G247" s="65">
        <v>0</v>
      </c>
      <c r="H247" s="591" t="s">
        <v>280</v>
      </c>
      <c r="I247" s="591" t="s">
        <v>280</v>
      </c>
    </row>
    <row r="248" spans="1:9">
      <c r="A248" s="582" t="s">
        <v>294</v>
      </c>
      <c r="B248" s="65">
        <v>446</v>
      </c>
      <c r="C248" s="579" t="s">
        <v>624</v>
      </c>
      <c r="D248" s="579">
        <v>10441</v>
      </c>
      <c r="E248" s="583"/>
      <c r="F248" s="585">
        <v>45535</v>
      </c>
      <c r="G248" s="65">
        <v>1</v>
      </c>
      <c r="H248" s="591" t="s">
        <v>1974</v>
      </c>
      <c r="I248" s="591" t="s">
        <v>56</v>
      </c>
    </row>
    <row r="249" spans="1:9">
      <c r="A249" s="582" t="s">
        <v>294</v>
      </c>
      <c r="B249" s="65">
        <v>447</v>
      </c>
      <c r="C249" s="579" t="s">
        <v>310</v>
      </c>
      <c r="D249" s="63">
        <v>10588</v>
      </c>
      <c r="E249" s="583"/>
      <c r="F249" s="585">
        <v>45535</v>
      </c>
      <c r="G249" s="65">
        <v>1</v>
      </c>
      <c r="H249" s="591" t="s">
        <v>280</v>
      </c>
      <c r="I249" s="591" t="s">
        <v>280</v>
      </c>
    </row>
    <row r="250" spans="1:9">
      <c r="A250" s="582" t="s">
        <v>294</v>
      </c>
      <c r="B250" s="65">
        <v>448</v>
      </c>
      <c r="C250" s="579" t="s">
        <v>311</v>
      </c>
      <c r="D250" s="579">
        <v>10151</v>
      </c>
      <c r="E250" s="583"/>
      <c r="F250" s="585">
        <v>45535</v>
      </c>
      <c r="G250" s="65">
        <v>1</v>
      </c>
      <c r="H250" s="591" t="s">
        <v>1974</v>
      </c>
      <c r="I250" s="591" t="s">
        <v>56</v>
      </c>
    </row>
    <row r="251" spans="1:9">
      <c r="A251" s="582" t="s">
        <v>294</v>
      </c>
      <c r="B251" s="65">
        <v>449</v>
      </c>
      <c r="C251" s="579" t="s">
        <v>312</v>
      </c>
      <c r="D251" s="579">
        <v>10491</v>
      </c>
      <c r="E251" s="583"/>
      <c r="F251" s="585">
        <v>45535</v>
      </c>
      <c r="G251" s="65">
        <v>1</v>
      </c>
      <c r="H251" s="591" t="s">
        <v>1978</v>
      </c>
      <c r="I251" s="591" t="s">
        <v>85</v>
      </c>
    </row>
    <row r="252" spans="1:9">
      <c r="A252" s="582" t="s">
        <v>294</v>
      </c>
      <c r="B252" s="65">
        <v>450</v>
      </c>
      <c r="C252" s="579" t="s">
        <v>1662</v>
      </c>
      <c r="D252" s="579">
        <v>10722</v>
      </c>
      <c r="E252" s="583"/>
      <c r="F252" s="585">
        <v>45535</v>
      </c>
      <c r="G252" s="65">
        <v>1</v>
      </c>
      <c r="H252" s="591" t="s">
        <v>1974</v>
      </c>
      <c r="I252" s="591" t="s">
        <v>56</v>
      </c>
    </row>
    <row r="253" spans="1:9">
      <c r="A253" s="582" t="s">
        <v>294</v>
      </c>
      <c r="B253" s="65">
        <v>451</v>
      </c>
      <c r="C253" s="65" t="s">
        <v>1663</v>
      </c>
      <c r="D253" s="63">
        <v>10980</v>
      </c>
      <c r="E253" s="583"/>
      <c r="F253" s="585">
        <v>45535</v>
      </c>
      <c r="G253" s="65">
        <v>1</v>
      </c>
      <c r="H253" s="591" t="s">
        <v>280</v>
      </c>
      <c r="I253" s="591" t="s">
        <v>280</v>
      </c>
    </row>
    <row r="254" spans="1:9">
      <c r="A254" s="582" t="s">
        <v>294</v>
      </c>
      <c r="B254" s="65">
        <v>452</v>
      </c>
      <c r="C254" s="65" t="s">
        <v>1664</v>
      </c>
      <c r="D254" s="63">
        <v>10981</v>
      </c>
      <c r="E254" s="583"/>
      <c r="F254" s="585">
        <v>45535</v>
      </c>
      <c r="G254" s="65">
        <v>1</v>
      </c>
      <c r="H254" s="591" t="s">
        <v>1974</v>
      </c>
      <c r="I254" s="591" t="s">
        <v>56</v>
      </c>
    </row>
    <row r="255" spans="1:9">
      <c r="A255" s="582" t="s">
        <v>294</v>
      </c>
      <c r="B255" s="65">
        <v>453</v>
      </c>
      <c r="C255" s="65" t="s">
        <v>1665</v>
      </c>
      <c r="D255" s="65">
        <v>10982</v>
      </c>
      <c r="E255" s="583"/>
      <c r="F255" s="585">
        <v>45535</v>
      </c>
      <c r="G255" s="65">
        <v>1</v>
      </c>
      <c r="H255" s="591" t="s">
        <v>1978</v>
      </c>
      <c r="I255" s="591" t="s">
        <v>85</v>
      </c>
    </row>
    <row r="256" spans="1:9">
      <c r="A256" s="582" t="s">
        <v>294</v>
      </c>
      <c r="B256" s="65">
        <v>454</v>
      </c>
      <c r="C256" s="65" t="s">
        <v>1666</v>
      </c>
      <c r="D256" s="63">
        <v>10983</v>
      </c>
      <c r="E256" s="583"/>
      <c r="F256" s="585">
        <v>45535</v>
      </c>
      <c r="G256" s="65">
        <v>1</v>
      </c>
      <c r="H256" s="591" t="s">
        <v>280</v>
      </c>
      <c r="I256" s="591" t="s">
        <v>280</v>
      </c>
    </row>
    <row r="257" spans="1:9">
      <c r="A257" s="582" t="s">
        <v>294</v>
      </c>
      <c r="B257" s="65">
        <v>455</v>
      </c>
      <c r="C257" s="579" t="s">
        <v>281</v>
      </c>
      <c r="D257" s="579"/>
      <c r="E257" s="583"/>
      <c r="F257" s="596"/>
      <c r="G257" s="65">
        <v>0</v>
      </c>
      <c r="H257" s="591" t="s">
        <v>280</v>
      </c>
      <c r="I257" s="591" t="s">
        <v>280</v>
      </c>
    </row>
    <row r="258" spans="1:9">
      <c r="A258" s="582" t="s">
        <v>294</v>
      </c>
      <c r="B258" s="65">
        <v>456</v>
      </c>
      <c r="C258" s="579" t="s">
        <v>281</v>
      </c>
      <c r="D258" s="579"/>
      <c r="E258" s="583"/>
      <c r="F258" s="596"/>
      <c r="G258" s="65">
        <v>0</v>
      </c>
      <c r="H258" s="591" t="s">
        <v>280</v>
      </c>
      <c r="I258" s="591" t="s">
        <v>280</v>
      </c>
    </row>
    <row r="259" spans="1:9">
      <c r="A259" s="582" t="s">
        <v>294</v>
      </c>
      <c r="B259" s="65">
        <v>457</v>
      </c>
      <c r="C259" s="579" t="s">
        <v>281</v>
      </c>
      <c r="D259" s="579"/>
      <c r="E259" s="583"/>
      <c r="F259" s="596"/>
      <c r="G259" s="65">
        <v>0</v>
      </c>
      <c r="H259" s="591" t="s">
        <v>280</v>
      </c>
      <c r="I259" s="591" t="s">
        <v>280</v>
      </c>
    </row>
    <row r="260" spans="1:9">
      <c r="A260" s="582" t="s">
        <v>294</v>
      </c>
      <c r="B260" s="65">
        <v>458</v>
      </c>
      <c r="C260" s="579" t="s">
        <v>281</v>
      </c>
      <c r="D260" s="579"/>
      <c r="E260" s="583"/>
      <c r="F260" s="596"/>
      <c r="G260" s="65">
        <v>0</v>
      </c>
      <c r="H260" s="591" t="s">
        <v>280</v>
      </c>
      <c r="I260" s="591" t="s">
        <v>280</v>
      </c>
    </row>
    <row r="261" spans="1:9">
      <c r="A261" s="582" t="s">
        <v>294</v>
      </c>
      <c r="B261" s="65">
        <v>459</v>
      </c>
      <c r="C261" s="579" t="s">
        <v>281</v>
      </c>
      <c r="D261" s="579"/>
      <c r="E261" s="583"/>
      <c r="F261" s="596"/>
      <c r="G261" s="65">
        <v>0</v>
      </c>
      <c r="H261" s="591" t="s">
        <v>280</v>
      </c>
      <c r="I261" s="591" t="s">
        <v>280</v>
      </c>
    </row>
    <row r="262" spans="1:9">
      <c r="A262" s="582" t="s">
        <v>294</v>
      </c>
      <c r="B262" s="65">
        <v>460</v>
      </c>
      <c r="C262" s="579" t="s">
        <v>281</v>
      </c>
      <c r="D262" s="579"/>
      <c r="E262" s="583"/>
      <c r="F262" s="596"/>
      <c r="G262" s="65">
        <v>0</v>
      </c>
      <c r="H262" s="591" t="s">
        <v>280</v>
      </c>
      <c r="I262" s="591" t="s">
        <v>280</v>
      </c>
    </row>
    <row r="263" spans="1:9">
      <c r="A263" s="582" t="s">
        <v>294</v>
      </c>
      <c r="B263" s="65">
        <v>461</v>
      </c>
      <c r="C263" s="579" t="s">
        <v>281</v>
      </c>
      <c r="D263" s="579"/>
      <c r="E263" s="583"/>
      <c r="F263" s="596"/>
      <c r="G263" s="65">
        <v>0</v>
      </c>
      <c r="H263" s="591" t="s">
        <v>280</v>
      </c>
      <c r="I263" s="591" t="s">
        <v>280</v>
      </c>
    </row>
    <row r="264" spans="1:9">
      <c r="A264" s="582" t="s">
        <v>294</v>
      </c>
      <c r="B264" s="65">
        <v>462</v>
      </c>
      <c r="C264" s="579" t="s">
        <v>281</v>
      </c>
      <c r="D264" s="579"/>
      <c r="E264" s="583"/>
      <c r="F264" s="596"/>
      <c r="G264" s="65">
        <v>0</v>
      </c>
      <c r="H264" s="591" t="s">
        <v>280</v>
      </c>
      <c r="I264" s="591" t="s">
        <v>280</v>
      </c>
    </row>
    <row r="265" spans="1:9">
      <c r="A265" s="582" t="s">
        <v>294</v>
      </c>
      <c r="B265" s="65">
        <v>463</v>
      </c>
      <c r="C265" s="579" t="s">
        <v>281</v>
      </c>
      <c r="D265" s="579"/>
      <c r="E265" s="583"/>
      <c r="F265" s="596"/>
      <c r="G265" s="65">
        <v>0</v>
      </c>
      <c r="H265" s="591" t="s">
        <v>280</v>
      </c>
      <c r="I265" s="591" t="s">
        <v>280</v>
      </c>
    </row>
    <row r="266" spans="1:9">
      <c r="A266" s="582" t="s">
        <v>294</v>
      </c>
      <c r="B266" s="65">
        <v>464</v>
      </c>
      <c r="C266" s="579" t="s">
        <v>281</v>
      </c>
      <c r="D266" s="579"/>
      <c r="E266" s="583"/>
      <c r="F266" s="596"/>
      <c r="G266" s="65">
        <v>0</v>
      </c>
      <c r="H266" s="591" t="s">
        <v>280</v>
      </c>
      <c r="I266" s="591" t="s">
        <v>280</v>
      </c>
    </row>
    <row r="267" spans="1:9">
      <c r="A267" s="582" t="s">
        <v>294</v>
      </c>
      <c r="B267" s="65">
        <v>465</v>
      </c>
      <c r="C267" s="579" t="s">
        <v>281</v>
      </c>
      <c r="D267" s="579"/>
      <c r="E267" s="583"/>
      <c r="F267" s="596"/>
      <c r="G267" s="65">
        <v>0</v>
      </c>
      <c r="H267" s="591" t="s">
        <v>280</v>
      </c>
      <c r="I267" s="591" t="s">
        <v>280</v>
      </c>
    </row>
    <row r="268" spans="1:9">
      <c r="A268" s="582" t="s">
        <v>294</v>
      </c>
      <c r="B268" s="65">
        <v>466</v>
      </c>
      <c r="C268" s="579" t="s">
        <v>281</v>
      </c>
      <c r="D268" s="579"/>
      <c r="E268" s="583"/>
      <c r="F268" s="596"/>
      <c r="G268" s="65">
        <v>0</v>
      </c>
      <c r="H268" s="591" t="s">
        <v>280</v>
      </c>
      <c r="I268" s="591" t="s">
        <v>280</v>
      </c>
    </row>
    <row r="269" spans="1:9">
      <c r="A269" s="582" t="s">
        <v>294</v>
      </c>
      <c r="B269" s="65">
        <v>467</v>
      </c>
      <c r="C269" s="579" t="s">
        <v>281</v>
      </c>
      <c r="D269" s="579"/>
      <c r="E269" s="583"/>
      <c r="F269" s="596"/>
      <c r="G269" s="65">
        <v>0</v>
      </c>
      <c r="H269" s="591" t="s">
        <v>280</v>
      </c>
      <c r="I269" s="591" t="s">
        <v>280</v>
      </c>
    </row>
    <row r="270" spans="1:9">
      <c r="A270" s="582" t="s">
        <v>294</v>
      </c>
      <c r="B270" s="65">
        <v>468</v>
      </c>
      <c r="C270" s="579" t="s">
        <v>281</v>
      </c>
      <c r="D270" s="579"/>
      <c r="E270" s="583"/>
      <c r="F270" s="596"/>
      <c r="G270" s="65">
        <v>0</v>
      </c>
      <c r="H270" s="591" t="s">
        <v>280</v>
      </c>
      <c r="I270" s="591" t="s">
        <v>280</v>
      </c>
    </row>
    <row r="271" spans="1:9">
      <c r="A271" s="582" t="s">
        <v>294</v>
      </c>
      <c r="B271" s="65">
        <v>469</v>
      </c>
      <c r="C271" s="579" t="s">
        <v>281</v>
      </c>
      <c r="D271" s="579"/>
      <c r="E271" s="583"/>
      <c r="F271" s="596"/>
      <c r="G271" s="65">
        <v>0</v>
      </c>
      <c r="H271" s="591" t="s">
        <v>280</v>
      </c>
      <c r="I271" s="591" t="s">
        <v>280</v>
      </c>
    </row>
    <row r="272" spans="1:9">
      <c r="A272" s="582" t="s">
        <v>294</v>
      </c>
      <c r="B272" s="65">
        <v>470</v>
      </c>
      <c r="C272" s="579" t="s">
        <v>281</v>
      </c>
      <c r="D272" s="579"/>
      <c r="E272" s="583"/>
      <c r="F272" s="596"/>
      <c r="G272" s="65">
        <v>0</v>
      </c>
      <c r="H272" s="591" t="s">
        <v>280</v>
      </c>
      <c r="I272" s="591" t="s">
        <v>280</v>
      </c>
    </row>
    <row r="273" spans="1:9">
      <c r="A273" s="582" t="s">
        <v>294</v>
      </c>
      <c r="B273" s="65">
        <v>471</v>
      </c>
      <c r="C273" s="579" t="s">
        <v>281</v>
      </c>
      <c r="D273" s="579"/>
      <c r="E273" s="583"/>
      <c r="F273" s="596"/>
      <c r="G273" s="65">
        <v>0</v>
      </c>
      <c r="H273" s="591" t="s">
        <v>280</v>
      </c>
      <c r="I273" s="591" t="s">
        <v>280</v>
      </c>
    </row>
    <row r="274" spans="1:9">
      <c r="A274" s="582" t="s">
        <v>294</v>
      </c>
      <c r="B274" s="65">
        <v>472</v>
      </c>
      <c r="C274" s="579" t="s">
        <v>281</v>
      </c>
      <c r="D274" s="579"/>
      <c r="E274" s="583"/>
      <c r="F274" s="596"/>
      <c r="G274" s="65">
        <v>0</v>
      </c>
      <c r="H274" s="591" t="s">
        <v>280</v>
      </c>
      <c r="I274" s="591" t="s">
        <v>280</v>
      </c>
    </row>
    <row r="275" spans="1:9">
      <c r="A275" s="582" t="s">
        <v>294</v>
      </c>
      <c r="B275" s="65">
        <v>473</v>
      </c>
      <c r="C275" s="579" t="s">
        <v>281</v>
      </c>
      <c r="D275" s="579"/>
      <c r="E275" s="583"/>
      <c r="F275" s="596"/>
      <c r="G275" s="65">
        <v>0</v>
      </c>
      <c r="H275" s="591" t="s">
        <v>280</v>
      </c>
      <c r="I275" s="591" t="s">
        <v>280</v>
      </c>
    </row>
    <row r="276" spans="1:9">
      <c r="A276" s="582" t="s">
        <v>294</v>
      </c>
      <c r="B276" s="65">
        <v>474</v>
      </c>
      <c r="C276" s="579" t="s">
        <v>281</v>
      </c>
      <c r="D276" s="579"/>
      <c r="E276" s="583"/>
      <c r="F276" s="596"/>
      <c r="G276" s="65">
        <v>0</v>
      </c>
      <c r="H276" s="591" t="s">
        <v>280</v>
      </c>
      <c r="I276" s="591" t="s">
        <v>280</v>
      </c>
    </row>
    <row r="277" spans="1:9">
      <c r="A277" s="582" t="s">
        <v>294</v>
      </c>
      <c r="B277" s="65">
        <v>475</v>
      </c>
      <c r="C277" s="579" t="s">
        <v>281</v>
      </c>
      <c r="D277" s="579"/>
      <c r="E277" s="583"/>
      <c r="F277" s="596"/>
      <c r="G277" s="65">
        <v>0</v>
      </c>
      <c r="H277" s="591" t="s">
        <v>280</v>
      </c>
      <c r="I277" s="591" t="s">
        <v>280</v>
      </c>
    </row>
    <row r="278" spans="1:9">
      <c r="A278" s="582" t="s">
        <v>294</v>
      </c>
      <c r="B278" s="65">
        <v>476</v>
      </c>
      <c r="C278" s="579" t="s">
        <v>281</v>
      </c>
      <c r="D278" s="579"/>
      <c r="E278" s="583"/>
      <c r="F278" s="596"/>
      <c r="G278" s="65">
        <v>0</v>
      </c>
      <c r="H278" s="591" t="s">
        <v>280</v>
      </c>
      <c r="I278" s="591" t="s">
        <v>280</v>
      </c>
    </row>
    <row r="279" spans="1:9">
      <c r="A279" s="582" t="s">
        <v>294</v>
      </c>
      <c r="B279" s="65">
        <v>477</v>
      </c>
      <c r="C279" s="579" t="s">
        <v>281</v>
      </c>
      <c r="D279" s="579"/>
      <c r="E279" s="583"/>
      <c r="F279" s="596"/>
      <c r="G279" s="65">
        <v>0</v>
      </c>
      <c r="H279" s="591" t="s">
        <v>280</v>
      </c>
      <c r="I279" s="591" t="s">
        <v>280</v>
      </c>
    </row>
    <row r="280" spans="1:9">
      <c r="A280" s="582" t="s">
        <v>294</v>
      </c>
      <c r="B280" s="65">
        <v>478</v>
      </c>
      <c r="C280" s="579" t="s">
        <v>281</v>
      </c>
      <c r="D280" s="579"/>
      <c r="E280" s="583"/>
      <c r="F280" s="596"/>
      <c r="G280" s="65">
        <v>0</v>
      </c>
      <c r="H280" s="591" t="s">
        <v>280</v>
      </c>
      <c r="I280" s="591" t="s">
        <v>280</v>
      </c>
    </row>
    <row r="281" spans="1:9">
      <c r="A281" s="582" t="s">
        <v>294</v>
      </c>
      <c r="B281" s="65">
        <v>479</v>
      </c>
      <c r="C281" s="579" t="s">
        <v>281</v>
      </c>
      <c r="D281" s="579"/>
      <c r="E281" s="583"/>
      <c r="F281" s="596"/>
      <c r="G281" s="65">
        <v>0</v>
      </c>
      <c r="H281" s="591" t="s">
        <v>280</v>
      </c>
      <c r="I281" s="591" t="s">
        <v>280</v>
      </c>
    </row>
    <row r="282" spans="1:9">
      <c r="A282" s="582" t="s">
        <v>294</v>
      </c>
      <c r="B282" s="65">
        <v>480</v>
      </c>
      <c r="C282" s="579" t="s">
        <v>281</v>
      </c>
      <c r="D282" s="579"/>
      <c r="E282" s="583"/>
      <c r="F282" s="596"/>
      <c r="G282" s="65">
        <v>0</v>
      </c>
      <c r="H282" s="591" t="s">
        <v>280</v>
      </c>
      <c r="I282" s="591" t="s">
        <v>280</v>
      </c>
    </row>
    <row r="283" spans="1:9">
      <c r="A283" s="582" t="s">
        <v>294</v>
      </c>
      <c r="B283" s="65">
        <v>481</v>
      </c>
      <c r="C283" s="579" t="s">
        <v>281</v>
      </c>
      <c r="D283" s="579"/>
      <c r="E283" s="583"/>
      <c r="F283" s="596"/>
      <c r="G283" s="65">
        <v>0</v>
      </c>
      <c r="H283" s="591" t="s">
        <v>280</v>
      </c>
      <c r="I283" s="591" t="s">
        <v>280</v>
      </c>
    </row>
    <row r="284" spans="1:9">
      <c r="A284" s="582" t="s">
        <v>294</v>
      </c>
      <c r="B284" s="65">
        <v>482</v>
      </c>
      <c r="C284" s="579" t="s">
        <v>281</v>
      </c>
      <c r="D284" s="579"/>
      <c r="E284" s="583"/>
      <c r="F284" s="596"/>
      <c r="G284" s="65">
        <v>0</v>
      </c>
      <c r="H284" s="591" t="s">
        <v>280</v>
      </c>
      <c r="I284" s="591" t="s">
        <v>280</v>
      </c>
    </row>
    <row r="285" spans="1:9">
      <c r="A285" s="582" t="s">
        <v>294</v>
      </c>
      <c r="B285" s="65">
        <v>483</v>
      </c>
      <c r="C285" s="579" t="s">
        <v>281</v>
      </c>
      <c r="D285" s="579"/>
      <c r="E285" s="583"/>
      <c r="F285" s="596"/>
      <c r="G285" s="65">
        <v>0</v>
      </c>
      <c r="H285" s="591" t="s">
        <v>280</v>
      </c>
      <c r="I285" s="591" t="s">
        <v>280</v>
      </c>
    </row>
    <row r="286" spans="1:9">
      <c r="A286" s="582" t="s">
        <v>294</v>
      </c>
      <c r="B286" s="65">
        <v>484</v>
      </c>
      <c r="C286" s="579" t="s">
        <v>281</v>
      </c>
      <c r="D286" s="579"/>
      <c r="E286" s="583"/>
      <c r="F286" s="596"/>
      <c r="G286" s="65">
        <v>0</v>
      </c>
      <c r="H286" s="591" t="s">
        <v>280</v>
      </c>
      <c r="I286" s="591" t="s">
        <v>280</v>
      </c>
    </row>
    <row r="287" spans="1:9">
      <c r="A287" s="582" t="s">
        <v>294</v>
      </c>
      <c r="B287" s="65">
        <v>485</v>
      </c>
      <c r="C287" s="579" t="s">
        <v>281</v>
      </c>
      <c r="D287" s="579"/>
      <c r="E287" s="583"/>
      <c r="F287" s="596"/>
      <c r="G287" s="65">
        <v>0</v>
      </c>
      <c r="H287" s="591" t="s">
        <v>280</v>
      </c>
      <c r="I287" s="591" t="s">
        <v>280</v>
      </c>
    </row>
    <row r="288" spans="1:9">
      <c r="A288" s="582" t="s">
        <v>294</v>
      </c>
      <c r="B288" s="65">
        <v>486</v>
      </c>
      <c r="C288" s="579" t="s">
        <v>281</v>
      </c>
      <c r="D288" s="579"/>
      <c r="E288" s="583"/>
      <c r="F288" s="596"/>
      <c r="G288" s="65">
        <v>0</v>
      </c>
      <c r="H288" s="591" t="s">
        <v>280</v>
      </c>
      <c r="I288" s="591" t="s">
        <v>280</v>
      </c>
    </row>
    <row r="289" spans="1:10">
      <c r="A289" s="582" t="s">
        <v>294</v>
      </c>
      <c r="B289" s="65">
        <v>487</v>
      </c>
      <c r="C289" s="579" t="s">
        <v>281</v>
      </c>
      <c r="D289" s="579"/>
      <c r="E289" s="583"/>
      <c r="F289" s="596"/>
      <c r="G289" s="65">
        <v>0</v>
      </c>
      <c r="H289" s="591" t="s">
        <v>280</v>
      </c>
      <c r="I289" s="591" t="s">
        <v>280</v>
      </c>
    </row>
    <row r="290" spans="1:10">
      <c r="A290" s="582" t="s">
        <v>294</v>
      </c>
      <c r="B290" s="65">
        <v>488</v>
      </c>
      <c r="C290" s="579" t="s">
        <v>281</v>
      </c>
      <c r="D290" s="579"/>
      <c r="E290" s="583"/>
      <c r="F290" s="596"/>
      <c r="G290" s="65">
        <v>0</v>
      </c>
      <c r="H290" s="591" t="s">
        <v>280</v>
      </c>
      <c r="I290" s="591" t="s">
        <v>280</v>
      </c>
    </row>
    <row r="291" spans="1:10">
      <c r="A291" s="582" t="s">
        <v>294</v>
      </c>
      <c r="B291" s="65">
        <v>489</v>
      </c>
      <c r="C291" s="579" t="s">
        <v>281</v>
      </c>
      <c r="D291" s="579"/>
      <c r="E291" s="583"/>
      <c r="F291" s="596"/>
      <c r="G291" s="65">
        <v>0</v>
      </c>
      <c r="H291" s="591" t="s">
        <v>280</v>
      </c>
      <c r="I291" s="591" t="s">
        <v>280</v>
      </c>
    </row>
    <row r="292" spans="1:10">
      <c r="A292" s="582" t="s">
        <v>294</v>
      </c>
      <c r="B292" s="65">
        <v>490</v>
      </c>
      <c r="C292" s="579" t="s">
        <v>281</v>
      </c>
      <c r="D292" s="579"/>
      <c r="E292" s="583"/>
      <c r="F292" s="596"/>
      <c r="G292" s="65">
        <v>0</v>
      </c>
      <c r="H292" s="591" t="s">
        <v>280</v>
      </c>
      <c r="I292" s="591" t="s">
        <v>280</v>
      </c>
    </row>
    <row r="293" spans="1:10">
      <c r="A293" s="582" t="s">
        <v>294</v>
      </c>
      <c r="B293" s="65">
        <v>491</v>
      </c>
      <c r="C293" s="579" t="s">
        <v>281</v>
      </c>
      <c r="D293" s="579"/>
      <c r="E293" s="583"/>
      <c r="F293" s="596"/>
      <c r="G293" s="65">
        <v>0</v>
      </c>
      <c r="H293" s="591" t="s">
        <v>280</v>
      </c>
      <c r="I293" s="591" t="s">
        <v>280</v>
      </c>
    </row>
    <row r="294" spans="1:10">
      <c r="A294" s="582" t="s">
        <v>294</v>
      </c>
      <c r="B294" s="65">
        <v>492</v>
      </c>
      <c r="C294" s="579" t="s">
        <v>281</v>
      </c>
      <c r="D294" s="579"/>
      <c r="E294" s="583"/>
      <c r="F294" s="596"/>
      <c r="G294" s="65">
        <v>0</v>
      </c>
      <c r="H294" s="591" t="s">
        <v>280</v>
      </c>
      <c r="I294" s="591" t="s">
        <v>280</v>
      </c>
    </row>
    <row r="295" spans="1:10">
      <c r="A295" s="582" t="s">
        <v>294</v>
      </c>
      <c r="B295" s="65">
        <v>493</v>
      </c>
      <c r="C295" s="579" t="s">
        <v>281</v>
      </c>
      <c r="D295" s="579"/>
      <c r="E295" s="583"/>
      <c r="F295" s="596"/>
      <c r="G295" s="65">
        <v>0</v>
      </c>
      <c r="H295" s="591" t="s">
        <v>280</v>
      </c>
      <c r="I295" s="591" t="s">
        <v>280</v>
      </c>
    </row>
    <row r="296" spans="1:10">
      <c r="A296" s="582" t="s">
        <v>294</v>
      </c>
      <c r="B296" s="65">
        <v>494</v>
      </c>
      <c r="C296" s="579" t="s">
        <v>281</v>
      </c>
      <c r="D296" s="579"/>
      <c r="E296" s="583"/>
      <c r="F296" s="596"/>
      <c r="G296" s="65">
        <v>0</v>
      </c>
      <c r="H296" s="591" t="s">
        <v>280</v>
      </c>
      <c r="I296" s="591" t="s">
        <v>280</v>
      </c>
    </row>
    <row r="297" spans="1:10">
      <c r="A297" s="582" t="s">
        <v>294</v>
      </c>
      <c r="B297" s="65">
        <v>495</v>
      </c>
      <c r="C297" s="579" t="s">
        <v>281</v>
      </c>
      <c r="D297" s="579"/>
      <c r="E297" s="583"/>
      <c r="F297" s="596"/>
      <c r="G297" s="65">
        <v>0</v>
      </c>
      <c r="H297" s="591" t="s">
        <v>280</v>
      </c>
      <c r="I297" s="591" t="s">
        <v>280</v>
      </c>
    </row>
    <row r="298" spans="1:10">
      <c r="A298" s="582" t="s">
        <v>294</v>
      </c>
      <c r="B298" s="65">
        <v>496</v>
      </c>
      <c r="C298" s="579" t="s">
        <v>281</v>
      </c>
      <c r="D298" s="579"/>
      <c r="E298" s="583"/>
      <c r="F298" s="596"/>
      <c r="G298" s="65">
        <v>0</v>
      </c>
      <c r="H298" s="591" t="s">
        <v>280</v>
      </c>
      <c r="I298" s="591" t="s">
        <v>280</v>
      </c>
    </row>
    <row r="299" spans="1:10">
      <c r="A299" s="582" t="s">
        <v>294</v>
      </c>
      <c r="B299" s="65">
        <v>497</v>
      </c>
      <c r="C299" s="579" t="s">
        <v>281</v>
      </c>
      <c r="D299" s="579"/>
      <c r="E299" s="583"/>
      <c r="F299" s="596"/>
      <c r="G299" s="65">
        <v>0</v>
      </c>
      <c r="H299" s="591" t="s">
        <v>280</v>
      </c>
      <c r="I299" s="591" t="s">
        <v>280</v>
      </c>
    </row>
    <row r="300" spans="1:10">
      <c r="A300" s="582" t="s">
        <v>294</v>
      </c>
      <c r="B300" s="65">
        <v>498</v>
      </c>
      <c r="C300" s="579" t="s">
        <v>281</v>
      </c>
      <c r="D300" s="579"/>
      <c r="E300" s="583"/>
      <c r="F300" s="596"/>
      <c r="G300" s="65">
        <v>0</v>
      </c>
      <c r="H300" s="591" t="s">
        <v>280</v>
      </c>
      <c r="I300" s="591" t="s">
        <v>280</v>
      </c>
    </row>
    <row r="301" spans="1:10">
      <c r="A301" s="582" t="s">
        <v>294</v>
      </c>
      <c r="B301" s="65">
        <v>499</v>
      </c>
      <c r="C301" s="579" t="s">
        <v>281</v>
      </c>
      <c r="D301" s="579"/>
      <c r="E301" s="583"/>
      <c r="F301" s="596"/>
      <c r="G301" s="65">
        <v>0</v>
      </c>
      <c r="H301" s="591" t="s">
        <v>280</v>
      </c>
      <c r="I301" s="591" t="s">
        <v>280</v>
      </c>
    </row>
    <row r="302" spans="1:10">
      <c r="A302" s="582" t="s">
        <v>313</v>
      </c>
      <c r="B302" s="65">
        <v>500</v>
      </c>
      <c r="C302" s="579" t="s">
        <v>279</v>
      </c>
      <c r="D302" s="579"/>
      <c r="E302" s="583"/>
      <c r="F302" s="585">
        <v>45535</v>
      </c>
      <c r="G302" s="65">
        <v>1</v>
      </c>
      <c r="H302" s="591" t="s">
        <v>280</v>
      </c>
      <c r="I302" s="591" t="s">
        <v>280</v>
      </c>
    </row>
    <row r="303" spans="1:10">
      <c r="A303" s="582" t="s">
        <v>313</v>
      </c>
      <c r="B303" s="65">
        <v>501</v>
      </c>
      <c r="C303" s="579" t="s">
        <v>281</v>
      </c>
      <c r="D303" s="65"/>
      <c r="E303" s="583"/>
      <c r="F303" s="596"/>
      <c r="G303" s="65">
        <v>0</v>
      </c>
      <c r="H303" s="591" t="s">
        <v>280</v>
      </c>
      <c r="I303" s="591" t="s">
        <v>280</v>
      </c>
      <c r="J303" s="57"/>
    </row>
    <row r="304" spans="1:10">
      <c r="A304" s="582" t="s">
        <v>313</v>
      </c>
      <c r="B304" s="65">
        <v>502</v>
      </c>
      <c r="C304" s="579" t="s">
        <v>281</v>
      </c>
      <c r="D304" s="65"/>
      <c r="E304" s="583"/>
      <c r="F304" s="596"/>
      <c r="G304" s="65">
        <v>0</v>
      </c>
      <c r="H304" s="591" t="s">
        <v>280</v>
      </c>
      <c r="I304" s="591" t="s">
        <v>280</v>
      </c>
      <c r="J304" s="57"/>
    </row>
    <row r="305" spans="1:10">
      <c r="A305" s="582" t="s">
        <v>313</v>
      </c>
      <c r="B305" s="65">
        <v>503</v>
      </c>
      <c r="C305" s="579" t="s">
        <v>281</v>
      </c>
      <c r="D305" s="65"/>
      <c r="E305" s="583"/>
      <c r="F305" s="596"/>
      <c r="G305" s="65">
        <v>0</v>
      </c>
      <c r="H305" s="591" t="s">
        <v>280</v>
      </c>
      <c r="I305" s="591" t="s">
        <v>280</v>
      </c>
      <c r="J305" s="57"/>
    </row>
    <row r="306" spans="1:10">
      <c r="A306" s="582" t="s">
        <v>313</v>
      </c>
      <c r="B306" s="65">
        <v>504</v>
      </c>
      <c r="C306" s="579" t="s">
        <v>281</v>
      </c>
      <c r="D306" s="65"/>
      <c r="E306" s="583"/>
      <c r="F306" s="596"/>
      <c r="G306" s="65">
        <v>0</v>
      </c>
      <c r="H306" s="591" t="s">
        <v>280</v>
      </c>
      <c r="I306" s="591" t="s">
        <v>280</v>
      </c>
      <c r="J306" s="57"/>
    </row>
    <row r="307" spans="1:10">
      <c r="A307" s="582" t="s">
        <v>313</v>
      </c>
      <c r="B307" s="65">
        <v>505</v>
      </c>
      <c r="C307" s="579" t="s">
        <v>281</v>
      </c>
      <c r="D307" s="65"/>
      <c r="E307" s="583"/>
      <c r="F307" s="596"/>
      <c r="G307" s="65">
        <v>0</v>
      </c>
      <c r="H307" s="591" t="s">
        <v>280</v>
      </c>
      <c r="I307" s="591" t="s">
        <v>280</v>
      </c>
      <c r="J307" s="57"/>
    </row>
    <row r="308" spans="1:10">
      <c r="A308" s="582" t="s">
        <v>313</v>
      </c>
      <c r="B308" s="65">
        <v>506</v>
      </c>
      <c r="C308" s="579" t="s">
        <v>281</v>
      </c>
      <c r="D308" s="63"/>
      <c r="E308" s="583"/>
      <c r="F308" s="596"/>
      <c r="G308" s="65">
        <v>0</v>
      </c>
      <c r="H308" s="591" t="s">
        <v>280</v>
      </c>
      <c r="I308" s="591" t="s">
        <v>280</v>
      </c>
      <c r="J308" s="57"/>
    </row>
    <row r="309" spans="1:10">
      <c r="A309" s="582" t="s">
        <v>313</v>
      </c>
      <c r="B309" s="65">
        <v>507</v>
      </c>
      <c r="C309" s="579" t="s">
        <v>315</v>
      </c>
      <c r="D309" s="579">
        <v>10384</v>
      </c>
      <c r="E309" s="583"/>
      <c r="F309" s="585">
        <v>45535</v>
      </c>
      <c r="G309" s="65">
        <v>1</v>
      </c>
      <c r="H309" s="591" t="s">
        <v>35</v>
      </c>
      <c r="I309" s="591" t="s">
        <v>49</v>
      </c>
      <c r="J309" s="57"/>
    </row>
    <row r="310" spans="1:10">
      <c r="A310" s="582" t="s">
        <v>313</v>
      </c>
      <c r="B310" s="65">
        <v>508</v>
      </c>
      <c r="C310" s="579" t="s">
        <v>281</v>
      </c>
      <c r="D310" s="63"/>
      <c r="E310" s="583"/>
      <c r="F310" s="596"/>
      <c r="G310" s="65">
        <v>0</v>
      </c>
      <c r="H310" s="591" t="s">
        <v>280</v>
      </c>
      <c r="I310" s="591" t="s">
        <v>280</v>
      </c>
      <c r="J310" s="57"/>
    </row>
    <row r="311" spans="1:10">
      <c r="A311" s="582" t="s">
        <v>313</v>
      </c>
      <c r="B311" s="65">
        <v>509</v>
      </c>
      <c r="C311" s="579" t="s">
        <v>281</v>
      </c>
      <c r="D311" s="65"/>
      <c r="E311" s="583"/>
      <c r="F311" s="596"/>
      <c r="G311" s="65">
        <v>0</v>
      </c>
      <c r="H311" s="591" t="s">
        <v>280</v>
      </c>
      <c r="I311" s="591" t="s">
        <v>280</v>
      </c>
      <c r="J311" s="57"/>
    </row>
    <row r="312" spans="1:10">
      <c r="A312" s="582" t="s">
        <v>313</v>
      </c>
      <c r="B312" s="65">
        <v>510</v>
      </c>
      <c r="C312" s="579" t="s">
        <v>281</v>
      </c>
      <c r="D312" s="65"/>
      <c r="E312" s="583"/>
      <c r="F312" s="596"/>
      <c r="G312" s="65">
        <v>0</v>
      </c>
      <c r="H312" s="591" t="s">
        <v>280</v>
      </c>
      <c r="I312" s="591" t="s">
        <v>280</v>
      </c>
      <c r="J312" s="57"/>
    </row>
    <row r="313" spans="1:10">
      <c r="A313" s="582" t="s">
        <v>313</v>
      </c>
      <c r="B313" s="65">
        <v>511</v>
      </c>
      <c r="C313" s="579" t="s">
        <v>281</v>
      </c>
      <c r="D313" s="65"/>
      <c r="E313" s="583"/>
      <c r="F313" s="596"/>
      <c r="G313" s="65">
        <v>0</v>
      </c>
      <c r="H313" s="591" t="s">
        <v>280</v>
      </c>
      <c r="I313" s="591" t="s">
        <v>280</v>
      </c>
      <c r="J313" s="57"/>
    </row>
    <row r="314" spans="1:10">
      <c r="A314" s="582" t="s">
        <v>313</v>
      </c>
      <c r="B314" s="65">
        <v>512</v>
      </c>
      <c r="C314" s="579" t="s">
        <v>317</v>
      </c>
      <c r="D314" s="579">
        <v>10189</v>
      </c>
      <c r="E314" s="583"/>
      <c r="F314" s="585">
        <v>45535</v>
      </c>
      <c r="G314" s="65">
        <v>1</v>
      </c>
      <c r="H314" s="591" t="s">
        <v>280</v>
      </c>
      <c r="I314" s="591" t="s">
        <v>280</v>
      </c>
      <c r="J314" s="57"/>
    </row>
    <row r="315" spans="1:10">
      <c r="A315" s="582" t="s">
        <v>313</v>
      </c>
      <c r="B315" s="65">
        <v>513</v>
      </c>
      <c r="C315" s="579" t="s">
        <v>281</v>
      </c>
      <c r="D315" s="65"/>
      <c r="E315" s="583"/>
      <c r="F315" s="596"/>
      <c r="G315" s="65">
        <v>0</v>
      </c>
      <c r="H315" s="591" t="s">
        <v>280</v>
      </c>
      <c r="I315" s="591" t="s">
        <v>280</v>
      </c>
      <c r="J315" s="57"/>
    </row>
    <row r="316" spans="1:10">
      <c r="A316" s="582" t="s">
        <v>313</v>
      </c>
      <c r="B316" s="65">
        <v>514</v>
      </c>
      <c r="C316" s="579" t="s">
        <v>281</v>
      </c>
      <c r="D316" s="65"/>
      <c r="E316" s="583"/>
      <c r="F316" s="596"/>
      <c r="G316" s="65">
        <v>0</v>
      </c>
      <c r="H316" s="591" t="s">
        <v>280</v>
      </c>
      <c r="I316" s="591" t="s">
        <v>280</v>
      </c>
      <c r="J316" s="57"/>
    </row>
    <row r="317" spans="1:10">
      <c r="A317" s="582" t="s">
        <v>313</v>
      </c>
      <c r="B317" s="65">
        <v>515</v>
      </c>
      <c r="C317" s="579" t="s">
        <v>281</v>
      </c>
      <c r="D317" s="65"/>
      <c r="E317" s="583"/>
      <c r="F317" s="596"/>
      <c r="G317" s="65">
        <v>0</v>
      </c>
      <c r="H317" s="591" t="s">
        <v>280</v>
      </c>
      <c r="I317" s="591" t="s">
        <v>280</v>
      </c>
      <c r="J317" s="61"/>
    </row>
    <row r="318" spans="1:10">
      <c r="A318" s="582" t="s">
        <v>313</v>
      </c>
      <c r="B318" s="65">
        <v>516</v>
      </c>
      <c r="C318" s="579" t="s">
        <v>281</v>
      </c>
      <c r="D318" s="65"/>
      <c r="E318" s="583"/>
      <c r="F318" s="596"/>
      <c r="G318" s="65">
        <v>0</v>
      </c>
      <c r="H318" s="591" t="s">
        <v>280</v>
      </c>
      <c r="I318" s="591" t="s">
        <v>280</v>
      </c>
      <c r="J318" s="57"/>
    </row>
    <row r="319" spans="1:10">
      <c r="A319" s="582" t="s">
        <v>313</v>
      </c>
      <c r="B319" s="65">
        <v>517</v>
      </c>
      <c r="C319" s="579" t="s">
        <v>281</v>
      </c>
      <c r="D319" s="65"/>
      <c r="E319" s="583"/>
      <c r="F319" s="596"/>
      <c r="G319" s="65">
        <v>0</v>
      </c>
      <c r="H319" s="591" t="s">
        <v>280</v>
      </c>
      <c r="I319" s="591" t="s">
        <v>280</v>
      </c>
      <c r="J319" s="57"/>
    </row>
    <row r="320" spans="1:10">
      <c r="A320" s="582" t="s">
        <v>313</v>
      </c>
      <c r="B320" s="65">
        <v>518</v>
      </c>
      <c r="C320" s="63" t="s">
        <v>281</v>
      </c>
      <c r="D320" s="63"/>
      <c r="E320" s="583"/>
      <c r="F320" s="596"/>
      <c r="G320" s="65">
        <v>0</v>
      </c>
      <c r="H320" s="591" t="s">
        <v>280</v>
      </c>
      <c r="I320" s="591" t="s">
        <v>280</v>
      </c>
      <c r="J320" s="57"/>
    </row>
    <row r="321" spans="1:10">
      <c r="A321" s="582" t="s">
        <v>313</v>
      </c>
      <c r="B321" s="65">
        <v>519</v>
      </c>
      <c r="C321" s="63" t="s">
        <v>281</v>
      </c>
      <c r="D321" s="65"/>
      <c r="E321" s="583"/>
      <c r="F321" s="596"/>
      <c r="G321" s="65">
        <v>0</v>
      </c>
      <c r="H321" s="591" t="s">
        <v>280</v>
      </c>
      <c r="I321" s="591" t="s">
        <v>280</v>
      </c>
      <c r="J321" s="57"/>
    </row>
    <row r="322" spans="1:10">
      <c r="A322" s="582" t="s">
        <v>313</v>
      </c>
      <c r="B322" s="65">
        <v>520</v>
      </c>
      <c r="C322" s="63" t="s">
        <v>318</v>
      </c>
      <c r="D322" s="63">
        <v>10066</v>
      </c>
      <c r="E322" s="583"/>
      <c r="F322" s="585">
        <v>45535</v>
      </c>
      <c r="G322" s="65">
        <v>1</v>
      </c>
      <c r="H322" s="591" t="s">
        <v>1976</v>
      </c>
      <c r="I322" s="591" t="s">
        <v>83</v>
      </c>
      <c r="J322" s="57"/>
    </row>
    <row r="323" spans="1:10">
      <c r="A323" s="582" t="s">
        <v>313</v>
      </c>
      <c r="B323" s="65">
        <v>521</v>
      </c>
      <c r="C323" s="579" t="s">
        <v>281</v>
      </c>
      <c r="D323" s="65"/>
      <c r="E323" s="583"/>
      <c r="F323" s="596"/>
      <c r="G323" s="65">
        <v>0</v>
      </c>
      <c r="H323" s="591" t="s">
        <v>280</v>
      </c>
      <c r="I323" s="591" t="s">
        <v>280</v>
      </c>
      <c r="J323" s="57"/>
    </row>
    <row r="324" spans="1:10">
      <c r="A324" s="582" t="s">
        <v>313</v>
      </c>
      <c r="B324" s="65">
        <v>522</v>
      </c>
      <c r="C324" s="579" t="s">
        <v>281</v>
      </c>
      <c r="D324" s="65"/>
      <c r="E324" s="583"/>
      <c r="F324" s="596"/>
      <c r="G324" s="65">
        <v>0</v>
      </c>
      <c r="H324" s="591" t="s">
        <v>280</v>
      </c>
      <c r="I324" s="591" t="s">
        <v>280</v>
      </c>
      <c r="J324" s="57"/>
    </row>
    <row r="325" spans="1:10">
      <c r="A325" s="582" t="s">
        <v>313</v>
      </c>
      <c r="B325" s="65">
        <v>523</v>
      </c>
      <c r="C325" s="579" t="s">
        <v>281</v>
      </c>
      <c r="D325" s="65"/>
      <c r="E325" s="583"/>
      <c r="F325" s="596"/>
      <c r="G325" s="65">
        <v>0</v>
      </c>
      <c r="H325" s="591" t="s">
        <v>280</v>
      </c>
      <c r="I325" s="591" t="s">
        <v>280</v>
      </c>
      <c r="J325" s="61"/>
    </row>
    <row r="326" spans="1:10">
      <c r="A326" s="580" t="s">
        <v>313</v>
      </c>
      <c r="B326" s="65">
        <v>524</v>
      </c>
      <c r="C326" s="65" t="s">
        <v>281</v>
      </c>
      <c r="D326" s="65"/>
      <c r="E326" s="583"/>
      <c r="F326" s="596"/>
      <c r="G326" s="65">
        <v>0</v>
      </c>
      <c r="H326" s="591" t="s">
        <v>280</v>
      </c>
      <c r="I326" s="591" t="s">
        <v>280</v>
      </c>
      <c r="J326" s="57"/>
    </row>
    <row r="327" spans="1:10">
      <c r="A327" s="582" t="s">
        <v>313</v>
      </c>
      <c r="B327" s="65">
        <v>525</v>
      </c>
      <c r="C327" s="579" t="s">
        <v>281</v>
      </c>
      <c r="D327" s="579"/>
      <c r="E327" s="583"/>
      <c r="F327" s="596"/>
      <c r="G327" s="65">
        <v>0</v>
      </c>
      <c r="H327" s="591" t="s">
        <v>280</v>
      </c>
      <c r="I327" s="591" t="s">
        <v>280</v>
      </c>
      <c r="J327" s="57"/>
    </row>
    <row r="328" spans="1:10">
      <c r="A328" s="582" t="s">
        <v>313</v>
      </c>
      <c r="B328" s="65">
        <v>526</v>
      </c>
      <c r="C328" s="579" t="s">
        <v>281</v>
      </c>
      <c r="D328" s="65"/>
      <c r="E328" s="583"/>
      <c r="F328" s="596"/>
      <c r="G328" s="65">
        <v>0</v>
      </c>
      <c r="H328" s="591" t="s">
        <v>280</v>
      </c>
      <c r="I328" s="591" t="s">
        <v>280</v>
      </c>
      <c r="J328" s="57"/>
    </row>
    <row r="329" spans="1:10">
      <c r="A329" s="582" t="s">
        <v>313</v>
      </c>
      <c r="B329" s="65">
        <v>527</v>
      </c>
      <c r="C329" s="579" t="s">
        <v>281</v>
      </c>
      <c r="D329" s="65"/>
      <c r="E329" s="583"/>
      <c r="F329" s="596"/>
      <c r="G329" s="65">
        <v>0</v>
      </c>
      <c r="H329" s="591" t="s">
        <v>280</v>
      </c>
      <c r="I329" s="591" t="s">
        <v>280</v>
      </c>
      <c r="J329" s="57"/>
    </row>
    <row r="330" spans="1:10">
      <c r="A330" s="582" t="s">
        <v>313</v>
      </c>
      <c r="B330" s="65">
        <v>528</v>
      </c>
      <c r="C330" s="579" t="s">
        <v>281</v>
      </c>
      <c r="D330" s="65"/>
      <c r="E330" s="583"/>
      <c r="F330" s="596"/>
      <c r="G330" s="65">
        <v>0</v>
      </c>
      <c r="H330" s="591" t="s">
        <v>280</v>
      </c>
      <c r="I330" s="591" t="s">
        <v>280</v>
      </c>
      <c r="J330" s="57"/>
    </row>
    <row r="331" spans="1:10">
      <c r="A331" s="582" t="s">
        <v>313</v>
      </c>
      <c r="B331" s="65">
        <v>529</v>
      </c>
      <c r="C331" s="579" t="s">
        <v>281</v>
      </c>
      <c r="D331" s="65"/>
      <c r="E331" s="583"/>
      <c r="F331" s="596"/>
      <c r="G331" s="65">
        <v>0</v>
      </c>
      <c r="H331" s="591" t="s">
        <v>280</v>
      </c>
      <c r="I331" s="591" t="s">
        <v>280</v>
      </c>
      <c r="J331" s="57"/>
    </row>
    <row r="332" spans="1:10">
      <c r="A332" s="582" t="s">
        <v>313</v>
      </c>
      <c r="B332" s="65">
        <v>530</v>
      </c>
      <c r="C332" s="579" t="s">
        <v>320</v>
      </c>
      <c r="D332" s="63">
        <v>10114</v>
      </c>
      <c r="E332" s="583"/>
      <c r="F332" s="585">
        <v>45535</v>
      </c>
      <c r="G332" s="65">
        <v>1</v>
      </c>
      <c r="H332" s="591" t="s">
        <v>280</v>
      </c>
      <c r="I332" s="591" t="s">
        <v>280</v>
      </c>
      <c r="J332" s="57"/>
    </row>
    <row r="333" spans="1:10">
      <c r="A333" s="582" t="s">
        <v>313</v>
      </c>
      <c r="B333" s="65">
        <v>531</v>
      </c>
      <c r="C333" s="579" t="s">
        <v>281</v>
      </c>
      <c r="D333" s="65"/>
      <c r="E333" s="583"/>
      <c r="F333" s="596"/>
      <c r="G333" s="65">
        <v>0</v>
      </c>
      <c r="H333" s="591" t="s">
        <v>280</v>
      </c>
      <c r="I333" s="591" t="s">
        <v>280</v>
      </c>
      <c r="J333" s="57"/>
    </row>
    <row r="334" spans="1:10">
      <c r="A334" s="582" t="s">
        <v>313</v>
      </c>
      <c r="B334" s="65">
        <v>532</v>
      </c>
      <c r="C334" s="579" t="s">
        <v>321</v>
      </c>
      <c r="D334" s="579">
        <v>10596</v>
      </c>
      <c r="E334" s="583"/>
      <c r="F334" s="585">
        <v>45535</v>
      </c>
      <c r="G334" s="65">
        <v>1</v>
      </c>
      <c r="H334" s="591" t="s">
        <v>35</v>
      </c>
      <c r="I334" s="591" t="s">
        <v>49</v>
      </c>
      <c r="J334" s="57"/>
    </row>
    <row r="335" spans="1:10">
      <c r="A335" s="582" t="s">
        <v>313</v>
      </c>
      <c r="B335" s="65">
        <v>533</v>
      </c>
      <c r="C335" s="579" t="s">
        <v>281</v>
      </c>
      <c r="D335" s="65"/>
      <c r="E335" s="583"/>
      <c r="F335" s="596"/>
      <c r="G335" s="65">
        <v>0</v>
      </c>
      <c r="H335" s="591" t="s">
        <v>280</v>
      </c>
      <c r="I335" s="591" t="s">
        <v>280</v>
      </c>
      <c r="J335" s="57"/>
    </row>
    <row r="336" spans="1:10">
      <c r="A336" s="582" t="s">
        <v>313</v>
      </c>
      <c r="B336" s="65">
        <v>534</v>
      </c>
      <c r="C336" s="579" t="s">
        <v>322</v>
      </c>
      <c r="D336" s="63">
        <v>10023</v>
      </c>
      <c r="E336" s="583"/>
      <c r="F336" s="585">
        <v>45535</v>
      </c>
      <c r="G336" s="65">
        <v>1</v>
      </c>
      <c r="H336" s="591" t="s">
        <v>35</v>
      </c>
      <c r="I336" s="591" t="s">
        <v>49</v>
      </c>
      <c r="J336" s="57"/>
    </row>
    <row r="337" spans="1:10">
      <c r="A337" s="582" t="s">
        <v>313</v>
      </c>
      <c r="B337" s="65">
        <v>535</v>
      </c>
      <c r="C337" s="579" t="s">
        <v>323</v>
      </c>
      <c r="D337" s="65">
        <v>10547</v>
      </c>
      <c r="E337" s="583"/>
      <c r="F337" s="585">
        <v>45535</v>
      </c>
      <c r="G337" s="65">
        <v>1</v>
      </c>
      <c r="H337" s="591" t="s">
        <v>35</v>
      </c>
      <c r="I337" s="591" t="s">
        <v>49</v>
      </c>
      <c r="J337" s="57"/>
    </row>
    <row r="338" spans="1:10">
      <c r="A338" s="582" t="s">
        <v>313</v>
      </c>
      <c r="B338" s="65">
        <v>536</v>
      </c>
      <c r="C338" s="579" t="s">
        <v>281</v>
      </c>
      <c r="D338" s="65"/>
      <c r="E338" s="583"/>
      <c r="F338" s="596"/>
      <c r="G338" s="65">
        <v>0</v>
      </c>
      <c r="H338" s="591" t="s">
        <v>280</v>
      </c>
      <c r="I338" s="591" t="s">
        <v>280</v>
      </c>
      <c r="J338" s="57"/>
    </row>
    <row r="339" spans="1:10">
      <c r="A339" s="582" t="s">
        <v>313</v>
      </c>
      <c r="B339" s="65">
        <v>537</v>
      </c>
      <c r="C339" s="579" t="s">
        <v>281</v>
      </c>
      <c r="D339" s="65"/>
      <c r="E339" s="583"/>
      <c r="F339" s="596"/>
      <c r="G339" s="65">
        <v>0</v>
      </c>
      <c r="H339" s="591" t="s">
        <v>280</v>
      </c>
      <c r="I339" s="591" t="s">
        <v>280</v>
      </c>
    </row>
    <row r="340" spans="1:10">
      <c r="A340" s="582" t="s">
        <v>313</v>
      </c>
      <c r="B340" s="65">
        <v>538</v>
      </c>
      <c r="C340" s="579" t="s">
        <v>281</v>
      </c>
      <c r="D340" s="65"/>
      <c r="E340" s="583"/>
      <c r="F340" s="596"/>
      <c r="G340" s="65">
        <v>0</v>
      </c>
      <c r="H340" s="591" t="s">
        <v>280</v>
      </c>
      <c r="I340" s="591" t="s">
        <v>280</v>
      </c>
    </row>
    <row r="341" spans="1:10">
      <c r="A341" s="582" t="s">
        <v>313</v>
      </c>
      <c r="B341" s="65">
        <v>539</v>
      </c>
      <c r="C341" s="579" t="s">
        <v>281</v>
      </c>
      <c r="D341" s="65"/>
      <c r="E341" s="583"/>
      <c r="F341" s="596"/>
      <c r="G341" s="65">
        <v>0</v>
      </c>
      <c r="H341" s="591" t="s">
        <v>280</v>
      </c>
      <c r="I341" s="591" t="s">
        <v>280</v>
      </c>
    </row>
    <row r="342" spans="1:10">
      <c r="A342" s="582" t="s">
        <v>313</v>
      </c>
      <c r="B342" s="65">
        <v>540</v>
      </c>
      <c r="C342" s="579" t="s">
        <v>281</v>
      </c>
      <c r="D342" s="65"/>
      <c r="E342" s="583"/>
      <c r="F342" s="596"/>
      <c r="G342" s="65">
        <v>0</v>
      </c>
      <c r="H342" s="591" t="s">
        <v>280</v>
      </c>
      <c r="I342" s="591" t="s">
        <v>280</v>
      </c>
    </row>
    <row r="343" spans="1:10">
      <c r="A343" s="582" t="s">
        <v>313</v>
      </c>
      <c r="B343" s="65">
        <v>541</v>
      </c>
      <c r="C343" s="579" t="s">
        <v>281</v>
      </c>
      <c r="D343" s="65"/>
      <c r="E343" s="583"/>
      <c r="F343" s="596"/>
      <c r="G343" s="65">
        <v>0</v>
      </c>
      <c r="H343" s="591" t="s">
        <v>280</v>
      </c>
      <c r="I343" s="591" t="s">
        <v>280</v>
      </c>
    </row>
    <row r="344" spans="1:10">
      <c r="A344" s="582" t="s">
        <v>313</v>
      </c>
      <c r="B344" s="65">
        <v>542</v>
      </c>
      <c r="C344" s="579" t="s">
        <v>281</v>
      </c>
      <c r="D344" s="65"/>
      <c r="E344" s="583"/>
      <c r="F344" s="596"/>
      <c r="G344" s="65">
        <v>0</v>
      </c>
      <c r="H344" s="591" t="s">
        <v>280</v>
      </c>
      <c r="I344" s="591" t="s">
        <v>280</v>
      </c>
    </row>
    <row r="345" spans="1:10">
      <c r="A345" s="582" t="s">
        <v>313</v>
      </c>
      <c r="B345" s="65">
        <v>543</v>
      </c>
      <c r="C345" s="579" t="s">
        <v>281</v>
      </c>
      <c r="D345" s="579"/>
      <c r="E345" s="583"/>
      <c r="F345" s="596"/>
      <c r="G345" s="65">
        <v>0</v>
      </c>
      <c r="H345" s="591" t="s">
        <v>280</v>
      </c>
      <c r="I345" s="591" t="s">
        <v>280</v>
      </c>
    </row>
    <row r="346" spans="1:10">
      <c r="A346" s="582" t="s">
        <v>313</v>
      </c>
      <c r="B346" s="65">
        <v>544</v>
      </c>
      <c r="C346" s="579" t="s">
        <v>281</v>
      </c>
      <c r="D346" s="65"/>
      <c r="E346" s="583"/>
      <c r="F346" s="596"/>
      <c r="G346" s="65">
        <v>0</v>
      </c>
      <c r="H346" s="591" t="s">
        <v>280</v>
      </c>
      <c r="I346" s="591" t="s">
        <v>280</v>
      </c>
      <c r="J346" s="57"/>
    </row>
    <row r="347" spans="1:10">
      <c r="A347" s="582" t="s">
        <v>313</v>
      </c>
      <c r="B347" s="65">
        <v>545</v>
      </c>
      <c r="C347" s="579" t="s">
        <v>281</v>
      </c>
      <c r="D347" s="65"/>
      <c r="E347" s="583"/>
      <c r="F347" s="596"/>
      <c r="G347" s="65">
        <v>0</v>
      </c>
      <c r="H347" s="591" t="s">
        <v>280</v>
      </c>
      <c r="I347" s="591" t="s">
        <v>280</v>
      </c>
    </row>
    <row r="348" spans="1:10">
      <c r="A348" s="582" t="s">
        <v>313</v>
      </c>
      <c r="B348" s="65">
        <v>546</v>
      </c>
      <c r="C348" s="579" t="s">
        <v>281</v>
      </c>
      <c r="D348" s="63"/>
      <c r="E348" s="583"/>
      <c r="F348" s="596"/>
      <c r="G348" s="65">
        <v>0</v>
      </c>
      <c r="H348" s="591" t="s">
        <v>280</v>
      </c>
      <c r="I348" s="591" t="s">
        <v>280</v>
      </c>
    </row>
    <row r="349" spans="1:10">
      <c r="A349" s="582" t="s">
        <v>313</v>
      </c>
      <c r="B349" s="65">
        <v>547</v>
      </c>
      <c r="C349" s="579" t="s">
        <v>281</v>
      </c>
      <c r="D349" s="65"/>
      <c r="E349" s="583"/>
      <c r="F349" s="596"/>
      <c r="G349" s="65">
        <v>0</v>
      </c>
      <c r="H349" s="591" t="s">
        <v>280</v>
      </c>
      <c r="I349" s="591" t="s">
        <v>280</v>
      </c>
    </row>
    <row r="350" spans="1:10">
      <c r="A350" s="582" t="s">
        <v>313</v>
      </c>
      <c r="B350" s="65">
        <v>548</v>
      </c>
      <c r="C350" s="579" t="s">
        <v>281</v>
      </c>
      <c r="D350" s="65"/>
      <c r="E350" s="583"/>
      <c r="F350" s="596"/>
      <c r="G350" s="65">
        <v>0</v>
      </c>
      <c r="H350" s="591" t="s">
        <v>280</v>
      </c>
      <c r="I350" s="591" t="s">
        <v>280</v>
      </c>
    </row>
    <row r="351" spans="1:10">
      <c r="A351" s="582" t="s">
        <v>313</v>
      </c>
      <c r="B351" s="65">
        <v>549</v>
      </c>
      <c r="C351" s="579" t="s">
        <v>281</v>
      </c>
      <c r="D351" s="65"/>
      <c r="E351" s="583"/>
      <c r="F351" s="596"/>
      <c r="G351" s="65">
        <v>0</v>
      </c>
      <c r="H351" s="591" t="s">
        <v>280</v>
      </c>
      <c r="I351" s="591" t="s">
        <v>280</v>
      </c>
    </row>
    <row r="352" spans="1:10">
      <c r="A352" s="582" t="s">
        <v>313</v>
      </c>
      <c r="B352" s="65">
        <v>550</v>
      </c>
      <c r="C352" s="579" t="s">
        <v>281</v>
      </c>
      <c r="D352" s="65"/>
      <c r="E352" s="583"/>
      <c r="F352" s="596"/>
      <c r="G352" s="65">
        <v>0</v>
      </c>
      <c r="H352" s="591" t="s">
        <v>280</v>
      </c>
      <c r="I352" s="591" t="s">
        <v>280</v>
      </c>
    </row>
    <row r="353" spans="1:9">
      <c r="A353" s="582" t="s">
        <v>313</v>
      </c>
      <c r="B353" s="65">
        <v>551</v>
      </c>
      <c r="C353" s="579" t="s">
        <v>281</v>
      </c>
      <c r="D353" s="65"/>
      <c r="E353" s="583"/>
      <c r="F353" s="596"/>
      <c r="G353" s="65">
        <v>0</v>
      </c>
      <c r="H353" s="591" t="s">
        <v>280</v>
      </c>
      <c r="I353" s="591" t="s">
        <v>280</v>
      </c>
    </row>
    <row r="354" spans="1:9">
      <c r="A354" s="582" t="s">
        <v>313</v>
      </c>
      <c r="B354" s="65">
        <v>552</v>
      </c>
      <c r="C354" s="579" t="s">
        <v>281</v>
      </c>
      <c r="D354" s="65"/>
      <c r="E354" s="583"/>
      <c r="F354" s="596"/>
      <c r="G354" s="65">
        <v>0</v>
      </c>
      <c r="H354" s="591" t="s">
        <v>280</v>
      </c>
      <c r="I354" s="591" t="s">
        <v>280</v>
      </c>
    </row>
    <row r="355" spans="1:9">
      <c r="A355" s="582" t="s">
        <v>313</v>
      </c>
      <c r="B355" s="65">
        <v>553</v>
      </c>
      <c r="C355" s="579" t="s">
        <v>281</v>
      </c>
      <c r="D355" s="65"/>
      <c r="E355" s="583"/>
      <c r="F355" s="596"/>
      <c r="G355" s="65">
        <v>0</v>
      </c>
      <c r="H355" s="591" t="s">
        <v>280</v>
      </c>
      <c r="I355" s="591" t="s">
        <v>280</v>
      </c>
    </row>
    <row r="356" spans="1:9">
      <c r="A356" s="582" t="s">
        <v>313</v>
      </c>
      <c r="B356" s="65">
        <v>554</v>
      </c>
      <c r="C356" s="579" t="s">
        <v>281</v>
      </c>
      <c r="D356" s="65"/>
      <c r="E356" s="583"/>
      <c r="F356" s="596"/>
      <c r="G356" s="65">
        <v>0</v>
      </c>
      <c r="H356" s="591" t="s">
        <v>280</v>
      </c>
      <c r="I356" s="591" t="s">
        <v>280</v>
      </c>
    </row>
    <row r="357" spans="1:9">
      <c r="A357" s="582" t="s">
        <v>313</v>
      </c>
      <c r="B357" s="65">
        <v>555</v>
      </c>
      <c r="C357" s="579" t="s">
        <v>281</v>
      </c>
      <c r="D357" s="579"/>
      <c r="E357" s="583"/>
      <c r="F357" s="596"/>
      <c r="G357" s="65">
        <v>0</v>
      </c>
      <c r="H357" s="591" t="s">
        <v>280</v>
      </c>
      <c r="I357" s="591" t="s">
        <v>280</v>
      </c>
    </row>
    <row r="358" spans="1:9">
      <c r="A358" s="582" t="s">
        <v>313</v>
      </c>
      <c r="B358" s="65">
        <v>556</v>
      </c>
      <c r="C358" s="63" t="s">
        <v>325</v>
      </c>
      <c r="D358" s="579">
        <v>10046</v>
      </c>
      <c r="E358" s="583"/>
      <c r="F358" s="585">
        <v>45535</v>
      </c>
      <c r="G358" s="65">
        <v>1</v>
      </c>
      <c r="H358" s="591" t="s">
        <v>1976</v>
      </c>
      <c r="I358" s="591" t="s">
        <v>83</v>
      </c>
    </row>
    <row r="359" spans="1:9">
      <c r="A359" s="582" t="s">
        <v>313</v>
      </c>
      <c r="B359" s="65">
        <v>557</v>
      </c>
      <c r="C359" s="63" t="s">
        <v>281</v>
      </c>
      <c r="D359" s="579"/>
      <c r="E359" s="583"/>
      <c r="F359" s="596"/>
      <c r="G359" s="65">
        <v>0</v>
      </c>
      <c r="H359" s="591" t="s">
        <v>280</v>
      </c>
      <c r="I359" s="591" t="s">
        <v>280</v>
      </c>
    </row>
    <row r="360" spans="1:9">
      <c r="A360" s="582" t="s">
        <v>313</v>
      </c>
      <c r="B360" s="65">
        <v>558</v>
      </c>
      <c r="C360" s="63" t="s">
        <v>326</v>
      </c>
      <c r="D360" s="63">
        <v>10123</v>
      </c>
      <c r="E360" s="583"/>
      <c r="F360" s="585">
        <v>45535</v>
      </c>
      <c r="G360" s="65">
        <v>1</v>
      </c>
      <c r="H360" s="591" t="s">
        <v>280</v>
      </c>
      <c r="I360" s="591" t="s">
        <v>280</v>
      </c>
    </row>
    <row r="361" spans="1:9">
      <c r="A361" s="582" t="s">
        <v>313</v>
      </c>
      <c r="B361" s="65">
        <v>559</v>
      </c>
      <c r="C361" s="63" t="s">
        <v>281</v>
      </c>
      <c r="D361" s="579"/>
      <c r="E361" s="583"/>
      <c r="F361" s="596"/>
      <c r="G361" s="65">
        <v>0</v>
      </c>
      <c r="H361" s="591" t="s">
        <v>280</v>
      </c>
      <c r="I361" s="591" t="s">
        <v>280</v>
      </c>
    </row>
    <row r="362" spans="1:9">
      <c r="A362" s="582" t="s">
        <v>313</v>
      </c>
      <c r="B362" s="65">
        <v>560</v>
      </c>
      <c r="C362" s="63" t="s">
        <v>281</v>
      </c>
      <c r="D362" s="579"/>
      <c r="E362" s="583"/>
      <c r="F362" s="596"/>
      <c r="G362" s="65">
        <v>0</v>
      </c>
      <c r="H362" s="591" t="s">
        <v>280</v>
      </c>
      <c r="I362" s="591" t="s">
        <v>280</v>
      </c>
    </row>
    <row r="363" spans="1:9">
      <c r="A363" s="582" t="s">
        <v>313</v>
      </c>
      <c r="B363" s="65">
        <v>561</v>
      </c>
      <c r="C363" s="63" t="s">
        <v>327</v>
      </c>
      <c r="D363" s="579">
        <v>10214</v>
      </c>
      <c r="E363" s="583"/>
      <c r="F363" s="585">
        <v>45535</v>
      </c>
      <c r="G363" s="65">
        <v>1</v>
      </c>
      <c r="H363" s="591" t="s">
        <v>35</v>
      </c>
      <c r="I363" s="591" t="s">
        <v>49</v>
      </c>
    </row>
    <row r="364" spans="1:9">
      <c r="A364" s="582" t="s">
        <v>313</v>
      </c>
      <c r="B364" s="65">
        <v>562</v>
      </c>
      <c r="C364" s="63" t="s">
        <v>281</v>
      </c>
      <c r="D364" s="579"/>
      <c r="E364" s="583"/>
      <c r="F364" s="596"/>
      <c r="G364" s="65">
        <v>0</v>
      </c>
      <c r="H364" s="591" t="s">
        <v>280</v>
      </c>
      <c r="I364" s="591" t="s">
        <v>280</v>
      </c>
    </row>
    <row r="365" spans="1:9">
      <c r="A365" s="582" t="s">
        <v>313</v>
      </c>
      <c r="B365" s="65">
        <v>563</v>
      </c>
      <c r="C365" s="579" t="s">
        <v>281</v>
      </c>
      <c r="D365" s="579"/>
      <c r="E365" s="583"/>
      <c r="F365" s="596"/>
      <c r="G365" s="65">
        <v>0</v>
      </c>
      <c r="H365" s="591" t="s">
        <v>280</v>
      </c>
      <c r="I365" s="591" t="s">
        <v>280</v>
      </c>
    </row>
    <row r="366" spans="1:9">
      <c r="A366" s="582" t="s">
        <v>313</v>
      </c>
      <c r="B366" s="65">
        <v>564</v>
      </c>
      <c r="C366" s="579" t="s">
        <v>281</v>
      </c>
      <c r="D366" s="579"/>
      <c r="E366" s="583"/>
      <c r="F366" s="596"/>
      <c r="G366" s="65">
        <v>0</v>
      </c>
      <c r="H366" s="591" t="s">
        <v>280</v>
      </c>
      <c r="I366" s="591" t="s">
        <v>280</v>
      </c>
    </row>
    <row r="367" spans="1:9">
      <c r="A367" s="582" t="s">
        <v>313</v>
      </c>
      <c r="B367" s="65">
        <v>565</v>
      </c>
      <c r="C367" s="579" t="s">
        <v>328</v>
      </c>
      <c r="D367" s="579">
        <v>10088</v>
      </c>
      <c r="E367" s="583"/>
      <c r="F367" s="585">
        <v>45535</v>
      </c>
      <c r="G367" s="65">
        <v>1</v>
      </c>
      <c r="H367" s="591" t="s">
        <v>35</v>
      </c>
      <c r="I367" s="591" t="s">
        <v>49</v>
      </c>
    </row>
    <row r="368" spans="1:9">
      <c r="A368" s="582" t="s">
        <v>313</v>
      </c>
      <c r="B368" s="65">
        <v>566</v>
      </c>
      <c r="C368" s="579" t="s">
        <v>329</v>
      </c>
      <c r="D368" s="65">
        <v>10517</v>
      </c>
      <c r="E368" s="583"/>
      <c r="F368" s="585">
        <v>45535</v>
      </c>
      <c r="G368" s="65">
        <v>1</v>
      </c>
      <c r="H368" s="591" t="s">
        <v>35</v>
      </c>
      <c r="I368" s="591" t="s">
        <v>49</v>
      </c>
    </row>
    <row r="369" spans="1:9">
      <c r="A369" s="582" t="s">
        <v>313</v>
      </c>
      <c r="B369" s="65">
        <v>567</v>
      </c>
      <c r="C369" s="579" t="s">
        <v>330</v>
      </c>
      <c r="D369" s="63">
        <v>10191</v>
      </c>
      <c r="E369" s="583"/>
      <c r="F369" s="585">
        <v>45535</v>
      </c>
      <c r="G369" s="65">
        <v>1</v>
      </c>
      <c r="H369" s="591" t="s">
        <v>1976</v>
      </c>
      <c r="I369" s="591" t="s">
        <v>83</v>
      </c>
    </row>
    <row r="370" spans="1:9">
      <c r="A370" s="582" t="s">
        <v>313</v>
      </c>
      <c r="B370" s="65">
        <v>568</v>
      </c>
      <c r="C370" s="579" t="s">
        <v>1667</v>
      </c>
      <c r="D370" s="65">
        <v>10475</v>
      </c>
      <c r="E370" s="583"/>
      <c r="F370" s="585">
        <v>45535</v>
      </c>
      <c r="G370" s="65">
        <v>1</v>
      </c>
      <c r="H370" s="591" t="s">
        <v>35</v>
      </c>
      <c r="I370" s="591" t="s">
        <v>49</v>
      </c>
    </row>
    <row r="371" spans="1:9">
      <c r="A371" s="582" t="s">
        <v>313</v>
      </c>
      <c r="B371" s="65">
        <v>569</v>
      </c>
      <c r="C371" s="579" t="s">
        <v>281</v>
      </c>
      <c r="D371" s="63"/>
      <c r="E371" s="583"/>
      <c r="F371" s="596"/>
      <c r="G371" s="65">
        <v>0</v>
      </c>
      <c r="H371" s="591" t="s">
        <v>280</v>
      </c>
      <c r="I371" s="591" t="s">
        <v>280</v>
      </c>
    </row>
    <row r="372" spans="1:9">
      <c r="A372" s="582" t="s">
        <v>313</v>
      </c>
      <c r="B372" s="65">
        <v>570</v>
      </c>
      <c r="C372" s="579" t="s">
        <v>281</v>
      </c>
      <c r="D372" s="63"/>
      <c r="E372" s="583"/>
      <c r="F372" s="596"/>
      <c r="G372" s="65">
        <v>0</v>
      </c>
      <c r="H372" s="591" t="s">
        <v>280</v>
      </c>
      <c r="I372" s="591" t="s">
        <v>280</v>
      </c>
    </row>
    <row r="373" spans="1:9">
      <c r="A373" s="582" t="s">
        <v>313</v>
      </c>
      <c r="B373" s="65">
        <v>571</v>
      </c>
      <c r="C373" s="579" t="s">
        <v>333</v>
      </c>
      <c r="D373" s="63">
        <v>10081</v>
      </c>
      <c r="E373" s="583"/>
      <c r="F373" s="585">
        <v>45535</v>
      </c>
      <c r="G373" s="65">
        <v>1</v>
      </c>
      <c r="H373" s="591" t="s">
        <v>35</v>
      </c>
      <c r="I373" s="591" t="s">
        <v>49</v>
      </c>
    </row>
    <row r="374" spans="1:9">
      <c r="A374" s="582" t="s">
        <v>313</v>
      </c>
      <c r="B374" s="65">
        <v>572</v>
      </c>
      <c r="C374" s="579" t="s">
        <v>281</v>
      </c>
      <c r="D374" s="63"/>
      <c r="E374" s="583"/>
      <c r="F374" s="596"/>
      <c r="G374" s="65">
        <v>0</v>
      </c>
      <c r="H374" s="591" t="s">
        <v>280</v>
      </c>
      <c r="I374" s="591" t="s">
        <v>280</v>
      </c>
    </row>
    <row r="375" spans="1:9">
      <c r="A375" s="582" t="s">
        <v>313</v>
      </c>
      <c r="B375" s="65">
        <v>573</v>
      </c>
      <c r="C375" s="579" t="s">
        <v>334</v>
      </c>
      <c r="D375" s="65">
        <v>10667</v>
      </c>
      <c r="E375" s="583"/>
      <c r="F375" s="585">
        <v>45535</v>
      </c>
      <c r="G375" s="65">
        <v>1</v>
      </c>
      <c r="H375" s="591" t="s">
        <v>280</v>
      </c>
      <c r="I375" s="591" t="s">
        <v>280</v>
      </c>
    </row>
    <row r="376" spans="1:9">
      <c r="A376" s="582" t="s">
        <v>313</v>
      </c>
      <c r="B376" s="65">
        <v>574</v>
      </c>
      <c r="C376" s="579" t="s">
        <v>335</v>
      </c>
      <c r="D376" s="63">
        <v>10514</v>
      </c>
      <c r="E376" s="583"/>
      <c r="F376" s="585">
        <v>45535</v>
      </c>
      <c r="G376" s="65">
        <v>1</v>
      </c>
      <c r="H376" s="591" t="s">
        <v>35</v>
      </c>
      <c r="I376" s="591" t="s">
        <v>49</v>
      </c>
    </row>
    <row r="377" spans="1:9">
      <c r="A377" s="582" t="s">
        <v>313</v>
      </c>
      <c r="B377" s="65">
        <v>575</v>
      </c>
      <c r="C377" s="579" t="s">
        <v>281</v>
      </c>
      <c r="D377" s="63"/>
      <c r="E377" s="583"/>
      <c r="F377" s="596"/>
      <c r="G377" s="65">
        <v>0</v>
      </c>
      <c r="H377" s="591" t="s">
        <v>280</v>
      </c>
      <c r="I377" s="591" t="s">
        <v>280</v>
      </c>
    </row>
    <row r="378" spans="1:9">
      <c r="A378" s="582" t="s">
        <v>313</v>
      </c>
      <c r="B378" s="65">
        <v>576</v>
      </c>
      <c r="C378" s="579" t="s">
        <v>281</v>
      </c>
      <c r="D378" s="579"/>
      <c r="E378" s="583"/>
      <c r="F378" s="596"/>
      <c r="G378" s="65">
        <v>0</v>
      </c>
      <c r="H378" s="591" t="s">
        <v>280</v>
      </c>
      <c r="I378" s="591" t="s">
        <v>280</v>
      </c>
    </row>
    <row r="379" spans="1:9">
      <c r="A379" s="582" t="s">
        <v>313</v>
      </c>
      <c r="B379" s="65">
        <v>577</v>
      </c>
      <c r="C379" s="579" t="s">
        <v>281</v>
      </c>
      <c r="D379" s="63"/>
      <c r="E379" s="583"/>
      <c r="F379" s="596"/>
      <c r="G379" s="65">
        <v>0</v>
      </c>
      <c r="H379" s="591" t="s">
        <v>280</v>
      </c>
      <c r="I379" s="591" t="s">
        <v>280</v>
      </c>
    </row>
    <row r="380" spans="1:9">
      <c r="A380" s="582" t="s">
        <v>313</v>
      </c>
      <c r="B380" s="65">
        <v>578</v>
      </c>
      <c r="C380" s="579" t="s">
        <v>337</v>
      </c>
      <c r="D380" s="63">
        <v>10507</v>
      </c>
      <c r="E380" s="583"/>
      <c r="F380" s="585">
        <v>45535</v>
      </c>
      <c r="G380" s="65">
        <v>1</v>
      </c>
      <c r="H380" s="591" t="s">
        <v>1976</v>
      </c>
      <c r="I380" s="591" t="s">
        <v>83</v>
      </c>
    </row>
    <row r="381" spans="1:9">
      <c r="A381" s="582" t="s">
        <v>313</v>
      </c>
      <c r="B381" s="65">
        <v>579</v>
      </c>
      <c r="C381" s="579" t="s">
        <v>1668</v>
      </c>
      <c r="D381" s="579">
        <v>10810</v>
      </c>
      <c r="E381" s="583"/>
      <c r="F381" s="585">
        <v>45535</v>
      </c>
      <c r="G381" s="65">
        <v>1</v>
      </c>
      <c r="H381" s="591" t="s">
        <v>1976</v>
      </c>
      <c r="I381" s="591" t="s">
        <v>83</v>
      </c>
    </row>
    <row r="382" spans="1:9">
      <c r="A382" s="582" t="s">
        <v>313</v>
      </c>
      <c r="B382" s="65">
        <v>580</v>
      </c>
      <c r="C382" s="579" t="s">
        <v>1669</v>
      </c>
      <c r="D382" s="579">
        <v>10811</v>
      </c>
      <c r="E382" s="583"/>
      <c r="F382" s="585">
        <v>45535</v>
      </c>
      <c r="G382" s="65">
        <v>1</v>
      </c>
      <c r="H382" s="591" t="s">
        <v>1976</v>
      </c>
      <c r="I382" s="591" t="s">
        <v>83</v>
      </c>
    </row>
    <row r="383" spans="1:9">
      <c r="A383" s="582" t="s">
        <v>313</v>
      </c>
      <c r="B383" s="65">
        <v>581</v>
      </c>
      <c r="C383" s="579" t="s">
        <v>281</v>
      </c>
      <c r="D383" s="579"/>
      <c r="E383" s="583"/>
      <c r="F383" s="596"/>
      <c r="G383" s="65">
        <v>0</v>
      </c>
      <c r="H383" s="591" t="s">
        <v>280</v>
      </c>
      <c r="I383" s="591" t="s">
        <v>280</v>
      </c>
    </row>
    <row r="384" spans="1:9">
      <c r="A384" s="582" t="s">
        <v>313</v>
      </c>
      <c r="B384" s="65">
        <v>582</v>
      </c>
      <c r="C384" s="579" t="s">
        <v>1670</v>
      </c>
      <c r="D384" s="579">
        <v>10813</v>
      </c>
      <c r="E384" s="583"/>
      <c r="F384" s="585">
        <v>45535</v>
      </c>
      <c r="G384" s="65">
        <v>1</v>
      </c>
      <c r="H384" s="591" t="s">
        <v>1976</v>
      </c>
      <c r="I384" s="591" t="s">
        <v>83</v>
      </c>
    </row>
    <row r="385" spans="1:9">
      <c r="A385" s="582" t="s">
        <v>313</v>
      </c>
      <c r="B385" s="65">
        <v>583</v>
      </c>
      <c r="C385" s="579" t="s">
        <v>1671</v>
      </c>
      <c r="D385" s="579">
        <v>10814</v>
      </c>
      <c r="E385" s="583"/>
      <c r="F385" s="585">
        <v>45535</v>
      </c>
      <c r="G385" s="65">
        <v>1</v>
      </c>
      <c r="H385" s="591" t="s">
        <v>1976</v>
      </c>
      <c r="I385" s="591" t="s">
        <v>83</v>
      </c>
    </row>
    <row r="386" spans="1:9">
      <c r="A386" s="582" t="s">
        <v>313</v>
      </c>
      <c r="B386" s="65">
        <v>584</v>
      </c>
      <c r="C386" s="579" t="s">
        <v>1672</v>
      </c>
      <c r="D386" s="579">
        <v>10815</v>
      </c>
      <c r="E386" s="583"/>
      <c r="F386" s="585">
        <v>45535</v>
      </c>
      <c r="G386" s="65">
        <v>1</v>
      </c>
      <c r="H386" s="591" t="s">
        <v>280</v>
      </c>
      <c r="I386" s="591" t="s">
        <v>280</v>
      </c>
    </row>
    <row r="387" spans="1:9">
      <c r="A387" s="582" t="s">
        <v>313</v>
      </c>
      <c r="B387" s="65">
        <v>585</v>
      </c>
      <c r="C387" s="579" t="s">
        <v>1673</v>
      </c>
      <c r="D387" s="579">
        <v>10816</v>
      </c>
      <c r="E387" s="583"/>
      <c r="F387" s="585">
        <v>45535</v>
      </c>
      <c r="G387" s="65">
        <v>1</v>
      </c>
      <c r="H387" s="591" t="s">
        <v>280</v>
      </c>
      <c r="I387" s="591" t="s">
        <v>280</v>
      </c>
    </row>
    <row r="388" spans="1:9">
      <c r="A388" s="580" t="s">
        <v>313</v>
      </c>
      <c r="B388" s="65">
        <v>586</v>
      </c>
      <c r="C388" s="65" t="s">
        <v>281</v>
      </c>
      <c r="D388" s="65"/>
      <c r="E388" s="583"/>
      <c r="F388" s="596"/>
      <c r="G388" s="65">
        <v>0</v>
      </c>
      <c r="H388" s="591" t="s">
        <v>280</v>
      </c>
      <c r="I388" s="591" t="s">
        <v>280</v>
      </c>
    </row>
    <row r="389" spans="1:9">
      <c r="A389" s="582" t="s">
        <v>313</v>
      </c>
      <c r="B389" s="65">
        <v>587</v>
      </c>
      <c r="C389" s="579" t="s">
        <v>1674</v>
      </c>
      <c r="D389" s="579">
        <v>10920</v>
      </c>
      <c r="E389" s="583"/>
      <c r="F389" s="585">
        <v>45535</v>
      </c>
      <c r="G389" s="65">
        <v>1</v>
      </c>
      <c r="H389" s="591" t="s">
        <v>1976</v>
      </c>
      <c r="I389" s="591" t="s">
        <v>83</v>
      </c>
    </row>
    <row r="390" spans="1:9">
      <c r="A390" s="582" t="s">
        <v>313</v>
      </c>
      <c r="B390" s="65">
        <v>588</v>
      </c>
      <c r="C390" s="65" t="s">
        <v>1675</v>
      </c>
      <c r="D390" s="65">
        <v>10955</v>
      </c>
      <c r="E390" s="583"/>
      <c r="F390" s="585">
        <v>45535</v>
      </c>
      <c r="G390" s="65">
        <v>1</v>
      </c>
      <c r="H390" s="591" t="s">
        <v>280</v>
      </c>
      <c r="I390" s="591" t="s">
        <v>280</v>
      </c>
    </row>
    <row r="391" spans="1:9">
      <c r="A391" s="582" t="s">
        <v>313</v>
      </c>
      <c r="B391" s="65">
        <v>589</v>
      </c>
      <c r="C391" s="65" t="s">
        <v>1676</v>
      </c>
      <c r="D391" s="65">
        <v>10956</v>
      </c>
      <c r="E391" s="583"/>
      <c r="F391" s="585">
        <v>45535</v>
      </c>
      <c r="G391" s="65">
        <v>1</v>
      </c>
      <c r="H391" s="591" t="s">
        <v>1976</v>
      </c>
      <c r="I391" s="591" t="s">
        <v>83</v>
      </c>
    </row>
    <row r="392" spans="1:9">
      <c r="A392" s="582" t="s">
        <v>313</v>
      </c>
      <c r="B392" s="65">
        <v>590</v>
      </c>
      <c r="C392" s="579" t="s">
        <v>281</v>
      </c>
      <c r="D392" s="582"/>
      <c r="E392" s="583"/>
      <c r="F392" s="596"/>
      <c r="G392" s="65">
        <v>0</v>
      </c>
      <c r="H392" s="591" t="s">
        <v>280</v>
      </c>
      <c r="I392" s="591" t="s">
        <v>280</v>
      </c>
    </row>
    <row r="393" spans="1:9">
      <c r="A393" s="582" t="s">
        <v>313</v>
      </c>
      <c r="B393" s="65">
        <v>591</v>
      </c>
      <c r="C393" s="579" t="s">
        <v>281</v>
      </c>
      <c r="D393" s="579"/>
      <c r="E393" s="583"/>
      <c r="F393" s="596"/>
      <c r="G393" s="65">
        <v>0</v>
      </c>
      <c r="H393" s="591" t="s">
        <v>280</v>
      </c>
      <c r="I393" s="591" t="s">
        <v>280</v>
      </c>
    </row>
    <row r="394" spans="1:9">
      <c r="A394" s="582" t="s">
        <v>313</v>
      </c>
      <c r="B394" s="65">
        <v>592</v>
      </c>
      <c r="C394" s="579" t="s">
        <v>281</v>
      </c>
      <c r="D394" s="579"/>
      <c r="E394" s="583"/>
      <c r="F394" s="596"/>
      <c r="G394" s="65">
        <v>0</v>
      </c>
      <c r="H394" s="591" t="s">
        <v>280</v>
      </c>
      <c r="I394" s="591" t="s">
        <v>280</v>
      </c>
    </row>
    <row r="395" spans="1:9">
      <c r="A395" s="582" t="s">
        <v>313</v>
      </c>
      <c r="B395" s="65">
        <v>593</v>
      </c>
      <c r="C395" s="579" t="s">
        <v>281</v>
      </c>
      <c r="D395" s="579"/>
      <c r="E395" s="583"/>
      <c r="F395" s="596"/>
      <c r="G395" s="65">
        <v>0</v>
      </c>
      <c r="H395" s="591" t="s">
        <v>280</v>
      </c>
      <c r="I395" s="591" t="s">
        <v>280</v>
      </c>
    </row>
    <row r="396" spans="1:9">
      <c r="A396" s="582" t="s">
        <v>313</v>
      </c>
      <c r="B396" s="65">
        <v>594</v>
      </c>
      <c r="C396" s="579" t="s">
        <v>281</v>
      </c>
      <c r="D396" s="579"/>
      <c r="E396" s="583"/>
      <c r="F396" s="596"/>
      <c r="G396" s="65">
        <v>0</v>
      </c>
      <c r="H396" s="591" t="s">
        <v>280</v>
      </c>
      <c r="I396" s="591" t="s">
        <v>280</v>
      </c>
    </row>
    <row r="397" spans="1:9">
      <c r="A397" s="582" t="s">
        <v>313</v>
      </c>
      <c r="B397" s="65">
        <v>595</v>
      </c>
      <c r="C397" s="579" t="s">
        <v>281</v>
      </c>
      <c r="D397" s="579"/>
      <c r="E397" s="583"/>
      <c r="F397" s="596"/>
      <c r="G397" s="65">
        <v>0</v>
      </c>
      <c r="H397" s="591" t="s">
        <v>280</v>
      </c>
      <c r="I397" s="591" t="s">
        <v>280</v>
      </c>
    </row>
    <row r="398" spans="1:9">
      <c r="A398" s="582" t="s">
        <v>313</v>
      </c>
      <c r="B398" s="65">
        <v>596</v>
      </c>
      <c r="C398" s="579" t="s">
        <v>281</v>
      </c>
      <c r="D398" s="579"/>
      <c r="E398" s="583"/>
      <c r="F398" s="596"/>
      <c r="G398" s="65">
        <v>0</v>
      </c>
      <c r="H398" s="591" t="s">
        <v>280</v>
      </c>
      <c r="I398" s="591" t="s">
        <v>280</v>
      </c>
    </row>
    <row r="399" spans="1:9">
      <c r="A399" s="582" t="s">
        <v>313</v>
      </c>
      <c r="B399" s="65">
        <v>597</v>
      </c>
      <c r="C399" s="579" t="s">
        <v>281</v>
      </c>
      <c r="D399" s="579"/>
      <c r="E399" s="583"/>
      <c r="F399" s="596"/>
      <c r="G399" s="65">
        <v>0</v>
      </c>
      <c r="H399" s="591" t="s">
        <v>280</v>
      </c>
      <c r="I399" s="591" t="s">
        <v>280</v>
      </c>
    </row>
    <row r="400" spans="1:9">
      <c r="A400" s="582" t="s">
        <v>313</v>
      </c>
      <c r="B400" s="65">
        <v>598</v>
      </c>
      <c r="C400" s="579" t="s">
        <v>281</v>
      </c>
      <c r="D400" s="579"/>
      <c r="E400" s="583"/>
      <c r="F400" s="596"/>
      <c r="G400" s="65">
        <v>0</v>
      </c>
      <c r="H400" s="591" t="s">
        <v>280</v>
      </c>
      <c r="I400" s="591" t="s">
        <v>280</v>
      </c>
    </row>
    <row r="401" spans="1:10">
      <c r="A401" s="582" t="s">
        <v>313</v>
      </c>
      <c r="B401" s="65">
        <v>599</v>
      </c>
      <c r="C401" s="579" t="s">
        <v>281</v>
      </c>
      <c r="D401" s="579"/>
      <c r="E401" s="583"/>
      <c r="F401" s="596"/>
      <c r="G401" s="65">
        <v>0</v>
      </c>
      <c r="H401" s="591" t="s">
        <v>280</v>
      </c>
      <c r="I401" s="591" t="s">
        <v>280</v>
      </c>
    </row>
    <row r="402" spans="1:10" ht="12.75">
      <c r="A402" s="582" t="s">
        <v>338</v>
      </c>
      <c r="B402" s="63">
        <v>600</v>
      </c>
      <c r="C402" s="63" t="s">
        <v>279</v>
      </c>
      <c r="D402" s="63"/>
      <c r="E402" s="62"/>
      <c r="F402" s="585">
        <v>45535</v>
      </c>
      <c r="G402" s="63">
        <v>1</v>
      </c>
      <c r="H402" s="591" t="s">
        <v>280</v>
      </c>
      <c r="I402" s="591" t="s">
        <v>280</v>
      </c>
    </row>
    <row r="403" spans="1:10" ht="13.5">
      <c r="A403" s="582" t="s">
        <v>338</v>
      </c>
      <c r="B403" s="63">
        <v>601</v>
      </c>
      <c r="C403" s="63" t="s">
        <v>339</v>
      </c>
      <c r="D403" s="65">
        <v>10634</v>
      </c>
      <c r="E403" s="62"/>
      <c r="F403" s="585">
        <v>45535</v>
      </c>
      <c r="G403" s="63">
        <v>1</v>
      </c>
      <c r="H403" s="591" t="s">
        <v>9</v>
      </c>
      <c r="I403" s="591" t="s">
        <v>26</v>
      </c>
      <c r="J403" s="57"/>
    </row>
    <row r="404" spans="1:10" ht="13.5">
      <c r="A404" s="582" t="s">
        <v>338</v>
      </c>
      <c r="B404" s="63">
        <v>602</v>
      </c>
      <c r="C404" s="63" t="s">
        <v>281</v>
      </c>
      <c r="D404" s="63"/>
      <c r="E404" s="62"/>
      <c r="F404" s="596"/>
      <c r="G404" s="63">
        <v>0</v>
      </c>
      <c r="H404" s="591" t="s">
        <v>280</v>
      </c>
      <c r="I404" s="591" t="s">
        <v>280</v>
      </c>
      <c r="J404" s="57"/>
    </row>
    <row r="405" spans="1:10" ht="13.5">
      <c r="A405" s="582" t="s">
        <v>338</v>
      </c>
      <c r="B405" s="63">
        <v>603</v>
      </c>
      <c r="C405" s="63" t="s">
        <v>340</v>
      </c>
      <c r="D405" s="63">
        <v>10404</v>
      </c>
      <c r="E405" s="62"/>
      <c r="F405" s="585">
        <v>45535</v>
      </c>
      <c r="G405" s="63">
        <v>1</v>
      </c>
      <c r="H405" s="591" t="s">
        <v>9</v>
      </c>
      <c r="I405" s="591" t="s">
        <v>26</v>
      </c>
      <c r="J405" s="57"/>
    </row>
    <row r="406" spans="1:10" ht="13.5">
      <c r="A406" s="582" t="s">
        <v>338</v>
      </c>
      <c r="B406" s="63">
        <v>604</v>
      </c>
      <c r="C406" s="63" t="s">
        <v>341</v>
      </c>
      <c r="D406" s="579">
        <v>10241</v>
      </c>
      <c r="E406" s="62"/>
      <c r="F406" s="585">
        <v>45535</v>
      </c>
      <c r="G406" s="63">
        <v>1</v>
      </c>
      <c r="H406" s="591" t="s">
        <v>9</v>
      </c>
      <c r="I406" s="591" t="s">
        <v>26</v>
      </c>
      <c r="J406" s="57"/>
    </row>
    <row r="407" spans="1:10" ht="13.5">
      <c r="A407" s="582" t="s">
        <v>338</v>
      </c>
      <c r="B407" s="63">
        <v>605</v>
      </c>
      <c r="C407" s="63" t="s">
        <v>281</v>
      </c>
      <c r="D407" s="63"/>
      <c r="E407" s="62"/>
      <c r="F407" s="596"/>
      <c r="G407" s="63">
        <v>0</v>
      </c>
      <c r="H407" s="591" t="s">
        <v>280</v>
      </c>
      <c r="I407" s="591" t="s">
        <v>280</v>
      </c>
      <c r="J407" s="57"/>
    </row>
    <row r="408" spans="1:10" ht="13.5">
      <c r="A408" s="582" t="s">
        <v>338</v>
      </c>
      <c r="B408" s="63">
        <v>606</v>
      </c>
      <c r="C408" s="63" t="s">
        <v>281</v>
      </c>
      <c r="D408" s="63"/>
      <c r="E408" s="62"/>
      <c r="F408" s="596"/>
      <c r="G408" s="63">
        <v>0</v>
      </c>
      <c r="H408" s="591" t="s">
        <v>280</v>
      </c>
      <c r="I408" s="591" t="s">
        <v>280</v>
      </c>
      <c r="J408" s="57"/>
    </row>
    <row r="409" spans="1:10" ht="13.5">
      <c r="A409" s="582" t="s">
        <v>338</v>
      </c>
      <c r="B409" s="63">
        <v>607</v>
      </c>
      <c r="C409" s="63" t="s">
        <v>281</v>
      </c>
      <c r="D409" s="63"/>
      <c r="E409" s="62"/>
      <c r="F409" s="596"/>
      <c r="G409" s="63">
        <v>0</v>
      </c>
      <c r="H409" s="591" t="s">
        <v>280</v>
      </c>
      <c r="I409" s="591" t="s">
        <v>280</v>
      </c>
      <c r="J409" s="57"/>
    </row>
    <row r="410" spans="1:10" ht="13.5">
      <c r="A410" s="582" t="s">
        <v>338</v>
      </c>
      <c r="B410" s="63">
        <v>608</v>
      </c>
      <c r="C410" s="63" t="s">
        <v>281</v>
      </c>
      <c r="D410" s="63"/>
      <c r="E410" s="62"/>
      <c r="F410" s="596"/>
      <c r="G410" s="63">
        <v>0</v>
      </c>
      <c r="H410" s="591" t="s">
        <v>280</v>
      </c>
      <c r="I410" s="591" t="s">
        <v>280</v>
      </c>
      <c r="J410" s="57"/>
    </row>
    <row r="411" spans="1:10" ht="13.5">
      <c r="A411" s="582" t="s">
        <v>338</v>
      </c>
      <c r="B411" s="63">
        <v>609</v>
      </c>
      <c r="C411" s="63" t="s">
        <v>281</v>
      </c>
      <c r="D411" s="63"/>
      <c r="E411" s="62"/>
      <c r="F411" s="596"/>
      <c r="G411" s="63">
        <v>0</v>
      </c>
      <c r="H411" s="591" t="s">
        <v>280</v>
      </c>
      <c r="I411" s="591" t="s">
        <v>280</v>
      </c>
      <c r="J411" s="57"/>
    </row>
    <row r="412" spans="1:10" ht="13.5">
      <c r="A412" s="582" t="s">
        <v>338</v>
      </c>
      <c r="B412" s="63">
        <v>610</v>
      </c>
      <c r="C412" s="63" t="s">
        <v>281</v>
      </c>
      <c r="D412" s="63"/>
      <c r="E412" s="62"/>
      <c r="F412" s="596"/>
      <c r="G412" s="63">
        <v>0</v>
      </c>
      <c r="H412" s="591" t="s">
        <v>280</v>
      </c>
      <c r="I412" s="591" t="s">
        <v>280</v>
      </c>
      <c r="J412" s="57"/>
    </row>
    <row r="413" spans="1:10" ht="13.5">
      <c r="A413" s="582" t="s">
        <v>338</v>
      </c>
      <c r="B413" s="63">
        <v>611</v>
      </c>
      <c r="C413" s="63" t="s">
        <v>342</v>
      </c>
      <c r="D413" s="63">
        <v>10597</v>
      </c>
      <c r="E413" s="62"/>
      <c r="F413" s="585">
        <v>45535</v>
      </c>
      <c r="G413" s="63">
        <v>1</v>
      </c>
      <c r="H413" s="591" t="s">
        <v>280</v>
      </c>
      <c r="I413" s="591" t="s">
        <v>280</v>
      </c>
      <c r="J413" s="57"/>
    </row>
    <row r="414" spans="1:10" ht="13.5">
      <c r="A414" s="582" t="s">
        <v>338</v>
      </c>
      <c r="B414" s="63">
        <v>612</v>
      </c>
      <c r="C414" s="63" t="s">
        <v>281</v>
      </c>
      <c r="D414" s="63"/>
      <c r="E414" s="62"/>
      <c r="F414" s="596"/>
      <c r="G414" s="63">
        <v>0</v>
      </c>
      <c r="H414" s="591" t="s">
        <v>280</v>
      </c>
      <c r="I414" s="591" t="s">
        <v>280</v>
      </c>
      <c r="J414" s="57"/>
    </row>
    <row r="415" spans="1:10" ht="13.5">
      <c r="A415" s="582" t="s">
        <v>338</v>
      </c>
      <c r="B415" s="63">
        <v>613</v>
      </c>
      <c r="C415" s="63" t="s">
        <v>281</v>
      </c>
      <c r="D415" s="63"/>
      <c r="E415" s="62"/>
      <c r="F415" s="596"/>
      <c r="G415" s="63">
        <v>0</v>
      </c>
      <c r="H415" s="591" t="s">
        <v>280</v>
      </c>
      <c r="I415" s="591" t="s">
        <v>280</v>
      </c>
      <c r="J415" s="57"/>
    </row>
    <row r="416" spans="1:10" ht="13.5">
      <c r="A416" s="582" t="s">
        <v>338</v>
      </c>
      <c r="B416" s="63">
        <v>614</v>
      </c>
      <c r="C416" s="63" t="s">
        <v>343</v>
      </c>
      <c r="D416" s="63">
        <v>10200</v>
      </c>
      <c r="E416" s="62"/>
      <c r="F416" s="585">
        <v>45535</v>
      </c>
      <c r="G416" s="63">
        <v>1</v>
      </c>
      <c r="H416" s="591" t="s">
        <v>9</v>
      </c>
      <c r="I416" s="591" t="s">
        <v>26</v>
      </c>
      <c r="J416" s="57"/>
    </row>
    <row r="417" spans="1:9" ht="12.75">
      <c r="A417" s="582" t="s">
        <v>338</v>
      </c>
      <c r="B417" s="63">
        <v>615</v>
      </c>
      <c r="C417" s="63" t="s">
        <v>281</v>
      </c>
      <c r="D417" s="63"/>
      <c r="E417" s="62"/>
      <c r="F417" s="596"/>
      <c r="G417" s="63">
        <v>0</v>
      </c>
      <c r="H417" s="591" t="s">
        <v>280</v>
      </c>
      <c r="I417" s="591" t="s">
        <v>280</v>
      </c>
    </row>
    <row r="418" spans="1:9" ht="12.75">
      <c r="A418" s="582" t="s">
        <v>338</v>
      </c>
      <c r="B418" s="63">
        <v>616</v>
      </c>
      <c r="C418" s="63" t="s">
        <v>281</v>
      </c>
      <c r="D418" s="63"/>
      <c r="E418" s="62"/>
      <c r="F418" s="596"/>
      <c r="G418" s="63">
        <v>0</v>
      </c>
      <c r="H418" s="591" t="s">
        <v>280</v>
      </c>
      <c r="I418" s="591" t="s">
        <v>280</v>
      </c>
    </row>
    <row r="419" spans="1:9" ht="12.75">
      <c r="A419" s="582" t="s">
        <v>338</v>
      </c>
      <c r="B419" s="63">
        <v>617</v>
      </c>
      <c r="C419" s="63" t="s">
        <v>281</v>
      </c>
      <c r="D419" s="63"/>
      <c r="E419" s="62"/>
      <c r="F419" s="596"/>
      <c r="G419" s="63">
        <v>0</v>
      </c>
      <c r="H419" s="591" t="s">
        <v>280</v>
      </c>
      <c r="I419" s="591" t="s">
        <v>280</v>
      </c>
    </row>
    <row r="420" spans="1:9" ht="12.75">
      <c r="A420" s="582" t="s">
        <v>338</v>
      </c>
      <c r="B420" s="63">
        <v>618</v>
      </c>
      <c r="C420" s="63" t="s">
        <v>344</v>
      </c>
      <c r="D420" s="579">
        <v>10279</v>
      </c>
      <c r="E420" s="62"/>
      <c r="F420" s="585">
        <v>45535</v>
      </c>
      <c r="G420" s="63">
        <v>1</v>
      </c>
      <c r="H420" s="591" t="s">
        <v>9</v>
      </c>
      <c r="I420" s="591" t="s">
        <v>26</v>
      </c>
    </row>
    <row r="421" spans="1:9" ht="12.75">
      <c r="A421" s="582" t="s">
        <v>338</v>
      </c>
      <c r="B421" s="63">
        <v>619</v>
      </c>
      <c r="C421" s="63" t="s">
        <v>281</v>
      </c>
      <c r="D421" s="63"/>
      <c r="E421" s="62"/>
      <c r="F421" s="596"/>
      <c r="G421" s="63">
        <v>0</v>
      </c>
      <c r="H421" s="591" t="s">
        <v>280</v>
      </c>
      <c r="I421" s="591" t="s">
        <v>280</v>
      </c>
    </row>
    <row r="422" spans="1:9" ht="12.75">
      <c r="A422" s="582" t="s">
        <v>338</v>
      </c>
      <c r="B422" s="63">
        <v>620</v>
      </c>
      <c r="C422" s="63" t="s">
        <v>281</v>
      </c>
      <c r="D422" s="63"/>
      <c r="E422" s="62"/>
      <c r="F422" s="596"/>
      <c r="G422" s="63">
        <v>0</v>
      </c>
      <c r="H422" s="591" t="s">
        <v>280</v>
      </c>
      <c r="I422" s="591" t="s">
        <v>280</v>
      </c>
    </row>
    <row r="423" spans="1:9" ht="12.75">
      <c r="A423" s="582" t="s">
        <v>338</v>
      </c>
      <c r="B423" s="63">
        <v>621</v>
      </c>
      <c r="C423" s="63" t="s">
        <v>281</v>
      </c>
      <c r="D423" s="63"/>
      <c r="E423" s="62"/>
      <c r="F423" s="596"/>
      <c r="G423" s="63">
        <v>0</v>
      </c>
      <c r="H423" s="591" t="s">
        <v>280</v>
      </c>
      <c r="I423" s="591" t="s">
        <v>280</v>
      </c>
    </row>
    <row r="424" spans="1:9" ht="12.75">
      <c r="A424" s="582" t="s">
        <v>338</v>
      </c>
      <c r="B424" s="63">
        <v>622</v>
      </c>
      <c r="C424" s="63" t="s">
        <v>345</v>
      </c>
      <c r="D424" s="579">
        <v>10247</v>
      </c>
      <c r="E424" s="62"/>
      <c r="F424" s="585">
        <v>45535</v>
      </c>
      <c r="G424" s="63">
        <v>1</v>
      </c>
      <c r="H424" s="591" t="s">
        <v>9</v>
      </c>
      <c r="I424" s="591" t="s">
        <v>26</v>
      </c>
    </row>
    <row r="425" spans="1:9" ht="12.75">
      <c r="A425" s="582" t="s">
        <v>338</v>
      </c>
      <c r="B425" s="63">
        <v>623</v>
      </c>
      <c r="C425" s="63" t="s">
        <v>281</v>
      </c>
      <c r="D425" s="63"/>
      <c r="E425" s="62"/>
      <c r="F425" s="596"/>
      <c r="G425" s="63">
        <v>0</v>
      </c>
      <c r="H425" s="591" t="s">
        <v>280</v>
      </c>
      <c r="I425" s="591" t="s">
        <v>280</v>
      </c>
    </row>
    <row r="426" spans="1:9" ht="12.75">
      <c r="A426" s="582" t="s">
        <v>338</v>
      </c>
      <c r="B426" s="63">
        <v>624</v>
      </c>
      <c r="C426" s="63" t="s">
        <v>281</v>
      </c>
      <c r="D426" s="63"/>
      <c r="E426" s="62"/>
      <c r="F426" s="596"/>
      <c r="G426" s="63">
        <v>0</v>
      </c>
      <c r="H426" s="591" t="s">
        <v>280</v>
      </c>
      <c r="I426" s="591" t="s">
        <v>280</v>
      </c>
    </row>
    <row r="427" spans="1:9" ht="12.75">
      <c r="A427" s="582" t="s">
        <v>338</v>
      </c>
      <c r="B427" s="63">
        <v>625</v>
      </c>
      <c r="C427" s="63" t="s">
        <v>281</v>
      </c>
      <c r="D427" s="63"/>
      <c r="E427" s="62"/>
      <c r="F427" s="596"/>
      <c r="G427" s="63">
        <v>0</v>
      </c>
      <c r="H427" s="591" t="s">
        <v>280</v>
      </c>
      <c r="I427" s="591" t="s">
        <v>280</v>
      </c>
    </row>
    <row r="428" spans="1:9" ht="12.75">
      <c r="A428" s="582" t="s">
        <v>338</v>
      </c>
      <c r="B428" s="63">
        <v>626</v>
      </c>
      <c r="C428" s="63" t="s">
        <v>346</v>
      </c>
      <c r="D428" s="63">
        <v>10426</v>
      </c>
      <c r="E428" s="63"/>
      <c r="F428" s="585">
        <v>45535</v>
      </c>
      <c r="G428" s="63">
        <v>1</v>
      </c>
      <c r="H428" s="591" t="s">
        <v>9</v>
      </c>
      <c r="I428" s="591" t="s">
        <v>26</v>
      </c>
    </row>
    <row r="429" spans="1:9" ht="12.75">
      <c r="A429" s="582" t="s">
        <v>338</v>
      </c>
      <c r="B429" s="63">
        <v>627</v>
      </c>
      <c r="C429" s="63" t="s">
        <v>281</v>
      </c>
      <c r="D429" s="63"/>
      <c r="E429" s="63"/>
      <c r="F429" s="596"/>
      <c r="G429" s="63">
        <v>0</v>
      </c>
      <c r="H429" s="591" t="s">
        <v>280</v>
      </c>
      <c r="I429" s="591" t="s">
        <v>280</v>
      </c>
    </row>
    <row r="430" spans="1:9" ht="12.75">
      <c r="A430" s="582" t="s">
        <v>338</v>
      </c>
      <c r="B430" s="63">
        <v>628</v>
      </c>
      <c r="C430" s="63" t="s">
        <v>347</v>
      </c>
      <c r="D430" s="63">
        <v>10624</v>
      </c>
      <c r="E430" s="63"/>
      <c r="F430" s="585">
        <v>45535</v>
      </c>
      <c r="G430" s="63">
        <v>1</v>
      </c>
      <c r="H430" s="591" t="s">
        <v>9</v>
      </c>
      <c r="I430" s="591" t="s">
        <v>26</v>
      </c>
    </row>
    <row r="431" spans="1:9" ht="12.75">
      <c r="A431" s="582" t="s">
        <v>338</v>
      </c>
      <c r="B431" s="63">
        <v>629</v>
      </c>
      <c r="C431" s="63" t="s">
        <v>281</v>
      </c>
      <c r="D431" s="63"/>
      <c r="E431" s="63"/>
      <c r="F431" s="596"/>
      <c r="G431" s="63">
        <v>0</v>
      </c>
      <c r="H431" s="591" t="s">
        <v>280</v>
      </c>
      <c r="I431" s="591" t="s">
        <v>280</v>
      </c>
    </row>
    <row r="432" spans="1:9" ht="12.75">
      <c r="A432" s="582" t="s">
        <v>338</v>
      </c>
      <c r="B432" s="63">
        <v>630</v>
      </c>
      <c r="C432" s="63" t="s">
        <v>348</v>
      </c>
      <c r="D432" s="65">
        <v>10670</v>
      </c>
      <c r="E432" s="63"/>
      <c r="F432" s="585">
        <v>45535</v>
      </c>
      <c r="G432" s="63">
        <v>1</v>
      </c>
      <c r="H432" s="591" t="s">
        <v>9</v>
      </c>
      <c r="I432" s="591" t="s">
        <v>26</v>
      </c>
    </row>
    <row r="433" spans="1:9" ht="12.75">
      <c r="A433" s="582" t="s">
        <v>338</v>
      </c>
      <c r="B433" s="63">
        <v>631</v>
      </c>
      <c r="C433" s="63" t="s">
        <v>349</v>
      </c>
      <c r="D433" s="63">
        <v>10582</v>
      </c>
      <c r="E433" s="63"/>
      <c r="F433" s="585">
        <v>45535</v>
      </c>
      <c r="G433" s="63">
        <v>1</v>
      </c>
      <c r="H433" s="591" t="s">
        <v>9</v>
      </c>
      <c r="I433" s="591" t="s">
        <v>26</v>
      </c>
    </row>
    <row r="434" spans="1:9" ht="12.75">
      <c r="A434" s="582" t="s">
        <v>338</v>
      </c>
      <c r="B434" s="63">
        <v>632</v>
      </c>
      <c r="C434" s="63" t="s">
        <v>281</v>
      </c>
      <c r="D434" s="63"/>
      <c r="E434" s="63"/>
      <c r="F434" s="596"/>
      <c r="G434" s="63">
        <v>0</v>
      </c>
      <c r="H434" s="591" t="s">
        <v>280</v>
      </c>
      <c r="I434" s="591" t="s">
        <v>280</v>
      </c>
    </row>
    <row r="435" spans="1:9" ht="12.75">
      <c r="A435" s="582" t="s">
        <v>338</v>
      </c>
      <c r="B435" s="63">
        <v>633</v>
      </c>
      <c r="C435" s="63" t="s">
        <v>350</v>
      </c>
      <c r="D435" s="579">
        <v>10345</v>
      </c>
      <c r="E435" s="62"/>
      <c r="F435" s="585">
        <v>45535</v>
      </c>
      <c r="G435" s="63">
        <v>1</v>
      </c>
      <c r="H435" s="591" t="s">
        <v>280</v>
      </c>
      <c r="I435" s="591" t="s">
        <v>280</v>
      </c>
    </row>
    <row r="436" spans="1:9" ht="12.75">
      <c r="A436" s="582" t="s">
        <v>338</v>
      </c>
      <c r="B436" s="63">
        <v>634</v>
      </c>
      <c r="C436" s="63" t="s">
        <v>351</v>
      </c>
      <c r="D436" s="579">
        <v>10653</v>
      </c>
      <c r="E436" s="62"/>
      <c r="F436" s="585">
        <v>45535</v>
      </c>
      <c r="G436" s="63">
        <v>1</v>
      </c>
      <c r="H436" s="591" t="s">
        <v>280</v>
      </c>
      <c r="I436" s="591" t="s">
        <v>280</v>
      </c>
    </row>
    <row r="437" spans="1:9">
      <c r="A437" s="582" t="s">
        <v>338</v>
      </c>
      <c r="B437" s="65">
        <v>635</v>
      </c>
      <c r="C437" s="65" t="s">
        <v>1677</v>
      </c>
      <c r="D437" s="65">
        <v>11036</v>
      </c>
      <c r="E437" s="583"/>
      <c r="F437" s="585">
        <v>45535</v>
      </c>
      <c r="G437" s="65">
        <v>1</v>
      </c>
      <c r="H437" s="591" t="s">
        <v>9</v>
      </c>
      <c r="I437" s="591" t="s">
        <v>26</v>
      </c>
    </row>
    <row r="438" spans="1:9">
      <c r="A438" s="582" t="s">
        <v>338</v>
      </c>
      <c r="B438" s="65">
        <v>636</v>
      </c>
      <c r="C438" s="65" t="s">
        <v>1678</v>
      </c>
      <c r="D438" s="65">
        <v>11037</v>
      </c>
      <c r="E438" s="583"/>
      <c r="F438" s="585">
        <v>45535</v>
      </c>
      <c r="G438" s="65">
        <v>1</v>
      </c>
      <c r="H438" s="591" t="s">
        <v>280</v>
      </c>
      <c r="I438" s="591" t="s">
        <v>280</v>
      </c>
    </row>
    <row r="439" spans="1:9">
      <c r="A439" s="582" t="s">
        <v>338</v>
      </c>
      <c r="B439" s="65">
        <v>637</v>
      </c>
      <c r="C439" s="579" t="s">
        <v>2029</v>
      </c>
      <c r="D439" s="65">
        <v>10632</v>
      </c>
      <c r="E439" s="583"/>
      <c r="F439" s="585">
        <v>45633</v>
      </c>
      <c r="G439" s="65">
        <v>1</v>
      </c>
      <c r="H439" s="591" t="s">
        <v>9</v>
      </c>
      <c r="I439" s="591" t="s">
        <v>26</v>
      </c>
    </row>
    <row r="440" spans="1:9">
      <c r="A440" s="582" t="s">
        <v>338</v>
      </c>
      <c r="B440" s="65">
        <v>638</v>
      </c>
      <c r="C440" s="579" t="s">
        <v>2034</v>
      </c>
      <c r="D440" s="65">
        <v>11071</v>
      </c>
      <c r="E440" s="583"/>
      <c r="F440" s="585">
        <v>45675</v>
      </c>
      <c r="G440" s="65">
        <v>1</v>
      </c>
      <c r="H440" s="591" t="s">
        <v>280</v>
      </c>
      <c r="I440" s="591" t="s">
        <v>280</v>
      </c>
    </row>
    <row r="441" spans="1:9">
      <c r="A441" s="582" t="s">
        <v>338</v>
      </c>
      <c r="B441" s="65">
        <v>639</v>
      </c>
      <c r="C441" s="579" t="s">
        <v>281</v>
      </c>
      <c r="D441" s="579"/>
      <c r="E441" s="583"/>
      <c r="F441" s="596"/>
      <c r="G441" s="65">
        <v>0</v>
      </c>
      <c r="H441" s="591" t="s">
        <v>280</v>
      </c>
      <c r="I441" s="591" t="s">
        <v>280</v>
      </c>
    </row>
    <row r="442" spans="1:9">
      <c r="A442" s="582" t="s">
        <v>338</v>
      </c>
      <c r="B442" s="65">
        <v>640</v>
      </c>
      <c r="C442" s="579" t="s">
        <v>281</v>
      </c>
      <c r="D442" s="579"/>
      <c r="E442" s="583"/>
      <c r="F442" s="596"/>
      <c r="G442" s="65">
        <v>0</v>
      </c>
      <c r="H442" s="591" t="s">
        <v>280</v>
      </c>
      <c r="I442" s="591" t="s">
        <v>280</v>
      </c>
    </row>
    <row r="443" spans="1:9">
      <c r="A443" s="582" t="s">
        <v>338</v>
      </c>
      <c r="B443" s="65">
        <v>641</v>
      </c>
      <c r="C443" s="579" t="s">
        <v>281</v>
      </c>
      <c r="D443" s="579"/>
      <c r="E443" s="583"/>
      <c r="F443" s="596"/>
      <c r="G443" s="65">
        <v>0</v>
      </c>
      <c r="H443" s="591" t="s">
        <v>280</v>
      </c>
      <c r="I443" s="591" t="s">
        <v>280</v>
      </c>
    </row>
    <row r="444" spans="1:9">
      <c r="A444" s="582" t="s">
        <v>338</v>
      </c>
      <c r="B444" s="65">
        <v>642</v>
      </c>
      <c r="C444" s="579" t="s">
        <v>281</v>
      </c>
      <c r="D444" s="579"/>
      <c r="E444" s="583"/>
      <c r="F444" s="596"/>
      <c r="G444" s="65">
        <v>0</v>
      </c>
      <c r="H444" s="591" t="s">
        <v>280</v>
      </c>
      <c r="I444" s="591" t="s">
        <v>280</v>
      </c>
    </row>
    <row r="445" spans="1:9">
      <c r="A445" s="582" t="s">
        <v>338</v>
      </c>
      <c r="B445" s="65">
        <v>643</v>
      </c>
      <c r="C445" s="579" t="s">
        <v>281</v>
      </c>
      <c r="D445" s="579"/>
      <c r="E445" s="583"/>
      <c r="F445" s="596"/>
      <c r="G445" s="65">
        <v>0</v>
      </c>
      <c r="H445" s="591" t="s">
        <v>280</v>
      </c>
      <c r="I445" s="591" t="s">
        <v>280</v>
      </c>
    </row>
    <row r="446" spans="1:9">
      <c r="A446" s="582" t="s">
        <v>338</v>
      </c>
      <c r="B446" s="65">
        <v>644</v>
      </c>
      <c r="C446" s="579" t="s">
        <v>281</v>
      </c>
      <c r="D446" s="579"/>
      <c r="E446" s="583"/>
      <c r="F446" s="596"/>
      <c r="G446" s="65">
        <v>0</v>
      </c>
      <c r="H446" s="591" t="s">
        <v>280</v>
      </c>
      <c r="I446" s="591" t="s">
        <v>280</v>
      </c>
    </row>
    <row r="447" spans="1:9">
      <c r="A447" s="582" t="s">
        <v>338</v>
      </c>
      <c r="B447" s="65">
        <v>645</v>
      </c>
      <c r="C447" s="579" t="s">
        <v>281</v>
      </c>
      <c r="D447" s="579"/>
      <c r="E447" s="583"/>
      <c r="F447" s="596"/>
      <c r="G447" s="65">
        <v>0</v>
      </c>
      <c r="H447" s="591" t="s">
        <v>280</v>
      </c>
      <c r="I447" s="591" t="s">
        <v>280</v>
      </c>
    </row>
    <row r="448" spans="1:9">
      <c r="A448" s="582" t="s">
        <v>338</v>
      </c>
      <c r="B448" s="65">
        <v>646</v>
      </c>
      <c r="C448" s="579" t="s">
        <v>281</v>
      </c>
      <c r="D448" s="579"/>
      <c r="E448" s="583"/>
      <c r="F448" s="596"/>
      <c r="G448" s="65">
        <v>0</v>
      </c>
      <c r="H448" s="591" t="s">
        <v>280</v>
      </c>
      <c r="I448" s="591" t="s">
        <v>280</v>
      </c>
    </row>
    <row r="449" spans="1:9">
      <c r="A449" s="582" t="s">
        <v>338</v>
      </c>
      <c r="B449" s="65">
        <v>647</v>
      </c>
      <c r="C449" s="579" t="s">
        <v>281</v>
      </c>
      <c r="D449" s="579"/>
      <c r="E449" s="583"/>
      <c r="F449" s="596"/>
      <c r="G449" s="65">
        <v>0</v>
      </c>
      <c r="H449" s="591" t="s">
        <v>280</v>
      </c>
      <c r="I449" s="591" t="s">
        <v>280</v>
      </c>
    </row>
    <row r="450" spans="1:9">
      <c r="A450" s="582" t="s">
        <v>338</v>
      </c>
      <c r="B450" s="65">
        <v>648</v>
      </c>
      <c r="C450" s="579" t="s">
        <v>281</v>
      </c>
      <c r="D450" s="579"/>
      <c r="E450" s="583"/>
      <c r="F450" s="596"/>
      <c r="G450" s="65">
        <v>0</v>
      </c>
      <c r="H450" s="591" t="s">
        <v>280</v>
      </c>
      <c r="I450" s="591" t="s">
        <v>280</v>
      </c>
    </row>
    <row r="451" spans="1:9">
      <c r="A451" s="582" t="s">
        <v>338</v>
      </c>
      <c r="B451" s="65">
        <v>649</v>
      </c>
      <c r="C451" s="579" t="s">
        <v>281</v>
      </c>
      <c r="D451" s="579"/>
      <c r="E451" s="583"/>
      <c r="F451" s="596"/>
      <c r="G451" s="65">
        <v>0</v>
      </c>
      <c r="H451" s="591" t="s">
        <v>280</v>
      </c>
      <c r="I451" s="591" t="s">
        <v>280</v>
      </c>
    </row>
    <row r="452" spans="1:9">
      <c r="A452" s="582" t="s">
        <v>338</v>
      </c>
      <c r="B452" s="65">
        <v>650</v>
      </c>
      <c r="C452" s="579" t="s">
        <v>281</v>
      </c>
      <c r="D452" s="579"/>
      <c r="E452" s="583"/>
      <c r="F452" s="596"/>
      <c r="G452" s="65">
        <v>0</v>
      </c>
      <c r="H452" s="591" t="s">
        <v>280</v>
      </c>
      <c r="I452" s="591" t="s">
        <v>280</v>
      </c>
    </row>
    <row r="453" spans="1:9">
      <c r="A453" s="582" t="s">
        <v>338</v>
      </c>
      <c r="B453" s="65">
        <v>651</v>
      </c>
      <c r="C453" s="579" t="s">
        <v>281</v>
      </c>
      <c r="D453" s="579"/>
      <c r="E453" s="583"/>
      <c r="F453" s="596"/>
      <c r="G453" s="65">
        <v>0</v>
      </c>
      <c r="H453" s="591" t="s">
        <v>280</v>
      </c>
      <c r="I453" s="591" t="s">
        <v>280</v>
      </c>
    </row>
    <row r="454" spans="1:9">
      <c r="A454" s="582" t="s">
        <v>338</v>
      </c>
      <c r="B454" s="65">
        <v>652</v>
      </c>
      <c r="C454" s="579" t="s">
        <v>281</v>
      </c>
      <c r="D454" s="579"/>
      <c r="E454" s="583"/>
      <c r="F454" s="596"/>
      <c r="G454" s="65">
        <v>0</v>
      </c>
      <c r="H454" s="591" t="s">
        <v>280</v>
      </c>
      <c r="I454" s="591" t="s">
        <v>280</v>
      </c>
    </row>
    <row r="455" spans="1:9">
      <c r="A455" s="582" t="s">
        <v>338</v>
      </c>
      <c r="B455" s="65">
        <v>653</v>
      </c>
      <c r="C455" s="579" t="s">
        <v>281</v>
      </c>
      <c r="D455" s="579"/>
      <c r="E455" s="583"/>
      <c r="F455" s="596"/>
      <c r="G455" s="65">
        <v>0</v>
      </c>
      <c r="H455" s="591" t="s">
        <v>280</v>
      </c>
      <c r="I455" s="591" t="s">
        <v>280</v>
      </c>
    </row>
    <row r="456" spans="1:9">
      <c r="A456" s="582" t="s">
        <v>338</v>
      </c>
      <c r="B456" s="65">
        <v>654</v>
      </c>
      <c r="C456" s="579" t="s">
        <v>281</v>
      </c>
      <c r="D456" s="579"/>
      <c r="E456" s="583"/>
      <c r="F456" s="596"/>
      <c r="G456" s="65">
        <v>0</v>
      </c>
      <c r="H456" s="591" t="s">
        <v>280</v>
      </c>
      <c r="I456" s="591" t="s">
        <v>280</v>
      </c>
    </row>
    <row r="457" spans="1:9">
      <c r="A457" s="582" t="s">
        <v>338</v>
      </c>
      <c r="B457" s="65">
        <v>655</v>
      </c>
      <c r="C457" s="579" t="s">
        <v>281</v>
      </c>
      <c r="D457" s="579"/>
      <c r="E457" s="583"/>
      <c r="F457" s="596"/>
      <c r="G457" s="65">
        <v>0</v>
      </c>
      <c r="H457" s="591" t="s">
        <v>280</v>
      </c>
      <c r="I457" s="591" t="s">
        <v>280</v>
      </c>
    </row>
    <row r="458" spans="1:9">
      <c r="A458" s="582" t="s">
        <v>338</v>
      </c>
      <c r="B458" s="65">
        <v>656</v>
      </c>
      <c r="C458" s="579" t="s">
        <v>281</v>
      </c>
      <c r="D458" s="579"/>
      <c r="E458" s="583"/>
      <c r="F458" s="596"/>
      <c r="G458" s="65">
        <v>0</v>
      </c>
      <c r="H458" s="591" t="s">
        <v>280</v>
      </c>
      <c r="I458" s="591" t="s">
        <v>280</v>
      </c>
    </row>
    <row r="459" spans="1:9">
      <c r="A459" s="582" t="s">
        <v>338</v>
      </c>
      <c r="B459" s="65">
        <v>657</v>
      </c>
      <c r="C459" s="579" t="s">
        <v>281</v>
      </c>
      <c r="D459" s="579"/>
      <c r="E459" s="583"/>
      <c r="F459" s="596"/>
      <c r="G459" s="65">
        <v>0</v>
      </c>
      <c r="H459" s="591" t="s">
        <v>280</v>
      </c>
      <c r="I459" s="591" t="s">
        <v>280</v>
      </c>
    </row>
    <row r="460" spans="1:9">
      <c r="A460" s="582" t="s">
        <v>338</v>
      </c>
      <c r="B460" s="65">
        <v>658</v>
      </c>
      <c r="C460" s="579" t="s">
        <v>281</v>
      </c>
      <c r="D460" s="579"/>
      <c r="E460" s="583"/>
      <c r="F460" s="596"/>
      <c r="G460" s="65">
        <v>0</v>
      </c>
      <c r="H460" s="591" t="s">
        <v>280</v>
      </c>
      <c r="I460" s="591" t="s">
        <v>280</v>
      </c>
    </row>
    <row r="461" spans="1:9">
      <c r="A461" s="582" t="s">
        <v>338</v>
      </c>
      <c r="B461" s="65">
        <v>659</v>
      </c>
      <c r="C461" s="579" t="s">
        <v>281</v>
      </c>
      <c r="D461" s="579"/>
      <c r="E461" s="583"/>
      <c r="F461" s="596"/>
      <c r="G461" s="65">
        <v>0</v>
      </c>
      <c r="H461" s="591" t="s">
        <v>280</v>
      </c>
      <c r="I461" s="591" t="s">
        <v>280</v>
      </c>
    </row>
    <row r="462" spans="1:9">
      <c r="A462" s="582" t="s">
        <v>338</v>
      </c>
      <c r="B462" s="65">
        <v>660</v>
      </c>
      <c r="C462" s="579" t="s">
        <v>281</v>
      </c>
      <c r="D462" s="579"/>
      <c r="E462" s="583"/>
      <c r="F462" s="596"/>
      <c r="G462" s="65">
        <v>0</v>
      </c>
      <c r="H462" s="591" t="s">
        <v>280</v>
      </c>
      <c r="I462" s="591" t="s">
        <v>280</v>
      </c>
    </row>
    <row r="463" spans="1:9">
      <c r="A463" s="582" t="s">
        <v>338</v>
      </c>
      <c r="B463" s="65">
        <v>661</v>
      </c>
      <c r="C463" s="579" t="s">
        <v>281</v>
      </c>
      <c r="D463" s="579"/>
      <c r="E463" s="583"/>
      <c r="F463" s="596"/>
      <c r="G463" s="65">
        <v>0</v>
      </c>
      <c r="H463" s="591" t="s">
        <v>280</v>
      </c>
      <c r="I463" s="591" t="s">
        <v>280</v>
      </c>
    </row>
    <row r="464" spans="1:9">
      <c r="A464" s="582" t="s">
        <v>338</v>
      </c>
      <c r="B464" s="65">
        <v>662</v>
      </c>
      <c r="C464" s="579" t="s">
        <v>281</v>
      </c>
      <c r="D464" s="579"/>
      <c r="E464" s="583"/>
      <c r="F464" s="596"/>
      <c r="G464" s="65">
        <v>0</v>
      </c>
      <c r="H464" s="591" t="s">
        <v>280</v>
      </c>
      <c r="I464" s="591" t="s">
        <v>280</v>
      </c>
    </row>
    <row r="465" spans="1:9">
      <c r="A465" s="582" t="s">
        <v>338</v>
      </c>
      <c r="B465" s="65">
        <v>663</v>
      </c>
      <c r="C465" s="579" t="s">
        <v>281</v>
      </c>
      <c r="D465" s="579"/>
      <c r="E465" s="583"/>
      <c r="F465" s="596"/>
      <c r="G465" s="65">
        <v>0</v>
      </c>
      <c r="H465" s="591" t="s">
        <v>280</v>
      </c>
      <c r="I465" s="591" t="s">
        <v>280</v>
      </c>
    </row>
    <row r="466" spans="1:9">
      <c r="A466" s="582" t="s">
        <v>338</v>
      </c>
      <c r="B466" s="65">
        <v>664</v>
      </c>
      <c r="C466" s="579" t="s">
        <v>281</v>
      </c>
      <c r="D466" s="579"/>
      <c r="E466" s="583"/>
      <c r="F466" s="596"/>
      <c r="G466" s="65">
        <v>0</v>
      </c>
      <c r="H466" s="591" t="s">
        <v>280</v>
      </c>
      <c r="I466" s="591" t="s">
        <v>280</v>
      </c>
    </row>
    <row r="467" spans="1:9">
      <c r="A467" s="582" t="s">
        <v>338</v>
      </c>
      <c r="B467" s="65">
        <v>665</v>
      </c>
      <c r="C467" s="579" t="s">
        <v>281</v>
      </c>
      <c r="D467" s="579"/>
      <c r="E467" s="583"/>
      <c r="F467" s="596"/>
      <c r="G467" s="65">
        <v>0</v>
      </c>
      <c r="H467" s="591" t="s">
        <v>280</v>
      </c>
      <c r="I467" s="591" t="s">
        <v>280</v>
      </c>
    </row>
    <row r="468" spans="1:9">
      <c r="A468" s="582" t="s">
        <v>338</v>
      </c>
      <c r="B468" s="65">
        <v>666</v>
      </c>
      <c r="C468" s="579" t="s">
        <v>281</v>
      </c>
      <c r="D468" s="579"/>
      <c r="E468" s="583"/>
      <c r="F468" s="596"/>
      <c r="G468" s="65">
        <v>0</v>
      </c>
      <c r="H468" s="591" t="s">
        <v>280</v>
      </c>
      <c r="I468" s="591" t="s">
        <v>280</v>
      </c>
    </row>
    <row r="469" spans="1:9">
      <c r="A469" s="582" t="s">
        <v>338</v>
      </c>
      <c r="B469" s="65">
        <v>667</v>
      </c>
      <c r="C469" s="579" t="s">
        <v>281</v>
      </c>
      <c r="D469" s="579"/>
      <c r="E469" s="583"/>
      <c r="F469" s="596"/>
      <c r="G469" s="65">
        <v>0</v>
      </c>
      <c r="H469" s="591" t="s">
        <v>280</v>
      </c>
      <c r="I469" s="591" t="s">
        <v>280</v>
      </c>
    </row>
    <row r="470" spans="1:9">
      <c r="A470" s="582" t="s">
        <v>338</v>
      </c>
      <c r="B470" s="65">
        <v>668</v>
      </c>
      <c r="C470" s="579" t="s">
        <v>281</v>
      </c>
      <c r="D470" s="579"/>
      <c r="E470" s="583"/>
      <c r="F470" s="596"/>
      <c r="G470" s="65">
        <v>0</v>
      </c>
      <c r="H470" s="591" t="s">
        <v>280</v>
      </c>
      <c r="I470" s="591" t="s">
        <v>280</v>
      </c>
    </row>
    <row r="471" spans="1:9">
      <c r="A471" s="582" t="s">
        <v>338</v>
      </c>
      <c r="B471" s="65">
        <v>669</v>
      </c>
      <c r="C471" s="579" t="s">
        <v>281</v>
      </c>
      <c r="D471" s="579"/>
      <c r="E471" s="583"/>
      <c r="F471" s="596"/>
      <c r="G471" s="65">
        <v>0</v>
      </c>
      <c r="H471" s="591" t="s">
        <v>280</v>
      </c>
      <c r="I471" s="591" t="s">
        <v>280</v>
      </c>
    </row>
    <row r="472" spans="1:9">
      <c r="A472" s="582" t="s">
        <v>338</v>
      </c>
      <c r="B472" s="65">
        <v>670</v>
      </c>
      <c r="C472" s="579" t="s">
        <v>281</v>
      </c>
      <c r="D472" s="579"/>
      <c r="E472" s="583"/>
      <c r="F472" s="596"/>
      <c r="G472" s="65">
        <v>0</v>
      </c>
      <c r="H472" s="591" t="s">
        <v>280</v>
      </c>
      <c r="I472" s="591" t="s">
        <v>280</v>
      </c>
    </row>
    <row r="473" spans="1:9">
      <c r="A473" s="582" t="s">
        <v>338</v>
      </c>
      <c r="B473" s="65">
        <v>671</v>
      </c>
      <c r="C473" s="579" t="s">
        <v>281</v>
      </c>
      <c r="D473" s="579"/>
      <c r="E473" s="583"/>
      <c r="F473" s="596"/>
      <c r="G473" s="65">
        <v>0</v>
      </c>
      <c r="H473" s="591" t="s">
        <v>280</v>
      </c>
      <c r="I473" s="591" t="s">
        <v>280</v>
      </c>
    </row>
    <row r="474" spans="1:9">
      <c r="A474" s="582" t="s">
        <v>338</v>
      </c>
      <c r="B474" s="65">
        <v>672</v>
      </c>
      <c r="C474" s="579" t="s">
        <v>281</v>
      </c>
      <c r="D474" s="579"/>
      <c r="E474" s="583"/>
      <c r="F474" s="596"/>
      <c r="G474" s="65">
        <v>0</v>
      </c>
      <c r="H474" s="591" t="s">
        <v>280</v>
      </c>
      <c r="I474" s="591" t="s">
        <v>280</v>
      </c>
    </row>
    <row r="475" spans="1:9">
      <c r="A475" s="582" t="s">
        <v>338</v>
      </c>
      <c r="B475" s="65">
        <v>673</v>
      </c>
      <c r="C475" s="579" t="s">
        <v>281</v>
      </c>
      <c r="D475" s="579"/>
      <c r="E475" s="583"/>
      <c r="F475" s="596"/>
      <c r="G475" s="65">
        <v>0</v>
      </c>
      <c r="H475" s="591" t="s">
        <v>280</v>
      </c>
      <c r="I475" s="591" t="s">
        <v>280</v>
      </c>
    </row>
    <row r="476" spans="1:9">
      <c r="A476" s="582" t="s">
        <v>338</v>
      </c>
      <c r="B476" s="65">
        <v>674</v>
      </c>
      <c r="C476" s="579" t="s">
        <v>281</v>
      </c>
      <c r="D476" s="579"/>
      <c r="E476" s="583"/>
      <c r="F476" s="596"/>
      <c r="G476" s="65">
        <v>0</v>
      </c>
      <c r="H476" s="591" t="s">
        <v>280</v>
      </c>
      <c r="I476" s="591" t="s">
        <v>280</v>
      </c>
    </row>
    <row r="477" spans="1:9">
      <c r="A477" s="582" t="s">
        <v>338</v>
      </c>
      <c r="B477" s="65">
        <v>675</v>
      </c>
      <c r="C477" s="579" t="s">
        <v>281</v>
      </c>
      <c r="D477" s="579"/>
      <c r="E477" s="583"/>
      <c r="F477" s="596"/>
      <c r="G477" s="65">
        <v>0</v>
      </c>
      <c r="H477" s="591" t="s">
        <v>280</v>
      </c>
      <c r="I477" s="591" t="s">
        <v>280</v>
      </c>
    </row>
    <row r="478" spans="1:9">
      <c r="A478" s="582" t="s">
        <v>338</v>
      </c>
      <c r="B478" s="65">
        <v>676</v>
      </c>
      <c r="C478" s="579" t="s">
        <v>281</v>
      </c>
      <c r="D478" s="579"/>
      <c r="E478" s="583"/>
      <c r="F478" s="596"/>
      <c r="G478" s="65">
        <v>0</v>
      </c>
      <c r="H478" s="591" t="s">
        <v>280</v>
      </c>
      <c r="I478" s="591" t="s">
        <v>280</v>
      </c>
    </row>
    <row r="479" spans="1:9">
      <c r="A479" s="582" t="s">
        <v>338</v>
      </c>
      <c r="B479" s="65">
        <v>677</v>
      </c>
      <c r="C479" s="579" t="s">
        <v>281</v>
      </c>
      <c r="D479" s="579"/>
      <c r="E479" s="583"/>
      <c r="F479" s="596"/>
      <c r="G479" s="65">
        <v>0</v>
      </c>
      <c r="H479" s="591" t="s">
        <v>280</v>
      </c>
      <c r="I479" s="591" t="s">
        <v>280</v>
      </c>
    </row>
    <row r="480" spans="1:9">
      <c r="A480" s="582" t="s">
        <v>338</v>
      </c>
      <c r="B480" s="65">
        <v>678</v>
      </c>
      <c r="C480" s="579" t="s">
        <v>281</v>
      </c>
      <c r="D480" s="579"/>
      <c r="E480" s="583"/>
      <c r="F480" s="596"/>
      <c r="G480" s="65">
        <v>0</v>
      </c>
      <c r="H480" s="591" t="s">
        <v>280</v>
      </c>
      <c r="I480" s="591" t="s">
        <v>280</v>
      </c>
    </row>
    <row r="481" spans="1:9">
      <c r="A481" s="582" t="s">
        <v>338</v>
      </c>
      <c r="B481" s="65">
        <v>679</v>
      </c>
      <c r="C481" s="579" t="s">
        <v>281</v>
      </c>
      <c r="D481" s="579"/>
      <c r="E481" s="583"/>
      <c r="F481" s="596"/>
      <c r="G481" s="65">
        <v>0</v>
      </c>
      <c r="H481" s="591" t="s">
        <v>280</v>
      </c>
      <c r="I481" s="591" t="s">
        <v>280</v>
      </c>
    </row>
    <row r="482" spans="1:9">
      <c r="A482" s="582" t="s">
        <v>338</v>
      </c>
      <c r="B482" s="65">
        <v>680</v>
      </c>
      <c r="C482" s="579" t="s">
        <v>281</v>
      </c>
      <c r="D482" s="579"/>
      <c r="E482" s="583"/>
      <c r="F482" s="596"/>
      <c r="G482" s="65">
        <v>0</v>
      </c>
      <c r="H482" s="591" t="s">
        <v>280</v>
      </c>
      <c r="I482" s="591" t="s">
        <v>280</v>
      </c>
    </row>
    <row r="483" spans="1:9">
      <c r="A483" s="582" t="s">
        <v>338</v>
      </c>
      <c r="B483" s="65">
        <v>681</v>
      </c>
      <c r="C483" s="579" t="s">
        <v>281</v>
      </c>
      <c r="D483" s="579"/>
      <c r="E483" s="583"/>
      <c r="F483" s="596"/>
      <c r="G483" s="65">
        <v>0</v>
      </c>
      <c r="H483" s="591" t="s">
        <v>280</v>
      </c>
      <c r="I483" s="591" t="s">
        <v>280</v>
      </c>
    </row>
    <row r="484" spans="1:9">
      <c r="A484" s="582" t="s">
        <v>338</v>
      </c>
      <c r="B484" s="65">
        <v>682</v>
      </c>
      <c r="C484" s="579" t="s">
        <v>281</v>
      </c>
      <c r="D484" s="579"/>
      <c r="E484" s="583"/>
      <c r="F484" s="596"/>
      <c r="G484" s="65">
        <v>0</v>
      </c>
      <c r="H484" s="591" t="s">
        <v>280</v>
      </c>
      <c r="I484" s="591" t="s">
        <v>280</v>
      </c>
    </row>
    <row r="485" spans="1:9">
      <c r="A485" s="582" t="s">
        <v>338</v>
      </c>
      <c r="B485" s="65">
        <v>683</v>
      </c>
      <c r="C485" s="579" t="s">
        <v>281</v>
      </c>
      <c r="D485" s="579"/>
      <c r="E485" s="583"/>
      <c r="F485" s="596"/>
      <c r="G485" s="65">
        <v>0</v>
      </c>
      <c r="H485" s="591" t="s">
        <v>280</v>
      </c>
      <c r="I485" s="591" t="s">
        <v>280</v>
      </c>
    </row>
    <row r="486" spans="1:9">
      <c r="A486" s="582" t="s">
        <v>338</v>
      </c>
      <c r="B486" s="65">
        <v>684</v>
      </c>
      <c r="C486" s="579" t="s">
        <v>281</v>
      </c>
      <c r="D486" s="579"/>
      <c r="E486" s="583"/>
      <c r="F486" s="596"/>
      <c r="G486" s="65">
        <v>0</v>
      </c>
      <c r="H486" s="591" t="s">
        <v>280</v>
      </c>
      <c r="I486" s="591" t="s">
        <v>280</v>
      </c>
    </row>
    <row r="487" spans="1:9">
      <c r="A487" s="582" t="s">
        <v>338</v>
      </c>
      <c r="B487" s="65">
        <v>685</v>
      </c>
      <c r="C487" s="579" t="s">
        <v>281</v>
      </c>
      <c r="D487" s="579"/>
      <c r="E487" s="583"/>
      <c r="F487" s="596"/>
      <c r="G487" s="65">
        <v>0</v>
      </c>
      <c r="H487" s="591" t="s">
        <v>280</v>
      </c>
      <c r="I487" s="591" t="s">
        <v>280</v>
      </c>
    </row>
    <row r="488" spans="1:9">
      <c r="A488" s="582" t="s">
        <v>338</v>
      </c>
      <c r="B488" s="65">
        <v>686</v>
      </c>
      <c r="C488" s="579" t="s">
        <v>281</v>
      </c>
      <c r="D488" s="579"/>
      <c r="E488" s="583"/>
      <c r="F488" s="596"/>
      <c r="G488" s="65">
        <v>0</v>
      </c>
      <c r="H488" s="591" t="s">
        <v>280</v>
      </c>
      <c r="I488" s="591" t="s">
        <v>280</v>
      </c>
    </row>
    <row r="489" spans="1:9">
      <c r="A489" s="582" t="s">
        <v>338</v>
      </c>
      <c r="B489" s="65">
        <v>687</v>
      </c>
      <c r="C489" s="579" t="s">
        <v>281</v>
      </c>
      <c r="D489" s="579"/>
      <c r="E489" s="583"/>
      <c r="F489" s="596"/>
      <c r="G489" s="65">
        <v>0</v>
      </c>
      <c r="H489" s="591" t="s">
        <v>280</v>
      </c>
      <c r="I489" s="591" t="s">
        <v>280</v>
      </c>
    </row>
    <row r="490" spans="1:9">
      <c r="A490" s="582" t="s">
        <v>338</v>
      </c>
      <c r="B490" s="65">
        <v>688</v>
      </c>
      <c r="C490" s="579" t="s">
        <v>281</v>
      </c>
      <c r="D490" s="579"/>
      <c r="E490" s="583"/>
      <c r="F490" s="596"/>
      <c r="G490" s="65">
        <v>0</v>
      </c>
      <c r="H490" s="591" t="s">
        <v>280</v>
      </c>
      <c r="I490" s="591" t="s">
        <v>280</v>
      </c>
    </row>
    <row r="491" spans="1:9">
      <c r="A491" s="582" t="s">
        <v>338</v>
      </c>
      <c r="B491" s="65">
        <v>689</v>
      </c>
      <c r="C491" s="579" t="s">
        <v>281</v>
      </c>
      <c r="D491" s="579"/>
      <c r="E491" s="583"/>
      <c r="F491" s="596"/>
      <c r="G491" s="65">
        <v>0</v>
      </c>
      <c r="H491" s="591" t="s">
        <v>280</v>
      </c>
      <c r="I491" s="591" t="s">
        <v>280</v>
      </c>
    </row>
    <row r="492" spans="1:9">
      <c r="A492" s="582" t="s">
        <v>338</v>
      </c>
      <c r="B492" s="65">
        <v>690</v>
      </c>
      <c r="C492" s="579" t="s">
        <v>281</v>
      </c>
      <c r="D492" s="579"/>
      <c r="E492" s="583"/>
      <c r="F492" s="596"/>
      <c r="G492" s="65">
        <v>0</v>
      </c>
      <c r="H492" s="591" t="s">
        <v>280</v>
      </c>
      <c r="I492" s="591" t="s">
        <v>280</v>
      </c>
    </row>
    <row r="493" spans="1:9">
      <c r="A493" s="582" t="s">
        <v>338</v>
      </c>
      <c r="B493" s="65">
        <v>691</v>
      </c>
      <c r="C493" s="579" t="s">
        <v>281</v>
      </c>
      <c r="D493" s="579"/>
      <c r="E493" s="583"/>
      <c r="F493" s="596"/>
      <c r="G493" s="65">
        <v>0</v>
      </c>
      <c r="H493" s="591" t="s">
        <v>280</v>
      </c>
      <c r="I493" s="591" t="s">
        <v>280</v>
      </c>
    </row>
    <row r="494" spans="1:9">
      <c r="A494" s="582" t="s">
        <v>338</v>
      </c>
      <c r="B494" s="65">
        <v>692</v>
      </c>
      <c r="C494" s="579" t="s">
        <v>281</v>
      </c>
      <c r="D494" s="579"/>
      <c r="E494" s="583"/>
      <c r="F494" s="596"/>
      <c r="G494" s="65">
        <v>0</v>
      </c>
      <c r="H494" s="591" t="s">
        <v>280</v>
      </c>
      <c r="I494" s="591" t="s">
        <v>280</v>
      </c>
    </row>
    <row r="495" spans="1:9">
      <c r="A495" s="582" t="s">
        <v>338</v>
      </c>
      <c r="B495" s="65">
        <v>693</v>
      </c>
      <c r="C495" s="579" t="s">
        <v>281</v>
      </c>
      <c r="D495" s="579"/>
      <c r="E495" s="583"/>
      <c r="F495" s="596"/>
      <c r="G495" s="65">
        <v>0</v>
      </c>
      <c r="H495" s="591" t="s">
        <v>280</v>
      </c>
      <c r="I495" s="591" t="s">
        <v>280</v>
      </c>
    </row>
    <row r="496" spans="1:9">
      <c r="A496" s="582" t="s">
        <v>338</v>
      </c>
      <c r="B496" s="65">
        <v>694</v>
      </c>
      <c r="C496" s="579" t="s">
        <v>281</v>
      </c>
      <c r="D496" s="579"/>
      <c r="E496" s="583"/>
      <c r="F496" s="596"/>
      <c r="G496" s="65">
        <v>0</v>
      </c>
      <c r="H496" s="591" t="s">
        <v>280</v>
      </c>
      <c r="I496" s="591" t="s">
        <v>280</v>
      </c>
    </row>
    <row r="497" spans="1:10">
      <c r="A497" s="582" t="s">
        <v>338</v>
      </c>
      <c r="B497" s="65">
        <v>695</v>
      </c>
      <c r="C497" s="579" t="s">
        <v>281</v>
      </c>
      <c r="D497" s="579"/>
      <c r="E497" s="583"/>
      <c r="F497" s="596"/>
      <c r="G497" s="65">
        <v>0</v>
      </c>
      <c r="H497" s="591" t="s">
        <v>280</v>
      </c>
      <c r="I497" s="591" t="s">
        <v>280</v>
      </c>
    </row>
    <row r="498" spans="1:10">
      <c r="A498" s="582" t="s">
        <v>338</v>
      </c>
      <c r="B498" s="65">
        <v>696</v>
      </c>
      <c r="C498" s="579" t="s">
        <v>281</v>
      </c>
      <c r="D498" s="579"/>
      <c r="E498" s="583"/>
      <c r="F498" s="596"/>
      <c r="G498" s="65">
        <v>0</v>
      </c>
      <c r="H498" s="591" t="s">
        <v>280</v>
      </c>
      <c r="I498" s="591" t="s">
        <v>280</v>
      </c>
    </row>
    <row r="499" spans="1:10">
      <c r="A499" s="582" t="s">
        <v>338</v>
      </c>
      <c r="B499" s="65">
        <v>697</v>
      </c>
      <c r="C499" s="579" t="s">
        <v>281</v>
      </c>
      <c r="D499" s="579"/>
      <c r="E499" s="583"/>
      <c r="F499" s="596"/>
      <c r="G499" s="65">
        <v>0</v>
      </c>
      <c r="H499" s="591" t="s">
        <v>280</v>
      </c>
      <c r="I499" s="591" t="s">
        <v>280</v>
      </c>
    </row>
    <row r="500" spans="1:10">
      <c r="A500" s="582" t="s">
        <v>338</v>
      </c>
      <c r="B500" s="65">
        <v>698</v>
      </c>
      <c r="C500" s="579" t="s">
        <v>281</v>
      </c>
      <c r="D500" s="579"/>
      <c r="E500" s="583"/>
      <c r="F500" s="596"/>
      <c r="G500" s="65">
        <v>0</v>
      </c>
      <c r="H500" s="591" t="s">
        <v>280</v>
      </c>
      <c r="I500" s="591" t="s">
        <v>280</v>
      </c>
    </row>
    <row r="501" spans="1:10">
      <c r="A501" s="582" t="s">
        <v>338</v>
      </c>
      <c r="B501" s="65">
        <v>699</v>
      </c>
      <c r="C501" s="579" t="s">
        <v>281</v>
      </c>
      <c r="D501" s="579"/>
      <c r="E501" s="583"/>
      <c r="F501" s="596"/>
      <c r="G501" s="65">
        <v>0</v>
      </c>
      <c r="H501" s="591" t="s">
        <v>280</v>
      </c>
      <c r="I501" s="591" t="s">
        <v>280</v>
      </c>
    </row>
    <row r="502" spans="1:10">
      <c r="A502" s="582"/>
      <c r="B502" s="65">
        <v>700</v>
      </c>
      <c r="C502" s="579" t="s">
        <v>279</v>
      </c>
      <c r="D502" s="579"/>
      <c r="E502" s="583"/>
      <c r="F502" s="596"/>
      <c r="G502" s="65">
        <v>0</v>
      </c>
      <c r="H502" s="591" t="s">
        <v>280</v>
      </c>
      <c r="I502" s="591" t="s">
        <v>280</v>
      </c>
    </row>
    <row r="503" spans="1:10">
      <c r="A503" s="582"/>
      <c r="B503" s="65">
        <v>701</v>
      </c>
      <c r="C503" s="579" t="s">
        <v>281</v>
      </c>
      <c r="D503" s="579"/>
      <c r="E503" s="583"/>
      <c r="F503" s="596"/>
      <c r="G503" s="65">
        <v>0</v>
      </c>
      <c r="H503" s="591" t="s">
        <v>280</v>
      </c>
      <c r="I503" s="591" t="s">
        <v>280</v>
      </c>
      <c r="J503" s="57"/>
    </row>
    <row r="504" spans="1:10">
      <c r="A504" s="582"/>
      <c r="B504" s="65">
        <v>702</v>
      </c>
      <c r="C504" s="579" t="s">
        <v>281</v>
      </c>
      <c r="D504" s="579"/>
      <c r="E504" s="583"/>
      <c r="F504" s="596"/>
      <c r="G504" s="65">
        <v>0</v>
      </c>
      <c r="H504" s="591" t="s">
        <v>280</v>
      </c>
      <c r="I504" s="591" t="s">
        <v>280</v>
      </c>
      <c r="J504" s="57"/>
    </row>
    <row r="505" spans="1:10">
      <c r="A505" s="582"/>
      <c r="B505" s="65">
        <v>703</v>
      </c>
      <c r="C505" s="579" t="s">
        <v>281</v>
      </c>
      <c r="D505" s="579"/>
      <c r="E505" s="583"/>
      <c r="F505" s="596"/>
      <c r="G505" s="65">
        <v>0</v>
      </c>
      <c r="H505" s="591" t="s">
        <v>280</v>
      </c>
      <c r="I505" s="591" t="s">
        <v>280</v>
      </c>
      <c r="J505" s="57"/>
    </row>
    <row r="506" spans="1:10">
      <c r="A506" s="582"/>
      <c r="B506" s="65">
        <v>704</v>
      </c>
      <c r="C506" s="579" t="s">
        <v>281</v>
      </c>
      <c r="D506" s="579"/>
      <c r="E506" s="583"/>
      <c r="F506" s="596"/>
      <c r="G506" s="65">
        <v>0</v>
      </c>
      <c r="H506" s="591" t="s">
        <v>280</v>
      </c>
      <c r="I506" s="591" t="s">
        <v>280</v>
      </c>
      <c r="J506" s="57"/>
    </row>
    <row r="507" spans="1:10">
      <c r="A507" s="582"/>
      <c r="B507" s="65">
        <v>705</v>
      </c>
      <c r="C507" s="579" t="s">
        <v>281</v>
      </c>
      <c r="D507" s="579"/>
      <c r="E507" s="583"/>
      <c r="F507" s="596"/>
      <c r="G507" s="65">
        <v>0</v>
      </c>
      <c r="H507" s="591" t="s">
        <v>280</v>
      </c>
      <c r="I507" s="591" t="s">
        <v>280</v>
      </c>
      <c r="J507" s="57"/>
    </row>
    <row r="508" spans="1:10">
      <c r="A508" s="582"/>
      <c r="B508" s="65">
        <v>706</v>
      </c>
      <c r="C508" s="579" t="s">
        <v>281</v>
      </c>
      <c r="D508" s="579"/>
      <c r="E508" s="583"/>
      <c r="F508" s="596"/>
      <c r="G508" s="65">
        <v>0</v>
      </c>
      <c r="H508" s="591" t="s">
        <v>280</v>
      </c>
      <c r="I508" s="591" t="s">
        <v>280</v>
      </c>
      <c r="J508" s="57"/>
    </row>
    <row r="509" spans="1:10">
      <c r="A509" s="582"/>
      <c r="B509" s="65">
        <v>707</v>
      </c>
      <c r="C509" s="579" t="s">
        <v>281</v>
      </c>
      <c r="D509" s="579"/>
      <c r="E509" s="583"/>
      <c r="F509" s="596"/>
      <c r="G509" s="65">
        <v>0</v>
      </c>
      <c r="H509" s="591" t="s">
        <v>280</v>
      </c>
      <c r="I509" s="591" t="s">
        <v>280</v>
      </c>
      <c r="J509" s="57"/>
    </row>
    <row r="510" spans="1:10">
      <c r="A510" s="582"/>
      <c r="B510" s="65">
        <v>708</v>
      </c>
      <c r="C510" s="579" t="s">
        <v>281</v>
      </c>
      <c r="D510" s="579"/>
      <c r="E510" s="583"/>
      <c r="F510" s="596"/>
      <c r="G510" s="65">
        <v>0</v>
      </c>
      <c r="H510" s="591" t="s">
        <v>280</v>
      </c>
      <c r="I510" s="591" t="s">
        <v>280</v>
      </c>
      <c r="J510" s="57"/>
    </row>
    <row r="511" spans="1:10">
      <c r="A511" s="582"/>
      <c r="B511" s="65">
        <v>709</v>
      </c>
      <c r="C511" s="579" t="s">
        <v>281</v>
      </c>
      <c r="D511" s="579"/>
      <c r="E511" s="583"/>
      <c r="F511" s="596"/>
      <c r="G511" s="65">
        <v>0</v>
      </c>
      <c r="H511" s="591" t="s">
        <v>280</v>
      </c>
      <c r="I511" s="591" t="s">
        <v>280</v>
      </c>
      <c r="J511" s="57"/>
    </row>
    <row r="512" spans="1:10">
      <c r="A512" s="582"/>
      <c r="B512" s="65">
        <v>710</v>
      </c>
      <c r="C512" s="579" t="s">
        <v>281</v>
      </c>
      <c r="D512" s="579"/>
      <c r="E512" s="583"/>
      <c r="F512" s="596"/>
      <c r="G512" s="65">
        <v>0</v>
      </c>
      <c r="H512" s="591" t="s">
        <v>280</v>
      </c>
      <c r="I512" s="591" t="s">
        <v>280</v>
      </c>
    </row>
    <row r="513" spans="1:9">
      <c r="A513" s="582"/>
      <c r="B513" s="65">
        <v>711</v>
      </c>
      <c r="C513" s="579" t="s">
        <v>281</v>
      </c>
      <c r="D513" s="579"/>
      <c r="E513" s="583"/>
      <c r="F513" s="596"/>
      <c r="G513" s="65">
        <v>0</v>
      </c>
      <c r="H513" s="591" t="s">
        <v>280</v>
      </c>
      <c r="I513" s="591" t="s">
        <v>280</v>
      </c>
    </row>
    <row r="514" spans="1:9">
      <c r="A514" s="582"/>
      <c r="B514" s="65">
        <v>712</v>
      </c>
      <c r="C514" s="579" t="s">
        <v>281</v>
      </c>
      <c r="D514" s="579"/>
      <c r="E514" s="583"/>
      <c r="F514" s="596"/>
      <c r="G514" s="65">
        <v>0</v>
      </c>
      <c r="H514" s="591" t="s">
        <v>280</v>
      </c>
      <c r="I514" s="591" t="s">
        <v>280</v>
      </c>
    </row>
    <row r="515" spans="1:9">
      <c r="A515" s="582"/>
      <c r="B515" s="65">
        <v>713</v>
      </c>
      <c r="C515" s="579" t="s">
        <v>281</v>
      </c>
      <c r="D515" s="579"/>
      <c r="E515" s="583"/>
      <c r="F515" s="596"/>
      <c r="G515" s="65">
        <v>0</v>
      </c>
      <c r="H515" s="591" t="s">
        <v>280</v>
      </c>
      <c r="I515" s="591" t="s">
        <v>280</v>
      </c>
    </row>
    <row r="516" spans="1:9">
      <c r="A516" s="582"/>
      <c r="B516" s="65">
        <v>714</v>
      </c>
      <c r="C516" s="579" t="s">
        <v>281</v>
      </c>
      <c r="D516" s="579"/>
      <c r="E516" s="583"/>
      <c r="F516" s="596"/>
      <c r="G516" s="65">
        <v>0</v>
      </c>
      <c r="H516" s="591" t="s">
        <v>280</v>
      </c>
      <c r="I516" s="591" t="s">
        <v>280</v>
      </c>
    </row>
    <row r="517" spans="1:9">
      <c r="A517" s="582"/>
      <c r="B517" s="65">
        <v>715</v>
      </c>
      <c r="C517" s="579" t="s">
        <v>281</v>
      </c>
      <c r="D517" s="579"/>
      <c r="E517" s="583"/>
      <c r="F517" s="596"/>
      <c r="G517" s="65">
        <v>0</v>
      </c>
      <c r="H517" s="591" t="s">
        <v>280</v>
      </c>
      <c r="I517" s="591" t="s">
        <v>280</v>
      </c>
    </row>
    <row r="518" spans="1:9">
      <c r="A518" s="582"/>
      <c r="B518" s="65">
        <v>716</v>
      </c>
      <c r="C518" s="579" t="s">
        <v>281</v>
      </c>
      <c r="D518" s="579"/>
      <c r="E518" s="583"/>
      <c r="F518" s="596"/>
      <c r="G518" s="65">
        <v>0</v>
      </c>
      <c r="H518" s="591" t="s">
        <v>280</v>
      </c>
      <c r="I518" s="591" t="s">
        <v>280</v>
      </c>
    </row>
    <row r="519" spans="1:9">
      <c r="A519" s="582"/>
      <c r="B519" s="65">
        <v>717</v>
      </c>
      <c r="C519" s="579" t="s">
        <v>281</v>
      </c>
      <c r="D519" s="579"/>
      <c r="E519" s="583"/>
      <c r="F519" s="596"/>
      <c r="G519" s="65">
        <v>0</v>
      </c>
      <c r="H519" s="591" t="s">
        <v>280</v>
      </c>
      <c r="I519" s="591" t="s">
        <v>280</v>
      </c>
    </row>
    <row r="520" spans="1:9">
      <c r="A520" s="582"/>
      <c r="B520" s="65">
        <v>718</v>
      </c>
      <c r="C520" s="579" t="s">
        <v>281</v>
      </c>
      <c r="D520" s="579"/>
      <c r="E520" s="583"/>
      <c r="F520" s="596"/>
      <c r="G520" s="65">
        <v>0</v>
      </c>
      <c r="H520" s="591" t="s">
        <v>280</v>
      </c>
      <c r="I520" s="591" t="s">
        <v>280</v>
      </c>
    </row>
    <row r="521" spans="1:9">
      <c r="A521" s="582"/>
      <c r="B521" s="65">
        <v>719</v>
      </c>
      <c r="C521" s="579" t="s">
        <v>281</v>
      </c>
      <c r="D521" s="579"/>
      <c r="E521" s="583"/>
      <c r="F521" s="596"/>
      <c r="G521" s="65">
        <v>0</v>
      </c>
      <c r="H521" s="591" t="s">
        <v>280</v>
      </c>
      <c r="I521" s="591" t="s">
        <v>280</v>
      </c>
    </row>
    <row r="522" spans="1:9">
      <c r="A522" s="582"/>
      <c r="B522" s="65">
        <v>720</v>
      </c>
      <c r="C522" s="579" t="s">
        <v>281</v>
      </c>
      <c r="D522" s="579"/>
      <c r="E522" s="583"/>
      <c r="F522" s="596"/>
      <c r="G522" s="65">
        <v>0</v>
      </c>
      <c r="H522" s="591" t="s">
        <v>280</v>
      </c>
      <c r="I522" s="591" t="s">
        <v>280</v>
      </c>
    </row>
    <row r="523" spans="1:9">
      <c r="A523" s="582"/>
      <c r="B523" s="65">
        <v>721</v>
      </c>
      <c r="C523" s="579" t="s">
        <v>281</v>
      </c>
      <c r="D523" s="579"/>
      <c r="E523" s="583"/>
      <c r="F523" s="596"/>
      <c r="G523" s="65">
        <v>0</v>
      </c>
      <c r="H523" s="591" t="s">
        <v>280</v>
      </c>
      <c r="I523" s="591" t="s">
        <v>280</v>
      </c>
    </row>
    <row r="524" spans="1:9">
      <c r="A524" s="582"/>
      <c r="B524" s="65">
        <v>722</v>
      </c>
      <c r="C524" s="579" t="s">
        <v>281</v>
      </c>
      <c r="D524" s="579"/>
      <c r="E524" s="583"/>
      <c r="F524" s="596"/>
      <c r="G524" s="65">
        <v>0</v>
      </c>
      <c r="H524" s="591" t="s">
        <v>280</v>
      </c>
      <c r="I524" s="591" t="s">
        <v>280</v>
      </c>
    </row>
    <row r="525" spans="1:9">
      <c r="A525" s="582"/>
      <c r="B525" s="65">
        <v>723</v>
      </c>
      <c r="C525" s="579" t="s">
        <v>281</v>
      </c>
      <c r="D525" s="579"/>
      <c r="E525" s="583"/>
      <c r="F525" s="596"/>
      <c r="G525" s="65">
        <v>0</v>
      </c>
      <c r="H525" s="591" t="s">
        <v>280</v>
      </c>
      <c r="I525" s="591" t="s">
        <v>280</v>
      </c>
    </row>
    <row r="526" spans="1:9">
      <c r="A526" s="582"/>
      <c r="B526" s="65">
        <v>724</v>
      </c>
      <c r="C526" s="579" t="s">
        <v>281</v>
      </c>
      <c r="D526" s="579"/>
      <c r="E526" s="583"/>
      <c r="F526" s="596"/>
      <c r="G526" s="65">
        <v>0</v>
      </c>
      <c r="H526" s="591" t="s">
        <v>280</v>
      </c>
      <c r="I526" s="591" t="s">
        <v>280</v>
      </c>
    </row>
    <row r="527" spans="1:9">
      <c r="A527" s="582"/>
      <c r="B527" s="65">
        <v>725</v>
      </c>
      <c r="C527" s="579" t="s">
        <v>281</v>
      </c>
      <c r="D527" s="579"/>
      <c r="E527" s="583"/>
      <c r="F527" s="596"/>
      <c r="G527" s="65">
        <v>0</v>
      </c>
      <c r="H527" s="591" t="s">
        <v>280</v>
      </c>
      <c r="I527" s="591" t="s">
        <v>280</v>
      </c>
    </row>
    <row r="528" spans="1:9">
      <c r="A528" s="582"/>
      <c r="B528" s="65">
        <v>726</v>
      </c>
      <c r="C528" s="579" t="s">
        <v>281</v>
      </c>
      <c r="D528" s="579"/>
      <c r="E528" s="583"/>
      <c r="F528" s="596"/>
      <c r="G528" s="65">
        <v>0</v>
      </c>
      <c r="H528" s="591" t="s">
        <v>280</v>
      </c>
      <c r="I528" s="591" t="s">
        <v>280</v>
      </c>
    </row>
    <row r="529" spans="1:9">
      <c r="A529" s="582"/>
      <c r="B529" s="65">
        <v>727</v>
      </c>
      <c r="C529" s="579" t="s">
        <v>281</v>
      </c>
      <c r="D529" s="579"/>
      <c r="E529" s="583"/>
      <c r="F529" s="596"/>
      <c r="G529" s="65">
        <v>0</v>
      </c>
      <c r="H529" s="591" t="s">
        <v>280</v>
      </c>
      <c r="I529" s="591" t="s">
        <v>280</v>
      </c>
    </row>
    <row r="530" spans="1:9">
      <c r="A530" s="582"/>
      <c r="B530" s="65">
        <v>728</v>
      </c>
      <c r="C530" s="579" t="s">
        <v>281</v>
      </c>
      <c r="D530" s="579"/>
      <c r="E530" s="583"/>
      <c r="F530" s="596"/>
      <c r="G530" s="65">
        <v>0</v>
      </c>
      <c r="H530" s="591" t="s">
        <v>280</v>
      </c>
      <c r="I530" s="591" t="s">
        <v>280</v>
      </c>
    </row>
    <row r="531" spans="1:9">
      <c r="A531" s="582"/>
      <c r="B531" s="65">
        <v>729</v>
      </c>
      <c r="C531" s="579" t="s">
        <v>281</v>
      </c>
      <c r="D531" s="579"/>
      <c r="E531" s="583"/>
      <c r="F531" s="596"/>
      <c r="G531" s="65">
        <v>0</v>
      </c>
      <c r="H531" s="591" t="s">
        <v>280</v>
      </c>
      <c r="I531" s="591" t="s">
        <v>280</v>
      </c>
    </row>
    <row r="532" spans="1:9">
      <c r="A532" s="582"/>
      <c r="B532" s="65">
        <v>730</v>
      </c>
      <c r="C532" s="579" t="s">
        <v>281</v>
      </c>
      <c r="D532" s="579"/>
      <c r="E532" s="583"/>
      <c r="F532" s="596"/>
      <c r="G532" s="65">
        <v>0</v>
      </c>
      <c r="H532" s="591" t="s">
        <v>280</v>
      </c>
      <c r="I532" s="591" t="s">
        <v>280</v>
      </c>
    </row>
    <row r="533" spans="1:9">
      <c r="A533" s="582"/>
      <c r="B533" s="65">
        <v>731</v>
      </c>
      <c r="C533" s="579" t="s">
        <v>281</v>
      </c>
      <c r="D533" s="579"/>
      <c r="E533" s="583"/>
      <c r="F533" s="596"/>
      <c r="G533" s="65">
        <v>0</v>
      </c>
      <c r="H533" s="591" t="s">
        <v>280</v>
      </c>
      <c r="I533" s="591" t="s">
        <v>280</v>
      </c>
    </row>
    <row r="534" spans="1:9">
      <c r="A534" s="582"/>
      <c r="B534" s="65">
        <v>732</v>
      </c>
      <c r="C534" s="579" t="s">
        <v>281</v>
      </c>
      <c r="D534" s="579"/>
      <c r="E534" s="583"/>
      <c r="F534" s="596"/>
      <c r="G534" s="65">
        <v>0</v>
      </c>
      <c r="H534" s="591" t="s">
        <v>280</v>
      </c>
      <c r="I534" s="591" t="s">
        <v>280</v>
      </c>
    </row>
    <row r="535" spans="1:9">
      <c r="A535" s="582"/>
      <c r="B535" s="65">
        <v>733</v>
      </c>
      <c r="C535" s="579" t="s">
        <v>281</v>
      </c>
      <c r="D535" s="579"/>
      <c r="E535" s="583"/>
      <c r="F535" s="596"/>
      <c r="G535" s="65">
        <v>0</v>
      </c>
      <c r="H535" s="591" t="s">
        <v>280</v>
      </c>
      <c r="I535" s="591" t="s">
        <v>280</v>
      </c>
    </row>
    <row r="536" spans="1:9">
      <c r="A536" s="582"/>
      <c r="B536" s="65">
        <v>734</v>
      </c>
      <c r="C536" s="579" t="s">
        <v>281</v>
      </c>
      <c r="D536" s="579"/>
      <c r="E536" s="583"/>
      <c r="F536" s="596"/>
      <c r="G536" s="65">
        <v>0</v>
      </c>
      <c r="H536" s="591" t="s">
        <v>280</v>
      </c>
      <c r="I536" s="591" t="s">
        <v>280</v>
      </c>
    </row>
    <row r="537" spans="1:9">
      <c r="A537" s="582"/>
      <c r="B537" s="65">
        <v>735</v>
      </c>
      <c r="C537" s="579" t="s">
        <v>281</v>
      </c>
      <c r="D537" s="579"/>
      <c r="E537" s="583"/>
      <c r="F537" s="596"/>
      <c r="G537" s="65">
        <v>0</v>
      </c>
      <c r="H537" s="591" t="s">
        <v>280</v>
      </c>
      <c r="I537" s="591" t="s">
        <v>280</v>
      </c>
    </row>
    <row r="538" spans="1:9">
      <c r="A538" s="582"/>
      <c r="B538" s="65">
        <v>736</v>
      </c>
      <c r="C538" s="579" t="s">
        <v>281</v>
      </c>
      <c r="D538" s="579"/>
      <c r="E538" s="583"/>
      <c r="F538" s="596"/>
      <c r="G538" s="65">
        <v>0</v>
      </c>
      <c r="H538" s="591" t="s">
        <v>280</v>
      </c>
      <c r="I538" s="591" t="s">
        <v>280</v>
      </c>
    </row>
    <row r="539" spans="1:9">
      <c r="A539" s="582"/>
      <c r="B539" s="65">
        <v>737</v>
      </c>
      <c r="C539" s="579" t="s">
        <v>281</v>
      </c>
      <c r="D539" s="579"/>
      <c r="E539" s="583"/>
      <c r="F539" s="596"/>
      <c r="G539" s="65">
        <v>0</v>
      </c>
      <c r="H539" s="591" t="s">
        <v>280</v>
      </c>
      <c r="I539" s="591" t="s">
        <v>280</v>
      </c>
    </row>
    <row r="540" spans="1:9">
      <c r="A540" s="582"/>
      <c r="B540" s="65">
        <v>738</v>
      </c>
      <c r="C540" s="579" t="s">
        <v>281</v>
      </c>
      <c r="D540" s="579"/>
      <c r="E540" s="583"/>
      <c r="F540" s="596"/>
      <c r="G540" s="65">
        <v>0</v>
      </c>
      <c r="H540" s="591" t="s">
        <v>280</v>
      </c>
      <c r="I540" s="591" t="s">
        <v>280</v>
      </c>
    </row>
    <row r="541" spans="1:9">
      <c r="A541" s="582"/>
      <c r="B541" s="65">
        <v>739</v>
      </c>
      <c r="C541" s="579" t="s">
        <v>281</v>
      </c>
      <c r="D541" s="579"/>
      <c r="E541" s="583"/>
      <c r="F541" s="596"/>
      <c r="G541" s="65">
        <v>0</v>
      </c>
      <c r="H541" s="591" t="s">
        <v>280</v>
      </c>
      <c r="I541" s="591" t="s">
        <v>280</v>
      </c>
    </row>
    <row r="542" spans="1:9">
      <c r="A542" s="582"/>
      <c r="B542" s="65">
        <v>740</v>
      </c>
      <c r="C542" s="579" t="s">
        <v>281</v>
      </c>
      <c r="D542" s="579"/>
      <c r="E542" s="583"/>
      <c r="F542" s="596"/>
      <c r="G542" s="65">
        <v>0</v>
      </c>
      <c r="H542" s="591" t="s">
        <v>280</v>
      </c>
      <c r="I542" s="591" t="s">
        <v>280</v>
      </c>
    </row>
    <row r="543" spans="1:9">
      <c r="A543" s="582"/>
      <c r="B543" s="65">
        <v>741</v>
      </c>
      <c r="C543" s="579" t="s">
        <v>281</v>
      </c>
      <c r="D543" s="579"/>
      <c r="E543" s="583"/>
      <c r="F543" s="596"/>
      <c r="G543" s="65">
        <v>0</v>
      </c>
      <c r="H543" s="591" t="s">
        <v>280</v>
      </c>
      <c r="I543" s="591" t="s">
        <v>280</v>
      </c>
    </row>
    <row r="544" spans="1:9">
      <c r="A544" s="582"/>
      <c r="B544" s="65">
        <v>742</v>
      </c>
      <c r="C544" s="579" t="s">
        <v>281</v>
      </c>
      <c r="D544" s="579"/>
      <c r="E544" s="583"/>
      <c r="F544" s="596"/>
      <c r="G544" s="65">
        <v>0</v>
      </c>
      <c r="H544" s="591" t="s">
        <v>280</v>
      </c>
      <c r="I544" s="591" t="s">
        <v>280</v>
      </c>
    </row>
    <row r="545" spans="1:9">
      <c r="A545" s="582"/>
      <c r="B545" s="65">
        <v>743</v>
      </c>
      <c r="C545" s="579" t="s">
        <v>281</v>
      </c>
      <c r="D545" s="579"/>
      <c r="E545" s="583"/>
      <c r="F545" s="596"/>
      <c r="G545" s="65">
        <v>0</v>
      </c>
      <c r="H545" s="591" t="s">
        <v>280</v>
      </c>
      <c r="I545" s="591" t="s">
        <v>280</v>
      </c>
    </row>
    <row r="546" spans="1:9">
      <c r="A546" s="582"/>
      <c r="B546" s="65">
        <v>744</v>
      </c>
      <c r="C546" s="579" t="s">
        <v>281</v>
      </c>
      <c r="D546" s="579"/>
      <c r="E546" s="583"/>
      <c r="F546" s="596"/>
      <c r="G546" s="65">
        <v>0</v>
      </c>
      <c r="H546" s="591" t="s">
        <v>280</v>
      </c>
      <c r="I546" s="591" t="s">
        <v>280</v>
      </c>
    </row>
    <row r="547" spans="1:9">
      <c r="A547" s="582"/>
      <c r="B547" s="65">
        <v>745</v>
      </c>
      <c r="C547" s="579" t="s">
        <v>281</v>
      </c>
      <c r="D547" s="579"/>
      <c r="E547" s="583"/>
      <c r="F547" s="596"/>
      <c r="G547" s="65">
        <v>0</v>
      </c>
      <c r="H547" s="591" t="s">
        <v>280</v>
      </c>
      <c r="I547" s="591" t="s">
        <v>280</v>
      </c>
    </row>
    <row r="548" spans="1:9">
      <c r="A548" s="582"/>
      <c r="B548" s="65">
        <v>746</v>
      </c>
      <c r="C548" s="579" t="s">
        <v>281</v>
      </c>
      <c r="D548" s="579"/>
      <c r="E548" s="583"/>
      <c r="F548" s="596"/>
      <c r="G548" s="65">
        <v>0</v>
      </c>
      <c r="H548" s="591" t="s">
        <v>280</v>
      </c>
      <c r="I548" s="591" t="s">
        <v>280</v>
      </c>
    </row>
    <row r="549" spans="1:9">
      <c r="A549" s="582"/>
      <c r="B549" s="65">
        <v>747</v>
      </c>
      <c r="C549" s="579" t="s">
        <v>281</v>
      </c>
      <c r="D549" s="579"/>
      <c r="E549" s="583"/>
      <c r="F549" s="596"/>
      <c r="G549" s="65">
        <v>0</v>
      </c>
      <c r="H549" s="591" t="s">
        <v>280</v>
      </c>
      <c r="I549" s="591" t="s">
        <v>280</v>
      </c>
    </row>
    <row r="550" spans="1:9">
      <c r="A550" s="582"/>
      <c r="B550" s="65">
        <v>748</v>
      </c>
      <c r="C550" s="579" t="s">
        <v>281</v>
      </c>
      <c r="D550" s="579"/>
      <c r="E550" s="583"/>
      <c r="F550" s="596"/>
      <c r="G550" s="65">
        <v>0</v>
      </c>
      <c r="H550" s="591" t="s">
        <v>280</v>
      </c>
      <c r="I550" s="591" t="s">
        <v>280</v>
      </c>
    </row>
    <row r="551" spans="1:9">
      <c r="A551" s="582"/>
      <c r="B551" s="65">
        <v>749</v>
      </c>
      <c r="C551" s="579" t="s">
        <v>281</v>
      </c>
      <c r="D551" s="579"/>
      <c r="E551" s="583"/>
      <c r="F551" s="596"/>
      <c r="G551" s="65">
        <v>0</v>
      </c>
      <c r="H551" s="591" t="s">
        <v>280</v>
      </c>
      <c r="I551" s="591" t="s">
        <v>280</v>
      </c>
    </row>
    <row r="552" spans="1:9">
      <c r="A552" s="582"/>
      <c r="B552" s="65">
        <v>750</v>
      </c>
      <c r="C552" s="579" t="s">
        <v>281</v>
      </c>
      <c r="D552" s="579"/>
      <c r="E552" s="583"/>
      <c r="F552" s="596"/>
      <c r="G552" s="65">
        <v>0</v>
      </c>
      <c r="H552" s="591" t="s">
        <v>280</v>
      </c>
      <c r="I552" s="591" t="s">
        <v>280</v>
      </c>
    </row>
    <row r="553" spans="1:9">
      <c r="A553" s="582"/>
      <c r="B553" s="65">
        <v>751</v>
      </c>
      <c r="C553" s="579" t="s">
        <v>281</v>
      </c>
      <c r="D553" s="579"/>
      <c r="E553" s="583"/>
      <c r="F553" s="596"/>
      <c r="G553" s="65">
        <v>0</v>
      </c>
      <c r="H553" s="591" t="s">
        <v>280</v>
      </c>
      <c r="I553" s="591" t="s">
        <v>280</v>
      </c>
    </row>
    <row r="554" spans="1:9">
      <c r="A554" s="582"/>
      <c r="B554" s="65">
        <v>752</v>
      </c>
      <c r="C554" s="579" t="s">
        <v>281</v>
      </c>
      <c r="D554" s="579"/>
      <c r="E554" s="583"/>
      <c r="F554" s="596"/>
      <c r="G554" s="65">
        <v>0</v>
      </c>
      <c r="H554" s="591" t="s">
        <v>280</v>
      </c>
      <c r="I554" s="591" t="s">
        <v>280</v>
      </c>
    </row>
    <row r="555" spans="1:9">
      <c r="A555" s="582"/>
      <c r="B555" s="65">
        <v>753</v>
      </c>
      <c r="C555" s="579" t="s">
        <v>281</v>
      </c>
      <c r="D555" s="579"/>
      <c r="E555" s="583"/>
      <c r="F555" s="596"/>
      <c r="G555" s="65">
        <v>0</v>
      </c>
      <c r="H555" s="591" t="s">
        <v>280</v>
      </c>
      <c r="I555" s="591" t="s">
        <v>280</v>
      </c>
    </row>
    <row r="556" spans="1:9">
      <c r="A556" s="582"/>
      <c r="B556" s="65">
        <v>754</v>
      </c>
      <c r="C556" s="579" t="s">
        <v>281</v>
      </c>
      <c r="D556" s="579"/>
      <c r="E556" s="583"/>
      <c r="F556" s="596"/>
      <c r="G556" s="65">
        <v>0</v>
      </c>
      <c r="H556" s="591" t="s">
        <v>280</v>
      </c>
      <c r="I556" s="591" t="s">
        <v>280</v>
      </c>
    </row>
    <row r="557" spans="1:9">
      <c r="A557" s="582"/>
      <c r="B557" s="65">
        <v>755</v>
      </c>
      <c r="C557" s="579" t="s">
        <v>281</v>
      </c>
      <c r="D557" s="579"/>
      <c r="E557" s="583"/>
      <c r="F557" s="596"/>
      <c r="G557" s="65">
        <v>0</v>
      </c>
      <c r="H557" s="591" t="s">
        <v>280</v>
      </c>
      <c r="I557" s="591" t="s">
        <v>280</v>
      </c>
    </row>
    <row r="558" spans="1:9">
      <c r="A558" s="582"/>
      <c r="B558" s="65">
        <v>756</v>
      </c>
      <c r="C558" s="579" t="s">
        <v>281</v>
      </c>
      <c r="D558" s="579"/>
      <c r="E558" s="583"/>
      <c r="F558" s="596"/>
      <c r="G558" s="65">
        <v>0</v>
      </c>
      <c r="H558" s="591" t="s">
        <v>280</v>
      </c>
      <c r="I558" s="591" t="s">
        <v>280</v>
      </c>
    </row>
    <row r="559" spans="1:9">
      <c r="A559" s="582"/>
      <c r="B559" s="65">
        <v>757</v>
      </c>
      <c r="C559" s="579" t="s">
        <v>281</v>
      </c>
      <c r="D559" s="579"/>
      <c r="E559" s="583"/>
      <c r="F559" s="596"/>
      <c r="G559" s="65">
        <v>0</v>
      </c>
      <c r="H559" s="591" t="s">
        <v>280</v>
      </c>
      <c r="I559" s="591" t="s">
        <v>280</v>
      </c>
    </row>
    <row r="560" spans="1:9">
      <c r="A560" s="582"/>
      <c r="B560" s="65">
        <v>758</v>
      </c>
      <c r="C560" s="579" t="s">
        <v>281</v>
      </c>
      <c r="D560" s="579"/>
      <c r="E560" s="583"/>
      <c r="F560" s="596"/>
      <c r="G560" s="65">
        <v>0</v>
      </c>
      <c r="H560" s="591" t="s">
        <v>280</v>
      </c>
      <c r="I560" s="591" t="s">
        <v>280</v>
      </c>
    </row>
    <row r="561" spans="1:9">
      <c r="A561" s="582"/>
      <c r="B561" s="65">
        <v>759</v>
      </c>
      <c r="C561" s="579" t="s">
        <v>281</v>
      </c>
      <c r="D561" s="579"/>
      <c r="E561" s="583"/>
      <c r="F561" s="596"/>
      <c r="G561" s="65">
        <v>0</v>
      </c>
      <c r="H561" s="591" t="s">
        <v>280</v>
      </c>
      <c r="I561" s="591" t="s">
        <v>280</v>
      </c>
    </row>
    <row r="562" spans="1:9">
      <c r="A562" s="582"/>
      <c r="B562" s="65">
        <v>760</v>
      </c>
      <c r="C562" s="579" t="s">
        <v>281</v>
      </c>
      <c r="D562" s="579"/>
      <c r="E562" s="583"/>
      <c r="F562" s="596"/>
      <c r="G562" s="65">
        <v>0</v>
      </c>
      <c r="H562" s="591" t="s">
        <v>280</v>
      </c>
      <c r="I562" s="591" t="s">
        <v>280</v>
      </c>
    </row>
    <row r="563" spans="1:9">
      <c r="A563" s="582"/>
      <c r="B563" s="65">
        <v>761</v>
      </c>
      <c r="C563" s="579" t="s">
        <v>281</v>
      </c>
      <c r="D563" s="579"/>
      <c r="E563" s="583"/>
      <c r="F563" s="596"/>
      <c r="G563" s="65">
        <v>0</v>
      </c>
      <c r="H563" s="591" t="s">
        <v>280</v>
      </c>
      <c r="I563" s="591" t="s">
        <v>280</v>
      </c>
    </row>
    <row r="564" spans="1:9">
      <c r="A564" s="582"/>
      <c r="B564" s="65">
        <v>762</v>
      </c>
      <c r="C564" s="579" t="s">
        <v>281</v>
      </c>
      <c r="D564" s="579"/>
      <c r="E564" s="583"/>
      <c r="F564" s="596"/>
      <c r="G564" s="65">
        <v>0</v>
      </c>
      <c r="H564" s="591" t="s">
        <v>280</v>
      </c>
      <c r="I564" s="591" t="s">
        <v>280</v>
      </c>
    </row>
    <row r="565" spans="1:9">
      <c r="A565" s="582"/>
      <c r="B565" s="65">
        <v>763</v>
      </c>
      <c r="C565" s="579" t="s">
        <v>281</v>
      </c>
      <c r="D565" s="579"/>
      <c r="E565" s="583"/>
      <c r="F565" s="596"/>
      <c r="G565" s="65">
        <v>0</v>
      </c>
      <c r="H565" s="591" t="s">
        <v>280</v>
      </c>
      <c r="I565" s="591" t="s">
        <v>280</v>
      </c>
    </row>
    <row r="566" spans="1:9">
      <c r="A566" s="582"/>
      <c r="B566" s="65">
        <v>764</v>
      </c>
      <c r="C566" s="579" t="s">
        <v>281</v>
      </c>
      <c r="D566" s="579"/>
      <c r="E566" s="583"/>
      <c r="F566" s="596"/>
      <c r="G566" s="65">
        <v>0</v>
      </c>
      <c r="H566" s="591" t="s">
        <v>280</v>
      </c>
      <c r="I566" s="591" t="s">
        <v>280</v>
      </c>
    </row>
    <row r="567" spans="1:9">
      <c r="A567" s="582"/>
      <c r="B567" s="65">
        <v>765</v>
      </c>
      <c r="C567" s="579" t="s">
        <v>281</v>
      </c>
      <c r="D567" s="579"/>
      <c r="E567" s="583"/>
      <c r="F567" s="596"/>
      <c r="G567" s="65">
        <v>0</v>
      </c>
      <c r="H567" s="591" t="s">
        <v>280</v>
      </c>
      <c r="I567" s="591" t="s">
        <v>280</v>
      </c>
    </row>
    <row r="568" spans="1:9">
      <c r="A568" s="582"/>
      <c r="B568" s="65">
        <v>766</v>
      </c>
      <c r="C568" s="579" t="s">
        <v>281</v>
      </c>
      <c r="D568" s="579"/>
      <c r="E568" s="583"/>
      <c r="F568" s="596"/>
      <c r="G568" s="65">
        <v>0</v>
      </c>
      <c r="H568" s="591" t="s">
        <v>280</v>
      </c>
      <c r="I568" s="591" t="s">
        <v>280</v>
      </c>
    </row>
    <row r="569" spans="1:9">
      <c r="A569" s="582"/>
      <c r="B569" s="65">
        <v>767</v>
      </c>
      <c r="C569" s="579" t="s">
        <v>281</v>
      </c>
      <c r="D569" s="579"/>
      <c r="E569" s="583"/>
      <c r="F569" s="596"/>
      <c r="G569" s="65">
        <v>0</v>
      </c>
      <c r="H569" s="591" t="s">
        <v>280</v>
      </c>
      <c r="I569" s="591" t="s">
        <v>280</v>
      </c>
    </row>
    <row r="570" spans="1:9">
      <c r="A570" s="582"/>
      <c r="B570" s="65">
        <v>768</v>
      </c>
      <c r="C570" s="579" t="s">
        <v>281</v>
      </c>
      <c r="D570" s="579"/>
      <c r="E570" s="583"/>
      <c r="F570" s="596"/>
      <c r="G570" s="65">
        <v>0</v>
      </c>
      <c r="H570" s="591" t="s">
        <v>280</v>
      </c>
      <c r="I570" s="591" t="s">
        <v>280</v>
      </c>
    </row>
    <row r="571" spans="1:9">
      <c r="A571" s="582"/>
      <c r="B571" s="65">
        <v>769</v>
      </c>
      <c r="C571" s="579" t="s">
        <v>281</v>
      </c>
      <c r="D571" s="579"/>
      <c r="E571" s="583"/>
      <c r="F571" s="596"/>
      <c r="G571" s="65">
        <v>0</v>
      </c>
      <c r="H571" s="591" t="s">
        <v>280</v>
      </c>
      <c r="I571" s="591" t="s">
        <v>280</v>
      </c>
    </row>
    <row r="572" spans="1:9">
      <c r="A572" s="582"/>
      <c r="B572" s="65">
        <v>770</v>
      </c>
      <c r="C572" s="579" t="s">
        <v>281</v>
      </c>
      <c r="D572" s="579"/>
      <c r="E572" s="583"/>
      <c r="F572" s="596"/>
      <c r="G572" s="65">
        <v>0</v>
      </c>
      <c r="H572" s="591" t="s">
        <v>280</v>
      </c>
      <c r="I572" s="591" t="s">
        <v>280</v>
      </c>
    </row>
    <row r="573" spans="1:9">
      <c r="A573" s="582"/>
      <c r="B573" s="65">
        <v>771</v>
      </c>
      <c r="C573" s="579" t="s">
        <v>281</v>
      </c>
      <c r="D573" s="579"/>
      <c r="E573" s="583"/>
      <c r="F573" s="596"/>
      <c r="G573" s="65">
        <v>0</v>
      </c>
      <c r="H573" s="591" t="s">
        <v>280</v>
      </c>
      <c r="I573" s="591" t="s">
        <v>280</v>
      </c>
    </row>
    <row r="574" spans="1:9">
      <c r="A574" s="582"/>
      <c r="B574" s="65">
        <v>772</v>
      </c>
      <c r="C574" s="579" t="s">
        <v>281</v>
      </c>
      <c r="D574" s="579"/>
      <c r="E574" s="583"/>
      <c r="F574" s="596"/>
      <c r="G574" s="65">
        <v>0</v>
      </c>
      <c r="H574" s="591" t="s">
        <v>280</v>
      </c>
      <c r="I574" s="591" t="s">
        <v>280</v>
      </c>
    </row>
    <row r="575" spans="1:9">
      <c r="A575" s="582"/>
      <c r="B575" s="65">
        <v>773</v>
      </c>
      <c r="C575" s="579" t="s">
        <v>281</v>
      </c>
      <c r="D575" s="579"/>
      <c r="E575" s="583"/>
      <c r="F575" s="596"/>
      <c r="G575" s="65">
        <v>0</v>
      </c>
      <c r="H575" s="591" t="s">
        <v>280</v>
      </c>
      <c r="I575" s="591" t="s">
        <v>280</v>
      </c>
    </row>
    <row r="576" spans="1:9">
      <c r="A576" s="582"/>
      <c r="B576" s="65">
        <v>774</v>
      </c>
      <c r="C576" s="579" t="s">
        <v>281</v>
      </c>
      <c r="D576" s="579"/>
      <c r="E576" s="583"/>
      <c r="F576" s="596"/>
      <c r="G576" s="65">
        <v>0</v>
      </c>
      <c r="H576" s="591" t="s">
        <v>280</v>
      </c>
      <c r="I576" s="591" t="s">
        <v>280</v>
      </c>
    </row>
    <row r="577" spans="1:9">
      <c r="A577" s="582"/>
      <c r="B577" s="65">
        <v>775</v>
      </c>
      <c r="C577" s="579" t="s">
        <v>281</v>
      </c>
      <c r="D577" s="579"/>
      <c r="E577" s="583"/>
      <c r="F577" s="596"/>
      <c r="G577" s="65">
        <v>0</v>
      </c>
      <c r="H577" s="591" t="s">
        <v>280</v>
      </c>
      <c r="I577" s="591" t="s">
        <v>280</v>
      </c>
    </row>
    <row r="578" spans="1:9">
      <c r="A578" s="582"/>
      <c r="B578" s="65">
        <v>776</v>
      </c>
      <c r="C578" s="579" t="s">
        <v>281</v>
      </c>
      <c r="D578" s="579"/>
      <c r="E578" s="583"/>
      <c r="F578" s="596"/>
      <c r="G578" s="65">
        <v>0</v>
      </c>
      <c r="H578" s="591" t="s">
        <v>280</v>
      </c>
      <c r="I578" s="591" t="s">
        <v>280</v>
      </c>
    </row>
    <row r="579" spans="1:9">
      <c r="A579" s="582"/>
      <c r="B579" s="65">
        <v>777</v>
      </c>
      <c r="C579" s="579" t="s">
        <v>281</v>
      </c>
      <c r="D579" s="579"/>
      <c r="E579" s="583"/>
      <c r="F579" s="596"/>
      <c r="G579" s="65">
        <v>0</v>
      </c>
      <c r="H579" s="591" t="s">
        <v>280</v>
      </c>
      <c r="I579" s="591" t="s">
        <v>280</v>
      </c>
    </row>
    <row r="580" spans="1:9">
      <c r="A580" s="582"/>
      <c r="B580" s="65">
        <v>778</v>
      </c>
      <c r="C580" s="579" t="s">
        <v>281</v>
      </c>
      <c r="D580" s="579"/>
      <c r="E580" s="583"/>
      <c r="F580" s="596"/>
      <c r="G580" s="65">
        <v>0</v>
      </c>
      <c r="H580" s="591" t="s">
        <v>280</v>
      </c>
      <c r="I580" s="591" t="s">
        <v>280</v>
      </c>
    </row>
    <row r="581" spans="1:9">
      <c r="A581" s="582"/>
      <c r="B581" s="65">
        <v>779</v>
      </c>
      <c r="C581" s="579" t="s">
        <v>281</v>
      </c>
      <c r="D581" s="579"/>
      <c r="E581" s="583"/>
      <c r="F581" s="596"/>
      <c r="G581" s="65">
        <v>0</v>
      </c>
      <c r="H581" s="591" t="s">
        <v>280</v>
      </c>
      <c r="I581" s="591" t="s">
        <v>280</v>
      </c>
    </row>
    <row r="582" spans="1:9">
      <c r="A582" s="582"/>
      <c r="B582" s="65">
        <v>780</v>
      </c>
      <c r="C582" s="579" t="s">
        <v>281</v>
      </c>
      <c r="D582" s="579"/>
      <c r="E582" s="583"/>
      <c r="F582" s="596"/>
      <c r="G582" s="65">
        <v>0</v>
      </c>
      <c r="H582" s="591" t="s">
        <v>280</v>
      </c>
      <c r="I582" s="591" t="s">
        <v>280</v>
      </c>
    </row>
    <row r="583" spans="1:9">
      <c r="A583" s="582"/>
      <c r="B583" s="65">
        <v>781</v>
      </c>
      <c r="C583" s="579" t="s">
        <v>281</v>
      </c>
      <c r="D583" s="579"/>
      <c r="E583" s="583"/>
      <c r="F583" s="596"/>
      <c r="G583" s="65">
        <v>0</v>
      </c>
      <c r="H583" s="591" t="s">
        <v>280</v>
      </c>
      <c r="I583" s="591" t="s">
        <v>280</v>
      </c>
    </row>
    <row r="584" spans="1:9">
      <c r="A584" s="582"/>
      <c r="B584" s="65">
        <v>782</v>
      </c>
      <c r="C584" s="579" t="s">
        <v>281</v>
      </c>
      <c r="D584" s="579"/>
      <c r="E584" s="583"/>
      <c r="F584" s="596"/>
      <c r="G584" s="65">
        <v>0</v>
      </c>
      <c r="H584" s="591" t="s">
        <v>280</v>
      </c>
      <c r="I584" s="591" t="s">
        <v>280</v>
      </c>
    </row>
    <row r="585" spans="1:9">
      <c r="A585" s="582"/>
      <c r="B585" s="65">
        <v>783</v>
      </c>
      <c r="C585" s="579" t="s">
        <v>281</v>
      </c>
      <c r="D585" s="579"/>
      <c r="E585" s="583"/>
      <c r="F585" s="596"/>
      <c r="G585" s="65">
        <v>0</v>
      </c>
      <c r="H585" s="591" t="s">
        <v>280</v>
      </c>
      <c r="I585" s="591" t="s">
        <v>280</v>
      </c>
    </row>
    <row r="586" spans="1:9">
      <c r="A586" s="582"/>
      <c r="B586" s="65">
        <v>784</v>
      </c>
      <c r="C586" s="579" t="s">
        <v>281</v>
      </c>
      <c r="D586" s="579"/>
      <c r="E586" s="583"/>
      <c r="F586" s="596"/>
      <c r="G586" s="65">
        <v>0</v>
      </c>
      <c r="H586" s="591" t="s">
        <v>280</v>
      </c>
      <c r="I586" s="591" t="s">
        <v>280</v>
      </c>
    </row>
    <row r="587" spans="1:9">
      <c r="A587" s="582"/>
      <c r="B587" s="65">
        <v>785</v>
      </c>
      <c r="C587" s="579" t="s">
        <v>281</v>
      </c>
      <c r="D587" s="579"/>
      <c r="E587" s="583"/>
      <c r="F587" s="596"/>
      <c r="G587" s="65">
        <v>0</v>
      </c>
      <c r="H587" s="591" t="s">
        <v>280</v>
      </c>
      <c r="I587" s="591" t="s">
        <v>280</v>
      </c>
    </row>
    <row r="588" spans="1:9">
      <c r="A588" s="582"/>
      <c r="B588" s="65">
        <v>786</v>
      </c>
      <c r="C588" s="579" t="s">
        <v>281</v>
      </c>
      <c r="D588" s="579"/>
      <c r="E588" s="583"/>
      <c r="F588" s="596"/>
      <c r="G588" s="65">
        <v>0</v>
      </c>
      <c r="H588" s="591" t="s">
        <v>280</v>
      </c>
      <c r="I588" s="591" t="s">
        <v>280</v>
      </c>
    </row>
    <row r="589" spans="1:9">
      <c r="A589" s="582"/>
      <c r="B589" s="65">
        <v>787</v>
      </c>
      <c r="C589" s="579" t="s">
        <v>281</v>
      </c>
      <c r="D589" s="579"/>
      <c r="E589" s="583"/>
      <c r="F589" s="596"/>
      <c r="G589" s="65">
        <v>0</v>
      </c>
      <c r="H589" s="591" t="s">
        <v>280</v>
      </c>
      <c r="I589" s="591" t="s">
        <v>280</v>
      </c>
    </row>
    <row r="590" spans="1:9">
      <c r="A590" s="582"/>
      <c r="B590" s="65">
        <v>788</v>
      </c>
      <c r="C590" s="579" t="s">
        <v>281</v>
      </c>
      <c r="D590" s="579"/>
      <c r="E590" s="583"/>
      <c r="F590" s="596"/>
      <c r="G590" s="65">
        <v>0</v>
      </c>
      <c r="H590" s="591" t="s">
        <v>280</v>
      </c>
      <c r="I590" s="591" t="s">
        <v>280</v>
      </c>
    </row>
    <row r="591" spans="1:9">
      <c r="A591" s="582"/>
      <c r="B591" s="65">
        <v>789</v>
      </c>
      <c r="C591" s="579" t="s">
        <v>281</v>
      </c>
      <c r="D591" s="579"/>
      <c r="E591" s="583"/>
      <c r="F591" s="596"/>
      <c r="G591" s="65">
        <v>0</v>
      </c>
      <c r="H591" s="591" t="s">
        <v>280</v>
      </c>
      <c r="I591" s="591" t="s">
        <v>280</v>
      </c>
    </row>
    <row r="592" spans="1:9">
      <c r="A592" s="582"/>
      <c r="B592" s="65">
        <v>790</v>
      </c>
      <c r="C592" s="579" t="s">
        <v>281</v>
      </c>
      <c r="D592" s="579"/>
      <c r="E592" s="583"/>
      <c r="F592" s="596"/>
      <c r="G592" s="65">
        <v>0</v>
      </c>
      <c r="H592" s="591" t="s">
        <v>280</v>
      </c>
      <c r="I592" s="591" t="s">
        <v>280</v>
      </c>
    </row>
    <row r="593" spans="1:10">
      <c r="A593" s="582"/>
      <c r="B593" s="65">
        <v>791</v>
      </c>
      <c r="C593" s="579" t="s">
        <v>281</v>
      </c>
      <c r="D593" s="579"/>
      <c r="E593" s="583"/>
      <c r="F593" s="596"/>
      <c r="G593" s="65">
        <v>0</v>
      </c>
      <c r="H593" s="591" t="s">
        <v>280</v>
      </c>
      <c r="I593" s="591" t="s">
        <v>280</v>
      </c>
    </row>
    <row r="594" spans="1:10">
      <c r="A594" s="582"/>
      <c r="B594" s="65">
        <v>792</v>
      </c>
      <c r="C594" s="579" t="s">
        <v>281</v>
      </c>
      <c r="D594" s="579"/>
      <c r="E594" s="583"/>
      <c r="F594" s="596"/>
      <c r="G594" s="65">
        <v>0</v>
      </c>
      <c r="H594" s="591" t="s">
        <v>280</v>
      </c>
      <c r="I594" s="591" t="s">
        <v>280</v>
      </c>
    </row>
    <row r="595" spans="1:10">
      <c r="A595" s="582"/>
      <c r="B595" s="65">
        <v>793</v>
      </c>
      <c r="C595" s="579" t="s">
        <v>281</v>
      </c>
      <c r="D595" s="579"/>
      <c r="E595" s="583"/>
      <c r="F595" s="596"/>
      <c r="G595" s="65">
        <v>0</v>
      </c>
      <c r="H595" s="591" t="s">
        <v>280</v>
      </c>
      <c r="I595" s="591" t="s">
        <v>280</v>
      </c>
    </row>
    <row r="596" spans="1:10">
      <c r="A596" s="582"/>
      <c r="B596" s="65">
        <v>794</v>
      </c>
      <c r="C596" s="579" t="s">
        <v>281</v>
      </c>
      <c r="D596" s="579"/>
      <c r="E596" s="583"/>
      <c r="F596" s="596"/>
      <c r="G596" s="65">
        <v>0</v>
      </c>
      <c r="H596" s="591" t="s">
        <v>280</v>
      </c>
      <c r="I596" s="591" t="s">
        <v>280</v>
      </c>
    </row>
    <row r="597" spans="1:10">
      <c r="A597" s="582"/>
      <c r="B597" s="65">
        <v>795</v>
      </c>
      <c r="C597" s="579" t="s">
        <v>281</v>
      </c>
      <c r="D597" s="579"/>
      <c r="E597" s="583"/>
      <c r="F597" s="596"/>
      <c r="G597" s="65">
        <v>0</v>
      </c>
      <c r="H597" s="591" t="s">
        <v>280</v>
      </c>
      <c r="I597" s="591" t="s">
        <v>280</v>
      </c>
    </row>
    <row r="598" spans="1:10">
      <c r="A598" s="582"/>
      <c r="B598" s="65">
        <v>796</v>
      </c>
      <c r="C598" s="579" t="s">
        <v>281</v>
      </c>
      <c r="D598" s="579"/>
      <c r="E598" s="583"/>
      <c r="F598" s="596"/>
      <c r="G598" s="65">
        <v>0</v>
      </c>
      <c r="H598" s="591" t="s">
        <v>280</v>
      </c>
      <c r="I598" s="591" t="s">
        <v>280</v>
      </c>
    </row>
    <row r="599" spans="1:10">
      <c r="A599" s="582"/>
      <c r="B599" s="65">
        <v>797</v>
      </c>
      <c r="C599" s="579" t="s">
        <v>281</v>
      </c>
      <c r="D599" s="579"/>
      <c r="E599" s="583"/>
      <c r="F599" s="596"/>
      <c r="G599" s="65">
        <v>0</v>
      </c>
      <c r="H599" s="591" t="s">
        <v>280</v>
      </c>
      <c r="I599" s="591" t="s">
        <v>280</v>
      </c>
    </row>
    <row r="600" spans="1:10">
      <c r="A600" s="582"/>
      <c r="B600" s="65">
        <v>798</v>
      </c>
      <c r="C600" s="579" t="s">
        <v>281</v>
      </c>
      <c r="D600" s="579"/>
      <c r="E600" s="583"/>
      <c r="F600" s="596"/>
      <c r="G600" s="65">
        <v>0</v>
      </c>
      <c r="H600" s="591" t="s">
        <v>280</v>
      </c>
      <c r="I600" s="591" t="s">
        <v>280</v>
      </c>
    </row>
    <row r="601" spans="1:10">
      <c r="A601" s="582"/>
      <c r="B601" s="65">
        <v>799</v>
      </c>
      <c r="C601" s="579" t="s">
        <v>281</v>
      </c>
      <c r="D601" s="579"/>
      <c r="E601" s="583"/>
      <c r="F601" s="596"/>
      <c r="G601" s="65">
        <v>0</v>
      </c>
      <c r="H601" s="591" t="s">
        <v>280</v>
      </c>
      <c r="I601" s="591" t="s">
        <v>280</v>
      </c>
    </row>
    <row r="602" spans="1:10">
      <c r="A602" s="582" t="s">
        <v>354</v>
      </c>
      <c r="B602" s="65">
        <v>800</v>
      </c>
      <c r="C602" s="579" t="s">
        <v>279</v>
      </c>
      <c r="D602" s="579"/>
      <c r="E602" s="583"/>
      <c r="F602" s="585">
        <v>45535</v>
      </c>
      <c r="G602" s="65">
        <v>1</v>
      </c>
      <c r="H602" s="591" t="s">
        <v>280</v>
      </c>
      <c r="I602" s="591" t="s">
        <v>280</v>
      </c>
    </row>
    <row r="603" spans="1:10">
      <c r="A603" s="582" t="s">
        <v>354</v>
      </c>
      <c r="B603" s="65">
        <v>801</v>
      </c>
      <c r="C603" s="579" t="s">
        <v>281</v>
      </c>
      <c r="D603" s="579"/>
      <c r="E603" s="583"/>
      <c r="F603" s="596"/>
      <c r="G603" s="65">
        <v>0</v>
      </c>
      <c r="H603" s="591" t="s">
        <v>280</v>
      </c>
      <c r="I603" s="591" t="s">
        <v>280</v>
      </c>
    </row>
    <row r="604" spans="1:10">
      <c r="A604" s="582" t="s">
        <v>354</v>
      </c>
      <c r="B604" s="65">
        <v>802</v>
      </c>
      <c r="C604" s="579" t="s">
        <v>281</v>
      </c>
      <c r="D604" s="579"/>
      <c r="E604" s="583"/>
      <c r="F604" s="596"/>
      <c r="G604" s="65">
        <v>0</v>
      </c>
      <c r="H604" s="591" t="s">
        <v>280</v>
      </c>
      <c r="I604" s="591" t="s">
        <v>280</v>
      </c>
    </row>
    <row r="605" spans="1:10">
      <c r="A605" s="582" t="s">
        <v>354</v>
      </c>
      <c r="B605" s="65">
        <v>803</v>
      </c>
      <c r="C605" s="579" t="s">
        <v>281</v>
      </c>
      <c r="D605" s="579"/>
      <c r="E605" s="583"/>
      <c r="F605" s="596"/>
      <c r="G605" s="65">
        <v>0</v>
      </c>
      <c r="H605" s="591" t="s">
        <v>280</v>
      </c>
      <c r="I605" s="591" t="s">
        <v>280</v>
      </c>
    </row>
    <row r="606" spans="1:10">
      <c r="A606" s="582" t="s">
        <v>354</v>
      </c>
      <c r="B606" s="65">
        <v>804</v>
      </c>
      <c r="C606" s="579" t="s">
        <v>281</v>
      </c>
      <c r="D606" s="579"/>
      <c r="E606" s="583"/>
      <c r="F606" s="596"/>
      <c r="G606" s="65">
        <v>0</v>
      </c>
      <c r="H606" s="591" t="s">
        <v>280</v>
      </c>
      <c r="I606" s="591" t="s">
        <v>280</v>
      </c>
    </row>
    <row r="607" spans="1:10">
      <c r="A607" s="582" t="s">
        <v>354</v>
      </c>
      <c r="B607" s="65">
        <v>805</v>
      </c>
      <c r="C607" s="65" t="s">
        <v>281</v>
      </c>
      <c r="D607" s="579"/>
      <c r="E607" s="583"/>
      <c r="F607" s="596"/>
      <c r="G607" s="65">
        <v>0</v>
      </c>
      <c r="H607" s="591" t="s">
        <v>280</v>
      </c>
      <c r="I607" s="591" t="s">
        <v>280</v>
      </c>
      <c r="J607" s="57"/>
    </row>
    <row r="608" spans="1:10">
      <c r="A608" s="582" t="s">
        <v>354</v>
      </c>
      <c r="B608" s="65">
        <v>806</v>
      </c>
      <c r="C608" s="579" t="s">
        <v>281</v>
      </c>
      <c r="D608" s="579"/>
      <c r="E608" s="583"/>
      <c r="F608" s="596"/>
      <c r="G608" s="65">
        <v>0</v>
      </c>
      <c r="H608" s="591" t="s">
        <v>280</v>
      </c>
      <c r="I608" s="591" t="s">
        <v>280</v>
      </c>
      <c r="J608" s="57"/>
    </row>
    <row r="609" spans="1:10">
      <c r="A609" s="582" t="s">
        <v>354</v>
      </c>
      <c r="B609" s="65">
        <v>807</v>
      </c>
      <c r="C609" s="579" t="s">
        <v>281</v>
      </c>
      <c r="D609" s="579"/>
      <c r="E609" s="583"/>
      <c r="F609" s="596"/>
      <c r="G609" s="65">
        <v>0</v>
      </c>
      <c r="H609" s="591" t="s">
        <v>280</v>
      </c>
      <c r="I609" s="591" t="s">
        <v>280</v>
      </c>
      <c r="J609" s="57"/>
    </row>
    <row r="610" spans="1:10">
      <c r="A610" s="582" t="s">
        <v>354</v>
      </c>
      <c r="B610" s="65">
        <v>808</v>
      </c>
      <c r="C610" s="579" t="s">
        <v>281</v>
      </c>
      <c r="D610" s="579"/>
      <c r="E610" s="583"/>
      <c r="F610" s="596"/>
      <c r="G610" s="65">
        <v>0</v>
      </c>
      <c r="H610" s="591" t="s">
        <v>280</v>
      </c>
      <c r="I610" s="591" t="s">
        <v>280</v>
      </c>
      <c r="J610" s="57"/>
    </row>
    <row r="611" spans="1:10">
      <c r="A611" s="582" t="s">
        <v>354</v>
      </c>
      <c r="B611" s="579">
        <v>809</v>
      </c>
      <c r="C611" s="579" t="s">
        <v>281</v>
      </c>
      <c r="D611" s="63"/>
      <c r="E611" s="583"/>
      <c r="F611" s="596"/>
      <c r="G611" s="65">
        <v>0</v>
      </c>
      <c r="H611" s="591" t="s">
        <v>280</v>
      </c>
      <c r="I611" s="591" t="s">
        <v>280</v>
      </c>
      <c r="J611" s="57"/>
    </row>
    <row r="612" spans="1:10">
      <c r="A612" s="582" t="s">
        <v>354</v>
      </c>
      <c r="B612" s="65">
        <v>810</v>
      </c>
      <c r="C612" s="65" t="s">
        <v>281</v>
      </c>
      <c r="D612" s="579"/>
      <c r="E612" s="583"/>
      <c r="F612" s="596"/>
      <c r="G612" s="65">
        <v>0</v>
      </c>
      <c r="H612" s="591" t="s">
        <v>280</v>
      </c>
      <c r="I612" s="591" t="s">
        <v>280</v>
      </c>
      <c r="J612" s="57"/>
    </row>
    <row r="613" spans="1:10">
      <c r="A613" s="582" t="s">
        <v>354</v>
      </c>
      <c r="B613" s="65">
        <v>811</v>
      </c>
      <c r="C613" s="579" t="s">
        <v>357</v>
      </c>
      <c r="D613" s="63">
        <v>10206</v>
      </c>
      <c r="E613" s="583"/>
      <c r="F613" s="585">
        <v>45535</v>
      </c>
      <c r="G613" s="65">
        <v>1</v>
      </c>
      <c r="H613" s="591" t="s">
        <v>1977</v>
      </c>
      <c r="I613" s="591" t="s">
        <v>1224</v>
      </c>
      <c r="J613" s="57"/>
    </row>
    <row r="614" spans="1:10">
      <c r="A614" s="582" t="s">
        <v>354</v>
      </c>
      <c r="B614" s="65">
        <v>812</v>
      </c>
      <c r="C614" s="65" t="s">
        <v>281</v>
      </c>
      <c r="D614" s="579"/>
      <c r="E614" s="583"/>
      <c r="F614" s="596"/>
      <c r="G614" s="65">
        <v>0</v>
      </c>
      <c r="H614" s="591" t="s">
        <v>280</v>
      </c>
      <c r="I614" s="591" t="s">
        <v>280</v>
      </c>
      <c r="J614" s="57"/>
    </row>
    <row r="615" spans="1:10">
      <c r="A615" s="582" t="s">
        <v>354</v>
      </c>
      <c r="B615" s="65">
        <v>813</v>
      </c>
      <c r="C615" s="579" t="s">
        <v>359</v>
      </c>
      <c r="D615" s="63">
        <v>10540</v>
      </c>
      <c r="E615" s="583"/>
      <c r="F615" s="585">
        <v>45535</v>
      </c>
      <c r="G615" s="65">
        <v>1</v>
      </c>
      <c r="H615" s="591" t="s">
        <v>1977</v>
      </c>
      <c r="I615" s="591" t="s">
        <v>1224</v>
      </c>
      <c r="J615" s="57"/>
    </row>
    <row r="616" spans="1:10">
      <c r="A616" s="582" t="s">
        <v>354</v>
      </c>
      <c r="B616" s="65">
        <v>814</v>
      </c>
      <c r="C616" s="579" t="s">
        <v>281</v>
      </c>
      <c r="D616" s="579"/>
      <c r="E616" s="583"/>
      <c r="F616" s="596"/>
      <c r="G616" s="65">
        <v>0</v>
      </c>
      <c r="H616" s="591" t="s">
        <v>280</v>
      </c>
      <c r="I616" s="591" t="s">
        <v>280</v>
      </c>
      <c r="J616" s="57"/>
    </row>
    <row r="617" spans="1:10">
      <c r="A617" s="582" t="s">
        <v>354</v>
      </c>
      <c r="B617" s="65">
        <v>815</v>
      </c>
      <c r="C617" s="579" t="s">
        <v>281</v>
      </c>
      <c r="D617" s="579"/>
      <c r="E617" s="583"/>
      <c r="F617" s="596"/>
      <c r="G617" s="65">
        <v>0</v>
      </c>
      <c r="H617" s="591" t="s">
        <v>280</v>
      </c>
      <c r="I617" s="591" t="s">
        <v>280</v>
      </c>
      <c r="J617" s="57"/>
    </row>
    <row r="618" spans="1:10">
      <c r="A618" s="582" t="s">
        <v>354</v>
      </c>
      <c r="B618" s="65">
        <v>816</v>
      </c>
      <c r="C618" s="579" t="s">
        <v>281</v>
      </c>
      <c r="D618" s="579"/>
      <c r="E618" s="583"/>
      <c r="F618" s="596"/>
      <c r="G618" s="65">
        <v>0</v>
      </c>
      <c r="H618" s="591" t="s">
        <v>280</v>
      </c>
      <c r="I618" s="591" t="s">
        <v>280</v>
      </c>
      <c r="J618" s="57"/>
    </row>
    <row r="619" spans="1:10">
      <c r="A619" s="582" t="s">
        <v>354</v>
      </c>
      <c r="B619" s="65">
        <v>817</v>
      </c>
      <c r="C619" s="579" t="s">
        <v>281</v>
      </c>
      <c r="D619" s="579"/>
      <c r="E619" s="583"/>
      <c r="F619" s="596"/>
      <c r="G619" s="65">
        <v>0</v>
      </c>
      <c r="H619" s="591" t="s">
        <v>280</v>
      </c>
      <c r="I619" s="591" t="s">
        <v>280</v>
      </c>
    </row>
    <row r="620" spans="1:10">
      <c r="A620" s="582" t="s">
        <v>354</v>
      </c>
      <c r="B620" s="65">
        <v>818</v>
      </c>
      <c r="C620" s="579" t="s">
        <v>281</v>
      </c>
      <c r="D620" s="579"/>
      <c r="E620" s="583"/>
      <c r="F620" s="596"/>
      <c r="G620" s="65">
        <v>0</v>
      </c>
      <c r="H620" s="591" t="s">
        <v>280</v>
      </c>
      <c r="I620" s="591" t="s">
        <v>280</v>
      </c>
    </row>
    <row r="621" spans="1:10">
      <c r="A621" s="582" t="s">
        <v>354</v>
      </c>
      <c r="B621" s="65">
        <v>819</v>
      </c>
      <c r="C621" s="579" t="s">
        <v>281</v>
      </c>
      <c r="D621" s="579"/>
      <c r="E621" s="583"/>
      <c r="F621" s="596"/>
      <c r="G621" s="65">
        <v>0</v>
      </c>
      <c r="H621" s="591" t="s">
        <v>280</v>
      </c>
      <c r="I621" s="591" t="s">
        <v>280</v>
      </c>
    </row>
    <row r="622" spans="1:10">
      <c r="A622" s="582" t="s">
        <v>354</v>
      </c>
      <c r="B622" s="65">
        <v>820</v>
      </c>
      <c r="C622" s="579" t="s">
        <v>281</v>
      </c>
      <c r="D622" s="579"/>
      <c r="E622" s="583"/>
      <c r="F622" s="596"/>
      <c r="G622" s="65">
        <v>0</v>
      </c>
      <c r="H622" s="591" t="s">
        <v>280</v>
      </c>
      <c r="I622" s="591" t="s">
        <v>280</v>
      </c>
    </row>
    <row r="623" spans="1:10">
      <c r="A623" s="582" t="s">
        <v>354</v>
      </c>
      <c r="B623" s="65">
        <v>821</v>
      </c>
      <c r="C623" s="65" t="s">
        <v>360</v>
      </c>
      <c r="D623" s="579">
        <v>10428</v>
      </c>
      <c r="E623" s="583"/>
      <c r="F623" s="585">
        <v>45535</v>
      </c>
      <c r="G623" s="65">
        <v>1</v>
      </c>
      <c r="H623" s="591" t="s">
        <v>1977</v>
      </c>
      <c r="I623" s="591" t="s">
        <v>1224</v>
      </c>
    </row>
    <row r="624" spans="1:10">
      <c r="A624" s="582" t="s">
        <v>354</v>
      </c>
      <c r="B624" s="65">
        <v>822</v>
      </c>
      <c r="C624" s="65" t="s">
        <v>281</v>
      </c>
      <c r="D624" s="579"/>
      <c r="E624" s="583"/>
      <c r="F624" s="596"/>
      <c r="G624" s="65">
        <v>0</v>
      </c>
      <c r="H624" s="591" t="s">
        <v>280</v>
      </c>
      <c r="I624" s="591" t="s">
        <v>280</v>
      </c>
    </row>
    <row r="625" spans="1:9">
      <c r="A625" s="582" t="s">
        <v>354</v>
      </c>
      <c r="B625" s="65">
        <v>823</v>
      </c>
      <c r="C625" s="65" t="s">
        <v>361</v>
      </c>
      <c r="D625" s="63">
        <v>10087</v>
      </c>
      <c r="E625" s="583"/>
      <c r="F625" s="585">
        <v>45535</v>
      </c>
      <c r="G625" s="65">
        <v>1</v>
      </c>
      <c r="H625" s="591" t="s">
        <v>1977</v>
      </c>
      <c r="I625" s="591" t="s">
        <v>1224</v>
      </c>
    </row>
    <row r="626" spans="1:9">
      <c r="A626" s="582" t="s">
        <v>354</v>
      </c>
      <c r="B626" s="65">
        <v>824</v>
      </c>
      <c r="C626" s="65" t="s">
        <v>1949</v>
      </c>
      <c r="D626" s="65">
        <v>11052</v>
      </c>
      <c r="E626" s="583"/>
      <c r="F626" s="585">
        <v>45549</v>
      </c>
      <c r="G626" s="65">
        <v>1</v>
      </c>
      <c r="H626" s="591" t="s">
        <v>280</v>
      </c>
      <c r="I626" s="591" t="s">
        <v>280</v>
      </c>
    </row>
    <row r="627" spans="1:9">
      <c r="A627" s="582" t="s">
        <v>354</v>
      </c>
      <c r="B627" s="65">
        <v>825</v>
      </c>
      <c r="C627" s="65" t="s">
        <v>281</v>
      </c>
      <c r="D627" s="579"/>
      <c r="E627" s="583"/>
      <c r="F627" s="596"/>
      <c r="G627" s="65">
        <v>0</v>
      </c>
      <c r="H627" s="591" t="s">
        <v>280</v>
      </c>
      <c r="I627" s="591" t="s">
        <v>280</v>
      </c>
    </row>
    <row r="628" spans="1:9">
      <c r="A628" s="582" t="s">
        <v>354</v>
      </c>
      <c r="B628" s="65">
        <v>826</v>
      </c>
      <c r="C628" s="65" t="s">
        <v>281</v>
      </c>
      <c r="D628" s="579"/>
      <c r="E628" s="583"/>
      <c r="F628" s="596"/>
      <c r="G628" s="65">
        <v>0</v>
      </c>
      <c r="H628" s="591" t="s">
        <v>280</v>
      </c>
      <c r="I628" s="591" t="s">
        <v>280</v>
      </c>
    </row>
    <row r="629" spans="1:9">
      <c r="A629" s="582" t="s">
        <v>354</v>
      </c>
      <c r="B629" s="65">
        <v>827</v>
      </c>
      <c r="C629" s="65" t="s">
        <v>362</v>
      </c>
      <c r="D629" s="579">
        <v>10025</v>
      </c>
      <c r="E629" s="583"/>
      <c r="F629" s="585">
        <v>45535</v>
      </c>
      <c r="G629" s="65">
        <v>1</v>
      </c>
      <c r="H629" s="591" t="s">
        <v>280</v>
      </c>
      <c r="I629" s="591" t="s">
        <v>280</v>
      </c>
    </row>
    <row r="630" spans="1:9">
      <c r="A630" s="582" t="s">
        <v>354</v>
      </c>
      <c r="B630" s="65">
        <v>828</v>
      </c>
      <c r="C630" s="579" t="s">
        <v>281</v>
      </c>
      <c r="D630" s="579"/>
      <c r="E630" s="583"/>
      <c r="F630" s="596"/>
      <c r="G630" s="65">
        <v>0</v>
      </c>
      <c r="H630" s="591" t="s">
        <v>280</v>
      </c>
      <c r="I630" s="591" t="s">
        <v>280</v>
      </c>
    </row>
    <row r="631" spans="1:9">
      <c r="A631" s="582" t="s">
        <v>354</v>
      </c>
      <c r="B631" s="65">
        <v>829</v>
      </c>
      <c r="C631" s="579" t="s">
        <v>281</v>
      </c>
      <c r="D631" s="579"/>
      <c r="E631" s="583"/>
      <c r="F631" s="596"/>
      <c r="G631" s="65">
        <v>0</v>
      </c>
      <c r="H631" s="591" t="s">
        <v>280</v>
      </c>
      <c r="I631" s="591" t="s">
        <v>280</v>
      </c>
    </row>
    <row r="632" spans="1:9">
      <c r="A632" s="582" t="s">
        <v>354</v>
      </c>
      <c r="B632" s="65">
        <v>830</v>
      </c>
      <c r="C632" s="579" t="s">
        <v>281</v>
      </c>
      <c r="D632" s="579"/>
      <c r="E632" s="583"/>
      <c r="F632" s="596"/>
      <c r="G632" s="65">
        <v>0</v>
      </c>
      <c r="H632" s="591" t="s">
        <v>280</v>
      </c>
      <c r="I632" s="591" t="s">
        <v>280</v>
      </c>
    </row>
    <row r="633" spans="1:9">
      <c r="A633" s="582" t="s">
        <v>354</v>
      </c>
      <c r="B633" s="65">
        <v>831</v>
      </c>
      <c r="C633" s="579" t="s">
        <v>281</v>
      </c>
      <c r="D633" s="579"/>
      <c r="E633" s="583"/>
      <c r="F633" s="596"/>
      <c r="G633" s="65">
        <v>0</v>
      </c>
      <c r="H633" s="591" t="s">
        <v>280</v>
      </c>
      <c r="I633" s="591" t="s">
        <v>280</v>
      </c>
    </row>
    <row r="634" spans="1:9">
      <c r="A634" s="582" t="s">
        <v>354</v>
      </c>
      <c r="B634" s="65">
        <v>832</v>
      </c>
      <c r="C634" s="579" t="s">
        <v>281</v>
      </c>
      <c r="D634" s="579"/>
      <c r="E634" s="583"/>
      <c r="F634" s="596"/>
      <c r="G634" s="65">
        <v>0</v>
      </c>
      <c r="H634" s="591" t="s">
        <v>280</v>
      </c>
      <c r="I634" s="591" t="s">
        <v>280</v>
      </c>
    </row>
    <row r="635" spans="1:9">
      <c r="A635" s="582" t="s">
        <v>354</v>
      </c>
      <c r="B635" s="65">
        <v>833</v>
      </c>
      <c r="C635" s="579" t="s">
        <v>281</v>
      </c>
      <c r="D635" s="579"/>
      <c r="E635" s="583"/>
      <c r="F635" s="596"/>
      <c r="G635" s="65">
        <v>0</v>
      </c>
      <c r="H635" s="591" t="s">
        <v>280</v>
      </c>
      <c r="I635" s="591" t="s">
        <v>280</v>
      </c>
    </row>
    <row r="636" spans="1:9">
      <c r="A636" s="582" t="s">
        <v>354</v>
      </c>
      <c r="B636" s="65">
        <v>834</v>
      </c>
      <c r="C636" s="579" t="s">
        <v>281</v>
      </c>
      <c r="D636" s="579"/>
      <c r="E636" s="583"/>
      <c r="F636" s="596"/>
      <c r="G636" s="65">
        <v>0</v>
      </c>
      <c r="H636" s="591" t="s">
        <v>280</v>
      </c>
      <c r="I636" s="591" t="s">
        <v>280</v>
      </c>
    </row>
    <row r="637" spans="1:9">
      <c r="A637" s="582" t="s">
        <v>354</v>
      </c>
      <c r="B637" s="65">
        <v>835</v>
      </c>
      <c r="C637" s="579" t="s">
        <v>281</v>
      </c>
      <c r="D637" s="579"/>
      <c r="E637" s="583"/>
      <c r="F637" s="596"/>
      <c r="G637" s="65">
        <v>0</v>
      </c>
      <c r="H637" s="591" t="s">
        <v>280</v>
      </c>
      <c r="I637" s="591" t="s">
        <v>280</v>
      </c>
    </row>
    <row r="638" spans="1:9">
      <c r="A638" s="582" t="s">
        <v>354</v>
      </c>
      <c r="B638" s="65">
        <v>836</v>
      </c>
      <c r="C638" s="65" t="s">
        <v>281</v>
      </c>
      <c r="D638" s="579"/>
      <c r="E638" s="583"/>
      <c r="F638" s="596"/>
      <c r="G638" s="65">
        <v>0</v>
      </c>
      <c r="H638" s="591" t="s">
        <v>280</v>
      </c>
      <c r="I638" s="591" t="s">
        <v>280</v>
      </c>
    </row>
    <row r="639" spans="1:9">
      <c r="A639" s="582" t="s">
        <v>354</v>
      </c>
      <c r="B639" s="65">
        <v>837</v>
      </c>
      <c r="C639" s="579" t="s">
        <v>281</v>
      </c>
      <c r="D639" s="579"/>
      <c r="E639" s="583"/>
      <c r="F639" s="596"/>
      <c r="G639" s="65">
        <v>0</v>
      </c>
      <c r="H639" s="591" t="s">
        <v>280</v>
      </c>
      <c r="I639" s="591" t="s">
        <v>280</v>
      </c>
    </row>
    <row r="640" spans="1:9">
      <c r="A640" s="582" t="s">
        <v>354</v>
      </c>
      <c r="B640" s="65">
        <v>838</v>
      </c>
      <c r="C640" s="579" t="s">
        <v>281</v>
      </c>
      <c r="D640" s="579"/>
      <c r="E640" s="583"/>
      <c r="F640" s="596"/>
      <c r="G640" s="65">
        <v>0</v>
      </c>
      <c r="H640" s="591" t="s">
        <v>280</v>
      </c>
      <c r="I640" s="591" t="s">
        <v>280</v>
      </c>
    </row>
    <row r="641" spans="1:9">
      <c r="A641" s="582" t="s">
        <v>354</v>
      </c>
      <c r="B641" s="65">
        <v>839</v>
      </c>
      <c r="C641" s="579" t="s">
        <v>281</v>
      </c>
      <c r="D641" s="579"/>
      <c r="E641" s="583"/>
      <c r="F641" s="596"/>
      <c r="G641" s="65">
        <v>0</v>
      </c>
      <c r="H641" s="591" t="s">
        <v>280</v>
      </c>
      <c r="I641" s="591" t="s">
        <v>280</v>
      </c>
    </row>
    <row r="642" spans="1:9">
      <c r="A642" s="582" t="s">
        <v>354</v>
      </c>
      <c r="B642" s="65">
        <v>840</v>
      </c>
      <c r="C642" s="579" t="s">
        <v>281</v>
      </c>
      <c r="D642" s="579"/>
      <c r="E642" s="583"/>
      <c r="F642" s="596"/>
      <c r="G642" s="65">
        <v>0</v>
      </c>
      <c r="H642" s="591" t="s">
        <v>280</v>
      </c>
      <c r="I642" s="591" t="s">
        <v>280</v>
      </c>
    </row>
    <row r="643" spans="1:9">
      <c r="A643" s="582" t="s">
        <v>354</v>
      </c>
      <c r="B643" s="65">
        <v>841</v>
      </c>
      <c r="C643" s="579" t="s">
        <v>281</v>
      </c>
      <c r="D643" s="579"/>
      <c r="E643" s="583"/>
      <c r="F643" s="596"/>
      <c r="G643" s="65">
        <v>0</v>
      </c>
      <c r="H643" s="591" t="s">
        <v>280</v>
      </c>
      <c r="I643" s="591" t="s">
        <v>280</v>
      </c>
    </row>
    <row r="644" spans="1:9">
      <c r="A644" s="582" t="s">
        <v>354</v>
      </c>
      <c r="B644" s="65">
        <v>842</v>
      </c>
      <c r="C644" s="579" t="s">
        <v>281</v>
      </c>
      <c r="D644" s="579"/>
      <c r="E644" s="583"/>
      <c r="F644" s="596"/>
      <c r="G644" s="65">
        <v>0</v>
      </c>
      <c r="H644" s="591" t="s">
        <v>280</v>
      </c>
      <c r="I644" s="591" t="s">
        <v>280</v>
      </c>
    </row>
    <row r="645" spans="1:9">
      <c r="A645" s="582" t="s">
        <v>354</v>
      </c>
      <c r="B645" s="65">
        <v>843</v>
      </c>
      <c r="C645" s="579" t="s">
        <v>281</v>
      </c>
      <c r="D645" s="65"/>
      <c r="E645" s="583"/>
      <c r="F645" s="596"/>
      <c r="G645" s="65">
        <v>0</v>
      </c>
      <c r="H645" s="591" t="s">
        <v>280</v>
      </c>
      <c r="I645" s="591" t="s">
        <v>280</v>
      </c>
    </row>
    <row r="646" spans="1:9">
      <c r="A646" s="582" t="s">
        <v>354</v>
      </c>
      <c r="B646" s="65">
        <v>844</v>
      </c>
      <c r="C646" s="579" t="s">
        <v>281</v>
      </c>
      <c r="D646" s="579"/>
      <c r="E646" s="583"/>
      <c r="F646" s="596"/>
      <c r="G646" s="65">
        <v>0</v>
      </c>
      <c r="H646" s="591" t="s">
        <v>280</v>
      </c>
      <c r="I646" s="591" t="s">
        <v>280</v>
      </c>
    </row>
    <row r="647" spans="1:9">
      <c r="A647" s="582" t="s">
        <v>354</v>
      </c>
      <c r="B647" s="579">
        <v>845</v>
      </c>
      <c r="C647" s="579" t="s">
        <v>281</v>
      </c>
      <c r="D647" s="65"/>
      <c r="E647" s="583"/>
      <c r="F647" s="596"/>
      <c r="G647" s="65">
        <v>0</v>
      </c>
      <c r="H647" s="591" t="s">
        <v>280</v>
      </c>
      <c r="I647" s="591" t="s">
        <v>280</v>
      </c>
    </row>
    <row r="648" spans="1:9">
      <c r="A648" s="582" t="s">
        <v>354</v>
      </c>
      <c r="B648" s="65">
        <v>846</v>
      </c>
      <c r="C648" s="579" t="s">
        <v>281</v>
      </c>
      <c r="D648" s="579"/>
      <c r="E648" s="583"/>
      <c r="F648" s="596"/>
      <c r="G648" s="65">
        <v>0</v>
      </c>
      <c r="H648" s="591" t="s">
        <v>280</v>
      </c>
      <c r="I648" s="591" t="s">
        <v>280</v>
      </c>
    </row>
    <row r="649" spans="1:9">
      <c r="A649" s="582" t="s">
        <v>354</v>
      </c>
      <c r="B649" s="65">
        <v>847</v>
      </c>
      <c r="C649" s="579" t="s">
        <v>281</v>
      </c>
      <c r="D649" s="579"/>
      <c r="E649" s="583"/>
      <c r="F649" s="596"/>
      <c r="G649" s="65">
        <v>0</v>
      </c>
      <c r="H649" s="591" t="s">
        <v>280</v>
      </c>
      <c r="I649" s="591" t="s">
        <v>280</v>
      </c>
    </row>
    <row r="650" spans="1:9">
      <c r="A650" s="582" t="s">
        <v>354</v>
      </c>
      <c r="B650" s="65">
        <v>848</v>
      </c>
      <c r="C650" s="579" t="s">
        <v>363</v>
      </c>
      <c r="D650" s="63">
        <v>10116</v>
      </c>
      <c r="E650" s="583"/>
      <c r="F650" s="585">
        <v>45535</v>
      </c>
      <c r="G650" s="65">
        <v>1</v>
      </c>
      <c r="H650" s="591" t="s">
        <v>1977</v>
      </c>
      <c r="I650" s="591" t="s">
        <v>1224</v>
      </c>
    </row>
    <row r="651" spans="1:9">
      <c r="A651" s="582" t="s">
        <v>354</v>
      </c>
      <c r="B651" s="65">
        <v>849</v>
      </c>
      <c r="C651" s="579" t="s">
        <v>281</v>
      </c>
      <c r="D651" s="65"/>
      <c r="E651" s="583"/>
      <c r="F651" s="596"/>
      <c r="G651" s="65">
        <v>0</v>
      </c>
      <c r="H651" s="591" t="s">
        <v>280</v>
      </c>
      <c r="I651" s="591" t="s">
        <v>280</v>
      </c>
    </row>
    <row r="652" spans="1:9">
      <c r="A652" s="582" t="s">
        <v>354</v>
      </c>
      <c r="B652" s="65">
        <v>850</v>
      </c>
      <c r="C652" s="579" t="s">
        <v>281</v>
      </c>
      <c r="D652" s="579"/>
      <c r="E652" s="583"/>
      <c r="F652" s="596"/>
      <c r="G652" s="65">
        <v>0</v>
      </c>
      <c r="H652" s="591" t="s">
        <v>280</v>
      </c>
      <c r="I652" s="591" t="s">
        <v>280</v>
      </c>
    </row>
    <row r="653" spans="1:9">
      <c r="A653" s="582" t="s">
        <v>354</v>
      </c>
      <c r="B653" s="65">
        <v>851</v>
      </c>
      <c r="C653" s="579" t="s">
        <v>281</v>
      </c>
      <c r="D653" s="579"/>
      <c r="E653" s="583"/>
      <c r="F653" s="596"/>
      <c r="G653" s="65">
        <v>0</v>
      </c>
      <c r="H653" s="591" t="s">
        <v>280</v>
      </c>
      <c r="I653" s="591" t="s">
        <v>280</v>
      </c>
    </row>
    <row r="654" spans="1:9">
      <c r="A654" s="582" t="s">
        <v>354</v>
      </c>
      <c r="B654" s="65">
        <v>852</v>
      </c>
      <c r="C654" s="579" t="s">
        <v>281</v>
      </c>
      <c r="D654" s="579"/>
      <c r="E654" s="583"/>
      <c r="F654" s="596"/>
      <c r="G654" s="65">
        <v>0</v>
      </c>
      <c r="H654" s="591" t="s">
        <v>280</v>
      </c>
      <c r="I654" s="591" t="s">
        <v>280</v>
      </c>
    </row>
    <row r="655" spans="1:9">
      <c r="A655" s="582" t="s">
        <v>354</v>
      </c>
      <c r="B655" s="65">
        <v>853</v>
      </c>
      <c r="C655" s="579" t="s">
        <v>366</v>
      </c>
      <c r="D655" s="579">
        <v>10464</v>
      </c>
      <c r="E655" s="583"/>
      <c r="F655" s="585">
        <v>45535</v>
      </c>
      <c r="G655" s="65">
        <v>1</v>
      </c>
      <c r="H655" s="591" t="s">
        <v>1977</v>
      </c>
      <c r="I655" s="591" t="s">
        <v>1224</v>
      </c>
    </row>
    <row r="656" spans="1:9">
      <c r="A656" s="582" t="s">
        <v>354</v>
      </c>
      <c r="B656" s="65">
        <v>854</v>
      </c>
      <c r="C656" s="579" t="s">
        <v>281</v>
      </c>
      <c r="D656" s="63"/>
      <c r="E656" s="583"/>
      <c r="F656" s="596"/>
      <c r="G656" s="65">
        <v>0</v>
      </c>
      <c r="H656" s="591" t="s">
        <v>280</v>
      </c>
      <c r="I656" s="591" t="s">
        <v>280</v>
      </c>
    </row>
    <row r="657" spans="1:9">
      <c r="A657" s="582" t="s">
        <v>354</v>
      </c>
      <c r="B657" s="65">
        <v>855</v>
      </c>
      <c r="C657" s="579" t="s">
        <v>368</v>
      </c>
      <c r="D657" s="579">
        <v>10485</v>
      </c>
      <c r="E657" s="583"/>
      <c r="F657" s="585">
        <v>45535</v>
      </c>
      <c r="G657" s="65">
        <v>1</v>
      </c>
      <c r="H657" s="591" t="s">
        <v>1977</v>
      </c>
      <c r="I657" s="591" t="s">
        <v>1224</v>
      </c>
    </row>
    <row r="658" spans="1:9">
      <c r="A658" s="582" t="s">
        <v>354</v>
      </c>
      <c r="B658" s="65">
        <v>856</v>
      </c>
      <c r="C658" s="579" t="s">
        <v>1941</v>
      </c>
      <c r="D658" s="63">
        <v>10027</v>
      </c>
      <c r="E658" s="583"/>
      <c r="F658" s="585">
        <v>45535</v>
      </c>
      <c r="G658" s="65">
        <v>1</v>
      </c>
      <c r="H658" s="591" t="s">
        <v>1977</v>
      </c>
      <c r="I658" s="591" t="s">
        <v>1224</v>
      </c>
    </row>
    <row r="659" spans="1:9">
      <c r="A659" s="582" t="s">
        <v>354</v>
      </c>
      <c r="B659" s="65">
        <v>857</v>
      </c>
      <c r="C659" s="579" t="s">
        <v>281</v>
      </c>
      <c r="D659" s="579"/>
      <c r="E659" s="583"/>
      <c r="F659" s="596"/>
      <c r="G659" s="65">
        <v>0</v>
      </c>
      <c r="H659" s="591" t="s">
        <v>280</v>
      </c>
      <c r="I659" s="591" t="s">
        <v>280</v>
      </c>
    </row>
    <row r="660" spans="1:9">
      <c r="A660" s="582" t="s">
        <v>354</v>
      </c>
      <c r="B660" s="65">
        <v>858</v>
      </c>
      <c r="C660" s="65" t="s">
        <v>1679</v>
      </c>
      <c r="D660" s="65">
        <v>11018</v>
      </c>
      <c r="E660" s="583"/>
      <c r="F660" s="585">
        <v>45535</v>
      </c>
      <c r="G660" s="65">
        <v>1</v>
      </c>
      <c r="H660" s="591" t="s">
        <v>1977</v>
      </c>
      <c r="I660" s="591" t="s">
        <v>1224</v>
      </c>
    </row>
    <row r="661" spans="1:9">
      <c r="A661" s="582" t="s">
        <v>354</v>
      </c>
      <c r="B661" s="65">
        <v>859</v>
      </c>
      <c r="C661" s="579" t="s">
        <v>281</v>
      </c>
      <c r="D661" s="579"/>
      <c r="E661" s="583"/>
      <c r="F661" s="596"/>
      <c r="G661" s="65">
        <v>0</v>
      </c>
      <c r="H661" s="591" t="s">
        <v>280</v>
      </c>
      <c r="I661" s="591" t="s">
        <v>280</v>
      </c>
    </row>
    <row r="662" spans="1:9">
      <c r="A662" s="582" t="s">
        <v>354</v>
      </c>
      <c r="B662" s="65">
        <v>860</v>
      </c>
      <c r="C662" s="579" t="s">
        <v>281</v>
      </c>
      <c r="D662" s="579"/>
      <c r="E662" s="583"/>
      <c r="F662" s="596"/>
      <c r="G662" s="65">
        <v>0</v>
      </c>
      <c r="H662" s="591" t="s">
        <v>280</v>
      </c>
      <c r="I662" s="591" t="s">
        <v>280</v>
      </c>
    </row>
    <row r="663" spans="1:9">
      <c r="A663" s="582" t="s">
        <v>354</v>
      </c>
      <c r="B663" s="65">
        <v>861</v>
      </c>
      <c r="C663" s="579" t="s">
        <v>281</v>
      </c>
      <c r="D663" s="579"/>
      <c r="E663" s="583"/>
      <c r="F663" s="596"/>
      <c r="G663" s="65">
        <v>0</v>
      </c>
      <c r="H663" s="591" t="s">
        <v>280</v>
      </c>
      <c r="I663" s="591" t="s">
        <v>280</v>
      </c>
    </row>
    <row r="664" spans="1:9">
      <c r="A664" s="582" t="s">
        <v>354</v>
      </c>
      <c r="B664" s="65">
        <v>862</v>
      </c>
      <c r="C664" s="579" t="s">
        <v>281</v>
      </c>
      <c r="D664" s="579"/>
      <c r="E664" s="583"/>
      <c r="F664" s="596"/>
      <c r="G664" s="65">
        <v>0</v>
      </c>
      <c r="H664" s="591" t="s">
        <v>280</v>
      </c>
      <c r="I664" s="591" t="s">
        <v>280</v>
      </c>
    </row>
    <row r="665" spans="1:9">
      <c r="A665" s="582" t="s">
        <v>354</v>
      </c>
      <c r="B665" s="65">
        <v>863</v>
      </c>
      <c r="C665" s="579" t="s">
        <v>281</v>
      </c>
      <c r="D665" s="579"/>
      <c r="E665" s="583"/>
      <c r="F665" s="596"/>
      <c r="G665" s="65">
        <v>0</v>
      </c>
      <c r="H665" s="591" t="s">
        <v>280</v>
      </c>
      <c r="I665" s="591" t="s">
        <v>280</v>
      </c>
    </row>
    <row r="666" spans="1:9">
      <c r="A666" s="582" t="s">
        <v>354</v>
      </c>
      <c r="B666" s="65">
        <v>864</v>
      </c>
      <c r="C666" s="579" t="s">
        <v>281</v>
      </c>
      <c r="D666" s="579"/>
      <c r="E666" s="583"/>
      <c r="F666" s="596"/>
      <c r="G666" s="65">
        <v>0</v>
      </c>
      <c r="H666" s="591" t="s">
        <v>280</v>
      </c>
      <c r="I666" s="591" t="s">
        <v>280</v>
      </c>
    </row>
    <row r="667" spans="1:9">
      <c r="A667" s="582" t="s">
        <v>354</v>
      </c>
      <c r="B667" s="65">
        <v>865</v>
      </c>
      <c r="C667" s="579" t="s">
        <v>281</v>
      </c>
      <c r="D667" s="579"/>
      <c r="E667" s="583"/>
      <c r="F667" s="596"/>
      <c r="G667" s="65">
        <v>0</v>
      </c>
      <c r="H667" s="591" t="s">
        <v>280</v>
      </c>
      <c r="I667" s="591" t="s">
        <v>280</v>
      </c>
    </row>
    <row r="668" spans="1:9">
      <c r="A668" s="582" t="s">
        <v>354</v>
      </c>
      <c r="B668" s="65">
        <v>866</v>
      </c>
      <c r="C668" s="579" t="s">
        <v>281</v>
      </c>
      <c r="D668" s="579"/>
      <c r="E668" s="583"/>
      <c r="F668" s="596"/>
      <c r="G668" s="65">
        <v>0</v>
      </c>
      <c r="H668" s="591" t="s">
        <v>280</v>
      </c>
      <c r="I668" s="591" t="s">
        <v>280</v>
      </c>
    </row>
    <row r="669" spans="1:9">
      <c r="A669" s="582" t="s">
        <v>354</v>
      </c>
      <c r="B669" s="65">
        <v>867</v>
      </c>
      <c r="C669" s="579" t="s">
        <v>281</v>
      </c>
      <c r="D669" s="579"/>
      <c r="E669" s="583"/>
      <c r="F669" s="596"/>
      <c r="G669" s="65">
        <v>0</v>
      </c>
      <c r="H669" s="591" t="s">
        <v>280</v>
      </c>
      <c r="I669" s="591" t="s">
        <v>280</v>
      </c>
    </row>
    <row r="670" spans="1:9">
      <c r="A670" s="582" t="s">
        <v>354</v>
      </c>
      <c r="B670" s="65">
        <v>868</v>
      </c>
      <c r="C670" s="579" t="s">
        <v>281</v>
      </c>
      <c r="D670" s="579"/>
      <c r="E670" s="583"/>
      <c r="F670" s="596"/>
      <c r="G670" s="65">
        <v>0</v>
      </c>
      <c r="H670" s="591" t="s">
        <v>280</v>
      </c>
      <c r="I670" s="591" t="s">
        <v>280</v>
      </c>
    </row>
    <row r="671" spans="1:9">
      <c r="A671" s="582" t="s">
        <v>354</v>
      </c>
      <c r="B671" s="65">
        <v>869</v>
      </c>
      <c r="C671" s="579" t="s">
        <v>281</v>
      </c>
      <c r="D671" s="579"/>
      <c r="E671" s="583"/>
      <c r="F671" s="596"/>
      <c r="G671" s="65">
        <v>0</v>
      </c>
      <c r="H671" s="591" t="s">
        <v>280</v>
      </c>
      <c r="I671" s="591" t="s">
        <v>280</v>
      </c>
    </row>
    <row r="672" spans="1:9">
      <c r="A672" s="582" t="s">
        <v>354</v>
      </c>
      <c r="B672" s="65">
        <v>870</v>
      </c>
      <c r="C672" s="579" t="s">
        <v>281</v>
      </c>
      <c r="D672" s="579"/>
      <c r="E672" s="583"/>
      <c r="F672" s="596"/>
      <c r="G672" s="65">
        <v>0</v>
      </c>
      <c r="H672" s="591" t="s">
        <v>280</v>
      </c>
      <c r="I672" s="591" t="s">
        <v>280</v>
      </c>
    </row>
    <row r="673" spans="1:9">
      <c r="A673" s="582" t="s">
        <v>354</v>
      </c>
      <c r="B673" s="65">
        <v>871</v>
      </c>
      <c r="C673" s="579" t="s">
        <v>281</v>
      </c>
      <c r="D673" s="579"/>
      <c r="E673" s="583"/>
      <c r="F673" s="596"/>
      <c r="G673" s="65">
        <v>0</v>
      </c>
      <c r="H673" s="591" t="s">
        <v>280</v>
      </c>
      <c r="I673" s="591" t="s">
        <v>280</v>
      </c>
    </row>
    <row r="674" spans="1:9">
      <c r="A674" s="582" t="s">
        <v>354</v>
      </c>
      <c r="B674" s="65">
        <v>872</v>
      </c>
      <c r="C674" s="579" t="s">
        <v>281</v>
      </c>
      <c r="D674" s="579"/>
      <c r="E674" s="583"/>
      <c r="F674" s="596"/>
      <c r="G674" s="65">
        <v>0</v>
      </c>
      <c r="H674" s="591" t="s">
        <v>280</v>
      </c>
      <c r="I674" s="591" t="s">
        <v>280</v>
      </c>
    </row>
    <row r="675" spans="1:9">
      <c r="A675" s="582" t="s">
        <v>354</v>
      </c>
      <c r="B675" s="65">
        <v>873</v>
      </c>
      <c r="C675" s="579" t="s">
        <v>281</v>
      </c>
      <c r="D675" s="579"/>
      <c r="E675" s="583"/>
      <c r="F675" s="596"/>
      <c r="G675" s="65">
        <v>0</v>
      </c>
      <c r="H675" s="591" t="s">
        <v>280</v>
      </c>
      <c r="I675" s="591" t="s">
        <v>280</v>
      </c>
    </row>
    <row r="676" spans="1:9">
      <c r="A676" s="582" t="s">
        <v>354</v>
      </c>
      <c r="B676" s="65">
        <v>874</v>
      </c>
      <c r="C676" s="579" t="s">
        <v>281</v>
      </c>
      <c r="D676" s="579"/>
      <c r="E676" s="583"/>
      <c r="F676" s="596"/>
      <c r="G676" s="65">
        <v>0</v>
      </c>
      <c r="H676" s="591" t="s">
        <v>280</v>
      </c>
      <c r="I676" s="591" t="s">
        <v>280</v>
      </c>
    </row>
    <row r="677" spans="1:9">
      <c r="A677" s="582" t="s">
        <v>354</v>
      </c>
      <c r="B677" s="65">
        <v>875</v>
      </c>
      <c r="C677" s="579" t="s">
        <v>281</v>
      </c>
      <c r="D677" s="579"/>
      <c r="E677" s="583"/>
      <c r="F677" s="596"/>
      <c r="G677" s="65">
        <v>0</v>
      </c>
      <c r="H677" s="591" t="s">
        <v>280</v>
      </c>
      <c r="I677" s="591" t="s">
        <v>280</v>
      </c>
    </row>
    <row r="678" spans="1:9">
      <c r="A678" s="582" t="s">
        <v>354</v>
      </c>
      <c r="B678" s="65">
        <v>876</v>
      </c>
      <c r="C678" s="579" t="s">
        <v>281</v>
      </c>
      <c r="D678" s="579"/>
      <c r="E678" s="583"/>
      <c r="F678" s="596"/>
      <c r="G678" s="65">
        <v>0</v>
      </c>
      <c r="H678" s="591" t="s">
        <v>280</v>
      </c>
      <c r="I678" s="591" t="s">
        <v>280</v>
      </c>
    </row>
    <row r="679" spans="1:9">
      <c r="A679" s="582" t="s">
        <v>354</v>
      </c>
      <c r="B679" s="65">
        <v>877</v>
      </c>
      <c r="C679" s="579" t="s">
        <v>281</v>
      </c>
      <c r="D679" s="579"/>
      <c r="E679" s="583"/>
      <c r="F679" s="596"/>
      <c r="G679" s="65">
        <v>0</v>
      </c>
      <c r="H679" s="591" t="s">
        <v>280</v>
      </c>
      <c r="I679" s="591" t="s">
        <v>280</v>
      </c>
    </row>
    <row r="680" spans="1:9">
      <c r="A680" s="582" t="s">
        <v>354</v>
      </c>
      <c r="B680" s="65">
        <v>878</v>
      </c>
      <c r="C680" s="579" t="s">
        <v>281</v>
      </c>
      <c r="D680" s="579"/>
      <c r="E680" s="583"/>
      <c r="F680" s="596"/>
      <c r="G680" s="65">
        <v>0</v>
      </c>
      <c r="H680" s="591" t="s">
        <v>280</v>
      </c>
      <c r="I680" s="591" t="s">
        <v>280</v>
      </c>
    </row>
    <row r="681" spans="1:9">
      <c r="A681" s="582" t="s">
        <v>354</v>
      </c>
      <c r="B681" s="65">
        <v>879</v>
      </c>
      <c r="C681" s="579" t="s">
        <v>281</v>
      </c>
      <c r="D681" s="579"/>
      <c r="E681" s="583"/>
      <c r="F681" s="596"/>
      <c r="G681" s="65">
        <v>0</v>
      </c>
      <c r="H681" s="591" t="s">
        <v>280</v>
      </c>
      <c r="I681" s="591" t="s">
        <v>280</v>
      </c>
    </row>
    <row r="682" spans="1:9">
      <c r="A682" s="582" t="s">
        <v>354</v>
      </c>
      <c r="B682" s="65">
        <v>880</v>
      </c>
      <c r="C682" s="579" t="s">
        <v>281</v>
      </c>
      <c r="D682" s="579"/>
      <c r="E682" s="583"/>
      <c r="F682" s="596"/>
      <c r="G682" s="65">
        <v>0</v>
      </c>
      <c r="H682" s="591" t="s">
        <v>280</v>
      </c>
      <c r="I682" s="591" t="s">
        <v>280</v>
      </c>
    </row>
    <row r="683" spans="1:9">
      <c r="A683" s="582" t="s">
        <v>354</v>
      </c>
      <c r="B683" s="65">
        <v>881</v>
      </c>
      <c r="C683" s="579" t="s">
        <v>281</v>
      </c>
      <c r="D683" s="579"/>
      <c r="E683" s="583"/>
      <c r="F683" s="596"/>
      <c r="G683" s="65">
        <v>0</v>
      </c>
      <c r="H683" s="591" t="s">
        <v>280</v>
      </c>
      <c r="I683" s="591" t="s">
        <v>280</v>
      </c>
    </row>
    <row r="684" spans="1:9">
      <c r="A684" s="582" t="s">
        <v>354</v>
      </c>
      <c r="B684" s="65">
        <v>882</v>
      </c>
      <c r="C684" s="579" t="s">
        <v>281</v>
      </c>
      <c r="D684" s="579"/>
      <c r="E684" s="583"/>
      <c r="F684" s="596"/>
      <c r="G684" s="65">
        <v>0</v>
      </c>
      <c r="H684" s="591" t="s">
        <v>280</v>
      </c>
      <c r="I684" s="591" t="s">
        <v>280</v>
      </c>
    </row>
    <row r="685" spans="1:9">
      <c r="A685" s="582" t="s">
        <v>354</v>
      </c>
      <c r="B685" s="65">
        <v>883</v>
      </c>
      <c r="C685" s="579" t="s">
        <v>281</v>
      </c>
      <c r="D685" s="579"/>
      <c r="E685" s="583"/>
      <c r="F685" s="596"/>
      <c r="G685" s="65">
        <v>0</v>
      </c>
      <c r="H685" s="591" t="s">
        <v>280</v>
      </c>
      <c r="I685" s="591" t="s">
        <v>280</v>
      </c>
    </row>
    <row r="686" spans="1:9">
      <c r="A686" s="582" t="s">
        <v>354</v>
      </c>
      <c r="B686" s="65">
        <v>884</v>
      </c>
      <c r="C686" s="579" t="s">
        <v>281</v>
      </c>
      <c r="D686" s="579"/>
      <c r="E686" s="583"/>
      <c r="F686" s="596"/>
      <c r="G686" s="65">
        <v>0</v>
      </c>
      <c r="H686" s="591" t="s">
        <v>280</v>
      </c>
      <c r="I686" s="591" t="s">
        <v>280</v>
      </c>
    </row>
    <row r="687" spans="1:9">
      <c r="A687" s="582" t="s">
        <v>354</v>
      </c>
      <c r="B687" s="65">
        <v>885</v>
      </c>
      <c r="C687" s="579" t="s">
        <v>281</v>
      </c>
      <c r="D687" s="579"/>
      <c r="E687" s="583"/>
      <c r="F687" s="596"/>
      <c r="G687" s="65">
        <v>0</v>
      </c>
      <c r="H687" s="591" t="s">
        <v>280</v>
      </c>
      <c r="I687" s="591" t="s">
        <v>280</v>
      </c>
    </row>
    <row r="688" spans="1:9">
      <c r="A688" s="582" t="s">
        <v>354</v>
      </c>
      <c r="B688" s="65">
        <v>886</v>
      </c>
      <c r="C688" s="579" t="s">
        <v>281</v>
      </c>
      <c r="D688" s="579"/>
      <c r="E688" s="583"/>
      <c r="F688" s="596"/>
      <c r="G688" s="65">
        <v>0</v>
      </c>
      <c r="H688" s="591" t="s">
        <v>280</v>
      </c>
      <c r="I688" s="591" t="s">
        <v>280</v>
      </c>
    </row>
    <row r="689" spans="1:9">
      <c r="A689" s="582" t="s">
        <v>354</v>
      </c>
      <c r="B689" s="65">
        <v>887</v>
      </c>
      <c r="C689" s="579" t="s">
        <v>281</v>
      </c>
      <c r="D689" s="579"/>
      <c r="E689" s="583"/>
      <c r="F689" s="596"/>
      <c r="G689" s="65">
        <v>0</v>
      </c>
      <c r="H689" s="591" t="s">
        <v>280</v>
      </c>
      <c r="I689" s="591" t="s">
        <v>280</v>
      </c>
    </row>
    <row r="690" spans="1:9">
      <c r="A690" s="582" t="s">
        <v>354</v>
      </c>
      <c r="B690" s="65">
        <v>888</v>
      </c>
      <c r="C690" s="579" t="s">
        <v>281</v>
      </c>
      <c r="D690" s="579"/>
      <c r="E690" s="583"/>
      <c r="F690" s="596"/>
      <c r="G690" s="65">
        <v>0</v>
      </c>
      <c r="H690" s="591" t="s">
        <v>280</v>
      </c>
      <c r="I690" s="591" t="s">
        <v>280</v>
      </c>
    </row>
    <row r="691" spans="1:9">
      <c r="A691" s="582" t="s">
        <v>354</v>
      </c>
      <c r="B691" s="65">
        <v>889</v>
      </c>
      <c r="C691" s="579" t="s">
        <v>281</v>
      </c>
      <c r="D691" s="579"/>
      <c r="E691" s="583"/>
      <c r="F691" s="596"/>
      <c r="G691" s="65">
        <v>0</v>
      </c>
      <c r="H691" s="591" t="s">
        <v>280</v>
      </c>
      <c r="I691" s="591" t="s">
        <v>280</v>
      </c>
    </row>
    <row r="692" spans="1:9">
      <c r="A692" s="582" t="s">
        <v>354</v>
      </c>
      <c r="B692" s="65">
        <v>890</v>
      </c>
      <c r="C692" s="579" t="s">
        <v>281</v>
      </c>
      <c r="D692" s="579"/>
      <c r="E692" s="583"/>
      <c r="F692" s="596"/>
      <c r="G692" s="65">
        <v>0</v>
      </c>
      <c r="H692" s="591" t="s">
        <v>280</v>
      </c>
      <c r="I692" s="591" t="s">
        <v>280</v>
      </c>
    </row>
    <row r="693" spans="1:9">
      <c r="A693" s="582" t="s">
        <v>354</v>
      </c>
      <c r="B693" s="65">
        <v>891</v>
      </c>
      <c r="C693" s="579" t="s">
        <v>281</v>
      </c>
      <c r="D693" s="579"/>
      <c r="E693" s="583"/>
      <c r="F693" s="596"/>
      <c r="G693" s="65">
        <v>0</v>
      </c>
      <c r="H693" s="591" t="s">
        <v>280</v>
      </c>
      <c r="I693" s="591" t="s">
        <v>280</v>
      </c>
    </row>
    <row r="694" spans="1:9">
      <c r="A694" s="582" t="s">
        <v>354</v>
      </c>
      <c r="B694" s="65">
        <v>892</v>
      </c>
      <c r="C694" s="579" t="s">
        <v>281</v>
      </c>
      <c r="D694" s="579"/>
      <c r="E694" s="583"/>
      <c r="F694" s="596"/>
      <c r="G694" s="65">
        <v>0</v>
      </c>
      <c r="H694" s="591" t="s">
        <v>280</v>
      </c>
      <c r="I694" s="591" t="s">
        <v>280</v>
      </c>
    </row>
    <row r="695" spans="1:9">
      <c r="A695" s="582" t="s">
        <v>354</v>
      </c>
      <c r="B695" s="65">
        <v>893</v>
      </c>
      <c r="C695" s="579" t="s">
        <v>281</v>
      </c>
      <c r="D695" s="579"/>
      <c r="E695" s="583"/>
      <c r="F695" s="596"/>
      <c r="G695" s="65">
        <v>0</v>
      </c>
      <c r="H695" s="591" t="s">
        <v>280</v>
      </c>
      <c r="I695" s="591" t="s">
        <v>280</v>
      </c>
    </row>
    <row r="696" spans="1:9">
      <c r="A696" s="582" t="s">
        <v>354</v>
      </c>
      <c r="B696" s="65">
        <v>894</v>
      </c>
      <c r="C696" s="579" t="s">
        <v>281</v>
      </c>
      <c r="D696" s="579"/>
      <c r="E696" s="583"/>
      <c r="F696" s="596"/>
      <c r="G696" s="65">
        <v>0</v>
      </c>
      <c r="H696" s="591" t="s">
        <v>280</v>
      </c>
      <c r="I696" s="591" t="s">
        <v>280</v>
      </c>
    </row>
    <row r="697" spans="1:9">
      <c r="A697" s="582" t="s">
        <v>354</v>
      </c>
      <c r="B697" s="65">
        <v>895</v>
      </c>
      <c r="C697" s="579" t="s">
        <v>281</v>
      </c>
      <c r="D697" s="579"/>
      <c r="E697" s="583"/>
      <c r="F697" s="596"/>
      <c r="G697" s="65">
        <v>0</v>
      </c>
      <c r="H697" s="591" t="s">
        <v>280</v>
      </c>
      <c r="I697" s="591" t="s">
        <v>280</v>
      </c>
    </row>
    <row r="698" spans="1:9">
      <c r="A698" s="582" t="s">
        <v>354</v>
      </c>
      <c r="B698" s="65">
        <v>896</v>
      </c>
      <c r="C698" s="579" t="s">
        <v>281</v>
      </c>
      <c r="D698" s="579"/>
      <c r="E698" s="583"/>
      <c r="F698" s="596"/>
      <c r="G698" s="65">
        <v>0</v>
      </c>
      <c r="H698" s="591" t="s">
        <v>280</v>
      </c>
      <c r="I698" s="591" t="s">
        <v>280</v>
      </c>
    </row>
    <row r="699" spans="1:9">
      <c r="A699" s="582" t="s">
        <v>354</v>
      </c>
      <c r="B699" s="65">
        <v>897</v>
      </c>
      <c r="C699" s="579" t="s">
        <v>281</v>
      </c>
      <c r="D699" s="579"/>
      <c r="E699" s="583"/>
      <c r="F699" s="596"/>
      <c r="G699" s="65">
        <v>0</v>
      </c>
      <c r="H699" s="591" t="s">
        <v>280</v>
      </c>
      <c r="I699" s="591" t="s">
        <v>280</v>
      </c>
    </row>
    <row r="700" spans="1:9">
      <c r="A700" s="582" t="s">
        <v>354</v>
      </c>
      <c r="B700" s="65">
        <v>898</v>
      </c>
      <c r="C700" s="579" t="s">
        <v>281</v>
      </c>
      <c r="D700" s="579"/>
      <c r="E700" s="583"/>
      <c r="F700" s="596"/>
      <c r="G700" s="65">
        <v>0</v>
      </c>
      <c r="H700" s="591" t="s">
        <v>280</v>
      </c>
      <c r="I700" s="591" t="s">
        <v>280</v>
      </c>
    </row>
    <row r="701" spans="1:9">
      <c r="A701" s="582" t="s">
        <v>354</v>
      </c>
      <c r="B701" s="65">
        <v>899</v>
      </c>
      <c r="C701" s="579" t="s">
        <v>281</v>
      </c>
      <c r="D701" s="579"/>
      <c r="E701" s="583"/>
      <c r="F701" s="596"/>
      <c r="G701" s="65">
        <v>0</v>
      </c>
      <c r="H701" s="591" t="s">
        <v>280</v>
      </c>
      <c r="I701" s="591" t="s">
        <v>280</v>
      </c>
    </row>
    <row r="702" spans="1:9">
      <c r="A702" s="582" t="s">
        <v>370</v>
      </c>
      <c r="B702" s="65">
        <v>900</v>
      </c>
      <c r="C702" s="579" t="s">
        <v>279</v>
      </c>
      <c r="D702" s="579"/>
      <c r="E702" s="583"/>
      <c r="F702" s="585">
        <v>45535</v>
      </c>
      <c r="G702" s="65">
        <v>1</v>
      </c>
      <c r="H702" s="591" t="s">
        <v>280</v>
      </c>
      <c r="I702" s="591" t="s">
        <v>280</v>
      </c>
    </row>
    <row r="703" spans="1:9">
      <c r="A703" s="582" t="s">
        <v>370</v>
      </c>
      <c r="B703" s="65">
        <v>901</v>
      </c>
      <c r="C703" s="579" t="s">
        <v>281</v>
      </c>
      <c r="D703" s="63"/>
      <c r="E703" s="583"/>
      <c r="F703" s="596"/>
      <c r="G703" s="65">
        <v>0</v>
      </c>
      <c r="H703" s="591" t="s">
        <v>280</v>
      </c>
      <c r="I703" s="591" t="s">
        <v>280</v>
      </c>
    </row>
    <row r="704" spans="1:9">
      <c r="A704" s="582" t="s">
        <v>370</v>
      </c>
      <c r="B704" s="65">
        <v>902</v>
      </c>
      <c r="C704" s="579" t="s">
        <v>281</v>
      </c>
      <c r="D704" s="579"/>
      <c r="E704" s="583"/>
      <c r="F704" s="596"/>
      <c r="G704" s="65">
        <v>0</v>
      </c>
      <c r="H704" s="591" t="s">
        <v>280</v>
      </c>
      <c r="I704" s="591" t="s">
        <v>280</v>
      </c>
    </row>
    <row r="705" spans="1:9">
      <c r="A705" s="582" t="s">
        <v>370</v>
      </c>
      <c r="B705" s="65">
        <v>903</v>
      </c>
      <c r="C705" s="579" t="s">
        <v>371</v>
      </c>
      <c r="D705" s="579">
        <v>10118</v>
      </c>
      <c r="E705" s="583"/>
      <c r="F705" s="585">
        <v>45535</v>
      </c>
      <c r="G705" s="65">
        <v>1</v>
      </c>
      <c r="H705" s="591" t="s">
        <v>1976</v>
      </c>
      <c r="I705" s="591" t="s">
        <v>102</v>
      </c>
    </row>
    <row r="706" spans="1:9">
      <c r="A706" s="582" t="s">
        <v>370</v>
      </c>
      <c r="B706" s="65">
        <v>904</v>
      </c>
      <c r="C706" s="579" t="s">
        <v>372</v>
      </c>
      <c r="D706" s="63">
        <v>10197</v>
      </c>
      <c r="E706" s="583"/>
      <c r="F706" s="585">
        <v>45535</v>
      </c>
      <c r="G706" s="65">
        <v>1</v>
      </c>
      <c r="H706" s="591" t="s">
        <v>1976</v>
      </c>
      <c r="I706" s="591" t="s">
        <v>102</v>
      </c>
    </row>
    <row r="707" spans="1:9">
      <c r="A707" s="582" t="s">
        <v>370</v>
      </c>
      <c r="B707" s="65">
        <v>905</v>
      </c>
      <c r="C707" s="579" t="s">
        <v>373</v>
      </c>
      <c r="D707" s="63">
        <v>10386</v>
      </c>
      <c r="E707" s="583"/>
      <c r="F707" s="585">
        <v>45535</v>
      </c>
      <c r="G707" s="65">
        <v>1</v>
      </c>
      <c r="H707" s="591" t="s">
        <v>1976</v>
      </c>
      <c r="I707" s="591" t="s">
        <v>102</v>
      </c>
    </row>
    <row r="708" spans="1:9">
      <c r="A708" s="582" t="s">
        <v>370</v>
      </c>
      <c r="B708" s="65">
        <v>906</v>
      </c>
      <c r="C708" s="579" t="s">
        <v>281</v>
      </c>
      <c r="D708" s="65"/>
      <c r="E708" s="583"/>
      <c r="F708" s="596"/>
      <c r="G708" s="65">
        <v>0</v>
      </c>
      <c r="H708" s="591" t="s">
        <v>280</v>
      </c>
      <c r="I708" s="591" t="s">
        <v>280</v>
      </c>
    </row>
    <row r="709" spans="1:9">
      <c r="A709" s="582" t="s">
        <v>370</v>
      </c>
      <c r="B709" s="65">
        <v>907</v>
      </c>
      <c r="C709" s="579" t="s">
        <v>1960</v>
      </c>
      <c r="D709" s="63">
        <v>10486</v>
      </c>
      <c r="E709" s="583"/>
      <c r="F709" s="585">
        <v>45577</v>
      </c>
      <c r="G709" s="65">
        <v>1</v>
      </c>
      <c r="H709" s="591" t="s">
        <v>280</v>
      </c>
      <c r="I709" s="591" t="s">
        <v>280</v>
      </c>
    </row>
    <row r="710" spans="1:9">
      <c r="A710" s="582" t="s">
        <v>370</v>
      </c>
      <c r="B710" s="65">
        <v>908</v>
      </c>
      <c r="C710" s="579" t="s">
        <v>281</v>
      </c>
      <c r="D710" s="65"/>
      <c r="E710" s="583"/>
      <c r="F710" s="596"/>
      <c r="G710" s="65">
        <v>0</v>
      </c>
      <c r="H710" s="591" t="s">
        <v>280</v>
      </c>
      <c r="I710" s="591" t="s">
        <v>280</v>
      </c>
    </row>
    <row r="711" spans="1:9">
      <c r="A711" s="582" t="s">
        <v>370</v>
      </c>
      <c r="B711" s="65">
        <v>909</v>
      </c>
      <c r="C711" s="579" t="s">
        <v>374</v>
      </c>
      <c r="D711" s="579">
        <v>10617</v>
      </c>
      <c r="E711" s="583"/>
      <c r="F711" s="585">
        <v>45535</v>
      </c>
      <c r="G711" s="65">
        <v>1</v>
      </c>
      <c r="H711" s="591" t="s">
        <v>1976</v>
      </c>
      <c r="I711" s="591" t="s">
        <v>102</v>
      </c>
    </row>
    <row r="712" spans="1:9">
      <c r="A712" s="582" t="s">
        <v>370</v>
      </c>
      <c r="B712" s="65">
        <v>910</v>
      </c>
      <c r="C712" s="579" t="s">
        <v>281</v>
      </c>
      <c r="D712" s="579"/>
      <c r="E712" s="583"/>
      <c r="F712" s="596"/>
      <c r="G712" s="65">
        <v>0</v>
      </c>
      <c r="H712" s="591" t="s">
        <v>280</v>
      </c>
      <c r="I712" s="591" t="s">
        <v>280</v>
      </c>
    </row>
    <row r="713" spans="1:9">
      <c r="A713" s="582" t="s">
        <v>370</v>
      </c>
      <c r="B713" s="65">
        <v>911</v>
      </c>
      <c r="C713" s="579" t="s">
        <v>281</v>
      </c>
      <c r="D713" s="579"/>
      <c r="E713" s="583"/>
      <c r="F713" s="596"/>
      <c r="G713" s="65">
        <v>0</v>
      </c>
      <c r="H713" s="591" t="s">
        <v>280</v>
      </c>
      <c r="I713" s="591" t="s">
        <v>280</v>
      </c>
    </row>
    <row r="714" spans="1:9">
      <c r="A714" s="582" t="s">
        <v>370</v>
      </c>
      <c r="B714" s="65">
        <v>912</v>
      </c>
      <c r="C714" s="579" t="s">
        <v>375</v>
      </c>
      <c r="D714" s="63">
        <v>10113</v>
      </c>
      <c r="E714" s="583"/>
      <c r="F714" s="585">
        <v>45535</v>
      </c>
      <c r="G714" s="65">
        <v>1</v>
      </c>
      <c r="H714" s="591" t="s">
        <v>1976</v>
      </c>
      <c r="I714" s="591" t="s">
        <v>102</v>
      </c>
    </row>
    <row r="715" spans="1:9" ht="12.75">
      <c r="A715" s="582" t="s">
        <v>370</v>
      </c>
      <c r="B715" s="65">
        <v>913</v>
      </c>
      <c r="C715" s="579" t="s">
        <v>281</v>
      </c>
      <c r="D715" s="579"/>
      <c r="E715" s="582"/>
      <c r="F715" s="596"/>
      <c r="G715" s="65">
        <v>0</v>
      </c>
      <c r="H715" s="591" t="s">
        <v>280</v>
      </c>
      <c r="I715" s="591" t="s">
        <v>280</v>
      </c>
    </row>
    <row r="716" spans="1:9">
      <c r="A716" s="582" t="s">
        <v>370</v>
      </c>
      <c r="B716" s="65">
        <v>914</v>
      </c>
      <c r="C716" s="579" t="s">
        <v>376</v>
      </c>
      <c r="D716" s="579">
        <v>10593</v>
      </c>
      <c r="E716" s="583"/>
      <c r="F716" s="585">
        <v>45535</v>
      </c>
      <c r="G716" s="65">
        <v>1</v>
      </c>
      <c r="H716" s="591" t="s">
        <v>1976</v>
      </c>
      <c r="I716" s="591" t="s">
        <v>102</v>
      </c>
    </row>
    <row r="717" spans="1:9">
      <c r="A717" s="580" t="s">
        <v>370</v>
      </c>
      <c r="B717" s="65">
        <v>915</v>
      </c>
      <c r="C717" s="65" t="s">
        <v>281</v>
      </c>
      <c r="D717" s="65"/>
      <c r="E717" s="583"/>
      <c r="F717" s="596"/>
      <c r="G717" s="65">
        <v>0</v>
      </c>
      <c r="H717" s="591" t="s">
        <v>280</v>
      </c>
      <c r="I717" s="591" t="s">
        <v>280</v>
      </c>
    </row>
    <row r="718" spans="1:9">
      <c r="A718" s="580" t="s">
        <v>370</v>
      </c>
      <c r="B718" s="65">
        <v>916</v>
      </c>
      <c r="C718" s="65" t="s">
        <v>281</v>
      </c>
      <c r="D718" s="65"/>
      <c r="E718" s="583"/>
      <c r="F718" s="596"/>
      <c r="G718" s="65">
        <v>0</v>
      </c>
      <c r="H718" s="591" t="s">
        <v>280</v>
      </c>
      <c r="I718" s="591" t="s">
        <v>280</v>
      </c>
    </row>
    <row r="719" spans="1:9">
      <c r="A719" s="582" t="s">
        <v>370</v>
      </c>
      <c r="B719" s="65">
        <v>917</v>
      </c>
      <c r="C719" s="65" t="s">
        <v>1680</v>
      </c>
      <c r="D719" s="65">
        <v>10862</v>
      </c>
      <c r="E719" s="583"/>
      <c r="F719" s="585">
        <v>45535</v>
      </c>
      <c r="G719" s="65">
        <v>1</v>
      </c>
      <c r="H719" s="591" t="s">
        <v>1976</v>
      </c>
      <c r="I719" s="591" t="s">
        <v>102</v>
      </c>
    </row>
    <row r="720" spans="1:9">
      <c r="A720" s="582" t="s">
        <v>370</v>
      </c>
      <c r="B720" s="65">
        <v>918</v>
      </c>
      <c r="C720" s="65" t="s">
        <v>1681</v>
      </c>
      <c r="D720" s="65">
        <v>10957</v>
      </c>
      <c r="E720" s="583"/>
      <c r="F720" s="585">
        <v>45535</v>
      </c>
      <c r="G720" s="65">
        <v>1</v>
      </c>
      <c r="H720" s="591" t="s">
        <v>1976</v>
      </c>
      <c r="I720" s="591" t="s">
        <v>102</v>
      </c>
    </row>
    <row r="721" spans="1:9">
      <c r="A721" s="582" t="s">
        <v>370</v>
      </c>
      <c r="B721" s="65">
        <v>919</v>
      </c>
      <c r="C721" s="65" t="s">
        <v>1682</v>
      </c>
      <c r="D721" s="65">
        <v>10958</v>
      </c>
      <c r="E721" s="583"/>
      <c r="F721" s="585">
        <v>45535</v>
      </c>
      <c r="G721" s="65">
        <v>1</v>
      </c>
      <c r="H721" s="591" t="s">
        <v>1976</v>
      </c>
      <c r="I721" s="591" t="s">
        <v>102</v>
      </c>
    </row>
    <row r="722" spans="1:9">
      <c r="A722" s="582" t="s">
        <v>370</v>
      </c>
      <c r="B722" s="65">
        <v>920</v>
      </c>
      <c r="C722" s="579" t="s">
        <v>281</v>
      </c>
      <c r="D722" s="579"/>
      <c r="E722" s="583"/>
      <c r="F722" s="596"/>
      <c r="G722" s="65">
        <v>0</v>
      </c>
      <c r="H722" s="591" t="s">
        <v>280</v>
      </c>
      <c r="I722" s="591" t="s">
        <v>280</v>
      </c>
    </row>
    <row r="723" spans="1:9">
      <c r="A723" s="582" t="s">
        <v>370</v>
      </c>
      <c r="B723" s="65">
        <v>921</v>
      </c>
      <c r="C723" s="579" t="s">
        <v>281</v>
      </c>
      <c r="D723" s="579"/>
      <c r="E723" s="583"/>
      <c r="F723" s="596"/>
      <c r="G723" s="65">
        <v>0</v>
      </c>
      <c r="H723" s="591" t="s">
        <v>280</v>
      </c>
      <c r="I723" s="591" t="s">
        <v>280</v>
      </c>
    </row>
    <row r="724" spans="1:9">
      <c r="A724" s="582" t="s">
        <v>370</v>
      </c>
      <c r="B724" s="65">
        <v>922</v>
      </c>
      <c r="C724" s="579" t="s">
        <v>281</v>
      </c>
      <c r="D724" s="579"/>
      <c r="E724" s="583"/>
      <c r="F724" s="596"/>
      <c r="G724" s="65">
        <v>0</v>
      </c>
      <c r="H724" s="591" t="s">
        <v>280</v>
      </c>
      <c r="I724" s="591" t="s">
        <v>280</v>
      </c>
    </row>
    <row r="725" spans="1:9">
      <c r="A725" s="582" t="s">
        <v>370</v>
      </c>
      <c r="B725" s="65">
        <v>923</v>
      </c>
      <c r="C725" s="579" t="s">
        <v>281</v>
      </c>
      <c r="D725" s="579"/>
      <c r="E725" s="583"/>
      <c r="F725" s="596"/>
      <c r="G725" s="65">
        <v>0</v>
      </c>
      <c r="H725" s="591" t="s">
        <v>280</v>
      </c>
      <c r="I725" s="591" t="s">
        <v>280</v>
      </c>
    </row>
    <row r="726" spans="1:9">
      <c r="A726" s="582" t="s">
        <v>370</v>
      </c>
      <c r="B726" s="65">
        <v>924</v>
      </c>
      <c r="C726" s="579" t="s">
        <v>281</v>
      </c>
      <c r="D726" s="579"/>
      <c r="E726" s="583"/>
      <c r="F726" s="596"/>
      <c r="G726" s="65">
        <v>0</v>
      </c>
      <c r="H726" s="591" t="s">
        <v>280</v>
      </c>
      <c r="I726" s="591" t="s">
        <v>280</v>
      </c>
    </row>
    <row r="727" spans="1:9">
      <c r="A727" s="582" t="s">
        <v>370</v>
      </c>
      <c r="B727" s="65">
        <v>925</v>
      </c>
      <c r="C727" s="579" t="s">
        <v>281</v>
      </c>
      <c r="D727" s="579"/>
      <c r="E727" s="583"/>
      <c r="F727" s="596"/>
      <c r="G727" s="65">
        <v>0</v>
      </c>
      <c r="H727" s="591" t="s">
        <v>280</v>
      </c>
      <c r="I727" s="591" t="s">
        <v>280</v>
      </c>
    </row>
    <row r="728" spans="1:9">
      <c r="A728" s="582" t="s">
        <v>370</v>
      </c>
      <c r="B728" s="65">
        <v>926</v>
      </c>
      <c r="C728" s="579" t="s">
        <v>281</v>
      </c>
      <c r="D728" s="579"/>
      <c r="E728" s="583"/>
      <c r="F728" s="596"/>
      <c r="G728" s="65">
        <v>0</v>
      </c>
      <c r="H728" s="591" t="s">
        <v>280</v>
      </c>
      <c r="I728" s="591" t="s">
        <v>280</v>
      </c>
    </row>
    <row r="729" spans="1:9">
      <c r="A729" s="582" t="s">
        <v>370</v>
      </c>
      <c r="B729" s="65">
        <v>927</v>
      </c>
      <c r="C729" s="579" t="s">
        <v>281</v>
      </c>
      <c r="D729" s="579"/>
      <c r="E729" s="583"/>
      <c r="F729" s="596"/>
      <c r="G729" s="65">
        <v>0</v>
      </c>
      <c r="H729" s="591" t="s">
        <v>280</v>
      </c>
      <c r="I729" s="591" t="s">
        <v>280</v>
      </c>
    </row>
    <row r="730" spans="1:9">
      <c r="A730" s="582" t="s">
        <v>370</v>
      </c>
      <c r="B730" s="65">
        <v>928</v>
      </c>
      <c r="C730" s="579" t="s">
        <v>281</v>
      </c>
      <c r="D730" s="579"/>
      <c r="E730" s="583"/>
      <c r="F730" s="596"/>
      <c r="G730" s="65">
        <v>0</v>
      </c>
      <c r="H730" s="591" t="s">
        <v>280</v>
      </c>
      <c r="I730" s="591" t="s">
        <v>280</v>
      </c>
    </row>
    <row r="731" spans="1:9">
      <c r="A731" s="582" t="s">
        <v>370</v>
      </c>
      <c r="B731" s="65">
        <v>929</v>
      </c>
      <c r="C731" s="579" t="s">
        <v>281</v>
      </c>
      <c r="D731" s="579"/>
      <c r="E731" s="583"/>
      <c r="F731" s="596"/>
      <c r="G731" s="65">
        <v>0</v>
      </c>
      <c r="H731" s="591" t="s">
        <v>280</v>
      </c>
      <c r="I731" s="591" t="s">
        <v>280</v>
      </c>
    </row>
    <row r="732" spans="1:9">
      <c r="A732" s="582" t="s">
        <v>370</v>
      </c>
      <c r="B732" s="65">
        <v>930</v>
      </c>
      <c r="C732" s="579" t="s">
        <v>281</v>
      </c>
      <c r="D732" s="579"/>
      <c r="E732" s="583"/>
      <c r="F732" s="596"/>
      <c r="G732" s="65">
        <v>0</v>
      </c>
      <c r="H732" s="591" t="s">
        <v>280</v>
      </c>
      <c r="I732" s="591" t="s">
        <v>280</v>
      </c>
    </row>
    <row r="733" spans="1:9">
      <c r="A733" s="582" t="s">
        <v>370</v>
      </c>
      <c r="B733" s="65">
        <v>931</v>
      </c>
      <c r="C733" s="579" t="s">
        <v>281</v>
      </c>
      <c r="D733" s="579"/>
      <c r="E733" s="583"/>
      <c r="F733" s="596"/>
      <c r="G733" s="65">
        <v>0</v>
      </c>
      <c r="H733" s="591" t="s">
        <v>280</v>
      </c>
      <c r="I733" s="591" t="s">
        <v>280</v>
      </c>
    </row>
    <row r="734" spans="1:9">
      <c r="A734" s="582" t="s">
        <v>370</v>
      </c>
      <c r="B734" s="65">
        <v>932</v>
      </c>
      <c r="C734" s="579" t="s">
        <v>281</v>
      </c>
      <c r="D734" s="579"/>
      <c r="E734" s="583"/>
      <c r="F734" s="596"/>
      <c r="G734" s="65">
        <v>0</v>
      </c>
      <c r="H734" s="591" t="s">
        <v>280</v>
      </c>
      <c r="I734" s="591" t="s">
        <v>280</v>
      </c>
    </row>
    <row r="735" spans="1:9">
      <c r="A735" s="582" t="s">
        <v>370</v>
      </c>
      <c r="B735" s="65">
        <v>933</v>
      </c>
      <c r="C735" s="579" t="s">
        <v>281</v>
      </c>
      <c r="D735" s="579"/>
      <c r="E735" s="583"/>
      <c r="F735" s="596"/>
      <c r="G735" s="65">
        <v>0</v>
      </c>
      <c r="H735" s="591" t="s">
        <v>280</v>
      </c>
      <c r="I735" s="591" t="s">
        <v>280</v>
      </c>
    </row>
    <row r="736" spans="1:9">
      <c r="A736" s="582" t="s">
        <v>370</v>
      </c>
      <c r="B736" s="65">
        <v>934</v>
      </c>
      <c r="C736" s="579" t="s">
        <v>281</v>
      </c>
      <c r="D736" s="579"/>
      <c r="E736" s="583"/>
      <c r="F736" s="596"/>
      <c r="G736" s="65">
        <v>0</v>
      </c>
      <c r="H736" s="591" t="s">
        <v>280</v>
      </c>
      <c r="I736" s="591" t="s">
        <v>280</v>
      </c>
    </row>
    <row r="737" spans="1:9">
      <c r="A737" s="582" t="s">
        <v>370</v>
      </c>
      <c r="B737" s="65">
        <v>935</v>
      </c>
      <c r="C737" s="579" t="s">
        <v>281</v>
      </c>
      <c r="D737" s="579"/>
      <c r="E737" s="583"/>
      <c r="F737" s="596"/>
      <c r="G737" s="65">
        <v>0</v>
      </c>
      <c r="H737" s="591" t="s">
        <v>280</v>
      </c>
      <c r="I737" s="591" t="s">
        <v>280</v>
      </c>
    </row>
    <row r="738" spans="1:9">
      <c r="A738" s="582" t="s">
        <v>370</v>
      </c>
      <c r="B738" s="65">
        <v>936</v>
      </c>
      <c r="C738" s="579" t="s">
        <v>281</v>
      </c>
      <c r="D738" s="579"/>
      <c r="E738" s="583"/>
      <c r="F738" s="596"/>
      <c r="G738" s="65">
        <v>0</v>
      </c>
      <c r="H738" s="591" t="s">
        <v>280</v>
      </c>
      <c r="I738" s="591" t="s">
        <v>280</v>
      </c>
    </row>
    <row r="739" spans="1:9">
      <c r="A739" s="582" t="s">
        <v>370</v>
      </c>
      <c r="B739" s="65">
        <v>937</v>
      </c>
      <c r="C739" s="579" t="s">
        <v>281</v>
      </c>
      <c r="D739" s="579"/>
      <c r="E739" s="583"/>
      <c r="F739" s="596"/>
      <c r="G739" s="65">
        <v>0</v>
      </c>
      <c r="H739" s="591" t="s">
        <v>280</v>
      </c>
      <c r="I739" s="591" t="s">
        <v>280</v>
      </c>
    </row>
    <row r="740" spans="1:9">
      <c r="A740" s="582" t="s">
        <v>370</v>
      </c>
      <c r="B740" s="65">
        <v>938</v>
      </c>
      <c r="C740" s="579" t="s">
        <v>281</v>
      </c>
      <c r="D740" s="579"/>
      <c r="E740" s="583"/>
      <c r="F740" s="596"/>
      <c r="G740" s="65">
        <v>0</v>
      </c>
      <c r="H740" s="591" t="s">
        <v>280</v>
      </c>
      <c r="I740" s="591" t="s">
        <v>280</v>
      </c>
    </row>
    <row r="741" spans="1:9">
      <c r="A741" s="582" t="s">
        <v>370</v>
      </c>
      <c r="B741" s="65">
        <v>939</v>
      </c>
      <c r="C741" s="579" t="s">
        <v>281</v>
      </c>
      <c r="D741" s="579"/>
      <c r="E741" s="583"/>
      <c r="F741" s="596"/>
      <c r="G741" s="65">
        <v>0</v>
      </c>
      <c r="H741" s="591" t="s">
        <v>280</v>
      </c>
      <c r="I741" s="591" t="s">
        <v>280</v>
      </c>
    </row>
    <row r="742" spans="1:9">
      <c r="A742" s="582" t="s">
        <v>370</v>
      </c>
      <c r="B742" s="65">
        <v>940</v>
      </c>
      <c r="C742" s="579" t="s">
        <v>281</v>
      </c>
      <c r="D742" s="579"/>
      <c r="E742" s="583"/>
      <c r="F742" s="596"/>
      <c r="G742" s="65">
        <v>0</v>
      </c>
      <c r="H742" s="591" t="s">
        <v>280</v>
      </c>
      <c r="I742" s="591" t="s">
        <v>280</v>
      </c>
    </row>
    <row r="743" spans="1:9">
      <c r="A743" s="582" t="s">
        <v>370</v>
      </c>
      <c r="B743" s="65">
        <v>941</v>
      </c>
      <c r="C743" s="579" t="s">
        <v>281</v>
      </c>
      <c r="D743" s="579"/>
      <c r="E743" s="583"/>
      <c r="F743" s="596"/>
      <c r="G743" s="65">
        <v>0</v>
      </c>
      <c r="H743" s="591" t="s">
        <v>280</v>
      </c>
      <c r="I743" s="591" t="s">
        <v>280</v>
      </c>
    </row>
    <row r="744" spans="1:9">
      <c r="A744" s="582" t="s">
        <v>370</v>
      </c>
      <c r="B744" s="65">
        <v>942</v>
      </c>
      <c r="C744" s="579" t="s">
        <v>281</v>
      </c>
      <c r="D744" s="579"/>
      <c r="E744" s="583"/>
      <c r="F744" s="596"/>
      <c r="G744" s="65">
        <v>0</v>
      </c>
      <c r="H744" s="591" t="s">
        <v>280</v>
      </c>
      <c r="I744" s="591" t="s">
        <v>280</v>
      </c>
    </row>
    <row r="745" spans="1:9">
      <c r="A745" s="582" t="s">
        <v>370</v>
      </c>
      <c r="B745" s="65">
        <v>943</v>
      </c>
      <c r="C745" s="579" t="s">
        <v>281</v>
      </c>
      <c r="D745" s="579"/>
      <c r="E745" s="583"/>
      <c r="F745" s="596"/>
      <c r="G745" s="65">
        <v>0</v>
      </c>
      <c r="H745" s="591" t="s">
        <v>280</v>
      </c>
      <c r="I745" s="591" t="s">
        <v>280</v>
      </c>
    </row>
    <row r="746" spans="1:9">
      <c r="A746" s="582" t="s">
        <v>370</v>
      </c>
      <c r="B746" s="65">
        <v>944</v>
      </c>
      <c r="C746" s="579" t="s">
        <v>281</v>
      </c>
      <c r="D746" s="579"/>
      <c r="E746" s="583"/>
      <c r="F746" s="596"/>
      <c r="G746" s="65">
        <v>0</v>
      </c>
      <c r="H746" s="591" t="s">
        <v>280</v>
      </c>
      <c r="I746" s="591" t="s">
        <v>280</v>
      </c>
    </row>
    <row r="747" spans="1:9">
      <c r="A747" s="582" t="s">
        <v>370</v>
      </c>
      <c r="B747" s="65">
        <v>945</v>
      </c>
      <c r="C747" s="579" t="s">
        <v>281</v>
      </c>
      <c r="D747" s="579"/>
      <c r="E747" s="583"/>
      <c r="F747" s="596"/>
      <c r="G747" s="65">
        <v>0</v>
      </c>
      <c r="H747" s="591" t="s">
        <v>280</v>
      </c>
      <c r="I747" s="591" t="s">
        <v>280</v>
      </c>
    </row>
    <row r="748" spans="1:9">
      <c r="A748" s="582" t="s">
        <v>370</v>
      </c>
      <c r="B748" s="65">
        <v>946</v>
      </c>
      <c r="C748" s="579" t="s">
        <v>281</v>
      </c>
      <c r="D748" s="579"/>
      <c r="E748" s="583"/>
      <c r="F748" s="596"/>
      <c r="G748" s="65">
        <v>0</v>
      </c>
      <c r="H748" s="591" t="s">
        <v>280</v>
      </c>
      <c r="I748" s="591" t="s">
        <v>280</v>
      </c>
    </row>
    <row r="749" spans="1:9">
      <c r="A749" s="582" t="s">
        <v>370</v>
      </c>
      <c r="B749" s="65">
        <v>947</v>
      </c>
      <c r="C749" s="579" t="s">
        <v>281</v>
      </c>
      <c r="D749" s="579"/>
      <c r="E749" s="583"/>
      <c r="F749" s="596"/>
      <c r="G749" s="65">
        <v>0</v>
      </c>
      <c r="H749" s="591" t="s">
        <v>280</v>
      </c>
      <c r="I749" s="591" t="s">
        <v>280</v>
      </c>
    </row>
    <row r="750" spans="1:9">
      <c r="A750" s="582" t="s">
        <v>370</v>
      </c>
      <c r="B750" s="65">
        <v>948</v>
      </c>
      <c r="C750" s="579" t="s">
        <v>281</v>
      </c>
      <c r="D750" s="579"/>
      <c r="E750" s="583"/>
      <c r="F750" s="596"/>
      <c r="G750" s="65">
        <v>0</v>
      </c>
      <c r="H750" s="591" t="s">
        <v>280</v>
      </c>
      <c r="I750" s="591" t="s">
        <v>280</v>
      </c>
    </row>
    <row r="751" spans="1:9">
      <c r="A751" s="582" t="s">
        <v>370</v>
      </c>
      <c r="B751" s="65">
        <v>949</v>
      </c>
      <c r="C751" s="579" t="s">
        <v>281</v>
      </c>
      <c r="D751" s="579"/>
      <c r="E751" s="583"/>
      <c r="F751" s="596"/>
      <c r="G751" s="65">
        <v>0</v>
      </c>
      <c r="H751" s="591" t="s">
        <v>280</v>
      </c>
      <c r="I751" s="591" t="s">
        <v>280</v>
      </c>
    </row>
    <row r="752" spans="1:9">
      <c r="A752" s="582" t="s">
        <v>370</v>
      </c>
      <c r="B752" s="65">
        <v>950</v>
      </c>
      <c r="C752" s="579" t="s">
        <v>281</v>
      </c>
      <c r="D752" s="579"/>
      <c r="E752" s="583"/>
      <c r="F752" s="596"/>
      <c r="G752" s="65">
        <v>0</v>
      </c>
      <c r="H752" s="591" t="s">
        <v>280</v>
      </c>
      <c r="I752" s="591" t="s">
        <v>280</v>
      </c>
    </row>
    <row r="753" spans="1:9">
      <c r="A753" s="582" t="s">
        <v>370</v>
      </c>
      <c r="B753" s="65">
        <v>951</v>
      </c>
      <c r="C753" s="579" t="s">
        <v>281</v>
      </c>
      <c r="D753" s="579"/>
      <c r="E753" s="583"/>
      <c r="F753" s="596"/>
      <c r="G753" s="65">
        <v>0</v>
      </c>
      <c r="H753" s="591" t="s">
        <v>280</v>
      </c>
      <c r="I753" s="591" t="s">
        <v>280</v>
      </c>
    </row>
    <row r="754" spans="1:9">
      <c r="A754" s="582" t="s">
        <v>370</v>
      </c>
      <c r="B754" s="65">
        <v>952</v>
      </c>
      <c r="C754" s="579" t="s">
        <v>281</v>
      </c>
      <c r="D754" s="579"/>
      <c r="E754" s="583"/>
      <c r="F754" s="596"/>
      <c r="G754" s="65">
        <v>0</v>
      </c>
      <c r="H754" s="591" t="s">
        <v>280</v>
      </c>
      <c r="I754" s="591" t="s">
        <v>280</v>
      </c>
    </row>
    <row r="755" spans="1:9">
      <c r="A755" s="582" t="s">
        <v>370</v>
      </c>
      <c r="B755" s="65">
        <v>953</v>
      </c>
      <c r="C755" s="579" t="s">
        <v>281</v>
      </c>
      <c r="D755" s="579"/>
      <c r="E755" s="583"/>
      <c r="F755" s="596"/>
      <c r="G755" s="65">
        <v>0</v>
      </c>
      <c r="H755" s="591" t="s">
        <v>280</v>
      </c>
      <c r="I755" s="591" t="s">
        <v>280</v>
      </c>
    </row>
    <row r="756" spans="1:9">
      <c r="A756" s="582" t="s">
        <v>370</v>
      </c>
      <c r="B756" s="65">
        <v>954</v>
      </c>
      <c r="C756" s="579" t="s">
        <v>281</v>
      </c>
      <c r="D756" s="579"/>
      <c r="E756" s="583"/>
      <c r="F756" s="596"/>
      <c r="G756" s="65">
        <v>0</v>
      </c>
      <c r="H756" s="591" t="s">
        <v>280</v>
      </c>
      <c r="I756" s="591" t="s">
        <v>280</v>
      </c>
    </row>
    <row r="757" spans="1:9">
      <c r="A757" s="582" t="s">
        <v>370</v>
      </c>
      <c r="B757" s="65">
        <v>955</v>
      </c>
      <c r="C757" s="579" t="s">
        <v>281</v>
      </c>
      <c r="D757" s="579"/>
      <c r="E757" s="583"/>
      <c r="F757" s="596"/>
      <c r="G757" s="65">
        <v>0</v>
      </c>
      <c r="H757" s="591" t="s">
        <v>280</v>
      </c>
      <c r="I757" s="591" t="s">
        <v>280</v>
      </c>
    </row>
    <row r="758" spans="1:9">
      <c r="A758" s="582" t="s">
        <v>370</v>
      </c>
      <c r="B758" s="65">
        <v>956</v>
      </c>
      <c r="C758" s="579" t="s">
        <v>281</v>
      </c>
      <c r="D758" s="579"/>
      <c r="E758" s="583"/>
      <c r="F758" s="596"/>
      <c r="G758" s="65">
        <v>0</v>
      </c>
      <c r="H758" s="591" t="s">
        <v>280</v>
      </c>
      <c r="I758" s="591" t="s">
        <v>280</v>
      </c>
    </row>
    <row r="759" spans="1:9">
      <c r="A759" s="582" t="s">
        <v>370</v>
      </c>
      <c r="B759" s="65">
        <v>957</v>
      </c>
      <c r="C759" s="579" t="s">
        <v>281</v>
      </c>
      <c r="D759" s="579"/>
      <c r="E759" s="583"/>
      <c r="F759" s="596"/>
      <c r="G759" s="65">
        <v>0</v>
      </c>
      <c r="H759" s="591" t="s">
        <v>280</v>
      </c>
      <c r="I759" s="591" t="s">
        <v>280</v>
      </c>
    </row>
    <row r="760" spans="1:9">
      <c r="A760" s="582" t="s">
        <v>370</v>
      </c>
      <c r="B760" s="65">
        <v>958</v>
      </c>
      <c r="C760" s="579" t="s">
        <v>281</v>
      </c>
      <c r="D760" s="579"/>
      <c r="E760" s="583"/>
      <c r="F760" s="596"/>
      <c r="G760" s="65">
        <v>0</v>
      </c>
      <c r="H760" s="591" t="s">
        <v>280</v>
      </c>
      <c r="I760" s="591" t="s">
        <v>280</v>
      </c>
    </row>
    <row r="761" spans="1:9">
      <c r="A761" s="582" t="s">
        <v>370</v>
      </c>
      <c r="B761" s="65">
        <v>959</v>
      </c>
      <c r="C761" s="579" t="s">
        <v>281</v>
      </c>
      <c r="D761" s="579"/>
      <c r="E761" s="583"/>
      <c r="F761" s="596"/>
      <c r="G761" s="65">
        <v>0</v>
      </c>
      <c r="H761" s="591" t="s">
        <v>280</v>
      </c>
      <c r="I761" s="591" t="s">
        <v>280</v>
      </c>
    </row>
    <row r="762" spans="1:9">
      <c r="A762" s="582" t="s">
        <v>370</v>
      </c>
      <c r="B762" s="65">
        <v>960</v>
      </c>
      <c r="C762" s="579" t="s">
        <v>281</v>
      </c>
      <c r="D762" s="579"/>
      <c r="E762" s="583"/>
      <c r="F762" s="596"/>
      <c r="G762" s="65">
        <v>0</v>
      </c>
      <c r="H762" s="591" t="s">
        <v>280</v>
      </c>
      <c r="I762" s="591" t="s">
        <v>280</v>
      </c>
    </row>
    <row r="763" spans="1:9">
      <c r="A763" s="582" t="s">
        <v>370</v>
      </c>
      <c r="B763" s="65">
        <v>961</v>
      </c>
      <c r="C763" s="579" t="s">
        <v>281</v>
      </c>
      <c r="D763" s="579"/>
      <c r="E763" s="583"/>
      <c r="F763" s="596"/>
      <c r="G763" s="65">
        <v>0</v>
      </c>
      <c r="H763" s="591" t="s">
        <v>280</v>
      </c>
      <c r="I763" s="591" t="s">
        <v>280</v>
      </c>
    </row>
    <row r="764" spans="1:9">
      <c r="A764" s="582" t="s">
        <v>370</v>
      </c>
      <c r="B764" s="65">
        <v>962</v>
      </c>
      <c r="C764" s="579" t="s">
        <v>281</v>
      </c>
      <c r="D764" s="579"/>
      <c r="E764" s="583"/>
      <c r="F764" s="596"/>
      <c r="G764" s="65">
        <v>0</v>
      </c>
      <c r="H764" s="591" t="s">
        <v>280</v>
      </c>
      <c r="I764" s="591" t="s">
        <v>280</v>
      </c>
    </row>
    <row r="765" spans="1:9">
      <c r="A765" s="582" t="s">
        <v>370</v>
      </c>
      <c r="B765" s="65">
        <v>963</v>
      </c>
      <c r="C765" s="579" t="s">
        <v>281</v>
      </c>
      <c r="D765" s="579"/>
      <c r="E765" s="583"/>
      <c r="F765" s="596"/>
      <c r="G765" s="65">
        <v>0</v>
      </c>
      <c r="H765" s="591" t="s">
        <v>280</v>
      </c>
      <c r="I765" s="591" t="s">
        <v>280</v>
      </c>
    </row>
    <row r="766" spans="1:9">
      <c r="A766" s="582" t="s">
        <v>370</v>
      </c>
      <c r="B766" s="65">
        <v>964</v>
      </c>
      <c r="C766" s="579" t="s">
        <v>281</v>
      </c>
      <c r="D766" s="579"/>
      <c r="E766" s="583"/>
      <c r="F766" s="596"/>
      <c r="G766" s="65">
        <v>0</v>
      </c>
      <c r="H766" s="591" t="s">
        <v>280</v>
      </c>
      <c r="I766" s="591" t="s">
        <v>280</v>
      </c>
    </row>
    <row r="767" spans="1:9">
      <c r="A767" s="582" t="s">
        <v>370</v>
      </c>
      <c r="B767" s="65">
        <v>965</v>
      </c>
      <c r="C767" s="579" t="s">
        <v>281</v>
      </c>
      <c r="D767" s="579"/>
      <c r="E767" s="583"/>
      <c r="F767" s="596"/>
      <c r="G767" s="65">
        <v>0</v>
      </c>
      <c r="H767" s="591" t="s">
        <v>280</v>
      </c>
      <c r="I767" s="591" t="s">
        <v>280</v>
      </c>
    </row>
    <row r="768" spans="1:9">
      <c r="A768" s="582" t="s">
        <v>370</v>
      </c>
      <c r="B768" s="65">
        <v>966</v>
      </c>
      <c r="C768" s="579" t="s">
        <v>281</v>
      </c>
      <c r="D768" s="579"/>
      <c r="E768" s="583"/>
      <c r="F768" s="596"/>
      <c r="G768" s="65">
        <v>0</v>
      </c>
      <c r="H768" s="591" t="s">
        <v>280</v>
      </c>
      <c r="I768" s="591" t="s">
        <v>280</v>
      </c>
    </row>
    <row r="769" spans="1:9">
      <c r="A769" s="582" t="s">
        <v>370</v>
      </c>
      <c r="B769" s="65">
        <v>967</v>
      </c>
      <c r="C769" s="579" t="s">
        <v>281</v>
      </c>
      <c r="D769" s="579"/>
      <c r="E769" s="583"/>
      <c r="F769" s="596"/>
      <c r="G769" s="65">
        <v>0</v>
      </c>
      <c r="H769" s="591" t="s">
        <v>280</v>
      </c>
      <c r="I769" s="591" t="s">
        <v>280</v>
      </c>
    </row>
    <row r="770" spans="1:9">
      <c r="A770" s="582" t="s">
        <v>370</v>
      </c>
      <c r="B770" s="65">
        <v>968</v>
      </c>
      <c r="C770" s="579" t="s">
        <v>281</v>
      </c>
      <c r="D770" s="579"/>
      <c r="E770" s="583"/>
      <c r="F770" s="596"/>
      <c r="G770" s="65">
        <v>0</v>
      </c>
      <c r="H770" s="591" t="s">
        <v>280</v>
      </c>
      <c r="I770" s="591" t="s">
        <v>280</v>
      </c>
    </row>
    <row r="771" spans="1:9">
      <c r="A771" s="582" t="s">
        <v>370</v>
      </c>
      <c r="B771" s="65">
        <v>969</v>
      </c>
      <c r="C771" s="579" t="s">
        <v>281</v>
      </c>
      <c r="D771" s="579"/>
      <c r="E771" s="583"/>
      <c r="F771" s="596"/>
      <c r="G771" s="65">
        <v>0</v>
      </c>
      <c r="H771" s="591" t="s">
        <v>280</v>
      </c>
      <c r="I771" s="591" t="s">
        <v>280</v>
      </c>
    </row>
    <row r="772" spans="1:9">
      <c r="A772" s="582" t="s">
        <v>370</v>
      </c>
      <c r="B772" s="65">
        <v>970</v>
      </c>
      <c r="C772" s="579" t="s">
        <v>281</v>
      </c>
      <c r="D772" s="579"/>
      <c r="E772" s="583"/>
      <c r="F772" s="596"/>
      <c r="G772" s="65">
        <v>0</v>
      </c>
      <c r="H772" s="591" t="s">
        <v>280</v>
      </c>
      <c r="I772" s="591" t="s">
        <v>280</v>
      </c>
    </row>
    <row r="773" spans="1:9">
      <c r="A773" s="582" t="s">
        <v>370</v>
      </c>
      <c r="B773" s="65">
        <v>971</v>
      </c>
      <c r="C773" s="579" t="s">
        <v>281</v>
      </c>
      <c r="D773" s="579"/>
      <c r="E773" s="583"/>
      <c r="F773" s="596"/>
      <c r="G773" s="65">
        <v>0</v>
      </c>
      <c r="H773" s="591" t="s">
        <v>280</v>
      </c>
      <c r="I773" s="591" t="s">
        <v>280</v>
      </c>
    </row>
    <row r="774" spans="1:9">
      <c r="A774" s="582" t="s">
        <v>370</v>
      </c>
      <c r="B774" s="65">
        <v>972</v>
      </c>
      <c r="C774" s="579" t="s">
        <v>281</v>
      </c>
      <c r="D774" s="579"/>
      <c r="E774" s="583"/>
      <c r="F774" s="596"/>
      <c r="G774" s="65">
        <v>0</v>
      </c>
      <c r="H774" s="591" t="s">
        <v>280</v>
      </c>
      <c r="I774" s="591" t="s">
        <v>280</v>
      </c>
    </row>
    <row r="775" spans="1:9">
      <c r="A775" s="582" t="s">
        <v>370</v>
      </c>
      <c r="B775" s="65">
        <v>973</v>
      </c>
      <c r="C775" s="579" t="s">
        <v>281</v>
      </c>
      <c r="D775" s="579"/>
      <c r="E775" s="583"/>
      <c r="F775" s="596"/>
      <c r="G775" s="65">
        <v>0</v>
      </c>
      <c r="H775" s="591" t="s">
        <v>280</v>
      </c>
      <c r="I775" s="591" t="s">
        <v>280</v>
      </c>
    </row>
    <row r="776" spans="1:9">
      <c r="A776" s="582" t="s">
        <v>370</v>
      </c>
      <c r="B776" s="65">
        <v>974</v>
      </c>
      <c r="C776" s="579" t="s">
        <v>281</v>
      </c>
      <c r="D776" s="579"/>
      <c r="E776" s="583"/>
      <c r="F776" s="596"/>
      <c r="G776" s="65">
        <v>0</v>
      </c>
      <c r="H776" s="591" t="s">
        <v>280</v>
      </c>
      <c r="I776" s="591" t="s">
        <v>280</v>
      </c>
    </row>
    <row r="777" spans="1:9">
      <c r="A777" s="582" t="s">
        <v>370</v>
      </c>
      <c r="B777" s="65">
        <v>975</v>
      </c>
      <c r="C777" s="579" t="s">
        <v>281</v>
      </c>
      <c r="D777" s="579"/>
      <c r="E777" s="583"/>
      <c r="F777" s="596"/>
      <c r="G777" s="65">
        <v>0</v>
      </c>
      <c r="H777" s="591" t="s">
        <v>280</v>
      </c>
      <c r="I777" s="591" t="s">
        <v>280</v>
      </c>
    </row>
    <row r="778" spans="1:9">
      <c r="A778" s="582" t="s">
        <v>370</v>
      </c>
      <c r="B778" s="65">
        <v>976</v>
      </c>
      <c r="C778" s="579" t="s">
        <v>281</v>
      </c>
      <c r="D778" s="579"/>
      <c r="E778" s="583"/>
      <c r="F778" s="596"/>
      <c r="G778" s="65">
        <v>0</v>
      </c>
      <c r="H778" s="591" t="s">
        <v>280</v>
      </c>
      <c r="I778" s="591" t="s">
        <v>280</v>
      </c>
    </row>
    <row r="779" spans="1:9">
      <c r="A779" s="582" t="s">
        <v>370</v>
      </c>
      <c r="B779" s="65">
        <v>977</v>
      </c>
      <c r="C779" s="579" t="s">
        <v>281</v>
      </c>
      <c r="D779" s="579"/>
      <c r="E779" s="583"/>
      <c r="F779" s="596"/>
      <c r="G779" s="65">
        <v>0</v>
      </c>
      <c r="H779" s="591" t="s">
        <v>280</v>
      </c>
      <c r="I779" s="591" t="s">
        <v>280</v>
      </c>
    </row>
    <row r="780" spans="1:9">
      <c r="A780" s="582" t="s">
        <v>370</v>
      </c>
      <c r="B780" s="65">
        <v>978</v>
      </c>
      <c r="C780" s="579" t="s">
        <v>281</v>
      </c>
      <c r="D780" s="579"/>
      <c r="E780" s="583"/>
      <c r="F780" s="596"/>
      <c r="G780" s="65">
        <v>0</v>
      </c>
      <c r="H780" s="591" t="s">
        <v>280</v>
      </c>
      <c r="I780" s="591" t="s">
        <v>280</v>
      </c>
    </row>
    <row r="781" spans="1:9">
      <c r="A781" s="582" t="s">
        <v>370</v>
      </c>
      <c r="B781" s="65">
        <v>979</v>
      </c>
      <c r="C781" s="579" t="s">
        <v>281</v>
      </c>
      <c r="D781" s="579"/>
      <c r="E781" s="583"/>
      <c r="F781" s="596"/>
      <c r="G781" s="65">
        <v>0</v>
      </c>
      <c r="H781" s="591" t="s">
        <v>280</v>
      </c>
      <c r="I781" s="591" t="s">
        <v>280</v>
      </c>
    </row>
    <row r="782" spans="1:9">
      <c r="A782" s="582" t="s">
        <v>370</v>
      </c>
      <c r="B782" s="65">
        <v>980</v>
      </c>
      <c r="C782" s="579" t="s">
        <v>281</v>
      </c>
      <c r="D782" s="579"/>
      <c r="E782" s="583"/>
      <c r="F782" s="596"/>
      <c r="G782" s="65">
        <v>0</v>
      </c>
      <c r="H782" s="591" t="s">
        <v>280</v>
      </c>
      <c r="I782" s="591" t="s">
        <v>280</v>
      </c>
    </row>
    <row r="783" spans="1:9">
      <c r="A783" s="582" t="s">
        <v>370</v>
      </c>
      <c r="B783" s="65">
        <v>981</v>
      </c>
      <c r="C783" s="579" t="s">
        <v>281</v>
      </c>
      <c r="D783" s="579"/>
      <c r="E783" s="583"/>
      <c r="F783" s="596"/>
      <c r="G783" s="65">
        <v>0</v>
      </c>
      <c r="H783" s="591" t="s">
        <v>280</v>
      </c>
      <c r="I783" s="591" t="s">
        <v>280</v>
      </c>
    </row>
    <row r="784" spans="1:9">
      <c r="A784" s="582" t="s">
        <v>370</v>
      </c>
      <c r="B784" s="65">
        <v>982</v>
      </c>
      <c r="C784" s="579" t="s">
        <v>281</v>
      </c>
      <c r="D784" s="579"/>
      <c r="E784" s="583"/>
      <c r="F784" s="596"/>
      <c r="G784" s="65">
        <v>0</v>
      </c>
      <c r="H784" s="591" t="s">
        <v>280</v>
      </c>
      <c r="I784" s="591" t="s">
        <v>280</v>
      </c>
    </row>
    <row r="785" spans="1:9">
      <c r="A785" s="582" t="s">
        <v>370</v>
      </c>
      <c r="B785" s="65">
        <v>983</v>
      </c>
      <c r="C785" s="579" t="s">
        <v>281</v>
      </c>
      <c r="D785" s="579"/>
      <c r="E785" s="583"/>
      <c r="F785" s="596"/>
      <c r="G785" s="65">
        <v>0</v>
      </c>
      <c r="H785" s="591" t="s">
        <v>280</v>
      </c>
      <c r="I785" s="591" t="s">
        <v>280</v>
      </c>
    </row>
    <row r="786" spans="1:9">
      <c r="A786" s="582" t="s">
        <v>370</v>
      </c>
      <c r="B786" s="65">
        <v>984</v>
      </c>
      <c r="C786" s="579" t="s">
        <v>281</v>
      </c>
      <c r="D786" s="579"/>
      <c r="E786" s="583"/>
      <c r="F786" s="596"/>
      <c r="G786" s="65">
        <v>0</v>
      </c>
      <c r="H786" s="591" t="s">
        <v>280</v>
      </c>
      <c r="I786" s="591" t="s">
        <v>280</v>
      </c>
    </row>
    <row r="787" spans="1:9">
      <c r="A787" s="582" t="s">
        <v>370</v>
      </c>
      <c r="B787" s="65">
        <v>985</v>
      </c>
      <c r="C787" s="579" t="s">
        <v>281</v>
      </c>
      <c r="D787" s="579"/>
      <c r="E787" s="583"/>
      <c r="F787" s="596"/>
      <c r="G787" s="65">
        <v>0</v>
      </c>
      <c r="H787" s="591" t="s">
        <v>280</v>
      </c>
      <c r="I787" s="591" t="s">
        <v>280</v>
      </c>
    </row>
    <row r="788" spans="1:9">
      <c r="A788" s="582" t="s">
        <v>370</v>
      </c>
      <c r="B788" s="65">
        <v>986</v>
      </c>
      <c r="C788" s="579" t="s">
        <v>281</v>
      </c>
      <c r="D788" s="579"/>
      <c r="E788" s="583"/>
      <c r="F788" s="596"/>
      <c r="G788" s="65">
        <v>0</v>
      </c>
      <c r="H788" s="591" t="s">
        <v>280</v>
      </c>
      <c r="I788" s="591" t="s">
        <v>280</v>
      </c>
    </row>
    <row r="789" spans="1:9">
      <c r="A789" s="582" t="s">
        <v>370</v>
      </c>
      <c r="B789" s="65">
        <v>987</v>
      </c>
      <c r="C789" s="579" t="s">
        <v>281</v>
      </c>
      <c r="D789" s="579"/>
      <c r="E789" s="583"/>
      <c r="F789" s="596"/>
      <c r="G789" s="65">
        <v>0</v>
      </c>
      <c r="H789" s="591" t="s">
        <v>280</v>
      </c>
      <c r="I789" s="591" t="s">
        <v>280</v>
      </c>
    </row>
    <row r="790" spans="1:9">
      <c r="A790" s="582" t="s">
        <v>370</v>
      </c>
      <c r="B790" s="65">
        <v>988</v>
      </c>
      <c r="C790" s="579" t="s">
        <v>281</v>
      </c>
      <c r="D790" s="579"/>
      <c r="E790" s="583"/>
      <c r="F790" s="596"/>
      <c r="G790" s="65">
        <v>0</v>
      </c>
      <c r="H790" s="591" t="s">
        <v>280</v>
      </c>
      <c r="I790" s="591" t="s">
        <v>280</v>
      </c>
    </row>
    <row r="791" spans="1:9">
      <c r="A791" s="582" t="s">
        <v>370</v>
      </c>
      <c r="B791" s="65">
        <v>989</v>
      </c>
      <c r="C791" s="579" t="s">
        <v>281</v>
      </c>
      <c r="D791" s="579"/>
      <c r="E791" s="583"/>
      <c r="F791" s="596"/>
      <c r="G791" s="65">
        <v>0</v>
      </c>
      <c r="H791" s="591" t="s">
        <v>280</v>
      </c>
      <c r="I791" s="591" t="s">
        <v>280</v>
      </c>
    </row>
    <row r="792" spans="1:9">
      <c r="A792" s="582" t="s">
        <v>370</v>
      </c>
      <c r="B792" s="65">
        <v>990</v>
      </c>
      <c r="C792" s="579" t="s">
        <v>281</v>
      </c>
      <c r="D792" s="579"/>
      <c r="E792" s="583"/>
      <c r="F792" s="596"/>
      <c r="G792" s="65">
        <v>0</v>
      </c>
      <c r="H792" s="591" t="s">
        <v>280</v>
      </c>
      <c r="I792" s="591" t="s">
        <v>280</v>
      </c>
    </row>
    <row r="793" spans="1:9">
      <c r="A793" s="582" t="s">
        <v>370</v>
      </c>
      <c r="B793" s="65">
        <v>991</v>
      </c>
      <c r="C793" s="579" t="s">
        <v>281</v>
      </c>
      <c r="D793" s="579"/>
      <c r="E793" s="583"/>
      <c r="F793" s="596"/>
      <c r="G793" s="65">
        <v>0</v>
      </c>
      <c r="H793" s="591" t="s">
        <v>280</v>
      </c>
      <c r="I793" s="591" t="s">
        <v>280</v>
      </c>
    </row>
    <row r="794" spans="1:9">
      <c r="A794" s="582" t="s">
        <v>370</v>
      </c>
      <c r="B794" s="65">
        <v>992</v>
      </c>
      <c r="C794" s="579" t="s">
        <v>281</v>
      </c>
      <c r="D794" s="579"/>
      <c r="E794" s="583"/>
      <c r="F794" s="596"/>
      <c r="G794" s="65">
        <v>0</v>
      </c>
      <c r="H794" s="591" t="s">
        <v>280</v>
      </c>
      <c r="I794" s="591" t="s">
        <v>280</v>
      </c>
    </row>
    <row r="795" spans="1:9">
      <c r="A795" s="582" t="s">
        <v>370</v>
      </c>
      <c r="B795" s="65">
        <v>993</v>
      </c>
      <c r="C795" s="579" t="s">
        <v>281</v>
      </c>
      <c r="D795" s="579"/>
      <c r="E795" s="583"/>
      <c r="F795" s="596"/>
      <c r="G795" s="65">
        <v>0</v>
      </c>
      <c r="H795" s="591" t="s">
        <v>280</v>
      </c>
      <c r="I795" s="591" t="s">
        <v>280</v>
      </c>
    </row>
    <row r="796" spans="1:9">
      <c r="A796" s="582" t="s">
        <v>370</v>
      </c>
      <c r="B796" s="65">
        <v>994</v>
      </c>
      <c r="C796" s="579" t="s">
        <v>281</v>
      </c>
      <c r="D796" s="579"/>
      <c r="E796" s="583"/>
      <c r="F796" s="596"/>
      <c r="G796" s="65">
        <v>0</v>
      </c>
      <c r="H796" s="591" t="s">
        <v>280</v>
      </c>
      <c r="I796" s="591" t="s">
        <v>280</v>
      </c>
    </row>
    <row r="797" spans="1:9">
      <c r="A797" s="582" t="s">
        <v>370</v>
      </c>
      <c r="B797" s="65">
        <v>995</v>
      </c>
      <c r="C797" s="579" t="s">
        <v>281</v>
      </c>
      <c r="D797" s="579"/>
      <c r="E797" s="583"/>
      <c r="F797" s="596"/>
      <c r="G797" s="65">
        <v>0</v>
      </c>
      <c r="H797" s="591" t="s">
        <v>280</v>
      </c>
      <c r="I797" s="591" t="s">
        <v>280</v>
      </c>
    </row>
    <row r="798" spans="1:9">
      <c r="A798" s="582" t="s">
        <v>370</v>
      </c>
      <c r="B798" s="65">
        <v>996</v>
      </c>
      <c r="C798" s="579" t="s">
        <v>281</v>
      </c>
      <c r="D798" s="579"/>
      <c r="E798" s="583"/>
      <c r="F798" s="596"/>
      <c r="G798" s="65">
        <v>0</v>
      </c>
      <c r="H798" s="591" t="s">
        <v>280</v>
      </c>
      <c r="I798" s="591" t="s">
        <v>280</v>
      </c>
    </row>
    <row r="799" spans="1:9">
      <c r="A799" s="582" t="s">
        <v>370</v>
      </c>
      <c r="B799" s="65">
        <v>997</v>
      </c>
      <c r="C799" s="579" t="s">
        <v>281</v>
      </c>
      <c r="D799" s="579"/>
      <c r="E799" s="583"/>
      <c r="F799" s="596"/>
      <c r="G799" s="65">
        <v>0</v>
      </c>
      <c r="H799" s="591" t="s">
        <v>280</v>
      </c>
      <c r="I799" s="591" t="s">
        <v>280</v>
      </c>
    </row>
    <row r="800" spans="1:9">
      <c r="A800" s="582" t="s">
        <v>370</v>
      </c>
      <c r="B800" s="65">
        <v>998</v>
      </c>
      <c r="C800" s="579" t="s">
        <v>281</v>
      </c>
      <c r="D800" s="579"/>
      <c r="E800" s="583"/>
      <c r="F800" s="596"/>
      <c r="G800" s="65">
        <v>0</v>
      </c>
      <c r="H800" s="591" t="s">
        <v>280</v>
      </c>
      <c r="I800" s="591" t="s">
        <v>280</v>
      </c>
    </row>
    <row r="801" spans="1:10">
      <c r="A801" s="582" t="s">
        <v>370</v>
      </c>
      <c r="B801" s="65">
        <v>999</v>
      </c>
      <c r="C801" s="579" t="s">
        <v>281</v>
      </c>
      <c r="D801" s="579"/>
      <c r="E801" s="583"/>
      <c r="F801" s="596"/>
      <c r="G801" s="65">
        <v>0</v>
      </c>
      <c r="H801" s="591" t="s">
        <v>280</v>
      </c>
      <c r="I801" s="591" t="s">
        <v>280</v>
      </c>
    </row>
    <row r="802" spans="1:10">
      <c r="A802" s="582" t="s">
        <v>377</v>
      </c>
      <c r="B802" s="65">
        <v>1000</v>
      </c>
      <c r="C802" s="579" t="s">
        <v>279</v>
      </c>
      <c r="D802" s="579"/>
      <c r="E802" s="583"/>
      <c r="F802" s="585">
        <v>45535</v>
      </c>
      <c r="G802" s="65">
        <v>1</v>
      </c>
      <c r="H802" s="591" t="s">
        <v>280</v>
      </c>
      <c r="I802" s="591" t="s">
        <v>280</v>
      </c>
    </row>
    <row r="803" spans="1:10">
      <c r="A803" s="582" t="s">
        <v>377</v>
      </c>
      <c r="B803" s="65">
        <v>1001</v>
      </c>
      <c r="C803" s="579" t="s">
        <v>281</v>
      </c>
      <c r="D803" s="579"/>
      <c r="E803" s="583"/>
      <c r="F803" s="596"/>
      <c r="G803" s="65">
        <v>0</v>
      </c>
      <c r="H803" s="591" t="s">
        <v>280</v>
      </c>
      <c r="I803" s="591" t="s">
        <v>280</v>
      </c>
    </row>
    <row r="804" spans="1:10">
      <c r="A804" s="582" t="s">
        <v>377</v>
      </c>
      <c r="B804" s="65">
        <v>1002</v>
      </c>
      <c r="C804" s="579" t="s">
        <v>378</v>
      </c>
      <c r="D804" s="63">
        <v>10174</v>
      </c>
      <c r="E804" s="583"/>
      <c r="F804" s="585">
        <v>45535</v>
      </c>
      <c r="G804" s="65">
        <v>1</v>
      </c>
      <c r="H804" s="591" t="s">
        <v>1975</v>
      </c>
      <c r="I804" s="591" t="s">
        <v>78</v>
      </c>
      <c r="J804" s="57"/>
    </row>
    <row r="805" spans="1:10">
      <c r="A805" s="582" t="s">
        <v>377</v>
      </c>
      <c r="B805" s="65">
        <v>1003</v>
      </c>
      <c r="C805" s="579" t="s">
        <v>281</v>
      </c>
      <c r="D805" s="579"/>
      <c r="E805" s="583"/>
      <c r="F805" s="596"/>
      <c r="G805" s="65">
        <v>0</v>
      </c>
      <c r="H805" s="591" t="s">
        <v>280</v>
      </c>
      <c r="I805" s="591" t="s">
        <v>280</v>
      </c>
      <c r="J805" s="57"/>
    </row>
    <row r="806" spans="1:10">
      <c r="A806" s="582" t="s">
        <v>377</v>
      </c>
      <c r="B806" s="65">
        <v>1004</v>
      </c>
      <c r="C806" s="579" t="s">
        <v>281</v>
      </c>
      <c r="D806" s="63"/>
      <c r="E806" s="583"/>
      <c r="F806" s="596"/>
      <c r="G806" s="65">
        <v>0</v>
      </c>
      <c r="H806" s="591" t="s">
        <v>280</v>
      </c>
      <c r="I806" s="591" t="s">
        <v>280</v>
      </c>
      <c r="J806" s="57"/>
    </row>
    <row r="807" spans="1:10">
      <c r="A807" s="582" t="s">
        <v>377</v>
      </c>
      <c r="B807" s="65">
        <v>1005</v>
      </c>
      <c r="C807" s="579" t="s">
        <v>379</v>
      </c>
      <c r="D807" s="579">
        <v>10355</v>
      </c>
      <c r="E807" s="583"/>
      <c r="F807" s="585">
        <v>45535</v>
      </c>
      <c r="G807" s="65">
        <v>1</v>
      </c>
      <c r="H807" s="591" t="s">
        <v>1975</v>
      </c>
      <c r="I807" s="591" t="s">
        <v>78</v>
      </c>
      <c r="J807" s="57"/>
    </row>
    <row r="808" spans="1:10">
      <c r="A808" s="582" t="s">
        <v>377</v>
      </c>
      <c r="B808" s="65">
        <v>1006</v>
      </c>
      <c r="C808" s="579" t="s">
        <v>281</v>
      </c>
      <c r="D808" s="65"/>
      <c r="E808" s="583"/>
      <c r="F808" s="596"/>
      <c r="G808" s="65">
        <v>0</v>
      </c>
      <c r="H808" s="591" t="s">
        <v>280</v>
      </c>
      <c r="I808" s="591" t="s">
        <v>280</v>
      </c>
      <c r="J808" s="57"/>
    </row>
    <row r="809" spans="1:10">
      <c r="A809" s="582" t="s">
        <v>377</v>
      </c>
      <c r="B809" s="65">
        <v>1007</v>
      </c>
      <c r="C809" s="579" t="s">
        <v>281</v>
      </c>
      <c r="D809" s="65"/>
      <c r="E809" s="583"/>
      <c r="F809" s="596"/>
      <c r="G809" s="65">
        <v>0</v>
      </c>
      <c r="H809" s="591" t="s">
        <v>280</v>
      </c>
      <c r="I809" s="591" t="s">
        <v>280</v>
      </c>
      <c r="J809" s="57"/>
    </row>
    <row r="810" spans="1:10">
      <c r="A810" s="582" t="s">
        <v>377</v>
      </c>
      <c r="B810" s="65">
        <v>1008</v>
      </c>
      <c r="C810" s="579" t="s">
        <v>281</v>
      </c>
      <c r="D810" s="579"/>
      <c r="E810" s="583"/>
      <c r="F810" s="596"/>
      <c r="G810" s="65">
        <v>0</v>
      </c>
      <c r="H810" s="591" t="s">
        <v>280</v>
      </c>
      <c r="I810" s="591" t="s">
        <v>280</v>
      </c>
      <c r="J810" s="57"/>
    </row>
    <row r="811" spans="1:10">
      <c r="A811" s="582" t="s">
        <v>377</v>
      </c>
      <c r="B811" s="65">
        <v>1009</v>
      </c>
      <c r="C811" s="579" t="s">
        <v>281</v>
      </c>
      <c r="D811" s="65"/>
      <c r="E811" s="583"/>
      <c r="F811" s="596"/>
      <c r="G811" s="65">
        <v>0</v>
      </c>
      <c r="H811" s="591" t="s">
        <v>280</v>
      </c>
      <c r="I811" s="591" t="s">
        <v>280</v>
      </c>
      <c r="J811" s="57"/>
    </row>
    <row r="812" spans="1:10">
      <c r="A812" s="582" t="s">
        <v>377</v>
      </c>
      <c r="B812" s="65">
        <v>1010</v>
      </c>
      <c r="C812" s="579" t="s">
        <v>380</v>
      </c>
      <c r="D812" s="63">
        <v>10033</v>
      </c>
      <c r="E812" s="583"/>
      <c r="F812" s="585">
        <v>45535</v>
      </c>
      <c r="G812" s="65">
        <v>1</v>
      </c>
      <c r="H812" s="591" t="s">
        <v>1975</v>
      </c>
      <c r="I812" s="591" t="s">
        <v>78</v>
      </c>
      <c r="J812" s="57"/>
    </row>
    <row r="813" spans="1:10">
      <c r="A813" s="582" t="s">
        <v>377</v>
      </c>
      <c r="B813" s="65">
        <v>1011</v>
      </c>
      <c r="C813" s="579" t="s">
        <v>281</v>
      </c>
      <c r="D813" s="579"/>
      <c r="E813" s="583"/>
      <c r="F813" s="596"/>
      <c r="G813" s="65">
        <v>0</v>
      </c>
      <c r="H813" s="591" t="s">
        <v>280</v>
      </c>
      <c r="I813" s="591" t="s">
        <v>280</v>
      </c>
      <c r="J813" s="57"/>
    </row>
    <row r="814" spans="1:10">
      <c r="A814" s="582" t="s">
        <v>377</v>
      </c>
      <c r="B814" s="65">
        <v>1012</v>
      </c>
      <c r="C814" s="579" t="s">
        <v>381</v>
      </c>
      <c r="D814" s="63">
        <v>10308</v>
      </c>
      <c r="E814" s="583"/>
      <c r="F814" s="585">
        <v>45535</v>
      </c>
      <c r="G814" s="65">
        <v>1</v>
      </c>
      <c r="H814" s="591" t="s">
        <v>1975</v>
      </c>
      <c r="I814" s="591" t="s">
        <v>78</v>
      </c>
      <c r="J814" s="57"/>
    </row>
    <row r="815" spans="1:10">
      <c r="A815" s="582" t="s">
        <v>377</v>
      </c>
      <c r="B815" s="65">
        <v>1013</v>
      </c>
      <c r="C815" s="579" t="s">
        <v>281</v>
      </c>
      <c r="D815" s="579"/>
      <c r="E815" s="583"/>
      <c r="F815" s="596"/>
      <c r="G815" s="65">
        <v>0</v>
      </c>
      <c r="H815" s="591" t="s">
        <v>280</v>
      </c>
      <c r="I815" s="591" t="s">
        <v>280</v>
      </c>
      <c r="J815" s="64"/>
    </row>
    <row r="816" spans="1:10">
      <c r="A816" s="582" t="s">
        <v>377</v>
      </c>
      <c r="B816" s="65">
        <v>1014</v>
      </c>
      <c r="C816" s="579" t="s">
        <v>281</v>
      </c>
      <c r="D816" s="63"/>
      <c r="E816" s="583"/>
      <c r="F816" s="596"/>
      <c r="G816" s="65">
        <v>0</v>
      </c>
      <c r="H816" s="591" t="s">
        <v>280</v>
      </c>
      <c r="I816" s="591" t="s">
        <v>280</v>
      </c>
      <c r="J816" s="57"/>
    </row>
    <row r="817" spans="1:10">
      <c r="A817" s="582" t="s">
        <v>377</v>
      </c>
      <c r="B817" s="65">
        <v>1015</v>
      </c>
      <c r="C817" s="579" t="s">
        <v>281</v>
      </c>
      <c r="D817" s="65"/>
      <c r="E817" s="583"/>
      <c r="F817" s="596"/>
      <c r="G817" s="65">
        <v>0</v>
      </c>
      <c r="H817" s="591" t="s">
        <v>280</v>
      </c>
      <c r="I817" s="591" t="s">
        <v>280</v>
      </c>
      <c r="J817" s="57"/>
    </row>
    <row r="818" spans="1:10">
      <c r="A818" s="582" t="s">
        <v>377</v>
      </c>
      <c r="B818" s="65">
        <v>1016</v>
      </c>
      <c r="C818" s="65" t="s">
        <v>281</v>
      </c>
      <c r="D818" s="65"/>
      <c r="E818" s="583"/>
      <c r="F818" s="596"/>
      <c r="G818" s="65">
        <v>0</v>
      </c>
      <c r="H818" s="591" t="s">
        <v>280</v>
      </c>
      <c r="I818" s="591" t="s">
        <v>280</v>
      </c>
      <c r="J818" s="57"/>
    </row>
    <row r="819" spans="1:10">
      <c r="A819" s="582" t="s">
        <v>377</v>
      </c>
      <c r="B819" s="65">
        <v>1017</v>
      </c>
      <c r="C819" s="579" t="s">
        <v>281</v>
      </c>
      <c r="D819" s="579"/>
      <c r="E819" s="583"/>
      <c r="F819" s="596"/>
      <c r="G819" s="65">
        <v>0</v>
      </c>
      <c r="H819" s="591" t="s">
        <v>280</v>
      </c>
      <c r="I819" s="591" t="s">
        <v>280</v>
      </c>
      <c r="J819" s="57"/>
    </row>
    <row r="820" spans="1:10">
      <c r="A820" s="582" t="s">
        <v>377</v>
      </c>
      <c r="B820" s="65">
        <v>1018</v>
      </c>
      <c r="C820" s="579" t="s">
        <v>281</v>
      </c>
      <c r="D820" s="579"/>
      <c r="E820" s="583"/>
      <c r="F820" s="596"/>
      <c r="G820" s="65">
        <v>0</v>
      </c>
      <c r="H820" s="591" t="s">
        <v>280</v>
      </c>
      <c r="I820" s="591" t="s">
        <v>280</v>
      </c>
      <c r="J820" s="57"/>
    </row>
    <row r="821" spans="1:10">
      <c r="A821" s="582" t="s">
        <v>377</v>
      </c>
      <c r="B821" s="65">
        <v>1019</v>
      </c>
      <c r="C821" s="579" t="s">
        <v>281</v>
      </c>
      <c r="D821" s="579"/>
      <c r="E821" s="583"/>
      <c r="F821" s="596"/>
      <c r="G821" s="65">
        <v>0</v>
      </c>
      <c r="H821" s="591" t="s">
        <v>280</v>
      </c>
      <c r="I821" s="591" t="s">
        <v>280</v>
      </c>
      <c r="J821" s="57"/>
    </row>
    <row r="822" spans="1:10">
      <c r="A822" s="582" t="s">
        <v>377</v>
      </c>
      <c r="B822" s="65">
        <v>1020</v>
      </c>
      <c r="C822" s="579" t="s">
        <v>281</v>
      </c>
      <c r="D822" s="65"/>
      <c r="E822" s="583"/>
      <c r="F822" s="596"/>
      <c r="G822" s="65">
        <v>0</v>
      </c>
      <c r="H822" s="591" t="s">
        <v>280</v>
      </c>
      <c r="I822" s="591" t="s">
        <v>280</v>
      </c>
      <c r="J822" s="57"/>
    </row>
    <row r="823" spans="1:10">
      <c r="A823" s="582" t="s">
        <v>377</v>
      </c>
      <c r="B823" s="65">
        <v>1021</v>
      </c>
      <c r="C823" s="579" t="s">
        <v>281</v>
      </c>
      <c r="D823" s="65"/>
      <c r="E823" s="583"/>
      <c r="F823" s="596"/>
      <c r="G823" s="65">
        <v>0</v>
      </c>
      <c r="H823" s="591" t="s">
        <v>280</v>
      </c>
      <c r="I823" s="591" t="s">
        <v>280</v>
      </c>
      <c r="J823" s="57"/>
    </row>
    <row r="824" spans="1:10">
      <c r="A824" s="582" t="s">
        <v>377</v>
      </c>
      <c r="B824" s="65">
        <v>1022</v>
      </c>
      <c r="C824" s="579" t="s">
        <v>281</v>
      </c>
      <c r="D824" s="65"/>
      <c r="E824" s="583"/>
      <c r="F824" s="596"/>
      <c r="G824" s="65">
        <v>0</v>
      </c>
      <c r="H824" s="591" t="s">
        <v>280</v>
      </c>
      <c r="I824" s="591" t="s">
        <v>280</v>
      </c>
      <c r="J824" s="57"/>
    </row>
    <row r="825" spans="1:10">
      <c r="A825" s="582" t="s">
        <v>377</v>
      </c>
      <c r="B825" s="65">
        <v>1023</v>
      </c>
      <c r="C825" s="579" t="s">
        <v>281</v>
      </c>
      <c r="D825" s="579"/>
      <c r="E825" s="583"/>
      <c r="F825" s="596"/>
      <c r="G825" s="65">
        <v>0</v>
      </c>
      <c r="H825" s="591" t="s">
        <v>280</v>
      </c>
      <c r="I825" s="591" t="s">
        <v>280</v>
      </c>
    </row>
    <row r="826" spans="1:10">
      <c r="A826" s="582" t="s">
        <v>377</v>
      </c>
      <c r="B826" s="65">
        <v>1024</v>
      </c>
      <c r="C826" s="579" t="s">
        <v>281</v>
      </c>
      <c r="D826" s="579"/>
      <c r="E826" s="583"/>
      <c r="F826" s="596"/>
      <c r="G826" s="65">
        <v>0</v>
      </c>
      <c r="H826" s="591" t="s">
        <v>280</v>
      </c>
      <c r="I826" s="591" t="s">
        <v>280</v>
      </c>
    </row>
    <row r="827" spans="1:10">
      <c r="A827" s="582" t="s">
        <v>377</v>
      </c>
      <c r="B827" s="65">
        <v>1025</v>
      </c>
      <c r="C827" s="579" t="s">
        <v>382</v>
      </c>
      <c r="D827" s="579">
        <v>10259</v>
      </c>
      <c r="E827" s="583"/>
      <c r="F827" s="585">
        <v>45535</v>
      </c>
      <c r="G827" s="65">
        <v>1</v>
      </c>
      <c r="H827" s="591" t="s">
        <v>1975</v>
      </c>
      <c r="I827" s="591" t="s">
        <v>78</v>
      </c>
    </row>
    <row r="828" spans="1:10">
      <c r="A828" s="582" t="s">
        <v>377</v>
      </c>
      <c r="B828" s="65">
        <v>1026</v>
      </c>
      <c r="C828" s="579" t="s">
        <v>281</v>
      </c>
      <c r="D828" s="579"/>
      <c r="E828" s="583"/>
      <c r="F828" s="596"/>
      <c r="G828" s="65">
        <v>0</v>
      </c>
      <c r="H828" s="591" t="s">
        <v>280</v>
      </c>
      <c r="I828" s="591" t="s">
        <v>280</v>
      </c>
    </row>
    <row r="829" spans="1:10">
      <c r="A829" s="582" t="s">
        <v>377</v>
      </c>
      <c r="B829" s="65">
        <v>1027</v>
      </c>
      <c r="C829" s="579" t="s">
        <v>281</v>
      </c>
      <c r="D829" s="579"/>
      <c r="E829" s="583"/>
      <c r="F829" s="596"/>
      <c r="G829" s="65">
        <v>0</v>
      </c>
      <c r="H829" s="591" t="s">
        <v>280</v>
      </c>
      <c r="I829" s="591" t="s">
        <v>280</v>
      </c>
    </row>
    <row r="830" spans="1:10">
      <c r="A830" s="582" t="s">
        <v>377</v>
      </c>
      <c r="B830" s="65">
        <v>1028</v>
      </c>
      <c r="C830" s="579" t="s">
        <v>383</v>
      </c>
      <c r="D830" s="63">
        <v>10522</v>
      </c>
      <c r="E830" s="583"/>
      <c r="F830" s="585">
        <v>45535</v>
      </c>
      <c r="G830" s="65">
        <v>1</v>
      </c>
      <c r="H830" s="591" t="s">
        <v>280</v>
      </c>
      <c r="I830" s="591" t="s">
        <v>280</v>
      </c>
    </row>
    <row r="831" spans="1:10">
      <c r="A831" s="582" t="s">
        <v>377</v>
      </c>
      <c r="B831" s="65">
        <v>1029</v>
      </c>
      <c r="C831" s="579" t="s">
        <v>281</v>
      </c>
      <c r="D831" s="579"/>
      <c r="E831" s="583"/>
      <c r="F831" s="596"/>
      <c r="G831" s="65">
        <v>0</v>
      </c>
      <c r="H831" s="591" t="s">
        <v>280</v>
      </c>
      <c r="I831" s="591" t="s">
        <v>280</v>
      </c>
    </row>
    <row r="832" spans="1:10">
      <c r="A832" s="582" t="s">
        <v>377</v>
      </c>
      <c r="B832" s="65">
        <v>1030</v>
      </c>
      <c r="C832" s="579" t="s">
        <v>281</v>
      </c>
      <c r="D832" s="579"/>
      <c r="E832" s="583"/>
      <c r="F832" s="596"/>
      <c r="G832" s="65">
        <v>0</v>
      </c>
      <c r="H832" s="591" t="s">
        <v>280</v>
      </c>
      <c r="I832" s="591" t="s">
        <v>280</v>
      </c>
    </row>
    <row r="833" spans="1:9">
      <c r="A833" s="582" t="s">
        <v>377</v>
      </c>
      <c r="B833" s="65">
        <v>1031</v>
      </c>
      <c r="C833" s="579" t="s">
        <v>281</v>
      </c>
      <c r="D833" s="579"/>
      <c r="E833" s="583"/>
      <c r="F833" s="596"/>
      <c r="G833" s="65">
        <v>0</v>
      </c>
      <c r="H833" s="591" t="s">
        <v>280</v>
      </c>
      <c r="I833" s="591" t="s">
        <v>280</v>
      </c>
    </row>
    <row r="834" spans="1:9">
      <c r="A834" s="582" t="s">
        <v>377</v>
      </c>
      <c r="B834" s="65">
        <v>1032</v>
      </c>
      <c r="C834" s="579" t="s">
        <v>281</v>
      </c>
      <c r="D834" s="63"/>
      <c r="E834" s="583"/>
      <c r="F834" s="596"/>
      <c r="G834" s="65">
        <v>0</v>
      </c>
      <c r="H834" s="591" t="s">
        <v>280</v>
      </c>
      <c r="I834" s="591" t="s">
        <v>280</v>
      </c>
    </row>
    <row r="835" spans="1:9">
      <c r="A835" s="582" t="s">
        <v>377</v>
      </c>
      <c r="B835" s="65">
        <v>1033</v>
      </c>
      <c r="C835" s="579" t="s">
        <v>281</v>
      </c>
      <c r="D835" s="579"/>
      <c r="E835" s="583"/>
      <c r="F835" s="596"/>
      <c r="G835" s="65">
        <v>0</v>
      </c>
      <c r="H835" s="591" t="s">
        <v>280</v>
      </c>
      <c r="I835" s="591" t="s">
        <v>280</v>
      </c>
    </row>
    <row r="836" spans="1:9">
      <c r="A836" s="582" t="s">
        <v>377</v>
      </c>
      <c r="B836" s="65">
        <v>1034</v>
      </c>
      <c r="C836" s="579" t="s">
        <v>281</v>
      </c>
      <c r="D836" s="63"/>
      <c r="E836" s="583"/>
      <c r="F836" s="596"/>
      <c r="G836" s="65">
        <v>0</v>
      </c>
      <c r="H836" s="591" t="s">
        <v>280</v>
      </c>
      <c r="I836" s="591" t="s">
        <v>280</v>
      </c>
    </row>
    <row r="837" spans="1:9">
      <c r="A837" s="582" t="s">
        <v>377</v>
      </c>
      <c r="B837" s="65">
        <v>1035</v>
      </c>
      <c r="C837" s="579" t="s">
        <v>384</v>
      </c>
      <c r="D837" s="63">
        <v>10042</v>
      </c>
      <c r="E837" s="583"/>
      <c r="F837" s="585">
        <v>45535</v>
      </c>
      <c r="G837" s="65">
        <v>1</v>
      </c>
      <c r="H837" s="591" t="s">
        <v>1975</v>
      </c>
      <c r="I837" s="591" t="s">
        <v>78</v>
      </c>
    </row>
    <row r="838" spans="1:9">
      <c r="A838" s="582" t="s">
        <v>377</v>
      </c>
      <c r="B838" s="65">
        <v>1036</v>
      </c>
      <c r="C838" s="579" t="s">
        <v>385</v>
      </c>
      <c r="D838" s="579">
        <v>10208</v>
      </c>
      <c r="E838" s="583"/>
      <c r="F838" s="585">
        <v>45535</v>
      </c>
      <c r="G838" s="65">
        <v>1</v>
      </c>
      <c r="H838" s="591" t="s">
        <v>1975</v>
      </c>
      <c r="I838" s="591" t="s">
        <v>78</v>
      </c>
    </row>
    <row r="839" spans="1:9">
      <c r="A839" s="582" t="s">
        <v>377</v>
      </c>
      <c r="B839" s="65">
        <v>1037</v>
      </c>
      <c r="C839" s="579" t="s">
        <v>281</v>
      </c>
      <c r="D839" s="579"/>
      <c r="E839" s="583"/>
      <c r="F839" s="596"/>
      <c r="G839" s="65">
        <v>0</v>
      </c>
      <c r="H839" s="591" t="s">
        <v>280</v>
      </c>
      <c r="I839" s="591" t="s">
        <v>280</v>
      </c>
    </row>
    <row r="840" spans="1:9">
      <c r="A840" s="582" t="s">
        <v>377</v>
      </c>
      <c r="B840" s="65">
        <v>1038</v>
      </c>
      <c r="C840" s="65" t="s">
        <v>352</v>
      </c>
      <c r="D840" s="63">
        <v>10218</v>
      </c>
      <c r="E840" s="583"/>
      <c r="F840" s="585">
        <v>45535</v>
      </c>
      <c r="G840" s="65">
        <v>1</v>
      </c>
      <c r="H840" s="591" t="s">
        <v>1975</v>
      </c>
      <c r="I840" s="591" t="s">
        <v>78</v>
      </c>
    </row>
    <row r="841" spans="1:9">
      <c r="A841" s="582" t="s">
        <v>377</v>
      </c>
      <c r="B841" s="65">
        <v>1039</v>
      </c>
      <c r="C841" s="65" t="s">
        <v>1683</v>
      </c>
      <c r="D841" s="65">
        <v>10878</v>
      </c>
      <c r="E841" s="583"/>
      <c r="F841" s="585">
        <v>45535</v>
      </c>
      <c r="G841" s="65">
        <v>1</v>
      </c>
      <c r="H841" s="591" t="s">
        <v>1975</v>
      </c>
      <c r="I841" s="591" t="s">
        <v>78</v>
      </c>
    </row>
    <row r="842" spans="1:9">
      <c r="A842" s="582" t="s">
        <v>377</v>
      </c>
      <c r="B842" s="65">
        <v>1040</v>
      </c>
      <c r="C842" s="63" t="s">
        <v>497</v>
      </c>
      <c r="D842" s="579">
        <v>10613</v>
      </c>
      <c r="E842" s="583"/>
      <c r="F842" s="585">
        <v>45535</v>
      </c>
      <c r="G842" s="65">
        <v>1</v>
      </c>
      <c r="H842" s="591" t="s">
        <v>1975</v>
      </c>
      <c r="I842" s="591" t="s">
        <v>78</v>
      </c>
    </row>
    <row r="843" spans="1:9">
      <c r="A843" s="582" t="s">
        <v>377</v>
      </c>
      <c r="B843" s="65">
        <v>1041</v>
      </c>
      <c r="C843" s="65" t="s">
        <v>485</v>
      </c>
      <c r="D843" s="65">
        <v>10462</v>
      </c>
      <c r="E843" s="583"/>
      <c r="F843" s="585">
        <v>45535</v>
      </c>
      <c r="G843" s="65">
        <v>1</v>
      </c>
      <c r="H843" s="591" t="s">
        <v>1975</v>
      </c>
      <c r="I843" s="591" t="s">
        <v>78</v>
      </c>
    </row>
    <row r="844" spans="1:9">
      <c r="A844" s="582" t="s">
        <v>377</v>
      </c>
      <c r="B844" s="65">
        <v>1042</v>
      </c>
      <c r="C844" s="579" t="s">
        <v>2047</v>
      </c>
      <c r="D844" s="579">
        <v>11079</v>
      </c>
      <c r="E844" s="583"/>
      <c r="F844" s="585">
        <v>45682</v>
      </c>
      <c r="G844" s="65">
        <v>1</v>
      </c>
      <c r="H844" s="591" t="s">
        <v>280</v>
      </c>
      <c r="I844" s="591" t="s">
        <v>280</v>
      </c>
    </row>
    <row r="845" spans="1:9">
      <c r="A845" s="582" t="s">
        <v>377</v>
      </c>
      <c r="B845" s="65">
        <v>1043</v>
      </c>
      <c r="C845" s="65" t="s">
        <v>281</v>
      </c>
      <c r="D845" s="65"/>
      <c r="E845" s="583"/>
      <c r="F845" s="596"/>
      <c r="G845" s="65">
        <v>0</v>
      </c>
      <c r="H845" s="591" t="s">
        <v>280</v>
      </c>
      <c r="I845" s="591" t="s">
        <v>280</v>
      </c>
    </row>
    <row r="846" spans="1:9">
      <c r="A846" s="582" t="s">
        <v>377</v>
      </c>
      <c r="B846" s="65">
        <v>1044</v>
      </c>
      <c r="C846" s="579" t="s">
        <v>281</v>
      </c>
      <c r="D846" s="579"/>
      <c r="E846" s="583"/>
      <c r="F846" s="596"/>
      <c r="G846" s="65">
        <v>0</v>
      </c>
      <c r="H846" s="591" t="s">
        <v>280</v>
      </c>
      <c r="I846" s="591" t="s">
        <v>280</v>
      </c>
    </row>
    <row r="847" spans="1:9">
      <c r="A847" s="582" t="s">
        <v>377</v>
      </c>
      <c r="B847" s="65">
        <v>1045</v>
      </c>
      <c r="C847" s="65" t="s">
        <v>281</v>
      </c>
      <c r="D847" s="65"/>
      <c r="E847" s="583"/>
      <c r="F847" s="596"/>
      <c r="G847" s="65">
        <v>0</v>
      </c>
      <c r="H847" s="591" t="s">
        <v>280</v>
      </c>
      <c r="I847" s="591" t="s">
        <v>280</v>
      </c>
    </row>
    <row r="848" spans="1:9">
      <c r="A848" s="582" t="s">
        <v>377</v>
      </c>
      <c r="B848" s="65">
        <v>1046</v>
      </c>
      <c r="C848" s="579" t="s">
        <v>281</v>
      </c>
      <c r="D848" s="579"/>
      <c r="E848" s="583"/>
      <c r="F848" s="596"/>
      <c r="G848" s="65">
        <v>0</v>
      </c>
      <c r="H848" s="591" t="s">
        <v>280</v>
      </c>
      <c r="I848" s="591" t="s">
        <v>280</v>
      </c>
    </row>
    <row r="849" spans="1:9">
      <c r="A849" s="582" t="s">
        <v>377</v>
      </c>
      <c r="B849" s="65">
        <v>1047</v>
      </c>
      <c r="C849" s="579" t="s">
        <v>281</v>
      </c>
      <c r="D849" s="579"/>
      <c r="E849" s="583"/>
      <c r="F849" s="596"/>
      <c r="G849" s="65">
        <v>0</v>
      </c>
      <c r="H849" s="591" t="s">
        <v>280</v>
      </c>
      <c r="I849" s="591" t="s">
        <v>280</v>
      </c>
    </row>
    <row r="850" spans="1:9">
      <c r="A850" s="582" t="s">
        <v>377</v>
      </c>
      <c r="B850" s="65">
        <v>1048</v>
      </c>
      <c r="C850" s="579" t="s">
        <v>281</v>
      </c>
      <c r="D850" s="579"/>
      <c r="E850" s="583"/>
      <c r="F850" s="596"/>
      <c r="G850" s="65">
        <v>0</v>
      </c>
      <c r="H850" s="591" t="s">
        <v>280</v>
      </c>
      <c r="I850" s="591" t="s">
        <v>280</v>
      </c>
    </row>
    <row r="851" spans="1:9">
      <c r="A851" s="582" t="s">
        <v>377</v>
      </c>
      <c r="B851" s="65">
        <v>1049</v>
      </c>
      <c r="C851" s="579" t="s">
        <v>281</v>
      </c>
      <c r="D851" s="579"/>
      <c r="E851" s="583"/>
      <c r="F851" s="596"/>
      <c r="G851" s="65">
        <v>0</v>
      </c>
      <c r="H851" s="591" t="s">
        <v>280</v>
      </c>
      <c r="I851" s="591" t="s">
        <v>280</v>
      </c>
    </row>
    <row r="852" spans="1:9">
      <c r="A852" s="582" t="s">
        <v>377</v>
      </c>
      <c r="B852" s="65">
        <v>1050</v>
      </c>
      <c r="C852" s="579" t="s">
        <v>281</v>
      </c>
      <c r="D852" s="579"/>
      <c r="E852" s="583"/>
      <c r="F852" s="596"/>
      <c r="G852" s="65">
        <v>0</v>
      </c>
      <c r="H852" s="591" t="s">
        <v>280</v>
      </c>
      <c r="I852" s="591" t="s">
        <v>280</v>
      </c>
    </row>
    <row r="853" spans="1:9">
      <c r="A853" s="582" t="s">
        <v>377</v>
      </c>
      <c r="B853" s="65">
        <v>1051</v>
      </c>
      <c r="C853" s="579" t="s">
        <v>281</v>
      </c>
      <c r="D853" s="579"/>
      <c r="E853" s="583"/>
      <c r="F853" s="596"/>
      <c r="G853" s="65">
        <v>0</v>
      </c>
      <c r="H853" s="591" t="s">
        <v>280</v>
      </c>
      <c r="I853" s="591" t="s">
        <v>280</v>
      </c>
    </row>
    <row r="854" spans="1:9">
      <c r="A854" s="582" t="s">
        <v>377</v>
      </c>
      <c r="B854" s="65">
        <v>1052</v>
      </c>
      <c r="C854" s="579" t="s">
        <v>281</v>
      </c>
      <c r="D854" s="579"/>
      <c r="E854" s="583"/>
      <c r="F854" s="596"/>
      <c r="G854" s="65">
        <v>0</v>
      </c>
      <c r="H854" s="591" t="s">
        <v>280</v>
      </c>
      <c r="I854" s="591" t="s">
        <v>280</v>
      </c>
    </row>
    <row r="855" spans="1:9">
      <c r="A855" s="582" t="s">
        <v>377</v>
      </c>
      <c r="B855" s="65">
        <v>1053</v>
      </c>
      <c r="C855" s="579" t="s">
        <v>281</v>
      </c>
      <c r="D855" s="579"/>
      <c r="E855" s="583"/>
      <c r="F855" s="596"/>
      <c r="G855" s="65">
        <v>0</v>
      </c>
      <c r="H855" s="591" t="s">
        <v>280</v>
      </c>
      <c r="I855" s="591" t="s">
        <v>280</v>
      </c>
    </row>
    <row r="856" spans="1:9">
      <c r="A856" s="582" t="s">
        <v>377</v>
      </c>
      <c r="B856" s="65">
        <v>1054</v>
      </c>
      <c r="C856" s="579" t="s">
        <v>281</v>
      </c>
      <c r="D856" s="579"/>
      <c r="E856" s="583"/>
      <c r="F856" s="596"/>
      <c r="G856" s="65">
        <v>0</v>
      </c>
      <c r="H856" s="591" t="s">
        <v>280</v>
      </c>
      <c r="I856" s="591" t="s">
        <v>280</v>
      </c>
    </row>
    <row r="857" spans="1:9">
      <c r="A857" s="582" t="s">
        <v>377</v>
      </c>
      <c r="B857" s="65">
        <v>1055</v>
      </c>
      <c r="C857" s="579" t="s">
        <v>281</v>
      </c>
      <c r="D857" s="579"/>
      <c r="E857" s="583"/>
      <c r="F857" s="596"/>
      <c r="G857" s="65">
        <v>0</v>
      </c>
      <c r="H857" s="591" t="s">
        <v>280</v>
      </c>
      <c r="I857" s="591" t="s">
        <v>280</v>
      </c>
    </row>
    <row r="858" spans="1:9">
      <c r="A858" s="582" t="s">
        <v>377</v>
      </c>
      <c r="B858" s="65">
        <v>1056</v>
      </c>
      <c r="C858" s="579" t="s">
        <v>281</v>
      </c>
      <c r="D858" s="579"/>
      <c r="E858" s="583"/>
      <c r="F858" s="596"/>
      <c r="G858" s="65">
        <v>0</v>
      </c>
      <c r="H858" s="591" t="s">
        <v>280</v>
      </c>
      <c r="I858" s="591" t="s">
        <v>280</v>
      </c>
    </row>
    <row r="859" spans="1:9">
      <c r="A859" s="582" t="s">
        <v>377</v>
      </c>
      <c r="B859" s="65">
        <v>1057</v>
      </c>
      <c r="C859" s="579" t="s">
        <v>281</v>
      </c>
      <c r="D859" s="579"/>
      <c r="E859" s="583"/>
      <c r="F859" s="596"/>
      <c r="G859" s="65">
        <v>0</v>
      </c>
      <c r="H859" s="591" t="s">
        <v>280</v>
      </c>
      <c r="I859" s="591" t="s">
        <v>280</v>
      </c>
    </row>
    <row r="860" spans="1:9">
      <c r="A860" s="582" t="s">
        <v>377</v>
      </c>
      <c r="B860" s="65">
        <v>1058</v>
      </c>
      <c r="C860" s="579" t="s">
        <v>281</v>
      </c>
      <c r="D860" s="579"/>
      <c r="E860" s="583"/>
      <c r="F860" s="596"/>
      <c r="G860" s="65">
        <v>0</v>
      </c>
      <c r="H860" s="591" t="s">
        <v>280</v>
      </c>
      <c r="I860" s="591" t="s">
        <v>280</v>
      </c>
    </row>
    <row r="861" spans="1:9">
      <c r="A861" s="582" t="s">
        <v>377</v>
      </c>
      <c r="B861" s="65">
        <v>1059</v>
      </c>
      <c r="C861" s="579" t="s">
        <v>281</v>
      </c>
      <c r="D861" s="579"/>
      <c r="E861" s="583"/>
      <c r="F861" s="596"/>
      <c r="G861" s="65">
        <v>0</v>
      </c>
      <c r="H861" s="591" t="s">
        <v>280</v>
      </c>
      <c r="I861" s="591" t="s">
        <v>280</v>
      </c>
    </row>
    <row r="862" spans="1:9">
      <c r="A862" s="582" t="s">
        <v>377</v>
      </c>
      <c r="B862" s="65">
        <v>1060</v>
      </c>
      <c r="C862" s="579" t="s">
        <v>281</v>
      </c>
      <c r="D862" s="579"/>
      <c r="E862" s="583"/>
      <c r="F862" s="596"/>
      <c r="G862" s="65">
        <v>0</v>
      </c>
      <c r="H862" s="591" t="s">
        <v>280</v>
      </c>
      <c r="I862" s="591" t="s">
        <v>280</v>
      </c>
    </row>
    <row r="863" spans="1:9">
      <c r="A863" s="582" t="s">
        <v>377</v>
      </c>
      <c r="B863" s="65">
        <v>1061</v>
      </c>
      <c r="C863" s="579" t="s">
        <v>281</v>
      </c>
      <c r="D863" s="579"/>
      <c r="E863" s="583"/>
      <c r="F863" s="596"/>
      <c r="G863" s="65">
        <v>0</v>
      </c>
      <c r="H863" s="591" t="s">
        <v>280</v>
      </c>
      <c r="I863" s="591" t="s">
        <v>280</v>
      </c>
    </row>
    <row r="864" spans="1:9">
      <c r="A864" s="582" t="s">
        <v>377</v>
      </c>
      <c r="B864" s="65">
        <v>1062</v>
      </c>
      <c r="C864" s="579" t="s">
        <v>281</v>
      </c>
      <c r="D864" s="579"/>
      <c r="E864" s="583"/>
      <c r="F864" s="596"/>
      <c r="G864" s="65">
        <v>0</v>
      </c>
      <c r="H864" s="591" t="s">
        <v>280</v>
      </c>
      <c r="I864" s="591" t="s">
        <v>280</v>
      </c>
    </row>
    <row r="865" spans="1:9">
      <c r="A865" s="582" t="s">
        <v>377</v>
      </c>
      <c r="B865" s="65">
        <v>1063</v>
      </c>
      <c r="C865" s="579" t="s">
        <v>281</v>
      </c>
      <c r="D865" s="579"/>
      <c r="E865" s="583"/>
      <c r="F865" s="596"/>
      <c r="G865" s="65">
        <v>0</v>
      </c>
      <c r="H865" s="591" t="s">
        <v>280</v>
      </c>
      <c r="I865" s="591" t="s">
        <v>280</v>
      </c>
    </row>
    <row r="866" spans="1:9">
      <c r="A866" s="582" t="s">
        <v>377</v>
      </c>
      <c r="B866" s="65">
        <v>1064</v>
      </c>
      <c r="C866" s="579" t="s">
        <v>281</v>
      </c>
      <c r="D866" s="579"/>
      <c r="E866" s="583"/>
      <c r="F866" s="596"/>
      <c r="G866" s="65">
        <v>0</v>
      </c>
      <c r="H866" s="591" t="s">
        <v>280</v>
      </c>
      <c r="I866" s="591" t="s">
        <v>280</v>
      </c>
    </row>
    <row r="867" spans="1:9">
      <c r="A867" s="582" t="s">
        <v>377</v>
      </c>
      <c r="B867" s="65">
        <v>1065</v>
      </c>
      <c r="C867" s="579" t="s">
        <v>281</v>
      </c>
      <c r="D867" s="579"/>
      <c r="E867" s="583"/>
      <c r="F867" s="596"/>
      <c r="G867" s="65">
        <v>0</v>
      </c>
      <c r="H867" s="591" t="s">
        <v>280</v>
      </c>
      <c r="I867" s="591" t="s">
        <v>280</v>
      </c>
    </row>
    <row r="868" spans="1:9">
      <c r="A868" s="582" t="s">
        <v>377</v>
      </c>
      <c r="B868" s="65">
        <v>1066</v>
      </c>
      <c r="C868" s="579" t="s">
        <v>281</v>
      </c>
      <c r="D868" s="579"/>
      <c r="E868" s="583"/>
      <c r="F868" s="596"/>
      <c r="G868" s="65">
        <v>0</v>
      </c>
      <c r="H868" s="591" t="s">
        <v>280</v>
      </c>
      <c r="I868" s="591" t="s">
        <v>280</v>
      </c>
    </row>
    <row r="869" spans="1:9">
      <c r="A869" s="582" t="s">
        <v>377</v>
      </c>
      <c r="B869" s="65">
        <v>1067</v>
      </c>
      <c r="C869" s="579" t="s">
        <v>281</v>
      </c>
      <c r="D869" s="579"/>
      <c r="E869" s="583"/>
      <c r="F869" s="596"/>
      <c r="G869" s="65">
        <v>0</v>
      </c>
      <c r="H869" s="591" t="s">
        <v>280</v>
      </c>
      <c r="I869" s="591" t="s">
        <v>280</v>
      </c>
    </row>
    <row r="870" spans="1:9">
      <c r="A870" s="582" t="s">
        <v>377</v>
      </c>
      <c r="B870" s="65">
        <v>1068</v>
      </c>
      <c r="C870" s="579" t="s">
        <v>281</v>
      </c>
      <c r="D870" s="579"/>
      <c r="E870" s="583"/>
      <c r="F870" s="596"/>
      <c r="G870" s="65">
        <v>0</v>
      </c>
      <c r="H870" s="591" t="s">
        <v>280</v>
      </c>
      <c r="I870" s="591" t="s">
        <v>280</v>
      </c>
    </row>
    <row r="871" spans="1:9">
      <c r="A871" s="582" t="s">
        <v>377</v>
      </c>
      <c r="B871" s="65">
        <v>1069</v>
      </c>
      <c r="C871" s="579" t="s">
        <v>281</v>
      </c>
      <c r="D871" s="579"/>
      <c r="E871" s="583"/>
      <c r="F871" s="596"/>
      <c r="G871" s="65">
        <v>0</v>
      </c>
      <c r="H871" s="591" t="s">
        <v>280</v>
      </c>
      <c r="I871" s="591" t="s">
        <v>280</v>
      </c>
    </row>
    <row r="872" spans="1:9">
      <c r="A872" s="582" t="s">
        <v>377</v>
      </c>
      <c r="B872" s="65">
        <v>1070</v>
      </c>
      <c r="C872" s="579" t="s">
        <v>281</v>
      </c>
      <c r="D872" s="579"/>
      <c r="E872" s="583"/>
      <c r="F872" s="596"/>
      <c r="G872" s="65">
        <v>0</v>
      </c>
      <c r="H872" s="591" t="s">
        <v>280</v>
      </c>
      <c r="I872" s="591" t="s">
        <v>280</v>
      </c>
    </row>
    <row r="873" spans="1:9">
      <c r="A873" s="582" t="s">
        <v>377</v>
      </c>
      <c r="B873" s="65">
        <v>1071</v>
      </c>
      <c r="C873" s="579" t="s">
        <v>281</v>
      </c>
      <c r="D873" s="579"/>
      <c r="E873" s="583"/>
      <c r="F873" s="596"/>
      <c r="G873" s="65">
        <v>0</v>
      </c>
      <c r="H873" s="591" t="s">
        <v>280</v>
      </c>
      <c r="I873" s="591" t="s">
        <v>280</v>
      </c>
    </row>
    <row r="874" spans="1:9">
      <c r="A874" s="582" t="s">
        <v>377</v>
      </c>
      <c r="B874" s="65">
        <v>1072</v>
      </c>
      <c r="C874" s="579" t="s">
        <v>281</v>
      </c>
      <c r="D874" s="579"/>
      <c r="E874" s="583"/>
      <c r="F874" s="596"/>
      <c r="G874" s="65">
        <v>0</v>
      </c>
      <c r="H874" s="591" t="s">
        <v>280</v>
      </c>
      <c r="I874" s="591" t="s">
        <v>280</v>
      </c>
    </row>
    <row r="875" spans="1:9">
      <c r="A875" s="582" t="s">
        <v>377</v>
      </c>
      <c r="B875" s="65">
        <v>1073</v>
      </c>
      <c r="C875" s="579" t="s">
        <v>281</v>
      </c>
      <c r="D875" s="579"/>
      <c r="E875" s="583"/>
      <c r="F875" s="596"/>
      <c r="G875" s="65">
        <v>0</v>
      </c>
      <c r="H875" s="591" t="s">
        <v>280</v>
      </c>
      <c r="I875" s="591" t="s">
        <v>280</v>
      </c>
    </row>
    <row r="876" spans="1:9">
      <c r="A876" s="582" t="s">
        <v>377</v>
      </c>
      <c r="B876" s="65">
        <v>1074</v>
      </c>
      <c r="C876" s="579" t="s">
        <v>281</v>
      </c>
      <c r="D876" s="579"/>
      <c r="E876" s="583"/>
      <c r="F876" s="596"/>
      <c r="G876" s="65">
        <v>0</v>
      </c>
      <c r="H876" s="591" t="s">
        <v>280</v>
      </c>
      <c r="I876" s="591" t="s">
        <v>280</v>
      </c>
    </row>
    <row r="877" spans="1:9">
      <c r="A877" s="582" t="s">
        <v>377</v>
      </c>
      <c r="B877" s="65">
        <v>1075</v>
      </c>
      <c r="C877" s="579" t="s">
        <v>281</v>
      </c>
      <c r="D877" s="579"/>
      <c r="E877" s="583"/>
      <c r="F877" s="596"/>
      <c r="G877" s="65">
        <v>0</v>
      </c>
      <c r="H877" s="591" t="s">
        <v>280</v>
      </c>
      <c r="I877" s="591" t="s">
        <v>280</v>
      </c>
    </row>
    <row r="878" spans="1:9">
      <c r="A878" s="582" t="s">
        <v>377</v>
      </c>
      <c r="B878" s="65">
        <v>1076</v>
      </c>
      <c r="C878" s="579" t="s">
        <v>281</v>
      </c>
      <c r="D878" s="579"/>
      <c r="E878" s="583"/>
      <c r="F878" s="596"/>
      <c r="G878" s="65">
        <v>0</v>
      </c>
      <c r="H878" s="591" t="s">
        <v>280</v>
      </c>
      <c r="I878" s="591" t="s">
        <v>280</v>
      </c>
    </row>
    <row r="879" spans="1:9">
      <c r="A879" s="582" t="s">
        <v>377</v>
      </c>
      <c r="B879" s="65">
        <v>1077</v>
      </c>
      <c r="C879" s="579" t="s">
        <v>281</v>
      </c>
      <c r="D879" s="579"/>
      <c r="E879" s="583"/>
      <c r="F879" s="596"/>
      <c r="G879" s="65">
        <v>0</v>
      </c>
      <c r="H879" s="591" t="s">
        <v>280</v>
      </c>
      <c r="I879" s="591" t="s">
        <v>280</v>
      </c>
    </row>
    <row r="880" spans="1:9">
      <c r="A880" s="582" t="s">
        <v>377</v>
      </c>
      <c r="B880" s="65">
        <v>1078</v>
      </c>
      <c r="C880" s="579" t="s">
        <v>281</v>
      </c>
      <c r="D880" s="579"/>
      <c r="E880" s="583"/>
      <c r="F880" s="596"/>
      <c r="G880" s="65">
        <v>0</v>
      </c>
      <c r="H880" s="591" t="s">
        <v>280</v>
      </c>
      <c r="I880" s="591" t="s">
        <v>280</v>
      </c>
    </row>
    <row r="881" spans="1:9">
      <c r="A881" s="582" t="s">
        <v>377</v>
      </c>
      <c r="B881" s="65">
        <v>1079</v>
      </c>
      <c r="C881" s="579" t="s">
        <v>281</v>
      </c>
      <c r="D881" s="579"/>
      <c r="E881" s="583"/>
      <c r="F881" s="596"/>
      <c r="G881" s="65">
        <v>0</v>
      </c>
      <c r="H881" s="591" t="s">
        <v>280</v>
      </c>
      <c r="I881" s="591" t="s">
        <v>280</v>
      </c>
    </row>
    <row r="882" spans="1:9">
      <c r="A882" s="582" t="s">
        <v>377</v>
      </c>
      <c r="B882" s="65">
        <v>1080</v>
      </c>
      <c r="C882" s="579" t="s">
        <v>281</v>
      </c>
      <c r="D882" s="579"/>
      <c r="E882" s="583"/>
      <c r="F882" s="596"/>
      <c r="G882" s="65">
        <v>0</v>
      </c>
      <c r="H882" s="591" t="s">
        <v>280</v>
      </c>
      <c r="I882" s="591" t="s">
        <v>280</v>
      </c>
    </row>
    <row r="883" spans="1:9">
      <c r="A883" s="582" t="s">
        <v>377</v>
      </c>
      <c r="B883" s="65">
        <v>1081</v>
      </c>
      <c r="C883" s="579" t="s">
        <v>281</v>
      </c>
      <c r="D883" s="579"/>
      <c r="E883" s="583"/>
      <c r="F883" s="596"/>
      <c r="G883" s="65">
        <v>0</v>
      </c>
      <c r="H883" s="591" t="s">
        <v>280</v>
      </c>
      <c r="I883" s="591" t="s">
        <v>280</v>
      </c>
    </row>
    <row r="884" spans="1:9">
      <c r="A884" s="582" t="s">
        <v>377</v>
      </c>
      <c r="B884" s="65">
        <v>1082</v>
      </c>
      <c r="C884" s="579" t="s">
        <v>281</v>
      </c>
      <c r="D884" s="579"/>
      <c r="E884" s="583"/>
      <c r="F884" s="596"/>
      <c r="G884" s="65">
        <v>0</v>
      </c>
      <c r="H884" s="591" t="s">
        <v>280</v>
      </c>
      <c r="I884" s="591" t="s">
        <v>280</v>
      </c>
    </row>
    <row r="885" spans="1:9">
      <c r="A885" s="582" t="s">
        <v>377</v>
      </c>
      <c r="B885" s="65">
        <v>1083</v>
      </c>
      <c r="C885" s="579" t="s">
        <v>281</v>
      </c>
      <c r="D885" s="579"/>
      <c r="E885" s="583"/>
      <c r="F885" s="596"/>
      <c r="G885" s="65">
        <v>0</v>
      </c>
      <c r="H885" s="591" t="s">
        <v>280</v>
      </c>
      <c r="I885" s="591" t="s">
        <v>280</v>
      </c>
    </row>
    <row r="886" spans="1:9">
      <c r="A886" s="582" t="s">
        <v>377</v>
      </c>
      <c r="B886" s="65">
        <v>1084</v>
      </c>
      <c r="C886" s="579" t="s">
        <v>281</v>
      </c>
      <c r="D886" s="579"/>
      <c r="E886" s="583"/>
      <c r="F886" s="596"/>
      <c r="G886" s="65">
        <v>0</v>
      </c>
      <c r="H886" s="591" t="s">
        <v>280</v>
      </c>
      <c r="I886" s="591" t="s">
        <v>280</v>
      </c>
    </row>
    <row r="887" spans="1:9">
      <c r="A887" s="582" t="s">
        <v>377</v>
      </c>
      <c r="B887" s="65">
        <v>1085</v>
      </c>
      <c r="C887" s="579" t="s">
        <v>281</v>
      </c>
      <c r="D887" s="579"/>
      <c r="E887" s="583"/>
      <c r="F887" s="596"/>
      <c r="G887" s="65">
        <v>0</v>
      </c>
      <c r="H887" s="591" t="s">
        <v>280</v>
      </c>
      <c r="I887" s="591" t="s">
        <v>280</v>
      </c>
    </row>
    <row r="888" spans="1:9">
      <c r="A888" s="582" t="s">
        <v>377</v>
      </c>
      <c r="B888" s="65">
        <v>1086</v>
      </c>
      <c r="C888" s="579" t="s">
        <v>281</v>
      </c>
      <c r="D888" s="579"/>
      <c r="E888" s="583"/>
      <c r="F888" s="596"/>
      <c r="G888" s="65">
        <v>0</v>
      </c>
      <c r="H888" s="591" t="s">
        <v>280</v>
      </c>
      <c r="I888" s="591" t="s">
        <v>280</v>
      </c>
    </row>
    <row r="889" spans="1:9">
      <c r="A889" s="582" t="s">
        <v>377</v>
      </c>
      <c r="B889" s="65">
        <v>1087</v>
      </c>
      <c r="C889" s="579" t="s">
        <v>281</v>
      </c>
      <c r="D889" s="579"/>
      <c r="E889" s="583"/>
      <c r="F889" s="596"/>
      <c r="G889" s="65">
        <v>0</v>
      </c>
      <c r="H889" s="591" t="s">
        <v>280</v>
      </c>
      <c r="I889" s="591" t="s">
        <v>280</v>
      </c>
    </row>
    <row r="890" spans="1:9">
      <c r="A890" s="582" t="s">
        <v>377</v>
      </c>
      <c r="B890" s="65">
        <v>1088</v>
      </c>
      <c r="C890" s="579" t="s">
        <v>281</v>
      </c>
      <c r="D890" s="579"/>
      <c r="E890" s="583"/>
      <c r="F890" s="596"/>
      <c r="G890" s="65">
        <v>0</v>
      </c>
      <c r="H890" s="591" t="s">
        <v>280</v>
      </c>
      <c r="I890" s="591" t="s">
        <v>280</v>
      </c>
    </row>
    <row r="891" spans="1:9">
      <c r="A891" s="582" t="s">
        <v>377</v>
      </c>
      <c r="B891" s="65">
        <v>1089</v>
      </c>
      <c r="C891" s="579" t="s">
        <v>281</v>
      </c>
      <c r="D891" s="579"/>
      <c r="E891" s="583"/>
      <c r="F891" s="596"/>
      <c r="G891" s="65">
        <v>0</v>
      </c>
      <c r="H891" s="591" t="s">
        <v>280</v>
      </c>
      <c r="I891" s="591" t="s">
        <v>280</v>
      </c>
    </row>
    <row r="892" spans="1:9">
      <c r="A892" s="582" t="s">
        <v>377</v>
      </c>
      <c r="B892" s="65">
        <v>1090</v>
      </c>
      <c r="C892" s="579" t="s">
        <v>281</v>
      </c>
      <c r="D892" s="579"/>
      <c r="E892" s="583"/>
      <c r="F892" s="596"/>
      <c r="G892" s="65">
        <v>0</v>
      </c>
      <c r="H892" s="591" t="s">
        <v>280</v>
      </c>
      <c r="I892" s="591" t="s">
        <v>280</v>
      </c>
    </row>
    <row r="893" spans="1:9">
      <c r="A893" s="582" t="s">
        <v>377</v>
      </c>
      <c r="B893" s="65">
        <v>1091</v>
      </c>
      <c r="C893" s="579" t="s">
        <v>281</v>
      </c>
      <c r="D893" s="579"/>
      <c r="E893" s="583"/>
      <c r="F893" s="596"/>
      <c r="G893" s="65">
        <v>0</v>
      </c>
      <c r="H893" s="591" t="s">
        <v>280</v>
      </c>
      <c r="I893" s="591" t="s">
        <v>280</v>
      </c>
    </row>
    <row r="894" spans="1:9">
      <c r="A894" s="582" t="s">
        <v>377</v>
      </c>
      <c r="B894" s="65">
        <v>1092</v>
      </c>
      <c r="C894" s="579" t="s">
        <v>281</v>
      </c>
      <c r="D894" s="579"/>
      <c r="E894" s="583"/>
      <c r="F894" s="596"/>
      <c r="G894" s="65">
        <v>0</v>
      </c>
      <c r="H894" s="591" t="s">
        <v>280</v>
      </c>
      <c r="I894" s="591" t="s">
        <v>280</v>
      </c>
    </row>
    <row r="895" spans="1:9">
      <c r="A895" s="582" t="s">
        <v>377</v>
      </c>
      <c r="B895" s="65">
        <v>1093</v>
      </c>
      <c r="C895" s="579" t="s">
        <v>281</v>
      </c>
      <c r="D895" s="579"/>
      <c r="E895" s="583"/>
      <c r="F895" s="596"/>
      <c r="G895" s="65">
        <v>0</v>
      </c>
      <c r="H895" s="591" t="s">
        <v>280</v>
      </c>
      <c r="I895" s="591" t="s">
        <v>280</v>
      </c>
    </row>
    <row r="896" spans="1:9">
      <c r="A896" s="582" t="s">
        <v>377</v>
      </c>
      <c r="B896" s="65">
        <v>1094</v>
      </c>
      <c r="C896" s="579" t="s">
        <v>281</v>
      </c>
      <c r="D896" s="579"/>
      <c r="E896" s="583"/>
      <c r="F896" s="596"/>
      <c r="G896" s="65">
        <v>0</v>
      </c>
      <c r="H896" s="591" t="s">
        <v>280</v>
      </c>
      <c r="I896" s="591" t="s">
        <v>280</v>
      </c>
    </row>
    <row r="897" spans="1:9">
      <c r="A897" s="582" t="s">
        <v>377</v>
      </c>
      <c r="B897" s="65">
        <v>1095</v>
      </c>
      <c r="C897" s="579" t="s">
        <v>281</v>
      </c>
      <c r="D897" s="579"/>
      <c r="E897" s="583"/>
      <c r="F897" s="596"/>
      <c r="G897" s="65">
        <v>0</v>
      </c>
      <c r="H897" s="591" t="s">
        <v>280</v>
      </c>
      <c r="I897" s="591" t="s">
        <v>280</v>
      </c>
    </row>
    <row r="898" spans="1:9">
      <c r="A898" s="582" t="s">
        <v>377</v>
      </c>
      <c r="B898" s="65">
        <v>1096</v>
      </c>
      <c r="C898" s="579" t="s">
        <v>281</v>
      </c>
      <c r="D898" s="579"/>
      <c r="E898" s="583"/>
      <c r="F898" s="596"/>
      <c r="G898" s="65">
        <v>0</v>
      </c>
      <c r="H898" s="591" t="s">
        <v>280</v>
      </c>
      <c r="I898" s="591" t="s">
        <v>280</v>
      </c>
    </row>
    <row r="899" spans="1:9">
      <c r="A899" s="582" t="s">
        <v>377</v>
      </c>
      <c r="B899" s="65">
        <v>1097</v>
      </c>
      <c r="C899" s="579" t="s">
        <v>281</v>
      </c>
      <c r="D899" s="579"/>
      <c r="E899" s="583"/>
      <c r="F899" s="596"/>
      <c r="G899" s="65">
        <v>0</v>
      </c>
      <c r="H899" s="591" t="s">
        <v>280</v>
      </c>
      <c r="I899" s="591" t="s">
        <v>280</v>
      </c>
    </row>
    <row r="900" spans="1:9">
      <c r="A900" s="582" t="s">
        <v>377</v>
      </c>
      <c r="B900" s="65">
        <v>1098</v>
      </c>
      <c r="C900" s="579" t="s">
        <v>281</v>
      </c>
      <c r="D900" s="579"/>
      <c r="E900" s="583"/>
      <c r="F900" s="596"/>
      <c r="G900" s="65">
        <v>0</v>
      </c>
      <c r="H900" s="591" t="s">
        <v>280</v>
      </c>
      <c r="I900" s="591" t="s">
        <v>280</v>
      </c>
    </row>
    <row r="901" spans="1:9">
      <c r="A901" s="582" t="s">
        <v>377</v>
      </c>
      <c r="B901" s="65">
        <v>1099</v>
      </c>
      <c r="C901" s="579" t="s">
        <v>281</v>
      </c>
      <c r="D901" s="579"/>
      <c r="E901" s="583"/>
      <c r="F901" s="596"/>
      <c r="G901" s="65">
        <v>0</v>
      </c>
      <c r="H901" s="591" t="s">
        <v>280</v>
      </c>
      <c r="I901" s="591" t="s">
        <v>280</v>
      </c>
    </row>
    <row r="902" spans="1:9">
      <c r="A902" s="582"/>
      <c r="B902" s="65">
        <v>1100</v>
      </c>
      <c r="C902" s="579" t="s">
        <v>279</v>
      </c>
      <c r="D902" s="579"/>
      <c r="E902" s="583"/>
      <c r="F902" s="596"/>
      <c r="G902" s="65">
        <v>0</v>
      </c>
      <c r="H902" s="591" t="s">
        <v>280</v>
      </c>
      <c r="I902" s="591" t="s">
        <v>280</v>
      </c>
    </row>
    <row r="903" spans="1:9">
      <c r="A903" s="582"/>
      <c r="B903" s="65">
        <v>1101</v>
      </c>
      <c r="C903" s="579" t="s">
        <v>281</v>
      </c>
      <c r="D903" s="579"/>
      <c r="E903" s="583"/>
      <c r="F903" s="596"/>
      <c r="G903" s="65">
        <v>0</v>
      </c>
      <c r="H903" s="591" t="s">
        <v>280</v>
      </c>
      <c r="I903" s="591" t="s">
        <v>280</v>
      </c>
    </row>
    <row r="904" spans="1:9">
      <c r="A904" s="582"/>
      <c r="B904" s="65">
        <v>1102</v>
      </c>
      <c r="C904" s="579" t="s">
        <v>281</v>
      </c>
      <c r="D904" s="579"/>
      <c r="E904" s="583"/>
      <c r="F904" s="596"/>
      <c r="G904" s="65">
        <v>0</v>
      </c>
      <c r="H904" s="591" t="s">
        <v>280</v>
      </c>
      <c r="I904" s="591" t="s">
        <v>280</v>
      </c>
    </row>
    <row r="905" spans="1:9">
      <c r="A905" s="582"/>
      <c r="B905" s="65">
        <v>1103</v>
      </c>
      <c r="C905" s="579" t="s">
        <v>281</v>
      </c>
      <c r="D905" s="63"/>
      <c r="E905" s="583"/>
      <c r="F905" s="596"/>
      <c r="G905" s="65">
        <v>0</v>
      </c>
      <c r="H905" s="591" t="s">
        <v>280</v>
      </c>
      <c r="I905" s="591" t="s">
        <v>280</v>
      </c>
    </row>
    <row r="906" spans="1:9">
      <c r="A906" s="582"/>
      <c r="B906" s="65">
        <v>1104</v>
      </c>
      <c r="C906" s="579" t="s">
        <v>281</v>
      </c>
      <c r="D906" s="579"/>
      <c r="E906" s="583"/>
      <c r="F906" s="596"/>
      <c r="G906" s="65">
        <v>0</v>
      </c>
      <c r="H906" s="591" t="s">
        <v>280</v>
      </c>
      <c r="I906" s="591" t="s">
        <v>280</v>
      </c>
    </row>
    <row r="907" spans="1:9">
      <c r="A907" s="582"/>
      <c r="B907" s="65">
        <v>1105</v>
      </c>
      <c r="C907" s="579" t="s">
        <v>281</v>
      </c>
      <c r="D907" s="579"/>
      <c r="E907" s="583"/>
      <c r="F907" s="596"/>
      <c r="G907" s="65">
        <v>0</v>
      </c>
      <c r="H907" s="591" t="s">
        <v>280</v>
      </c>
      <c r="I907" s="591" t="s">
        <v>280</v>
      </c>
    </row>
    <row r="908" spans="1:9">
      <c r="A908" s="582"/>
      <c r="B908" s="65">
        <v>1106</v>
      </c>
      <c r="C908" s="579" t="s">
        <v>281</v>
      </c>
      <c r="D908" s="579"/>
      <c r="E908" s="583"/>
      <c r="F908" s="596"/>
      <c r="G908" s="65">
        <v>0</v>
      </c>
      <c r="H908" s="591" t="s">
        <v>280</v>
      </c>
      <c r="I908" s="591" t="s">
        <v>280</v>
      </c>
    </row>
    <row r="909" spans="1:9">
      <c r="A909" s="582"/>
      <c r="B909" s="65">
        <v>1107</v>
      </c>
      <c r="C909" s="579" t="s">
        <v>281</v>
      </c>
      <c r="D909" s="63"/>
      <c r="E909" s="583"/>
      <c r="F909" s="596"/>
      <c r="G909" s="65">
        <v>0</v>
      </c>
      <c r="H909" s="591" t="s">
        <v>280</v>
      </c>
      <c r="I909" s="591" t="s">
        <v>280</v>
      </c>
    </row>
    <row r="910" spans="1:9">
      <c r="A910" s="582"/>
      <c r="B910" s="65">
        <v>1108</v>
      </c>
      <c r="C910" s="579" t="s">
        <v>281</v>
      </c>
      <c r="D910" s="65"/>
      <c r="E910" s="583"/>
      <c r="F910" s="596"/>
      <c r="G910" s="65">
        <v>0</v>
      </c>
      <c r="H910" s="591" t="s">
        <v>280</v>
      </c>
      <c r="I910" s="591" t="s">
        <v>280</v>
      </c>
    </row>
    <row r="911" spans="1:9">
      <c r="A911" s="582"/>
      <c r="B911" s="65">
        <v>1109</v>
      </c>
      <c r="C911" s="579" t="s">
        <v>281</v>
      </c>
      <c r="D911" s="63"/>
      <c r="E911" s="583"/>
      <c r="F911" s="596"/>
      <c r="G911" s="65">
        <v>0</v>
      </c>
      <c r="H911" s="591" t="s">
        <v>280</v>
      </c>
      <c r="I911" s="591" t="s">
        <v>280</v>
      </c>
    </row>
    <row r="912" spans="1:9">
      <c r="A912" s="582"/>
      <c r="B912" s="65">
        <v>1110</v>
      </c>
      <c r="C912" s="579" t="s">
        <v>281</v>
      </c>
      <c r="D912" s="65"/>
      <c r="E912" s="583"/>
      <c r="F912" s="596"/>
      <c r="G912" s="65">
        <v>0</v>
      </c>
      <c r="H912" s="591" t="s">
        <v>280</v>
      </c>
      <c r="I912" s="591" t="s">
        <v>280</v>
      </c>
    </row>
    <row r="913" spans="1:14">
      <c r="A913" s="582"/>
      <c r="B913" s="65">
        <v>1111</v>
      </c>
      <c r="C913" s="579" t="s">
        <v>281</v>
      </c>
      <c r="D913" s="579"/>
      <c r="E913" s="583"/>
      <c r="F913" s="596"/>
      <c r="G913" s="65">
        <v>0</v>
      </c>
      <c r="H913" s="591" t="s">
        <v>280</v>
      </c>
      <c r="I913" s="591" t="s">
        <v>280</v>
      </c>
    </row>
    <row r="914" spans="1:14">
      <c r="A914" s="582"/>
      <c r="B914" s="65">
        <v>1112</v>
      </c>
      <c r="C914" s="579" t="s">
        <v>281</v>
      </c>
      <c r="D914" s="63"/>
      <c r="E914" s="583"/>
      <c r="F914" s="596"/>
      <c r="G914" s="65">
        <v>0</v>
      </c>
      <c r="H914" s="591" t="s">
        <v>280</v>
      </c>
      <c r="I914" s="591" t="s">
        <v>280</v>
      </c>
    </row>
    <row r="915" spans="1:14">
      <c r="A915" s="582"/>
      <c r="B915" s="65">
        <v>1113</v>
      </c>
      <c r="C915" s="579" t="s">
        <v>281</v>
      </c>
      <c r="D915" s="579"/>
      <c r="E915" s="583"/>
      <c r="F915" s="596"/>
      <c r="G915" s="65">
        <v>0</v>
      </c>
      <c r="H915" s="591" t="s">
        <v>280</v>
      </c>
      <c r="I915" s="591" t="s">
        <v>280</v>
      </c>
    </row>
    <row r="916" spans="1:14">
      <c r="A916" s="582"/>
      <c r="B916" s="65">
        <v>1114</v>
      </c>
      <c r="C916" s="579" t="s">
        <v>281</v>
      </c>
      <c r="D916" s="579"/>
      <c r="E916" s="583"/>
      <c r="F916" s="596"/>
      <c r="G916" s="65">
        <v>0</v>
      </c>
      <c r="H916" s="591" t="s">
        <v>280</v>
      </c>
      <c r="I916" s="591" t="s">
        <v>280</v>
      </c>
    </row>
    <row r="917" spans="1:14">
      <c r="A917" s="582"/>
      <c r="B917" s="65">
        <v>1115</v>
      </c>
      <c r="C917" s="579" t="s">
        <v>281</v>
      </c>
      <c r="D917" s="579"/>
      <c r="E917" s="583"/>
      <c r="F917" s="596"/>
      <c r="G917" s="65">
        <v>0</v>
      </c>
      <c r="H917" s="591" t="s">
        <v>280</v>
      </c>
      <c r="I917" s="591" t="s">
        <v>280</v>
      </c>
    </row>
    <row r="918" spans="1:14">
      <c r="A918" s="580"/>
      <c r="B918" s="65">
        <v>1116</v>
      </c>
      <c r="C918" s="579" t="s">
        <v>281</v>
      </c>
      <c r="D918" s="65"/>
      <c r="E918" s="583"/>
      <c r="F918" s="596"/>
      <c r="G918" s="65">
        <v>0</v>
      </c>
      <c r="H918" s="591" t="s">
        <v>280</v>
      </c>
      <c r="I918" s="591" t="s">
        <v>280</v>
      </c>
    </row>
    <row r="919" spans="1:14">
      <c r="A919" s="580"/>
      <c r="B919" s="65">
        <v>1117</v>
      </c>
      <c r="C919" s="579" t="s">
        <v>281</v>
      </c>
      <c r="D919" s="65"/>
      <c r="E919" s="583"/>
      <c r="F919" s="596"/>
      <c r="G919" s="65">
        <v>0</v>
      </c>
      <c r="H919" s="591" t="s">
        <v>280</v>
      </c>
      <c r="I919" s="591" t="s">
        <v>280</v>
      </c>
    </row>
    <row r="920" spans="1:14">
      <c r="A920" s="580"/>
      <c r="B920" s="65">
        <v>1118</v>
      </c>
      <c r="C920" s="579" t="s">
        <v>281</v>
      </c>
      <c r="D920" s="65"/>
      <c r="E920" s="583"/>
      <c r="F920" s="596"/>
      <c r="G920" s="65">
        <v>0</v>
      </c>
      <c r="H920" s="591" t="s">
        <v>280</v>
      </c>
      <c r="I920" s="591" t="s">
        <v>280</v>
      </c>
    </row>
    <row r="921" spans="1:14">
      <c r="A921" s="580"/>
      <c r="B921" s="65">
        <v>1119</v>
      </c>
      <c r="C921" s="579" t="s">
        <v>281</v>
      </c>
      <c r="D921" s="65"/>
      <c r="E921" s="583"/>
      <c r="F921" s="596"/>
      <c r="G921" s="65">
        <v>0</v>
      </c>
      <c r="H921" s="591" t="s">
        <v>280</v>
      </c>
      <c r="I921" s="591" t="s">
        <v>280</v>
      </c>
      <c r="K921" s="55"/>
      <c r="N921" s="55"/>
    </row>
    <row r="922" spans="1:14">
      <c r="A922" s="582"/>
      <c r="B922" s="65">
        <v>1120</v>
      </c>
      <c r="C922" s="579" t="s">
        <v>281</v>
      </c>
      <c r="D922" s="579"/>
      <c r="E922" s="583"/>
      <c r="F922" s="596"/>
      <c r="G922" s="65">
        <v>0</v>
      </c>
      <c r="H922" s="591" t="s">
        <v>280</v>
      </c>
      <c r="I922" s="591" t="s">
        <v>280</v>
      </c>
    </row>
    <row r="923" spans="1:14">
      <c r="A923" s="582"/>
      <c r="B923" s="65">
        <v>1121</v>
      </c>
      <c r="C923" s="579" t="s">
        <v>281</v>
      </c>
      <c r="D923" s="579"/>
      <c r="E923" s="583"/>
      <c r="F923" s="596"/>
      <c r="G923" s="65">
        <v>0</v>
      </c>
      <c r="H923" s="591" t="s">
        <v>280</v>
      </c>
      <c r="I923" s="591" t="s">
        <v>280</v>
      </c>
    </row>
    <row r="924" spans="1:14">
      <c r="A924" s="582"/>
      <c r="B924" s="65">
        <v>1122</v>
      </c>
      <c r="C924" s="579" t="s">
        <v>281</v>
      </c>
      <c r="D924" s="579"/>
      <c r="E924" s="583"/>
      <c r="F924" s="596"/>
      <c r="G924" s="65">
        <v>0</v>
      </c>
      <c r="H924" s="591" t="s">
        <v>280</v>
      </c>
      <c r="I924" s="591" t="s">
        <v>280</v>
      </c>
    </row>
    <row r="925" spans="1:14">
      <c r="A925" s="582"/>
      <c r="B925" s="65">
        <v>1123</v>
      </c>
      <c r="C925" s="579" t="s">
        <v>281</v>
      </c>
      <c r="D925" s="579"/>
      <c r="E925" s="583"/>
      <c r="F925" s="596"/>
      <c r="G925" s="65">
        <v>0</v>
      </c>
      <c r="H925" s="591" t="s">
        <v>280</v>
      </c>
      <c r="I925" s="591" t="s">
        <v>280</v>
      </c>
    </row>
    <row r="926" spans="1:14">
      <c r="A926" s="582"/>
      <c r="B926" s="65">
        <v>1124</v>
      </c>
      <c r="C926" s="579" t="s">
        <v>281</v>
      </c>
      <c r="D926" s="579"/>
      <c r="E926" s="583"/>
      <c r="F926" s="596"/>
      <c r="G926" s="65">
        <v>0</v>
      </c>
      <c r="H926" s="591" t="s">
        <v>280</v>
      </c>
      <c r="I926" s="591" t="s">
        <v>280</v>
      </c>
    </row>
    <row r="927" spans="1:14">
      <c r="A927" s="582"/>
      <c r="B927" s="65">
        <v>1125</v>
      </c>
      <c r="C927" s="579" t="s">
        <v>281</v>
      </c>
      <c r="D927" s="579"/>
      <c r="E927" s="583"/>
      <c r="F927" s="596"/>
      <c r="G927" s="65">
        <v>0</v>
      </c>
      <c r="H927" s="591" t="s">
        <v>280</v>
      </c>
      <c r="I927" s="591" t="s">
        <v>280</v>
      </c>
    </row>
    <row r="928" spans="1:14">
      <c r="A928" s="582"/>
      <c r="B928" s="65">
        <v>1126</v>
      </c>
      <c r="C928" s="579" t="s">
        <v>281</v>
      </c>
      <c r="D928" s="579"/>
      <c r="E928" s="583"/>
      <c r="F928" s="596"/>
      <c r="G928" s="65">
        <v>0</v>
      </c>
      <c r="H928" s="591" t="s">
        <v>280</v>
      </c>
      <c r="I928" s="591" t="s">
        <v>280</v>
      </c>
    </row>
    <row r="929" spans="1:9">
      <c r="A929" s="582"/>
      <c r="B929" s="65">
        <v>1127</v>
      </c>
      <c r="C929" s="579" t="s">
        <v>281</v>
      </c>
      <c r="D929" s="579"/>
      <c r="E929" s="583"/>
      <c r="F929" s="596"/>
      <c r="G929" s="65">
        <v>0</v>
      </c>
      <c r="H929" s="591" t="s">
        <v>280</v>
      </c>
      <c r="I929" s="591" t="s">
        <v>280</v>
      </c>
    </row>
    <row r="930" spans="1:9">
      <c r="A930" s="582"/>
      <c r="B930" s="65">
        <v>1128</v>
      </c>
      <c r="C930" s="579" t="s">
        <v>281</v>
      </c>
      <c r="D930" s="579"/>
      <c r="E930" s="583"/>
      <c r="F930" s="596"/>
      <c r="G930" s="65">
        <v>0</v>
      </c>
      <c r="H930" s="591" t="s">
        <v>280</v>
      </c>
      <c r="I930" s="591" t="s">
        <v>280</v>
      </c>
    </row>
    <row r="931" spans="1:9">
      <c r="A931" s="582"/>
      <c r="B931" s="65">
        <v>1129</v>
      </c>
      <c r="C931" s="579" t="s">
        <v>281</v>
      </c>
      <c r="D931" s="579"/>
      <c r="E931" s="583"/>
      <c r="F931" s="596"/>
      <c r="G931" s="65">
        <v>0</v>
      </c>
      <c r="H931" s="591" t="s">
        <v>280</v>
      </c>
      <c r="I931" s="591" t="s">
        <v>280</v>
      </c>
    </row>
    <row r="932" spans="1:9">
      <c r="A932" s="582"/>
      <c r="B932" s="65">
        <v>1130</v>
      </c>
      <c r="C932" s="579" t="s">
        <v>281</v>
      </c>
      <c r="D932" s="579"/>
      <c r="E932" s="583"/>
      <c r="F932" s="596"/>
      <c r="G932" s="65">
        <v>0</v>
      </c>
      <c r="H932" s="591" t="s">
        <v>280</v>
      </c>
      <c r="I932" s="591" t="s">
        <v>280</v>
      </c>
    </row>
    <row r="933" spans="1:9">
      <c r="A933" s="582"/>
      <c r="B933" s="65">
        <v>1131</v>
      </c>
      <c r="C933" s="579" t="s">
        <v>281</v>
      </c>
      <c r="D933" s="579"/>
      <c r="E933" s="583"/>
      <c r="F933" s="596"/>
      <c r="G933" s="65">
        <v>0</v>
      </c>
      <c r="H933" s="591" t="s">
        <v>280</v>
      </c>
      <c r="I933" s="591" t="s">
        <v>280</v>
      </c>
    </row>
    <row r="934" spans="1:9">
      <c r="A934" s="582"/>
      <c r="B934" s="65">
        <v>1132</v>
      </c>
      <c r="C934" s="579" t="s">
        <v>281</v>
      </c>
      <c r="D934" s="579"/>
      <c r="E934" s="583"/>
      <c r="F934" s="596"/>
      <c r="G934" s="65">
        <v>0</v>
      </c>
      <c r="H934" s="591" t="s">
        <v>280</v>
      </c>
      <c r="I934" s="591" t="s">
        <v>280</v>
      </c>
    </row>
    <row r="935" spans="1:9">
      <c r="A935" s="582"/>
      <c r="B935" s="65">
        <v>1133</v>
      </c>
      <c r="C935" s="579" t="s">
        <v>281</v>
      </c>
      <c r="D935" s="579"/>
      <c r="E935" s="583"/>
      <c r="F935" s="596"/>
      <c r="G935" s="65">
        <v>0</v>
      </c>
      <c r="H935" s="591" t="s">
        <v>280</v>
      </c>
      <c r="I935" s="591" t="s">
        <v>280</v>
      </c>
    </row>
    <row r="936" spans="1:9">
      <c r="A936" s="582"/>
      <c r="B936" s="65">
        <v>1134</v>
      </c>
      <c r="C936" s="579" t="s">
        <v>281</v>
      </c>
      <c r="D936" s="579"/>
      <c r="E936" s="583"/>
      <c r="F936" s="596"/>
      <c r="G936" s="65">
        <v>0</v>
      </c>
      <c r="H936" s="591" t="s">
        <v>280</v>
      </c>
      <c r="I936" s="591" t="s">
        <v>280</v>
      </c>
    </row>
    <row r="937" spans="1:9">
      <c r="A937" s="582"/>
      <c r="B937" s="65">
        <v>1135</v>
      </c>
      <c r="C937" s="579" t="s">
        <v>281</v>
      </c>
      <c r="D937" s="579"/>
      <c r="E937" s="583"/>
      <c r="F937" s="596"/>
      <c r="G937" s="65">
        <v>0</v>
      </c>
      <c r="H937" s="591" t="s">
        <v>280</v>
      </c>
      <c r="I937" s="591" t="s">
        <v>280</v>
      </c>
    </row>
    <row r="938" spans="1:9">
      <c r="A938" s="582"/>
      <c r="B938" s="65">
        <v>1136</v>
      </c>
      <c r="C938" s="579" t="s">
        <v>281</v>
      </c>
      <c r="D938" s="579"/>
      <c r="E938" s="583"/>
      <c r="F938" s="596"/>
      <c r="G938" s="65">
        <v>0</v>
      </c>
      <c r="H938" s="591" t="s">
        <v>280</v>
      </c>
      <c r="I938" s="591" t="s">
        <v>280</v>
      </c>
    </row>
    <row r="939" spans="1:9">
      <c r="A939" s="582"/>
      <c r="B939" s="65">
        <v>1137</v>
      </c>
      <c r="C939" s="579" t="s">
        <v>281</v>
      </c>
      <c r="D939" s="579"/>
      <c r="E939" s="583"/>
      <c r="F939" s="596"/>
      <c r="G939" s="65">
        <v>0</v>
      </c>
      <c r="H939" s="591" t="s">
        <v>280</v>
      </c>
      <c r="I939" s="591" t="s">
        <v>280</v>
      </c>
    </row>
    <row r="940" spans="1:9">
      <c r="A940" s="582"/>
      <c r="B940" s="65">
        <v>1138</v>
      </c>
      <c r="C940" s="579" t="s">
        <v>281</v>
      </c>
      <c r="D940" s="579"/>
      <c r="E940" s="583"/>
      <c r="F940" s="596"/>
      <c r="G940" s="65">
        <v>0</v>
      </c>
      <c r="H940" s="591" t="s">
        <v>280</v>
      </c>
      <c r="I940" s="591" t="s">
        <v>280</v>
      </c>
    </row>
    <row r="941" spans="1:9">
      <c r="A941" s="582"/>
      <c r="B941" s="65">
        <v>1139</v>
      </c>
      <c r="C941" s="579" t="s">
        <v>281</v>
      </c>
      <c r="D941" s="579"/>
      <c r="E941" s="583"/>
      <c r="F941" s="596"/>
      <c r="G941" s="65">
        <v>0</v>
      </c>
      <c r="H941" s="591" t="s">
        <v>280</v>
      </c>
      <c r="I941" s="591" t="s">
        <v>280</v>
      </c>
    </row>
    <row r="942" spans="1:9">
      <c r="A942" s="582"/>
      <c r="B942" s="65">
        <v>1140</v>
      </c>
      <c r="C942" s="579" t="s">
        <v>281</v>
      </c>
      <c r="D942" s="579"/>
      <c r="E942" s="583"/>
      <c r="F942" s="596"/>
      <c r="G942" s="65">
        <v>0</v>
      </c>
      <c r="H942" s="591" t="s">
        <v>280</v>
      </c>
      <c r="I942" s="591" t="s">
        <v>280</v>
      </c>
    </row>
    <row r="943" spans="1:9">
      <c r="A943" s="582"/>
      <c r="B943" s="65">
        <v>1141</v>
      </c>
      <c r="C943" s="579" t="s">
        <v>281</v>
      </c>
      <c r="D943" s="579"/>
      <c r="E943" s="583"/>
      <c r="F943" s="596"/>
      <c r="G943" s="65">
        <v>0</v>
      </c>
      <c r="H943" s="591" t="s">
        <v>280</v>
      </c>
      <c r="I943" s="591" t="s">
        <v>280</v>
      </c>
    </row>
    <row r="944" spans="1:9">
      <c r="A944" s="582"/>
      <c r="B944" s="65">
        <v>1142</v>
      </c>
      <c r="C944" s="579" t="s">
        <v>281</v>
      </c>
      <c r="D944" s="579"/>
      <c r="E944" s="583"/>
      <c r="F944" s="596"/>
      <c r="G944" s="65">
        <v>0</v>
      </c>
      <c r="H944" s="591" t="s">
        <v>280</v>
      </c>
      <c r="I944" s="591" t="s">
        <v>280</v>
      </c>
    </row>
    <row r="945" spans="1:9">
      <c r="A945" s="582"/>
      <c r="B945" s="65">
        <v>1143</v>
      </c>
      <c r="C945" s="579" t="s">
        <v>281</v>
      </c>
      <c r="D945" s="579"/>
      <c r="E945" s="583"/>
      <c r="F945" s="596"/>
      <c r="G945" s="65">
        <v>0</v>
      </c>
      <c r="H945" s="591" t="s">
        <v>280</v>
      </c>
      <c r="I945" s="591" t="s">
        <v>280</v>
      </c>
    </row>
    <row r="946" spans="1:9">
      <c r="A946" s="582"/>
      <c r="B946" s="65">
        <v>1144</v>
      </c>
      <c r="C946" s="579" t="s">
        <v>281</v>
      </c>
      <c r="D946" s="579"/>
      <c r="E946" s="583"/>
      <c r="F946" s="596"/>
      <c r="G946" s="65">
        <v>0</v>
      </c>
      <c r="H946" s="591" t="s">
        <v>280</v>
      </c>
      <c r="I946" s="591" t="s">
        <v>280</v>
      </c>
    </row>
    <row r="947" spans="1:9">
      <c r="A947" s="582"/>
      <c r="B947" s="65">
        <v>1145</v>
      </c>
      <c r="C947" s="579" t="s">
        <v>281</v>
      </c>
      <c r="D947" s="579"/>
      <c r="E947" s="583"/>
      <c r="F947" s="596"/>
      <c r="G947" s="65">
        <v>0</v>
      </c>
      <c r="H947" s="591" t="s">
        <v>280</v>
      </c>
      <c r="I947" s="591" t="s">
        <v>280</v>
      </c>
    </row>
    <row r="948" spans="1:9">
      <c r="A948" s="582"/>
      <c r="B948" s="65">
        <v>1146</v>
      </c>
      <c r="C948" s="579" t="s">
        <v>281</v>
      </c>
      <c r="D948" s="579"/>
      <c r="E948" s="583"/>
      <c r="F948" s="596"/>
      <c r="G948" s="65">
        <v>0</v>
      </c>
      <c r="H948" s="591" t="s">
        <v>280</v>
      </c>
      <c r="I948" s="591" t="s">
        <v>280</v>
      </c>
    </row>
    <row r="949" spans="1:9">
      <c r="A949" s="582"/>
      <c r="B949" s="65">
        <v>1147</v>
      </c>
      <c r="C949" s="579" t="s">
        <v>281</v>
      </c>
      <c r="D949" s="579"/>
      <c r="E949" s="583"/>
      <c r="F949" s="596"/>
      <c r="G949" s="65">
        <v>0</v>
      </c>
      <c r="H949" s="591" t="s">
        <v>280</v>
      </c>
      <c r="I949" s="591" t="s">
        <v>280</v>
      </c>
    </row>
    <row r="950" spans="1:9">
      <c r="A950" s="582"/>
      <c r="B950" s="65">
        <v>1148</v>
      </c>
      <c r="C950" s="579" t="s">
        <v>281</v>
      </c>
      <c r="D950" s="579"/>
      <c r="E950" s="583"/>
      <c r="F950" s="596"/>
      <c r="G950" s="65">
        <v>0</v>
      </c>
      <c r="H950" s="591" t="s">
        <v>280</v>
      </c>
      <c r="I950" s="591" t="s">
        <v>280</v>
      </c>
    </row>
    <row r="951" spans="1:9">
      <c r="A951" s="582"/>
      <c r="B951" s="65">
        <v>1149</v>
      </c>
      <c r="C951" s="579" t="s">
        <v>281</v>
      </c>
      <c r="D951" s="579"/>
      <c r="E951" s="583"/>
      <c r="F951" s="596"/>
      <c r="G951" s="65">
        <v>0</v>
      </c>
      <c r="H951" s="591" t="s">
        <v>280</v>
      </c>
      <c r="I951" s="591" t="s">
        <v>280</v>
      </c>
    </row>
    <row r="952" spans="1:9">
      <c r="A952" s="582"/>
      <c r="B952" s="65">
        <v>1150</v>
      </c>
      <c r="C952" s="579" t="s">
        <v>281</v>
      </c>
      <c r="D952" s="579"/>
      <c r="E952" s="583"/>
      <c r="F952" s="596"/>
      <c r="G952" s="65">
        <v>0</v>
      </c>
      <c r="H952" s="591" t="s">
        <v>280</v>
      </c>
      <c r="I952" s="591" t="s">
        <v>280</v>
      </c>
    </row>
    <row r="953" spans="1:9">
      <c r="A953" s="582"/>
      <c r="B953" s="65">
        <v>1151</v>
      </c>
      <c r="C953" s="579" t="s">
        <v>281</v>
      </c>
      <c r="D953" s="579"/>
      <c r="E953" s="583"/>
      <c r="F953" s="596"/>
      <c r="G953" s="65">
        <v>0</v>
      </c>
      <c r="H953" s="591" t="s">
        <v>280</v>
      </c>
      <c r="I953" s="591" t="s">
        <v>280</v>
      </c>
    </row>
    <row r="954" spans="1:9">
      <c r="A954" s="582"/>
      <c r="B954" s="65">
        <v>1152</v>
      </c>
      <c r="C954" s="579" t="s">
        <v>281</v>
      </c>
      <c r="D954" s="579"/>
      <c r="E954" s="583"/>
      <c r="F954" s="596"/>
      <c r="G954" s="65">
        <v>0</v>
      </c>
      <c r="H954" s="591" t="s">
        <v>280</v>
      </c>
      <c r="I954" s="591" t="s">
        <v>280</v>
      </c>
    </row>
    <row r="955" spans="1:9">
      <c r="A955" s="582"/>
      <c r="B955" s="65">
        <v>1153</v>
      </c>
      <c r="C955" s="579" t="s">
        <v>281</v>
      </c>
      <c r="D955" s="579"/>
      <c r="E955" s="583"/>
      <c r="F955" s="596"/>
      <c r="G955" s="65">
        <v>0</v>
      </c>
      <c r="H955" s="591" t="s">
        <v>280</v>
      </c>
      <c r="I955" s="591" t="s">
        <v>280</v>
      </c>
    </row>
    <row r="956" spans="1:9">
      <c r="A956" s="582"/>
      <c r="B956" s="65">
        <v>1154</v>
      </c>
      <c r="C956" s="579" t="s">
        <v>281</v>
      </c>
      <c r="D956" s="579"/>
      <c r="E956" s="583"/>
      <c r="F956" s="596"/>
      <c r="G956" s="65">
        <v>0</v>
      </c>
      <c r="H956" s="591" t="s">
        <v>280</v>
      </c>
      <c r="I956" s="591" t="s">
        <v>280</v>
      </c>
    </row>
    <row r="957" spans="1:9">
      <c r="A957" s="582"/>
      <c r="B957" s="65">
        <v>1155</v>
      </c>
      <c r="C957" s="579" t="s">
        <v>281</v>
      </c>
      <c r="D957" s="579"/>
      <c r="E957" s="583"/>
      <c r="F957" s="596"/>
      <c r="G957" s="65">
        <v>0</v>
      </c>
      <c r="H957" s="591" t="s">
        <v>280</v>
      </c>
      <c r="I957" s="591" t="s">
        <v>280</v>
      </c>
    </row>
    <row r="958" spans="1:9">
      <c r="A958" s="582"/>
      <c r="B958" s="65">
        <v>1156</v>
      </c>
      <c r="C958" s="579" t="s">
        <v>281</v>
      </c>
      <c r="D958" s="579"/>
      <c r="E958" s="583"/>
      <c r="F958" s="596"/>
      <c r="G958" s="65">
        <v>0</v>
      </c>
      <c r="H958" s="591" t="s">
        <v>280</v>
      </c>
      <c r="I958" s="591" t="s">
        <v>280</v>
      </c>
    </row>
    <row r="959" spans="1:9">
      <c r="A959" s="582"/>
      <c r="B959" s="65">
        <v>1157</v>
      </c>
      <c r="C959" s="579" t="s">
        <v>281</v>
      </c>
      <c r="D959" s="579"/>
      <c r="E959" s="583"/>
      <c r="F959" s="596"/>
      <c r="G959" s="65">
        <v>0</v>
      </c>
      <c r="H959" s="591" t="s">
        <v>280</v>
      </c>
      <c r="I959" s="591" t="s">
        <v>280</v>
      </c>
    </row>
    <row r="960" spans="1:9">
      <c r="A960" s="582"/>
      <c r="B960" s="65">
        <v>1158</v>
      </c>
      <c r="C960" s="579" t="s">
        <v>281</v>
      </c>
      <c r="D960" s="579"/>
      <c r="E960" s="583"/>
      <c r="F960" s="596"/>
      <c r="G960" s="65">
        <v>0</v>
      </c>
      <c r="H960" s="591" t="s">
        <v>280</v>
      </c>
      <c r="I960" s="591" t="s">
        <v>280</v>
      </c>
    </row>
    <row r="961" spans="1:9">
      <c r="A961" s="582"/>
      <c r="B961" s="65">
        <v>1159</v>
      </c>
      <c r="C961" s="579" t="s">
        <v>281</v>
      </c>
      <c r="D961" s="579"/>
      <c r="E961" s="583"/>
      <c r="F961" s="596"/>
      <c r="G961" s="65">
        <v>0</v>
      </c>
      <c r="H961" s="591" t="s">
        <v>280</v>
      </c>
      <c r="I961" s="591" t="s">
        <v>280</v>
      </c>
    </row>
    <row r="962" spans="1:9">
      <c r="A962" s="582"/>
      <c r="B962" s="65">
        <v>1160</v>
      </c>
      <c r="C962" s="579" t="s">
        <v>281</v>
      </c>
      <c r="D962" s="579"/>
      <c r="E962" s="583"/>
      <c r="F962" s="596"/>
      <c r="G962" s="65">
        <v>0</v>
      </c>
      <c r="H962" s="591" t="s">
        <v>280</v>
      </c>
      <c r="I962" s="591" t="s">
        <v>280</v>
      </c>
    </row>
    <row r="963" spans="1:9">
      <c r="A963" s="582"/>
      <c r="B963" s="65">
        <v>1161</v>
      </c>
      <c r="C963" s="579" t="s">
        <v>281</v>
      </c>
      <c r="D963" s="579"/>
      <c r="E963" s="583"/>
      <c r="F963" s="596"/>
      <c r="G963" s="65">
        <v>0</v>
      </c>
      <c r="H963" s="591" t="s">
        <v>280</v>
      </c>
      <c r="I963" s="591" t="s">
        <v>280</v>
      </c>
    </row>
    <row r="964" spans="1:9">
      <c r="A964" s="582"/>
      <c r="B964" s="65">
        <v>1162</v>
      </c>
      <c r="C964" s="579" t="s">
        <v>281</v>
      </c>
      <c r="D964" s="579"/>
      <c r="E964" s="583"/>
      <c r="F964" s="596"/>
      <c r="G964" s="65">
        <v>0</v>
      </c>
      <c r="H964" s="591" t="s">
        <v>280</v>
      </c>
      <c r="I964" s="591" t="s">
        <v>280</v>
      </c>
    </row>
    <row r="965" spans="1:9">
      <c r="A965" s="582"/>
      <c r="B965" s="65">
        <v>1163</v>
      </c>
      <c r="C965" s="579" t="s">
        <v>281</v>
      </c>
      <c r="D965" s="579"/>
      <c r="E965" s="583"/>
      <c r="F965" s="596"/>
      <c r="G965" s="65">
        <v>0</v>
      </c>
      <c r="H965" s="591" t="s">
        <v>280</v>
      </c>
      <c r="I965" s="591" t="s">
        <v>280</v>
      </c>
    </row>
    <row r="966" spans="1:9">
      <c r="A966" s="582"/>
      <c r="B966" s="65">
        <v>1164</v>
      </c>
      <c r="C966" s="579" t="s">
        <v>281</v>
      </c>
      <c r="D966" s="579"/>
      <c r="E966" s="583"/>
      <c r="F966" s="596"/>
      <c r="G966" s="65">
        <v>0</v>
      </c>
      <c r="H966" s="591" t="s">
        <v>280</v>
      </c>
      <c r="I966" s="591" t="s">
        <v>280</v>
      </c>
    </row>
    <row r="967" spans="1:9">
      <c r="A967" s="582"/>
      <c r="B967" s="65">
        <v>1165</v>
      </c>
      <c r="C967" s="579" t="s">
        <v>281</v>
      </c>
      <c r="D967" s="579"/>
      <c r="E967" s="583"/>
      <c r="F967" s="596"/>
      <c r="G967" s="65">
        <v>0</v>
      </c>
      <c r="H967" s="591" t="s">
        <v>280</v>
      </c>
      <c r="I967" s="591" t="s">
        <v>280</v>
      </c>
    </row>
    <row r="968" spans="1:9">
      <c r="A968" s="582"/>
      <c r="B968" s="65">
        <v>1166</v>
      </c>
      <c r="C968" s="579" t="s">
        <v>281</v>
      </c>
      <c r="D968" s="579"/>
      <c r="E968" s="583"/>
      <c r="F968" s="596"/>
      <c r="G968" s="65">
        <v>0</v>
      </c>
      <c r="H968" s="591" t="s">
        <v>280</v>
      </c>
      <c r="I968" s="591" t="s">
        <v>280</v>
      </c>
    </row>
    <row r="969" spans="1:9">
      <c r="A969" s="582"/>
      <c r="B969" s="65">
        <v>1167</v>
      </c>
      <c r="C969" s="579" t="s">
        <v>281</v>
      </c>
      <c r="D969" s="579"/>
      <c r="E969" s="583"/>
      <c r="F969" s="596"/>
      <c r="G969" s="65">
        <v>0</v>
      </c>
      <c r="H969" s="591" t="s">
        <v>280</v>
      </c>
      <c r="I969" s="591" t="s">
        <v>280</v>
      </c>
    </row>
    <row r="970" spans="1:9">
      <c r="A970" s="582"/>
      <c r="B970" s="65">
        <v>1168</v>
      </c>
      <c r="C970" s="579" t="s">
        <v>281</v>
      </c>
      <c r="D970" s="579"/>
      <c r="E970" s="583"/>
      <c r="F970" s="596"/>
      <c r="G970" s="65">
        <v>0</v>
      </c>
      <c r="H970" s="591" t="s">
        <v>280</v>
      </c>
      <c r="I970" s="591" t="s">
        <v>280</v>
      </c>
    </row>
    <row r="971" spans="1:9">
      <c r="A971" s="582"/>
      <c r="B971" s="65">
        <v>1169</v>
      </c>
      <c r="C971" s="579" t="s">
        <v>281</v>
      </c>
      <c r="D971" s="579"/>
      <c r="E971" s="583"/>
      <c r="F971" s="596"/>
      <c r="G971" s="65">
        <v>0</v>
      </c>
      <c r="H971" s="591" t="s">
        <v>280</v>
      </c>
      <c r="I971" s="591" t="s">
        <v>280</v>
      </c>
    </row>
    <row r="972" spans="1:9">
      <c r="A972" s="582"/>
      <c r="B972" s="65">
        <v>1170</v>
      </c>
      <c r="C972" s="579" t="s">
        <v>281</v>
      </c>
      <c r="D972" s="579"/>
      <c r="E972" s="583"/>
      <c r="F972" s="596"/>
      <c r="G972" s="65">
        <v>0</v>
      </c>
      <c r="H972" s="591" t="s">
        <v>280</v>
      </c>
      <c r="I972" s="591" t="s">
        <v>280</v>
      </c>
    </row>
    <row r="973" spans="1:9">
      <c r="A973" s="582"/>
      <c r="B973" s="65">
        <v>1171</v>
      </c>
      <c r="C973" s="579" t="s">
        <v>281</v>
      </c>
      <c r="D973" s="579"/>
      <c r="E973" s="583"/>
      <c r="F973" s="596"/>
      <c r="G973" s="65">
        <v>0</v>
      </c>
      <c r="H973" s="591" t="s">
        <v>280</v>
      </c>
      <c r="I973" s="591" t="s">
        <v>280</v>
      </c>
    </row>
    <row r="974" spans="1:9">
      <c r="A974" s="582"/>
      <c r="B974" s="65">
        <v>1172</v>
      </c>
      <c r="C974" s="579" t="s">
        <v>281</v>
      </c>
      <c r="D974" s="579"/>
      <c r="E974" s="583"/>
      <c r="F974" s="596"/>
      <c r="G974" s="65">
        <v>0</v>
      </c>
      <c r="H974" s="591" t="s">
        <v>280</v>
      </c>
      <c r="I974" s="591" t="s">
        <v>280</v>
      </c>
    </row>
    <row r="975" spans="1:9">
      <c r="A975" s="582"/>
      <c r="B975" s="65">
        <v>1173</v>
      </c>
      <c r="C975" s="579" t="s">
        <v>281</v>
      </c>
      <c r="D975" s="579"/>
      <c r="E975" s="583"/>
      <c r="F975" s="596"/>
      <c r="G975" s="65">
        <v>0</v>
      </c>
      <c r="H975" s="591" t="s">
        <v>280</v>
      </c>
      <c r="I975" s="591" t="s">
        <v>280</v>
      </c>
    </row>
    <row r="976" spans="1:9">
      <c r="A976" s="582"/>
      <c r="B976" s="65">
        <v>1174</v>
      </c>
      <c r="C976" s="579" t="s">
        <v>281</v>
      </c>
      <c r="D976" s="579"/>
      <c r="E976" s="583"/>
      <c r="F976" s="596"/>
      <c r="G976" s="65">
        <v>0</v>
      </c>
      <c r="H976" s="591" t="s">
        <v>280</v>
      </c>
      <c r="I976" s="591" t="s">
        <v>280</v>
      </c>
    </row>
    <row r="977" spans="1:9">
      <c r="A977" s="582"/>
      <c r="B977" s="65">
        <v>1175</v>
      </c>
      <c r="C977" s="579" t="s">
        <v>281</v>
      </c>
      <c r="D977" s="579"/>
      <c r="E977" s="583"/>
      <c r="F977" s="596"/>
      <c r="G977" s="65">
        <v>0</v>
      </c>
      <c r="H977" s="591" t="s">
        <v>280</v>
      </c>
      <c r="I977" s="591" t="s">
        <v>280</v>
      </c>
    </row>
    <row r="978" spans="1:9">
      <c r="A978" s="582"/>
      <c r="B978" s="65">
        <v>1176</v>
      </c>
      <c r="C978" s="579" t="s">
        <v>281</v>
      </c>
      <c r="D978" s="579"/>
      <c r="E978" s="583"/>
      <c r="F978" s="596"/>
      <c r="G978" s="65">
        <v>0</v>
      </c>
      <c r="H978" s="591" t="s">
        <v>280</v>
      </c>
      <c r="I978" s="591" t="s">
        <v>280</v>
      </c>
    </row>
    <row r="979" spans="1:9">
      <c r="A979" s="582"/>
      <c r="B979" s="65">
        <v>1177</v>
      </c>
      <c r="C979" s="579" t="s">
        <v>281</v>
      </c>
      <c r="D979" s="579"/>
      <c r="E979" s="583"/>
      <c r="F979" s="596"/>
      <c r="G979" s="65">
        <v>0</v>
      </c>
      <c r="H979" s="591" t="s">
        <v>280</v>
      </c>
      <c r="I979" s="591" t="s">
        <v>280</v>
      </c>
    </row>
    <row r="980" spans="1:9">
      <c r="A980" s="582"/>
      <c r="B980" s="65">
        <v>1178</v>
      </c>
      <c r="C980" s="579" t="s">
        <v>281</v>
      </c>
      <c r="D980" s="579"/>
      <c r="E980" s="583"/>
      <c r="F980" s="596"/>
      <c r="G980" s="65">
        <v>0</v>
      </c>
      <c r="H980" s="591" t="s">
        <v>280</v>
      </c>
      <c r="I980" s="591" t="s">
        <v>280</v>
      </c>
    </row>
    <row r="981" spans="1:9">
      <c r="A981" s="582"/>
      <c r="B981" s="65">
        <v>1179</v>
      </c>
      <c r="C981" s="579" t="s">
        <v>281</v>
      </c>
      <c r="D981" s="579"/>
      <c r="E981" s="583"/>
      <c r="F981" s="596"/>
      <c r="G981" s="65">
        <v>0</v>
      </c>
      <c r="H981" s="591" t="s">
        <v>280</v>
      </c>
      <c r="I981" s="591" t="s">
        <v>280</v>
      </c>
    </row>
    <row r="982" spans="1:9">
      <c r="A982" s="582"/>
      <c r="B982" s="65">
        <v>1180</v>
      </c>
      <c r="C982" s="579" t="s">
        <v>281</v>
      </c>
      <c r="D982" s="579"/>
      <c r="E982" s="583"/>
      <c r="F982" s="596"/>
      <c r="G982" s="65">
        <v>0</v>
      </c>
      <c r="H982" s="591" t="s">
        <v>280</v>
      </c>
      <c r="I982" s="591" t="s">
        <v>280</v>
      </c>
    </row>
    <row r="983" spans="1:9">
      <c r="A983" s="582"/>
      <c r="B983" s="65">
        <v>1181</v>
      </c>
      <c r="C983" s="579" t="s">
        <v>281</v>
      </c>
      <c r="D983" s="579"/>
      <c r="E983" s="583"/>
      <c r="F983" s="596"/>
      <c r="G983" s="65">
        <v>0</v>
      </c>
      <c r="H983" s="591" t="s">
        <v>280</v>
      </c>
      <c r="I983" s="591" t="s">
        <v>280</v>
      </c>
    </row>
    <row r="984" spans="1:9">
      <c r="A984" s="582"/>
      <c r="B984" s="65">
        <v>1182</v>
      </c>
      <c r="C984" s="579" t="s">
        <v>281</v>
      </c>
      <c r="D984" s="579"/>
      <c r="E984" s="583"/>
      <c r="F984" s="596"/>
      <c r="G984" s="65">
        <v>0</v>
      </c>
      <c r="H984" s="591" t="s">
        <v>280</v>
      </c>
      <c r="I984" s="591" t="s">
        <v>280</v>
      </c>
    </row>
    <row r="985" spans="1:9">
      <c r="A985" s="582"/>
      <c r="B985" s="65">
        <v>1183</v>
      </c>
      <c r="C985" s="579" t="s">
        <v>281</v>
      </c>
      <c r="D985" s="579"/>
      <c r="E985" s="583"/>
      <c r="F985" s="596"/>
      <c r="G985" s="65">
        <v>0</v>
      </c>
      <c r="H985" s="591" t="s">
        <v>280</v>
      </c>
      <c r="I985" s="591" t="s">
        <v>280</v>
      </c>
    </row>
    <row r="986" spans="1:9">
      <c r="A986" s="582"/>
      <c r="B986" s="65">
        <v>1184</v>
      </c>
      <c r="C986" s="579" t="s">
        <v>281</v>
      </c>
      <c r="D986" s="579"/>
      <c r="E986" s="583"/>
      <c r="F986" s="596"/>
      <c r="G986" s="65">
        <v>0</v>
      </c>
      <c r="H986" s="591" t="s">
        <v>280</v>
      </c>
      <c r="I986" s="591" t="s">
        <v>280</v>
      </c>
    </row>
    <row r="987" spans="1:9">
      <c r="A987" s="582"/>
      <c r="B987" s="65">
        <v>1185</v>
      </c>
      <c r="C987" s="579" t="s">
        <v>281</v>
      </c>
      <c r="D987" s="579"/>
      <c r="E987" s="583"/>
      <c r="F987" s="596"/>
      <c r="G987" s="65">
        <v>0</v>
      </c>
      <c r="H987" s="591" t="s">
        <v>280</v>
      </c>
      <c r="I987" s="591" t="s">
        <v>280</v>
      </c>
    </row>
    <row r="988" spans="1:9">
      <c r="A988" s="582"/>
      <c r="B988" s="65">
        <v>1186</v>
      </c>
      <c r="C988" s="579" t="s">
        <v>281</v>
      </c>
      <c r="D988" s="579"/>
      <c r="E988" s="583"/>
      <c r="F988" s="596"/>
      <c r="G988" s="65">
        <v>0</v>
      </c>
      <c r="H988" s="591" t="s">
        <v>280</v>
      </c>
      <c r="I988" s="591" t="s">
        <v>280</v>
      </c>
    </row>
    <row r="989" spans="1:9">
      <c r="A989" s="582"/>
      <c r="B989" s="65">
        <v>1187</v>
      </c>
      <c r="C989" s="579" t="s">
        <v>281</v>
      </c>
      <c r="D989" s="579"/>
      <c r="E989" s="583"/>
      <c r="F989" s="596"/>
      <c r="G989" s="65">
        <v>0</v>
      </c>
      <c r="H989" s="591" t="s">
        <v>280</v>
      </c>
      <c r="I989" s="591" t="s">
        <v>280</v>
      </c>
    </row>
    <row r="990" spans="1:9">
      <c r="A990" s="582"/>
      <c r="B990" s="65">
        <v>1188</v>
      </c>
      <c r="C990" s="579" t="s">
        <v>281</v>
      </c>
      <c r="D990" s="579"/>
      <c r="E990" s="583"/>
      <c r="F990" s="596"/>
      <c r="G990" s="65">
        <v>0</v>
      </c>
      <c r="H990" s="591" t="s">
        <v>280</v>
      </c>
      <c r="I990" s="591" t="s">
        <v>280</v>
      </c>
    </row>
    <row r="991" spans="1:9">
      <c r="A991" s="582"/>
      <c r="B991" s="65">
        <v>1189</v>
      </c>
      <c r="C991" s="579" t="s">
        <v>281</v>
      </c>
      <c r="D991" s="579"/>
      <c r="E991" s="583"/>
      <c r="F991" s="596"/>
      <c r="G991" s="65">
        <v>0</v>
      </c>
      <c r="H991" s="591" t="s">
        <v>280</v>
      </c>
      <c r="I991" s="591" t="s">
        <v>280</v>
      </c>
    </row>
    <row r="992" spans="1:9">
      <c r="A992" s="582"/>
      <c r="B992" s="65">
        <v>1190</v>
      </c>
      <c r="C992" s="579" t="s">
        <v>281</v>
      </c>
      <c r="D992" s="579"/>
      <c r="E992" s="583"/>
      <c r="F992" s="596"/>
      <c r="G992" s="65">
        <v>0</v>
      </c>
      <c r="H992" s="591" t="s">
        <v>280</v>
      </c>
      <c r="I992" s="591" t="s">
        <v>280</v>
      </c>
    </row>
    <row r="993" spans="1:9">
      <c r="A993" s="582"/>
      <c r="B993" s="65">
        <v>1191</v>
      </c>
      <c r="C993" s="579" t="s">
        <v>281</v>
      </c>
      <c r="D993" s="579"/>
      <c r="E993" s="583"/>
      <c r="F993" s="596"/>
      <c r="G993" s="65">
        <v>0</v>
      </c>
      <c r="H993" s="591" t="s">
        <v>280</v>
      </c>
      <c r="I993" s="591" t="s">
        <v>280</v>
      </c>
    </row>
    <row r="994" spans="1:9">
      <c r="A994" s="582"/>
      <c r="B994" s="65">
        <v>1192</v>
      </c>
      <c r="C994" s="579" t="s">
        <v>281</v>
      </c>
      <c r="D994" s="579"/>
      <c r="E994" s="583"/>
      <c r="F994" s="596"/>
      <c r="G994" s="65">
        <v>0</v>
      </c>
      <c r="H994" s="591" t="s">
        <v>280</v>
      </c>
      <c r="I994" s="591" t="s">
        <v>280</v>
      </c>
    </row>
    <row r="995" spans="1:9">
      <c r="A995" s="582"/>
      <c r="B995" s="65">
        <v>1193</v>
      </c>
      <c r="C995" s="579" t="s">
        <v>281</v>
      </c>
      <c r="D995" s="579"/>
      <c r="E995" s="583"/>
      <c r="F995" s="596"/>
      <c r="G995" s="65">
        <v>0</v>
      </c>
      <c r="H995" s="591" t="s">
        <v>280</v>
      </c>
      <c r="I995" s="591" t="s">
        <v>280</v>
      </c>
    </row>
    <row r="996" spans="1:9">
      <c r="A996" s="582"/>
      <c r="B996" s="65">
        <v>1194</v>
      </c>
      <c r="C996" s="579" t="s">
        <v>281</v>
      </c>
      <c r="D996" s="579"/>
      <c r="E996" s="583"/>
      <c r="F996" s="596"/>
      <c r="G996" s="65">
        <v>0</v>
      </c>
      <c r="H996" s="591" t="s">
        <v>280</v>
      </c>
      <c r="I996" s="591" t="s">
        <v>280</v>
      </c>
    </row>
    <row r="997" spans="1:9">
      <c r="A997" s="582"/>
      <c r="B997" s="65">
        <v>1195</v>
      </c>
      <c r="C997" s="579" t="s">
        <v>281</v>
      </c>
      <c r="D997" s="579"/>
      <c r="E997" s="583"/>
      <c r="F997" s="596"/>
      <c r="G997" s="65">
        <v>0</v>
      </c>
      <c r="H997" s="591" t="s">
        <v>280</v>
      </c>
      <c r="I997" s="591" t="s">
        <v>280</v>
      </c>
    </row>
    <row r="998" spans="1:9">
      <c r="A998" s="582"/>
      <c r="B998" s="65">
        <v>1196</v>
      </c>
      <c r="C998" s="579" t="s">
        <v>281</v>
      </c>
      <c r="D998" s="579"/>
      <c r="E998" s="583"/>
      <c r="F998" s="596"/>
      <c r="G998" s="65">
        <v>0</v>
      </c>
      <c r="H998" s="591" t="s">
        <v>280</v>
      </c>
      <c r="I998" s="591" t="s">
        <v>280</v>
      </c>
    </row>
    <row r="999" spans="1:9">
      <c r="A999" s="582"/>
      <c r="B999" s="65">
        <v>1197</v>
      </c>
      <c r="C999" s="579" t="s">
        <v>281</v>
      </c>
      <c r="D999" s="579"/>
      <c r="E999" s="583"/>
      <c r="F999" s="596"/>
      <c r="G999" s="65">
        <v>0</v>
      </c>
      <c r="H999" s="591" t="s">
        <v>280</v>
      </c>
      <c r="I999" s="591" t="s">
        <v>280</v>
      </c>
    </row>
    <row r="1000" spans="1:9">
      <c r="A1000" s="582"/>
      <c r="B1000" s="65">
        <v>1198</v>
      </c>
      <c r="C1000" s="579" t="s">
        <v>281</v>
      </c>
      <c r="D1000" s="579"/>
      <c r="E1000" s="583"/>
      <c r="F1000" s="596"/>
      <c r="G1000" s="65">
        <v>0</v>
      </c>
      <c r="H1000" s="591" t="s">
        <v>280</v>
      </c>
      <c r="I1000" s="591" t="s">
        <v>280</v>
      </c>
    </row>
    <row r="1001" spans="1:9">
      <c r="A1001" s="582"/>
      <c r="B1001" s="65">
        <v>1199</v>
      </c>
      <c r="C1001" s="579" t="s">
        <v>281</v>
      </c>
      <c r="D1001" s="579"/>
      <c r="E1001" s="583"/>
      <c r="F1001" s="596"/>
      <c r="G1001" s="65">
        <v>0</v>
      </c>
      <c r="H1001" s="591" t="s">
        <v>280</v>
      </c>
      <c r="I1001" s="591" t="s">
        <v>280</v>
      </c>
    </row>
    <row r="1002" spans="1:9">
      <c r="A1002" s="582"/>
      <c r="B1002" s="65">
        <v>1200</v>
      </c>
      <c r="C1002" s="579" t="s">
        <v>279</v>
      </c>
      <c r="D1002" s="579"/>
      <c r="E1002" s="583"/>
      <c r="F1002" s="596"/>
      <c r="G1002" s="65">
        <v>0</v>
      </c>
      <c r="H1002" s="591" t="s">
        <v>280</v>
      </c>
      <c r="I1002" s="591" t="s">
        <v>280</v>
      </c>
    </row>
    <row r="1003" spans="1:9">
      <c r="A1003" s="582"/>
      <c r="B1003" s="65">
        <v>1201</v>
      </c>
      <c r="C1003" s="579" t="s">
        <v>281</v>
      </c>
      <c r="D1003" s="579"/>
      <c r="E1003" s="583"/>
      <c r="F1003" s="596"/>
      <c r="G1003" s="65">
        <v>0</v>
      </c>
      <c r="H1003" s="591" t="s">
        <v>280</v>
      </c>
      <c r="I1003" s="591" t="s">
        <v>280</v>
      </c>
    </row>
    <row r="1004" spans="1:9">
      <c r="A1004" s="582"/>
      <c r="B1004" s="65">
        <v>1202</v>
      </c>
      <c r="C1004" s="579" t="s">
        <v>281</v>
      </c>
      <c r="D1004" s="579"/>
      <c r="E1004" s="583"/>
      <c r="F1004" s="596"/>
      <c r="G1004" s="65">
        <v>0</v>
      </c>
      <c r="H1004" s="591" t="s">
        <v>280</v>
      </c>
      <c r="I1004" s="591" t="s">
        <v>280</v>
      </c>
    </row>
    <row r="1005" spans="1:9">
      <c r="A1005" s="582"/>
      <c r="B1005" s="65">
        <v>1203</v>
      </c>
      <c r="C1005" s="579" t="s">
        <v>281</v>
      </c>
      <c r="D1005" s="579"/>
      <c r="E1005" s="583"/>
      <c r="F1005" s="596"/>
      <c r="G1005" s="65">
        <v>0</v>
      </c>
      <c r="H1005" s="591" t="s">
        <v>280</v>
      </c>
      <c r="I1005" s="591" t="s">
        <v>280</v>
      </c>
    </row>
    <row r="1006" spans="1:9">
      <c r="A1006" s="582"/>
      <c r="B1006" s="65">
        <v>1204</v>
      </c>
      <c r="C1006" s="579" t="s">
        <v>281</v>
      </c>
      <c r="D1006" s="579"/>
      <c r="E1006" s="583"/>
      <c r="F1006" s="596"/>
      <c r="G1006" s="65">
        <v>0</v>
      </c>
      <c r="H1006" s="591" t="s">
        <v>280</v>
      </c>
      <c r="I1006" s="591" t="s">
        <v>280</v>
      </c>
    </row>
    <row r="1007" spans="1:9">
      <c r="A1007" s="582"/>
      <c r="B1007" s="65">
        <v>1205</v>
      </c>
      <c r="C1007" s="579" t="s">
        <v>281</v>
      </c>
      <c r="D1007" s="579"/>
      <c r="E1007" s="583"/>
      <c r="F1007" s="596"/>
      <c r="G1007" s="65">
        <v>0</v>
      </c>
      <c r="H1007" s="591" t="s">
        <v>280</v>
      </c>
      <c r="I1007" s="591" t="s">
        <v>280</v>
      </c>
    </row>
    <row r="1008" spans="1:9">
      <c r="A1008" s="582"/>
      <c r="B1008" s="65">
        <v>1206</v>
      </c>
      <c r="C1008" s="579" t="s">
        <v>281</v>
      </c>
      <c r="D1008" s="579"/>
      <c r="E1008" s="583"/>
      <c r="F1008" s="596"/>
      <c r="G1008" s="65">
        <v>0</v>
      </c>
      <c r="H1008" s="591" t="s">
        <v>280</v>
      </c>
      <c r="I1008" s="591" t="s">
        <v>280</v>
      </c>
    </row>
    <row r="1009" spans="1:9">
      <c r="A1009" s="582"/>
      <c r="B1009" s="65">
        <v>1207</v>
      </c>
      <c r="C1009" s="579" t="s">
        <v>281</v>
      </c>
      <c r="D1009" s="579"/>
      <c r="E1009" s="583"/>
      <c r="F1009" s="596"/>
      <c r="G1009" s="65">
        <v>0</v>
      </c>
      <c r="H1009" s="591" t="s">
        <v>280</v>
      </c>
      <c r="I1009" s="591" t="s">
        <v>280</v>
      </c>
    </row>
    <row r="1010" spans="1:9">
      <c r="A1010" s="582"/>
      <c r="B1010" s="65">
        <v>1208</v>
      </c>
      <c r="C1010" s="579" t="s">
        <v>281</v>
      </c>
      <c r="D1010" s="579"/>
      <c r="E1010" s="583"/>
      <c r="F1010" s="596"/>
      <c r="G1010" s="65">
        <v>0</v>
      </c>
      <c r="H1010" s="591" t="s">
        <v>280</v>
      </c>
      <c r="I1010" s="591" t="s">
        <v>280</v>
      </c>
    </row>
    <row r="1011" spans="1:9">
      <c r="A1011" s="582"/>
      <c r="B1011" s="65">
        <v>1209</v>
      </c>
      <c r="C1011" s="579" t="s">
        <v>281</v>
      </c>
      <c r="D1011" s="579"/>
      <c r="E1011" s="583"/>
      <c r="F1011" s="596"/>
      <c r="G1011" s="65">
        <v>0</v>
      </c>
      <c r="H1011" s="591" t="s">
        <v>280</v>
      </c>
      <c r="I1011" s="591" t="s">
        <v>280</v>
      </c>
    </row>
    <row r="1012" spans="1:9">
      <c r="A1012" s="582"/>
      <c r="B1012" s="65">
        <v>1210</v>
      </c>
      <c r="C1012" s="579" t="s">
        <v>281</v>
      </c>
      <c r="D1012" s="579"/>
      <c r="E1012" s="583"/>
      <c r="F1012" s="596"/>
      <c r="G1012" s="65">
        <v>0</v>
      </c>
      <c r="H1012" s="591" t="s">
        <v>280</v>
      </c>
      <c r="I1012" s="591" t="s">
        <v>280</v>
      </c>
    </row>
    <row r="1013" spans="1:9">
      <c r="A1013" s="582"/>
      <c r="B1013" s="65">
        <v>1211</v>
      </c>
      <c r="C1013" s="579" t="s">
        <v>281</v>
      </c>
      <c r="D1013" s="579"/>
      <c r="E1013" s="583"/>
      <c r="F1013" s="596"/>
      <c r="G1013" s="65">
        <v>0</v>
      </c>
      <c r="H1013" s="591" t="s">
        <v>280</v>
      </c>
      <c r="I1013" s="591" t="s">
        <v>280</v>
      </c>
    </row>
    <row r="1014" spans="1:9">
      <c r="A1014" s="582"/>
      <c r="B1014" s="65">
        <v>1212</v>
      </c>
      <c r="C1014" s="579" t="s">
        <v>281</v>
      </c>
      <c r="D1014" s="579"/>
      <c r="E1014" s="583"/>
      <c r="F1014" s="596"/>
      <c r="G1014" s="65">
        <v>0</v>
      </c>
      <c r="H1014" s="591" t="s">
        <v>280</v>
      </c>
      <c r="I1014" s="591" t="s">
        <v>280</v>
      </c>
    </row>
    <row r="1015" spans="1:9">
      <c r="A1015" s="582"/>
      <c r="B1015" s="65">
        <v>1213</v>
      </c>
      <c r="C1015" s="579" t="s">
        <v>281</v>
      </c>
      <c r="D1015" s="579"/>
      <c r="E1015" s="583"/>
      <c r="F1015" s="596"/>
      <c r="G1015" s="65">
        <v>0</v>
      </c>
      <c r="H1015" s="591" t="s">
        <v>280</v>
      </c>
      <c r="I1015" s="591" t="s">
        <v>280</v>
      </c>
    </row>
    <row r="1016" spans="1:9">
      <c r="A1016" s="582"/>
      <c r="B1016" s="65">
        <v>1214</v>
      </c>
      <c r="C1016" s="579" t="s">
        <v>281</v>
      </c>
      <c r="D1016" s="579"/>
      <c r="E1016" s="583"/>
      <c r="F1016" s="596"/>
      <c r="G1016" s="65">
        <v>0</v>
      </c>
      <c r="H1016" s="591" t="s">
        <v>280</v>
      </c>
      <c r="I1016" s="591" t="s">
        <v>280</v>
      </c>
    </row>
    <row r="1017" spans="1:9">
      <c r="A1017" s="582"/>
      <c r="B1017" s="65">
        <v>1215</v>
      </c>
      <c r="C1017" s="579" t="s">
        <v>281</v>
      </c>
      <c r="D1017" s="579"/>
      <c r="E1017" s="583"/>
      <c r="F1017" s="596"/>
      <c r="G1017" s="65">
        <v>0</v>
      </c>
      <c r="H1017" s="591" t="s">
        <v>280</v>
      </c>
      <c r="I1017" s="591" t="s">
        <v>280</v>
      </c>
    </row>
    <row r="1018" spans="1:9">
      <c r="A1018" s="582"/>
      <c r="B1018" s="65">
        <v>1216</v>
      </c>
      <c r="C1018" s="579" t="s">
        <v>281</v>
      </c>
      <c r="D1018" s="579"/>
      <c r="E1018" s="583"/>
      <c r="F1018" s="596"/>
      <c r="G1018" s="65">
        <v>0</v>
      </c>
      <c r="H1018" s="591" t="s">
        <v>280</v>
      </c>
      <c r="I1018" s="591" t="s">
        <v>280</v>
      </c>
    </row>
    <row r="1019" spans="1:9">
      <c r="A1019" s="582"/>
      <c r="B1019" s="65">
        <v>1217</v>
      </c>
      <c r="C1019" s="579" t="s">
        <v>281</v>
      </c>
      <c r="D1019" s="579"/>
      <c r="E1019" s="583"/>
      <c r="F1019" s="596"/>
      <c r="G1019" s="65">
        <v>0</v>
      </c>
      <c r="H1019" s="591" t="s">
        <v>280</v>
      </c>
      <c r="I1019" s="591" t="s">
        <v>280</v>
      </c>
    </row>
    <row r="1020" spans="1:9">
      <c r="A1020" s="582"/>
      <c r="B1020" s="65">
        <v>1218</v>
      </c>
      <c r="C1020" s="579" t="s">
        <v>281</v>
      </c>
      <c r="D1020" s="579"/>
      <c r="E1020" s="583"/>
      <c r="F1020" s="596"/>
      <c r="G1020" s="65">
        <v>0</v>
      </c>
      <c r="H1020" s="591" t="s">
        <v>280</v>
      </c>
      <c r="I1020" s="591" t="s">
        <v>280</v>
      </c>
    </row>
    <row r="1021" spans="1:9">
      <c r="A1021" s="582"/>
      <c r="B1021" s="65">
        <v>1219</v>
      </c>
      <c r="C1021" s="579" t="s">
        <v>281</v>
      </c>
      <c r="D1021" s="579"/>
      <c r="E1021" s="583"/>
      <c r="F1021" s="596"/>
      <c r="G1021" s="65">
        <v>0</v>
      </c>
      <c r="H1021" s="591" t="s">
        <v>280</v>
      </c>
      <c r="I1021" s="591" t="s">
        <v>280</v>
      </c>
    </row>
    <row r="1022" spans="1:9">
      <c r="A1022" s="582"/>
      <c r="B1022" s="65">
        <v>1220</v>
      </c>
      <c r="C1022" s="579" t="s">
        <v>281</v>
      </c>
      <c r="D1022" s="579"/>
      <c r="E1022" s="583"/>
      <c r="F1022" s="596"/>
      <c r="G1022" s="65">
        <v>0</v>
      </c>
      <c r="H1022" s="591" t="s">
        <v>280</v>
      </c>
      <c r="I1022" s="591" t="s">
        <v>280</v>
      </c>
    </row>
    <row r="1023" spans="1:9">
      <c r="A1023" s="582"/>
      <c r="B1023" s="65">
        <v>1221</v>
      </c>
      <c r="C1023" s="579" t="s">
        <v>281</v>
      </c>
      <c r="D1023" s="579"/>
      <c r="E1023" s="583"/>
      <c r="F1023" s="596"/>
      <c r="G1023" s="65">
        <v>0</v>
      </c>
      <c r="H1023" s="591" t="s">
        <v>280</v>
      </c>
      <c r="I1023" s="591" t="s">
        <v>280</v>
      </c>
    </row>
    <row r="1024" spans="1:9">
      <c r="A1024" s="582"/>
      <c r="B1024" s="65">
        <v>1222</v>
      </c>
      <c r="C1024" s="579" t="s">
        <v>281</v>
      </c>
      <c r="D1024" s="579"/>
      <c r="E1024" s="583"/>
      <c r="F1024" s="596"/>
      <c r="G1024" s="65">
        <v>0</v>
      </c>
      <c r="H1024" s="591" t="s">
        <v>280</v>
      </c>
      <c r="I1024" s="591" t="s">
        <v>280</v>
      </c>
    </row>
    <row r="1025" spans="1:9">
      <c r="A1025" s="582"/>
      <c r="B1025" s="65">
        <v>1223</v>
      </c>
      <c r="C1025" s="579" t="s">
        <v>281</v>
      </c>
      <c r="D1025" s="579"/>
      <c r="E1025" s="583"/>
      <c r="F1025" s="596"/>
      <c r="G1025" s="65">
        <v>0</v>
      </c>
      <c r="H1025" s="591" t="s">
        <v>280</v>
      </c>
      <c r="I1025" s="591" t="s">
        <v>280</v>
      </c>
    </row>
    <row r="1026" spans="1:9">
      <c r="A1026" s="582"/>
      <c r="B1026" s="65">
        <v>1224</v>
      </c>
      <c r="C1026" s="579" t="s">
        <v>281</v>
      </c>
      <c r="D1026" s="579"/>
      <c r="E1026" s="583"/>
      <c r="F1026" s="596"/>
      <c r="G1026" s="65">
        <v>0</v>
      </c>
      <c r="H1026" s="591" t="s">
        <v>280</v>
      </c>
      <c r="I1026" s="591" t="s">
        <v>280</v>
      </c>
    </row>
    <row r="1027" spans="1:9">
      <c r="A1027" s="582"/>
      <c r="B1027" s="65">
        <v>1225</v>
      </c>
      <c r="C1027" s="579" t="s">
        <v>281</v>
      </c>
      <c r="D1027" s="579"/>
      <c r="E1027" s="583"/>
      <c r="F1027" s="596"/>
      <c r="G1027" s="65">
        <v>0</v>
      </c>
      <c r="H1027" s="591" t="s">
        <v>280</v>
      </c>
      <c r="I1027" s="591" t="s">
        <v>280</v>
      </c>
    </row>
    <row r="1028" spans="1:9">
      <c r="A1028" s="582"/>
      <c r="B1028" s="65">
        <v>1226</v>
      </c>
      <c r="C1028" s="579" t="s">
        <v>281</v>
      </c>
      <c r="D1028" s="579"/>
      <c r="E1028" s="583"/>
      <c r="F1028" s="596"/>
      <c r="G1028" s="65">
        <v>0</v>
      </c>
      <c r="H1028" s="591" t="s">
        <v>280</v>
      </c>
      <c r="I1028" s="591" t="s">
        <v>280</v>
      </c>
    </row>
    <row r="1029" spans="1:9">
      <c r="A1029" s="582"/>
      <c r="B1029" s="65">
        <v>1227</v>
      </c>
      <c r="C1029" s="579" t="s">
        <v>281</v>
      </c>
      <c r="D1029" s="579"/>
      <c r="E1029" s="583"/>
      <c r="F1029" s="596"/>
      <c r="G1029" s="65">
        <v>0</v>
      </c>
      <c r="H1029" s="591" t="s">
        <v>280</v>
      </c>
      <c r="I1029" s="591" t="s">
        <v>280</v>
      </c>
    </row>
    <row r="1030" spans="1:9">
      <c r="A1030" s="582"/>
      <c r="B1030" s="65">
        <v>1228</v>
      </c>
      <c r="C1030" s="579" t="s">
        <v>281</v>
      </c>
      <c r="D1030" s="579"/>
      <c r="E1030" s="583"/>
      <c r="F1030" s="596"/>
      <c r="G1030" s="65">
        <v>0</v>
      </c>
      <c r="H1030" s="591" t="s">
        <v>280</v>
      </c>
      <c r="I1030" s="591" t="s">
        <v>280</v>
      </c>
    </row>
    <row r="1031" spans="1:9">
      <c r="A1031" s="582"/>
      <c r="B1031" s="65">
        <v>1229</v>
      </c>
      <c r="C1031" s="579" t="s">
        <v>281</v>
      </c>
      <c r="D1031" s="579"/>
      <c r="E1031" s="583"/>
      <c r="F1031" s="596"/>
      <c r="G1031" s="65">
        <v>0</v>
      </c>
      <c r="H1031" s="591" t="s">
        <v>280</v>
      </c>
      <c r="I1031" s="591" t="s">
        <v>280</v>
      </c>
    </row>
    <row r="1032" spans="1:9">
      <c r="A1032" s="582"/>
      <c r="B1032" s="65">
        <v>1230</v>
      </c>
      <c r="C1032" s="579" t="s">
        <v>281</v>
      </c>
      <c r="D1032" s="579"/>
      <c r="E1032" s="583"/>
      <c r="F1032" s="596"/>
      <c r="G1032" s="65">
        <v>0</v>
      </c>
      <c r="H1032" s="591" t="s">
        <v>280</v>
      </c>
      <c r="I1032" s="591" t="s">
        <v>280</v>
      </c>
    </row>
    <row r="1033" spans="1:9">
      <c r="A1033" s="582"/>
      <c r="B1033" s="65">
        <v>1231</v>
      </c>
      <c r="C1033" s="579" t="s">
        <v>281</v>
      </c>
      <c r="D1033" s="579"/>
      <c r="E1033" s="583"/>
      <c r="F1033" s="596"/>
      <c r="G1033" s="65">
        <v>0</v>
      </c>
      <c r="H1033" s="591" t="s">
        <v>280</v>
      </c>
      <c r="I1033" s="591" t="s">
        <v>280</v>
      </c>
    </row>
    <row r="1034" spans="1:9">
      <c r="A1034" s="582"/>
      <c r="B1034" s="65">
        <v>1232</v>
      </c>
      <c r="C1034" s="579" t="s">
        <v>281</v>
      </c>
      <c r="D1034" s="579"/>
      <c r="E1034" s="583"/>
      <c r="F1034" s="596"/>
      <c r="G1034" s="65">
        <v>0</v>
      </c>
      <c r="H1034" s="591" t="s">
        <v>280</v>
      </c>
      <c r="I1034" s="591" t="s">
        <v>280</v>
      </c>
    </row>
    <row r="1035" spans="1:9">
      <c r="A1035" s="582"/>
      <c r="B1035" s="65">
        <v>1233</v>
      </c>
      <c r="C1035" s="579" t="s">
        <v>281</v>
      </c>
      <c r="D1035" s="579"/>
      <c r="E1035" s="583"/>
      <c r="F1035" s="596"/>
      <c r="G1035" s="65">
        <v>0</v>
      </c>
      <c r="H1035" s="591" t="s">
        <v>280</v>
      </c>
      <c r="I1035" s="591" t="s">
        <v>280</v>
      </c>
    </row>
    <row r="1036" spans="1:9">
      <c r="A1036" s="582"/>
      <c r="B1036" s="65">
        <v>1234</v>
      </c>
      <c r="C1036" s="579" t="s">
        <v>281</v>
      </c>
      <c r="D1036" s="579"/>
      <c r="E1036" s="583"/>
      <c r="F1036" s="596"/>
      <c r="G1036" s="65">
        <v>0</v>
      </c>
      <c r="H1036" s="591" t="s">
        <v>280</v>
      </c>
      <c r="I1036" s="591" t="s">
        <v>280</v>
      </c>
    </row>
    <row r="1037" spans="1:9">
      <c r="A1037" s="582"/>
      <c r="B1037" s="65">
        <v>1235</v>
      </c>
      <c r="C1037" s="579" t="s">
        <v>281</v>
      </c>
      <c r="D1037" s="579"/>
      <c r="E1037" s="583"/>
      <c r="F1037" s="596"/>
      <c r="G1037" s="65">
        <v>0</v>
      </c>
      <c r="H1037" s="591" t="s">
        <v>280</v>
      </c>
      <c r="I1037" s="591" t="s">
        <v>280</v>
      </c>
    </row>
    <row r="1038" spans="1:9">
      <c r="A1038" s="582"/>
      <c r="B1038" s="65">
        <v>1236</v>
      </c>
      <c r="C1038" s="579" t="s">
        <v>281</v>
      </c>
      <c r="D1038" s="579"/>
      <c r="E1038" s="583"/>
      <c r="F1038" s="596"/>
      <c r="G1038" s="65">
        <v>0</v>
      </c>
      <c r="H1038" s="591" t="s">
        <v>280</v>
      </c>
      <c r="I1038" s="591" t="s">
        <v>280</v>
      </c>
    </row>
    <row r="1039" spans="1:9">
      <c r="A1039" s="582"/>
      <c r="B1039" s="65">
        <v>1237</v>
      </c>
      <c r="C1039" s="579" t="s">
        <v>281</v>
      </c>
      <c r="D1039" s="579"/>
      <c r="E1039" s="583"/>
      <c r="F1039" s="596"/>
      <c r="G1039" s="65">
        <v>0</v>
      </c>
      <c r="H1039" s="591" t="s">
        <v>280</v>
      </c>
      <c r="I1039" s="591" t="s">
        <v>280</v>
      </c>
    </row>
    <row r="1040" spans="1:9">
      <c r="A1040" s="582"/>
      <c r="B1040" s="65">
        <v>1238</v>
      </c>
      <c r="C1040" s="579" t="s">
        <v>281</v>
      </c>
      <c r="D1040" s="579"/>
      <c r="E1040" s="583"/>
      <c r="F1040" s="596"/>
      <c r="G1040" s="65">
        <v>0</v>
      </c>
      <c r="H1040" s="591" t="s">
        <v>280</v>
      </c>
      <c r="I1040" s="591" t="s">
        <v>280</v>
      </c>
    </row>
    <row r="1041" spans="1:9">
      <c r="A1041" s="582"/>
      <c r="B1041" s="65">
        <v>1239</v>
      </c>
      <c r="C1041" s="579" t="s">
        <v>281</v>
      </c>
      <c r="D1041" s="579"/>
      <c r="E1041" s="583"/>
      <c r="F1041" s="596"/>
      <c r="G1041" s="65">
        <v>0</v>
      </c>
      <c r="H1041" s="591" t="s">
        <v>280</v>
      </c>
      <c r="I1041" s="591" t="s">
        <v>280</v>
      </c>
    </row>
    <row r="1042" spans="1:9">
      <c r="A1042" s="582"/>
      <c r="B1042" s="65">
        <v>1240</v>
      </c>
      <c r="C1042" s="579" t="s">
        <v>281</v>
      </c>
      <c r="D1042" s="579"/>
      <c r="E1042" s="583"/>
      <c r="F1042" s="596"/>
      <c r="G1042" s="65">
        <v>0</v>
      </c>
      <c r="H1042" s="591" t="s">
        <v>280</v>
      </c>
      <c r="I1042" s="591" t="s">
        <v>280</v>
      </c>
    </row>
    <row r="1043" spans="1:9">
      <c r="A1043" s="582"/>
      <c r="B1043" s="65">
        <v>1241</v>
      </c>
      <c r="C1043" s="579" t="s">
        <v>281</v>
      </c>
      <c r="D1043" s="579"/>
      <c r="E1043" s="583"/>
      <c r="F1043" s="596"/>
      <c r="G1043" s="65">
        <v>0</v>
      </c>
      <c r="H1043" s="591" t="s">
        <v>280</v>
      </c>
      <c r="I1043" s="591" t="s">
        <v>280</v>
      </c>
    </row>
    <row r="1044" spans="1:9">
      <c r="A1044" s="582"/>
      <c r="B1044" s="65">
        <v>1242</v>
      </c>
      <c r="C1044" s="579" t="s">
        <v>281</v>
      </c>
      <c r="D1044" s="579"/>
      <c r="E1044" s="583"/>
      <c r="F1044" s="596"/>
      <c r="G1044" s="65">
        <v>0</v>
      </c>
      <c r="H1044" s="591" t="s">
        <v>280</v>
      </c>
      <c r="I1044" s="591" t="s">
        <v>280</v>
      </c>
    </row>
    <row r="1045" spans="1:9">
      <c r="A1045" s="582"/>
      <c r="B1045" s="65">
        <v>1243</v>
      </c>
      <c r="C1045" s="579" t="s">
        <v>281</v>
      </c>
      <c r="D1045" s="579"/>
      <c r="E1045" s="583"/>
      <c r="F1045" s="596"/>
      <c r="G1045" s="65">
        <v>0</v>
      </c>
      <c r="H1045" s="591" t="s">
        <v>280</v>
      </c>
      <c r="I1045" s="591" t="s">
        <v>280</v>
      </c>
    </row>
    <row r="1046" spans="1:9">
      <c r="A1046" s="582"/>
      <c r="B1046" s="65">
        <v>1244</v>
      </c>
      <c r="C1046" s="579" t="s">
        <v>281</v>
      </c>
      <c r="D1046" s="579"/>
      <c r="E1046" s="583"/>
      <c r="F1046" s="596"/>
      <c r="G1046" s="65">
        <v>0</v>
      </c>
      <c r="H1046" s="591" t="s">
        <v>280</v>
      </c>
      <c r="I1046" s="591" t="s">
        <v>280</v>
      </c>
    </row>
    <row r="1047" spans="1:9">
      <c r="A1047" s="582"/>
      <c r="B1047" s="65">
        <v>1245</v>
      </c>
      <c r="C1047" s="579" t="s">
        <v>281</v>
      </c>
      <c r="D1047" s="579"/>
      <c r="E1047" s="583"/>
      <c r="F1047" s="596"/>
      <c r="G1047" s="65">
        <v>0</v>
      </c>
      <c r="H1047" s="591" t="s">
        <v>280</v>
      </c>
      <c r="I1047" s="591" t="s">
        <v>280</v>
      </c>
    </row>
    <row r="1048" spans="1:9">
      <c r="A1048" s="582"/>
      <c r="B1048" s="65">
        <v>1246</v>
      </c>
      <c r="C1048" s="579" t="s">
        <v>281</v>
      </c>
      <c r="D1048" s="579"/>
      <c r="E1048" s="583"/>
      <c r="F1048" s="596"/>
      <c r="G1048" s="65">
        <v>0</v>
      </c>
      <c r="H1048" s="591" t="s">
        <v>280</v>
      </c>
      <c r="I1048" s="591" t="s">
        <v>280</v>
      </c>
    </row>
    <row r="1049" spans="1:9">
      <c r="A1049" s="582"/>
      <c r="B1049" s="65">
        <v>1247</v>
      </c>
      <c r="C1049" s="579" t="s">
        <v>281</v>
      </c>
      <c r="D1049" s="579"/>
      <c r="E1049" s="583"/>
      <c r="F1049" s="596"/>
      <c r="G1049" s="65">
        <v>0</v>
      </c>
      <c r="H1049" s="591" t="s">
        <v>280</v>
      </c>
      <c r="I1049" s="591" t="s">
        <v>280</v>
      </c>
    </row>
    <row r="1050" spans="1:9">
      <c r="A1050" s="582"/>
      <c r="B1050" s="65">
        <v>1248</v>
      </c>
      <c r="C1050" s="579" t="s">
        <v>281</v>
      </c>
      <c r="D1050" s="579"/>
      <c r="E1050" s="583"/>
      <c r="F1050" s="596"/>
      <c r="G1050" s="65">
        <v>0</v>
      </c>
      <c r="H1050" s="591" t="s">
        <v>280</v>
      </c>
      <c r="I1050" s="591" t="s">
        <v>280</v>
      </c>
    </row>
    <row r="1051" spans="1:9">
      <c r="A1051" s="582"/>
      <c r="B1051" s="65">
        <v>1249</v>
      </c>
      <c r="C1051" s="579" t="s">
        <v>281</v>
      </c>
      <c r="D1051" s="579"/>
      <c r="E1051" s="583"/>
      <c r="F1051" s="596"/>
      <c r="G1051" s="65">
        <v>0</v>
      </c>
      <c r="H1051" s="591" t="s">
        <v>280</v>
      </c>
      <c r="I1051" s="591" t="s">
        <v>280</v>
      </c>
    </row>
    <row r="1052" spans="1:9">
      <c r="A1052" s="582"/>
      <c r="B1052" s="65">
        <v>1250</v>
      </c>
      <c r="C1052" s="579" t="s">
        <v>281</v>
      </c>
      <c r="D1052" s="579"/>
      <c r="E1052" s="583"/>
      <c r="F1052" s="596"/>
      <c r="G1052" s="65">
        <v>0</v>
      </c>
      <c r="H1052" s="591" t="s">
        <v>280</v>
      </c>
      <c r="I1052" s="591" t="s">
        <v>280</v>
      </c>
    </row>
    <row r="1053" spans="1:9">
      <c r="A1053" s="582"/>
      <c r="B1053" s="65">
        <v>1251</v>
      </c>
      <c r="C1053" s="579" t="s">
        <v>281</v>
      </c>
      <c r="D1053" s="579"/>
      <c r="E1053" s="583"/>
      <c r="F1053" s="596"/>
      <c r="G1053" s="65">
        <v>0</v>
      </c>
      <c r="H1053" s="591" t="s">
        <v>280</v>
      </c>
      <c r="I1053" s="591" t="s">
        <v>280</v>
      </c>
    </row>
    <row r="1054" spans="1:9">
      <c r="A1054" s="582"/>
      <c r="B1054" s="65">
        <v>1252</v>
      </c>
      <c r="C1054" s="579" t="s">
        <v>281</v>
      </c>
      <c r="D1054" s="579"/>
      <c r="E1054" s="583"/>
      <c r="F1054" s="596"/>
      <c r="G1054" s="65">
        <v>0</v>
      </c>
      <c r="H1054" s="591" t="s">
        <v>280</v>
      </c>
      <c r="I1054" s="591" t="s">
        <v>280</v>
      </c>
    </row>
    <row r="1055" spans="1:9">
      <c r="A1055" s="582"/>
      <c r="B1055" s="65">
        <v>1253</v>
      </c>
      <c r="C1055" s="579" t="s">
        <v>281</v>
      </c>
      <c r="D1055" s="579"/>
      <c r="E1055" s="583"/>
      <c r="F1055" s="596"/>
      <c r="G1055" s="65">
        <v>0</v>
      </c>
      <c r="H1055" s="591" t="s">
        <v>280</v>
      </c>
      <c r="I1055" s="591" t="s">
        <v>280</v>
      </c>
    </row>
    <row r="1056" spans="1:9">
      <c r="A1056" s="582"/>
      <c r="B1056" s="65">
        <v>1254</v>
      </c>
      <c r="C1056" s="579" t="s">
        <v>281</v>
      </c>
      <c r="D1056" s="579"/>
      <c r="E1056" s="583"/>
      <c r="F1056" s="596"/>
      <c r="G1056" s="65">
        <v>0</v>
      </c>
      <c r="H1056" s="591" t="s">
        <v>280</v>
      </c>
      <c r="I1056" s="591" t="s">
        <v>280</v>
      </c>
    </row>
    <row r="1057" spans="1:9">
      <c r="A1057" s="582"/>
      <c r="B1057" s="65">
        <v>1255</v>
      </c>
      <c r="C1057" s="579" t="s">
        <v>281</v>
      </c>
      <c r="D1057" s="579"/>
      <c r="E1057" s="583"/>
      <c r="F1057" s="596"/>
      <c r="G1057" s="65">
        <v>0</v>
      </c>
      <c r="H1057" s="591" t="s">
        <v>280</v>
      </c>
      <c r="I1057" s="591" t="s">
        <v>280</v>
      </c>
    </row>
    <row r="1058" spans="1:9">
      <c r="A1058" s="582"/>
      <c r="B1058" s="65">
        <v>1256</v>
      </c>
      <c r="C1058" s="579" t="s">
        <v>281</v>
      </c>
      <c r="D1058" s="579"/>
      <c r="E1058" s="583"/>
      <c r="F1058" s="596"/>
      <c r="G1058" s="65">
        <v>0</v>
      </c>
      <c r="H1058" s="591" t="s">
        <v>280</v>
      </c>
      <c r="I1058" s="591" t="s">
        <v>280</v>
      </c>
    </row>
    <row r="1059" spans="1:9">
      <c r="A1059" s="582"/>
      <c r="B1059" s="65">
        <v>1257</v>
      </c>
      <c r="C1059" s="579" t="s">
        <v>281</v>
      </c>
      <c r="D1059" s="579"/>
      <c r="E1059" s="583"/>
      <c r="F1059" s="596"/>
      <c r="G1059" s="65">
        <v>0</v>
      </c>
      <c r="H1059" s="591" t="s">
        <v>280</v>
      </c>
      <c r="I1059" s="591" t="s">
        <v>280</v>
      </c>
    </row>
    <row r="1060" spans="1:9">
      <c r="A1060" s="582"/>
      <c r="B1060" s="65">
        <v>1258</v>
      </c>
      <c r="C1060" s="579" t="s">
        <v>281</v>
      </c>
      <c r="D1060" s="579"/>
      <c r="E1060" s="583"/>
      <c r="F1060" s="596"/>
      <c r="G1060" s="65">
        <v>0</v>
      </c>
      <c r="H1060" s="591" t="s">
        <v>280</v>
      </c>
      <c r="I1060" s="591" t="s">
        <v>280</v>
      </c>
    </row>
    <row r="1061" spans="1:9">
      <c r="A1061" s="582"/>
      <c r="B1061" s="65">
        <v>1259</v>
      </c>
      <c r="C1061" s="579" t="s">
        <v>281</v>
      </c>
      <c r="D1061" s="579"/>
      <c r="E1061" s="583"/>
      <c r="F1061" s="596"/>
      <c r="G1061" s="65">
        <v>0</v>
      </c>
      <c r="H1061" s="591" t="s">
        <v>280</v>
      </c>
      <c r="I1061" s="591" t="s">
        <v>280</v>
      </c>
    </row>
    <row r="1062" spans="1:9">
      <c r="A1062" s="582"/>
      <c r="B1062" s="65">
        <v>1260</v>
      </c>
      <c r="C1062" s="579" t="s">
        <v>281</v>
      </c>
      <c r="D1062" s="579"/>
      <c r="E1062" s="583"/>
      <c r="F1062" s="596"/>
      <c r="G1062" s="65">
        <v>0</v>
      </c>
      <c r="H1062" s="591" t="s">
        <v>280</v>
      </c>
      <c r="I1062" s="591" t="s">
        <v>280</v>
      </c>
    </row>
    <row r="1063" spans="1:9">
      <c r="A1063" s="582"/>
      <c r="B1063" s="65">
        <v>1261</v>
      </c>
      <c r="C1063" s="579" t="s">
        <v>281</v>
      </c>
      <c r="D1063" s="579"/>
      <c r="E1063" s="583"/>
      <c r="F1063" s="596"/>
      <c r="G1063" s="65">
        <v>0</v>
      </c>
      <c r="H1063" s="591" t="s">
        <v>280</v>
      </c>
      <c r="I1063" s="591" t="s">
        <v>280</v>
      </c>
    </row>
    <row r="1064" spans="1:9">
      <c r="A1064" s="582"/>
      <c r="B1064" s="65">
        <v>1262</v>
      </c>
      <c r="C1064" s="579" t="s">
        <v>281</v>
      </c>
      <c r="D1064" s="579"/>
      <c r="E1064" s="583"/>
      <c r="F1064" s="596"/>
      <c r="G1064" s="65">
        <v>0</v>
      </c>
      <c r="H1064" s="591" t="s">
        <v>280</v>
      </c>
      <c r="I1064" s="591" t="s">
        <v>280</v>
      </c>
    </row>
    <row r="1065" spans="1:9">
      <c r="A1065" s="582"/>
      <c r="B1065" s="65">
        <v>1263</v>
      </c>
      <c r="C1065" s="579" t="s">
        <v>281</v>
      </c>
      <c r="D1065" s="579"/>
      <c r="E1065" s="583"/>
      <c r="F1065" s="596"/>
      <c r="G1065" s="65">
        <v>0</v>
      </c>
      <c r="H1065" s="591" t="s">
        <v>280</v>
      </c>
      <c r="I1065" s="591" t="s">
        <v>280</v>
      </c>
    </row>
    <row r="1066" spans="1:9">
      <c r="A1066" s="582"/>
      <c r="B1066" s="65">
        <v>1264</v>
      </c>
      <c r="C1066" s="579" t="s">
        <v>281</v>
      </c>
      <c r="D1066" s="579"/>
      <c r="E1066" s="583"/>
      <c r="F1066" s="596"/>
      <c r="G1066" s="65">
        <v>0</v>
      </c>
      <c r="H1066" s="591" t="s">
        <v>280</v>
      </c>
      <c r="I1066" s="591" t="s">
        <v>280</v>
      </c>
    </row>
    <row r="1067" spans="1:9">
      <c r="A1067" s="582"/>
      <c r="B1067" s="65">
        <v>1265</v>
      </c>
      <c r="C1067" s="579" t="s">
        <v>281</v>
      </c>
      <c r="D1067" s="579"/>
      <c r="E1067" s="583"/>
      <c r="F1067" s="596"/>
      <c r="G1067" s="65">
        <v>0</v>
      </c>
      <c r="H1067" s="591" t="s">
        <v>280</v>
      </c>
      <c r="I1067" s="591" t="s">
        <v>280</v>
      </c>
    </row>
    <row r="1068" spans="1:9">
      <c r="A1068" s="582"/>
      <c r="B1068" s="65">
        <v>1266</v>
      </c>
      <c r="C1068" s="579" t="s">
        <v>281</v>
      </c>
      <c r="D1068" s="579"/>
      <c r="E1068" s="583"/>
      <c r="F1068" s="596"/>
      <c r="G1068" s="65">
        <v>0</v>
      </c>
      <c r="H1068" s="591" t="s">
        <v>280</v>
      </c>
      <c r="I1068" s="591" t="s">
        <v>280</v>
      </c>
    </row>
    <row r="1069" spans="1:9">
      <c r="A1069" s="582"/>
      <c r="B1069" s="65">
        <v>1267</v>
      </c>
      <c r="C1069" s="579" t="s">
        <v>281</v>
      </c>
      <c r="D1069" s="579"/>
      <c r="E1069" s="583"/>
      <c r="F1069" s="596"/>
      <c r="G1069" s="65">
        <v>0</v>
      </c>
      <c r="H1069" s="591" t="s">
        <v>280</v>
      </c>
      <c r="I1069" s="591" t="s">
        <v>280</v>
      </c>
    </row>
    <row r="1070" spans="1:9">
      <c r="A1070" s="582"/>
      <c r="B1070" s="65">
        <v>1268</v>
      </c>
      <c r="C1070" s="579" t="s">
        <v>281</v>
      </c>
      <c r="D1070" s="579"/>
      <c r="E1070" s="583"/>
      <c r="F1070" s="596"/>
      <c r="G1070" s="65">
        <v>0</v>
      </c>
      <c r="H1070" s="591" t="s">
        <v>280</v>
      </c>
      <c r="I1070" s="591" t="s">
        <v>280</v>
      </c>
    </row>
    <row r="1071" spans="1:9">
      <c r="A1071" s="582"/>
      <c r="B1071" s="65">
        <v>1269</v>
      </c>
      <c r="C1071" s="579" t="s">
        <v>281</v>
      </c>
      <c r="D1071" s="579"/>
      <c r="E1071" s="583"/>
      <c r="F1071" s="596"/>
      <c r="G1071" s="65">
        <v>0</v>
      </c>
      <c r="H1071" s="591" t="s">
        <v>280</v>
      </c>
      <c r="I1071" s="591" t="s">
        <v>280</v>
      </c>
    </row>
    <row r="1072" spans="1:9">
      <c r="A1072" s="582"/>
      <c r="B1072" s="65">
        <v>1270</v>
      </c>
      <c r="C1072" s="579" t="s">
        <v>281</v>
      </c>
      <c r="D1072" s="579"/>
      <c r="E1072" s="583"/>
      <c r="F1072" s="596"/>
      <c r="G1072" s="65">
        <v>0</v>
      </c>
      <c r="H1072" s="591" t="s">
        <v>280</v>
      </c>
      <c r="I1072" s="591" t="s">
        <v>280</v>
      </c>
    </row>
    <row r="1073" spans="1:9">
      <c r="A1073" s="582"/>
      <c r="B1073" s="65">
        <v>1271</v>
      </c>
      <c r="C1073" s="579" t="s">
        <v>281</v>
      </c>
      <c r="D1073" s="579"/>
      <c r="E1073" s="583"/>
      <c r="F1073" s="596"/>
      <c r="G1073" s="65">
        <v>0</v>
      </c>
      <c r="H1073" s="591" t="s">
        <v>280</v>
      </c>
      <c r="I1073" s="591" t="s">
        <v>280</v>
      </c>
    </row>
    <row r="1074" spans="1:9">
      <c r="A1074" s="582"/>
      <c r="B1074" s="65">
        <v>1272</v>
      </c>
      <c r="C1074" s="579" t="s">
        <v>281</v>
      </c>
      <c r="D1074" s="579"/>
      <c r="E1074" s="583"/>
      <c r="F1074" s="596"/>
      <c r="G1074" s="65">
        <v>0</v>
      </c>
      <c r="H1074" s="591" t="s">
        <v>280</v>
      </c>
      <c r="I1074" s="591" t="s">
        <v>280</v>
      </c>
    </row>
    <row r="1075" spans="1:9">
      <c r="A1075" s="582"/>
      <c r="B1075" s="65">
        <v>1273</v>
      </c>
      <c r="C1075" s="579" t="s">
        <v>281</v>
      </c>
      <c r="D1075" s="579"/>
      <c r="E1075" s="583"/>
      <c r="F1075" s="596"/>
      <c r="G1075" s="65">
        <v>0</v>
      </c>
      <c r="H1075" s="591" t="s">
        <v>280</v>
      </c>
      <c r="I1075" s="591" t="s">
        <v>280</v>
      </c>
    </row>
    <row r="1076" spans="1:9">
      <c r="A1076" s="582"/>
      <c r="B1076" s="65">
        <v>1274</v>
      </c>
      <c r="C1076" s="579" t="s">
        <v>281</v>
      </c>
      <c r="D1076" s="579"/>
      <c r="E1076" s="583"/>
      <c r="F1076" s="596"/>
      <c r="G1076" s="65">
        <v>0</v>
      </c>
      <c r="H1076" s="591" t="s">
        <v>280</v>
      </c>
      <c r="I1076" s="591" t="s">
        <v>280</v>
      </c>
    </row>
    <row r="1077" spans="1:9">
      <c r="A1077" s="582"/>
      <c r="B1077" s="65">
        <v>1275</v>
      </c>
      <c r="C1077" s="579" t="s">
        <v>281</v>
      </c>
      <c r="D1077" s="579"/>
      <c r="E1077" s="583"/>
      <c r="F1077" s="596"/>
      <c r="G1077" s="65">
        <v>0</v>
      </c>
      <c r="H1077" s="591" t="s">
        <v>280</v>
      </c>
      <c r="I1077" s="591" t="s">
        <v>280</v>
      </c>
    </row>
    <row r="1078" spans="1:9">
      <c r="A1078" s="582"/>
      <c r="B1078" s="65">
        <v>1276</v>
      </c>
      <c r="C1078" s="579" t="s">
        <v>281</v>
      </c>
      <c r="D1078" s="579"/>
      <c r="E1078" s="583"/>
      <c r="F1078" s="596"/>
      <c r="G1078" s="65">
        <v>0</v>
      </c>
      <c r="H1078" s="591" t="s">
        <v>280</v>
      </c>
      <c r="I1078" s="591" t="s">
        <v>280</v>
      </c>
    </row>
    <row r="1079" spans="1:9">
      <c r="A1079" s="582"/>
      <c r="B1079" s="65">
        <v>1277</v>
      </c>
      <c r="C1079" s="579" t="s">
        <v>281</v>
      </c>
      <c r="D1079" s="579"/>
      <c r="E1079" s="583"/>
      <c r="F1079" s="596"/>
      <c r="G1079" s="65">
        <v>0</v>
      </c>
      <c r="H1079" s="591" t="s">
        <v>280</v>
      </c>
      <c r="I1079" s="591" t="s">
        <v>280</v>
      </c>
    </row>
    <row r="1080" spans="1:9">
      <c r="A1080" s="582"/>
      <c r="B1080" s="65">
        <v>1278</v>
      </c>
      <c r="C1080" s="579" t="s">
        <v>281</v>
      </c>
      <c r="D1080" s="579"/>
      <c r="E1080" s="583"/>
      <c r="F1080" s="596"/>
      <c r="G1080" s="65">
        <v>0</v>
      </c>
      <c r="H1080" s="591" t="s">
        <v>280</v>
      </c>
      <c r="I1080" s="591" t="s">
        <v>280</v>
      </c>
    </row>
    <row r="1081" spans="1:9">
      <c r="A1081" s="582"/>
      <c r="B1081" s="65">
        <v>1279</v>
      </c>
      <c r="C1081" s="579" t="s">
        <v>281</v>
      </c>
      <c r="D1081" s="579"/>
      <c r="E1081" s="583"/>
      <c r="F1081" s="596"/>
      <c r="G1081" s="65">
        <v>0</v>
      </c>
      <c r="H1081" s="591" t="s">
        <v>280</v>
      </c>
      <c r="I1081" s="591" t="s">
        <v>280</v>
      </c>
    </row>
    <row r="1082" spans="1:9">
      <c r="A1082" s="582"/>
      <c r="B1082" s="65">
        <v>1280</v>
      </c>
      <c r="C1082" s="579" t="s">
        <v>281</v>
      </c>
      <c r="D1082" s="579"/>
      <c r="E1082" s="583"/>
      <c r="F1082" s="596"/>
      <c r="G1082" s="65">
        <v>0</v>
      </c>
      <c r="H1082" s="591" t="s">
        <v>280</v>
      </c>
      <c r="I1082" s="591" t="s">
        <v>280</v>
      </c>
    </row>
    <row r="1083" spans="1:9">
      <c r="A1083" s="582"/>
      <c r="B1083" s="65">
        <v>1281</v>
      </c>
      <c r="C1083" s="579" t="s">
        <v>281</v>
      </c>
      <c r="D1083" s="579"/>
      <c r="E1083" s="583"/>
      <c r="F1083" s="596"/>
      <c r="G1083" s="65">
        <v>0</v>
      </c>
      <c r="H1083" s="591" t="s">
        <v>280</v>
      </c>
      <c r="I1083" s="591" t="s">
        <v>280</v>
      </c>
    </row>
    <row r="1084" spans="1:9">
      <c r="A1084" s="582"/>
      <c r="B1084" s="65">
        <v>1282</v>
      </c>
      <c r="C1084" s="579" t="s">
        <v>281</v>
      </c>
      <c r="D1084" s="579"/>
      <c r="E1084" s="583"/>
      <c r="F1084" s="596"/>
      <c r="G1084" s="65">
        <v>0</v>
      </c>
      <c r="H1084" s="591" t="s">
        <v>280</v>
      </c>
      <c r="I1084" s="591" t="s">
        <v>280</v>
      </c>
    </row>
    <row r="1085" spans="1:9">
      <c r="A1085" s="582"/>
      <c r="B1085" s="65">
        <v>1283</v>
      </c>
      <c r="C1085" s="579" t="s">
        <v>281</v>
      </c>
      <c r="D1085" s="579"/>
      <c r="E1085" s="583"/>
      <c r="F1085" s="596"/>
      <c r="G1085" s="65">
        <v>0</v>
      </c>
      <c r="H1085" s="591" t="s">
        <v>280</v>
      </c>
      <c r="I1085" s="591" t="s">
        <v>280</v>
      </c>
    </row>
    <row r="1086" spans="1:9">
      <c r="A1086" s="582"/>
      <c r="B1086" s="65">
        <v>1284</v>
      </c>
      <c r="C1086" s="579" t="s">
        <v>281</v>
      </c>
      <c r="D1086" s="579"/>
      <c r="E1086" s="583"/>
      <c r="F1086" s="596"/>
      <c r="G1086" s="65">
        <v>0</v>
      </c>
      <c r="H1086" s="591" t="s">
        <v>280</v>
      </c>
      <c r="I1086" s="591" t="s">
        <v>280</v>
      </c>
    </row>
    <row r="1087" spans="1:9">
      <c r="A1087" s="582"/>
      <c r="B1087" s="65">
        <v>1285</v>
      </c>
      <c r="C1087" s="579" t="s">
        <v>281</v>
      </c>
      <c r="D1087" s="579"/>
      <c r="E1087" s="583"/>
      <c r="F1087" s="596"/>
      <c r="G1087" s="65">
        <v>0</v>
      </c>
      <c r="H1087" s="591" t="s">
        <v>280</v>
      </c>
      <c r="I1087" s="591" t="s">
        <v>280</v>
      </c>
    </row>
    <row r="1088" spans="1:9">
      <c r="A1088" s="582"/>
      <c r="B1088" s="65">
        <v>1286</v>
      </c>
      <c r="C1088" s="579" t="s">
        <v>281</v>
      </c>
      <c r="D1088" s="579"/>
      <c r="E1088" s="583"/>
      <c r="F1088" s="596"/>
      <c r="G1088" s="65">
        <v>0</v>
      </c>
      <c r="H1088" s="591" t="s">
        <v>280</v>
      </c>
      <c r="I1088" s="591" t="s">
        <v>280</v>
      </c>
    </row>
    <row r="1089" spans="1:11">
      <c r="A1089" s="582"/>
      <c r="B1089" s="65">
        <v>1287</v>
      </c>
      <c r="C1089" s="579" t="s">
        <v>281</v>
      </c>
      <c r="D1089" s="579"/>
      <c r="E1089" s="583"/>
      <c r="F1089" s="596"/>
      <c r="G1089" s="65">
        <v>0</v>
      </c>
      <c r="H1089" s="591" t="s">
        <v>280</v>
      </c>
      <c r="I1089" s="591" t="s">
        <v>280</v>
      </c>
    </row>
    <row r="1090" spans="1:11">
      <c r="A1090" s="582"/>
      <c r="B1090" s="65">
        <v>1288</v>
      </c>
      <c r="C1090" s="579" t="s">
        <v>281</v>
      </c>
      <c r="D1090" s="579"/>
      <c r="E1090" s="583"/>
      <c r="F1090" s="596"/>
      <c r="G1090" s="65">
        <v>0</v>
      </c>
      <c r="H1090" s="591" t="s">
        <v>280</v>
      </c>
      <c r="I1090" s="591" t="s">
        <v>280</v>
      </c>
    </row>
    <row r="1091" spans="1:11">
      <c r="A1091" s="582"/>
      <c r="B1091" s="65">
        <v>1289</v>
      </c>
      <c r="C1091" s="579" t="s">
        <v>281</v>
      </c>
      <c r="D1091" s="579"/>
      <c r="E1091" s="583"/>
      <c r="F1091" s="596"/>
      <c r="G1091" s="65">
        <v>0</v>
      </c>
      <c r="H1091" s="591" t="s">
        <v>280</v>
      </c>
      <c r="I1091" s="591" t="s">
        <v>280</v>
      </c>
    </row>
    <row r="1092" spans="1:11">
      <c r="A1092" s="582"/>
      <c r="B1092" s="65">
        <v>1290</v>
      </c>
      <c r="C1092" s="579" t="s">
        <v>281</v>
      </c>
      <c r="D1092" s="579"/>
      <c r="E1092" s="583"/>
      <c r="F1092" s="596"/>
      <c r="G1092" s="65">
        <v>0</v>
      </c>
      <c r="H1092" s="591" t="s">
        <v>280</v>
      </c>
      <c r="I1092" s="591" t="s">
        <v>280</v>
      </c>
    </row>
    <row r="1093" spans="1:11">
      <c r="A1093" s="582"/>
      <c r="B1093" s="65">
        <v>1291</v>
      </c>
      <c r="C1093" s="579" t="s">
        <v>281</v>
      </c>
      <c r="D1093" s="579"/>
      <c r="E1093" s="583"/>
      <c r="F1093" s="596"/>
      <c r="G1093" s="65">
        <v>0</v>
      </c>
      <c r="H1093" s="591" t="s">
        <v>280</v>
      </c>
      <c r="I1093" s="591" t="s">
        <v>280</v>
      </c>
    </row>
    <row r="1094" spans="1:11">
      <c r="A1094" s="582"/>
      <c r="B1094" s="65">
        <v>1292</v>
      </c>
      <c r="C1094" s="579" t="s">
        <v>281</v>
      </c>
      <c r="D1094" s="579"/>
      <c r="E1094" s="583"/>
      <c r="F1094" s="596"/>
      <c r="G1094" s="65">
        <v>0</v>
      </c>
      <c r="H1094" s="591" t="s">
        <v>280</v>
      </c>
      <c r="I1094" s="591" t="s">
        <v>280</v>
      </c>
    </row>
    <row r="1095" spans="1:11">
      <c r="A1095" s="582"/>
      <c r="B1095" s="65">
        <v>1293</v>
      </c>
      <c r="C1095" s="579" t="s">
        <v>281</v>
      </c>
      <c r="D1095" s="579"/>
      <c r="E1095" s="583"/>
      <c r="F1095" s="596"/>
      <c r="G1095" s="65">
        <v>0</v>
      </c>
      <c r="H1095" s="591" t="s">
        <v>280</v>
      </c>
      <c r="I1095" s="591" t="s">
        <v>280</v>
      </c>
    </row>
    <row r="1096" spans="1:11">
      <c r="A1096" s="582"/>
      <c r="B1096" s="65">
        <v>1294</v>
      </c>
      <c r="C1096" s="579" t="s">
        <v>281</v>
      </c>
      <c r="D1096" s="579"/>
      <c r="E1096" s="583"/>
      <c r="F1096" s="596"/>
      <c r="G1096" s="65">
        <v>0</v>
      </c>
      <c r="H1096" s="591" t="s">
        <v>280</v>
      </c>
      <c r="I1096" s="591" t="s">
        <v>280</v>
      </c>
    </row>
    <row r="1097" spans="1:11">
      <c r="A1097" s="582"/>
      <c r="B1097" s="65">
        <v>1295</v>
      </c>
      <c r="C1097" s="579" t="s">
        <v>281</v>
      </c>
      <c r="D1097" s="579"/>
      <c r="E1097" s="583"/>
      <c r="F1097" s="596"/>
      <c r="G1097" s="65">
        <v>0</v>
      </c>
      <c r="H1097" s="591" t="s">
        <v>280</v>
      </c>
      <c r="I1097" s="591" t="s">
        <v>280</v>
      </c>
    </row>
    <row r="1098" spans="1:11">
      <c r="A1098" s="582"/>
      <c r="B1098" s="65">
        <v>1296</v>
      </c>
      <c r="C1098" s="579" t="s">
        <v>281</v>
      </c>
      <c r="D1098" s="579"/>
      <c r="E1098" s="583"/>
      <c r="F1098" s="596"/>
      <c r="G1098" s="65">
        <v>0</v>
      </c>
      <c r="H1098" s="591" t="s">
        <v>280</v>
      </c>
      <c r="I1098" s="591" t="s">
        <v>280</v>
      </c>
    </row>
    <row r="1099" spans="1:11">
      <c r="A1099" s="582"/>
      <c r="B1099" s="65">
        <v>1297</v>
      </c>
      <c r="C1099" s="579" t="s">
        <v>281</v>
      </c>
      <c r="D1099" s="579"/>
      <c r="E1099" s="583"/>
      <c r="F1099" s="596"/>
      <c r="G1099" s="65">
        <v>0</v>
      </c>
      <c r="H1099" s="591" t="s">
        <v>280</v>
      </c>
      <c r="I1099" s="591" t="s">
        <v>280</v>
      </c>
    </row>
    <row r="1100" spans="1:11">
      <c r="A1100" s="582"/>
      <c r="B1100" s="65">
        <v>1298</v>
      </c>
      <c r="C1100" s="579" t="s">
        <v>281</v>
      </c>
      <c r="D1100" s="579"/>
      <c r="E1100" s="583"/>
      <c r="F1100" s="596"/>
      <c r="G1100" s="65">
        <v>0</v>
      </c>
      <c r="H1100" s="591" t="s">
        <v>280</v>
      </c>
      <c r="I1100" s="591" t="s">
        <v>280</v>
      </c>
    </row>
    <row r="1101" spans="1:11">
      <c r="A1101" s="582"/>
      <c r="B1101" s="65">
        <v>1299</v>
      </c>
      <c r="C1101" s="579" t="s">
        <v>281</v>
      </c>
      <c r="D1101" s="579"/>
      <c r="E1101" s="583"/>
      <c r="F1101" s="596"/>
      <c r="G1101" s="65">
        <v>0</v>
      </c>
      <c r="H1101" s="591" t="s">
        <v>280</v>
      </c>
      <c r="I1101" s="591" t="s">
        <v>280</v>
      </c>
    </row>
    <row r="1102" spans="1:11">
      <c r="A1102" s="582" t="s">
        <v>386</v>
      </c>
      <c r="B1102" s="65">
        <v>1300</v>
      </c>
      <c r="C1102" s="579" t="s">
        <v>279</v>
      </c>
      <c r="D1102" s="579"/>
      <c r="E1102" s="583"/>
      <c r="F1102" s="585">
        <v>45535</v>
      </c>
      <c r="G1102" s="65">
        <v>1</v>
      </c>
      <c r="H1102" s="591" t="s">
        <v>280</v>
      </c>
      <c r="I1102" s="591" t="s">
        <v>280</v>
      </c>
      <c r="K1102" s="60"/>
    </row>
    <row r="1103" spans="1:11">
      <c r="A1103" s="582" t="s">
        <v>386</v>
      </c>
      <c r="B1103" s="65">
        <v>1301</v>
      </c>
      <c r="C1103" s="579" t="s">
        <v>281</v>
      </c>
      <c r="D1103" s="63"/>
      <c r="E1103" s="583"/>
      <c r="F1103" s="596"/>
      <c r="G1103" s="65">
        <v>0</v>
      </c>
      <c r="H1103" s="591" t="s">
        <v>280</v>
      </c>
      <c r="I1103" s="591" t="s">
        <v>280</v>
      </c>
      <c r="K1103" s="60"/>
    </row>
    <row r="1104" spans="1:11">
      <c r="A1104" s="582" t="s">
        <v>386</v>
      </c>
      <c r="B1104" s="65">
        <v>1302</v>
      </c>
      <c r="C1104" s="579" t="s">
        <v>387</v>
      </c>
      <c r="D1104" s="579">
        <v>10503</v>
      </c>
      <c r="E1104" s="583"/>
      <c r="F1104" s="585">
        <v>45535</v>
      </c>
      <c r="G1104" s="65">
        <v>1</v>
      </c>
      <c r="H1104" s="591" t="s">
        <v>1975</v>
      </c>
      <c r="I1104" s="591" t="s">
        <v>47</v>
      </c>
      <c r="K1104" s="60"/>
    </row>
    <row r="1105" spans="1:11">
      <c r="A1105" s="582" t="s">
        <v>386</v>
      </c>
      <c r="B1105" s="65">
        <v>1303</v>
      </c>
      <c r="C1105" s="579" t="s">
        <v>388</v>
      </c>
      <c r="D1105" s="579">
        <v>10476</v>
      </c>
      <c r="E1105" s="583"/>
      <c r="F1105" s="585">
        <v>45535</v>
      </c>
      <c r="G1105" s="65">
        <v>1</v>
      </c>
      <c r="H1105" s="591" t="s">
        <v>1975</v>
      </c>
      <c r="I1105" s="591" t="s">
        <v>47</v>
      </c>
      <c r="K1105" s="60"/>
    </row>
    <row r="1106" spans="1:11">
      <c r="A1106" s="582" t="s">
        <v>386</v>
      </c>
      <c r="B1106" s="65">
        <v>1304</v>
      </c>
      <c r="C1106" s="579" t="s">
        <v>389</v>
      </c>
      <c r="D1106" s="63">
        <v>10248</v>
      </c>
      <c r="E1106" s="583"/>
      <c r="F1106" s="585">
        <v>45535</v>
      </c>
      <c r="G1106" s="65">
        <v>1</v>
      </c>
      <c r="H1106" s="591" t="s">
        <v>1975</v>
      </c>
      <c r="I1106" s="591" t="s">
        <v>47</v>
      </c>
      <c r="K1106" s="60"/>
    </row>
    <row r="1107" spans="1:11">
      <c r="A1107" s="582" t="s">
        <v>386</v>
      </c>
      <c r="B1107" s="65">
        <v>1305</v>
      </c>
      <c r="C1107" s="579" t="s">
        <v>281</v>
      </c>
      <c r="D1107" s="65"/>
      <c r="E1107" s="583"/>
      <c r="F1107" s="596"/>
      <c r="G1107" s="65">
        <v>0</v>
      </c>
      <c r="H1107" s="591" t="s">
        <v>280</v>
      </c>
      <c r="I1107" s="591" t="s">
        <v>280</v>
      </c>
      <c r="K1107" s="60"/>
    </row>
    <row r="1108" spans="1:11">
      <c r="A1108" s="582" t="s">
        <v>386</v>
      </c>
      <c r="B1108" s="65">
        <v>1306</v>
      </c>
      <c r="C1108" s="579" t="s">
        <v>391</v>
      </c>
      <c r="D1108" s="579">
        <v>10319</v>
      </c>
      <c r="E1108" s="583"/>
      <c r="F1108" s="585">
        <v>45535</v>
      </c>
      <c r="G1108" s="65">
        <v>1</v>
      </c>
      <c r="H1108" s="591" t="s">
        <v>1975</v>
      </c>
      <c r="I1108" s="591" t="s">
        <v>47</v>
      </c>
      <c r="K1108" s="60"/>
    </row>
    <row r="1109" spans="1:11">
      <c r="A1109" s="582" t="s">
        <v>386</v>
      </c>
      <c r="B1109" s="65">
        <v>1307</v>
      </c>
      <c r="C1109" s="579" t="s">
        <v>392</v>
      </c>
      <c r="D1109" s="63">
        <v>10516</v>
      </c>
      <c r="E1109" s="583"/>
      <c r="F1109" s="585">
        <v>45535</v>
      </c>
      <c r="G1109" s="65">
        <v>1</v>
      </c>
      <c r="H1109" s="591" t="s">
        <v>1975</v>
      </c>
      <c r="I1109" s="591" t="s">
        <v>47</v>
      </c>
      <c r="K1109" s="60"/>
    </row>
    <row r="1110" spans="1:11">
      <c r="A1110" s="582" t="s">
        <v>386</v>
      </c>
      <c r="B1110" s="65">
        <v>1308</v>
      </c>
      <c r="C1110" s="579" t="s">
        <v>393</v>
      </c>
      <c r="D1110" s="65">
        <v>10652</v>
      </c>
      <c r="E1110" s="583"/>
      <c r="F1110" s="585">
        <v>45535</v>
      </c>
      <c r="G1110" s="65">
        <v>1</v>
      </c>
      <c r="H1110" s="591" t="s">
        <v>1975</v>
      </c>
      <c r="I1110" s="591" t="s">
        <v>47</v>
      </c>
      <c r="K1110" s="60"/>
    </row>
    <row r="1111" spans="1:11">
      <c r="A1111" s="582" t="s">
        <v>386</v>
      </c>
      <c r="B1111" s="65">
        <v>1309</v>
      </c>
      <c r="C1111" s="579" t="s">
        <v>394</v>
      </c>
      <c r="D1111" s="579">
        <v>10199</v>
      </c>
      <c r="E1111" s="583"/>
      <c r="F1111" s="585">
        <v>45535</v>
      </c>
      <c r="G1111" s="65">
        <v>1</v>
      </c>
      <c r="H1111" s="591" t="s">
        <v>1975</v>
      </c>
      <c r="I1111" s="591" t="s">
        <v>47</v>
      </c>
      <c r="K1111" s="60"/>
    </row>
    <row r="1112" spans="1:11">
      <c r="A1112" s="582" t="s">
        <v>386</v>
      </c>
      <c r="B1112" s="65">
        <v>1310</v>
      </c>
      <c r="C1112" s="579" t="s">
        <v>395</v>
      </c>
      <c r="D1112" s="65">
        <v>10595</v>
      </c>
      <c r="E1112" s="583"/>
      <c r="F1112" s="585">
        <v>45535</v>
      </c>
      <c r="G1112" s="65">
        <v>1</v>
      </c>
      <c r="H1112" s="591" t="s">
        <v>280</v>
      </c>
      <c r="I1112" s="591" t="s">
        <v>280</v>
      </c>
      <c r="K1112" s="60"/>
    </row>
    <row r="1113" spans="1:11">
      <c r="A1113" s="580" t="s">
        <v>386</v>
      </c>
      <c r="B1113" s="65">
        <v>1311</v>
      </c>
      <c r="C1113" s="579" t="s">
        <v>1684</v>
      </c>
      <c r="D1113" s="65">
        <v>10802</v>
      </c>
      <c r="E1113" s="583"/>
      <c r="F1113" s="585">
        <v>45535</v>
      </c>
      <c r="G1113" s="65">
        <v>1</v>
      </c>
      <c r="H1113" s="591" t="s">
        <v>280</v>
      </c>
      <c r="I1113" s="591" t="s">
        <v>280</v>
      </c>
      <c r="K1113" s="60"/>
    </row>
    <row r="1114" spans="1:11">
      <c r="A1114" s="580" t="s">
        <v>386</v>
      </c>
      <c r="B1114" s="65">
        <v>1312</v>
      </c>
      <c r="C1114" s="579" t="s">
        <v>281</v>
      </c>
      <c r="D1114" s="65"/>
      <c r="E1114" s="583"/>
      <c r="F1114" s="596"/>
      <c r="G1114" s="65">
        <v>0</v>
      </c>
      <c r="H1114" s="591" t="s">
        <v>280</v>
      </c>
      <c r="I1114" s="591" t="s">
        <v>280</v>
      </c>
      <c r="K1114" s="60"/>
    </row>
    <row r="1115" spans="1:11">
      <c r="A1115" s="582" t="s">
        <v>386</v>
      </c>
      <c r="B1115" s="65">
        <v>1313</v>
      </c>
      <c r="C1115" s="579" t="s">
        <v>1685</v>
      </c>
      <c r="D1115" s="65">
        <v>10836</v>
      </c>
      <c r="E1115" s="583"/>
      <c r="F1115" s="585">
        <v>45535</v>
      </c>
      <c r="G1115" s="65">
        <v>1</v>
      </c>
      <c r="H1115" s="591" t="s">
        <v>280</v>
      </c>
      <c r="I1115" s="591" t="s">
        <v>280</v>
      </c>
      <c r="K1115" s="60"/>
    </row>
    <row r="1116" spans="1:11">
      <c r="A1116" s="582" t="s">
        <v>386</v>
      </c>
      <c r="B1116" s="65">
        <v>1314</v>
      </c>
      <c r="C1116" s="579" t="s">
        <v>1686</v>
      </c>
      <c r="D1116" s="65">
        <v>10837</v>
      </c>
      <c r="E1116" s="583"/>
      <c r="F1116" s="585">
        <v>45535</v>
      </c>
      <c r="G1116" s="65">
        <v>1</v>
      </c>
      <c r="H1116" s="591" t="s">
        <v>280</v>
      </c>
      <c r="I1116" s="591" t="s">
        <v>280</v>
      </c>
      <c r="K1116" s="60"/>
    </row>
    <row r="1117" spans="1:11">
      <c r="A1117" s="580" t="s">
        <v>386</v>
      </c>
      <c r="B1117" s="65">
        <v>1315</v>
      </c>
      <c r="C1117" s="65" t="s">
        <v>1687</v>
      </c>
      <c r="D1117" s="65">
        <v>10887</v>
      </c>
      <c r="E1117" s="583"/>
      <c r="F1117" s="585">
        <v>45535</v>
      </c>
      <c r="G1117" s="65">
        <v>1</v>
      </c>
      <c r="H1117" s="591" t="s">
        <v>1975</v>
      </c>
      <c r="I1117" s="591" t="s">
        <v>47</v>
      </c>
      <c r="K1117" s="60"/>
    </row>
    <row r="1118" spans="1:11">
      <c r="A1118" s="580" t="s">
        <v>386</v>
      </c>
      <c r="B1118" s="65">
        <v>1316</v>
      </c>
      <c r="C1118" s="65" t="s">
        <v>1688</v>
      </c>
      <c r="D1118" s="65">
        <v>10888</v>
      </c>
      <c r="E1118" s="583"/>
      <c r="F1118" s="585">
        <v>45535</v>
      </c>
      <c r="G1118" s="65">
        <v>1</v>
      </c>
      <c r="H1118" s="591" t="s">
        <v>1975</v>
      </c>
      <c r="I1118" s="591" t="s">
        <v>47</v>
      </c>
      <c r="K1118" s="60"/>
    </row>
    <row r="1119" spans="1:11">
      <c r="A1119" s="582" t="s">
        <v>386</v>
      </c>
      <c r="B1119" s="65">
        <v>1317</v>
      </c>
      <c r="C1119" s="65" t="s">
        <v>1689</v>
      </c>
      <c r="D1119" s="65">
        <v>10966</v>
      </c>
      <c r="E1119" s="583"/>
      <c r="F1119" s="585">
        <v>45535</v>
      </c>
      <c r="G1119" s="65">
        <v>1</v>
      </c>
      <c r="H1119" s="591" t="s">
        <v>1975</v>
      </c>
      <c r="I1119" s="591" t="s">
        <v>47</v>
      </c>
      <c r="K1119" s="60"/>
    </row>
    <row r="1120" spans="1:11">
      <c r="A1120" s="582" t="s">
        <v>386</v>
      </c>
      <c r="B1120" s="65">
        <v>1318</v>
      </c>
      <c r="C1120" s="65" t="s">
        <v>1690</v>
      </c>
      <c r="D1120" s="65">
        <v>10979</v>
      </c>
      <c r="E1120" s="583"/>
      <c r="F1120" s="585">
        <v>45535</v>
      </c>
      <c r="G1120" s="65">
        <v>1</v>
      </c>
      <c r="H1120" s="591" t="s">
        <v>1975</v>
      </c>
      <c r="I1120" s="591" t="s">
        <v>47</v>
      </c>
      <c r="K1120" s="60"/>
    </row>
    <row r="1121" spans="1:11">
      <c r="A1121" s="582" t="s">
        <v>386</v>
      </c>
      <c r="B1121" s="65">
        <v>1319</v>
      </c>
      <c r="C1121" s="579" t="s">
        <v>281</v>
      </c>
      <c r="D1121" s="579"/>
      <c r="E1121" s="583"/>
      <c r="F1121" s="596"/>
      <c r="G1121" s="65">
        <v>0</v>
      </c>
      <c r="H1121" s="591" t="s">
        <v>280</v>
      </c>
      <c r="I1121" s="591" t="s">
        <v>280</v>
      </c>
      <c r="K1121" s="60"/>
    </row>
    <row r="1122" spans="1:11">
      <c r="A1122" s="582" t="s">
        <v>386</v>
      </c>
      <c r="B1122" s="65">
        <v>1320</v>
      </c>
      <c r="C1122" s="579" t="s">
        <v>281</v>
      </c>
      <c r="D1122" s="579"/>
      <c r="E1122" s="583"/>
      <c r="F1122" s="596"/>
      <c r="G1122" s="65">
        <v>0</v>
      </c>
      <c r="H1122" s="591" t="s">
        <v>280</v>
      </c>
      <c r="I1122" s="591" t="s">
        <v>280</v>
      </c>
      <c r="K1122" s="60"/>
    </row>
    <row r="1123" spans="1:11">
      <c r="A1123" s="582" t="s">
        <v>386</v>
      </c>
      <c r="B1123" s="65">
        <v>1321</v>
      </c>
      <c r="C1123" s="579" t="s">
        <v>281</v>
      </c>
      <c r="D1123" s="579"/>
      <c r="E1123" s="583"/>
      <c r="F1123" s="596"/>
      <c r="G1123" s="65">
        <v>0</v>
      </c>
      <c r="H1123" s="591" t="s">
        <v>280</v>
      </c>
      <c r="I1123" s="591" t="s">
        <v>280</v>
      </c>
      <c r="K1123" s="60"/>
    </row>
    <row r="1124" spans="1:11">
      <c r="A1124" s="582" t="s">
        <v>386</v>
      </c>
      <c r="B1124" s="65">
        <v>1322</v>
      </c>
      <c r="C1124" s="579" t="s">
        <v>281</v>
      </c>
      <c r="D1124" s="579"/>
      <c r="E1124" s="583"/>
      <c r="F1124" s="596"/>
      <c r="G1124" s="65">
        <v>0</v>
      </c>
      <c r="H1124" s="591" t="s">
        <v>280</v>
      </c>
      <c r="I1124" s="591" t="s">
        <v>280</v>
      </c>
      <c r="K1124" s="60"/>
    </row>
    <row r="1125" spans="1:11">
      <c r="A1125" s="582" t="s">
        <v>386</v>
      </c>
      <c r="B1125" s="65">
        <v>1323</v>
      </c>
      <c r="C1125" s="579" t="s">
        <v>281</v>
      </c>
      <c r="D1125" s="579"/>
      <c r="E1125" s="583"/>
      <c r="F1125" s="596"/>
      <c r="G1125" s="65">
        <v>0</v>
      </c>
      <c r="H1125" s="591" t="s">
        <v>280</v>
      </c>
      <c r="I1125" s="591" t="s">
        <v>280</v>
      </c>
      <c r="K1125" s="60"/>
    </row>
    <row r="1126" spans="1:11">
      <c r="A1126" s="582" t="s">
        <v>386</v>
      </c>
      <c r="B1126" s="65">
        <v>1324</v>
      </c>
      <c r="C1126" s="579" t="s">
        <v>281</v>
      </c>
      <c r="D1126" s="579"/>
      <c r="E1126" s="583"/>
      <c r="F1126" s="596"/>
      <c r="G1126" s="65">
        <v>0</v>
      </c>
      <c r="H1126" s="591" t="s">
        <v>280</v>
      </c>
      <c r="I1126" s="591" t="s">
        <v>280</v>
      </c>
      <c r="K1126" s="60"/>
    </row>
    <row r="1127" spans="1:11">
      <c r="A1127" s="582" t="s">
        <v>386</v>
      </c>
      <c r="B1127" s="65">
        <v>1325</v>
      </c>
      <c r="C1127" s="579" t="s">
        <v>281</v>
      </c>
      <c r="D1127" s="579"/>
      <c r="E1127" s="583"/>
      <c r="F1127" s="596"/>
      <c r="G1127" s="65">
        <v>0</v>
      </c>
      <c r="H1127" s="591" t="s">
        <v>280</v>
      </c>
      <c r="I1127" s="591" t="s">
        <v>280</v>
      </c>
      <c r="K1127" s="60"/>
    </row>
    <row r="1128" spans="1:11">
      <c r="A1128" s="582" t="s">
        <v>386</v>
      </c>
      <c r="B1128" s="65">
        <v>1326</v>
      </c>
      <c r="C1128" s="579" t="s">
        <v>281</v>
      </c>
      <c r="D1128" s="579"/>
      <c r="E1128" s="583"/>
      <c r="F1128" s="596"/>
      <c r="G1128" s="65">
        <v>0</v>
      </c>
      <c r="H1128" s="591" t="s">
        <v>280</v>
      </c>
      <c r="I1128" s="591" t="s">
        <v>280</v>
      </c>
      <c r="K1128" s="60"/>
    </row>
    <row r="1129" spans="1:11">
      <c r="A1129" s="582" t="s">
        <v>386</v>
      </c>
      <c r="B1129" s="65">
        <v>1327</v>
      </c>
      <c r="C1129" s="579" t="s">
        <v>281</v>
      </c>
      <c r="D1129" s="579"/>
      <c r="E1129" s="583"/>
      <c r="F1129" s="596"/>
      <c r="G1129" s="65">
        <v>0</v>
      </c>
      <c r="H1129" s="591" t="s">
        <v>280</v>
      </c>
      <c r="I1129" s="591" t="s">
        <v>280</v>
      </c>
      <c r="K1129" s="60"/>
    </row>
    <row r="1130" spans="1:11">
      <c r="A1130" s="582" t="s">
        <v>386</v>
      </c>
      <c r="B1130" s="65">
        <v>1328</v>
      </c>
      <c r="C1130" s="579" t="s">
        <v>281</v>
      </c>
      <c r="D1130" s="579"/>
      <c r="E1130" s="583"/>
      <c r="F1130" s="596"/>
      <c r="G1130" s="65">
        <v>0</v>
      </c>
      <c r="H1130" s="591" t="s">
        <v>280</v>
      </c>
      <c r="I1130" s="591" t="s">
        <v>280</v>
      </c>
      <c r="K1130" s="60"/>
    </row>
    <row r="1131" spans="1:11">
      <c r="A1131" s="582" t="s">
        <v>386</v>
      </c>
      <c r="B1131" s="65">
        <v>1329</v>
      </c>
      <c r="C1131" s="579" t="s">
        <v>281</v>
      </c>
      <c r="D1131" s="579"/>
      <c r="E1131" s="583"/>
      <c r="F1131" s="596"/>
      <c r="G1131" s="65">
        <v>0</v>
      </c>
      <c r="H1131" s="591" t="s">
        <v>280</v>
      </c>
      <c r="I1131" s="591" t="s">
        <v>280</v>
      </c>
      <c r="K1131" s="60"/>
    </row>
    <row r="1132" spans="1:11">
      <c r="A1132" s="582" t="s">
        <v>386</v>
      </c>
      <c r="B1132" s="65">
        <v>1330</v>
      </c>
      <c r="C1132" s="579" t="s">
        <v>281</v>
      </c>
      <c r="D1132" s="579"/>
      <c r="E1132" s="583"/>
      <c r="F1132" s="596"/>
      <c r="G1132" s="65">
        <v>0</v>
      </c>
      <c r="H1132" s="591" t="s">
        <v>280</v>
      </c>
      <c r="I1132" s="591" t="s">
        <v>280</v>
      </c>
      <c r="K1132" s="60"/>
    </row>
    <row r="1133" spans="1:11">
      <c r="A1133" s="582" t="s">
        <v>386</v>
      </c>
      <c r="B1133" s="65">
        <v>1331</v>
      </c>
      <c r="C1133" s="579" t="s">
        <v>281</v>
      </c>
      <c r="D1133" s="579"/>
      <c r="E1133" s="583"/>
      <c r="F1133" s="596"/>
      <c r="G1133" s="65">
        <v>0</v>
      </c>
      <c r="H1133" s="591" t="s">
        <v>280</v>
      </c>
      <c r="I1133" s="591" t="s">
        <v>280</v>
      </c>
      <c r="K1133" s="60"/>
    </row>
    <row r="1134" spans="1:11">
      <c r="A1134" s="582" t="s">
        <v>386</v>
      </c>
      <c r="B1134" s="65">
        <v>1332</v>
      </c>
      <c r="C1134" s="579" t="s">
        <v>281</v>
      </c>
      <c r="D1134" s="579"/>
      <c r="E1134" s="583"/>
      <c r="F1134" s="596"/>
      <c r="G1134" s="65">
        <v>0</v>
      </c>
      <c r="H1134" s="591" t="s">
        <v>280</v>
      </c>
      <c r="I1134" s="591" t="s">
        <v>280</v>
      </c>
      <c r="K1134" s="60"/>
    </row>
    <row r="1135" spans="1:11">
      <c r="A1135" s="582" t="s">
        <v>386</v>
      </c>
      <c r="B1135" s="65">
        <v>1333</v>
      </c>
      <c r="C1135" s="579" t="s">
        <v>281</v>
      </c>
      <c r="D1135" s="579"/>
      <c r="E1135" s="583"/>
      <c r="F1135" s="596"/>
      <c r="G1135" s="65">
        <v>0</v>
      </c>
      <c r="H1135" s="591" t="s">
        <v>280</v>
      </c>
      <c r="I1135" s="591" t="s">
        <v>280</v>
      </c>
      <c r="K1135" s="60"/>
    </row>
    <row r="1136" spans="1:11">
      <c r="A1136" s="582" t="s">
        <v>386</v>
      </c>
      <c r="B1136" s="65">
        <v>1334</v>
      </c>
      <c r="C1136" s="579" t="s">
        <v>281</v>
      </c>
      <c r="D1136" s="579"/>
      <c r="E1136" s="583"/>
      <c r="F1136" s="596"/>
      <c r="G1136" s="65">
        <v>0</v>
      </c>
      <c r="H1136" s="591" t="s">
        <v>280</v>
      </c>
      <c r="I1136" s="591" t="s">
        <v>280</v>
      </c>
      <c r="K1136" s="60"/>
    </row>
    <row r="1137" spans="1:11">
      <c r="A1137" s="582" t="s">
        <v>386</v>
      </c>
      <c r="B1137" s="65">
        <v>1335</v>
      </c>
      <c r="C1137" s="579" t="s">
        <v>281</v>
      </c>
      <c r="D1137" s="579"/>
      <c r="E1137" s="583"/>
      <c r="F1137" s="596"/>
      <c r="G1137" s="65">
        <v>0</v>
      </c>
      <c r="H1137" s="591" t="s">
        <v>280</v>
      </c>
      <c r="I1137" s="591" t="s">
        <v>280</v>
      </c>
      <c r="K1137" s="60"/>
    </row>
    <row r="1138" spans="1:11">
      <c r="A1138" s="582" t="s">
        <v>386</v>
      </c>
      <c r="B1138" s="65">
        <v>1336</v>
      </c>
      <c r="C1138" s="579" t="s">
        <v>281</v>
      </c>
      <c r="D1138" s="579"/>
      <c r="E1138" s="583"/>
      <c r="F1138" s="596"/>
      <c r="G1138" s="65">
        <v>0</v>
      </c>
      <c r="H1138" s="591" t="s">
        <v>280</v>
      </c>
      <c r="I1138" s="591" t="s">
        <v>280</v>
      </c>
      <c r="K1138" s="60"/>
    </row>
    <row r="1139" spans="1:11">
      <c r="A1139" s="582" t="s">
        <v>386</v>
      </c>
      <c r="B1139" s="65">
        <v>1337</v>
      </c>
      <c r="C1139" s="579" t="s">
        <v>281</v>
      </c>
      <c r="D1139" s="579"/>
      <c r="E1139" s="583"/>
      <c r="F1139" s="596"/>
      <c r="G1139" s="65">
        <v>0</v>
      </c>
      <c r="H1139" s="591" t="s">
        <v>280</v>
      </c>
      <c r="I1139" s="591" t="s">
        <v>280</v>
      </c>
      <c r="K1139" s="60"/>
    </row>
    <row r="1140" spans="1:11">
      <c r="A1140" s="582" t="s">
        <v>386</v>
      </c>
      <c r="B1140" s="65">
        <v>1338</v>
      </c>
      <c r="C1140" s="579" t="s">
        <v>281</v>
      </c>
      <c r="D1140" s="579"/>
      <c r="E1140" s="583"/>
      <c r="F1140" s="596"/>
      <c r="G1140" s="65">
        <v>0</v>
      </c>
      <c r="H1140" s="591" t="s">
        <v>280</v>
      </c>
      <c r="I1140" s="591" t="s">
        <v>280</v>
      </c>
      <c r="K1140" s="60"/>
    </row>
    <row r="1141" spans="1:11">
      <c r="A1141" s="582" t="s">
        <v>386</v>
      </c>
      <c r="B1141" s="65">
        <v>1339</v>
      </c>
      <c r="C1141" s="579" t="s">
        <v>281</v>
      </c>
      <c r="D1141" s="579"/>
      <c r="E1141" s="583"/>
      <c r="F1141" s="596"/>
      <c r="G1141" s="65">
        <v>0</v>
      </c>
      <c r="H1141" s="591" t="s">
        <v>280</v>
      </c>
      <c r="I1141" s="591" t="s">
        <v>280</v>
      </c>
      <c r="K1141" s="60"/>
    </row>
    <row r="1142" spans="1:11">
      <c r="A1142" s="582" t="s">
        <v>386</v>
      </c>
      <c r="B1142" s="65">
        <v>1340</v>
      </c>
      <c r="C1142" s="579" t="s">
        <v>281</v>
      </c>
      <c r="D1142" s="579"/>
      <c r="E1142" s="583"/>
      <c r="F1142" s="596"/>
      <c r="G1142" s="65">
        <v>0</v>
      </c>
      <c r="H1142" s="591" t="s">
        <v>280</v>
      </c>
      <c r="I1142" s="591" t="s">
        <v>280</v>
      </c>
      <c r="K1142" s="60"/>
    </row>
    <row r="1143" spans="1:11">
      <c r="A1143" s="582" t="s">
        <v>386</v>
      </c>
      <c r="B1143" s="65">
        <v>1341</v>
      </c>
      <c r="C1143" s="579" t="s">
        <v>281</v>
      </c>
      <c r="D1143" s="579"/>
      <c r="E1143" s="583"/>
      <c r="F1143" s="596"/>
      <c r="G1143" s="65">
        <v>0</v>
      </c>
      <c r="H1143" s="591" t="s">
        <v>280</v>
      </c>
      <c r="I1143" s="591" t="s">
        <v>280</v>
      </c>
      <c r="K1143" s="60"/>
    </row>
    <row r="1144" spans="1:11">
      <c r="A1144" s="582" t="s">
        <v>386</v>
      </c>
      <c r="B1144" s="65">
        <v>1342</v>
      </c>
      <c r="C1144" s="579" t="s">
        <v>281</v>
      </c>
      <c r="D1144" s="579"/>
      <c r="E1144" s="583"/>
      <c r="F1144" s="596"/>
      <c r="G1144" s="65">
        <v>0</v>
      </c>
      <c r="H1144" s="591" t="s">
        <v>280</v>
      </c>
      <c r="I1144" s="591" t="s">
        <v>280</v>
      </c>
      <c r="K1144" s="60"/>
    </row>
    <row r="1145" spans="1:11">
      <c r="A1145" s="582" t="s">
        <v>386</v>
      </c>
      <c r="B1145" s="65">
        <v>1343</v>
      </c>
      <c r="C1145" s="579" t="s">
        <v>281</v>
      </c>
      <c r="D1145" s="579"/>
      <c r="E1145" s="583"/>
      <c r="F1145" s="596"/>
      <c r="G1145" s="65">
        <v>0</v>
      </c>
      <c r="H1145" s="591" t="s">
        <v>280</v>
      </c>
      <c r="I1145" s="591" t="s">
        <v>280</v>
      </c>
      <c r="K1145" s="60"/>
    </row>
    <row r="1146" spans="1:11">
      <c r="A1146" s="582" t="s">
        <v>386</v>
      </c>
      <c r="B1146" s="65">
        <v>1344</v>
      </c>
      <c r="C1146" s="579" t="s">
        <v>281</v>
      </c>
      <c r="D1146" s="579"/>
      <c r="E1146" s="583"/>
      <c r="F1146" s="596"/>
      <c r="G1146" s="65">
        <v>0</v>
      </c>
      <c r="H1146" s="591" t="s">
        <v>280</v>
      </c>
      <c r="I1146" s="591" t="s">
        <v>280</v>
      </c>
      <c r="K1146" s="60"/>
    </row>
    <row r="1147" spans="1:11">
      <c r="A1147" s="582" t="s">
        <v>386</v>
      </c>
      <c r="B1147" s="65">
        <v>1345</v>
      </c>
      <c r="C1147" s="579" t="s">
        <v>281</v>
      </c>
      <c r="D1147" s="579"/>
      <c r="E1147" s="583"/>
      <c r="F1147" s="596"/>
      <c r="G1147" s="65">
        <v>0</v>
      </c>
      <c r="H1147" s="591" t="s">
        <v>280</v>
      </c>
      <c r="I1147" s="591" t="s">
        <v>280</v>
      </c>
      <c r="K1147" s="60"/>
    </row>
    <row r="1148" spans="1:11">
      <c r="A1148" s="582" t="s">
        <v>386</v>
      </c>
      <c r="B1148" s="65">
        <v>1346</v>
      </c>
      <c r="C1148" s="579" t="s">
        <v>281</v>
      </c>
      <c r="D1148" s="579"/>
      <c r="E1148" s="583"/>
      <c r="F1148" s="596"/>
      <c r="G1148" s="65">
        <v>0</v>
      </c>
      <c r="H1148" s="591" t="s">
        <v>280</v>
      </c>
      <c r="I1148" s="591" t="s">
        <v>280</v>
      </c>
      <c r="K1148" s="60"/>
    </row>
    <row r="1149" spans="1:11">
      <c r="A1149" s="582" t="s">
        <v>386</v>
      </c>
      <c r="B1149" s="65">
        <v>1347</v>
      </c>
      <c r="C1149" s="579" t="s">
        <v>281</v>
      </c>
      <c r="D1149" s="579"/>
      <c r="E1149" s="583"/>
      <c r="F1149" s="596"/>
      <c r="G1149" s="65">
        <v>0</v>
      </c>
      <c r="H1149" s="591" t="s">
        <v>280</v>
      </c>
      <c r="I1149" s="591" t="s">
        <v>280</v>
      </c>
      <c r="K1149" s="60"/>
    </row>
    <row r="1150" spans="1:11">
      <c r="A1150" s="582" t="s">
        <v>386</v>
      </c>
      <c r="B1150" s="65">
        <v>1348</v>
      </c>
      <c r="C1150" s="579" t="s">
        <v>281</v>
      </c>
      <c r="D1150" s="579"/>
      <c r="E1150" s="583"/>
      <c r="F1150" s="596"/>
      <c r="G1150" s="65">
        <v>0</v>
      </c>
      <c r="H1150" s="591" t="s">
        <v>280</v>
      </c>
      <c r="I1150" s="591" t="s">
        <v>280</v>
      </c>
      <c r="K1150" s="60"/>
    </row>
    <row r="1151" spans="1:11">
      <c r="A1151" s="582" t="s">
        <v>386</v>
      </c>
      <c r="B1151" s="65">
        <v>1349</v>
      </c>
      <c r="C1151" s="579" t="s">
        <v>281</v>
      </c>
      <c r="D1151" s="579"/>
      <c r="E1151" s="583"/>
      <c r="F1151" s="596"/>
      <c r="G1151" s="65">
        <v>0</v>
      </c>
      <c r="H1151" s="591" t="s">
        <v>280</v>
      </c>
      <c r="I1151" s="591" t="s">
        <v>280</v>
      </c>
      <c r="K1151" s="60"/>
    </row>
    <row r="1152" spans="1:11">
      <c r="A1152" s="582" t="s">
        <v>386</v>
      </c>
      <c r="B1152" s="65">
        <v>1350</v>
      </c>
      <c r="C1152" s="579" t="s">
        <v>281</v>
      </c>
      <c r="D1152" s="579"/>
      <c r="E1152" s="583"/>
      <c r="F1152" s="596"/>
      <c r="G1152" s="65">
        <v>0</v>
      </c>
      <c r="H1152" s="591" t="s">
        <v>280</v>
      </c>
      <c r="I1152" s="591" t="s">
        <v>280</v>
      </c>
      <c r="K1152" s="60"/>
    </row>
    <row r="1153" spans="1:11">
      <c r="A1153" s="582" t="s">
        <v>386</v>
      </c>
      <c r="B1153" s="65">
        <v>1351</v>
      </c>
      <c r="C1153" s="579" t="s">
        <v>281</v>
      </c>
      <c r="D1153" s="579"/>
      <c r="E1153" s="583"/>
      <c r="F1153" s="596"/>
      <c r="G1153" s="65">
        <v>0</v>
      </c>
      <c r="H1153" s="591" t="s">
        <v>280</v>
      </c>
      <c r="I1153" s="591" t="s">
        <v>280</v>
      </c>
      <c r="K1153" s="60"/>
    </row>
    <row r="1154" spans="1:11">
      <c r="A1154" s="582" t="s">
        <v>386</v>
      </c>
      <c r="B1154" s="65">
        <v>1352</v>
      </c>
      <c r="C1154" s="579" t="s">
        <v>281</v>
      </c>
      <c r="D1154" s="579"/>
      <c r="E1154" s="583"/>
      <c r="F1154" s="596"/>
      <c r="G1154" s="65">
        <v>0</v>
      </c>
      <c r="H1154" s="591" t="s">
        <v>280</v>
      </c>
      <c r="I1154" s="591" t="s">
        <v>280</v>
      </c>
      <c r="K1154" s="60"/>
    </row>
    <row r="1155" spans="1:11">
      <c r="A1155" s="582" t="s">
        <v>386</v>
      </c>
      <c r="B1155" s="65">
        <v>1353</v>
      </c>
      <c r="C1155" s="579" t="s">
        <v>281</v>
      </c>
      <c r="D1155" s="579"/>
      <c r="E1155" s="583"/>
      <c r="F1155" s="596"/>
      <c r="G1155" s="65">
        <v>0</v>
      </c>
      <c r="H1155" s="591" t="s">
        <v>280</v>
      </c>
      <c r="I1155" s="591" t="s">
        <v>280</v>
      </c>
      <c r="K1155" s="60"/>
    </row>
    <row r="1156" spans="1:11">
      <c r="A1156" s="582" t="s">
        <v>386</v>
      </c>
      <c r="B1156" s="65">
        <v>1354</v>
      </c>
      <c r="C1156" s="579" t="s">
        <v>281</v>
      </c>
      <c r="D1156" s="579"/>
      <c r="E1156" s="583"/>
      <c r="F1156" s="596"/>
      <c r="G1156" s="65">
        <v>0</v>
      </c>
      <c r="H1156" s="591" t="s">
        <v>280</v>
      </c>
      <c r="I1156" s="591" t="s">
        <v>280</v>
      </c>
      <c r="K1156" s="60"/>
    </row>
    <row r="1157" spans="1:11">
      <c r="A1157" s="582" t="s">
        <v>386</v>
      </c>
      <c r="B1157" s="65">
        <v>1355</v>
      </c>
      <c r="C1157" s="579" t="s">
        <v>281</v>
      </c>
      <c r="D1157" s="579"/>
      <c r="E1157" s="583"/>
      <c r="F1157" s="596"/>
      <c r="G1157" s="65">
        <v>0</v>
      </c>
      <c r="H1157" s="591" t="s">
        <v>280</v>
      </c>
      <c r="I1157" s="591" t="s">
        <v>280</v>
      </c>
      <c r="K1157" s="60"/>
    </row>
    <row r="1158" spans="1:11">
      <c r="A1158" s="582" t="s">
        <v>386</v>
      </c>
      <c r="B1158" s="65">
        <v>1356</v>
      </c>
      <c r="C1158" s="579" t="s">
        <v>281</v>
      </c>
      <c r="D1158" s="579"/>
      <c r="E1158" s="583"/>
      <c r="F1158" s="596"/>
      <c r="G1158" s="65">
        <v>0</v>
      </c>
      <c r="H1158" s="591" t="s">
        <v>280</v>
      </c>
      <c r="I1158" s="591" t="s">
        <v>280</v>
      </c>
      <c r="K1158" s="60"/>
    </row>
    <row r="1159" spans="1:11">
      <c r="A1159" s="582" t="s">
        <v>386</v>
      </c>
      <c r="B1159" s="65">
        <v>1357</v>
      </c>
      <c r="C1159" s="579" t="s">
        <v>281</v>
      </c>
      <c r="D1159" s="579"/>
      <c r="E1159" s="583"/>
      <c r="F1159" s="596"/>
      <c r="G1159" s="65">
        <v>0</v>
      </c>
      <c r="H1159" s="591" t="s">
        <v>280</v>
      </c>
      <c r="I1159" s="591" t="s">
        <v>280</v>
      </c>
      <c r="K1159" s="60"/>
    </row>
    <row r="1160" spans="1:11">
      <c r="A1160" s="582" t="s">
        <v>386</v>
      </c>
      <c r="B1160" s="65">
        <v>1358</v>
      </c>
      <c r="C1160" s="579" t="s">
        <v>281</v>
      </c>
      <c r="D1160" s="579"/>
      <c r="E1160" s="583"/>
      <c r="F1160" s="596"/>
      <c r="G1160" s="65">
        <v>0</v>
      </c>
      <c r="H1160" s="591" t="s">
        <v>280</v>
      </c>
      <c r="I1160" s="591" t="s">
        <v>280</v>
      </c>
      <c r="K1160" s="60"/>
    </row>
    <row r="1161" spans="1:11">
      <c r="A1161" s="582" t="s">
        <v>386</v>
      </c>
      <c r="B1161" s="65">
        <v>1359</v>
      </c>
      <c r="C1161" s="579" t="s">
        <v>281</v>
      </c>
      <c r="D1161" s="579"/>
      <c r="E1161" s="583"/>
      <c r="F1161" s="596"/>
      <c r="G1161" s="65">
        <v>0</v>
      </c>
      <c r="H1161" s="591" t="s">
        <v>280</v>
      </c>
      <c r="I1161" s="591" t="s">
        <v>280</v>
      </c>
      <c r="K1161" s="60"/>
    </row>
    <row r="1162" spans="1:11">
      <c r="A1162" s="582" t="s">
        <v>386</v>
      </c>
      <c r="B1162" s="65">
        <v>1360</v>
      </c>
      <c r="C1162" s="579" t="s">
        <v>281</v>
      </c>
      <c r="D1162" s="579"/>
      <c r="E1162" s="583"/>
      <c r="F1162" s="596"/>
      <c r="G1162" s="65">
        <v>0</v>
      </c>
      <c r="H1162" s="591" t="s">
        <v>280</v>
      </c>
      <c r="I1162" s="591" t="s">
        <v>280</v>
      </c>
      <c r="K1162" s="60"/>
    </row>
    <row r="1163" spans="1:11">
      <c r="A1163" s="582" t="s">
        <v>386</v>
      </c>
      <c r="B1163" s="65">
        <v>1361</v>
      </c>
      <c r="C1163" s="579" t="s">
        <v>281</v>
      </c>
      <c r="D1163" s="579"/>
      <c r="E1163" s="583"/>
      <c r="F1163" s="596"/>
      <c r="G1163" s="65">
        <v>0</v>
      </c>
      <c r="H1163" s="591" t="s">
        <v>280</v>
      </c>
      <c r="I1163" s="591" t="s">
        <v>280</v>
      </c>
      <c r="K1163" s="60"/>
    </row>
    <row r="1164" spans="1:11">
      <c r="A1164" s="582" t="s">
        <v>386</v>
      </c>
      <c r="B1164" s="65">
        <v>1362</v>
      </c>
      <c r="C1164" s="579" t="s">
        <v>281</v>
      </c>
      <c r="D1164" s="579"/>
      <c r="E1164" s="583"/>
      <c r="F1164" s="596"/>
      <c r="G1164" s="65">
        <v>0</v>
      </c>
      <c r="H1164" s="591" t="s">
        <v>280</v>
      </c>
      <c r="I1164" s="591" t="s">
        <v>280</v>
      </c>
      <c r="K1164" s="60"/>
    </row>
    <row r="1165" spans="1:11">
      <c r="A1165" s="582" t="s">
        <v>386</v>
      </c>
      <c r="B1165" s="65">
        <v>1363</v>
      </c>
      <c r="C1165" s="579" t="s">
        <v>281</v>
      </c>
      <c r="D1165" s="579"/>
      <c r="E1165" s="583"/>
      <c r="F1165" s="596"/>
      <c r="G1165" s="65">
        <v>0</v>
      </c>
      <c r="H1165" s="591" t="s">
        <v>280</v>
      </c>
      <c r="I1165" s="591" t="s">
        <v>280</v>
      </c>
      <c r="K1165" s="60"/>
    </row>
    <row r="1166" spans="1:11">
      <c r="A1166" s="582" t="s">
        <v>386</v>
      </c>
      <c r="B1166" s="65">
        <v>1364</v>
      </c>
      <c r="C1166" s="579" t="s">
        <v>281</v>
      </c>
      <c r="D1166" s="579"/>
      <c r="E1166" s="583"/>
      <c r="F1166" s="596"/>
      <c r="G1166" s="65">
        <v>0</v>
      </c>
      <c r="H1166" s="591" t="s">
        <v>280</v>
      </c>
      <c r="I1166" s="591" t="s">
        <v>280</v>
      </c>
      <c r="K1166" s="60"/>
    </row>
    <row r="1167" spans="1:11">
      <c r="A1167" s="582" t="s">
        <v>386</v>
      </c>
      <c r="B1167" s="65">
        <v>1365</v>
      </c>
      <c r="C1167" s="579" t="s">
        <v>281</v>
      </c>
      <c r="D1167" s="579"/>
      <c r="E1167" s="583"/>
      <c r="F1167" s="596"/>
      <c r="G1167" s="65">
        <v>0</v>
      </c>
      <c r="H1167" s="591" t="s">
        <v>280</v>
      </c>
      <c r="I1167" s="591" t="s">
        <v>280</v>
      </c>
      <c r="K1167" s="60"/>
    </row>
    <row r="1168" spans="1:11">
      <c r="A1168" s="582" t="s">
        <v>386</v>
      </c>
      <c r="B1168" s="65">
        <v>1366</v>
      </c>
      <c r="C1168" s="579" t="s">
        <v>281</v>
      </c>
      <c r="D1168" s="579"/>
      <c r="E1168" s="583"/>
      <c r="F1168" s="596"/>
      <c r="G1168" s="65">
        <v>0</v>
      </c>
      <c r="H1168" s="591" t="s">
        <v>280</v>
      </c>
      <c r="I1168" s="591" t="s">
        <v>280</v>
      </c>
      <c r="K1168" s="60"/>
    </row>
    <row r="1169" spans="1:11">
      <c r="A1169" s="582" t="s">
        <v>386</v>
      </c>
      <c r="B1169" s="65">
        <v>1367</v>
      </c>
      <c r="C1169" s="579" t="s">
        <v>281</v>
      </c>
      <c r="D1169" s="579"/>
      <c r="E1169" s="583"/>
      <c r="F1169" s="596"/>
      <c r="G1169" s="65">
        <v>0</v>
      </c>
      <c r="H1169" s="591" t="s">
        <v>280</v>
      </c>
      <c r="I1169" s="591" t="s">
        <v>280</v>
      </c>
      <c r="K1169" s="60"/>
    </row>
    <row r="1170" spans="1:11">
      <c r="A1170" s="582" t="s">
        <v>386</v>
      </c>
      <c r="B1170" s="65">
        <v>1368</v>
      </c>
      <c r="C1170" s="579" t="s">
        <v>281</v>
      </c>
      <c r="D1170" s="579"/>
      <c r="E1170" s="583"/>
      <c r="F1170" s="596"/>
      <c r="G1170" s="65">
        <v>0</v>
      </c>
      <c r="H1170" s="591" t="s">
        <v>280</v>
      </c>
      <c r="I1170" s="591" t="s">
        <v>280</v>
      </c>
      <c r="K1170" s="60"/>
    </row>
    <row r="1171" spans="1:11">
      <c r="A1171" s="582" t="s">
        <v>386</v>
      </c>
      <c r="B1171" s="65">
        <v>1369</v>
      </c>
      <c r="C1171" s="579" t="s">
        <v>281</v>
      </c>
      <c r="D1171" s="579"/>
      <c r="E1171" s="583"/>
      <c r="F1171" s="596"/>
      <c r="G1171" s="65">
        <v>0</v>
      </c>
      <c r="H1171" s="591" t="s">
        <v>280</v>
      </c>
      <c r="I1171" s="591" t="s">
        <v>280</v>
      </c>
      <c r="K1171" s="60"/>
    </row>
    <row r="1172" spans="1:11">
      <c r="A1172" s="582" t="s">
        <v>386</v>
      </c>
      <c r="B1172" s="65">
        <v>1370</v>
      </c>
      <c r="C1172" s="579" t="s">
        <v>281</v>
      </c>
      <c r="D1172" s="579"/>
      <c r="E1172" s="583"/>
      <c r="F1172" s="596"/>
      <c r="G1172" s="65">
        <v>0</v>
      </c>
      <c r="H1172" s="591" t="s">
        <v>280</v>
      </c>
      <c r="I1172" s="591" t="s">
        <v>280</v>
      </c>
      <c r="K1172" s="60"/>
    </row>
    <row r="1173" spans="1:11">
      <c r="A1173" s="582" t="s">
        <v>386</v>
      </c>
      <c r="B1173" s="65">
        <v>1371</v>
      </c>
      <c r="C1173" s="579" t="s">
        <v>281</v>
      </c>
      <c r="D1173" s="579"/>
      <c r="E1173" s="583"/>
      <c r="F1173" s="596"/>
      <c r="G1173" s="65">
        <v>0</v>
      </c>
      <c r="H1173" s="591" t="s">
        <v>280</v>
      </c>
      <c r="I1173" s="591" t="s">
        <v>280</v>
      </c>
      <c r="K1173" s="60"/>
    </row>
    <row r="1174" spans="1:11">
      <c r="A1174" s="582" t="s">
        <v>386</v>
      </c>
      <c r="B1174" s="65">
        <v>1372</v>
      </c>
      <c r="C1174" s="579" t="s">
        <v>281</v>
      </c>
      <c r="D1174" s="579"/>
      <c r="E1174" s="583"/>
      <c r="F1174" s="596"/>
      <c r="G1174" s="65">
        <v>0</v>
      </c>
      <c r="H1174" s="591" t="s">
        <v>280</v>
      </c>
      <c r="I1174" s="591" t="s">
        <v>280</v>
      </c>
      <c r="K1174" s="60"/>
    </row>
    <row r="1175" spans="1:11">
      <c r="A1175" s="582" t="s">
        <v>386</v>
      </c>
      <c r="B1175" s="65">
        <v>1373</v>
      </c>
      <c r="C1175" s="579" t="s">
        <v>281</v>
      </c>
      <c r="D1175" s="579"/>
      <c r="E1175" s="583"/>
      <c r="F1175" s="596"/>
      <c r="G1175" s="65">
        <v>0</v>
      </c>
      <c r="H1175" s="591" t="s">
        <v>280</v>
      </c>
      <c r="I1175" s="591" t="s">
        <v>280</v>
      </c>
      <c r="K1175" s="60"/>
    </row>
    <row r="1176" spans="1:11">
      <c r="A1176" s="582" t="s">
        <v>386</v>
      </c>
      <c r="B1176" s="65">
        <v>1374</v>
      </c>
      <c r="C1176" s="579" t="s">
        <v>281</v>
      </c>
      <c r="D1176" s="579"/>
      <c r="E1176" s="583"/>
      <c r="F1176" s="596"/>
      <c r="G1176" s="65">
        <v>0</v>
      </c>
      <c r="H1176" s="591" t="s">
        <v>280</v>
      </c>
      <c r="I1176" s="591" t="s">
        <v>280</v>
      </c>
      <c r="K1176" s="60"/>
    </row>
    <row r="1177" spans="1:11">
      <c r="A1177" s="582" t="s">
        <v>386</v>
      </c>
      <c r="B1177" s="65">
        <v>1375</v>
      </c>
      <c r="C1177" s="579" t="s">
        <v>281</v>
      </c>
      <c r="D1177" s="579"/>
      <c r="E1177" s="583"/>
      <c r="F1177" s="596"/>
      <c r="G1177" s="65">
        <v>0</v>
      </c>
      <c r="H1177" s="591" t="s">
        <v>280</v>
      </c>
      <c r="I1177" s="591" t="s">
        <v>280</v>
      </c>
      <c r="K1177" s="60"/>
    </row>
    <row r="1178" spans="1:11">
      <c r="A1178" s="582" t="s">
        <v>386</v>
      </c>
      <c r="B1178" s="65">
        <v>1376</v>
      </c>
      <c r="C1178" s="579" t="s">
        <v>281</v>
      </c>
      <c r="D1178" s="579"/>
      <c r="E1178" s="583"/>
      <c r="F1178" s="596"/>
      <c r="G1178" s="65">
        <v>0</v>
      </c>
      <c r="H1178" s="591" t="s">
        <v>280</v>
      </c>
      <c r="I1178" s="591" t="s">
        <v>280</v>
      </c>
      <c r="K1178" s="60"/>
    </row>
    <row r="1179" spans="1:11">
      <c r="A1179" s="582" t="s">
        <v>386</v>
      </c>
      <c r="B1179" s="65">
        <v>1377</v>
      </c>
      <c r="C1179" s="579" t="s">
        <v>281</v>
      </c>
      <c r="D1179" s="579"/>
      <c r="E1179" s="583"/>
      <c r="F1179" s="596"/>
      <c r="G1179" s="65">
        <v>0</v>
      </c>
      <c r="H1179" s="591" t="s">
        <v>280</v>
      </c>
      <c r="I1179" s="591" t="s">
        <v>280</v>
      </c>
      <c r="K1179" s="60"/>
    </row>
    <row r="1180" spans="1:11">
      <c r="A1180" s="582" t="s">
        <v>386</v>
      </c>
      <c r="B1180" s="65">
        <v>1378</v>
      </c>
      <c r="C1180" s="579" t="s">
        <v>281</v>
      </c>
      <c r="D1180" s="579"/>
      <c r="E1180" s="583"/>
      <c r="F1180" s="596"/>
      <c r="G1180" s="65">
        <v>0</v>
      </c>
      <c r="H1180" s="591" t="s">
        <v>280</v>
      </c>
      <c r="I1180" s="591" t="s">
        <v>280</v>
      </c>
      <c r="K1180" s="60"/>
    </row>
    <row r="1181" spans="1:11">
      <c r="A1181" s="582" t="s">
        <v>386</v>
      </c>
      <c r="B1181" s="65">
        <v>1379</v>
      </c>
      <c r="C1181" s="579" t="s">
        <v>281</v>
      </c>
      <c r="D1181" s="579"/>
      <c r="E1181" s="583"/>
      <c r="F1181" s="596"/>
      <c r="G1181" s="65">
        <v>0</v>
      </c>
      <c r="H1181" s="591" t="s">
        <v>280</v>
      </c>
      <c r="I1181" s="591" t="s">
        <v>280</v>
      </c>
      <c r="K1181" s="60"/>
    </row>
    <row r="1182" spans="1:11">
      <c r="A1182" s="582" t="s">
        <v>386</v>
      </c>
      <c r="B1182" s="65">
        <v>1380</v>
      </c>
      <c r="C1182" s="579" t="s">
        <v>281</v>
      </c>
      <c r="D1182" s="579"/>
      <c r="E1182" s="583"/>
      <c r="F1182" s="596"/>
      <c r="G1182" s="65">
        <v>0</v>
      </c>
      <c r="H1182" s="591" t="s">
        <v>280</v>
      </c>
      <c r="I1182" s="591" t="s">
        <v>280</v>
      </c>
      <c r="K1182" s="60"/>
    </row>
    <row r="1183" spans="1:11">
      <c r="A1183" s="582" t="s">
        <v>386</v>
      </c>
      <c r="B1183" s="65">
        <v>1381</v>
      </c>
      <c r="C1183" s="579" t="s">
        <v>281</v>
      </c>
      <c r="D1183" s="579"/>
      <c r="E1183" s="583"/>
      <c r="F1183" s="596"/>
      <c r="G1183" s="65">
        <v>0</v>
      </c>
      <c r="H1183" s="591" t="s">
        <v>280</v>
      </c>
      <c r="I1183" s="591" t="s">
        <v>280</v>
      </c>
      <c r="K1183" s="60"/>
    </row>
    <row r="1184" spans="1:11">
      <c r="A1184" s="582" t="s">
        <v>386</v>
      </c>
      <c r="B1184" s="65">
        <v>1382</v>
      </c>
      <c r="C1184" s="579" t="s">
        <v>281</v>
      </c>
      <c r="D1184" s="579"/>
      <c r="E1184" s="583"/>
      <c r="F1184" s="596"/>
      <c r="G1184" s="65">
        <v>0</v>
      </c>
      <c r="H1184" s="591" t="s">
        <v>280</v>
      </c>
      <c r="I1184" s="591" t="s">
        <v>280</v>
      </c>
      <c r="K1184" s="60"/>
    </row>
    <row r="1185" spans="1:11">
      <c r="A1185" s="582" t="s">
        <v>386</v>
      </c>
      <c r="B1185" s="65">
        <v>1383</v>
      </c>
      <c r="C1185" s="579" t="s">
        <v>281</v>
      </c>
      <c r="D1185" s="579"/>
      <c r="E1185" s="583"/>
      <c r="F1185" s="596"/>
      <c r="G1185" s="65">
        <v>0</v>
      </c>
      <c r="H1185" s="591" t="s">
        <v>280</v>
      </c>
      <c r="I1185" s="591" t="s">
        <v>280</v>
      </c>
      <c r="K1185" s="60"/>
    </row>
    <row r="1186" spans="1:11">
      <c r="A1186" s="582" t="s">
        <v>386</v>
      </c>
      <c r="B1186" s="65">
        <v>1384</v>
      </c>
      <c r="C1186" s="579" t="s">
        <v>281</v>
      </c>
      <c r="D1186" s="579"/>
      <c r="E1186" s="583"/>
      <c r="F1186" s="596"/>
      <c r="G1186" s="65">
        <v>0</v>
      </c>
      <c r="H1186" s="591" t="s">
        <v>280</v>
      </c>
      <c r="I1186" s="591" t="s">
        <v>280</v>
      </c>
      <c r="K1186" s="60"/>
    </row>
    <row r="1187" spans="1:11">
      <c r="A1187" s="582" t="s">
        <v>386</v>
      </c>
      <c r="B1187" s="65">
        <v>1385</v>
      </c>
      <c r="C1187" s="579" t="s">
        <v>281</v>
      </c>
      <c r="D1187" s="579"/>
      <c r="E1187" s="583"/>
      <c r="F1187" s="596"/>
      <c r="G1187" s="65">
        <v>0</v>
      </c>
      <c r="H1187" s="591" t="s">
        <v>280</v>
      </c>
      <c r="I1187" s="591" t="s">
        <v>280</v>
      </c>
      <c r="K1187" s="60"/>
    </row>
    <row r="1188" spans="1:11">
      <c r="A1188" s="582" t="s">
        <v>386</v>
      </c>
      <c r="B1188" s="65">
        <v>1386</v>
      </c>
      <c r="C1188" s="579" t="s">
        <v>281</v>
      </c>
      <c r="D1188" s="579"/>
      <c r="E1188" s="583"/>
      <c r="F1188" s="596"/>
      <c r="G1188" s="65">
        <v>0</v>
      </c>
      <c r="H1188" s="591" t="s">
        <v>280</v>
      </c>
      <c r="I1188" s="591" t="s">
        <v>280</v>
      </c>
      <c r="K1188" s="60"/>
    </row>
    <row r="1189" spans="1:11">
      <c r="A1189" s="582" t="s">
        <v>386</v>
      </c>
      <c r="B1189" s="65">
        <v>1387</v>
      </c>
      <c r="C1189" s="579" t="s">
        <v>281</v>
      </c>
      <c r="D1189" s="579"/>
      <c r="E1189" s="583"/>
      <c r="F1189" s="596"/>
      <c r="G1189" s="65">
        <v>0</v>
      </c>
      <c r="H1189" s="591" t="s">
        <v>280</v>
      </c>
      <c r="I1189" s="591" t="s">
        <v>280</v>
      </c>
      <c r="K1189" s="60"/>
    </row>
    <row r="1190" spans="1:11">
      <c r="A1190" s="582" t="s">
        <v>386</v>
      </c>
      <c r="B1190" s="65">
        <v>1388</v>
      </c>
      <c r="C1190" s="579" t="s">
        <v>281</v>
      </c>
      <c r="D1190" s="579"/>
      <c r="E1190" s="583"/>
      <c r="F1190" s="596"/>
      <c r="G1190" s="65">
        <v>0</v>
      </c>
      <c r="H1190" s="591" t="s">
        <v>280</v>
      </c>
      <c r="I1190" s="591" t="s">
        <v>280</v>
      </c>
      <c r="K1190" s="60"/>
    </row>
    <row r="1191" spans="1:11">
      <c r="A1191" s="582" t="s">
        <v>386</v>
      </c>
      <c r="B1191" s="65">
        <v>1389</v>
      </c>
      <c r="C1191" s="579" t="s">
        <v>281</v>
      </c>
      <c r="D1191" s="579"/>
      <c r="E1191" s="583"/>
      <c r="F1191" s="596"/>
      <c r="G1191" s="65">
        <v>0</v>
      </c>
      <c r="H1191" s="591" t="s">
        <v>280</v>
      </c>
      <c r="I1191" s="591" t="s">
        <v>280</v>
      </c>
      <c r="K1191" s="60"/>
    </row>
    <row r="1192" spans="1:11">
      <c r="A1192" s="582" t="s">
        <v>386</v>
      </c>
      <c r="B1192" s="65">
        <v>1390</v>
      </c>
      <c r="C1192" s="579" t="s">
        <v>281</v>
      </c>
      <c r="D1192" s="579"/>
      <c r="E1192" s="583"/>
      <c r="F1192" s="596"/>
      <c r="G1192" s="65">
        <v>0</v>
      </c>
      <c r="H1192" s="591" t="s">
        <v>280</v>
      </c>
      <c r="I1192" s="591" t="s">
        <v>280</v>
      </c>
      <c r="K1192" s="60"/>
    </row>
    <row r="1193" spans="1:11">
      <c r="A1193" s="582" t="s">
        <v>386</v>
      </c>
      <c r="B1193" s="65">
        <v>1391</v>
      </c>
      <c r="C1193" s="579" t="s">
        <v>281</v>
      </c>
      <c r="D1193" s="579"/>
      <c r="E1193" s="583"/>
      <c r="F1193" s="596"/>
      <c r="G1193" s="65">
        <v>0</v>
      </c>
      <c r="H1193" s="591" t="s">
        <v>280</v>
      </c>
      <c r="I1193" s="591" t="s">
        <v>280</v>
      </c>
      <c r="K1193" s="60"/>
    </row>
    <row r="1194" spans="1:11">
      <c r="A1194" s="582" t="s">
        <v>386</v>
      </c>
      <c r="B1194" s="65">
        <v>1392</v>
      </c>
      <c r="C1194" s="579" t="s">
        <v>281</v>
      </c>
      <c r="D1194" s="579"/>
      <c r="E1194" s="583"/>
      <c r="F1194" s="596"/>
      <c r="G1194" s="65">
        <v>0</v>
      </c>
      <c r="H1194" s="591" t="s">
        <v>280</v>
      </c>
      <c r="I1194" s="591" t="s">
        <v>280</v>
      </c>
      <c r="K1194" s="60"/>
    </row>
    <row r="1195" spans="1:11">
      <c r="A1195" s="582" t="s">
        <v>386</v>
      </c>
      <c r="B1195" s="65">
        <v>1393</v>
      </c>
      <c r="C1195" s="579" t="s">
        <v>281</v>
      </c>
      <c r="D1195" s="579"/>
      <c r="E1195" s="583"/>
      <c r="F1195" s="596"/>
      <c r="G1195" s="65">
        <v>0</v>
      </c>
      <c r="H1195" s="591" t="s">
        <v>280</v>
      </c>
      <c r="I1195" s="591" t="s">
        <v>280</v>
      </c>
      <c r="K1195" s="60"/>
    </row>
    <row r="1196" spans="1:11">
      <c r="A1196" s="582" t="s">
        <v>386</v>
      </c>
      <c r="B1196" s="65">
        <v>1394</v>
      </c>
      <c r="C1196" s="579" t="s">
        <v>281</v>
      </c>
      <c r="D1196" s="579"/>
      <c r="E1196" s="583"/>
      <c r="F1196" s="596"/>
      <c r="G1196" s="65">
        <v>0</v>
      </c>
      <c r="H1196" s="591" t="s">
        <v>280</v>
      </c>
      <c r="I1196" s="591" t="s">
        <v>280</v>
      </c>
      <c r="K1196" s="60"/>
    </row>
    <row r="1197" spans="1:11">
      <c r="A1197" s="582" t="s">
        <v>386</v>
      </c>
      <c r="B1197" s="65">
        <v>1395</v>
      </c>
      <c r="C1197" s="579" t="s">
        <v>281</v>
      </c>
      <c r="D1197" s="579"/>
      <c r="E1197" s="583"/>
      <c r="F1197" s="596"/>
      <c r="G1197" s="65">
        <v>0</v>
      </c>
      <c r="H1197" s="591" t="s">
        <v>280</v>
      </c>
      <c r="I1197" s="591" t="s">
        <v>280</v>
      </c>
      <c r="K1197" s="60"/>
    </row>
    <row r="1198" spans="1:11">
      <c r="A1198" s="582" t="s">
        <v>386</v>
      </c>
      <c r="B1198" s="65">
        <v>1396</v>
      </c>
      <c r="C1198" s="579" t="s">
        <v>281</v>
      </c>
      <c r="D1198" s="579"/>
      <c r="E1198" s="583"/>
      <c r="F1198" s="596"/>
      <c r="G1198" s="65">
        <v>0</v>
      </c>
      <c r="H1198" s="591" t="s">
        <v>280</v>
      </c>
      <c r="I1198" s="591" t="s">
        <v>280</v>
      </c>
      <c r="K1198" s="60"/>
    </row>
    <row r="1199" spans="1:11">
      <c r="A1199" s="582" t="s">
        <v>386</v>
      </c>
      <c r="B1199" s="65">
        <v>1397</v>
      </c>
      <c r="C1199" s="579" t="s">
        <v>281</v>
      </c>
      <c r="D1199" s="579"/>
      <c r="E1199" s="583"/>
      <c r="F1199" s="596"/>
      <c r="G1199" s="65">
        <v>0</v>
      </c>
      <c r="H1199" s="591" t="s">
        <v>280</v>
      </c>
      <c r="I1199" s="591" t="s">
        <v>280</v>
      </c>
      <c r="K1199" s="60"/>
    </row>
    <row r="1200" spans="1:11">
      <c r="A1200" s="582" t="s">
        <v>386</v>
      </c>
      <c r="B1200" s="65">
        <v>1398</v>
      </c>
      <c r="C1200" s="579" t="s">
        <v>281</v>
      </c>
      <c r="D1200" s="579"/>
      <c r="E1200" s="583"/>
      <c r="F1200" s="596"/>
      <c r="G1200" s="65">
        <v>0</v>
      </c>
      <c r="H1200" s="591" t="s">
        <v>280</v>
      </c>
      <c r="I1200" s="591" t="s">
        <v>280</v>
      </c>
      <c r="K1200" s="60"/>
    </row>
    <row r="1201" spans="1:11">
      <c r="A1201" s="582" t="s">
        <v>386</v>
      </c>
      <c r="B1201" s="65">
        <v>1399</v>
      </c>
      <c r="C1201" s="579" t="s">
        <v>281</v>
      </c>
      <c r="D1201" s="579"/>
      <c r="E1201" s="583"/>
      <c r="F1201" s="596"/>
      <c r="G1201" s="65">
        <v>0</v>
      </c>
      <c r="H1201" s="591" t="s">
        <v>280</v>
      </c>
      <c r="I1201" s="591" t="s">
        <v>280</v>
      </c>
      <c r="K1201" s="60"/>
    </row>
    <row r="1202" spans="1:11">
      <c r="A1202" s="582" t="s">
        <v>396</v>
      </c>
      <c r="B1202" s="65">
        <v>1400</v>
      </c>
      <c r="C1202" s="579" t="s">
        <v>279</v>
      </c>
      <c r="D1202" s="579"/>
      <c r="E1202" s="583"/>
      <c r="F1202" s="585">
        <v>45535</v>
      </c>
      <c r="G1202" s="65">
        <v>1</v>
      </c>
      <c r="H1202" s="591" t="s">
        <v>280</v>
      </c>
      <c r="I1202" s="591" t="s">
        <v>280</v>
      </c>
    </row>
    <row r="1203" spans="1:11">
      <c r="A1203" s="582" t="s">
        <v>396</v>
      </c>
      <c r="B1203" s="65">
        <v>1401</v>
      </c>
      <c r="C1203" s="579" t="s">
        <v>281</v>
      </c>
      <c r="D1203" s="63"/>
      <c r="E1203" s="583"/>
      <c r="F1203" s="596"/>
      <c r="G1203" s="65">
        <v>0</v>
      </c>
      <c r="H1203" s="591" t="s">
        <v>280</v>
      </c>
      <c r="I1203" s="591" t="s">
        <v>280</v>
      </c>
      <c r="J1203" s="57"/>
    </row>
    <row r="1204" spans="1:11">
      <c r="A1204" s="582" t="s">
        <v>396</v>
      </c>
      <c r="B1204" s="65">
        <v>1402</v>
      </c>
      <c r="C1204" s="579" t="s">
        <v>281</v>
      </c>
      <c r="D1204" s="63"/>
      <c r="E1204" s="583"/>
      <c r="F1204" s="596"/>
      <c r="G1204" s="65">
        <v>0</v>
      </c>
      <c r="H1204" s="591" t="s">
        <v>280</v>
      </c>
      <c r="I1204" s="591" t="s">
        <v>280</v>
      </c>
      <c r="J1204" s="57"/>
    </row>
    <row r="1205" spans="1:11">
      <c r="A1205" s="582" t="s">
        <v>396</v>
      </c>
      <c r="B1205" s="65">
        <v>1403</v>
      </c>
      <c r="C1205" s="579" t="s">
        <v>281</v>
      </c>
      <c r="D1205" s="63"/>
      <c r="E1205" s="583"/>
      <c r="F1205" s="596"/>
      <c r="G1205" s="65">
        <v>0</v>
      </c>
      <c r="H1205" s="591" t="s">
        <v>280</v>
      </c>
      <c r="I1205" s="591" t="s">
        <v>280</v>
      </c>
      <c r="J1205" s="57"/>
    </row>
    <row r="1206" spans="1:11">
      <c r="A1206" s="582" t="s">
        <v>396</v>
      </c>
      <c r="B1206" s="65">
        <v>1404</v>
      </c>
      <c r="C1206" s="579" t="s">
        <v>397</v>
      </c>
      <c r="D1206" s="63">
        <v>10411</v>
      </c>
      <c r="E1206" s="583"/>
      <c r="F1206" s="585">
        <v>45535</v>
      </c>
      <c r="G1206" s="65">
        <v>1</v>
      </c>
      <c r="H1206" s="591" t="s">
        <v>280</v>
      </c>
      <c r="I1206" s="591" t="s">
        <v>280</v>
      </c>
      <c r="J1206" s="57"/>
    </row>
    <row r="1207" spans="1:11">
      <c r="A1207" s="582" t="s">
        <v>396</v>
      </c>
      <c r="B1207" s="65">
        <v>1405</v>
      </c>
      <c r="C1207" s="579" t="s">
        <v>281</v>
      </c>
      <c r="D1207" s="63"/>
      <c r="E1207" s="583"/>
      <c r="F1207" s="596"/>
      <c r="G1207" s="65">
        <v>0</v>
      </c>
      <c r="H1207" s="591" t="s">
        <v>280</v>
      </c>
      <c r="I1207" s="591" t="s">
        <v>280</v>
      </c>
      <c r="J1207" s="57"/>
    </row>
    <row r="1208" spans="1:11">
      <c r="A1208" s="582" t="s">
        <v>396</v>
      </c>
      <c r="B1208" s="65">
        <v>1406</v>
      </c>
      <c r="C1208" s="579" t="s">
        <v>398</v>
      </c>
      <c r="D1208" s="63">
        <v>10296</v>
      </c>
      <c r="E1208" s="583"/>
      <c r="F1208" s="585">
        <v>45535</v>
      </c>
      <c r="G1208" s="65">
        <v>1</v>
      </c>
      <c r="H1208" s="591" t="s">
        <v>35</v>
      </c>
      <c r="I1208" s="591" t="s">
        <v>65</v>
      </c>
      <c r="J1208" s="57"/>
    </row>
    <row r="1209" spans="1:11">
      <c r="A1209" s="582" t="s">
        <v>396</v>
      </c>
      <c r="B1209" s="65">
        <v>1407</v>
      </c>
      <c r="C1209" s="579" t="s">
        <v>281</v>
      </c>
      <c r="D1209" s="63"/>
      <c r="E1209" s="583"/>
      <c r="F1209" s="596"/>
      <c r="G1209" s="65">
        <v>0</v>
      </c>
      <c r="H1209" s="591" t="s">
        <v>280</v>
      </c>
      <c r="I1209" s="591" t="s">
        <v>280</v>
      </c>
      <c r="J1209" s="57"/>
    </row>
    <row r="1210" spans="1:11">
      <c r="A1210" s="582" t="s">
        <v>396</v>
      </c>
      <c r="B1210" s="65">
        <v>1408</v>
      </c>
      <c r="C1210" s="579" t="s">
        <v>399</v>
      </c>
      <c r="D1210" s="579">
        <v>10316</v>
      </c>
      <c r="E1210" s="583"/>
      <c r="F1210" s="585">
        <v>45535</v>
      </c>
      <c r="G1210" s="65">
        <v>1</v>
      </c>
      <c r="H1210" s="591" t="s">
        <v>35</v>
      </c>
      <c r="I1210" s="591" t="s">
        <v>65</v>
      </c>
      <c r="J1210" s="57"/>
    </row>
    <row r="1211" spans="1:11">
      <c r="A1211" s="582" t="s">
        <v>396</v>
      </c>
      <c r="B1211" s="65">
        <v>1409</v>
      </c>
      <c r="C1211" s="579" t="s">
        <v>400</v>
      </c>
      <c r="D1211" s="65">
        <v>10619</v>
      </c>
      <c r="E1211" s="583"/>
      <c r="F1211" s="585">
        <v>45535</v>
      </c>
      <c r="G1211" s="65">
        <v>1</v>
      </c>
      <c r="H1211" s="591" t="s">
        <v>35</v>
      </c>
      <c r="I1211" s="591" t="s">
        <v>65</v>
      </c>
      <c r="J1211" s="61"/>
    </row>
    <row r="1212" spans="1:11">
      <c r="A1212" s="582" t="s">
        <v>396</v>
      </c>
      <c r="B1212" s="65">
        <v>1410</v>
      </c>
      <c r="C1212" s="579" t="s">
        <v>401</v>
      </c>
      <c r="D1212" s="579">
        <v>10584</v>
      </c>
      <c r="E1212" s="583"/>
      <c r="F1212" s="585">
        <v>45535</v>
      </c>
      <c r="G1212" s="65">
        <v>1</v>
      </c>
      <c r="H1212" s="591" t="s">
        <v>35</v>
      </c>
      <c r="I1212" s="591" t="s">
        <v>65</v>
      </c>
      <c r="J1212" s="61"/>
    </row>
    <row r="1213" spans="1:11">
      <c r="A1213" s="582" t="s">
        <v>396</v>
      </c>
      <c r="B1213" s="65">
        <v>1411</v>
      </c>
      <c r="C1213" s="579" t="s">
        <v>402</v>
      </c>
      <c r="D1213" s="579">
        <v>10482</v>
      </c>
      <c r="E1213" s="583"/>
      <c r="F1213" s="585">
        <v>45535</v>
      </c>
      <c r="G1213" s="65">
        <v>1</v>
      </c>
      <c r="H1213" s="591" t="s">
        <v>280</v>
      </c>
      <c r="I1213" s="591" t="s">
        <v>280</v>
      </c>
      <c r="J1213" s="61"/>
    </row>
    <row r="1214" spans="1:11">
      <c r="A1214" s="582" t="s">
        <v>396</v>
      </c>
      <c r="B1214" s="65">
        <v>1412</v>
      </c>
      <c r="C1214" s="579" t="s">
        <v>281</v>
      </c>
      <c r="D1214" s="579"/>
      <c r="E1214" s="583"/>
      <c r="F1214" s="596"/>
      <c r="G1214" s="65">
        <v>0</v>
      </c>
      <c r="H1214" s="591" t="s">
        <v>280</v>
      </c>
      <c r="I1214" s="591" t="s">
        <v>280</v>
      </c>
      <c r="J1214" s="61"/>
    </row>
    <row r="1215" spans="1:11">
      <c r="A1215" s="582" t="s">
        <v>396</v>
      </c>
      <c r="B1215" s="65">
        <v>1413</v>
      </c>
      <c r="C1215" s="579" t="s">
        <v>281</v>
      </c>
      <c r="D1215" s="63"/>
      <c r="E1215" s="583"/>
      <c r="F1215" s="596"/>
      <c r="G1215" s="65">
        <v>0</v>
      </c>
      <c r="H1215" s="591" t="s">
        <v>280</v>
      </c>
      <c r="I1215" s="591" t="s">
        <v>280</v>
      </c>
    </row>
    <row r="1216" spans="1:11">
      <c r="A1216" s="582" t="s">
        <v>396</v>
      </c>
      <c r="B1216" s="65">
        <v>1414</v>
      </c>
      <c r="C1216" s="579" t="s">
        <v>403</v>
      </c>
      <c r="D1216" s="579">
        <v>10295</v>
      </c>
      <c r="E1216" s="583"/>
      <c r="F1216" s="585">
        <v>45535</v>
      </c>
      <c r="G1216" s="65">
        <v>1</v>
      </c>
      <c r="H1216" s="591" t="s">
        <v>35</v>
      </c>
      <c r="I1216" s="591" t="s">
        <v>65</v>
      </c>
    </row>
    <row r="1217" spans="1:9">
      <c r="A1217" s="582" t="s">
        <v>396</v>
      </c>
      <c r="B1217" s="65">
        <v>1415</v>
      </c>
      <c r="C1217" s="579" t="s">
        <v>281</v>
      </c>
      <c r="D1217" s="63"/>
      <c r="E1217" s="583"/>
      <c r="F1217" s="596"/>
      <c r="G1217" s="65">
        <v>0</v>
      </c>
      <c r="H1217" s="591" t="s">
        <v>280</v>
      </c>
      <c r="I1217" s="591" t="s">
        <v>280</v>
      </c>
    </row>
    <row r="1218" spans="1:9">
      <c r="A1218" s="582" t="s">
        <v>396</v>
      </c>
      <c r="B1218" s="65">
        <v>1416</v>
      </c>
      <c r="C1218" s="579" t="s">
        <v>281</v>
      </c>
      <c r="D1218" s="63"/>
      <c r="E1218" s="583"/>
      <c r="F1218" s="596"/>
      <c r="G1218" s="65">
        <v>0</v>
      </c>
      <c r="H1218" s="591" t="s">
        <v>280</v>
      </c>
      <c r="I1218" s="591" t="s">
        <v>280</v>
      </c>
    </row>
    <row r="1219" spans="1:9">
      <c r="A1219" s="582" t="s">
        <v>396</v>
      </c>
      <c r="B1219" s="65">
        <v>1417</v>
      </c>
      <c r="C1219" s="579" t="s">
        <v>281</v>
      </c>
      <c r="D1219" s="63"/>
      <c r="E1219" s="583"/>
      <c r="F1219" s="596"/>
      <c r="G1219" s="65">
        <v>0</v>
      </c>
      <c r="H1219" s="591" t="s">
        <v>280</v>
      </c>
      <c r="I1219" s="591" t="s">
        <v>280</v>
      </c>
    </row>
    <row r="1220" spans="1:9" ht="13.5">
      <c r="A1220" s="582" t="s">
        <v>396</v>
      </c>
      <c r="B1220" s="65">
        <v>1418</v>
      </c>
      <c r="C1220" s="65" t="s">
        <v>2017</v>
      </c>
      <c r="D1220" s="65">
        <v>10297</v>
      </c>
      <c r="E1220" s="598"/>
      <c r="F1220" s="585">
        <v>45591</v>
      </c>
      <c r="G1220" s="65">
        <v>1</v>
      </c>
      <c r="H1220" s="591" t="s">
        <v>280</v>
      </c>
      <c r="I1220" s="591" t="s">
        <v>280</v>
      </c>
    </row>
    <row r="1221" spans="1:9">
      <c r="A1221" s="582" t="s">
        <v>396</v>
      </c>
      <c r="B1221" s="65">
        <v>1419</v>
      </c>
      <c r="C1221" s="579" t="s">
        <v>404</v>
      </c>
      <c r="D1221" s="579">
        <v>10294</v>
      </c>
      <c r="E1221" s="583"/>
      <c r="F1221" s="585">
        <v>45535</v>
      </c>
      <c r="G1221" s="65">
        <v>1</v>
      </c>
      <c r="H1221" s="591" t="s">
        <v>35</v>
      </c>
      <c r="I1221" s="591" t="s">
        <v>65</v>
      </c>
    </row>
    <row r="1222" spans="1:9">
      <c r="A1222" s="582" t="s">
        <v>396</v>
      </c>
      <c r="B1222" s="65">
        <v>1420</v>
      </c>
      <c r="C1222" s="579" t="s">
        <v>405</v>
      </c>
      <c r="D1222" s="63">
        <v>10407</v>
      </c>
      <c r="E1222" s="583"/>
      <c r="F1222" s="585">
        <v>45535</v>
      </c>
      <c r="G1222" s="65">
        <v>1</v>
      </c>
      <c r="H1222" s="591" t="s">
        <v>35</v>
      </c>
      <c r="I1222" s="591" t="s">
        <v>65</v>
      </c>
    </row>
    <row r="1223" spans="1:9">
      <c r="A1223" s="582" t="s">
        <v>396</v>
      </c>
      <c r="B1223" s="65">
        <v>1421</v>
      </c>
      <c r="C1223" s="579" t="s">
        <v>281</v>
      </c>
      <c r="D1223" s="579"/>
      <c r="E1223" s="583"/>
      <c r="F1223" s="596"/>
      <c r="G1223" s="65">
        <v>0</v>
      </c>
      <c r="H1223" s="591" t="s">
        <v>280</v>
      </c>
      <c r="I1223" s="591" t="s">
        <v>280</v>
      </c>
    </row>
    <row r="1224" spans="1:9">
      <c r="A1224" s="582" t="s">
        <v>396</v>
      </c>
      <c r="B1224" s="65">
        <v>1422</v>
      </c>
      <c r="C1224" s="579" t="s">
        <v>281</v>
      </c>
      <c r="D1224" s="65"/>
      <c r="E1224" s="583"/>
      <c r="F1224" s="596"/>
      <c r="G1224" s="65">
        <v>0</v>
      </c>
      <c r="H1224" s="591" t="s">
        <v>280</v>
      </c>
      <c r="I1224" s="591" t="s">
        <v>280</v>
      </c>
    </row>
    <row r="1225" spans="1:9">
      <c r="A1225" s="582" t="s">
        <v>396</v>
      </c>
      <c r="B1225" s="65">
        <v>1423</v>
      </c>
      <c r="C1225" s="579" t="s">
        <v>406</v>
      </c>
      <c r="D1225" s="63">
        <v>10062</v>
      </c>
      <c r="E1225" s="583"/>
      <c r="F1225" s="585">
        <v>45535</v>
      </c>
      <c r="G1225" s="65">
        <v>1</v>
      </c>
      <c r="H1225" s="591" t="s">
        <v>35</v>
      </c>
      <c r="I1225" s="591" t="s">
        <v>65</v>
      </c>
    </row>
    <row r="1226" spans="1:9">
      <c r="A1226" s="582" t="s">
        <v>396</v>
      </c>
      <c r="B1226" s="65">
        <v>1424</v>
      </c>
      <c r="C1226" s="579" t="s">
        <v>281</v>
      </c>
      <c r="D1226" s="579"/>
      <c r="E1226" s="583"/>
      <c r="F1226" s="596"/>
      <c r="G1226" s="65">
        <v>0</v>
      </c>
      <c r="H1226" s="591" t="s">
        <v>280</v>
      </c>
      <c r="I1226" s="591" t="s">
        <v>280</v>
      </c>
    </row>
    <row r="1227" spans="1:9">
      <c r="A1227" s="582" t="s">
        <v>396</v>
      </c>
      <c r="B1227" s="65">
        <v>1425</v>
      </c>
      <c r="C1227" s="579" t="s">
        <v>454</v>
      </c>
      <c r="D1227" s="579">
        <v>10388</v>
      </c>
      <c r="E1227" s="583"/>
      <c r="F1227" s="585">
        <v>45535</v>
      </c>
      <c r="G1227" s="65">
        <v>1</v>
      </c>
      <c r="H1227" s="591" t="s">
        <v>35</v>
      </c>
      <c r="I1227" s="591" t="s">
        <v>65</v>
      </c>
    </row>
    <row r="1228" spans="1:9">
      <c r="A1228" s="582" t="s">
        <v>396</v>
      </c>
      <c r="B1228" s="65">
        <v>1426</v>
      </c>
      <c r="C1228" s="579" t="s">
        <v>652</v>
      </c>
      <c r="D1228" s="579">
        <v>10256</v>
      </c>
      <c r="E1228" s="583"/>
      <c r="F1228" s="585">
        <v>45535</v>
      </c>
      <c r="G1228" s="65">
        <v>1</v>
      </c>
      <c r="H1228" s="591" t="s">
        <v>280</v>
      </c>
      <c r="I1228" s="591" t="s">
        <v>280</v>
      </c>
    </row>
    <row r="1229" spans="1:9">
      <c r="A1229" s="582" t="s">
        <v>396</v>
      </c>
      <c r="B1229" s="65">
        <v>1427</v>
      </c>
      <c r="C1229" s="579" t="s">
        <v>654</v>
      </c>
      <c r="D1229" s="579">
        <v>10572</v>
      </c>
      <c r="E1229" s="583"/>
      <c r="F1229" s="585">
        <v>45535</v>
      </c>
      <c r="G1229" s="65">
        <v>1</v>
      </c>
      <c r="H1229" s="591" t="s">
        <v>35</v>
      </c>
      <c r="I1229" s="591" t="s">
        <v>65</v>
      </c>
    </row>
    <row r="1230" spans="1:9">
      <c r="A1230" s="582" t="s">
        <v>396</v>
      </c>
      <c r="B1230" s="65">
        <v>1428</v>
      </c>
      <c r="C1230" s="579" t="s">
        <v>281</v>
      </c>
      <c r="D1230" s="579"/>
      <c r="E1230" s="583"/>
      <c r="F1230" s="596"/>
      <c r="G1230" s="65">
        <v>0</v>
      </c>
      <c r="H1230" s="591" t="s">
        <v>280</v>
      </c>
      <c r="I1230" s="591" t="s">
        <v>280</v>
      </c>
    </row>
    <row r="1231" spans="1:9">
      <c r="A1231" s="580" t="s">
        <v>396</v>
      </c>
      <c r="B1231" s="65">
        <v>1429</v>
      </c>
      <c r="C1231" s="579" t="s">
        <v>1691</v>
      </c>
      <c r="D1231" s="579">
        <v>10758</v>
      </c>
      <c r="E1231" s="583"/>
      <c r="F1231" s="585">
        <v>45535</v>
      </c>
      <c r="G1231" s="65">
        <v>1</v>
      </c>
      <c r="H1231" s="591" t="s">
        <v>35</v>
      </c>
      <c r="I1231" s="591" t="s">
        <v>65</v>
      </c>
    </row>
    <row r="1232" spans="1:9">
      <c r="A1232" s="580" t="s">
        <v>396</v>
      </c>
      <c r="B1232" s="65">
        <v>1430</v>
      </c>
      <c r="C1232" s="65" t="s">
        <v>1692</v>
      </c>
      <c r="D1232" s="579">
        <v>10759</v>
      </c>
      <c r="E1232" s="583"/>
      <c r="F1232" s="585">
        <v>45535</v>
      </c>
      <c r="G1232" s="65">
        <v>1</v>
      </c>
      <c r="H1232" s="591" t="s">
        <v>280</v>
      </c>
      <c r="I1232" s="591" t="s">
        <v>280</v>
      </c>
    </row>
    <row r="1233" spans="1:9">
      <c r="A1233" s="582" t="s">
        <v>396</v>
      </c>
      <c r="B1233" s="65">
        <v>1431</v>
      </c>
      <c r="C1233" s="65" t="s">
        <v>1693</v>
      </c>
      <c r="D1233" s="65">
        <v>11043</v>
      </c>
      <c r="E1233" s="583"/>
      <c r="F1233" s="585">
        <v>45535</v>
      </c>
      <c r="G1233" s="65">
        <v>1</v>
      </c>
      <c r="H1233" s="591" t="s">
        <v>35</v>
      </c>
      <c r="I1233" s="591" t="s">
        <v>65</v>
      </c>
    </row>
    <row r="1234" spans="1:9">
      <c r="A1234" s="582" t="s">
        <v>396</v>
      </c>
      <c r="B1234" s="65">
        <v>1432</v>
      </c>
      <c r="C1234" s="63" t="s">
        <v>1950</v>
      </c>
      <c r="D1234" s="579">
        <v>10571</v>
      </c>
      <c r="E1234" s="583"/>
      <c r="F1234" s="585">
        <v>45535</v>
      </c>
      <c r="G1234" s="65">
        <v>1</v>
      </c>
      <c r="H1234" s="591" t="s">
        <v>35</v>
      </c>
      <c r="I1234" s="591" t="s">
        <v>65</v>
      </c>
    </row>
    <row r="1235" spans="1:9">
      <c r="A1235" s="582" t="s">
        <v>396</v>
      </c>
      <c r="B1235" s="65">
        <v>1433</v>
      </c>
      <c r="C1235" s="579" t="s">
        <v>281</v>
      </c>
      <c r="D1235" s="579"/>
      <c r="E1235" s="583"/>
      <c r="F1235" s="596"/>
      <c r="G1235" s="65">
        <v>0</v>
      </c>
      <c r="H1235" s="591" t="s">
        <v>280</v>
      </c>
      <c r="I1235" s="591" t="s">
        <v>280</v>
      </c>
    </row>
    <row r="1236" spans="1:9">
      <c r="A1236" s="582" t="s">
        <v>396</v>
      </c>
      <c r="B1236" s="65">
        <v>1434</v>
      </c>
      <c r="C1236" s="579" t="s">
        <v>281</v>
      </c>
      <c r="D1236" s="579"/>
      <c r="E1236" s="583"/>
      <c r="F1236" s="596"/>
      <c r="G1236" s="65">
        <v>0</v>
      </c>
      <c r="H1236" s="591" t="s">
        <v>280</v>
      </c>
      <c r="I1236" s="591" t="s">
        <v>280</v>
      </c>
    </row>
    <row r="1237" spans="1:9">
      <c r="A1237" s="582" t="s">
        <v>396</v>
      </c>
      <c r="B1237" s="65">
        <v>1435</v>
      </c>
      <c r="C1237" s="579" t="s">
        <v>281</v>
      </c>
      <c r="D1237" s="579"/>
      <c r="E1237" s="583"/>
      <c r="F1237" s="596"/>
      <c r="G1237" s="65">
        <v>0</v>
      </c>
      <c r="H1237" s="591" t="s">
        <v>280</v>
      </c>
      <c r="I1237" s="591" t="s">
        <v>280</v>
      </c>
    </row>
    <row r="1238" spans="1:9">
      <c r="A1238" s="582" t="s">
        <v>396</v>
      </c>
      <c r="B1238" s="65">
        <v>1436</v>
      </c>
      <c r="C1238" s="579" t="s">
        <v>281</v>
      </c>
      <c r="D1238" s="579"/>
      <c r="E1238" s="583"/>
      <c r="F1238" s="596"/>
      <c r="G1238" s="65">
        <v>0</v>
      </c>
      <c r="H1238" s="591" t="s">
        <v>280</v>
      </c>
      <c r="I1238" s="591" t="s">
        <v>280</v>
      </c>
    </row>
    <row r="1239" spans="1:9">
      <c r="A1239" s="582" t="s">
        <v>396</v>
      </c>
      <c r="B1239" s="65">
        <v>1437</v>
      </c>
      <c r="C1239" s="579" t="s">
        <v>281</v>
      </c>
      <c r="D1239" s="579"/>
      <c r="E1239" s="583"/>
      <c r="F1239" s="596"/>
      <c r="G1239" s="65">
        <v>0</v>
      </c>
      <c r="H1239" s="591" t="s">
        <v>280</v>
      </c>
      <c r="I1239" s="591" t="s">
        <v>280</v>
      </c>
    </row>
    <row r="1240" spans="1:9">
      <c r="A1240" s="582" t="s">
        <v>396</v>
      </c>
      <c r="B1240" s="65">
        <v>1438</v>
      </c>
      <c r="C1240" s="579" t="s">
        <v>281</v>
      </c>
      <c r="D1240" s="579"/>
      <c r="E1240" s="583"/>
      <c r="F1240" s="596"/>
      <c r="G1240" s="65">
        <v>0</v>
      </c>
      <c r="H1240" s="591" t="s">
        <v>280</v>
      </c>
      <c r="I1240" s="591" t="s">
        <v>280</v>
      </c>
    </row>
    <row r="1241" spans="1:9">
      <c r="A1241" s="582" t="s">
        <v>396</v>
      </c>
      <c r="B1241" s="65">
        <v>1439</v>
      </c>
      <c r="C1241" s="579" t="s">
        <v>281</v>
      </c>
      <c r="D1241" s="579"/>
      <c r="E1241" s="583"/>
      <c r="F1241" s="596"/>
      <c r="G1241" s="65">
        <v>0</v>
      </c>
      <c r="H1241" s="591" t="s">
        <v>280</v>
      </c>
      <c r="I1241" s="591" t="s">
        <v>280</v>
      </c>
    </row>
    <row r="1242" spans="1:9">
      <c r="A1242" s="582" t="s">
        <v>396</v>
      </c>
      <c r="B1242" s="65">
        <v>1440</v>
      </c>
      <c r="C1242" s="579" t="s">
        <v>281</v>
      </c>
      <c r="D1242" s="579"/>
      <c r="E1242" s="583"/>
      <c r="F1242" s="596"/>
      <c r="G1242" s="65">
        <v>0</v>
      </c>
      <c r="H1242" s="591" t="s">
        <v>280</v>
      </c>
      <c r="I1242" s="591" t="s">
        <v>280</v>
      </c>
    </row>
    <row r="1243" spans="1:9">
      <c r="A1243" s="582" t="s">
        <v>396</v>
      </c>
      <c r="B1243" s="65">
        <v>1441</v>
      </c>
      <c r="C1243" s="579" t="s">
        <v>281</v>
      </c>
      <c r="D1243" s="579"/>
      <c r="E1243" s="583"/>
      <c r="F1243" s="596"/>
      <c r="G1243" s="65">
        <v>0</v>
      </c>
      <c r="H1243" s="591" t="s">
        <v>280</v>
      </c>
      <c r="I1243" s="591" t="s">
        <v>280</v>
      </c>
    </row>
    <row r="1244" spans="1:9">
      <c r="A1244" s="582" t="s">
        <v>396</v>
      </c>
      <c r="B1244" s="65">
        <v>1442</v>
      </c>
      <c r="C1244" s="579" t="s">
        <v>281</v>
      </c>
      <c r="D1244" s="579"/>
      <c r="E1244" s="583"/>
      <c r="F1244" s="596"/>
      <c r="G1244" s="65">
        <v>0</v>
      </c>
      <c r="H1244" s="591" t="s">
        <v>280</v>
      </c>
      <c r="I1244" s="591" t="s">
        <v>280</v>
      </c>
    </row>
    <row r="1245" spans="1:9">
      <c r="A1245" s="582" t="s">
        <v>396</v>
      </c>
      <c r="B1245" s="65">
        <v>1443</v>
      </c>
      <c r="C1245" s="579" t="s">
        <v>281</v>
      </c>
      <c r="D1245" s="579"/>
      <c r="E1245" s="583"/>
      <c r="F1245" s="596"/>
      <c r="G1245" s="65">
        <v>0</v>
      </c>
      <c r="H1245" s="591" t="s">
        <v>280</v>
      </c>
      <c r="I1245" s="591" t="s">
        <v>280</v>
      </c>
    </row>
    <row r="1246" spans="1:9">
      <c r="A1246" s="582" t="s">
        <v>396</v>
      </c>
      <c r="B1246" s="65">
        <v>1444</v>
      </c>
      <c r="C1246" s="579" t="s">
        <v>281</v>
      </c>
      <c r="D1246" s="579"/>
      <c r="E1246" s="583"/>
      <c r="F1246" s="596"/>
      <c r="G1246" s="65">
        <v>0</v>
      </c>
      <c r="H1246" s="591" t="s">
        <v>280</v>
      </c>
      <c r="I1246" s="591" t="s">
        <v>280</v>
      </c>
    </row>
    <row r="1247" spans="1:9">
      <c r="A1247" s="582" t="s">
        <v>396</v>
      </c>
      <c r="B1247" s="65">
        <v>1445</v>
      </c>
      <c r="C1247" s="579" t="s">
        <v>281</v>
      </c>
      <c r="D1247" s="579"/>
      <c r="E1247" s="583"/>
      <c r="F1247" s="596"/>
      <c r="G1247" s="65">
        <v>0</v>
      </c>
      <c r="H1247" s="591" t="s">
        <v>280</v>
      </c>
      <c r="I1247" s="591" t="s">
        <v>280</v>
      </c>
    </row>
    <row r="1248" spans="1:9">
      <c r="A1248" s="582" t="s">
        <v>396</v>
      </c>
      <c r="B1248" s="65">
        <v>1446</v>
      </c>
      <c r="C1248" s="579" t="s">
        <v>281</v>
      </c>
      <c r="D1248" s="579"/>
      <c r="E1248" s="583"/>
      <c r="F1248" s="596"/>
      <c r="G1248" s="65">
        <v>0</v>
      </c>
      <c r="H1248" s="591" t="s">
        <v>280</v>
      </c>
      <c r="I1248" s="591" t="s">
        <v>280</v>
      </c>
    </row>
    <row r="1249" spans="1:9">
      <c r="A1249" s="582" t="s">
        <v>396</v>
      </c>
      <c r="B1249" s="65">
        <v>1447</v>
      </c>
      <c r="C1249" s="579" t="s">
        <v>281</v>
      </c>
      <c r="D1249" s="579"/>
      <c r="E1249" s="583"/>
      <c r="F1249" s="596"/>
      <c r="G1249" s="65">
        <v>0</v>
      </c>
      <c r="H1249" s="591" t="s">
        <v>280</v>
      </c>
      <c r="I1249" s="591" t="s">
        <v>280</v>
      </c>
    </row>
    <row r="1250" spans="1:9">
      <c r="A1250" s="582" t="s">
        <v>396</v>
      </c>
      <c r="B1250" s="65">
        <v>1448</v>
      </c>
      <c r="C1250" s="579" t="s">
        <v>281</v>
      </c>
      <c r="D1250" s="579"/>
      <c r="E1250" s="583"/>
      <c r="F1250" s="596"/>
      <c r="G1250" s="65">
        <v>0</v>
      </c>
      <c r="H1250" s="591" t="s">
        <v>280</v>
      </c>
      <c r="I1250" s="591" t="s">
        <v>280</v>
      </c>
    </row>
    <row r="1251" spans="1:9">
      <c r="A1251" s="582" t="s">
        <v>396</v>
      </c>
      <c r="B1251" s="65">
        <v>1449</v>
      </c>
      <c r="C1251" s="579" t="s">
        <v>281</v>
      </c>
      <c r="D1251" s="579"/>
      <c r="E1251" s="583"/>
      <c r="F1251" s="596"/>
      <c r="G1251" s="65">
        <v>0</v>
      </c>
      <c r="H1251" s="591" t="s">
        <v>280</v>
      </c>
      <c r="I1251" s="591" t="s">
        <v>280</v>
      </c>
    </row>
    <row r="1252" spans="1:9">
      <c r="A1252" s="582" t="s">
        <v>396</v>
      </c>
      <c r="B1252" s="65">
        <v>1450</v>
      </c>
      <c r="C1252" s="579" t="s">
        <v>281</v>
      </c>
      <c r="D1252" s="579"/>
      <c r="E1252" s="583"/>
      <c r="F1252" s="596"/>
      <c r="G1252" s="65">
        <v>0</v>
      </c>
      <c r="H1252" s="591" t="s">
        <v>280</v>
      </c>
      <c r="I1252" s="591" t="s">
        <v>280</v>
      </c>
    </row>
    <row r="1253" spans="1:9">
      <c r="A1253" s="582" t="s">
        <v>396</v>
      </c>
      <c r="B1253" s="65">
        <v>1451</v>
      </c>
      <c r="C1253" s="579" t="s">
        <v>281</v>
      </c>
      <c r="D1253" s="579"/>
      <c r="E1253" s="583"/>
      <c r="F1253" s="596"/>
      <c r="G1253" s="65">
        <v>0</v>
      </c>
      <c r="H1253" s="591" t="s">
        <v>280</v>
      </c>
      <c r="I1253" s="591" t="s">
        <v>280</v>
      </c>
    </row>
    <row r="1254" spans="1:9">
      <c r="A1254" s="582" t="s">
        <v>396</v>
      </c>
      <c r="B1254" s="65">
        <v>1452</v>
      </c>
      <c r="C1254" s="579" t="s">
        <v>281</v>
      </c>
      <c r="D1254" s="579"/>
      <c r="E1254" s="583"/>
      <c r="F1254" s="596"/>
      <c r="G1254" s="65">
        <v>0</v>
      </c>
      <c r="H1254" s="591" t="s">
        <v>280</v>
      </c>
      <c r="I1254" s="591" t="s">
        <v>280</v>
      </c>
    </row>
    <row r="1255" spans="1:9">
      <c r="A1255" s="582" t="s">
        <v>396</v>
      </c>
      <c r="B1255" s="65">
        <v>1453</v>
      </c>
      <c r="C1255" s="579" t="s">
        <v>281</v>
      </c>
      <c r="D1255" s="579"/>
      <c r="E1255" s="583"/>
      <c r="F1255" s="596"/>
      <c r="G1255" s="65">
        <v>0</v>
      </c>
      <c r="H1255" s="591" t="s">
        <v>280</v>
      </c>
      <c r="I1255" s="591" t="s">
        <v>280</v>
      </c>
    </row>
    <row r="1256" spans="1:9">
      <c r="A1256" s="582" t="s">
        <v>396</v>
      </c>
      <c r="B1256" s="65">
        <v>1454</v>
      </c>
      <c r="C1256" s="579" t="s">
        <v>281</v>
      </c>
      <c r="D1256" s="579"/>
      <c r="E1256" s="583"/>
      <c r="F1256" s="596"/>
      <c r="G1256" s="65">
        <v>0</v>
      </c>
      <c r="H1256" s="591" t="s">
        <v>280</v>
      </c>
      <c r="I1256" s="591" t="s">
        <v>280</v>
      </c>
    </row>
    <row r="1257" spans="1:9">
      <c r="A1257" s="582" t="s">
        <v>396</v>
      </c>
      <c r="B1257" s="65">
        <v>1455</v>
      </c>
      <c r="C1257" s="579" t="s">
        <v>281</v>
      </c>
      <c r="D1257" s="579"/>
      <c r="E1257" s="583"/>
      <c r="F1257" s="596"/>
      <c r="G1257" s="65">
        <v>0</v>
      </c>
      <c r="H1257" s="591" t="s">
        <v>280</v>
      </c>
      <c r="I1257" s="591" t="s">
        <v>280</v>
      </c>
    </row>
    <row r="1258" spans="1:9">
      <c r="A1258" s="582" t="s">
        <v>396</v>
      </c>
      <c r="B1258" s="65">
        <v>1456</v>
      </c>
      <c r="C1258" s="579" t="s">
        <v>281</v>
      </c>
      <c r="D1258" s="579"/>
      <c r="E1258" s="583"/>
      <c r="F1258" s="596"/>
      <c r="G1258" s="65">
        <v>0</v>
      </c>
      <c r="H1258" s="591" t="s">
        <v>280</v>
      </c>
      <c r="I1258" s="591" t="s">
        <v>280</v>
      </c>
    </row>
    <row r="1259" spans="1:9">
      <c r="A1259" s="582" t="s">
        <v>396</v>
      </c>
      <c r="B1259" s="65">
        <v>1457</v>
      </c>
      <c r="C1259" s="579" t="s">
        <v>281</v>
      </c>
      <c r="D1259" s="579"/>
      <c r="E1259" s="583"/>
      <c r="F1259" s="596"/>
      <c r="G1259" s="65">
        <v>0</v>
      </c>
      <c r="H1259" s="591" t="s">
        <v>280</v>
      </c>
      <c r="I1259" s="591" t="s">
        <v>280</v>
      </c>
    </row>
    <row r="1260" spans="1:9">
      <c r="A1260" s="582" t="s">
        <v>396</v>
      </c>
      <c r="B1260" s="65">
        <v>1458</v>
      </c>
      <c r="C1260" s="579" t="s">
        <v>281</v>
      </c>
      <c r="D1260" s="579"/>
      <c r="E1260" s="583"/>
      <c r="F1260" s="596"/>
      <c r="G1260" s="65">
        <v>0</v>
      </c>
      <c r="H1260" s="591" t="s">
        <v>280</v>
      </c>
      <c r="I1260" s="591" t="s">
        <v>280</v>
      </c>
    </row>
    <row r="1261" spans="1:9">
      <c r="A1261" s="582" t="s">
        <v>396</v>
      </c>
      <c r="B1261" s="65">
        <v>1459</v>
      </c>
      <c r="C1261" s="579" t="s">
        <v>281</v>
      </c>
      <c r="D1261" s="579"/>
      <c r="E1261" s="583"/>
      <c r="F1261" s="596"/>
      <c r="G1261" s="65">
        <v>0</v>
      </c>
      <c r="H1261" s="591" t="s">
        <v>280</v>
      </c>
      <c r="I1261" s="591" t="s">
        <v>280</v>
      </c>
    </row>
    <row r="1262" spans="1:9">
      <c r="A1262" s="582" t="s">
        <v>396</v>
      </c>
      <c r="B1262" s="65">
        <v>1460</v>
      </c>
      <c r="C1262" s="579" t="s">
        <v>281</v>
      </c>
      <c r="D1262" s="579"/>
      <c r="E1262" s="583"/>
      <c r="F1262" s="596"/>
      <c r="G1262" s="65">
        <v>0</v>
      </c>
      <c r="H1262" s="591" t="s">
        <v>280</v>
      </c>
      <c r="I1262" s="591" t="s">
        <v>280</v>
      </c>
    </row>
    <row r="1263" spans="1:9">
      <c r="A1263" s="582" t="s">
        <v>396</v>
      </c>
      <c r="B1263" s="65">
        <v>1461</v>
      </c>
      <c r="C1263" s="579" t="s">
        <v>281</v>
      </c>
      <c r="D1263" s="579"/>
      <c r="E1263" s="583"/>
      <c r="F1263" s="596"/>
      <c r="G1263" s="65">
        <v>0</v>
      </c>
      <c r="H1263" s="591" t="s">
        <v>280</v>
      </c>
      <c r="I1263" s="591" t="s">
        <v>280</v>
      </c>
    </row>
    <row r="1264" spans="1:9">
      <c r="A1264" s="582" t="s">
        <v>396</v>
      </c>
      <c r="B1264" s="65">
        <v>1462</v>
      </c>
      <c r="C1264" s="579" t="s">
        <v>281</v>
      </c>
      <c r="D1264" s="579"/>
      <c r="E1264" s="583"/>
      <c r="F1264" s="596"/>
      <c r="G1264" s="65">
        <v>0</v>
      </c>
      <c r="H1264" s="591" t="s">
        <v>280</v>
      </c>
      <c r="I1264" s="591" t="s">
        <v>280</v>
      </c>
    </row>
    <row r="1265" spans="1:9">
      <c r="A1265" s="582" t="s">
        <v>396</v>
      </c>
      <c r="B1265" s="65">
        <v>1463</v>
      </c>
      <c r="C1265" s="579" t="s">
        <v>281</v>
      </c>
      <c r="D1265" s="579"/>
      <c r="E1265" s="583"/>
      <c r="F1265" s="596"/>
      <c r="G1265" s="65">
        <v>0</v>
      </c>
      <c r="H1265" s="591" t="s">
        <v>280</v>
      </c>
      <c r="I1265" s="591" t="s">
        <v>280</v>
      </c>
    </row>
    <row r="1266" spans="1:9">
      <c r="A1266" s="582" t="s">
        <v>396</v>
      </c>
      <c r="B1266" s="65">
        <v>1464</v>
      </c>
      <c r="C1266" s="579" t="s">
        <v>281</v>
      </c>
      <c r="D1266" s="579"/>
      <c r="E1266" s="583"/>
      <c r="F1266" s="596"/>
      <c r="G1266" s="65">
        <v>0</v>
      </c>
      <c r="H1266" s="591" t="s">
        <v>280</v>
      </c>
      <c r="I1266" s="591" t="s">
        <v>280</v>
      </c>
    </row>
    <row r="1267" spans="1:9">
      <c r="A1267" s="582" t="s">
        <v>396</v>
      </c>
      <c r="B1267" s="65">
        <v>1465</v>
      </c>
      <c r="C1267" s="579" t="s">
        <v>281</v>
      </c>
      <c r="D1267" s="579"/>
      <c r="E1267" s="583"/>
      <c r="F1267" s="596"/>
      <c r="G1267" s="65">
        <v>0</v>
      </c>
      <c r="H1267" s="591" t="s">
        <v>280</v>
      </c>
      <c r="I1267" s="591" t="s">
        <v>280</v>
      </c>
    </row>
    <row r="1268" spans="1:9">
      <c r="A1268" s="582" t="s">
        <v>396</v>
      </c>
      <c r="B1268" s="65">
        <v>1466</v>
      </c>
      <c r="C1268" s="579" t="s">
        <v>281</v>
      </c>
      <c r="D1268" s="579"/>
      <c r="E1268" s="583"/>
      <c r="F1268" s="596"/>
      <c r="G1268" s="65">
        <v>0</v>
      </c>
      <c r="H1268" s="591" t="s">
        <v>280</v>
      </c>
      <c r="I1268" s="591" t="s">
        <v>280</v>
      </c>
    </row>
    <row r="1269" spans="1:9">
      <c r="A1269" s="582" t="s">
        <v>396</v>
      </c>
      <c r="B1269" s="65">
        <v>1467</v>
      </c>
      <c r="C1269" s="579" t="s">
        <v>281</v>
      </c>
      <c r="D1269" s="579"/>
      <c r="E1269" s="583"/>
      <c r="F1269" s="596"/>
      <c r="G1269" s="65">
        <v>0</v>
      </c>
      <c r="H1269" s="591" t="s">
        <v>280</v>
      </c>
      <c r="I1269" s="591" t="s">
        <v>280</v>
      </c>
    </row>
    <row r="1270" spans="1:9">
      <c r="A1270" s="582" t="s">
        <v>396</v>
      </c>
      <c r="B1270" s="65">
        <v>1468</v>
      </c>
      <c r="C1270" s="579" t="s">
        <v>281</v>
      </c>
      <c r="D1270" s="579"/>
      <c r="E1270" s="583"/>
      <c r="F1270" s="596"/>
      <c r="G1270" s="65">
        <v>0</v>
      </c>
      <c r="H1270" s="591" t="s">
        <v>280</v>
      </c>
      <c r="I1270" s="591" t="s">
        <v>280</v>
      </c>
    </row>
    <row r="1271" spans="1:9">
      <c r="A1271" s="582" t="s">
        <v>396</v>
      </c>
      <c r="B1271" s="65">
        <v>1469</v>
      </c>
      <c r="C1271" s="579" t="s">
        <v>281</v>
      </c>
      <c r="D1271" s="579"/>
      <c r="E1271" s="583"/>
      <c r="F1271" s="596"/>
      <c r="G1271" s="65">
        <v>0</v>
      </c>
      <c r="H1271" s="591" t="s">
        <v>280</v>
      </c>
      <c r="I1271" s="591" t="s">
        <v>280</v>
      </c>
    </row>
    <row r="1272" spans="1:9">
      <c r="A1272" s="582" t="s">
        <v>396</v>
      </c>
      <c r="B1272" s="65">
        <v>1470</v>
      </c>
      <c r="C1272" s="579" t="s">
        <v>281</v>
      </c>
      <c r="D1272" s="579"/>
      <c r="E1272" s="583"/>
      <c r="F1272" s="596"/>
      <c r="G1272" s="65">
        <v>0</v>
      </c>
      <c r="H1272" s="591" t="s">
        <v>280</v>
      </c>
      <c r="I1272" s="591" t="s">
        <v>280</v>
      </c>
    </row>
    <row r="1273" spans="1:9">
      <c r="A1273" s="582" t="s">
        <v>396</v>
      </c>
      <c r="B1273" s="65">
        <v>1471</v>
      </c>
      <c r="C1273" s="579" t="s">
        <v>281</v>
      </c>
      <c r="D1273" s="579"/>
      <c r="E1273" s="583"/>
      <c r="F1273" s="596"/>
      <c r="G1273" s="65">
        <v>0</v>
      </c>
      <c r="H1273" s="591" t="s">
        <v>280</v>
      </c>
      <c r="I1273" s="591" t="s">
        <v>280</v>
      </c>
    </row>
    <row r="1274" spans="1:9">
      <c r="A1274" s="582" t="s">
        <v>396</v>
      </c>
      <c r="B1274" s="65">
        <v>1472</v>
      </c>
      <c r="C1274" s="579" t="s">
        <v>281</v>
      </c>
      <c r="D1274" s="579"/>
      <c r="E1274" s="583"/>
      <c r="F1274" s="596"/>
      <c r="G1274" s="65">
        <v>0</v>
      </c>
      <c r="H1274" s="591" t="s">
        <v>280</v>
      </c>
      <c r="I1274" s="591" t="s">
        <v>280</v>
      </c>
    </row>
    <row r="1275" spans="1:9">
      <c r="A1275" s="582" t="s">
        <v>396</v>
      </c>
      <c r="B1275" s="65">
        <v>1473</v>
      </c>
      <c r="C1275" s="579" t="s">
        <v>281</v>
      </c>
      <c r="D1275" s="579"/>
      <c r="E1275" s="583"/>
      <c r="F1275" s="596"/>
      <c r="G1275" s="65">
        <v>0</v>
      </c>
      <c r="H1275" s="591" t="s">
        <v>280</v>
      </c>
      <c r="I1275" s="591" t="s">
        <v>280</v>
      </c>
    </row>
    <row r="1276" spans="1:9">
      <c r="A1276" s="582" t="s">
        <v>396</v>
      </c>
      <c r="B1276" s="65">
        <v>1474</v>
      </c>
      <c r="C1276" s="579" t="s">
        <v>281</v>
      </c>
      <c r="D1276" s="579"/>
      <c r="E1276" s="583"/>
      <c r="F1276" s="596"/>
      <c r="G1276" s="65">
        <v>0</v>
      </c>
      <c r="H1276" s="591" t="s">
        <v>280</v>
      </c>
      <c r="I1276" s="591" t="s">
        <v>280</v>
      </c>
    </row>
    <row r="1277" spans="1:9">
      <c r="A1277" s="582" t="s">
        <v>396</v>
      </c>
      <c r="B1277" s="65">
        <v>1475</v>
      </c>
      <c r="C1277" s="579" t="s">
        <v>281</v>
      </c>
      <c r="D1277" s="579"/>
      <c r="E1277" s="583"/>
      <c r="F1277" s="596"/>
      <c r="G1277" s="65">
        <v>0</v>
      </c>
      <c r="H1277" s="591" t="s">
        <v>280</v>
      </c>
      <c r="I1277" s="591" t="s">
        <v>280</v>
      </c>
    </row>
    <row r="1278" spans="1:9">
      <c r="A1278" s="582" t="s">
        <v>396</v>
      </c>
      <c r="B1278" s="65">
        <v>1476</v>
      </c>
      <c r="C1278" s="579" t="s">
        <v>281</v>
      </c>
      <c r="D1278" s="579"/>
      <c r="E1278" s="583"/>
      <c r="F1278" s="596"/>
      <c r="G1278" s="65">
        <v>0</v>
      </c>
      <c r="H1278" s="591" t="s">
        <v>280</v>
      </c>
      <c r="I1278" s="591" t="s">
        <v>280</v>
      </c>
    </row>
    <row r="1279" spans="1:9">
      <c r="A1279" s="582" t="s">
        <v>396</v>
      </c>
      <c r="B1279" s="65">
        <v>1477</v>
      </c>
      <c r="C1279" s="579" t="s">
        <v>281</v>
      </c>
      <c r="D1279" s="579"/>
      <c r="E1279" s="583"/>
      <c r="F1279" s="596"/>
      <c r="G1279" s="65">
        <v>0</v>
      </c>
      <c r="H1279" s="591" t="s">
        <v>280</v>
      </c>
      <c r="I1279" s="591" t="s">
        <v>280</v>
      </c>
    </row>
    <row r="1280" spans="1:9">
      <c r="A1280" s="582" t="s">
        <v>396</v>
      </c>
      <c r="B1280" s="65">
        <v>1478</v>
      </c>
      <c r="C1280" s="579" t="s">
        <v>281</v>
      </c>
      <c r="D1280" s="579"/>
      <c r="E1280" s="583"/>
      <c r="F1280" s="596"/>
      <c r="G1280" s="65">
        <v>0</v>
      </c>
      <c r="H1280" s="591" t="s">
        <v>280</v>
      </c>
      <c r="I1280" s="591" t="s">
        <v>280</v>
      </c>
    </row>
    <row r="1281" spans="1:9">
      <c r="A1281" s="582" t="s">
        <v>396</v>
      </c>
      <c r="B1281" s="65">
        <v>1479</v>
      </c>
      <c r="C1281" s="579" t="s">
        <v>281</v>
      </c>
      <c r="D1281" s="579"/>
      <c r="E1281" s="583"/>
      <c r="F1281" s="596"/>
      <c r="G1281" s="65">
        <v>0</v>
      </c>
      <c r="H1281" s="591" t="s">
        <v>280</v>
      </c>
      <c r="I1281" s="591" t="s">
        <v>280</v>
      </c>
    </row>
    <row r="1282" spans="1:9">
      <c r="A1282" s="582" t="s">
        <v>396</v>
      </c>
      <c r="B1282" s="65">
        <v>1480</v>
      </c>
      <c r="C1282" s="579" t="s">
        <v>281</v>
      </c>
      <c r="D1282" s="579"/>
      <c r="E1282" s="583"/>
      <c r="F1282" s="596"/>
      <c r="G1282" s="65">
        <v>0</v>
      </c>
      <c r="H1282" s="591" t="s">
        <v>280</v>
      </c>
      <c r="I1282" s="591" t="s">
        <v>280</v>
      </c>
    </row>
    <row r="1283" spans="1:9">
      <c r="A1283" s="582" t="s">
        <v>396</v>
      </c>
      <c r="B1283" s="65">
        <v>1481</v>
      </c>
      <c r="C1283" s="579" t="s">
        <v>281</v>
      </c>
      <c r="D1283" s="579"/>
      <c r="E1283" s="583"/>
      <c r="F1283" s="596"/>
      <c r="G1283" s="65">
        <v>0</v>
      </c>
      <c r="H1283" s="591" t="s">
        <v>280</v>
      </c>
      <c r="I1283" s="591" t="s">
        <v>280</v>
      </c>
    </row>
    <row r="1284" spans="1:9">
      <c r="A1284" s="582" t="s">
        <v>396</v>
      </c>
      <c r="B1284" s="65">
        <v>1482</v>
      </c>
      <c r="C1284" s="579" t="s">
        <v>281</v>
      </c>
      <c r="D1284" s="579"/>
      <c r="E1284" s="583"/>
      <c r="F1284" s="596"/>
      <c r="G1284" s="65">
        <v>0</v>
      </c>
      <c r="H1284" s="591" t="s">
        <v>280</v>
      </c>
      <c r="I1284" s="591" t="s">
        <v>280</v>
      </c>
    </row>
    <row r="1285" spans="1:9">
      <c r="A1285" s="582" t="s">
        <v>396</v>
      </c>
      <c r="B1285" s="65">
        <v>1483</v>
      </c>
      <c r="C1285" s="579" t="s">
        <v>281</v>
      </c>
      <c r="D1285" s="579"/>
      <c r="E1285" s="583"/>
      <c r="F1285" s="596"/>
      <c r="G1285" s="65">
        <v>0</v>
      </c>
      <c r="H1285" s="591" t="s">
        <v>280</v>
      </c>
      <c r="I1285" s="591" t="s">
        <v>280</v>
      </c>
    </row>
    <row r="1286" spans="1:9">
      <c r="A1286" s="582" t="s">
        <v>396</v>
      </c>
      <c r="B1286" s="65">
        <v>1484</v>
      </c>
      <c r="C1286" s="579" t="s">
        <v>281</v>
      </c>
      <c r="D1286" s="579"/>
      <c r="E1286" s="583"/>
      <c r="F1286" s="596"/>
      <c r="G1286" s="65">
        <v>0</v>
      </c>
      <c r="H1286" s="591" t="s">
        <v>280</v>
      </c>
      <c r="I1286" s="591" t="s">
        <v>280</v>
      </c>
    </row>
    <row r="1287" spans="1:9">
      <c r="A1287" s="582" t="s">
        <v>396</v>
      </c>
      <c r="B1287" s="65">
        <v>1485</v>
      </c>
      <c r="C1287" s="579" t="s">
        <v>281</v>
      </c>
      <c r="D1287" s="579"/>
      <c r="E1287" s="583"/>
      <c r="F1287" s="596"/>
      <c r="G1287" s="65">
        <v>0</v>
      </c>
      <c r="H1287" s="591" t="s">
        <v>280</v>
      </c>
      <c r="I1287" s="591" t="s">
        <v>280</v>
      </c>
    </row>
    <row r="1288" spans="1:9">
      <c r="A1288" s="582" t="s">
        <v>396</v>
      </c>
      <c r="B1288" s="65">
        <v>1486</v>
      </c>
      <c r="C1288" s="579" t="s">
        <v>281</v>
      </c>
      <c r="D1288" s="579"/>
      <c r="E1288" s="583"/>
      <c r="F1288" s="596"/>
      <c r="G1288" s="65">
        <v>0</v>
      </c>
      <c r="H1288" s="591" t="s">
        <v>280</v>
      </c>
      <c r="I1288" s="591" t="s">
        <v>280</v>
      </c>
    </row>
    <row r="1289" spans="1:9">
      <c r="A1289" s="582" t="s">
        <v>396</v>
      </c>
      <c r="B1289" s="65">
        <v>1487</v>
      </c>
      <c r="C1289" s="579" t="s">
        <v>281</v>
      </c>
      <c r="D1289" s="579"/>
      <c r="E1289" s="583"/>
      <c r="F1289" s="596"/>
      <c r="G1289" s="65">
        <v>0</v>
      </c>
      <c r="H1289" s="591" t="s">
        <v>280</v>
      </c>
      <c r="I1289" s="591" t="s">
        <v>280</v>
      </c>
    </row>
    <row r="1290" spans="1:9">
      <c r="A1290" s="582" t="s">
        <v>396</v>
      </c>
      <c r="B1290" s="65">
        <v>1488</v>
      </c>
      <c r="C1290" s="579" t="s">
        <v>281</v>
      </c>
      <c r="D1290" s="579"/>
      <c r="E1290" s="583"/>
      <c r="F1290" s="596"/>
      <c r="G1290" s="65">
        <v>0</v>
      </c>
      <c r="H1290" s="591" t="s">
        <v>280</v>
      </c>
      <c r="I1290" s="591" t="s">
        <v>280</v>
      </c>
    </row>
    <row r="1291" spans="1:9">
      <c r="A1291" s="582" t="s">
        <v>396</v>
      </c>
      <c r="B1291" s="65">
        <v>1489</v>
      </c>
      <c r="C1291" s="579" t="s">
        <v>281</v>
      </c>
      <c r="D1291" s="579"/>
      <c r="E1291" s="583"/>
      <c r="F1291" s="596"/>
      <c r="G1291" s="65">
        <v>0</v>
      </c>
      <c r="H1291" s="591" t="s">
        <v>280</v>
      </c>
      <c r="I1291" s="591" t="s">
        <v>280</v>
      </c>
    </row>
    <row r="1292" spans="1:9">
      <c r="A1292" s="582" t="s">
        <v>396</v>
      </c>
      <c r="B1292" s="65">
        <v>1490</v>
      </c>
      <c r="C1292" s="579" t="s">
        <v>281</v>
      </c>
      <c r="D1292" s="579"/>
      <c r="E1292" s="583"/>
      <c r="F1292" s="596"/>
      <c r="G1292" s="65">
        <v>0</v>
      </c>
      <c r="H1292" s="591" t="s">
        <v>280</v>
      </c>
      <c r="I1292" s="591" t="s">
        <v>280</v>
      </c>
    </row>
    <row r="1293" spans="1:9">
      <c r="A1293" s="582" t="s">
        <v>396</v>
      </c>
      <c r="B1293" s="65">
        <v>1491</v>
      </c>
      <c r="C1293" s="579" t="s">
        <v>281</v>
      </c>
      <c r="D1293" s="579"/>
      <c r="E1293" s="583"/>
      <c r="F1293" s="596"/>
      <c r="G1293" s="65">
        <v>0</v>
      </c>
      <c r="H1293" s="591" t="s">
        <v>280</v>
      </c>
      <c r="I1293" s="591" t="s">
        <v>280</v>
      </c>
    </row>
    <row r="1294" spans="1:9">
      <c r="A1294" s="582" t="s">
        <v>396</v>
      </c>
      <c r="B1294" s="65">
        <v>1492</v>
      </c>
      <c r="C1294" s="579" t="s">
        <v>281</v>
      </c>
      <c r="D1294" s="579"/>
      <c r="E1294" s="583"/>
      <c r="F1294" s="596"/>
      <c r="G1294" s="65">
        <v>0</v>
      </c>
      <c r="H1294" s="591" t="s">
        <v>280</v>
      </c>
      <c r="I1294" s="591" t="s">
        <v>280</v>
      </c>
    </row>
    <row r="1295" spans="1:9">
      <c r="A1295" s="582" t="s">
        <v>396</v>
      </c>
      <c r="B1295" s="65">
        <v>1493</v>
      </c>
      <c r="C1295" s="579" t="s">
        <v>281</v>
      </c>
      <c r="D1295" s="579"/>
      <c r="E1295" s="583"/>
      <c r="F1295" s="596"/>
      <c r="G1295" s="65">
        <v>0</v>
      </c>
      <c r="H1295" s="591" t="s">
        <v>280</v>
      </c>
      <c r="I1295" s="591" t="s">
        <v>280</v>
      </c>
    </row>
    <row r="1296" spans="1:9">
      <c r="A1296" s="582" t="s">
        <v>396</v>
      </c>
      <c r="B1296" s="65">
        <v>1494</v>
      </c>
      <c r="C1296" s="579" t="s">
        <v>281</v>
      </c>
      <c r="D1296" s="579"/>
      <c r="E1296" s="583"/>
      <c r="F1296" s="596"/>
      <c r="G1296" s="65">
        <v>0</v>
      </c>
      <c r="H1296" s="591" t="s">
        <v>280</v>
      </c>
      <c r="I1296" s="591" t="s">
        <v>280</v>
      </c>
    </row>
    <row r="1297" spans="1:10">
      <c r="A1297" s="582" t="s">
        <v>396</v>
      </c>
      <c r="B1297" s="65">
        <v>1495</v>
      </c>
      <c r="C1297" s="579" t="s">
        <v>281</v>
      </c>
      <c r="D1297" s="579"/>
      <c r="E1297" s="583"/>
      <c r="F1297" s="596"/>
      <c r="G1297" s="65">
        <v>0</v>
      </c>
      <c r="H1297" s="591" t="s">
        <v>280</v>
      </c>
      <c r="I1297" s="591" t="s">
        <v>280</v>
      </c>
    </row>
    <row r="1298" spans="1:10">
      <c r="A1298" s="582" t="s">
        <v>396</v>
      </c>
      <c r="B1298" s="65">
        <v>1496</v>
      </c>
      <c r="C1298" s="579" t="s">
        <v>281</v>
      </c>
      <c r="D1298" s="579"/>
      <c r="E1298" s="583"/>
      <c r="F1298" s="596"/>
      <c r="G1298" s="65">
        <v>0</v>
      </c>
      <c r="H1298" s="591" t="s">
        <v>280</v>
      </c>
      <c r="I1298" s="591" t="s">
        <v>280</v>
      </c>
    </row>
    <row r="1299" spans="1:10">
      <c r="A1299" s="582" t="s">
        <v>396</v>
      </c>
      <c r="B1299" s="65">
        <v>1497</v>
      </c>
      <c r="C1299" s="579" t="s">
        <v>281</v>
      </c>
      <c r="D1299" s="579"/>
      <c r="E1299" s="583"/>
      <c r="F1299" s="596"/>
      <c r="G1299" s="65">
        <v>0</v>
      </c>
      <c r="H1299" s="591" t="s">
        <v>280</v>
      </c>
      <c r="I1299" s="591" t="s">
        <v>280</v>
      </c>
    </row>
    <row r="1300" spans="1:10">
      <c r="A1300" s="582" t="s">
        <v>396</v>
      </c>
      <c r="B1300" s="65">
        <v>1498</v>
      </c>
      <c r="C1300" s="579" t="s">
        <v>281</v>
      </c>
      <c r="D1300" s="579"/>
      <c r="E1300" s="583"/>
      <c r="F1300" s="596"/>
      <c r="G1300" s="65">
        <v>0</v>
      </c>
      <c r="H1300" s="591" t="s">
        <v>280</v>
      </c>
      <c r="I1300" s="591" t="s">
        <v>280</v>
      </c>
    </row>
    <row r="1301" spans="1:10">
      <c r="A1301" s="582" t="s">
        <v>396</v>
      </c>
      <c r="B1301" s="65">
        <v>1499</v>
      </c>
      <c r="C1301" s="579" t="s">
        <v>281</v>
      </c>
      <c r="D1301" s="579"/>
      <c r="E1301" s="583"/>
      <c r="F1301" s="596"/>
      <c r="G1301" s="65">
        <v>0</v>
      </c>
      <c r="H1301" s="591" t="s">
        <v>280</v>
      </c>
      <c r="I1301" s="591" t="s">
        <v>280</v>
      </c>
    </row>
    <row r="1302" spans="1:10">
      <c r="A1302" s="582" t="s">
        <v>1694</v>
      </c>
      <c r="B1302" s="65">
        <v>1500</v>
      </c>
      <c r="C1302" s="579" t="s">
        <v>279</v>
      </c>
      <c r="D1302" s="579"/>
      <c r="E1302" s="583"/>
      <c r="F1302" s="585">
        <v>45535</v>
      </c>
      <c r="G1302" s="65">
        <v>1</v>
      </c>
      <c r="H1302" s="591" t="s">
        <v>280</v>
      </c>
      <c r="I1302" s="591" t="s">
        <v>280</v>
      </c>
    </row>
    <row r="1303" spans="1:10">
      <c r="A1303" s="582" t="s">
        <v>1694</v>
      </c>
      <c r="B1303" s="65">
        <v>1501</v>
      </c>
      <c r="C1303" s="65" t="s">
        <v>496</v>
      </c>
      <c r="D1303" s="579">
        <v>10636</v>
      </c>
      <c r="E1303" s="583"/>
      <c r="F1303" s="585">
        <v>45535</v>
      </c>
      <c r="G1303" s="65">
        <v>1</v>
      </c>
      <c r="H1303" s="591" t="s">
        <v>1975</v>
      </c>
      <c r="I1303" s="591" t="s">
        <v>1221</v>
      </c>
      <c r="J1303" s="57"/>
    </row>
    <row r="1304" spans="1:10">
      <c r="A1304" s="582" t="s">
        <v>1694</v>
      </c>
      <c r="B1304" s="65">
        <v>1502</v>
      </c>
      <c r="C1304" s="579" t="s">
        <v>281</v>
      </c>
      <c r="D1304" s="579"/>
      <c r="E1304" s="583"/>
      <c r="F1304" s="596"/>
      <c r="G1304" s="65">
        <v>0</v>
      </c>
      <c r="H1304" s="591" t="s">
        <v>280</v>
      </c>
      <c r="I1304" s="591" t="s">
        <v>280</v>
      </c>
      <c r="J1304" s="57"/>
    </row>
    <row r="1305" spans="1:10">
      <c r="A1305" s="582" t="s">
        <v>1694</v>
      </c>
      <c r="B1305" s="65">
        <v>1503</v>
      </c>
      <c r="C1305" s="579" t="s">
        <v>499</v>
      </c>
      <c r="D1305" s="579">
        <v>10392</v>
      </c>
      <c r="E1305" s="583"/>
      <c r="F1305" s="585">
        <v>45535</v>
      </c>
      <c r="G1305" s="65">
        <v>1</v>
      </c>
      <c r="H1305" s="591" t="s">
        <v>280</v>
      </c>
      <c r="I1305" s="591" t="s">
        <v>280</v>
      </c>
      <c r="J1305" s="57"/>
    </row>
    <row r="1306" spans="1:10">
      <c r="A1306" s="582" t="s">
        <v>1694</v>
      </c>
      <c r="B1306" s="65">
        <v>1504</v>
      </c>
      <c r="C1306" s="65" t="s">
        <v>495</v>
      </c>
      <c r="D1306" s="579">
        <v>10360</v>
      </c>
      <c r="E1306" s="583"/>
      <c r="F1306" s="585">
        <v>45535</v>
      </c>
      <c r="G1306" s="65">
        <v>1</v>
      </c>
      <c r="H1306" s="591" t="s">
        <v>1975</v>
      </c>
      <c r="I1306" s="591" t="s">
        <v>1221</v>
      </c>
      <c r="J1306" s="57"/>
    </row>
    <row r="1307" spans="1:10" ht="13.5">
      <c r="A1307" s="582" t="s">
        <v>1694</v>
      </c>
      <c r="B1307" s="65">
        <v>1505</v>
      </c>
      <c r="C1307" s="65" t="s">
        <v>353</v>
      </c>
      <c r="D1307" s="579">
        <v>10201</v>
      </c>
      <c r="E1307" s="62"/>
      <c r="F1307" s="585">
        <v>45535</v>
      </c>
      <c r="G1307" s="65">
        <v>1</v>
      </c>
      <c r="H1307" s="591" t="s">
        <v>1975</v>
      </c>
      <c r="I1307" s="591" t="s">
        <v>1221</v>
      </c>
      <c r="J1307" s="57"/>
    </row>
    <row r="1308" spans="1:10">
      <c r="A1308" s="582" t="s">
        <v>1694</v>
      </c>
      <c r="B1308" s="65">
        <v>1506</v>
      </c>
      <c r="C1308" s="579" t="s">
        <v>547</v>
      </c>
      <c r="D1308" s="579">
        <v>10216</v>
      </c>
      <c r="E1308" s="583"/>
      <c r="F1308" s="585">
        <v>45535</v>
      </c>
      <c r="G1308" s="65">
        <v>1</v>
      </c>
      <c r="H1308" s="591" t="s">
        <v>1975</v>
      </c>
      <c r="I1308" s="591" t="s">
        <v>1221</v>
      </c>
      <c r="J1308" s="57"/>
    </row>
    <row r="1309" spans="1:10">
      <c r="A1309" s="580" t="s">
        <v>1694</v>
      </c>
      <c r="B1309" s="65">
        <v>1507</v>
      </c>
      <c r="C1309" s="65" t="s">
        <v>1695</v>
      </c>
      <c r="D1309" s="65">
        <v>10832</v>
      </c>
      <c r="E1309" s="583"/>
      <c r="F1309" s="585">
        <v>45535</v>
      </c>
      <c r="G1309" s="65">
        <v>1</v>
      </c>
      <c r="H1309" s="591" t="s">
        <v>1975</v>
      </c>
      <c r="I1309" s="591" t="s">
        <v>1221</v>
      </c>
      <c r="J1309" s="57"/>
    </row>
    <row r="1310" spans="1:10">
      <c r="A1310" s="580" t="s">
        <v>1694</v>
      </c>
      <c r="B1310" s="65">
        <v>1508</v>
      </c>
      <c r="C1310" s="65" t="s">
        <v>281</v>
      </c>
      <c r="D1310" s="65"/>
      <c r="E1310" s="583"/>
      <c r="F1310" s="596"/>
      <c r="G1310" s="65">
        <v>0</v>
      </c>
      <c r="H1310" s="591" t="s">
        <v>280</v>
      </c>
      <c r="I1310" s="591" t="s">
        <v>280</v>
      </c>
      <c r="J1310" s="57"/>
    </row>
    <row r="1311" spans="1:10" ht="13.5">
      <c r="A1311" s="580" t="s">
        <v>1694</v>
      </c>
      <c r="B1311" s="65">
        <v>1509</v>
      </c>
      <c r="C1311" s="65" t="s">
        <v>281</v>
      </c>
      <c r="D1311" s="65"/>
      <c r="E1311" s="62"/>
      <c r="F1311" s="596"/>
      <c r="G1311" s="65">
        <v>0</v>
      </c>
      <c r="H1311" s="591" t="s">
        <v>280</v>
      </c>
      <c r="I1311" s="591" t="s">
        <v>280</v>
      </c>
      <c r="J1311" s="57"/>
    </row>
    <row r="1312" spans="1:10">
      <c r="A1312" s="580" t="s">
        <v>1694</v>
      </c>
      <c r="B1312" s="65">
        <v>1510</v>
      </c>
      <c r="C1312" s="65" t="s">
        <v>1696</v>
      </c>
      <c r="D1312" s="65">
        <v>10835</v>
      </c>
      <c r="E1312" s="583"/>
      <c r="F1312" s="585">
        <v>45535</v>
      </c>
      <c r="G1312" s="65">
        <v>1</v>
      </c>
      <c r="H1312" s="591" t="s">
        <v>280</v>
      </c>
      <c r="I1312" s="591" t="s">
        <v>280</v>
      </c>
      <c r="J1312" s="57"/>
    </row>
    <row r="1313" spans="1:10">
      <c r="A1313" s="582" t="s">
        <v>1694</v>
      </c>
      <c r="B1313" s="65">
        <v>1511</v>
      </c>
      <c r="C1313" s="579" t="s">
        <v>281</v>
      </c>
      <c r="D1313" s="63"/>
      <c r="E1313" s="583"/>
      <c r="F1313" s="596"/>
      <c r="G1313" s="65">
        <v>0</v>
      </c>
      <c r="H1313" s="591" t="s">
        <v>280</v>
      </c>
      <c r="I1313" s="591" t="s">
        <v>280</v>
      </c>
      <c r="J1313" s="57"/>
    </row>
    <row r="1314" spans="1:10">
      <c r="A1314" s="582" t="s">
        <v>1694</v>
      </c>
      <c r="B1314" s="65">
        <v>1512</v>
      </c>
      <c r="C1314" s="63" t="s">
        <v>500</v>
      </c>
      <c r="D1314" s="63">
        <v>10272</v>
      </c>
      <c r="E1314" s="583"/>
      <c r="F1314" s="585">
        <v>45535</v>
      </c>
      <c r="G1314" s="65">
        <v>1</v>
      </c>
      <c r="H1314" s="591" t="s">
        <v>1975</v>
      </c>
      <c r="I1314" s="591" t="s">
        <v>1221</v>
      </c>
      <c r="J1314" s="57"/>
    </row>
    <row r="1315" spans="1:10">
      <c r="A1315" s="582" t="s">
        <v>1694</v>
      </c>
      <c r="B1315" s="65">
        <v>1513</v>
      </c>
      <c r="C1315" s="65" t="s">
        <v>1697</v>
      </c>
      <c r="D1315" s="65">
        <v>10994</v>
      </c>
      <c r="E1315" s="583"/>
      <c r="F1315" s="585">
        <v>45535</v>
      </c>
      <c r="G1315" s="65">
        <v>1</v>
      </c>
      <c r="H1315" s="591" t="s">
        <v>1975</v>
      </c>
      <c r="I1315" s="591" t="s">
        <v>1221</v>
      </c>
    </row>
    <row r="1316" spans="1:10">
      <c r="A1316" s="582" t="s">
        <v>1694</v>
      </c>
      <c r="B1316" s="65">
        <v>1514</v>
      </c>
      <c r="C1316" s="65" t="s">
        <v>1698</v>
      </c>
      <c r="D1316" s="65">
        <v>10995</v>
      </c>
      <c r="E1316" s="583"/>
      <c r="F1316" s="585">
        <v>45535</v>
      </c>
      <c r="G1316" s="65">
        <v>1</v>
      </c>
      <c r="H1316" s="591" t="s">
        <v>1975</v>
      </c>
      <c r="I1316" s="591" t="s">
        <v>1221</v>
      </c>
    </row>
    <row r="1317" spans="1:10">
      <c r="A1317" s="582" t="s">
        <v>1694</v>
      </c>
      <c r="B1317" s="65">
        <v>1515</v>
      </c>
      <c r="C1317" s="65" t="s">
        <v>1946</v>
      </c>
      <c r="D1317" s="65">
        <v>11049</v>
      </c>
      <c r="E1317" s="583"/>
      <c r="F1317" s="585">
        <v>45549</v>
      </c>
      <c r="G1317" s="65">
        <v>1</v>
      </c>
      <c r="H1317" s="591" t="s">
        <v>1975</v>
      </c>
      <c r="I1317" s="591" t="s">
        <v>1221</v>
      </c>
    </row>
    <row r="1318" spans="1:10">
      <c r="A1318" s="582" t="s">
        <v>1694</v>
      </c>
      <c r="B1318" s="65">
        <v>1516</v>
      </c>
      <c r="C1318" s="63" t="s">
        <v>1951</v>
      </c>
      <c r="D1318" s="63">
        <v>10273</v>
      </c>
      <c r="E1318" s="583"/>
      <c r="F1318" s="585">
        <v>45549</v>
      </c>
      <c r="G1318" s="65">
        <v>1</v>
      </c>
      <c r="H1318" s="591" t="s">
        <v>280</v>
      </c>
      <c r="I1318" s="591" t="s">
        <v>280</v>
      </c>
    </row>
    <row r="1319" spans="1:10">
      <c r="A1319" s="582" t="s">
        <v>1694</v>
      </c>
      <c r="B1319" s="65">
        <v>1517</v>
      </c>
      <c r="C1319" s="65" t="s">
        <v>1952</v>
      </c>
      <c r="D1319" s="65">
        <v>11050</v>
      </c>
      <c r="E1319" s="583"/>
      <c r="F1319" s="585">
        <v>45549</v>
      </c>
      <c r="G1319" s="65">
        <v>1</v>
      </c>
      <c r="H1319" s="591" t="s">
        <v>1975</v>
      </c>
      <c r="I1319" s="591" t="s">
        <v>1221</v>
      </c>
    </row>
    <row r="1320" spans="1:10">
      <c r="A1320" s="582" t="s">
        <v>1694</v>
      </c>
      <c r="B1320" s="65">
        <v>1518</v>
      </c>
      <c r="C1320" s="65" t="s">
        <v>1953</v>
      </c>
      <c r="D1320" s="65">
        <v>11051</v>
      </c>
      <c r="E1320" s="583"/>
      <c r="F1320" s="585">
        <v>45549</v>
      </c>
      <c r="G1320" s="65">
        <v>1</v>
      </c>
      <c r="H1320" s="591" t="s">
        <v>280</v>
      </c>
      <c r="I1320" s="591" t="s">
        <v>280</v>
      </c>
    </row>
    <row r="1321" spans="1:10">
      <c r="A1321" s="582" t="s">
        <v>1694</v>
      </c>
      <c r="B1321" s="65">
        <v>1519</v>
      </c>
      <c r="C1321" s="65" t="s">
        <v>494</v>
      </c>
      <c r="D1321" s="63">
        <v>10166</v>
      </c>
      <c r="E1321" s="583"/>
      <c r="F1321" s="585">
        <v>45584</v>
      </c>
      <c r="G1321" s="65">
        <v>1</v>
      </c>
      <c r="H1321" s="591" t="s">
        <v>1975</v>
      </c>
      <c r="I1321" s="591" t="s">
        <v>1221</v>
      </c>
    </row>
    <row r="1322" spans="1:10" ht="14.25">
      <c r="A1322" s="582" t="s">
        <v>1694</v>
      </c>
      <c r="B1322" s="65">
        <v>1520</v>
      </c>
      <c r="C1322" s="65" t="s">
        <v>2021</v>
      </c>
      <c r="D1322" s="579">
        <v>10110</v>
      </c>
      <c r="E1322" s="587"/>
      <c r="F1322" s="600">
        <v>45612</v>
      </c>
      <c r="G1322" s="65">
        <v>1</v>
      </c>
      <c r="H1322" s="591" t="s">
        <v>1975</v>
      </c>
      <c r="I1322" s="591" t="s">
        <v>1221</v>
      </c>
    </row>
    <row r="1323" spans="1:10" ht="14.25">
      <c r="A1323" s="580" t="s">
        <v>1694</v>
      </c>
      <c r="B1323" s="65">
        <v>1521</v>
      </c>
      <c r="C1323" s="65" t="s">
        <v>2035</v>
      </c>
      <c r="D1323" s="579">
        <v>11070</v>
      </c>
      <c r="E1323" s="587"/>
      <c r="F1323" s="600">
        <v>45675</v>
      </c>
      <c r="G1323" s="65">
        <v>1</v>
      </c>
      <c r="H1323" s="591" t="s">
        <v>280</v>
      </c>
      <c r="I1323" s="591" t="s">
        <v>280</v>
      </c>
    </row>
    <row r="1324" spans="1:10" ht="14.25">
      <c r="A1324" s="580" t="s">
        <v>1694</v>
      </c>
      <c r="B1324" s="65">
        <v>1522</v>
      </c>
      <c r="C1324" s="65" t="s">
        <v>2036</v>
      </c>
      <c r="D1324" s="579">
        <v>11076</v>
      </c>
      <c r="E1324" s="587"/>
      <c r="F1324" s="600">
        <v>45675</v>
      </c>
      <c r="G1324" s="65">
        <v>1</v>
      </c>
      <c r="H1324" s="591" t="s">
        <v>280</v>
      </c>
      <c r="I1324" s="591" t="s">
        <v>280</v>
      </c>
    </row>
    <row r="1325" spans="1:10" ht="12.75">
      <c r="A1325" s="582" t="s">
        <v>1694</v>
      </c>
      <c r="B1325" s="65">
        <v>1523</v>
      </c>
      <c r="C1325" s="579" t="s">
        <v>281</v>
      </c>
      <c r="D1325" s="65"/>
      <c r="E1325" s="582"/>
      <c r="F1325" s="596"/>
      <c r="G1325" s="65">
        <v>0</v>
      </c>
      <c r="H1325" s="591" t="s">
        <v>280</v>
      </c>
      <c r="I1325" s="591" t="s">
        <v>280</v>
      </c>
    </row>
    <row r="1326" spans="1:10">
      <c r="A1326" s="582" t="s">
        <v>1694</v>
      </c>
      <c r="B1326" s="65">
        <v>1524</v>
      </c>
      <c r="C1326" s="579" t="s">
        <v>281</v>
      </c>
      <c r="D1326" s="579"/>
      <c r="E1326" s="583"/>
      <c r="F1326" s="596"/>
      <c r="G1326" s="65">
        <v>0</v>
      </c>
      <c r="H1326" s="591" t="s">
        <v>280</v>
      </c>
      <c r="I1326" s="591" t="s">
        <v>280</v>
      </c>
    </row>
    <row r="1327" spans="1:10">
      <c r="A1327" s="582" t="s">
        <v>1694</v>
      </c>
      <c r="B1327" s="65">
        <v>1525</v>
      </c>
      <c r="C1327" s="579" t="s">
        <v>281</v>
      </c>
      <c r="D1327" s="579"/>
      <c r="E1327" s="583"/>
      <c r="F1327" s="596"/>
      <c r="G1327" s="65">
        <v>0</v>
      </c>
      <c r="H1327" s="591" t="s">
        <v>280</v>
      </c>
      <c r="I1327" s="591" t="s">
        <v>280</v>
      </c>
    </row>
    <row r="1328" spans="1:10">
      <c r="A1328" s="582" t="s">
        <v>1694</v>
      </c>
      <c r="B1328" s="65">
        <v>1526</v>
      </c>
      <c r="C1328" s="579" t="s">
        <v>281</v>
      </c>
      <c r="D1328" s="579"/>
      <c r="E1328" s="583"/>
      <c r="F1328" s="596"/>
      <c r="G1328" s="65">
        <v>0</v>
      </c>
      <c r="H1328" s="591" t="s">
        <v>280</v>
      </c>
      <c r="I1328" s="591" t="s">
        <v>280</v>
      </c>
    </row>
    <row r="1329" spans="1:9">
      <c r="A1329" s="582" t="s">
        <v>1694</v>
      </c>
      <c r="B1329" s="65">
        <v>1527</v>
      </c>
      <c r="C1329" s="579" t="s">
        <v>281</v>
      </c>
      <c r="D1329" s="579"/>
      <c r="E1329" s="583"/>
      <c r="F1329" s="596"/>
      <c r="G1329" s="65">
        <v>0</v>
      </c>
      <c r="H1329" s="591" t="s">
        <v>280</v>
      </c>
      <c r="I1329" s="591" t="s">
        <v>280</v>
      </c>
    </row>
    <row r="1330" spans="1:9">
      <c r="A1330" s="582" t="s">
        <v>1694</v>
      </c>
      <c r="B1330" s="65">
        <v>1528</v>
      </c>
      <c r="C1330" s="579" t="s">
        <v>281</v>
      </c>
      <c r="D1330" s="579"/>
      <c r="E1330" s="583"/>
      <c r="F1330" s="596"/>
      <c r="G1330" s="65">
        <v>0</v>
      </c>
      <c r="H1330" s="591" t="s">
        <v>280</v>
      </c>
      <c r="I1330" s="591" t="s">
        <v>280</v>
      </c>
    </row>
    <row r="1331" spans="1:9">
      <c r="A1331" s="582" t="s">
        <v>1694</v>
      </c>
      <c r="B1331" s="65">
        <v>1529</v>
      </c>
      <c r="C1331" s="579" t="s">
        <v>281</v>
      </c>
      <c r="D1331" s="579"/>
      <c r="E1331" s="583"/>
      <c r="F1331" s="596"/>
      <c r="G1331" s="65">
        <v>0</v>
      </c>
      <c r="H1331" s="591" t="s">
        <v>280</v>
      </c>
      <c r="I1331" s="591" t="s">
        <v>280</v>
      </c>
    </row>
    <row r="1332" spans="1:9">
      <c r="A1332" s="582" t="s">
        <v>1694</v>
      </c>
      <c r="B1332" s="65">
        <v>1530</v>
      </c>
      <c r="C1332" s="579" t="s">
        <v>281</v>
      </c>
      <c r="D1332" s="579"/>
      <c r="E1332" s="583"/>
      <c r="F1332" s="596"/>
      <c r="G1332" s="65">
        <v>0</v>
      </c>
      <c r="H1332" s="591" t="s">
        <v>280</v>
      </c>
      <c r="I1332" s="591" t="s">
        <v>280</v>
      </c>
    </row>
    <row r="1333" spans="1:9">
      <c r="A1333" s="582" t="s">
        <v>1694</v>
      </c>
      <c r="B1333" s="65">
        <v>1531</v>
      </c>
      <c r="C1333" s="579" t="s">
        <v>281</v>
      </c>
      <c r="D1333" s="579"/>
      <c r="E1333" s="583"/>
      <c r="F1333" s="596"/>
      <c r="G1333" s="65">
        <v>0</v>
      </c>
      <c r="H1333" s="591" t="s">
        <v>280</v>
      </c>
      <c r="I1333" s="591" t="s">
        <v>280</v>
      </c>
    </row>
    <row r="1334" spans="1:9">
      <c r="A1334" s="582" t="s">
        <v>1694</v>
      </c>
      <c r="B1334" s="65">
        <v>1532</v>
      </c>
      <c r="C1334" s="579" t="s">
        <v>281</v>
      </c>
      <c r="D1334" s="579"/>
      <c r="E1334" s="583"/>
      <c r="F1334" s="596"/>
      <c r="G1334" s="65">
        <v>0</v>
      </c>
      <c r="H1334" s="591" t="s">
        <v>280</v>
      </c>
      <c r="I1334" s="591" t="s">
        <v>280</v>
      </c>
    </row>
    <row r="1335" spans="1:9">
      <c r="A1335" s="582" t="s">
        <v>1694</v>
      </c>
      <c r="B1335" s="65">
        <v>1533</v>
      </c>
      <c r="C1335" s="579" t="s">
        <v>281</v>
      </c>
      <c r="D1335" s="579"/>
      <c r="E1335" s="583"/>
      <c r="F1335" s="596"/>
      <c r="G1335" s="65">
        <v>0</v>
      </c>
      <c r="H1335" s="591" t="s">
        <v>280</v>
      </c>
      <c r="I1335" s="591" t="s">
        <v>280</v>
      </c>
    </row>
    <row r="1336" spans="1:9">
      <c r="A1336" s="582" t="s">
        <v>1694</v>
      </c>
      <c r="B1336" s="65">
        <v>1534</v>
      </c>
      <c r="C1336" s="579" t="s">
        <v>281</v>
      </c>
      <c r="D1336" s="579"/>
      <c r="E1336" s="583"/>
      <c r="F1336" s="596"/>
      <c r="G1336" s="65">
        <v>0</v>
      </c>
      <c r="H1336" s="591" t="s">
        <v>280</v>
      </c>
      <c r="I1336" s="591" t="s">
        <v>280</v>
      </c>
    </row>
    <row r="1337" spans="1:9">
      <c r="A1337" s="582" t="s">
        <v>1694</v>
      </c>
      <c r="B1337" s="65">
        <v>1535</v>
      </c>
      <c r="C1337" s="579" t="s">
        <v>281</v>
      </c>
      <c r="D1337" s="579"/>
      <c r="E1337" s="583"/>
      <c r="F1337" s="596"/>
      <c r="G1337" s="65">
        <v>0</v>
      </c>
      <c r="H1337" s="591" t="s">
        <v>280</v>
      </c>
      <c r="I1337" s="591" t="s">
        <v>280</v>
      </c>
    </row>
    <row r="1338" spans="1:9">
      <c r="A1338" s="582" t="s">
        <v>1694</v>
      </c>
      <c r="B1338" s="65">
        <v>1536</v>
      </c>
      <c r="C1338" s="579" t="s">
        <v>281</v>
      </c>
      <c r="D1338" s="579"/>
      <c r="E1338" s="583"/>
      <c r="F1338" s="596"/>
      <c r="G1338" s="65">
        <v>0</v>
      </c>
      <c r="H1338" s="591" t="s">
        <v>280</v>
      </c>
      <c r="I1338" s="591" t="s">
        <v>280</v>
      </c>
    </row>
    <row r="1339" spans="1:9">
      <c r="A1339" s="582" t="s">
        <v>1694</v>
      </c>
      <c r="B1339" s="65">
        <v>1537</v>
      </c>
      <c r="C1339" s="579" t="s">
        <v>281</v>
      </c>
      <c r="D1339" s="579"/>
      <c r="E1339" s="583"/>
      <c r="F1339" s="596"/>
      <c r="G1339" s="65">
        <v>0</v>
      </c>
      <c r="H1339" s="591" t="s">
        <v>280</v>
      </c>
      <c r="I1339" s="591" t="s">
        <v>280</v>
      </c>
    </row>
    <row r="1340" spans="1:9">
      <c r="A1340" s="582" t="s">
        <v>1694</v>
      </c>
      <c r="B1340" s="65">
        <v>1538</v>
      </c>
      <c r="C1340" s="579" t="s">
        <v>281</v>
      </c>
      <c r="D1340" s="579"/>
      <c r="E1340" s="583"/>
      <c r="F1340" s="596"/>
      <c r="G1340" s="65">
        <v>0</v>
      </c>
      <c r="H1340" s="591" t="s">
        <v>280</v>
      </c>
      <c r="I1340" s="591" t="s">
        <v>280</v>
      </c>
    </row>
    <row r="1341" spans="1:9">
      <c r="A1341" s="582" t="s">
        <v>1694</v>
      </c>
      <c r="B1341" s="65">
        <v>1539</v>
      </c>
      <c r="C1341" s="579" t="s">
        <v>281</v>
      </c>
      <c r="D1341" s="579"/>
      <c r="E1341" s="583"/>
      <c r="F1341" s="596"/>
      <c r="G1341" s="65">
        <v>0</v>
      </c>
      <c r="H1341" s="591" t="s">
        <v>280</v>
      </c>
      <c r="I1341" s="591" t="s">
        <v>280</v>
      </c>
    </row>
    <row r="1342" spans="1:9">
      <c r="A1342" s="582" t="s">
        <v>1694</v>
      </c>
      <c r="B1342" s="65">
        <v>1540</v>
      </c>
      <c r="C1342" s="579" t="s">
        <v>281</v>
      </c>
      <c r="D1342" s="579"/>
      <c r="E1342" s="583"/>
      <c r="F1342" s="596"/>
      <c r="G1342" s="65">
        <v>0</v>
      </c>
      <c r="H1342" s="591" t="s">
        <v>280</v>
      </c>
      <c r="I1342" s="591" t="s">
        <v>280</v>
      </c>
    </row>
    <row r="1343" spans="1:9">
      <c r="A1343" s="582" t="s">
        <v>1694</v>
      </c>
      <c r="B1343" s="65">
        <v>1541</v>
      </c>
      <c r="C1343" s="579" t="s">
        <v>281</v>
      </c>
      <c r="D1343" s="579"/>
      <c r="E1343" s="583"/>
      <c r="F1343" s="596"/>
      <c r="G1343" s="65">
        <v>0</v>
      </c>
      <c r="H1343" s="591" t="s">
        <v>280</v>
      </c>
      <c r="I1343" s="591" t="s">
        <v>280</v>
      </c>
    </row>
    <row r="1344" spans="1:9">
      <c r="A1344" s="582" t="s">
        <v>1694</v>
      </c>
      <c r="B1344" s="65">
        <v>1542</v>
      </c>
      <c r="C1344" s="579" t="s">
        <v>281</v>
      </c>
      <c r="D1344" s="579"/>
      <c r="E1344" s="583"/>
      <c r="F1344" s="596"/>
      <c r="G1344" s="65">
        <v>0</v>
      </c>
      <c r="H1344" s="591" t="s">
        <v>280</v>
      </c>
      <c r="I1344" s="591" t="s">
        <v>280</v>
      </c>
    </row>
    <row r="1345" spans="1:9">
      <c r="A1345" s="582" t="s">
        <v>1694</v>
      </c>
      <c r="B1345" s="65">
        <v>1543</v>
      </c>
      <c r="C1345" s="579" t="s">
        <v>281</v>
      </c>
      <c r="D1345" s="579"/>
      <c r="E1345" s="583"/>
      <c r="F1345" s="596"/>
      <c r="G1345" s="65">
        <v>0</v>
      </c>
      <c r="H1345" s="591" t="s">
        <v>280</v>
      </c>
      <c r="I1345" s="591" t="s">
        <v>280</v>
      </c>
    </row>
    <row r="1346" spans="1:9">
      <c r="A1346" s="582" t="s">
        <v>1694</v>
      </c>
      <c r="B1346" s="65">
        <v>1544</v>
      </c>
      <c r="C1346" s="579" t="s">
        <v>281</v>
      </c>
      <c r="D1346" s="579"/>
      <c r="E1346" s="583"/>
      <c r="F1346" s="596"/>
      <c r="G1346" s="65">
        <v>0</v>
      </c>
      <c r="H1346" s="591" t="s">
        <v>280</v>
      </c>
      <c r="I1346" s="591" t="s">
        <v>280</v>
      </c>
    </row>
    <row r="1347" spans="1:9">
      <c r="A1347" s="582" t="s">
        <v>1694</v>
      </c>
      <c r="B1347" s="65">
        <v>1545</v>
      </c>
      <c r="C1347" s="579" t="s">
        <v>281</v>
      </c>
      <c r="D1347" s="579"/>
      <c r="E1347" s="583"/>
      <c r="F1347" s="596"/>
      <c r="G1347" s="65">
        <v>0</v>
      </c>
      <c r="H1347" s="591" t="s">
        <v>280</v>
      </c>
      <c r="I1347" s="591" t="s">
        <v>280</v>
      </c>
    </row>
    <row r="1348" spans="1:9">
      <c r="A1348" s="582" t="s">
        <v>1694</v>
      </c>
      <c r="B1348" s="65">
        <v>1546</v>
      </c>
      <c r="C1348" s="579" t="s">
        <v>281</v>
      </c>
      <c r="D1348" s="579"/>
      <c r="E1348" s="583"/>
      <c r="F1348" s="596"/>
      <c r="G1348" s="65">
        <v>0</v>
      </c>
      <c r="H1348" s="591" t="s">
        <v>280</v>
      </c>
      <c r="I1348" s="591" t="s">
        <v>280</v>
      </c>
    </row>
    <row r="1349" spans="1:9">
      <c r="A1349" s="582" t="s">
        <v>1694</v>
      </c>
      <c r="B1349" s="65">
        <v>1547</v>
      </c>
      <c r="C1349" s="579" t="s">
        <v>281</v>
      </c>
      <c r="D1349" s="579"/>
      <c r="E1349" s="583"/>
      <c r="F1349" s="596"/>
      <c r="G1349" s="65">
        <v>0</v>
      </c>
      <c r="H1349" s="591" t="s">
        <v>280</v>
      </c>
      <c r="I1349" s="591" t="s">
        <v>280</v>
      </c>
    </row>
    <row r="1350" spans="1:9">
      <c r="A1350" s="582" t="s">
        <v>1694</v>
      </c>
      <c r="B1350" s="65">
        <v>1548</v>
      </c>
      <c r="C1350" s="579" t="s">
        <v>281</v>
      </c>
      <c r="D1350" s="579"/>
      <c r="E1350" s="583"/>
      <c r="F1350" s="596"/>
      <c r="G1350" s="65">
        <v>0</v>
      </c>
      <c r="H1350" s="591" t="s">
        <v>280</v>
      </c>
      <c r="I1350" s="591" t="s">
        <v>280</v>
      </c>
    </row>
    <row r="1351" spans="1:9">
      <c r="A1351" s="582" t="s">
        <v>1694</v>
      </c>
      <c r="B1351" s="65">
        <v>1549</v>
      </c>
      <c r="C1351" s="579" t="s">
        <v>281</v>
      </c>
      <c r="D1351" s="579"/>
      <c r="E1351" s="583"/>
      <c r="F1351" s="596"/>
      <c r="G1351" s="65">
        <v>0</v>
      </c>
      <c r="H1351" s="591" t="s">
        <v>280</v>
      </c>
      <c r="I1351" s="591" t="s">
        <v>280</v>
      </c>
    </row>
    <row r="1352" spans="1:9">
      <c r="A1352" s="582" t="s">
        <v>1694</v>
      </c>
      <c r="B1352" s="65">
        <v>1550</v>
      </c>
      <c r="C1352" s="579" t="s">
        <v>281</v>
      </c>
      <c r="D1352" s="579"/>
      <c r="E1352" s="583"/>
      <c r="F1352" s="596"/>
      <c r="G1352" s="65">
        <v>0</v>
      </c>
      <c r="H1352" s="591" t="s">
        <v>280</v>
      </c>
      <c r="I1352" s="591" t="s">
        <v>280</v>
      </c>
    </row>
    <row r="1353" spans="1:9">
      <c r="A1353" s="582" t="s">
        <v>1694</v>
      </c>
      <c r="B1353" s="65">
        <v>1551</v>
      </c>
      <c r="C1353" s="579" t="s">
        <v>281</v>
      </c>
      <c r="D1353" s="579"/>
      <c r="E1353" s="583"/>
      <c r="F1353" s="596"/>
      <c r="G1353" s="65">
        <v>0</v>
      </c>
      <c r="H1353" s="591" t="s">
        <v>280</v>
      </c>
      <c r="I1353" s="591" t="s">
        <v>280</v>
      </c>
    </row>
    <row r="1354" spans="1:9">
      <c r="A1354" s="582" t="s">
        <v>1694</v>
      </c>
      <c r="B1354" s="65">
        <v>1552</v>
      </c>
      <c r="C1354" s="579" t="s">
        <v>281</v>
      </c>
      <c r="D1354" s="579"/>
      <c r="E1354" s="583"/>
      <c r="F1354" s="596"/>
      <c r="G1354" s="65">
        <v>0</v>
      </c>
      <c r="H1354" s="591" t="s">
        <v>280</v>
      </c>
      <c r="I1354" s="591" t="s">
        <v>280</v>
      </c>
    </row>
    <row r="1355" spans="1:9">
      <c r="A1355" s="582" t="s">
        <v>1694</v>
      </c>
      <c r="B1355" s="65">
        <v>1553</v>
      </c>
      <c r="C1355" s="579" t="s">
        <v>281</v>
      </c>
      <c r="D1355" s="579"/>
      <c r="E1355" s="583"/>
      <c r="F1355" s="596"/>
      <c r="G1355" s="65">
        <v>0</v>
      </c>
      <c r="H1355" s="591" t="s">
        <v>280</v>
      </c>
      <c r="I1355" s="591" t="s">
        <v>280</v>
      </c>
    </row>
    <row r="1356" spans="1:9">
      <c r="A1356" s="582" t="s">
        <v>1694</v>
      </c>
      <c r="B1356" s="65">
        <v>1554</v>
      </c>
      <c r="C1356" s="579" t="s">
        <v>281</v>
      </c>
      <c r="D1356" s="579"/>
      <c r="E1356" s="583"/>
      <c r="F1356" s="596"/>
      <c r="G1356" s="65">
        <v>0</v>
      </c>
      <c r="H1356" s="591" t="s">
        <v>280</v>
      </c>
      <c r="I1356" s="591" t="s">
        <v>280</v>
      </c>
    </row>
    <row r="1357" spans="1:9">
      <c r="A1357" s="582" t="s">
        <v>1694</v>
      </c>
      <c r="B1357" s="65">
        <v>1555</v>
      </c>
      <c r="C1357" s="579" t="s">
        <v>281</v>
      </c>
      <c r="D1357" s="579"/>
      <c r="E1357" s="583"/>
      <c r="F1357" s="596"/>
      <c r="G1357" s="65">
        <v>0</v>
      </c>
      <c r="H1357" s="591" t="s">
        <v>280</v>
      </c>
      <c r="I1357" s="591" t="s">
        <v>280</v>
      </c>
    </row>
    <row r="1358" spans="1:9">
      <c r="A1358" s="582" t="s">
        <v>1694</v>
      </c>
      <c r="B1358" s="65">
        <v>1556</v>
      </c>
      <c r="C1358" s="579" t="s">
        <v>281</v>
      </c>
      <c r="D1358" s="579"/>
      <c r="E1358" s="583"/>
      <c r="F1358" s="596"/>
      <c r="G1358" s="65">
        <v>0</v>
      </c>
      <c r="H1358" s="591" t="s">
        <v>280</v>
      </c>
      <c r="I1358" s="591" t="s">
        <v>280</v>
      </c>
    </row>
    <row r="1359" spans="1:9">
      <c r="A1359" s="582" t="s">
        <v>1694</v>
      </c>
      <c r="B1359" s="65">
        <v>1557</v>
      </c>
      <c r="C1359" s="579" t="s">
        <v>281</v>
      </c>
      <c r="D1359" s="579"/>
      <c r="E1359" s="583"/>
      <c r="F1359" s="596"/>
      <c r="G1359" s="65">
        <v>0</v>
      </c>
      <c r="H1359" s="591" t="s">
        <v>280</v>
      </c>
      <c r="I1359" s="591" t="s">
        <v>280</v>
      </c>
    </row>
    <row r="1360" spans="1:9">
      <c r="A1360" s="582" t="s">
        <v>1694</v>
      </c>
      <c r="B1360" s="65">
        <v>1558</v>
      </c>
      <c r="C1360" s="579" t="s">
        <v>281</v>
      </c>
      <c r="D1360" s="579"/>
      <c r="E1360" s="583"/>
      <c r="F1360" s="596"/>
      <c r="G1360" s="65">
        <v>0</v>
      </c>
      <c r="H1360" s="591" t="s">
        <v>280</v>
      </c>
      <c r="I1360" s="591" t="s">
        <v>280</v>
      </c>
    </row>
    <row r="1361" spans="1:9">
      <c r="A1361" s="582" t="s">
        <v>1694</v>
      </c>
      <c r="B1361" s="65">
        <v>1559</v>
      </c>
      <c r="C1361" s="579" t="s">
        <v>281</v>
      </c>
      <c r="D1361" s="579"/>
      <c r="E1361" s="583"/>
      <c r="F1361" s="596"/>
      <c r="G1361" s="65">
        <v>0</v>
      </c>
      <c r="H1361" s="591" t="s">
        <v>280</v>
      </c>
      <c r="I1361" s="591" t="s">
        <v>280</v>
      </c>
    </row>
    <row r="1362" spans="1:9">
      <c r="A1362" s="582" t="s">
        <v>1694</v>
      </c>
      <c r="B1362" s="65">
        <v>1560</v>
      </c>
      <c r="C1362" s="579" t="s">
        <v>281</v>
      </c>
      <c r="D1362" s="579"/>
      <c r="E1362" s="583"/>
      <c r="F1362" s="596"/>
      <c r="G1362" s="65">
        <v>0</v>
      </c>
      <c r="H1362" s="591" t="s">
        <v>280</v>
      </c>
      <c r="I1362" s="591" t="s">
        <v>280</v>
      </c>
    </row>
    <row r="1363" spans="1:9">
      <c r="A1363" s="582" t="s">
        <v>1694</v>
      </c>
      <c r="B1363" s="65">
        <v>1561</v>
      </c>
      <c r="C1363" s="579" t="s">
        <v>281</v>
      </c>
      <c r="D1363" s="579"/>
      <c r="E1363" s="583"/>
      <c r="F1363" s="596"/>
      <c r="G1363" s="65">
        <v>0</v>
      </c>
      <c r="H1363" s="591" t="s">
        <v>280</v>
      </c>
      <c r="I1363" s="591" t="s">
        <v>280</v>
      </c>
    </row>
    <row r="1364" spans="1:9">
      <c r="A1364" s="582" t="s">
        <v>1694</v>
      </c>
      <c r="B1364" s="65">
        <v>1562</v>
      </c>
      <c r="C1364" s="579" t="s">
        <v>281</v>
      </c>
      <c r="D1364" s="579"/>
      <c r="E1364" s="583"/>
      <c r="F1364" s="596"/>
      <c r="G1364" s="65">
        <v>0</v>
      </c>
      <c r="H1364" s="591" t="s">
        <v>280</v>
      </c>
      <c r="I1364" s="591" t="s">
        <v>280</v>
      </c>
    </row>
    <row r="1365" spans="1:9">
      <c r="A1365" s="582" t="s">
        <v>1694</v>
      </c>
      <c r="B1365" s="65">
        <v>1563</v>
      </c>
      <c r="C1365" s="579" t="s">
        <v>281</v>
      </c>
      <c r="D1365" s="579"/>
      <c r="E1365" s="583"/>
      <c r="F1365" s="596"/>
      <c r="G1365" s="65">
        <v>0</v>
      </c>
      <c r="H1365" s="591" t="s">
        <v>280</v>
      </c>
      <c r="I1365" s="591" t="s">
        <v>280</v>
      </c>
    </row>
    <row r="1366" spans="1:9">
      <c r="A1366" s="582" t="s">
        <v>1694</v>
      </c>
      <c r="B1366" s="65">
        <v>1564</v>
      </c>
      <c r="C1366" s="579" t="s">
        <v>281</v>
      </c>
      <c r="D1366" s="579"/>
      <c r="E1366" s="583"/>
      <c r="F1366" s="596"/>
      <c r="G1366" s="65">
        <v>0</v>
      </c>
      <c r="H1366" s="591" t="s">
        <v>280</v>
      </c>
      <c r="I1366" s="591" t="s">
        <v>280</v>
      </c>
    </row>
    <row r="1367" spans="1:9">
      <c r="A1367" s="582" t="s">
        <v>1694</v>
      </c>
      <c r="B1367" s="65">
        <v>1565</v>
      </c>
      <c r="C1367" s="579" t="s">
        <v>281</v>
      </c>
      <c r="D1367" s="579"/>
      <c r="E1367" s="583"/>
      <c r="F1367" s="596"/>
      <c r="G1367" s="65">
        <v>0</v>
      </c>
      <c r="H1367" s="591" t="s">
        <v>280</v>
      </c>
      <c r="I1367" s="591" t="s">
        <v>280</v>
      </c>
    </row>
    <row r="1368" spans="1:9">
      <c r="A1368" s="582" t="s">
        <v>1694</v>
      </c>
      <c r="B1368" s="65">
        <v>1566</v>
      </c>
      <c r="C1368" s="579" t="s">
        <v>281</v>
      </c>
      <c r="D1368" s="579"/>
      <c r="E1368" s="583"/>
      <c r="F1368" s="596"/>
      <c r="G1368" s="65">
        <v>0</v>
      </c>
      <c r="H1368" s="591" t="s">
        <v>280</v>
      </c>
      <c r="I1368" s="591" t="s">
        <v>280</v>
      </c>
    </row>
    <row r="1369" spans="1:9">
      <c r="A1369" s="582" t="s">
        <v>1694</v>
      </c>
      <c r="B1369" s="65">
        <v>1567</v>
      </c>
      <c r="C1369" s="579" t="s">
        <v>281</v>
      </c>
      <c r="D1369" s="579"/>
      <c r="E1369" s="583"/>
      <c r="F1369" s="596"/>
      <c r="G1369" s="65">
        <v>0</v>
      </c>
      <c r="H1369" s="591" t="s">
        <v>280</v>
      </c>
      <c r="I1369" s="591" t="s">
        <v>280</v>
      </c>
    </row>
    <row r="1370" spans="1:9">
      <c r="A1370" s="582" t="s">
        <v>1694</v>
      </c>
      <c r="B1370" s="65">
        <v>1568</v>
      </c>
      <c r="C1370" s="579" t="s">
        <v>281</v>
      </c>
      <c r="D1370" s="579"/>
      <c r="E1370" s="583"/>
      <c r="F1370" s="596"/>
      <c r="G1370" s="65">
        <v>0</v>
      </c>
      <c r="H1370" s="591" t="s">
        <v>280</v>
      </c>
      <c r="I1370" s="591" t="s">
        <v>280</v>
      </c>
    </row>
    <row r="1371" spans="1:9">
      <c r="A1371" s="582" t="s">
        <v>1694</v>
      </c>
      <c r="B1371" s="65">
        <v>1569</v>
      </c>
      <c r="C1371" s="579" t="s">
        <v>281</v>
      </c>
      <c r="D1371" s="579"/>
      <c r="E1371" s="583"/>
      <c r="F1371" s="596"/>
      <c r="G1371" s="65">
        <v>0</v>
      </c>
      <c r="H1371" s="591" t="s">
        <v>280</v>
      </c>
      <c r="I1371" s="591" t="s">
        <v>280</v>
      </c>
    </row>
    <row r="1372" spans="1:9">
      <c r="A1372" s="582" t="s">
        <v>1694</v>
      </c>
      <c r="B1372" s="65">
        <v>1570</v>
      </c>
      <c r="C1372" s="579" t="s">
        <v>281</v>
      </c>
      <c r="D1372" s="579"/>
      <c r="E1372" s="583"/>
      <c r="F1372" s="596"/>
      <c r="G1372" s="65">
        <v>0</v>
      </c>
      <c r="H1372" s="591" t="s">
        <v>280</v>
      </c>
      <c r="I1372" s="591" t="s">
        <v>280</v>
      </c>
    </row>
    <row r="1373" spans="1:9">
      <c r="A1373" s="582" t="s">
        <v>1694</v>
      </c>
      <c r="B1373" s="65">
        <v>1571</v>
      </c>
      <c r="C1373" s="579" t="s">
        <v>281</v>
      </c>
      <c r="D1373" s="579"/>
      <c r="E1373" s="583"/>
      <c r="F1373" s="596"/>
      <c r="G1373" s="65">
        <v>0</v>
      </c>
      <c r="H1373" s="591" t="s">
        <v>280</v>
      </c>
      <c r="I1373" s="591" t="s">
        <v>280</v>
      </c>
    </row>
    <row r="1374" spans="1:9">
      <c r="A1374" s="582" t="s">
        <v>1694</v>
      </c>
      <c r="B1374" s="65">
        <v>1572</v>
      </c>
      <c r="C1374" s="579" t="s">
        <v>281</v>
      </c>
      <c r="D1374" s="579"/>
      <c r="E1374" s="583"/>
      <c r="F1374" s="596"/>
      <c r="G1374" s="65">
        <v>0</v>
      </c>
      <c r="H1374" s="591" t="s">
        <v>280</v>
      </c>
      <c r="I1374" s="591" t="s">
        <v>280</v>
      </c>
    </row>
    <row r="1375" spans="1:9">
      <c r="A1375" s="582" t="s">
        <v>1694</v>
      </c>
      <c r="B1375" s="65">
        <v>1573</v>
      </c>
      <c r="C1375" s="579" t="s">
        <v>281</v>
      </c>
      <c r="D1375" s="579"/>
      <c r="E1375" s="583"/>
      <c r="F1375" s="596"/>
      <c r="G1375" s="65">
        <v>0</v>
      </c>
      <c r="H1375" s="591" t="s">
        <v>280</v>
      </c>
      <c r="I1375" s="591" t="s">
        <v>280</v>
      </c>
    </row>
    <row r="1376" spans="1:9">
      <c r="A1376" s="582" t="s">
        <v>1694</v>
      </c>
      <c r="B1376" s="65">
        <v>1574</v>
      </c>
      <c r="C1376" s="579" t="s">
        <v>281</v>
      </c>
      <c r="D1376" s="579"/>
      <c r="E1376" s="583"/>
      <c r="F1376" s="596"/>
      <c r="G1376" s="65">
        <v>0</v>
      </c>
      <c r="H1376" s="591" t="s">
        <v>280</v>
      </c>
      <c r="I1376" s="591" t="s">
        <v>280</v>
      </c>
    </row>
    <row r="1377" spans="1:9">
      <c r="A1377" s="582" t="s">
        <v>1694</v>
      </c>
      <c r="B1377" s="65">
        <v>1575</v>
      </c>
      <c r="C1377" s="579" t="s">
        <v>281</v>
      </c>
      <c r="D1377" s="579"/>
      <c r="E1377" s="583"/>
      <c r="F1377" s="596"/>
      <c r="G1377" s="65">
        <v>0</v>
      </c>
      <c r="H1377" s="591" t="s">
        <v>280</v>
      </c>
      <c r="I1377" s="591" t="s">
        <v>280</v>
      </c>
    </row>
    <row r="1378" spans="1:9">
      <c r="A1378" s="582" t="s">
        <v>1694</v>
      </c>
      <c r="B1378" s="65">
        <v>1576</v>
      </c>
      <c r="C1378" s="579" t="s">
        <v>281</v>
      </c>
      <c r="D1378" s="579"/>
      <c r="E1378" s="583"/>
      <c r="F1378" s="596"/>
      <c r="G1378" s="65">
        <v>0</v>
      </c>
      <c r="H1378" s="591" t="s">
        <v>280</v>
      </c>
      <c r="I1378" s="591" t="s">
        <v>280</v>
      </c>
    </row>
    <row r="1379" spans="1:9">
      <c r="A1379" s="582" t="s">
        <v>1694</v>
      </c>
      <c r="B1379" s="65">
        <v>1577</v>
      </c>
      <c r="C1379" s="579" t="s">
        <v>281</v>
      </c>
      <c r="D1379" s="579"/>
      <c r="E1379" s="583"/>
      <c r="F1379" s="596"/>
      <c r="G1379" s="65">
        <v>0</v>
      </c>
      <c r="H1379" s="591" t="s">
        <v>280</v>
      </c>
      <c r="I1379" s="591" t="s">
        <v>280</v>
      </c>
    </row>
    <row r="1380" spans="1:9">
      <c r="A1380" s="582" t="s">
        <v>1694</v>
      </c>
      <c r="B1380" s="65">
        <v>1578</v>
      </c>
      <c r="C1380" s="579" t="s">
        <v>281</v>
      </c>
      <c r="D1380" s="579"/>
      <c r="E1380" s="583"/>
      <c r="F1380" s="596"/>
      <c r="G1380" s="65">
        <v>0</v>
      </c>
      <c r="H1380" s="591" t="s">
        <v>280</v>
      </c>
      <c r="I1380" s="591" t="s">
        <v>280</v>
      </c>
    </row>
    <row r="1381" spans="1:9">
      <c r="A1381" s="582" t="s">
        <v>1694</v>
      </c>
      <c r="B1381" s="65">
        <v>1579</v>
      </c>
      <c r="C1381" s="579" t="s">
        <v>281</v>
      </c>
      <c r="D1381" s="579"/>
      <c r="E1381" s="583"/>
      <c r="F1381" s="596"/>
      <c r="G1381" s="65">
        <v>0</v>
      </c>
      <c r="H1381" s="591" t="s">
        <v>280</v>
      </c>
      <c r="I1381" s="591" t="s">
        <v>280</v>
      </c>
    </row>
    <row r="1382" spans="1:9">
      <c r="A1382" s="582" t="s">
        <v>1694</v>
      </c>
      <c r="B1382" s="65">
        <v>1580</v>
      </c>
      <c r="C1382" s="579" t="s">
        <v>281</v>
      </c>
      <c r="D1382" s="579"/>
      <c r="E1382" s="583"/>
      <c r="F1382" s="596"/>
      <c r="G1382" s="65">
        <v>0</v>
      </c>
      <c r="H1382" s="591" t="s">
        <v>280</v>
      </c>
      <c r="I1382" s="591" t="s">
        <v>280</v>
      </c>
    </row>
    <row r="1383" spans="1:9">
      <c r="A1383" s="582" t="s">
        <v>1694</v>
      </c>
      <c r="B1383" s="65">
        <v>1581</v>
      </c>
      <c r="C1383" s="579" t="s">
        <v>281</v>
      </c>
      <c r="D1383" s="579"/>
      <c r="E1383" s="583"/>
      <c r="F1383" s="596"/>
      <c r="G1383" s="65">
        <v>0</v>
      </c>
      <c r="H1383" s="591" t="s">
        <v>280</v>
      </c>
      <c r="I1383" s="591" t="s">
        <v>280</v>
      </c>
    </row>
    <row r="1384" spans="1:9">
      <c r="A1384" s="582" t="s">
        <v>1694</v>
      </c>
      <c r="B1384" s="65">
        <v>1582</v>
      </c>
      <c r="C1384" s="579" t="s">
        <v>281</v>
      </c>
      <c r="D1384" s="579"/>
      <c r="E1384" s="583"/>
      <c r="F1384" s="596"/>
      <c r="G1384" s="65">
        <v>0</v>
      </c>
      <c r="H1384" s="591" t="s">
        <v>280</v>
      </c>
      <c r="I1384" s="591" t="s">
        <v>280</v>
      </c>
    </row>
    <row r="1385" spans="1:9">
      <c r="A1385" s="582" t="s">
        <v>1694</v>
      </c>
      <c r="B1385" s="65">
        <v>1583</v>
      </c>
      <c r="C1385" s="579" t="s">
        <v>281</v>
      </c>
      <c r="D1385" s="579"/>
      <c r="E1385" s="583"/>
      <c r="F1385" s="596"/>
      <c r="G1385" s="65">
        <v>0</v>
      </c>
      <c r="H1385" s="591" t="s">
        <v>280</v>
      </c>
      <c r="I1385" s="591" t="s">
        <v>280</v>
      </c>
    </row>
    <row r="1386" spans="1:9">
      <c r="A1386" s="582" t="s">
        <v>1694</v>
      </c>
      <c r="B1386" s="65">
        <v>1584</v>
      </c>
      <c r="C1386" s="579" t="s">
        <v>281</v>
      </c>
      <c r="D1386" s="579"/>
      <c r="E1386" s="583"/>
      <c r="F1386" s="596"/>
      <c r="G1386" s="65">
        <v>0</v>
      </c>
      <c r="H1386" s="591" t="s">
        <v>280</v>
      </c>
      <c r="I1386" s="591" t="s">
        <v>280</v>
      </c>
    </row>
    <row r="1387" spans="1:9">
      <c r="A1387" s="582" t="s">
        <v>1694</v>
      </c>
      <c r="B1387" s="65">
        <v>1585</v>
      </c>
      <c r="C1387" s="579" t="s">
        <v>281</v>
      </c>
      <c r="D1387" s="579"/>
      <c r="E1387" s="583"/>
      <c r="F1387" s="596"/>
      <c r="G1387" s="65">
        <v>0</v>
      </c>
      <c r="H1387" s="591" t="s">
        <v>280</v>
      </c>
      <c r="I1387" s="591" t="s">
        <v>280</v>
      </c>
    </row>
    <row r="1388" spans="1:9">
      <c r="A1388" s="582" t="s">
        <v>1694</v>
      </c>
      <c r="B1388" s="65">
        <v>1586</v>
      </c>
      <c r="C1388" s="579" t="s">
        <v>281</v>
      </c>
      <c r="D1388" s="579"/>
      <c r="E1388" s="583"/>
      <c r="F1388" s="596"/>
      <c r="G1388" s="65">
        <v>0</v>
      </c>
      <c r="H1388" s="591" t="s">
        <v>280</v>
      </c>
      <c r="I1388" s="591" t="s">
        <v>280</v>
      </c>
    </row>
    <row r="1389" spans="1:9">
      <c r="A1389" s="582" t="s">
        <v>1694</v>
      </c>
      <c r="B1389" s="65">
        <v>1587</v>
      </c>
      <c r="C1389" s="579" t="s">
        <v>281</v>
      </c>
      <c r="D1389" s="579"/>
      <c r="E1389" s="583"/>
      <c r="F1389" s="596"/>
      <c r="G1389" s="65">
        <v>0</v>
      </c>
      <c r="H1389" s="591" t="s">
        <v>280</v>
      </c>
      <c r="I1389" s="591" t="s">
        <v>280</v>
      </c>
    </row>
    <row r="1390" spans="1:9">
      <c r="A1390" s="582" t="s">
        <v>1694</v>
      </c>
      <c r="B1390" s="65">
        <v>1588</v>
      </c>
      <c r="C1390" s="579" t="s">
        <v>281</v>
      </c>
      <c r="D1390" s="579"/>
      <c r="E1390" s="583"/>
      <c r="F1390" s="596"/>
      <c r="G1390" s="65">
        <v>0</v>
      </c>
      <c r="H1390" s="591" t="s">
        <v>280</v>
      </c>
      <c r="I1390" s="591" t="s">
        <v>280</v>
      </c>
    </row>
    <row r="1391" spans="1:9">
      <c r="A1391" s="582" t="s">
        <v>1694</v>
      </c>
      <c r="B1391" s="65">
        <v>1589</v>
      </c>
      <c r="C1391" s="579" t="s">
        <v>281</v>
      </c>
      <c r="D1391" s="579"/>
      <c r="E1391" s="583"/>
      <c r="F1391" s="596"/>
      <c r="G1391" s="65">
        <v>0</v>
      </c>
      <c r="H1391" s="591" t="s">
        <v>280</v>
      </c>
      <c r="I1391" s="591" t="s">
        <v>280</v>
      </c>
    </row>
    <row r="1392" spans="1:9">
      <c r="A1392" s="582" t="s">
        <v>1694</v>
      </c>
      <c r="B1392" s="65">
        <v>1590</v>
      </c>
      <c r="C1392" s="579" t="s">
        <v>281</v>
      </c>
      <c r="D1392" s="579"/>
      <c r="E1392" s="583"/>
      <c r="F1392" s="596"/>
      <c r="G1392" s="65">
        <v>0</v>
      </c>
      <c r="H1392" s="591" t="s">
        <v>280</v>
      </c>
      <c r="I1392" s="591" t="s">
        <v>280</v>
      </c>
    </row>
    <row r="1393" spans="1:10">
      <c r="A1393" s="582" t="s">
        <v>1694</v>
      </c>
      <c r="B1393" s="65">
        <v>1591</v>
      </c>
      <c r="C1393" s="579" t="s">
        <v>281</v>
      </c>
      <c r="D1393" s="579"/>
      <c r="E1393" s="583"/>
      <c r="F1393" s="596"/>
      <c r="G1393" s="65">
        <v>0</v>
      </c>
      <c r="H1393" s="591" t="s">
        <v>280</v>
      </c>
      <c r="I1393" s="591" t="s">
        <v>280</v>
      </c>
    </row>
    <row r="1394" spans="1:10">
      <c r="A1394" s="582" t="s">
        <v>1694</v>
      </c>
      <c r="B1394" s="65">
        <v>1592</v>
      </c>
      <c r="C1394" s="579" t="s">
        <v>281</v>
      </c>
      <c r="D1394" s="579"/>
      <c r="E1394" s="583"/>
      <c r="F1394" s="596"/>
      <c r="G1394" s="65">
        <v>0</v>
      </c>
      <c r="H1394" s="591" t="s">
        <v>280</v>
      </c>
      <c r="I1394" s="591" t="s">
        <v>280</v>
      </c>
    </row>
    <row r="1395" spans="1:10">
      <c r="A1395" s="582" t="s">
        <v>1694</v>
      </c>
      <c r="B1395" s="65">
        <v>1593</v>
      </c>
      <c r="C1395" s="579" t="s">
        <v>281</v>
      </c>
      <c r="D1395" s="579"/>
      <c r="E1395" s="583"/>
      <c r="F1395" s="596"/>
      <c r="G1395" s="65">
        <v>0</v>
      </c>
      <c r="H1395" s="591" t="s">
        <v>280</v>
      </c>
      <c r="I1395" s="591" t="s">
        <v>280</v>
      </c>
    </row>
    <row r="1396" spans="1:10">
      <c r="A1396" s="582" t="s">
        <v>1694</v>
      </c>
      <c r="B1396" s="65">
        <v>1594</v>
      </c>
      <c r="C1396" s="579" t="s">
        <v>281</v>
      </c>
      <c r="D1396" s="579"/>
      <c r="E1396" s="583"/>
      <c r="F1396" s="596"/>
      <c r="G1396" s="65">
        <v>0</v>
      </c>
      <c r="H1396" s="591" t="s">
        <v>280</v>
      </c>
      <c r="I1396" s="591" t="s">
        <v>280</v>
      </c>
    </row>
    <row r="1397" spans="1:10">
      <c r="A1397" s="582" t="s">
        <v>1694</v>
      </c>
      <c r="B1397" s="65">
        <v>1595</v>
      </c>
      <c r="C1397" s="579" t="s">
        <v>281</v>
      </c>
      <c r="D1397" s="579"/>
      <c r="E1397" s="583"/>
      <c r="F1397" s="596"/>
      <c r="G1397" s="65">
        <v>0</v>
      </c>
      <c r="H1397" s="591" t="s">
        <v>280</v>
      </c>
      <c r="I1397" s="591" t="s">
        <v>280</v>
      </c>
    </row>
    <row r="1398" spans="1:10">
      <c r="A1398" s="582" t="s">
        <v>1694</v>
      </c>
      <c r="B1398" s="65">
        <v>1596</v>
      </c>
      <c r="C1398" s="579" t="s">
        <v>281</v>
      </c>
      <c r="D1398" s="579"/>
      <c r="E1398" s="583"/>
      <c r="F1398" s="596"/>
      <c r="G1398" s="65">
        <v>0</v>
      </c>
      <c r="H1398" s="591" t="s">
        <v>280</v>
      </c>
      <c r="I1398" s="591" t="s">
        <v>280</v>
      </c>
    </row>
    <row r="1399" spans="1:10">
      <c r="A1399" s="582" t="s">
        <v>1694</v>
      </c>
      <c r="B1399" s="65">
        <v>1597</v>
      </c>
      <c r="C1399" s="579" t="s">
        <v>281</v>
      </c>
      <c r="D1399" s="579"/>
      <c r="E1399" s="583"/>
      <c r="F1399" s="596"/>
      <c r="G1399" s="65">
        <v>0</v>
      </c>
      <c r="H1399" s="591" t="s">
        <v>280</v>
      </c>
      <c r="I1399" s="591" t="s">
        <v>280</v>
      </c>
    </row>
    <row r="1400" spans="1:10">
      <c r="A1400" s="582" t="s">
        <v>1694</v>
      </c>
      <c r="B1400" s="65">
        <v>1598</v>
      </c>
      <c r="C1400" s="579" t="s">
        <v>281</v>
      </c>
      <c r="D1400" s="579"/>
      <c r="E1400" s="583"/>
      <c r="F1400" s="596"/>
      <c r="G1400" s="65">
        <v>0</v>
      </c>
      <c r="H1400" s="591" t="s">
        <v>280</v>
      </c>
      <c r="I1400" s="591" t="s">
        <v>280</v>
      </c>
    </row>
    <row r="1401" spans="1:10">
      <c r="A1401" s="582" t="s">
        <v>1694</v>
      </c>
      <c r="B1401" s="65">
        <v>1599</v>
      </c>
      <c r="C1401" s="579" t="s">
        <v>281</v>
      </c>
      <c r="D1401" s="579"/>
      <c r="E1401" s="583"/>
      <c r="F1401" s="596"/>
      <c r="G1401" s="65">
        <v>0</v>
      </c>
      <c r="H1401" s="591" t="s">
        <v>280</v>
      </c>
      <c r="I1401" s="591" t="s">
        <v>280</v>
      </c>
    </row>
    <row r="1402" spans="1:10">
      <c r="A1402" s="580" t="s">
        <v>407</v>
      </c>
      <c r="B1402" s="65">
        <v>1600</v>
      </c>
      <c r="C1402" s="579" t="s">
        <v>279</v>
      </c>
      <c r="D1402" s="579"/>
      <c r="E1402" s="583"/>
      <c r="F1402" s="585">
        <v>45535</v>
      </c>
      <c r="G1402" s="65">
        <v>1</v>
      </c>
      <c r="H1402" s="591" t="s">
        <v>280</v>
      </c>
      <c r="I1402" s="591" t="s">
        <v>280</v>
      </c>
    </row>
    <row r="1403" spans="1:10">
      <c r="A1403" s="580" t="s">
        <v>407</v>
      </c>
      <c r="B1403" s="65">
        <v>1601</v>
      </c>
      <c r="C1403" s="579" t="s">
        <v>408</v>
      </c>
      <c r="D1403" s="63">
        <v>10525</v>
      </c>
      <c r="E1403" s="583"/>
      <c r="F1403" s="585">
        <v>45535</v>
      </c>
      <c r="G1403" s="65">
        <v>1</v>
      </c>
      <c r="H1403" s="591" t="s">
        <v>1974</v>
      </c>
      <c r="I1403" s="591" t="s">
        <v>99</v>
      </c>
      <c r="J1403" s="57"/>
    </row>
    <row r="1404" spans="1:10" ht="13.5">
      <c r="A1404" s="580" t="s">
        <v>407</v>
      </c>
      <c r="B1404" s="65">
        <v>1602</v>
      </c>
      <c r="C1404" s="65" t="s">
        <v>281</v>
      </c>
      <c r="D1404" s="63"/>
      <c r="E1404" s="582"/>
      <c r="F1404" s="596"/>
      <c r="G1404" s="65">
        <v>0</v>
      </c>
      <c r="H1404" s="591" t="s">
        <v>280</v>
      </c>
      <c r="I1404" s="591" t="s">
        <v>280</v>
      </c>
      <c r="J1404" s="57"/>
    </row>
    <row r="1405" spans="1:10">
      <c r="A1405" s="580" t="s">
        <v>407</v>
      </c>
      <c r="B1405" s="65">
        <v>1603</v>
      </c>
      <c r="C1405" s="579" t="s">
        <v>281</v>
      </c>
      <c r="D1405" s="579"/>
      <c r="E1405" s="583"/>
      <c r="F1405" s="596"/>
      <c r="G1405" s="65">
        <v>0</v>
      </c>
      <c r="H1405" s="591" t="s">
        <v>280</v>
      </c>
      <c r="I1405" s="591" t="s">
        <v>280</v>
      </c>
      <c r="J1405" s="57"/>
    </row>
    <row r="1406" spans="1:10">
      <c r="A1406" s="580" t="s">
        <v>407</v>
      </c>
      <c r="B1406" s="65">
        <v>1604</v>
      </c>
      <c r="C1406" s="579" t="s">
        <v>281</v>
      </c>
      <c r="D1406" s="579"/>
      <c r="E1406" s="583"/>
      <c r="F1406" s="596"/>
      <c r="G1406" s="65">
        <v>0</v>
      </c>
      <c r="H1406" s="591" t="s">
        <v>280</v>
      </c>
      <c r="I1406" s="591" t="s">
        <v>280</v>
      </c>
      <c r="J1406" s="57"/>
    </row>
    <row r="1407" spans="1:10">
      <c r="A1407" s="580" t="s">
        <v>407</v>
      </c>
      <c r="B1407" s="65">
        <v>1605</v>
      </c>
      <c r="C1407" s="579" t="s">
        <v>410</v>
      </c>
      <c r="D1407" s="65">
        <v>10529</v>
      </c>
      <c r="E1407" s="583"/>
      <c r="F1407" s="585">
        <v>45535</v>
      </c>
      <c r="G1407" s="65">
        <v>1</v>
      </c>
      <c r="H1407" s="591" t="s">
        <v>1974</v>
      </c>
      <c r="I1407" s="591" t="s">
        <v>99</v>
      </c>
      <c r="J1407" s="57"/>
    </row>
    <row r="1408" spans="1:10">
      <c r="A1408" s="580" t="s">
        <v>407</v>
      </c>
      <c r="B1408" s="65">
        <v>1606</v>
      </c>
      <c r="C1408" s="579" t="s">
        <v>411</v>
      </c>
      <c r="D1408" s="63">
        <v>10666</v>
      </c>
      <c r="E1408" s="583"/>
      <c r="F1408" s="585">
        <v>45535</v>
      </c>
      <c r="G1408" s="65">
        <v>1</v>
      </c>
      <c r="H1408" s="591" t="s">
        <v>1974</v>
      </c>
      <c r="I1408" s="591" t="s">
        <v>99</v>
      </c>
      <c r="J1408" s="57"/>
    </row>
    <row r="1409" spans="1:10">
      <c r="A1409" s="580" t="s">
        <v>407</v>
      </c>
      <c r="B1409" s="65">
        <v>1607</v>
      </c>
      <c r="C1409" s="579" t="s">
        <v>412</v>
      </c>
      <c r="D1409" s="63">
        <v>10159</v>
      </c>
      <c r="E1409" s="583"/>
      <c r="F1409" s="585">
        <v>45535</v>
      </c>
      <c r="G1409" s="65">
        <v>1</v>
      </c>
      <c r="H1409" s="591" t="s">
        <v>1974</v>
      </c>
      <c r="I1409" s="591" t="s">
        <v>99</v>
      </c>
      <c r="J1409" s="57"/>
    </row>
    <row r="1410" spans="1:10">
      <c r="A1410" s="580" t="s">
        <v>407</v>
      </c>
      <c r="B1410" s="65">
        <v>1608</v>
      </c>
      <c r="C1410" s="579" t="s">
        <v>281</v>
      </c>
      <c r="D1410" s="63"/>
      <c r="E1410" s="583"/>
      <c r="F1410" s="596"/>
      <c r="G1410" s="65">
        <v>0</v>
      </c>
      <c r="H1410" s="591" t="s">
        <v>280</v>
      </c>
      <c r="I1410" s="591" t="s">
        <v>280</v>
      </c>
      <c r="J1410" s="57"/>
    </row>
    <row r="1411" spans="1:10">
      <c r="A1411" s="580" t="s">
        <v>407</v>
      </c>
      <c r="B1411" s="65">
        <v>1609</v>
      </c>
      <c r="C1411" s="579" t="s">
        <v>281</v>
      </c>
      <c r="D1411" s="65"/>
      <c r="E1411" s="583"/>
      <c r="F1411" s="596"/>
      <c r="G1411" s="65">
        <v>0</v>
      </c>
      <c r="H1411" s="591" t="s">
        <v>280</v>
      </c>
      <c r="I1411" s="591" t="s">
        <v>280</v>
      </c>
      <c r="J1411" s="57"/>
    </row>
    <row r="1412" spans="1:10">
      <c r="A1412" s="580" t="s">
        <v>407</v>
      </c>
      <c r="B1412" s="65">
        <v>1610</v>
      </c>
      <c r="C1412" s="579" t="s">
        <v>281</v>
      </c>
      <c r="D1412" s="65"/>
      <c r="E1412" s="583"/>
      <c r="F1412" s="596"/>
      <c r="G1412" s="65">
        <v>0</v>
      </c>
      <c r="H1412" s="591" t="s">
        <v>280</v>
      </c>
      <c r="I1412" s="591" t="s">
        <v>280</v>
      </c>
      <c r="J1412" s="57"/>
    </row>
    <row r="1413" spans="1:10">
      <c r="A1413" s="580" t="s">
        <v>407</v>
      </c>
      <c r="B1413" s="65">
        <v>1611</v>
      </c>
      <c r="C1413" s="579" t="s">
        <v>281</v>
      </c>
      <c r="D1413" s="579"/>
      <c r="E1413" s="583"/>
      <c r="F1413" s="596"/>
      <c r="G1413" s="65">
        <v>0</v>
      </c>
      <c r="H1413" s="591" t="s">
        <v>280</v>
      </c>
      <c r="I1413" s="591" t="s">
        <v>280</v>
      </c>
    </row>
    <row r="1414" spans="1:10">
      <c r="A1414" s="580" t="s">
        <v>407</v>
      </c>
      <c r="B1414" s="65">
        <v>1612</v>
      </c>
      <c r="C1414" s="579" t="s">
        <v>281</v>
      </c>
      <c r="D1414" s="579"/>
      <c r="E1414" s="583"/>
      <c r="F1414" s="596"/>
      <c r="G1414" s="65">
        <v>0</v>
      </c>
      <c r="H1414" s="591" t="s">
        <v>280</v>
      </c>
      <c r="I1414" s="591" t="s">
        <v>280</v>
      </c>
    </row>
    <row r="1415" spans="1:10">
      <c r="A1415" s="580" t="s">
        <v>407</v>
      </c>
      <c r="B1415" s="65">
        <v>1613</v>
      </c>
      <c r="C1415" s="579" t="s">
        <v>413</v>
      </c>
      <c r="D1415" s="579">
        <v>10524</v>
      </c>
      <c r="E1415" s="583"/>
      <c r="F1415" s="585">
        <v>45535</v>
      </c>
      <c r="G1415" s="65">
        <v>1</v>
      </c>
      <c r="H1415" s="591" t="s">
        <v>1974</v>
      </c>
      <c r="I1415" s="591" t="s">
        <v>99</v>
      </c>
    </row>
    <row r="1416" spans="1:10">
      <c r="A1416" s="580" t="s">
        <v>407</v>
      </c>
      <c r="B1416" s="65">
        <v>1614</v>
      </c>
      <c r="C1416" s="579" t="s">
        <v>281</v>
      </c>
      <c r="D1416" s="579"/>
      <c r="E1416" s="583"/>
      <c r="F1416" s="596"/>
      <c r="G1416" s="65">
        <v>0</v>
      </c>
      <c r="H1416" s="591" t="s">
        <v>280</v>
      </c>
      <c r="I1416" s="591" t="s">
        <v>280</v>
      </c>
    </row>
    <row r="1417" spans="1:10">
      <c r="A1417" s="580" t="s">
        <v>407</v>
      </c>
      <c r="B1417" s="65">
        <v>1615</v>
      </c>
      <c r="C1417" s="579" t="s">
        <v>281</v>
      </c>
      <c r="D1417" s="579"/>
      <c r="E1417" s="583"/>
      <c r="F1417" s="596"/>
      <c r="G1417" s="65">
        <v>0</v>
      </c>
      <c r="H1417" s="591" t="s">
        <v>280</v>
      </c>
      <c r="I1417" s="591" t="s">
        <v>280</v>
      </c>
    </row>
    <row r="1418" spans="1:10">
      <c r="A1418" s="580" t="s">
        <v>407</v>
      </c>
      <c r="B1418" s="65">
        <v>1616</v>
      </c>
      <c r="C1418" s="579" t="s">
        <v>414</v>
      </c>
      <c r="D1418" s="579">
        <v>10264</v>
      </c>
      <c r="E1418" s="583"/>
      <c r="F1418" s="585">
        <v>45535</v>
      </c>
      <c r="G1418" s="65">
        <v>1</v>
      </c>
      <c r="H1418" s="591" t="s">
        <v>1974</v>
      </c>
      <c r="I1418" s="591" t="s">
        <v>99</v>
      </c>
    </row>
    <row r="1419" spans="1:10">
      <c r="A1419" s="580" t="s">
        <v>407</v>
      </c>
      <c r="B1419" s="65">
        <v>1617</v>
      </c>
      <c r="C1419" s="579" t="s">
        <v>415</v>
      </c>
      <c r="D1419" s="579">
        <v>10127</v>
      </c>
      <c r="E1419" s="583"/>
      <c r="F1419" s="585">
        <v>45535</v>
      </c>
      <c r="G1419" s="65">
        <v>1</v>
      </c>
      <c r="H1419" s="591" t="s">
        <v>1974</v>
      </c>
      <c r="I1419" s="591" t="s">
        <v>99</v>
      </c>
    </row>
    <row r="1420" spans="1:10">
      <c r="A1420" s="580" t="s">
        <v>407</v>
      </c>
      <c r="B1420" s="65">
        <v>1618</v>
      </c>
      <c r="C1420" s="579" t="s">
        <v>416</v>
      </c>
      <c r="D1420" s="579">
        <v>10527</v>
      </c>
      <c r="E1420" s="583"/>
      <c r="F1420" s="585">
        <v>45535</v>
      </c>
      <c r="G1420" s="65">
        <v>1</v>
      </c>
      <c r="H1420" s="591" t="s">
        <v>1974</v>
      </c>
      <c r="I1420" s="591" t="s">
        <v>99</v>
      </c>
    </row>
    <row r="1421" spans="1:10">
      <c r="A1421" s="580" t="s">
        <v>407</v>
      </c>
      <c r="B1421" s="65">
        <v>1619</v>
      </c>
      <c r="C1421" s="579" t="s">
        <v>417</v>
      </c>
      <c r="D1421" s="63">
        <v>10398</v>
      </c>
      <c r="E1421" s="583"/>
      <c r="F1421" s="585">
        <v>45535</v>
      </c>
      <c r="G1421" s="65">
        <v>1</v>
      </c>
      <c r="H1421" s="591" t="s">
        <v>1974</v>
      </c>
      <c r="I1421" s="591" t="s">
        <v>99</v>
      </c>
    </row>
    <row r="1422" spans="1:10">
      <c r="A1422" s="580" t="s">
        <v>407</v>
      </c>
      <c r="B1422" s="65">
        <v>1620</v>
      </c>
      <c r="C1422" s="65" t="s">
        <v>281</v>
      </c>
      <c r="D1422" s="65"/>
      <c r="E1422" s="583"/>
      <c r="F1422" s="596"/>
      <c r="G1422" s="65">
        <v>0</v>
      </c>
      <c r="H1422" s="591" t="s">
        <v>280</v>
      </c>
      <c r="I1422" s="591" t="s">
        <v>280</v>
      </c>
    </row>
    <row r="1423" spans="1:10">
      <c r="A1423" s="580" t="s">
        <v>407</v>
      </c>
      <c r="B1423" s="65">
        <v>1621</v>
      </c>
      <c r="C1423" s="65" t="s">
        <v>1699</v>
      </c>
      <c r="D1423" s="65">
        <v>11015</v>
      </c>
      <c r="E1423" s="583"/>
      <c r="F1423" s="585">
        <v>45535</v>
      </c>
      <c r="G1423" s="65">
        <v>1</v>
      </c>
      <c r="H1423" s="591" t="s">
        <v>1974</v>
      </c>
      <c r="I1423" s="591" t="s">
        <v>99</v>
      </c>
    </row>
    <row r="1424" spans="1:10">
      <c r="A1424" s="580" t="s">
        <v>407</v>
      </c>
      <c r="B1424" s="65">
        <v>1622</v>
      </c>
      <c r="C1424" s="65" t="s">
        <v>1700</v>
      </c>
      <c r="D1424" s="65">
        <v>11016</v>
      </c>
      <c r="E1424" s="583"/>
      <c r="F1424" s="585">
        <v>45535</v>
      </c>
      <c r="G1424" s="65">
        <v>1</v>
      </c>
      <c r="H1424" s="591" t="s">
        <v>1974</v>
      </c>
      <c r="I1424" s="591" t="s">
        <v>99</v>
      </c>
    </row>
    <row r="1425" spans="1:9">
      <c r="A1425" s="580" t="s">
        <v>407</v>
      </c>
      <c r="B1425" s="65">
        <v>1623</v>
      </c>
      <c r="C1425" s="63" t="s">
        <v>556</v>
      </c>
      <c r="D1425" s="579">
        <v>10237</v>
      </c>
      <c r="E1425" s="583"/>
      <c r="F1425" s="585">
        <v>45535</v>
      </c>
      <c r="G1425" s="65">
        <v>1</v>
      </c>
      <c r="H1425" s="591" t="s">
        <v>1974</v>
      </c>
      <c r="I1425" s="591" t="s">
        <v>99</v>
      </c>
    </row>
    <row r="1426" spans="1:9">
      <c r="A1426" s="580" t="s">
        <v>407</v>
      </c>
      <c r="B1426" s="65">
        <v>1624</v>
      </c>
      <c r="C1426" s="579" t="s">
        <v>281</v>
      </c>
      <c r="D1426" s="579"/>
      <c r="E1426" s="583"/>
      <c r="F1426" s="596"/>
      <c r="G1426" s="65">
        <v>0</v>
      </c>
      <c r="H1426" s="591" t="s">
        <v>280</v>
      </c>
      <c r="I1426" s="591" t="s">
        <v>280</v>
      </c>
    </row>
    <row r="1427" spans="1:9">
      <c r="A1427" s="580" t="s">
        <v>407</v>
      </c>
      <c r="B1427" s="65">
        <v>1625</v>
      </c>
      <c r="C1427" s="579" t="s">
        <v>281</v>
      </c>
      <c r="D1427" s="579"/>
      <c r="E1427" s="583"/>
      <c r="F1427" s="596"/>
      <c r="G1427" s="65">
        <v>0</v>
      </c>
      <c r="H1427" s="591" t="s">
        <v>280</v>
      </c>
      <c r="I1427" s="591" t="s">
        <v>280</v>
      </c>
    </row>
    <row r="1428" spans="1:9">
      <c r="A1428" s="580" t="s">
        <v>407</v>
      </c>
      <c r="B1428" s="65">
        <v>1626</v>
      </c>
      <c r="C1428" s="579" t="s">
        <v>281</v>
      </c>
      <c r="D1428" s="579"/>
      <c r="E1428" s="583"/>
      <c r="F1428" s="596"/>
      <c r="G1428" s="65">
        <v>0</v>
      </c>
      <c r="H1428" s="591" t="s">
        <v>280</v>
      </c>
      <c r="I1428" s="591" t="s">
        <v>280</v>
      </c>
    </row>
    <row r="1429" spans="1:9">
      <c r="A1429" s="580" t="s">
        <v>407</v>
      </c>
      <c r="B1429" s="65">
        <v>1627</v>
      </c>
      <c r="C1429" s="579" t="s">
        <v>281</v>
      </c>
      <c r="D1429" s="579"/>
      <c r="E1429" s="583"/>
      <c r="F1429" s="596"/>
      <c r="G1429" s="65">
        <v>0</v>
      </c>
      <c r="H1429" s="591" t="s">
        <v>280</v>
      </c>
      <c r="I1429" s="591" t="s">
        <v>280</v>
      </c>
    </row>
    <row r="1430" spans="1:9">
      <c r="A1430" s="580" t="s">
        <v>407</v>
      </c>
      <c r="B1430" s="65">
        <v>1628</v>
      </c>
      <c r="C1430" s="579" t="s">
        <v>281</v>
      </c>
      <c r="D1430" s="579"/>
      <c r="E1430" s="583"/>
      <c r="F1430" s="596"/>
      <c r="G1430" s="65">
        <v>0</v>
      </c>
      <c r="H1430" s="591" t="s">
        <v>280</v>
      </c>
      <c r="I1430" s="591" t="s">
        <v>280</v>
      </c>
    </row>
    <row r="1431" spans="1:9">
      <c r="A1431" s="580" t="s">
        <v>407</v>
      </c>
      <c r="B1431" s="65">
        <v>1629</v>
      </c>
      <c r="C1431" s="579" t="s">
        <v>281</v>
      </c>
      <c r="D1431" s="579"/>
      <c r="E1431" s="583"/>
      <c r="F1431" s="596"/>
      <c r="G1431" s="65">
        <v>0</v>
      </c>
      <c r="H1431" s="591" t="s">
        <v>280</v>
      </c>
      <c r="I1431" s="591" t="s">
        <v>280</v>
      </c>
    </row>
    <row r="1432" spans="1:9">
      <c r="A1432" s="580" t="s">
        <v>407</v>
      </c>
      <c r="B1432" s="65">
        <v>1630</v>
      </c>
      <c r="C1432" s="579" t="s">
        <v>281</v>
      </c>
      <c r="D1432" s="579"/>
      <c r="E1432" s="583"/>
      <c r="F1432" s="596"/>
      <c r="G1432" s="65">
        <v>0</v>
      </c>
      <c r="H1432" s="591" t="s">
        <v>280</v>
      </c>
      <c r="I1432" s="591" t="s">
        <v>280</v>
      </c>
    </row>
    <row r="1433" spans="1:9">
      <c r="A1433" s="580" t="s">
        <v>407</v>
      </c>
      <c r="B1433" s="65">
        <v>1631</v>
      </c>
      <c r="C1433" s="579" t="s">
        <v>281</v>
      </c>
      <c r="D1433" s="579"/>
      <c r="E1433" s="583"/>
      <c r="F1433" s="596"/>
      <c r="G1433" s="65">
        <v>0</v>
      </c>
      <c r="H1433" s="591" t="s">
        <v>280</v>
      </c>
      <c r="I1433" s="591" t="s">
        <v>280</v>
      </c>
    </row>
    <row r="1434" spans="1:9">
      <c r="A1434" s="580" t="s">
        <v>407</v>
      </c>
      <c r="B1434" s="65">
        <v>1632</v>
      </c>
      <c r="C1434" s="579" t="s">
        <v>281</v>
      </c>
      <c r="D1434" s="579"/>
      <c r="E1434" s="583"/>
      <c r="F1434" s="596"/>
      <c r="G1434" s="65">
        <v>0</v>
      </c>
      <c r="H1434" s="591" t="s">
        <v>280</v>
      </c>
      <c r="I1434" s="591" t="s">
        <v>280</v>
      </c>
    </row>
    <row r="1435" spans="1:9">
      <c r="A1435" s="580" t="s">
        <v>407</v>
      </c>
      <c r="B1435" s="65">
        <v>1633</v>
      </c>
      <c r="C1435" s="579" t="s">
        <v>281</v>
      </c>
      <c r="D1435" s="579"/>
      <c r="E1435" s="583"/>
      <c r="F1435" s="596"/>
      <c r="G1435" s="65">
        <v>0</v>
      </c>
      <c r="H1435" s="591" t="s">
        <v>280</v>
      </c>
      <c r="I1435" s="591" t="s">
        <v>280</v>
      </c>
    </row>
    <row r="1436" spans="1:9">
      <c r="A1436" s="580" t="s">
        <v>407</v>
      </c>
      <c r="B1436" s="65">
        <v>1634</v>
      </c>
      <c r="C1436" s="579" t="s">
        <v>281</v>
      </c>
      <c r="D1436" s="579"/>
      <c r="E1436" s="583"/>
      <c r="F1436" s="596"/>
      <c r="G1436" s="65">
        <v>0</v>
      </c>
      <c r="H1436" s="591" t="s">
        <v>280</v>
      </c>
      <c r="I1436" s="591" t="s">
        <v>280</v>
      </c>
    </row>
    <row r="1437" spans="1:9">
      <c r="A1437" s="580" t="s">
        <v>407</v>
      </c>
      <c r="B1437" s="65">
        <v>1635</v>
      </c>
      <c r="C1437" s="579" t="s">
        <v>281</v>
      </c>
      <c r="D1437" s="579"/>
      <c r="E1437" s="583"/>
      <c r="F1437" s="596"/>
      <c r="G1437" s="65">
        <v>0</v>
      </c>
      <c r="H1437" s="591" t="s">
        <v>280</v>
      </c>
      <c r="I1437" s="591" t="s">
        <v>280</v>
      </c>
    </row>
    <row r="1438" spans="1:9">
      <c r="A1438" s="580" t="s">
        <v>407</v>
      </c>
      <c r="B1438" s="65">
        <v>1636</v>
      </c>
      <c r="C1438" s="579" t="s">
        <v>281</v>
      </c>
      <c r="D1438" s="579"/>
      <c r="E1438" s="583"/>
      <c r="F1438" s="596"/>
      <c r="G1438" s="65">
        <v>0</v>
      </c>
      <c r="H1438" s="591" t="s">
        <v>280</v>
      </c>
      <c r="I1438" s="591" t="s">
        <v>280</v>
      </c>
    </row>
    <row r="1439" spans="1:9">
      <c r="A1439" s="580" t="s">
        <v>407</v>
      </c>
      <c r="B1439" s="65">
        <v>1637</v>
      </c>
      <c r="C1439" s="579" t="s">
        <v>281</v>
      </c>
      <c r="D1439" s="579"/>
      <c r="E1439" s="583"/>
      <c r="F1439" s="596"/>
      <c r="G1439" s="65">
        <v>0</v>
      </c>
      <c r="H1439" s="591" t="s">
        <v>280</v>
      </c>
      <c r="I1439" s="591" t="s">
        <v>280</v>
      </c>
    </row>
    <row r="1440" spans="1:9">
      <c r="A1440" s="580" t="s">
        <v>407</v>
      </c>
      <c r="B1440" s="65">
        <v>1638</v>
      </c>
      <c r="C1440" s="579" t="s">
        <v>281</v>
      </c>
      <c r="D1440" s="579"/>
      <c r="E1440" s="583"/>
      <c r="F1440" s="596"/>
      <c r="G1440" s="65">
        <v>0</v>
      </c>
      <c r="H1440" s="591" t="s">
        <v>280</v>
      </c>
      <c r="I1440" s="591" t="s">
        <v>280</v>
      </c>
    </row>
    <row r="1441" spans="1:9">
      <c r="A1441" s="580" t="s">
        <v>407</v>
      </c>
      <c r="B1441" s="65">
        <v>1639</v>
      </c>
      <c r="C1441" s="579" t="s">
        <v>281</v>
      </c>
      <c r="D1441" s="579"/>
      <c r="E1441" s="583"/>
      <c r="F1441" s="596"/>
      <c r="G1441" s="65">
        <v>0</v>
      </c>
      <c r="H1441" s="591" t="s">
        <v>280</v>
      </c>
      <c r="I1441" s="591" t="s">
        <v>280</v>
      </c>
    </row>
    <row r="1442" spans="1:9">
      <c r="A1442" s="580" t="s">
        <v>407</v>
      </c>
      <c r="B1442" s="65">
        <v>1640</v>
      </c>
      <c r="C1442" s="579" t="s">
        <v>281</v>
      </c>
      <c r="D1442" s="579"/>
      <c r="E1442" s="583"/>
      <c r="F1442" s="596"/>
      <c r="G1442" s="65">
        <v>0</v>
      </c>
      <c r="H1442" s="591" t="s">
        <v>280</v>
      </c>
      <c r="I1442" s="591" t="s">
        <v>280</v>
      </c>
    </row>
    <row r="1443" spans="1:9">
      <c r="A1443" s="580" t="s">
        <v>407</v>
      </c>
      <c r="B1443" s="65">
        <v>1641</v>
      </c>
      <c r="C1443" s="579" t="s">
        <v>281</v>
      </c>
      <c r="D1443" s="579"/>
      <c r="E1443" s="583"/>
      <c r="F1443" s="596"/>
      <c r="G1443" s="65">
        <v>0</v>
      </c>
      <c r="H1443" s="591" t="s">
        <v>280</v>
      </c>
      <c r="I1443" s="591" t="s">
        <v>280</v>
      </c>
    </row>
    <row r="1444" spans="1:9">
      <c r="A1444" s="580" t="s">
        <v>407</v>
      </c>
      <c r="B1444" s="65">
        <v>1642</v>
      </c>
      <c r="C1444" s="579" t="s">
        <v>281</v>
      </c>
      <c r="D1444" s="579"/>
      <c r="E1444" s="583"/>
      <c r="F1444" s="596"/>
      <c r="G1444" s="65">
        <v>0</v>
      </c>
      <c r="H1444" s="591" t="s">
        <v>280</v>
      </c>
      <c r="I1444" s="591" t="s">
        <v>280</v>
      </c>
    </row>
    <row r="1445" spans="1:9">
      <c r="A1445" s="580" t="s">
        <v>407</v>
      </c>
      <c r="B1445" s="65">
        <v>1643</v>
      </c>
      <c r="C1445" s="579" t="s">
        <v>281</v>
      </c>
      <c r="D1445" s="579"/>
      <c r="E1445" s="583"/>
      <c r="F1445" s="596"/>
      <c r="G1445" s="65">
        <v>0</v>
      </c>
      <c r="H1445" s="591" t="s">
        <v>280</v>
      </c>
      <c r="I1445" s="591" t="s">
        <v>280</v>
      </c>
    </row>
    <row r="1446" spans="1:9">
      <c r="A1446" s="580" t="s">
        <v>407</v>
      </c>
      <c r="B1446" s="65">
        <v>1644</v>
      </c>
      <c r="C1446" s="579" t="s">
        <v>281</v>
      </c>
      <c r="D1446" s="579"/>
      <c r="E1446" s="583"/>
      <c r="F1446" s="596"/>
      <c r="G1446" s="65">
        <v>0</v>
      </c>
      <c r="H1446" s="591" t="s">
        <v>280</v>
      </c>
      <c r="I1446" s="591" t="s">
        <v>280</v>
      </c>
    </row>
    <row r="1447" spans="1:9">
      <c r="A1447" s="580" t="s">
        <v>407</v>
      </c>
      <c r="B1447" s="65">
        <v>1645</v>
      </c>
      <c r="C1447" s="579" t="s">
        <v>281</v>
      </c>
      <c r="D1447" s="579"/>
      <c r="E1447" s="583"/>
      <c r="F1447" s="596"/>
      <c r="G1447" s="65">
        <v>0</v>
      </c>
      <c r="H1447" s="591" t="s">
        <v>280</v>
      </c>
      <c r="I1447" s="591" t="s">
        <v>280</v>
      </c>
    </row>
    <row r="1448" spans="1:9">
      <c r="A1448" s="580" t="s">
        <v>407</v>
      </c>
      <c r="B1448" s="65">
        <v>1646</v>
      </c>
      <c r="C1448" s="579" t="s">
        <v>281</v>
      </c>
      <c r="D1448" s="579"/>
      <c r="E1448" s="583"/>
      <c r="F1448" s="596"/>
      <c r="G1448" s="65">
        <v>0</v>
      </c>
      <c r="H1448" s="591" t="s">
        <v>280</v>
      </c>
      <c r="I1448" s="591" t="s">
        <v>280</v>
      </c>
    </row>
    <row r="1449" spans="1:9">
      <c r="A1449" s="580" t="s">
        <v>407</v>
      </c>
      <c r="B1449" s="65">
        <v>1647</v>
      </c>
      <c r="C1449" s="579" t="s">
        <v>281</v>
      </c>
      <c r="D1449" s="579"/>
      <c r="E1449" s="583"/>
      <c r="F1449" s="596"/>
      <c r="G1449" s="65">
        <v>0</v>
      </c>
      <c r="H1449" s="591" t="s">
        <v>280</v>
      </c>
      <c r="I1449" s="591" t="s">
        <v>280</v>
      </c>
    </row>
    <row r="1450" spans="1:9">
      <c r="A1450" s="580" t="s">
        <v>407</v>
      </c>
      <c r="B1450" s="65">
        <v>1648</v>
      </c>
      <c r="C1450" s="579" t="s">
        <v>281</v>
      </c>
      <c r="D1450" s="579"/>
      <c r="E1450" s="583"/>
      <c r="F1450" s="596"/>
      <c r="G1450" s="65">
        <v>0</v>
      </c>
      <c r="H1450" s="591" t="s">
        <v>280</v>
      </c>
      <c r="I1450" s="591" t="s">
        <v>280</v>
      </c>
    </row>
    <row r="1451" spans="1:9">
      <c r="A1451" s="580" t="s">
        <v>407</v>
      </c>
      <c r="B1451" s="65">
        <v>1649</v>
      </c>
      <c r="C1451" s="579" t="s">
        <v>281</v>
      </c>
      <c r="D1451" s="579"/>
      <c r="E1451" s="583"/>
      <c r="F1451" s="596"/>
      <c r="G1451" s="65">
        <v>0</v>
      </c>
      <c r="H1451" s="591" t="s">
        <v>280</v>
      </c>
      <c r="I1451" s="591" t="s">
        <v>280</v>
      </c>
    </row>
    <row r="1452" spans="1:9">
      <c r="A1452" s="580" t="s">
        <v>407</v>
      </c>
      <c r="B1452" s="65">
        <v>1650</v>
      </c>
      <c r="C1452" s="579" t="s">
        <v>281</v>
      </c>
      <c r="D1452" s="579"/>
      <c r="E1452" s="583"/>
      <c r="F1452" s="596"/>
      <c r="G1452" s="65">
        <v>0</v>
      </c>
      <c r="H1452" s="591" t="s">
        <v>280</v>
      </c>
      <c r="I1452" s="591" t="s">
        <v>280</v>
      </c>
    </row>
    <row r="1453" spans="1:9">
      <c r="A1453" s="580" t="s">
        <v>407</v>
      </c>
      <c r="B1453" s="65">
        <v>1651</v>
      </c>
      <c r="C1453" s="579" t="s">
        <v>281</v>
      </c>
      <c r="D1453" s="579"/>
      <c r="E1453" s="583"/>
      <c r="F1453" s="596"/>
      <c r="G1453" s="65">
        <v>0</v>
      </c>
      <c r="H1453" s="591" t="s">
        <v>280</v>
      </c>
      <c r="I1453" s="591" t="s">
        <v>280</v>
      </c>
    </row>
    <row r="1454" spans="1:9">
      <c r="A1454" s="580" t="s">
        <v>407</v>
      </c>
      <c r="B1454" s="65">
        <v>1652</v>
      </c>
      <c r="C1454" s="579" t="s">
        <v>281</v>
      </c>
      <c r="D1454" s="579"/>
      <c r="E1454" s="583"/>
      <c r="F1454" s="596"/>
      <c r="G1454" s="65">
        <v>0</v>
      </c>
      <c r="H1454" s="591" t="s">
        <v>280</v>
      </c>
      <c r="I1454" s="591" t="s">
        <v>280</v>
      </c>
    </row>
    <row r="1455" spans="1:9">
      <c r="A1455" s="580" t="s">
        <v>407</v>
      </c>
      <c r="B1455" s="65">
        <v>1653</v>
      </c>
      <c r="C1455" s="579" t="s">
        <v>281</v>
      </c>
      <c r="D1455" s="579"/>
      <c r="E1455" s="583"/>
      <c r="F1455" s="596"/>
      <c r="G1455" s="65">
        <v>0</v>
      </c>
      <c r="H1455" s="591" t="s">
        <v>280</v>
      </c>
      <c r="I1455" s="591" t="s">
        <v>280</v>
      </c>
    </row>
    <row r="1456" spans="1:9">
      <c r="A1456" s="580" t="s">
        <v>407</v>
      </c>
      <c r="B1456" s="65">
        <v>1654</v>
      </c>
      <c r="C1456" s="579" t="s">
        <v>281</v>
      </c>
      <c r="D1456" s="579"/>
      <c r="E1456" s="583"/>
      <c r="F1456" s="596"/>
      <c r="G1456" s="65">
        <v>0</v>
      </c>
      <c r="H1456" s="591" t="s">
        <v>280</v>
      </c>
      <c r="I1456" s="591" t="s">
        <v>280</v>
      </c>
    </row>
    <row r="1457" spans="1:9">
      <c r="A1457" s="580" t="s">
        <v>407</v>
      </c>
      <c r="B1457" s="65">
        <v>1655</v>
      </c>
      <c r="C1457" s="579" t="s">
        <v>281</v>
      </c>
      <c r="D1457" s="579"/>
      <c r="E1457" s="583"/>
      <c r="F1457" s="596"/>
      <c r="G1457" s="65">
        <v>0</v>
      </c>
      <c r="H1457" s="591" t="s">
        <v>280</v>
      </c>
      <c r="I1457" s="591" t="s">
        <v>280</v>
      </c>
    </row>
    <row r="1458" spans="1:9">
      <c r="A1458" s="580" t="s">
        <v>407</v>
      </c>
      <c r="B1458" s="65">
        <v>1656</v>
      </c>
      <c r="C1458" s="579" t="s">
        <v>281</v>
      </c>
      <c r="D1458" s="579"/>
      <c r="E1458" s="583"/>
      <c r="F1458" s="596"/>
      <c r="G1458" s="65">
        <v>0</v>
      </c>
      <c r="H1458" s="591" t="s">
        <v>280</v>
      </c>
      <c r="I1458" s="591" t="s">
        <v>280</v>
      </c>
    </row>
    <row r="1459" spans="1:9">
      <c r="A1459" s="580" t="s">
        <v>407</v>
      </c>
      <c r="B1459" s="65">
        <v>1657</v>
      </c>
      <c r="C1459" s="579" t="s">
        <v>281</v>
      </c>
      <c r="D1459" s="579"/>
      <c r="E1459" s="583"/>
      <c r="F1459" s="596"/>
      <c r="G1459" s="65">
        <v>0</v>
      </c>
      <c r="H1459" s="591" t="s">
        <v>280</v>
      </c>
      <c r="I1459" s="591" t="s">
        <v>280</v>
      </c>
    </row>
    <row r="1460" spans="1:9">
      <c r="A1460" s="580" t="s">
        <v>407</v>
      </c>
      <c r="B1460" s="65">
        <v>1658</v>
      </c>
      <c r="C1460" s="579" t="s">
        <v>281</v>
      </c>
      <c r="D1460" s="579"/>
      <c r="E1460" s="583"/>
      <c r="F1460" s="596"/>
      <c r="G1460" s="65">
        <v>0</v>
      </c>
      <c r="H1460" s="591" t="s">
        <v>280</v>
      </c>
      <c r="I1460" s="591" t="s">
        <v>280</v>
      </c>
    </row>
    <row r="1461" spans="1:9">
      <c r="A1461" s="580" t="s">
        <v>407</v>
      </c>
      <c r="B1461" s="65">
        <v>1659</v>
      </c>
      <c r="C1461" s="579" t="s">
        <v>281</v>
      </c>
      <c r="D1461" s="579"/>
      <c r="E1461" s="583"/>
      <c r="F1461" s="596"/>
      <c r="G1461" s="65">
        <v>0</v>
      </c>
      <c r="H1461" s="591" t="s">
        <v>280</v>
      </c>
      <c r="I1461" s="591" t="s">
        <v>280</v>
      </c>
    </row>
    <row r="1462" spans="1:9">
      <c r="A1462" s="580" t="s">
        <v>407</v>
      </c>
      <c r="B1462" s="65">
        <v>1660</v>
      </c>
      <c r="C1462" s="579" t="s">
        <v>281</v>
      </c>
      <c r="D1462" s="579"/>
      <c r="E1462" s="583"/>
      <c r="F1462" s="596"/>
      <c r="G1462" s="65">
        <v>0</v>
      </c>
      <c r="H1462" s="591" t="s">
        <v>280</v>
      </c>
      <c r="I1462" s="591" t="s">
        <v>280</v>
      </c>
    </row>
    <row r="1463" spans="1:9">
      <c r="A1463" s="580" t="s">
        <v>407</v>
      </c>
      <c r="B1463" s="65">
        <v>1661</v>
      </c>
      <c r="C1463" s="579" t="s">
        <v>281</v>
      </c>
      <c r="D1463" s="579"/>
      <c r="E1463" s="583"/>
      <c r="F1463" s="596"/>
      <c r="G1463" s="65">
        <v>0</v>
      </c>
      <c r="H1463" s="591" t="s">
        <v>280</v>
      </c>
      <c r="I1463" s="591" t="s">
        <v>280</v>
      </c>
    </row>
    <row r="1464" spans="1:9">
      <c r="A1464" s="580" t="s">
        <v>407</v>
      </c>
      <c r="B1464" s="65">
        <v>1662</v>
      </c>
      <c r="C1464" s="579" t="s">
        <v>281</v>
      </c>
      <c r="D1464" s="579"/>
      <c r="E1464" s="583"/>
      <c r="F1464" s="596"/>
      <c r="G1464" s="65">
        <v>0</v>
      </c>
      <c r="H1464" s="591" t="s">
        <v>280</v>
      </c>
      <c r="I1464" s="591" t="s">
        <v>280</v>
      </c>
    </row>
    <row r="1465" spans="1:9">
      <c r="A1465" s="580" t="s">
        <v>407</v>
      </c>
      <c r="B1465" s="65">
        <v>1663</v>
      </c>
      <c r="C1465" s="579" t="s">
        <v>281</v>
      </c>
      <c r="D1465" s="579"/>
      <c r="E1465" s="583"/>
      <c r="F1465" s="596"/>
      <c r="G1465" s="65">
        <v>0</v>
      </c>
      <c r="H1465" s="591" t="s">
        <v>280</v>
      </c>
      <c r="I1465" s="591" t="s">
        <v>280</v>
      </c>
    </row>
    <row r="1466" spans="1:9">
      <c r="A1466" s="580" t="s">
        <v>407</v>
      </c>
      <c r="B1466" s="65">
        <v>1664</v>
      </c>
      <c r="C1466" s="579" t="s">
        <v>281</v>
      </c>
      <c r="D1466" s="579"/>
      <c r="E1466" s="583"/>
      <c r="F1466" s="596"/>
      <c r="G1466" s="65">
        <v>0</v>
      </c>
      <c r="H1466" s="591" t="s">
        <v>280</v>
      </c>
      <c r="I1466" s="591" t="s">
        <v>280</v>
      </c>
    </row>
    <row r="1467" spans="1:9">
      <c r="A1467" s="580" t="s">
        <v>407</v>
      </c>
      <c r="B1467" s="65">
        <v>1665</v>
      </c>
      <c r="C1467" s="579" t="s">
        <v>281</v>
      </c>
      <c r="D1467" s="579"/>
      <c r="E1467" s="583"/>
      <c r="F1467" s="596"/>
      <c r="G1467" s="65">
        <v>0</v>
      </c>
      <c r="H1467" s="591" t="s">
        <v>280</v>
      </c>
      <c r="I1467" s="591" t="s">
        <v>280</v>
      </c>
    </row>
    <row r="1468" spans="1:9">
      <c r="A1468" s="580" t="s">
        <v>407</v>
      </c>
      <c r="B1468" s="65">
        <v>1666</v>
      </c>
      <c r="C1468" s="579" t="s">
        <v>281</v>
      </c>
      <c r="D1468" s="579"/>
      <c r="E1468" s="583"/>
      <c r="F1468" s="596"/>
      <c r="G1468" s="65">
        <v>0</v>
      </c>
      <c r="H1468" s="591" t="s">
        <v>280</v>
      </c>
      <c r="I1468" s="591" t="s">
        <v>280</v>
      </c>
    </row>
    <row r="1469" spans="1:9">
      <c r="A1469" s="580" t="s">
        <v>407</v>
      </c>
      <c r="B1469" s="65">
        <v>1667</v>
      </c>
      <c r="C1469" s="579" t="s">
        <v>281</v>
      </c>
      <c r="D1469" s="579"/>
      <c r="E1469" s="583"/>
      <c r="F1469" s="596"/>
      <c r="G1469" s="65">
        <v>0</v>
      </c>
      <c r="H1469" s="591" t="s">
        <v>280</v>
      </c>
      <c r="I1469" s="591" t="s">
        <v>280</v>
      </c>
    </row>
    <row r="1470" spans="1:9">
      <c r="A1470" s="580" t="s">
        <v>407</v>
      </c>
      <c r="B1470" s="65">
        <v>1668</v>
      </c>
      <c r="C1470" s="579" t="s">
        <v>281</v>
      </c>
      <c r="D1470" s="579"/>
      <c r="E1470" s="583"/>
      <c r="F1470" s="596"/>
      <c r="G1470" s="65">
        <v>0</v>
      </c>
      <c r="H1470" s="591" t="s">
        <v>280</v>
      </c>
      <c r="I1470" s="591" t="s">
        <v>280</v>
      </c>
    </row>
    <row r="1471" spans="1:9">
      <c r="A1471" s="580" t="s">
        <v>407</v>
      </c>
      <c r="B1471" s="65">
        <v>1669</v>
      </c>
      <c r="C1471" s="579" t="s">
        <v>281</v>
      </c>
      <c r="D1471" s="579"/>
      <c r="E1471" s="583"/>
      <c r="F1471" s="596"/>
      <c r="G1471" s="65">
        <v>0</v>
      </c>
      <c r="H1471" s="591" t="s">
        <v>280</v>
      </c>
      <c r="I1471" s="591" t="s">
        <v>280</v>
      </c>
    </row>
    <row r="1472" spans="1:9">
      <c r="A1472" s="580" t="s">
        <v>407</v>
      </c>
      <c r="B1472" s="65">
        <v>1670</v>
      </c>
      <c r="C1472" s="579" t="s">
        <v>281</v>
      </c>
      <c r="D1472" s="579"/>
      <c r="E1472" s="583"/>
      <c r="F1472" s="596"/>
      <c r="G1472" s="65">
        <v>0</v>
      </c>
      <c r="H1472" s="591" t="s">
        <v>280</v>
      </c>
      <c r="I1472" s="591" t="s">
        <v>280</v>
      </c>
    </row>
    <row r="1473" spans="1:9">
      <c r="A1473" s="580" t="s">
        <v>407</v>
      </c>
      <c r="B1473" s="65">
        <v>1671</v>
      </c>
      <c r="C1473" s="579" t="s">
        <v>281</v>
      </c>
      <c r="D1473" s="579"/>
      <c r="E1473" s="583"/>
      <c r="F1473" s="596"/>
      <c r="G1473" s="65">
        <v>0</v>
      </c>
      <c r="H1473" s="591" t="s">
        <v>280</v>
      </c>
      <c r="I1473" s="591" t="s">
        <v>280</v>
      </c>
    </row>
    <row r="1474" spans="1:9">
      <c r="A1474" s="580" t="s">
        <v>407</v>
      </c>
      <c r="B1474" s="65">
        <v>1672</v>
      </c>
      <c r="C1474" s="579" t="s">
        <v>281</v>
      </c>
      <c r="D1474" s="579"/>
      <c r="E1474" s="583"/>
      <c r="F1474" s="596"/>
      <c r="G1474" s="65">
        <v>0</v>
      </c>
      <c r="H1474" s="591" t="s">
        <v>280</v>
      </c>
      <c r="I1474" s="591" t="s">
        <v>280</v>
      </c>
    </row>
    <row r="1475" spans="1:9">
      <c r="A1475" s="580" t="s">
        <v>407</v>
      </c>
      <c r="B1475" s="65">
        <v>1673</v>
      </c>
      <c r="C1475" s="579" t="s">
        <v>281</v>
      </c>
      <c r="D1475" s="579"/>
      <c r="E1475" s="583"/>
      <c r="F1475" s="596"/>
      <c r="G1475" s="65">
        <v>0</v>
      </c>
      <c r="H1475" s="591" t="s">
        <v>280</v>
      </c>
      <c r="I1475" s="591" t="s">
        <v>280</v>
      </c>
    </row>
    <row r="1476" spans="1:9">
      <c r="A1476" s="580" t="s">
        <v>407</v>
      </c>
      <c r="B1476" s="65">
        <v>1674</v>
      </c>
      <c r="C1476" s="579" t="s">
        <v>281</v>
      </c>
      <c r="D1476" s="579"/>
      <c r="E1476" s="583"/>
      <c r="F1476" s="596"/>
      <c r="G1476" s="65">
        <v>0</v>
      </c>
      <c r="H1476" s="591" t="s">
        <v>280</v>
      </c>
      <c r="I1476" s="591" t="s">
        <v>280</v>
      </c>
    </row>
    <row r="1477" spans="1:9">
      <c r="A1477" s="580" t="s">
        <v>407</v>
      </c>
      <c r="B1477" s="65">
        <v>1675</v>
      </c>
      <c r="C1477" s="579" t="s">
        <v>281</v>
      </c>
      <c r="D1477" s="579"/>
      <c r="E1477" s="583"/>
      <c r="F1477" s="596"/>
      <c r="G1477" s="65">
        <v>0</v>
      </c>
      <c r="H1477" s="591" t="s">
        <v>280</v>
      </c>
      <c r="I1477" s="591" t="s">
        <v>280</v>
      </c>
    </row>
    <row r="1478" spans="1:9">
      <c r="A1478" s="580" t="s">
        <v>407</v>
      </c>
      <c r="B1478" s="65">
        <v>1676</v>
      </c>
      <c r="C1478" s="579" t="s">
        <v>281</v>
      </c>
      <c r="D1478" s="579"/>
      <c r="E1478" s="583"/>
      <c r="F1478" s="596"/>
      <c r="G1478" s="65">
        <v>0</v>
      </c>
      <c r="H1478" s="591" t="s">
        <v>280</v>
      </c>
      <c r="I1478" s="591" t="s">
        <v>280</v>
      </c>
    </row>
    <row r="1479" spans="1:9">
      <c r="A1479" s="580" t="s">
        <v>407</v>
      </c>
      <c r="B1479" s="65">
        <v>1677</v>
      </c>
      <c r="C1479" s="579" t="s">
        <v>281</v>
      </c>
      <c r="D1479" s="579"/>
      <c r="E1479" s="583"/>
      <c r="F1479" s="596"/>
      <c r="G1479" s="65">
        <v>0</v>
      </c>
      <c r="H1479" s="591" t="s">
        <v>280</v>
      </c>
      <c r="I1479" s="591" t="s">
        <v>280</v>
      </c>
    </row>
    <row r="1480" spans="1:9">
      <c r="A1480" s="580" t="s">
        <v>407</v>
      </c>
      <c r="B1480" s="65">
        <v>1678</v>
      </c>
      <c r="C1480" s="579" t="s">
        <v>281</v>
      </c>
      <c r="D1480" s="579"/>
      <c r="E1480" s="583"/>
      <c r="F1480" s="596"/>
      <c r="G1480" s="65">
        <v>0</v>
      </c>
      <c r="H1480" s="591" t="s">
        <v>280</v>
      </c>
      <c r="I1480" s="591" t="s">
        <v>280</v>
      </c>
    </row>
    <row r="1481" spans="1:9">
      <c r="A1481" s="580" t="s">
        <v>407</v>
      </c>
      <c r="B1481" s="65">
        <v>1679</v>
      </c>
      <c r="C1481" s="579" t="s">
        <v>281</v>
      </c>
      <c r="D1481" s="579"/>
      <c r="E1481" s="583"/>
      <c r="F1481" s="596"/>
      <c r="G1481" s="65">
        <v>0</v>
      </c>
      <c r="H1481" s="591" t="s">
        <v>280</v>
      </c>
      <c r="I1481" s="591" t="s">
        <v>280</v>
      </c>
    </row>
    <row r="1482" spans="1:9">
      <c r="A1482" s="580" t="s">
        <v>407</v>
      </c>
      <c r="B1482" s="65">
        <v>1680</v>
      </c>
      <c r="C1482" s="579" t="s">
        <v>281</v>
      </c>
      <c r="D1482" s="579"/>
      <c r="E1482" s="583"/>
      <c r="F1482" s="596"/>
      <c r="G1482" s="65">
        <v>0</v>
      </c>
      <c r="H1482" s="591" t="s">
        <v>280</v>
      </c>
      <c r="I1482" s="591" t="s">
        <v>280</v>
      </c>
    </row>
    <row r="1483" spans="1:9">
      <c r="A1483" s="580" t="s">
        <v>407</v>
      </c>
      <c r="B1483" s="65">
        <v>1681</v>
      </c>
      <c r="C1483" s="579" t="s">
        <v>281</v>
      </c>
      <c r="D1483" s="579"/>
      <c r="E1483" s="583"/>
      <c r="F1483" s="596"/>
      <c r="G1483" s="65">
        <v>0</v>
      </c>
      <c r="H1483" s="591" t="s">
        <v>280</v>
      </c>
      <c r="I1483" s="591" t="s">
        <v>280</v>
      </c>
    </row>
    <row r="1484" spans="1:9">
      <c r="A1484" s="580" t="s">
        <v>407</v>
      </c>
      <c r="B1484" s="65">
        <v>1682</v>
      </c>
      <c r="C1484" s="579" t="s">
        <v>281</v>
      </c>
      <c r="D1484" s="579"/>
      <c r="E1484" s="583"/>
      <c r="F1484" s="596"/>
      <c r="G1484" s="65">
        <v>0</v>
      </c>
      <c r="H1484" s="591" t="s">
        <v>280</v>
      </c>
      <c r="I1484" s="591" t="s">
        <v>280</v>
      </c>
    </row>
    <row r="1485" spans="1:9">
      <c r="A1485" s="580" t="s">
        <v>407</v>
      </c>
      <c r="B1485" s="65">
        <v>1683</v>
      </c>
      <c r="C1485" s="579" t="s">
        <v>281</v>
      </c>
      <c r="D1485" s="579"/>
      <c r="E1485" s="583"/>
      <c r="F1485" s="596"/>
      <c r="G1485" s="65">
        <v>0</v>
      </c>
      <c r="H1485" s="591" t="s">
        <v>280</v>
      </c>
      <c r="I1485" s="591" t="s">
        <v>280</v>
      </c>
    </row>
    <row r="1486" spans="1:9">
      <c r="A1486" s="580" t="s">
        <v>407</v>
      </c>
      <c r="B1486" s="65">
        <v>1684</v>
      </c>
      <c r="C1486" s="579" t="s">
        <v>281</v>
      </c>
      <c r="D1486" s="579"/>
      <c r="E1486" s="583"/>
      <c r="F1486" s="596"/>
      <c r="G1486" s="65">
        <v>0</v>
      </c>
      <c r="H1486" s="591" t="s">
        <v>280</v>
      </c>
      <c r="I1486" s="591" t="s">
        <v>280</v>
      </c>
    </row>
    <row r="1487" spans="1:9">
      <c r="A1487" s="580" t="s">
        <v>407</v>
      </c>
      <c r="B1487" s="65">
        <v>1685</v>
      </c>
      <c r="C1487" s="579" t="s">
        <v>281</v>
      </c>
      <c r="D1487" s="579"/>
      <c r="E1487" s="583"/>
      <c r="F1487" s="596"/>
      <c r="G1487" s="65">
        <v>0</v>
      </c>
      <c r="H1487" s="591" t="s">
        <v>280</v>
      </c>
      <c r="I1487" s="591" t="s">
        <v>280</v>
      </c>
    </row>
    <row r="1488" spans="1:9">
      <c r="A1488" s="580" t="s">
        <v>407</v>
      </c>
      <c r="B1488" s="65">
        <v>1686</v>
      </c>
      <c r="C1488" s="579" t="s">
        <v>281</v>
      </c>
      <c r="D1488" s="579"/>
      <c r="E1488" s="583"/>
      <c r="F1488" s="596"/>
      <c r="G1488" s="65">
        <v>0</v>
      </c>
      <c r="H1488" s="591" t="s">
        <v>280</v>
      </c>
      <c r="I1488" s="591" t="s">
        <v>280</v>
      </c>
    </row>
    <row r="1489" spans="1:10">
      <c r="A1489" s="580" t="s">
        <v>407</v>
      </c>
      <c r="B1489" s="65">
        <v>1687</v>
      </c>
      <c r="C1489" s="579" t="s">
        <v>281</v>
      </c>
      <c r="D1489" s="579"/>
      <c r="E1489" s="583"/>
      <c r="F1489" s="596"/>
      <c r="G1489" s="65">
        <v>0</v>
      </c>
      <c r="H1489" s="591" t="s">
        <v>280</v>
      </c>
      <c r="I1489" s="591" t="s">
        <v>280</v>
      </c>
    </row>
    <row r="1490" spans="1:10">
      <c r="A1490" s="580" t="s">
        <v>407</v>
      </c>
      <c r="B1490" s="65">
        <v>1688</v>
      </c>
      <c r="C1490" s="579" t="s">
        <v>281</v>
      </c>
      <c r="D1490" s="579"/>
      <c r="E1490" s="583"/>
      <c r="F1490" s="596"/>
      <c r="G1490" s="65">
        <v>0</v>
      </c>
      <c r="H1490" s="591" t="s">
        <v>280</v>
      </c>
      <c r="I1490" s="591" t="s">
        <v>280</v>
      </c>
    </row>
    <row r="1491" spans="1:10">
      <c r="A1491" s="580" t="s">
        <v>407</v>
      </c>
      <c r="B1491" s="65">
        <v>1689</v>
      </c>
      <c r="C1491" s="579" t="s">
        <v>281</v>
      </c>
      <c r="D1491" s="579"/>
      <c r="E1491" s="583"/>
      <c r="F1491" s="596"/>
      <c r="G1491" s="65">
        <v>0</v>
      </c>
      <c r="H1491" s="591" t="s">
        <v>280</v>
      </c>
      <c r="I1491" s="591" t="s">
        <v>280</v>
      </c>
    </row>
    <row r="1492" spans="1:10">
      <c r="A1492" s="580" t="s">
        <v>407</v>
      </c>
      <c r="B1492" s="65">
        <v>1690</v>
      </c>
      <c r="C1492" s="579" t="s">
        <v>281</v>
      </c>
      <c r="D1492" s="579"/>
      <c r="E1492" s="583"/>
      <c r="F1492" s="596"/>
      <c r="G1492" s="65">
        <v>0</v>
      </c>
      <c r="H1492" s="591" t="s">
        <v>280</v>
      </c>
      <c r="I1492" s="591" t="s">
        <v>280</v>
      </c>
    </row>
    <row r="1493" spans="1:10">
      <c r="A1493" s="580" t="s">
        <v>407</v>
      </c>
      <c r="B1493" s="65">
        <v>1691</v>
      </c>
      <c r="C1493" s="579" t="s">
        <v>281</v>
      </c>
      <c r="D1493" s="579"/>
      <c r="E1493" s="583"/>
      <c r="F1493" s="596"/>
      <c r="G1493" s="65">
        <v>0</v>
      </c>
      <c r="H1493" s="591" t="s">
        <v>280</v>
      </c>
      <c r="I1493" s="591" t="s">
        <v>280</v>
      </c>
    </row>
    <row r="1494" spans="1:10">
      <c r="A1494" s="580" t="s">
        <v>407</v>
      </c>
      <c r="B1494" s="65">
        <v>1692</v>
      </c>
      <c r="C1494" s="579" t="s">
        <v>281</v>
      </c>
      <c r="D1494" s="579"/>
      <c r="E1494" s="583"/>
      <c r="F1494" s="596"/>
      <c r="G1494" s="65">
        <v>0</v>
      </c>
      <c r="H1494" s="591" t="s">
        <v>280</v>
      </c>
      <c r="I1494" s="591" t="s">
        <v>280</v>
      </c>
    </row>
    <row r="1495" spans="1:10">
      <c r="A1495" s="580" t="s">
        <v>407</v>
      </c>
      <c r="B1495" s="65">
        <v>1693</v>
      </c>
      <c r="C1495" s="579" t="s">
        <v>281</v>
      </c>
      <c r="D1495" s="579"/>
      <c r="E1495" s="583"/>
      <c r="F1495" s="596"/>
      <c r="G1495" s="65">
        <v>0</v>
      </c>
      <c r="H1495" s="591" t="s">
        <v>280</v>
      </c>
      <c r="I1495" s="591" t="s">
        <v>280</v>
      </c>
    </row>
    <row r="1496" spans="1:10">
      <c r="A1496" s="580" t="s">
        <v>407</v>
      </c>
      <c r="B1496" s="65">
        <v>1694</v>
      </c>
      <c r="C1496" s="579" t="s">
        <v>281</v>
      </c>
      <c r="D1496" s="579"/>
      <c r="E1496" s="583"/>
      <c r="F1496" s="596"/>
      <c r="G1496" s="65">
        <v>0</v>
      </c>
      <c r="H1496" s="591" t="s">
        <v>280</v>
      </c>
      <c r="I1496" s="591" t="s">
        <v>280</v>
      </c>
    </row>
    <row r="1497" spans="1:10">
      <c r="A1497" s="580" t="s">
        <v>407</v>
      </c>
      <c r="B1497" s="65">
        <v>1695</v>
      </c>
      <c r="C1497" s="579" t="s">
        <v>281</v>
      </c>
      <c r="D1497" s="579"/>
      <c r="E1497" s="583"/>
      <c r="F1497" s="596"/>
      <c r="G1497" s="65">
        <v>0</v>
      </c>
      <c r="H1497" s="591" t="s">
        <v>280</v>
      </c>
      <c r="I1497" s="591" t="s">
        <v>280</v>
      </c>
    </row>
    <row r="1498" spans="1:10">
      <c r="A1498" s="580" t="s">
        <v>407</v>
      </c>
      <c r="B1498" s="65">
        <v>1696</v>
      </c>
      <c r="C1498" s="579" t="s">
        <v>281</v>
      </c>
      <c r="D1498" s="579"/>
      <c r="E1498" s="583"/>
      <c r="F1498" s="596"/>
      <c r="G1498" s="65">
        <v>0</v>
      </c>
      <c r="H1498" s="591" t="s">
        <v>280</v>
      </c>
      <c r="I1498" s="591" t="s">
        <v>280</v>
      </c>
    </row>
    <row r="1499" spans="1:10">
      <c r="A1499" s="580" t="s">
        <v>407</v>
      </c>
      <c r="B1499" s="65">
        <v>1697</v>
      </c>
      <c r="C1499" s="579" t="s">
        <v>281</v>
      </c>
      <c r="D1499" s="579"/>
      <c r="E1499" s="583"/>
      <c r="F1499" s="596"/>
      <c r="G1499" s="65">
        <v>0</v>
      </c>
      <c r="H1499" s="591" t="s">
        <v>280</v>
      </c>
      <c r="I1499" s="591" t="s">
        <v>280</v>
      </c>
    </row>
    <row r="1500" spans="1:10">
      <c r="A1500" s="580" t="s">
        <v>407</v>
      </c>
      <c r="B1500" s="65">
        <v>1698</v>
      </c>
      <c r="C1500" s="579" t="s">
        <v>281</v>
      </c>
      <c r="D1500" s="579"/>
      <c r="E1500" s="583"/>
      <c r="F1500" s="596"/>
      <c r="G1500" s="65">
        <v>0</v>
      </c>
      <c r="H1500" s="591" t="s">
        <v>280</v>
      </c>
      <c r="I1500" s="591" t="s">
        <v>280</v>
      </c>
    </row>
    <row r="1501" spans="1:10">
      <c r="A1501" s="580" t="s">
        <v>407</v>
      </c>
      <c r="B1501" s="65">
        <v>1699</v>
      </c>
      <c r="C1501" s="579" t="s">
        <v>281</v>
      </c>
      <c r="D1501" s="579"/>
      <c r="E1501" s="583"/>
      <c r="F1501" s="596"/>
      <c r="G1501" s="65">
        <v>0</v>
      </c>
      <c r="H1501" s="591" t="s">
        <v>280</v>
      </c>
      <c r="I1501" s="591" t="s">
        <v>280</v>
      </c>
    </row>
    <row r="1502" spans="1:10" ht="12.75">
      <c r="A1502" s="580" t="s">
        <v>418</v>
      </c>
      <c r="B1502" s="63">
        <v>1700</v>
      </c>
      <c r="C1502" s="63" t="s">
        <v>279</v>
      </c>
      <c r="D1502" s="63"/>
      <c r="E1502" s="62"/>
      <c r="F1502" s="585">
        <v>45535</v>
      </c>
      <c r="G1502" s="65">
        <v>1</v>
      </c>
      <c r="H1502" s="591" t="s">
        <v>280</v>
      </c>
      <c r="I1502" s="591" t="s">
        <v>280</v>
      </c>
    </row>
    <row r="1503" spans="1:10" ht="13.5">
      <c r="A1503" s="580" t="s">
        <v>418</v>
      </c>
      <c r="B1503" s="63">
        <v>1701</v>
      </c>
      <c r="C1503" s="63" t="s">
        <v>281</v>
      </c>
      <c r="D1503" s="63"/>
      <c r="E1503" s="62"/>
      <c r="F1503" s="599"/>
      <c r="G1503" s="65">
        <v>0</v>
      </c>
      <c r="H1503" s="591" t="s">
        <v>280</v>
      </c>
      <c r="I1503" s="591" t="s">
        <v>280</v>
      </c>
      <c r="J1503" s="57"/>
    </row>
    <row r="1504" spans="1:10" ht="13.5">
      <c r="A1504" s="580" t="s">
        <v>418</v>
      </c>
      <c r="B1504" s="63">
        <v>1702</v>
      </c>
      <c r="C1504" s="63" t="s">
        <v>281</v>
      </c>
      <c r="D1504" s="63"/>
      <c r="E1504" s="62"/>
      <c r="F1504" s="599"/>
      <c r="G1504" s="65">
        <v>0</v>
      </c>
      <c r="H1504" s="591" t="s">
        <v>280</v>
      </c>
      <c r="I1504" s="591" t="s">
        <v>280</v>
      </c>
      <c r="J1504" s="57"/>
    </row>
    <row r="1505" spans="1:10" ht="13.5">
      <c r="A1505" s="580" t="s">
        <v>418</v>
      </c>
      <c r="B1505" s="63">
        <v>1703</v>
      </c>
      <c r="C1505" s="63" t="s">
        <v>281</v>
      </c>
      <c r="D1505" s="579"/>
      <c r="E1505" s="62"/>
      <c r="F1505" s="596"/>
      <c r="G1505" s="65">
        <v>0</v>
      </c>
      <c r="H1505" s="591" t="s">
        <v>280</v>
      </c>
      <c r="I1505" s="591" t="s">
        <v>280</v>
      </c>
      <c r="J1505" s="57"/>
    </row>
    <row r="1506" spans="1:10" ht="13.5">
      <c r="A1506" s="580" t="s">
        <v>418</v>
      </c>
      <c r="B1506" s="63">
        <v>1704</v>
      </c>
      <c r="C1506" s="63" t="s">
        <v>419</v>
      </c>
      <c r="D1506" s="63">
        <v>10069</v>
      </c>
      <c r="E1506" s="62"/>
      <c r="F1506" s="585">
        <v>45535</v>
      </c>
      <c r="G1506" s="65">
        <v>1</v>
      </c>
      <c r="H1506" s="591" t="s">
        <v>9</v>
      </c>
      <c r="I1506" s="591" t="s">
        <v>31</v>
      </c>
      <c r="J1506" s="57"/>
    </row>
    <row r="1507" spans="1:10" ht="13.5">
      <c r="A1507" s="580" t="s">
        <v>418</v>
      </c>
      <c r="B1507" s="63">
        <v>1705</v>
      </c>
      <c r="C1507" s="63" t="s">
        <v>420</v>
      </c>
      <c r="D1507" s="579">
        <v>10070</v>
      </c>
      <c r="E1507" s="62"/>
      <c r="F1507" s="585">
        <v>45535</v>
      </c>
      <c r="G1507" s="65">
        <v>1</v>
      </c>
      <c r="H1507" s="591" t="s">
        <v>9</v>
      </c>
      <c r="I1507" s="591" t="s">
        <v>31</v>
      </c>
      <c r="J1507" s="57"/>
    </row>
    <row r="1508" spans="1:10" ht="13.5">
      <c r="A1508" s="580" t="s">
        <v>418</v>
      </c>
      <c r="B1508" s="63">
        <v>1706</v>
      </c>
      <c r="C1508" s="63" t="s">
        <v>281</v>
      </c>
      <c r="D1508" s="63" t="s">
        <v>58</v>
      </c>
      <c r="E1508" s="62"/>
      <c r="F1508" s="599"/>
      <c r="G1508" s="65">
        <v>0</v>
      </c>
      <c r="H1508" s="591" t="s">
        <v>280</v>
      </c>
      <c r="I1508" s="591" t="s">
        <v>280</v>
      </c>
      <c r="J1508" s="57"/>
    </row>
    <row r="1509" spans="1:10" ht="13.5">
      <c r="A1509" s="580" t="s">
        <v>418</v>
      </c>
      <c r="B1509" s="63">
        <v>1707</v>
      </c>
      <c r="C1509" s="63" t="s">
        <v>421</v>
      </c>
      <c r="D1509" s="63">
        <v>10606</v>
      </c>
      <c r="E1509" s="62"/>
      <c r="F1509" s="585">
        <v>45535</v>
      </c>
      <c r="G1509" s="65">
        <v>1</v>
      </c>
      <c r="H1509" s="591" t="s">
        <v>280</v>
      </c>
      <c r="I1509" s="591" t="s">
        <v>280</v>
      </c>
      <c r="J1509" s="57"/>
    </row>
    <row r="1510" spans="1:10" ht="13.5">
      <c r="A1510" s="580" t="s">
        <v>418</v>
      </c>
      <c r="B1510" s="63">
        <v>1708</v>
      </c>
      <c r="C1510" s="63" t="s">
        <v>281</v>
      </c>
      <c r="D1510" s="63"/>
      <c r="E1510" s="62"/>
      <c r="F1510" s="596"/>
      <c r="G1510" s="65">
        <v>0</v>
      </c>
      <c r="H1510" s="591" t="s">
        <v>280</v>
      </c>
      <c r="I1510" s="591" t="s">
        <v>280</v>
      </c>
      <c r="J1510" s="57"/>
    </row>
    <row r="1511" spans="1:10" ht="13.5">
      <c r="A1511" s="580" t="s">
        <v>418</v>
      </c>
      <c r="B1511" s="63">
        <v>1709</v>
      </c>
      <c r="C1511" s="63" t="s">
        <v>281</v>
      </c>
      <c r="D1511" s="63"/>
      <c r="E1511" s="62"/>
      <c r="F1511" s="599"/>
      <c r="G1511" s="65">
        <v>0</v>
      </c>
      <c r="H1511" s="591" t="s">
        <v>280</v>
      </c>
      <c r="I1511" s="591" t="s">
        <v>280</v>
      </c>
      <c r="J1511" s="57"/>
    </row>
    <row r="1512" spans="1:10" ht="13.5">
      <c r="A1512" s="580" t="s">
        <v>418</v>
      </c>
      <c r="B1512" s="63">
        <v>1710</v>
      </c>
      <c r="C1512" s="63" t="s">
        <v>281</v>
      </c>
      <c r="D1512" s="63"/>
      <c r="E1512" s="62"/>
      <c r="F1512" s="599"/>
      <c r="G1512" s="65">
        <v>0</v>
      </c>
      <c r="H1512" s="591" t="s">
        <v>280</v>
      </c>
      <c r="I1512" s="591" t="s">
        <v>280</v>
      </c>
      <c r="J1512" s="57"/>
    </row>
    <row r="1513" spans="1:10" ht="13.5">
      <c r="A1513" s="580" t="s">
        <v>418</v>
      </c>
      <c r="B1513" s="63">
        <v>1711</v>
      </c>
      <c r="C1513" s="63" t="s">
        <v>422</v>
      </c>
      <c r="D1513" s="579">
        <v>10638</v>
      </c>
      <c r="E1513" s="62"/>
      <c r="F1513" s="585">
        <v>45535</v>
      </c>
      <c r="G1513" s="65">
        <v>1</v>
      </c>
      <c r="H1513" s="591" t="s">
        <v>280</v>
      </c>
      <c r="I1513" s="591" t="s">
        <v>280</v>
      </c>
      <c r="J1513" s="57"/>
    </row>
    <row r="1514" spans="1:10" ht="12.75">
      <c r="A1514" s="580" t="s">
        <v>418</v>
      </c>
      <c r="B1514" s="63">
        <v>1712</v>
      </c>
      <c r="C1514" s="63" t="s">
        <v>281</v>
      </c>
      <c r="D1514" s="63"/>
      <c r="E1514" s="62"/>
      <c r="F1514" s="599"/>
      <c r="G1514" s="65">
        <v>0</v>
      </c>
      <c r="H1514" s="591" t="s">
        <v>280</v>
      </c>
      <c r="I1514" s="591" t="s">
        <v>280</v>
      </c>
    </row>
    <row r="1515" spans="1:10" ht="12.75">
      <c r="A1515" s="580" t="s">
        <v>418</v>
      </c>
      <c r="B1515" s="63">
        <v>1713</v>
      </c>
      <c r="C1515" s="63" t="s">
        <v>423</v>
      </c>
      <c r="D1515" s="63">
        <v>10639</v>
      </c>
      <c r="E1515" s="62"/>
      <c r="F1515" s="585">
        <v>45535</v>
      </c>
      <c r="G1515" s="65">
        <v>1</v>
      </c>
      <c r="H1515" s="591" t="s">
        <v>9</v>
      </c>
      <c r="I1515" s="591" t="s">
        <v>31</v>
      </c>
    </row>
    <row r="1516" spans="1:10" ht="12.75">
      <c r="A1516" s="580" t="s">
        <v>418</v>
      </c>
      <c r="B1516" s="63">
        <v>1714</v>
      </c>
      <c r="C1516" s="63" t="s">
        <v>424</v>
      </c>
      <c r="D1516" s="65">
        <v>10526</v>
      </c>
      <c r="E1516" s="62"/>
      <c r="F1516" s="585">
        <v>45535</v>
      </c>
      <c r="G1516" s="65">
        <v>1</v>
      </c>
      <c r="H1516" s="591" t="s">
        <v>9</v>
      </c>
      <c r="I1516" s="591" t="s">
        <v>31</v>
      </c>
    </row>
    <row r="1517" spans="1:10" ht="12.75">
      <c r="A1517" s="580" t="s">
        <v>418</v>
      </c>
      <c r="B1517" s="63">
        <v>1715</v>
      </c>
      <c r="C1517" s="63" t="s">
        <v>281</v>
      </c>
      <c r="D1517" s="63"/>
      <c r="E1517" s="62"/>
      <c r="F1517" s="599"/>
      <c r="G1517" s="65">
        <v>0</v>
      </c>
      <c r="H1517" s="591" t="s">
        <v>280</v>
      </c>
      <c r="I1517" s="591" t="s">
        <v>280</v>
      </c>
    </row>
    <row r="1518" spans="1:10" ht="12.75">
      <c r="A1518" s="580" t="s">
        <v>418</v>
      </c>
      <c r="B1518" s="63">
        <v>1716</v>
      </c>
      <c r="C1518" s="63" t="s">
        <v>281</v>
      </c>
      <c r="D1518" s="63"/>
      <c r="E1518" s="62"/>
      <c r="F1518" s="599"/>
      <c r="G1518" s="65">
        <v>0</v>
      </c>
      <c r="H1518" s="591" t="s">
        <v>280</v>
      </c>
      <c r="I1518" s="591" t="s">
        <v>280</v>
      </c>
    </row>
    <row r="1519" spans="1:10" ht="12.75">
      <c r="A1519" s="580" t="s">
        <v>418</v>
      </c>
      <c r="B1519" s="63">
        <v>1717</v>
      </c>
      <c r="C1519" s="63" t="s">
        <v>425</v>
      </c>
      <c r="D1519" s="579">
        <v>10145</v>
      </c>
      <c r="E1519" s="62"/>
      <c r="F1519" s="585">
        <v>45535</v>
      </c>
      <c r="G1519" s="65">
        <v>1</v>
      </c>
      <c r="H1519" s="591" t="s">
        <v>9</v>
      </c>
      <c r="I1519" s="591" t="s">
        <v>31</v>
      </c>
    </row>
    <row r="1520" spans="1:10" ht="12.75">
      <c r="A1520" s="580" t="s">
        <v>418</v>
      </c>
      <c r="B1520" s="63">
        <v>1718</v>
      </c>
      <c r="C1520" s="63" t="s">
        <v>426</v>
      </c>
      <c r="D1520" s="63">
        <v>10147</v>
      </c>
      <c r="E1520" s="62"/>
      <c r="F1520" s="585">
        <v>45535</v>
      </c>
      <c r="G1520" s="65">
        <v>1</v>
      </c>
      <c r="H1520" s="591" t="s">
        <v>280</v>
      </c>
      <c r="I1520" s="591" t="s">
        <v>280</v>
      </c>
    </row>
    <row r="1521" spans="1:9" ht="12.75">
      <c r="A1521" s="580" t="s">
        <v>418</v>
      </c>
      <c r="B1521" s="63">
        <v>1719</v>
      </c>
      <c r="C1521" s="63" t="s">
        <v>281</v>
      </c>
      <c r="D1521" s="579"/>
      <c r="E1521" s="62"/>
      <c r="F1521" s="596"/>
      <c r="G1521" s="65">
        <v>0</v>
      </c>
      <c r="H1521" s="591" t="s">
        <v>280</v>
      </c>
      <c r="I1521" s="591" t="s">
        <v>280</v>
      </c>
    </row>
    <row r="1522" spans="1:9" ht="12.75">
      <c r="A1522" s="580" t="s">
        <v>418</v>
      </c>
      <c r="B1522" s="63">
        <v>1720</v>
      </c>
      <c r="C1522" s="63" t="s">
        <v>427</v>
      </c>
      <c r="D1522" s="63">
        <v>10263</v>
      </c>
      <c r="E1522" s="62"/>
      <c r="F1522" s="585">
        <v>45535</v>
      </c>
      <c r="G1522" s="65">
        <v>1</v>
      </c>
      <c r="H1522" s="591" t="s">
        <v>9</v>
      </c>
      <c r="I1522" s="591" t="s">
        <v>31</v>
      </c>
    </row>
    <row r="1523" spans="1:9" ht="12.75">
      <c r="A1523" s="580" t="s">
        <v>418</v>
      </c>
      <c r="B1523" s="63">
        <v>1721</v>
      </c>
      <c r="C1523" s="63" t="s">
        <v>428</v>
      </c>
      <c r="D1523" s="579">
        <v>10196</v>
      </c>
      <c r="E1523" s="62"/>
      <c r="F1523" s="585">
        <v>45535</v>
      </c>
      <c r="G1523" s="65">
        <v>1</v>
      </c>
      <c r="H1523" s="591" t="s">
        <v>9</v>
      </c>
      <c r="I1523" s="591" t="s">
        <v>31</v>
      </c>
    </row>
    <row r="1524" spans="1:9" ht="12.75">
      <c r="A1524" s="580" t="s">
        <v>418</v>
      </c>
      <c r="B1524" s="63">
        <v>1722</v>
      </c>
      <c r="C1524" s="63" t="s">
        <v>281</v>
      </c>
      <c r="D1524" s="63"/>
      <c r="E1524" s="62"/>
      <c r="F1524" s="599"/>
      <c r="G1524" s="65">
        <v>0</v>
      </c>
      <c r="H1524" s="591" t="s">
        <v>280</v>
      </c>
      <c r="I1524" s="591" t="s">
        <v>280</v>
      </c>
    </row>
    <row r="1525" spans="1:9" ht="12.75">
      <c r="A1525" s="580" t="s">
        <v>418</v>
      </c>
      <c r="B1525" s="63">
        <v>1723</v>
      </c>
      <c r="C1525" s="63" t="s">
        <v>281</v>
      </c>
      <c r="D1525" s="63"/>
      <c r="E1525" s="62"/>
      <c r="F1525" s="599"/>
      <c r="G1525" s="65">
        <v>0</v>
      </c>
      <c r="H1525" s="591" t="s">
        <v>280</v>
      </c>
      <c r="I1525" s="591" t="s">
        <v>280</v>
      </c>
    </row>
    <row r="1526" spans="1:9" ht="12.75">
      <c r="A1526" s="580" t="s">
        <v>418</v>
      </c>
      <c r="B1526" s="63">
        <v>1724</v>
      </c>
      <c r="C1526" s="63" t="s">
        <v>281</v>
      </c>
      <c r="D1526" s="63"/>
      <c r="E1526" s="62"/>
      <c r="F1526" s="599"/>
      <c r="G1526" s="65">
        <v>0</v>
      </c>
      <c r="H1526" s="591" t="s">
        <v>280</v>
      </c>
      <c r="I1526" s="591" t="s">
        <v>280</v>
      </c>
    </row>
    <row r="1527" spans="1:9" ht="12.75">
      <c r="A1527" s="580" t="s">
        <v>418</v>
      </c>
      <c r="B1527" s="63">
        <v>1725</v>
      </c>
      <c r="C1527" s="63" t="s">
        <v>281</v>
      </c>
      <c r="D1527" s="63"/>
      <c r="E1527" s="62"/>
      <c r="F1527" s="599"/>
      <c r="G1527" s="65">
        <v>0</v>
      </c>
      <c r="H1527" s="591" t="s">
        <v>280</v>
      </c>
      <c r="I1527" s="591" t="s">
        <v>280</v>
      </c>
    </row>
    <row r="1528" spans="1:9" ht="12.75">
      <c r="A1528" s="580" t="s">
        <v>418</v>
      </c>
      <c r="B1528" s="63">
        <v>1726</v>
      </c>
      <c r="C1528" s="63" t="s">
        <v>281</v>
      </c>
      <c r="D1528" s="63"/>
      <c r="E1528" s="62"/>
      <c r="F1528" s="599"/>
      <c r="G1528" s="65">
        <v>0</v>
      </c>
      <c r="H1528" s="591" t="s">
        <v>280</v>
      </c>
      <c r="I1528" s="591" t="s">
        <v>280</v>
      </c>
    </row>
    <row r="1529" spans="1:9" ht="12.75">
      <c r="A1529" s="580" t="s">
        <v>418</v>
      </c>
      <c r="B1529" s="63">
        <v>1727</v>
      </c>
      <c r="C1529" s="63" t="s">
        <v>281</v>
      </c>
      <c r="D1529" s="63"/>
      <c r="E1529" s="62"/>
      <c r="F1529" s="599"/>
      <c r="G1529" s="65">
        <v>0</v>
      </c>
      <c r="H1529" s="591" t="s">
        <v>280</v>
      </c>
      <c r="I1529" s="591" t="s">
        <v>280</v>
      </c>
    </row>
    <row r="1530" spans="1:9" ht="12.75">
      <c r="A1530" s="580" t="s">
        <v>418</v>
      </c>
      <c r="B1530" s="63">
        <v>1728</v>
      </c>
      <c r="C1530" s="63" t="s">
        <v>281</v>
      </c>
      <c r="D1530" s="63"/>
      <c r="E1530" s="62"/>
      <c r="F1530" s="599"/>
      <c r="G1530" s="65">
        <v>0</v>
      </c>
      <c r="H1530" s="591" t="s">
        <v>280</v>
      </c>
      <c r="I1530" s="591" t="s">
        <v>280</v>
      </c>
    </row>
    <row r="1531" spans="1:9" ht="12.75">
      <c r="A1531" s="580" t="s">
        <v>418</v>
      </c>
      <c r="B1531" s="63">
        <v>1729</v>
      </c>
      <c r="C1531" s="63" t="s">
        <v>281</v>
      </c>
      <c r="D1531" s="63"/>
      <c r="E1531" s="62"/>
      <c r="F1531" s="599"/>
      <c r="G1531" s="65">
        <v>0</v>
      </c>
      <c r="H1531" s="591" t="s">
        <v>280</v>
      </c>
      <c r="I1531" s="591" t="s">
        <v>280</v>
      </c>
    </row>
    <row r="1532" spans="1:9" ht="12.75">
      <c r="A1532" s="580" t="s">
        <v>418</v>
      </c>
      <c r="B1532" s="63">
        <v>1730</v>
      </c>
      <c r="C1532" s="63" t="s">
        <v>281</v>
      </c>
      <c r="D1532" s="63"/>
      <c r="E1532" s="62"/>
      <c r="F1532" s="599"/>
      <c r="G1532" s="65">
        <v>0</v>
      </c>
      <c r="H1532" s="591" t="s">
        <v>280</v>
      </c>
      <c r="I1532" s="591" t="s">
        <v>280</v>
      </c>
    </row>
    <row r="1533" spans="1:9" ht="12.75">
      <c r="A1533" s="580" t="s">
        <v>418</v>
      </c>
      <c r="B1533" s="63">
        <v>1731</v>
      </c>
      <c r="C1533" s="63" t="s">
        <v>281</v>
      </c>
      <c r="D1533" s="63"/>
      <c r="E1533" s="62"/>
      <c r="F1533" s="599"/>
      <c r="G1533" s="65">
        <v>0</v>
      </c>
      <c r="H1533" s="591" t="s">
        <v>280</v>
      </c>
      <c r="I1533" s="591" t="s">
        <v>280</v>
      </c>
    </row>
    <row r="1534" spans="1:9" ht="12.75">
      <c r="A1534" s="580" t="s">
        <v>418</v>
      </c>
      <c r="B1534" s="63">
        <v>1732</v>
      </c>
      <c r="C1534" s="63" t="s">
        <v>281</v>
      </c>
      <c r="D1534" s="63"/>
      <c r="E1534" s="62"/>
      <c r="F1534" s="599"/>
      <c r="G1534" s="65">
        <v>0</v>
      </c>
      <c r="H1534" s="591" t="s">
        <v>280</v>
      </c>
      <c r="I1534" s="591" t="s">
        <v>280</v>
      </c>
    </row>
    <row r="1535" spans="1:9" ht="12.75">
      <c r="A1535" s="580" t="s">
        <v>418</v>
      </c>
      <c r="B1535" s="63">
        <v>1733</v>
      </c>
      <c r="C1535" s="63" t="s">
        <v>281</v>
      </c>
      <c r="D1535" s="63"/>
      <c r="E1535" s="62"/>
      <c r="F1535" s="599"/>
      <c r="G1535" s="65">
        <v>0</v>
      </c>
      <c r="H1535" s="591" t="s">
        <v>280</v>
      </c>
      <c r="I1535" s="591" t="s">
        <v>280</v>
      </c>
    </row>
    <row r="1536" spans="1:9" ht="12.75">
      <c r="A1536" s="580" t="s">
        <v>418</v>
      </c>
      <c r="B1536" s="63">
        <v>1734</v>
      </c>
      <c r="C1536" s="63" t="s">
        <v>281</v>
      </c>
      <c r="D1536" s="63"/>
      <c r="E1536" s="62"/>
      <c r="F1536" s="599"/>
      <c r="G1536" s="65">
        <v>0</v>
      </c>
      <c r="H1536" s="591" t="s">
        <v>280</v>
      </c>
      <c r="I1536" s="591" t="s">
        <v>280</v>
      </c>
    </row>
    <row r="1537" spans="1:9" ht="12.75">
      <c r="A1537" s="580" t="s">
        <v>418</v>
      </c>
      <c r="B1537" s="63">
        <v>1735</v>
      </c>
      <c r="C1537" s="63" t="s">
        <v>281</v>
      </c>
      <c r="D1537" s="63"/>
      <c r="E1537" s="62"/>
      <c r="F1537" s="599"/>
      <c r="G1537" s="65">
        <v>0</v>
      </c>
      <c r="H1537" s="591" t="s">
        <v>280</v>
      </c>
      <c r="I1537" s="591" t="s">
        <v>280</v>
      </c>
    </row>
    <row r="1538" spans="1:9" ht="12.75">
      <c r="A1538" s="580" t="s">
        <v>418</v>
      </c>
      <c r="B1538" s="63">
        <v>1736</v>
      </c>
      <c r="C1538" s="63" t="s">
        <v>281</v>
      </c>
      <c r="D1538" s="63"/>
      <c r="E1538" s="62"/>
      <c r="F1538" s="599"/>
      <c r="G1538" s="65">
        <v>0</v>
      </c>
      <c r="H1538" s="591" t="s">
        <v>280</v>
      </c>
      <c r="I1538" s="591" t="s">
        <v>280</v>
      </c>
    </row>
    <row r="1539" spans="1:9" ht="12.75">
      <c r="A1539" s="580" t="s">
        <v>418</v>
      </c>
      <c r="B1539" s="63">
        <v>1737</v>
      </c>
      <c r="C1539" s="63" t="s">
        <v>281</v>
      </c>
      <c r="D1539" s="63"/>
      <c r="E1539" s="62"/>
      <c r="F1539" s="599"/>
      <c r="G1539" s="65">
        <v>0</v>
      </c>
      <c r="H1539" s="591" t="s">
        <v>280</v>
      </c>
      <c r="I1539" s="591" t="s">
        <v>280</v>
      </c>
    </row>
    <row r="1540" spans="1:9" ht="12.75">
      <c r="A1540" s="580" t="s">
        <v>418</v>
      </c>
      <c r="B1540" s="63">
        <v>1738</v>
      </c>
      <c r="C1540" s="63" t="s">
        <v>281</v>
      </c>
      <c r="D1540" s="63"/>
      <c r="E1540" s="62"/>
      <c r="F1540" s="599"/>
      <c r="G1540" s="65">
        <v>0</v>
      </c>
      <c r="H1540" s="591" t="s">
        <v>280</v>
      </c>
      <c r="I1540" s="591" t="s">
        <v>280</v>
      </c>
    </row>
    <row r="1541" spans="1:9" ht="12.75">
      <c r="A1541" s="580" t="s">
        <v>418</v>
      </c>
      <c r="B1541" s="63">
        <v>1739</v>
      </c>
      <c r="C1541" s="63" t="s">
        <v>429</v>
      </c>
      <c r="D1541" s="65">
        <v>10637</v>
      </c>
      <c r="E1541" s="62"/>
      <c r="F1541" s="585">
        <v>45535</v>
      </c>
      <c r="G1541" s="65">
        <v>1</v>
      </c>
      <c r="H1541" s="591" t="s">
        <v>280</v>
      </c>
      <c r="I1541" s="591" t="s">
        <v>280</v>
      </c>
    </row>
    <row r="1542" spans="1:9">
      <c r="A1542" s="580" t="s">
        <v>418</v>
      </c>
      <c r="B1542" s="65">
        <v>1740</v>
      </c>
      <c r="C1542" s="63" t="s">
        <v>281</v>
      </c>
      <c r="D1542" s="63"/>
      <c r="E1542" s="583"/>
      <c r="F1542" s="596"/>
      <c r="G1542" s="65">
        <v>0</v>
      </c>
      <c r="H1542" s="591" t="s">
        <v>280</v>
      </c>
      <c r="I1542" s="591" t="s">
        <v>280</v>
      </c>
    </row>
    <row r="1543" spans="1:9">
      <c r="A1543" s="580" t="s">
        <v>418</v>
      </c>
      <c r="B1543" s="65">
        <v>1741</v>
      </c>
      <c r="C1543" s="63" t="s">
        <v>430</v>
      </c>
      <c r="D1543" s="63">
        <v>10185</v>
      </c>
      <c r="E1543" s="583"/>
      <c r="F1543" s="585">
        <v>45535</v>
      </c>
      <c r="G1543" s="65">
        <v>1</v>
      </c>
      <c r="H1543" s="591" t="s">
        <v>9</v>
      </c>
      <c r="I1543" s="591" t="s">
        <v>31</v>
      </c>
    </row>
    <row r="1544" spans="1:9">
      <c r="A1544" s="580" t="s">
        <v>418</v>
      </c>
      <c r="B1544" s="65">
        <v>1742</v>
      </c>
      <c r="C1544" s="63" t="s">
        <v>477</v>
      </c>
      <c r="D1544" s="579">
        <v>10508</v>
      </c>
      <c r="E1544" s="583"/>
      <c r="F1544" s="585">
        <v>45535</v>
      </c>
      <c r="G1544" s="65">
        <v>1</v>
      </c>
      <c r="H1544" s="591" t="s">
        <v>9</v>
      </c>
      <c r="I1544" s="591" t="s">
        <v>31</v>
      </c>
    </row>
    <row r="1545" spans="1:9">
      <c r="A1545" s="580" t="s">
        <v>418</v>
      </c>
      <c r="B1545" s="65">
        <v>1743</v>
      </c>
      <c r="C1545" s="63" t="s">
        <v>653</v>
      </c>
      <c r="D1545" s="579">
        <v>10288</v>
      </c>
      <c r="E1545" s="583"/>
      <c r="F1545" s="585">
        <v>45535</v>
      </c>
      <c r="G1545" s="65">
        <v>1</v>
      </c>
      <c r="H1545" s="591" t="s">
        <v>9</v>
      </c>
      <c r="I1545" s="591" t="s">
        <v>31</v>
      </c>
    </row>
    <row r="1546" spans="1:9">
      <c r="A1546" s="580" t="s">
        <v>418</v>
      </c>
      <c r="B1546" s="65">
        <v>1744</v>
      </c>
      <c r="C1546" s="65" t="s">
        <v>356</v>
      </c>
      <c r="D1546" s="65">
        <v>10845</v>
      </c>
      <c r="E1546" s="583"/>
      <c r="F1546" s="585">
        <v>45535</v>
      </c>
      <c r="G1546" s="65">
        <v>1</v>
      </c>
      <c r="H1546" s="591" t="s">
        <v>9</v>
      </c>
      <c r="I1546" s="591" t="s">
        <v>31</v>
      </c>
    </row>
    <row r="1547" spans="1:9">
      <c r="A1547" s="580" t="s">
        <v>418</v>
      </c>
      <c r="B1547" s="65">
        <v>1745</v>
      </c>
      <c r="C1547" s="63" t="s">
        <v>599</v>
      </c>
      <c r="D1547" s="63">
        <v>10014</v>
      </c>
      <c r="E1547" s="583"/>
      <c r="F1547" s="585">
        <v>45535</v>
      </c>
      <c r="G1547" s="65">
        <v>1</v>
      </c>
      <c r="H1547" s="591" t="s">
        <v>9</v>
      </c>
      <c r="I1547" s="591" t="s">
        <v>31</v>
      </c>
    </row>
    <row r="1548" spans="1:9">
      <c r="A1548" s="580" t="s">
        <v>418</v>
      </c>
      <c r="B1548" s="65">
        <v>1746</v>
      </c>
      <c r="C1548" s="65" t="s">
        <v>1954</v>
      </c>
      <c r="D1548" s="65">
        <v>11053</v>
      </c>
      <c r="E1548" s="583"/>
      <c r="F1548" s="585">
        <v>45549</v>
      </c>
      <c r="G1548" s="65">
        <v>1</v>
      </c>
      <c r="H1548" s="591" t="s">
        <v>9</v>
      </c>
      <c r="I1548" s="591" t="s">
        <v>31</v>
      </c>
    </row>
    <row r="1549" spans="1:9" ht="14.25">
      <c r="A1549" s="580" t="s">
        <v>418</v>
      </c>
      <c r="B1549" s="65">
        <v>1747</v>
      </c>
      <c r="C1549" s="65" t="s">
        <v>2022</v>
      </c>
      <c r="D1549" s="65">
        <v>11061</v>
      </c>
      <c r="E1549" s="587"/>
      <c r="F1549" s="585">
        <v>45612</v>
      </c>
      <c r="G1549" s="65">
        <v>1</v>
      </c>
      <c r="H1549" s="591" t="s">
        <v>280</v>
      </c>
      <c r="I1549" s="591" t="s">
        <v>280</v>
      </c>
    </row>
    <row r="1550" spans="1:9">
      <c r="A1550" s="580" t="s">
        <v>418</v>
      </c>
      <c r="B1550" s="65">
        <v>1748</v>
      </c>
      <c r="C1550" s="579" t="s">
        <v>281</v>
      </c>
      <c r="D1550" s="579"/>
      <c r="E1550" s="583"/>
      <c r="F1550" s="596"/>
      <c r="G1550" s="65">
        <v>0</v>
      </c>
      <c r="H1550" s="591" t="s">
        <v>280</v>
      </c>
      <c r="I1550" s="591" t="s">
        <v>280</v>
      </c>
    </row>
    <row r="1551" spans="1:9">
      <c r="A1551" s="580" t="s">
        <v>418</v>
      </c>
      <c r="B1551" s="65">
        <v>1749</v>
      </c>
      <c r="C1551" s="579" t="s">
        <v>281</v>
      </c>
      <c r="D1551" s="579"/>
      <c r="E1551" s="583"/>
      <c r="F1551" s="596"/>
      <c r="G1551" s="65">
        <v>0</v>
      </c>
      <c r="H1551" s="591" t="s">
        <v>280</v>
      </c>
      <c r="I1551" s="591" t="s">
        <v>280</v>
      </c>
    </row>
    <row r="1552" spans="1:9">
      <c r="A1552" s="580" t="s">
        <v>418</v>
      </c>
      <c r="B1552" s="65">
        <v>1750</v>
      </c>
      <c r="C1552" s="579" t="s">
        <v>281</v>
      </c>
      <c r="D1552" s="579"/>
      <c r="E1552" s="583"/>
      <c r="F1552" s="596"/>
      <c r="G1552" s="65">
        <v>0</v>
      </c>
      <c r="H1552" s="591" t="s">
        <v>280</v>
      </c>
      <c r="I1552" s="591" t="s">
        <v>280</v>
      </c>
    </row>
    <row r="1553" spans="1:9">
      <c r="A1553" s="580" t="s">
        <v>418</v>
      </c>
      <c r="B1553" s="65">
        <v>1751</v>
      </c>
      <c r="C1553" s="579" t="s">
        <v>281</v>
      </c>
      <c r="D1553" s="65"/>
      <c r="E1553" s="583"/>
      <c r="F1553" s="596"/>
      <c r="G1553" s="65">
        <v>0</v>
      </c>
      <c r="H1553" s="591" t="s">
        <v>280</v>
      </c>
      <c r="I1553" s="591" t="s">
        <v>280</v>
      </c>
    </row>
    <row r="1554" spans="1:9">
      <c r="A1554" s="580" t="s">
        <v>418</v>
      </c>
      <c r="B1554" s="65">
        <v>1752</v>
      </c>
      <c r="C1554" s="579" t="s">
        <v>281</v>
      </c>
      <c r="D1554" s="579"/>
      <c r="E1554" s="583"/>
      <c r="F1554" s="596"/>
      <c r="G1554" s="65">
        <v>0</v>
      </c>
      <c r="H1554" s="591" t="s">
        <v>280</v>
      </c>
      <c r="I1554" s="591" t="s">
        <v>280</v>
      </c>
    </row>
    <row r="1555" spans="1:9">
      <c r="A1555" s="580" t="s">
        <v>418</v>
      </c>
      <c r="B1555" s="65">
        <v>1753</v>
      </c>
      <c r="C1555" s="579" t="s">
        <v>281</v>
      </c>
      <c r="D1555" s="579"/>
      <c r="E1555" s="583"/>
      <c r="F1555" s="596"/>
      <c r="G1555" s="65">
        <v>0</v>
      </c>
      <c r="H1555" s="591" t="s">
        <v>280</v>
      </c>
      <c r="I1555" s="591" t="s">
        <v>280</v>
      </c>
    </row>
    <row r="1556" spans="1:9">
      <c r="A1556" s="580" t="s">
        <v>418</v>
      </c>
      <c r="B1556" s="65">
        <v>1754</v>
      </c>
      <c r="C1556" s="579" t="s">
        <v>281</v>
      </c>
      <c r="D1556" s="579"/>
      <c r="E1556" s="583"/>
      <c r="F1556" s="596"/>
      <c r="G1556" s="65">
        <v>0</v>
      </c>
      <c r="H1556" s="591" t="s">
        <v>280</v>
      </c>
      <c r="I1556" s="591" t="s">
        <v>280</v>
      </c>
    </row>
    <row r="1557" spans="1:9">
      <c r="A1557" s="580" t="s">
        <v>418</v>
      </c>
      <c r="B1557" s="65">
        <v>1755</v>
      </c>
      <c r="C1557" s="579" t="s">
        <v>281</v>
      </c>
      <c r="D1557" s="579"/>
      <c r="E1557" s="583"/>
      <c r="F1557" s="596"/>
      <c r="G1557" s="65">
        <v>0</v>
      </c>
      <c r="H1557" s="591" t="s">
        <v>280</v>
      </c>
      <c r="I1557" s="591" t="s">
        <v>280</v>
      </c>
    </row>
    <row r="1558" spans="1:9">
      <c r="A1558" s="580" t="s">
        <v>418</v>
      </c>
      <c r="B1558" s="65">
        <v>1756</v>
      </c>
      <c r="C1558" s="579" t="s">
        <v>281</v>
      </c>
      <c r="D1558" s="579"/>
      <c r="E1558" s="583"/>
      <c r="F1558" s="596"/>
      <c r="G1558" s="65">
        <v>0</v>
      </c>
      <c r="H1558" s="591" t="s">
        <v>280</v>
      </c>
      <c r="I1558" s="591" t="s">
        <v>280</v>
      </c>
    </row>
    <row r="1559" spans="1:9">
      <c r="A1559" s="580" t="s">
        <v>418</v>
      </c>
      <c r="B1559" s="65">
        <v>1757</v>
      </c>
      <c r="C1559" s="579" t="s">
        <v>281</v>
      </c>
      <c r="D1559" s="579"/>
      <c r="E1559" s="583"/>
      <c r="F1559" s="596"/>
      <c r="G1559" s="65">
        <v>0</v>
      </c>
      <c r="H1559" s="591" t="s">
        <v>280</v>
      </c>
      <c r="I1559" s="591" t="s">
        <v>280</v>
      </c>
    </row>
    <row r="1560" spans="1:9">
      <c r="A1560" s="580" t="s">
        <v>418</v>
      </c>
      <c r="B1560" s="65">
        <v>1758</v>
      </c>
      <c r="C1560" s="579" t="s">
        <v>281</v>
      </c>
      <c r="D1560" s="579"/>
      <c r="E1560" s="583"/>
      <c r="F1560" s="596"/>
      <c r="G1560" s="65">
        <v>0</v>
      </c>
      <c r="H1560" s="591" t="s">
        <v>280</v>
      </c>
      <c r="I1560" s="591" t="s">
        <v>280</v>
      </c>
    </row>
    <row r="1561" spans="1:9">
      <c r="A1561" s="580" t="s">
        <v>418</v>
      </c>
      <c r="B1561" s="65">
        <v>1759</v>
      </c>
      <c r="C1561" s="579" t="s">
        <v>281</v>
      </c>
      <c r="D1561" s="579"/>
      <c r="E1561" s="583"/>
      <c r="F1561" s="596"/>
      <c r="G1561" s="65">
        <v>0</v>
      </c>
      <c r="H1561" s="591" t="s">
        <v>280</v>
      </c>
      <c r="I1561" s="591" t="s">
        <v>280</v>
      </c>
    </row>
    <row r="1562" spans="1:9">
      <c r="A1562" s="580" t="s">
        <v>418</v>
      </c>
      <c r="B1562" s="65">
        <v>1760</v>
      </c>
      <c r="C1562" s="579" t="s">
        <v>281</v>
      </c>
      <c r="D1562" s="579"/>
      <c r="E1562" s="583"/>
      <c r="F1562" s="596"/>
      <c r="G1562" s="65">
        <v>0</v>
      </c>
      <c r="H1562" s="591" t="s">
        <v>280</v>
      </c>
      <c r="I1562" s="591" t="s">
        <v>280</v>
      </c>
    </row>
    <row r="1563" spans="1:9">
      <c r="A1563" s="580" t="s">
        <v>418</v>
      </c>
      <c r="B1563" s="65">
        <v>1761</v>
      </c>
      <c r="C1563" s="579" t="s">
        <v>281</v>
      </c>
      <c r="D1563" s="579"/>
      <c r="E1563" s="583"/>
      <c r="F1563" s="596"/>
      <c r="G1563" s="65">
        <v>0</v>
      </c>
      <c r="H1563" s="591" t="s">
        <v>280</v>
      </c>
      <c r="I1563" s="591" t="s">
        <v>280</v>
      </c>
    </row>
    <row r="1564" spans="1:9">
      <c r="A1564" s="580" t="s">
        <v>418</v>
      </c>
      <c r="B1564" s="65">
        <v>1762</v>
      </c>
      <c r="C1564" s="579" t="s">
        <v>281</v>
      </c>
      <c r="D1564" s="579"/>
      <c r="E1564" s="583"/>
      <c r="F1564" s="596"/>
      <c r="G1564" s="65">
        <v>0</v>
      </c>
      <c r="H1564" s="591" t="s">
        <v>280</v>
      </c>
      <c r="I1564" s="591" t="s">
        <v>280</v>
      </c>
    </row>
    <row r="1565" spans="1:9">
      <c r="A1565" s="580" t="s">
        <v>418</v>
      </c>
      <c r="B1565" s="65">
        <v>1763</v>
      </c>
      <c r="C1565" s="579" t="s">
        <v>281</v>
      </c>
      <c r="D1565" s="579"/>
      <c r="E1565" s="583"/>
      <c r="F1565" s="596"/>
      <c r="G1565" s="65">
        <v>0</v>
      </c>
      <c r="H1565" s="591" t="s">
        <v>280</v>
      </c>
      <c r="I1565" s="591" t="s">
        <v>280</v>
      </c>
    </row>
    <row r="1566" spans="1:9">
      <c r="A1566" s="580" t="s">
        <v>418</v>
      </c>
      <c r="B1566" s="65">
        <v>1764</v>
      </c>
      <c r="C1566" s="579" t="s">
        <v>281</v>
      </c>
      <c r="D1566" s="579"/>
      <c r="E1566" s="583"/>
      <c r="F1566" s="596"/>
      <c r="G1566" s="65">
        <v>0</v>
      </c>
      <c r="H1566" s="591" t="s">
        <v>280</v>
      </c>
      <c r="I1566" s="591" t="s">
        <v>280</v>
      </c>
    </row>
    <row r="1567" spans="1:9">
      <c r="A1567" s="580" t="s">
        <v>418</v>
      </c>
      <c r="B1567" s="65">
        <v>1765</v>
      </c>
      <c r="C1567" s="579" t="s">
        <v>281</v>
      </c>
      <c r="D1567" s="579"/>
      <c r="E1567" s="583"/>
      <c r="F1567" s="596"/>
      <c r="G1567" s="65">
        <v>0</v>
      </c>
      <c r="H1567" s="591" t="s">
        <v>280</v>
      </c>
      <c r="I1567" s="591" t="s">
        <v>280</v>
      </c>
    </row>
    <row r="1568" spans="1:9">
      <c r="A1568" s="580" t="s">
        <v>418</v>
      </c>
      <c r="B1568" s="65">
        <v>1766</v>
      </c>
      <c r="C1568" s="579" t="s">
        <v>281</v>
      </c>
      <c r="D1568" s="579"/>
      <c r="E1568" s="583"/>
      <c r="F1568" s="596"/>
      <c r="G1568" s="65">
        <v>0</v>
      </c>
      <c r="H1568" s="591" t="s">
        <v>280</v>
      </c>
      <c r="I1568" s="591" t="s">
        <v>280</v>
      </c>
    </row>
    <row r="1569" spans="1:9">
      <c r="A1569" s="580" t="s">
        <v>418</v>
      </c>
      <c r="B1569" s="65">
        <v>1767</v>
      </c>
      <c r="C1569" s="579" t="s">
        <v>281</v>
      </c>
      <c r="D1569" s="579"/>
      <c r="E1569" s="583"/>
      <c r="F1569" s="596"/>
      <c r="G1569" s="65">
        <v>0</v>
      </c>
      <c r="H1569" s="591" t="s">
        <v>280</v>
      </c>
      <c r="I1569" s="591" t="s">
        <v>280</v>
      </c>
    </row>
    <row r="1570" spans="1:9">
      <c r="A1570" s="580" t="s">
        <v>418</v>
      </c>
      <c r="B1570" s="65">
        <v>1768</v>
      </c>
      <c r="C1570" s="579" t="s">
        <v>281</v>
      </c>
      <c r="D1570" s="579"/>
      <c r="E1570" s="583"/>
      <c r="F1570" s="596"/>
      <c r="G1570" s="65">
        <v>0</v>
      </c>
      <c r="H1570" s="591" t="s">
        <v>280</v>
      </c>
      <c r="I1570" s="591" t="s">
        <v>280</v>
      </c>
    </row>
    <row r="1571" spans="1:9">
      <c r="A1571" s="580" t="s">
        <v>418</v>
      </c>
      <c r="B1571" s="65">
        <v>1769</v>
      </c>
      <c r="C1571" s="579" t="s">
        <v>281</v>
      </c>
      <c r="D1571" s="579"/>
      <c r="E1571" s="583"/>
      <c r="F1571" s="596"/>
      <c r="G1571" s="65">
        <v>0</v>
      </c>
      <c r="H1571" s="591" t="s">
        <v>280</v>
      </c>
      <c r="I1571" s="591" t="s">
        <v>280</v>
      </c>
    </row>
    <row r="1572" spans="1:9">
      <c r="A1572" s="580" t="s">
        <v>418</v>
      </c>
      <c r="B1572" s="65">
        <v>1770</v>
      </c>
      <c r="C1572" s="579" t="s">
        <v>281</v>
      </c>
      <c r="D1572" s="579"/>
      <c r="E1572" s="583"/>
      <c r="F1572" s="596"/>
      <c r="G1572" s="65">
        <v>0</v>
      </c>
      <c r="H1572" s="591" t="s">
        <v>280</v>
      </c>
      <c r="I1572" s="591" t="s">
        <v>280</v>
      </c>
    </row>
    <row r="1573" spans="1:9">
      <c r="A1573" s="580" t="s">
        <v>418</v>
      </c>
      <c r="B1573" s="65">
        <v>1771</v>
      </c>
      <c r="C1573" s="579" t="s">
        <v>281</v>
      </c>
      <c r="D1573" s="579"/>
      <c r="E1573" s="583"/>
      <c r="F1573" s="596"/>
      <c r="G1573" s="65">
        <v>0</v>
      </c>
      <c r="H1573" s="591" t="s">
        <v>280</v>
      </c>
      <c r="I1573" s="591" t="s">
        <v>280</v>
      </c>
    </row>
    <row r="1574" spans="1:9">
      <c r="A1574" s="580" t="s">
        <v>418</v>
      </c>
      <c r="B1574" s="65">
        <v>1772</v>
      </c>
      <c r="C1574" s="579" t="s">
        <v>281</v>
      </c>
      <c r="D1574" s="579"/>
      <c r="E1574" s="583"/>
      <c r="F1574" s="596"/>
      <c r="G1574" s="65">
        <v>0</v>
      </c>
      <c r="H1574" s="591" t="s">
        <v>280</v>
      </c>
      <c r="I1574" s="591" t="s">
        <v>280</v>
      </c>
    </row>
    <row r="1575" spans="1:9">
      <c r="A1575" s="580" t="s">
        <v>418</v>
      </c>
      <c r="B1575" s="65">
        <v>1773</v>
      </c>
      <c r="C1575" s="579" t="s">
        <v>281</v>
      </c>
      <c r="D1575" s="579"/>
      <c r="E1575" s="583"/>
      <c r="F1575" s="596"/>
      <c r="G1575" s="65">
        <v>0</v>
      </c>
      <c r="H1575" s="591" t="s">
        <v>280</v>
      </c>
      <c r="I1575" s="591" t="s">
        <v>280</v>
      </c>
    </row>
    <row r="1576" spans="1:9">
      <c r="A1576" s="580" t="s">
        <v>418</v>
      </c>
      <c r="B1576" s="65">
        <v>1774</v>
      </c>
      <c r="C1576" s="579" t="s">
        <v>281</v>
      </c>
      <c r="D1576" s="579"/>
      <c r="E1576" s="583"/>
      <c r="F1576" s="596"/>
      <c r="G1576" s="65">
        <v>0</v>
      </c>
      <c r="H1576" s="591" t="s">
        <v>280</v>
      </c>
      <c r="I1576" s="591" t="s">
        <v>280</v>
      </c>
    </row>
    <row r="1577" spans="1:9">
      <c r="A1577" s="580" t="s">
        <v>418</v>
      </c>
      <c r="B1577" s="65">
        <v>1775</v>
      </c>
      <c r="C1577" s="579" t="s">
        <v>281</v>
      </c>
      <c r="D1577" s="579"/>
      <c r="E1577" s="583"/>
      <c r="F1577" s="596"/>
      <c r="G1577" s="65">
        <v>0</v>
      </c>
      <c r="H1577" s="591" t="s">
        <v>280</v>
      </c>
      <c r="I1577" s="591" t="s">
        <v>280</v>
      </c>
    </row>
    <row r="1578" spans="1:9">
      <c r="A1578" s="580" t="s">
        <v>418</v>
      </c>
      <c r="B1578" s="65">
        <v>1776</v>
      </c>
      <c r="C1578" s="579" t="s">
        <v>281</v>
      </c>
      <c r="D1578" s="579"/>
      <c r="E1578" s="583"/>
      <c r="F1578" s="596"/>
      <c r="G1578" s="65">
        <v>0</v>
      </c>
      <c r="H1578" s="591" t="s">
        <v>280</v>
      </c>
      <c r="I1578" s="591" t="s">
        <v>280</v>
      </c>
    </row>
    <row r="1579" spans="1:9">
      <c r="A1579" s="580" t="s">
        <v>418</v>
      </c>
      <c r="B1579" s="65">
        <v>1777</v>
      </c>
      <c r="C1579" s="579" t="s">
        <v>281</v>
      </c>
      <c r="D1579" s="579"/>
      <c r="E1579" s="583"/>
      <c r="F1579" s="596"/>
      <c r="G1579" s="65">
        <v>0</v>
      </c>
      <c r="H1579" s="591" t="s">
        <v>280</v>
      </c>
      <c r="I1579" s="591" t="s">
        <v>280</v>
      </c>
    </row>
    <row r="1580" spans="1:9">
      <c r="A1580" s="580" t="s">
        <v>418</v>
      </c>
      <c r="B1580" s="65">
        <v>1778</v>
      </c>
      <c r="C1580" s="579" t="s">
        <v>281</v>
      </c>
      <c r="D1580" s="579"/>
      <c r="E1580" s="583"/>
      <c r="F1580" s="596"/>
      <c r="G1580" s="65">
        <v>0</v>
      </c>
      <c r="H1580" s="591" t="s">
        <v>280</v>
      </c>
      <c r="I1580" s="591" t="s">
        <v>280</v>
      </c>
    </row>
    <row r="1581" spans="1:9">
      <c r="A1581" s="580" t="s">
        <v>418</v>
      </c>
      <c r="B1581" s="65">
        <v>1779</v>
      </c>
      <c r="C1581" s="579" t="s">
        <v>281</v>
      </c>
      <c r="D1581" s="579"/>
      <c r="E1581" s="583"/>
      <c r="F1581" s="596"/>
      <c r="G1581" s="65">
        <v>0</v>
      </c>
      <c r="H1581" s="591" t="s">
        <v>280</v>
      </c>
      <c r="I1581" s="591" t="s">
        <v>280</v>
      </c>
    </row>
    <row r="1582" spans="1:9">
      <c r="A1582" s="580" t="s">
        <v>418</v>
      </c>
      <c r="B1582" s="65">
        <v>1780</v>
      </c>
      <c r="C1582" s="579" t="s">
        <v>281</v>
      </c>
      <c r="D1582" s="579"/>
      <c r="E1582" s="583"/>
      <c r="F1582" s="596"/>
      <c r="G1582" s="65">
        <v>0</v>
      </c>
      <c r="H1582" s="591" t="s">
        <v>280</v>
      </c>
      <c r="I1582" s="591" t="s">
        <v>280</v>
      </c>
    </row>
    <row r="1583" spans="1:9">
      <c r="A1583" s="580" t="s">
        <v>418</v>
      </c>
      <c r="B1583" s="65">
        <v>1781</v>
      </c>
      <c r="C1583" s="579" t="s">
        <v>281</v>
      </c>
      <c r="D1583" s="579"/>
      <c r="E1583" s="583"/>
      <c r="F1583" s="596"/>
      <c r="G1583" s="65">
        <v>0</v>
      </c>
      <c r="H1583" s="591" t="s">
        <v>280</v>
      </c>
      <c r="I1583" s="591" t="s">
        <v>280</v>
      </c>
    </row>
    <row r="1584" spans="1:9">
      <c r="A1584" s="580" t="s">
        <v>418</v>
      </c>
      <c r="B1584" s="65">
        <v>1782</v>
      </c>
      <c r="C1584" s="579" t="s">
        <v>281</v>
      </c>
      <c r="D1584" s="579"/>
      <c r="E1584" s="583"/>
      <c r="F1584" s="596"/>
      <c r="G1584" s="65">
        <v>0</v>
      </c>
      <c r="H1584" s="591" t="s">
        <v>280</v>
      </c>
      <c r="I1584" s="591" t="s">
        <v>280</v>
      </c>
    </row>
    <row r="1585" spans="1:9">
      <c r="A1585" s="580" t="s">
        <v>418</v>
      </c>
      <c r="B1585" s="65">
        <v>1783</v>
      </c>
      <c r="C1585" s="579" t="s">
        <v>281</v>
      </c>
      <c r="D1585" s="579"/>
      <c r="E1585" s="583"/>
      <c r="F1585" s="596"/>
      <c r="G1585" s="65">
        <v>0</v>
      </c>
      <c r="H1585" s="591" t="s">
        <v>280</v>
      </c>
      <c r="I1585" s="591" t="s">
        <v>280</v>
      </c>
    </row>
    <row r="1586" spans="1:9">
      <c r="A1586" s="580" t="s">
        <v>418</v>
      </c>
      <c r="B1586" s="65">
        <v>1784</v>
      </c>
      <c r="C1586" s="579" t="s">
        <v>281</v>
      </c>
      <c r="D1586" s="579"/>
      <c r="E1586" s="583"/>
      <c r="F1586" s="596"/>
      <c r="G1586" s="65">
        <v>0</v>
      </c>
      <c r="H1586" s="591" t="s">
        <v>280</v>
      </c>
      <c r="I1586" s="591" t="s">
        <v>280</v>
      </c>
    </row>
    <row r="1587" spans="1:9">
      <c r="A1587" s="580" t="s">
        <v>418</v>
      </c>
      <c r="B1587" s="65">
        <v>1785</v>
      </c>
      <c r="C1587" s="579" t="s">
        <v>281</v>
      </c>
      <c r="D1587" s="579"/>
      <c r="E1587" s="583"/>
      <c r="F1587" s="596"/>
      <c r="G1587" s="65">
        <v>0</v>
      </c>
      <c r="H1587" s="591" t="s">
        <v>280</v>
      </c>
      <c r="I1587" s="591" t="s">
        <v>280</v>
      </c>
    </row>
    <row r="1588" spans="1:9">
      <c r="A1588" s="580" t="s">
        <v>418</v>
      </c>
      <c r="B1588" s="65">
        <v>1786</v>
      </c>
      <c r="C1588" s="579" t="s">
        <v>281</v>
      </c>
      <c r="D1588" s="579"/>
      <c r="E1588" s="583"/>
      <c r="F1588" s="596"/>
      <c r="G1588" s="65">
        <v>0</v>
      </c>
      <c r="H1588" s="591" t="s">
        <v>280</v>
      </c>
      <c r="I1588" s="591" t="s">
        <v>280</v>
      </c>
    </row>
    <row r="1589" spans="1:9">
      <c r="A1589" s="580" t="s">
        <v>418</v>
      </c>
      <c r="B1589" s="65">
        <v>1787</v>
      </c>
      <c r="C1589" s="579" t="s">
        <v>281</v>
      </c>
      <c r="D1589" s="579"/>
      <c r="E1589" s="583"/>
      <c r="F1589" s="596"/>
      <c r="G1589" s="65">
        <v>0</v>
      </c>
      <c r="H1589" s="591" t="s">
        <v>280</v>
      </c>
      <c r="I1589" s="591" t="s">
        <v>280</v>
      </c>
    </row>
    <row r="1590" spans="1:9">
      <c r="A1590" s="580" t="s">
        <v>418</v>
      </c>
      <c r="B1590" s="65">
        <v>1788</v>
      </c>
      <c r="C1590" s="579" t="s">
        <v>281</v>
      </c>
      <c r="D1590" s="579"/>
      <c r="E1590" s="583"/>
      <c r="F1590" s="596"/>
      <c r="G1590" s="65">
        <v>0</v>
      </c>
      <c r="H1590" s="591" t="s">
        <v>280</v>
      </c>
      <c r="I1590" s="591" t="s">
        <v>280</v>
      </c>
    </row>
    <row r="1591" spans="1:9">
      <c r="A1591" s="580" t="s">
        <v>418</v>
      </c>
      <c r="B1591" s="65">
        <v>1789</v>
      </c>
      <c r="C1591" s="579" t="s">
        <v>281</v>
      </c>
      <c r="D1591" s="579"/>
      <c r="E1591" s="583"/>
      <c r="F1591" s="596"/>
      <c r="G1591" s="65">
        <v>0</v>
      </c>
      <c r="H1591" s="591" t="s">
        <v>280</v>
      </c>
      <c r="I1591" s="591" t="s">
        <v>280</v>
      </c>
    </row>
    <row r="1592" spans="1:9">
      <c r="A1592" s="580" t="s">
        <v>418</v>
      </c>
      <c r="B1592" s="65">
        <v>1790</v>
      </c>
      <c r="C1592" s="579" t="s">
        <v>281</v>
      </c>
      <c r="D1592" s="579"/>
      <c r="E1592" s="583"/>
      <c r="F1592" s="596"/>
      <c r="G1592" s="65">
        <v>0</v>
      </c>
      <c r="H1592" s="591" t="s">
        <v>280</v>
      </c>
      <c r="I1592" s="591" t="s">
        <v>280</v>
      </c>
    </row>
    <row r="1593" spans="1:9">
      <c r="A1593" s="580" t="s">
        <v>418</v>
      </c>
      <c r="B1593" s="65">
        <v>1791</v>
      </c>
      <c r="C1593" s="579" t="s">
        <v>281</v>
      </c>
      <c r="D1593" s="579"/>
      <c r="E1593" s="583"/>
      <c r="F1593" s="596"/>
      <c r="G1593" s="65">
        <v>0</v>
      </c>
      <c r="H1593" s="591" t="s">
        <v>280</v>
      </c>
      <c r="I1593" s="591" t="s">
        <v>280</v>
      </c>
    </row>
    <row r="1594" spans="1:9">
      <c r="A1594" s="580" t="s">
        <v>418</v>
      </c>
      <c r="B1594" s="65">
        <v>1792</v>
      </c>
      <c r="C1594" s="579" t="s">
        <v>281</v>
      </c>
      <c r="D1594" s="579"/>
      <c r="E1594" s="583"/>
      <c r="F1594" s="596"/>
      <c r="G1594" s="65">
        <v>0</v>
      </c>
      <c r="H1594" s="591" t="s">
        <v>280</v>
      </c>
      <c r="I1594" s="591" t="s">
        <v>280</v>
      </c>
    </row>
    <row r="1595" spans="1:9">
      <c r="A1595" s="580" t="s">
        <v>418</v>
      </c>
      <c r="B1595" s="65">
        <v>1793</v>
      </c>
      <c r="C1595" s="579" t="s">
        <v>281</v>
      </c>
      <c r="D1595" s="579"/>
      <c r="E1595" s="583"/>
      <c r="F1595" s="596"/>
      <c r="G1595" s="65">
        <v>0</v>
      </c>
      <c r="H1595" s="591" t="s">
        <v>280</v>
      </c>
      <c r="I1595" s="591" t="s">
        <v>280</v>
      </c>
    </row>
    <row r="1596" spans="1:9">
      <c r="A1596" s="580" t="s">
        <v>418</v>
      </c>
      <c r="B1596" s="65">
        <v>1794</v>
      </c>
      <c r="C1596" s="579" t="s">
        <v>281</v>
      </c>
      <c r="D1596" s="579"/>
      <c r="E1596" s="583"/>
      <c r="F1596" s="596"/>
      <c r="G1596" s="65">
        <v>0</v>
      </c>
      <c r="H1596" s="591" t="s">
        <v>280</v>
      </c>
      <c r="I1596" s="591" t="s">
        <v>280</v>
      </c>
    </row>
    <row r="1597" spans="1:9">
      <c r="A1597" s="580" t="s">
        <v>418</v>
      </c>
      <c r="B1597" s="65">
        <v>1795</v>
      </c>
      <c r="C1597" s="579" t="s">
        <v>281</v>
      </c>
      <c r="D1597" s="579"/>
      <c r="E1597" s="583"/>
      <c r="F1597" s="596"/>
      <c r="G1597" s="65">
        <v>0</v>
      </c>
      <c r="H1597" s="591" t="s">
        <v>280</v>
      </c>
      <c r="I1597" s="591" t="s">
        <v>280</v>
      </c>
    </row>
    <row r="1598" spans="1:9">
      <c r="A1598" s="580" t="s">
        <v>418</v>
      </c>
      <c r="B1598" s="65">
        <v>1796</v>
      </c>
      <c r="C1598" s="579" t="s">
        <v>281</v>
      </c>
      <c r="D1598" s="579"/>
      <c r="E1598" s="583"/>
      <c r="F1598" s="596"/>
      <c r="G1598" s="65">
        <v>0</v>
      </c>
      <c r="H1598" s="591" t="s">
        <v>280</v>
      </c>
      <c r="I1598" s="591" t="s">
        <v>280</v>
      </c>
    </row>
    <row r="1599" spans="1:9">
      <c r="A1599" s="580" t="s">
        <v>418</v>
      </c>
      <c r="B1599" s="65">
        <v>1797</v>
      </c>
      <c r="C1599" s="579" t="s">
        <v>281</v>
      </c>
      <c r="D1599" s="579"/>
      <c r="E1599" s="583"/>
      <c r="F1599" s="596"/>
      <c r="G1599" s="65">
        <v>0</v>
      </c>
      <c r="H1599" s="591" t="s">
        <v>280</v>
      </c>
      <c r="I1599" s="591" t="s">
        <v>280</v>
      </c>
    </row>
    <row r="1600" spans="1:9">
      <c r="A1600" s="580" t="s">
        <v>418</v>
      </c>
      <c r="B1600" s="65">
        <v>1798</v>
      </c>
      <c r="C1600" s="579" t="s">
        <v>281</v>
      </c>
      <c r="D1600" s="579"/>
      <c r="E1600" s="583"/>
      <c r="F1600" s="596"/>
      <c r="G1600" s="65">
        <v>0</v>
      </c>
      <c r="H1600" s="591" t="s">
        <v>280</v>
      </c>
      <c r="I1600" s="591" t="s">
        <v>280</v>
      </c>
    </row>
    <row r="1601" spans="1:10">
      <c r="A1601" s="580" t="s">
        <v>418</v>
      </c>
      <c r="B1601" s="65">
        <v>1799</v>
      </c>
      <c r="C1601" s="579" t="s">
        <v>281</v>
      </c>
      <c r="D1601" s="579"/>
      <c r="E1601" s="583"/>
      <c r="F1601" s="596"/>
      <c r="G1601" s="65">
        <v>0</v>
      </c>
      <c r="H1601" s="591" t="s">
        <v>280</v>
      </c>
      <c r="I1601" s="591" t="s">
        <v>280</v>
      </c>
    </row>
    <row r="1602" spans="1:10">
      <c r="A1602" s="582" t="s">
        <v>431</v>
      </c>
      <c r="B1602" s="65">
        <v>1800</v>
      </c>
      <c r="C1602" s="579" t="s">
        <v>279</v>
      </c>
      <c r="D1602" s="579"/>
      <c r="E1602" s="583"/>
      <c r="F1602" s="585">
        <v>45535</v>
      </c>
      <c r="G1602" s="65">
        <v>1</v>
      </c>
      <c r="H1602" s="591" t="s">
        <v>280</v>
      </c>
      <c r="I1602" s="591" t="s">
        <v>280</v>
      </c>
    </row>
    <row r="1603" spans="1:10">
      <c r="A1603" s="582" t="s">
        <v>431</v>
      </c>
      <c r="B1603" s="65">
        <v>1801</v>
      </c>
      <c r="C1603" s="579" t="s">
        <v>281</v>
      </c>
      <c r="D1603" s="65"/>
      <c r="E1603" s="583"/>
      <c r="F1603" s="596"/>
      <c r="G1603" s="65">
        <v>0</v>
      </c>
      <c r="H1603" s="591" t="s">
        <v>280</v>
      </c>
      <c r="I1603" s="591" t="s">
        <v>280</v>
      </c>
    </row>
    <row r="1604" spans="1:10">
      <c r="A1604" s="582" t="s">
        <v>431</v>
      </c>
      <c r="B1604" s="65">
        <v>1802</v>
      </c>
      <c r="C1604" s="579" t="s">
        <v>281</v>
      </c>
      <c r="D1604" s="65"/>
      <c r="E1604" s="583"/>
      <c r="F1604" s="596"/>
      <c r="G1604" s="65">
        <v>0</v>
      </c>
      <c r="H1604" s="591" t="s">
        <v>280</v>
      </c>
      <c r="I1604" s="591" t="s">
        <v>280</v>
      </c>
      <c r="J1604" s="57"/>
    </row>
    <row r="1605" spans="1:10">
      <c r="A1605" s="582" t="s">
        <v>431</v>
      </c>
      <c r="B1605" s="65">
        <v>1803</v>
      </c>
      <c r="C1605" s="579" t="s">
        <v>281</v>
      </c>
      <c r="D1605" s="65"/>
      <c r="E1605" s="583"/>
      <c r="F1605" s="596"/>
      <c r="G1605" s="65">
        <v>0</v>
      </c>
      <c r="H1605" s="591" t="s">
        <v>280</v>
      </c>
      <c r="I1605" s="591" t="s">
        <v>280</v>
      </c>
      <c r="J1605" s="57"/>
    </row>
    <row r="1606" spans="1:10">
      <c r="A1606" s="582" t="s">
        <v>431</v>
      </c>
      <c r="B1606" s="65">
        <v>1804</v>
      </c>
      <c r="C1606" s="579" t="s">
        <v>281</v>
      </c>
      <c r="D1606" s="65"/>
      <c r="E1606" s="583"/>
      <c r="F1606" s="596"/>
      <c r="G1606" s="65">
        <v>0</v>
      </c>
      <c r="H1606" s="591" t="s">
        <v>280</v>
      </c>
      <c r="I1606" s="591" t="s">
        <v>280</v>
      </c>
      <c r="J1606" s="57"/>
    </row>
    <row r="1607" spans="1:10">
      <c r="A1607" s="582" t="s">
        <v>431</v>
      </c>
      <c r="B1607" s="65">
        <v>1805</v>
      </c>
      <c r="C1607" s="579" t="s">
        <v>432</v>
      </c>
      <c r="D1607" s="579">
        <v>10461</v>
      </c>
      <c r="E1607" s="583"/>
      <c r="F1607" s="585">
        <v>45535</v>
      </c>
      <c r="G1607" s="65">
        <v>1</v>
      </c>
      <c r="H1607" s="591" t="s">
        <v>1978</v>
      </c>
      <c r="I1607" s="591" t="s">
        <v>1236</v>
      </c>
      <c r="J1607" s="57"/>
    </row>
    <row r="1608" spans="1:10">
      <c r="A1608" s="582" t="s">
        <v>431</v>
      </c>
      <c r="B1608" s="65">
        <v>1806</v>
      </c>
      <c r="C1608" s="579" t="s">
        <v>281</v>
      </c>
      <c r="D1608" s="579"/>
      <c r="E1608" s="583"/>
      <c r="F1608" s="596"/>
      <c r="G1608" s="65">
        <v>0</v>
      </c>
      <c r="H1608" s="591" t="s">
        <v>280</v>
      </c>
      <c r="I1608" s="591" t="s">
        <v>280</v>
      </c>
      <c r="J1608" s="57"/>
    </row>
    <row r="1609" spans="1:10">
      <c r="A1609" s="582" t="s">
        <v>431</v>
      </c>
      <c r="B1609" s="65">
        <v>1807</v>
      </c>
      <c r="C1609" s="65" t="s">
        <v>433</v>
      </c>
      <c r="D1609" s="579">
        <v>10219</v>
      </c>
      <c r="E1609" s="583"/>
      <c r="F1609" s="585">
        <v>45535</v>
      </c>
      <c r="G1609" s="65">
        <v>1</v>
      </c>
      <c r="H1609" s="591" t="s">
        <v>1974</v>
      </c>
      <c r="I1609" s="591" t="s">
        <v>87</v>
      </c>
      <c r="J1609" s="57"/>
    </row>
    <row r="1610" spans="1:10">
      <c r="A1610" s="582" t="s">
        <v>431</v>
      </c>
      <c r="B1610" s="65">
        <v>1808</v>
      </c>
      <c r="C1610" s="579" t="s">
        <v>281</v>
      </c>
      <c r="D1610" s="65"/>
      <c r="E1610" s="583"/>
      <c r="F1610" s="596"/>
      <c r="G1610" s="65">
        <v>0</v>
      </c>
      <c r="H1610" s="591" t="s">
        <v>280</v>
      </c>
      <c r="I1610" s="591" t="s">
        <v>280</v>
      </c>
      <c r="J1610" s="57"/>
    </row>
    <row r="1611" spans="1:10">
      <c r="A1611" s="582" t="s">
        <v>431</v>
      </c>
      <c r="B1611" s="65">
        <v>1809</v>
      </c>
      <c r="C1611" s="65" t="s">
        <v>281</v>
      </c>
      <c r="D1611" s="65"/>
      <c r="E1611" s="583"/>
      <c r="F1611" s="596"/>
      <c r="G1611" s="65">
        <v>0</v>
      </c>
      <c r="H1611" s="591" t="s">
        <v>280</v>
      </c>
      <c r="I1611" s="591" t="s">
        <v>280</v>
      </c>
      <c r="J1611" s="57"/>
    </row>
    <row r="1612" spans="1:10">
      <c r="A1612" s="582" t="s">
        <v>431</v>
      </c>
      <c r="B1612" s="65">
        <v>1810</v>
      </c>
      <c r="C1612" s="579" t="s">
        <v>281</v>
      </c>
      <c r="D1612" s="65"/>
      <c r="E1612" s="583"/>
      <c r="F1612" s="596"/>
      <c r="G1612" s="65">
        <v>0</v>
      </c>
      <c r="H1612" s="591" t="s">
        <v>280</v>
      </c>
      <c r="I1612" s="591" t="s">
        <v>280</v>
      </c>
      <c r="J1612" s="57"/>
    </row>
    <row r="1613" spans="1:10">
      <c r="A1613" s="582" t="s">
        <v>431</v>
      </c>
      <c r="B1613" s="65">
        <v>1811</v>
      </c>
      <c r="C1613" s="579" t="s">
        <v>434</v>
      </c>
      <c r="D1613" s="63">
        <v>10681</v>
      </c>
      <c r="E1613" s="583"/>
      <c r="F1613" s="585">
        <v>45535</v>
      </c>
      <c r="G1613" s="65">
        <v>1</v>
      </c>
      <c r="H1613" s="591" t="s">
        <v>1974</v>
      </c>
      <c r="I1613" s="591" t="s">
        <v>87</v>
      </c>
      <c r="J1613" s="57"/>
    </row>
    <row r="1614" spans="1:10">
      <c r="A1614" s="582" t="s">
        <v>431</v>
      </c>
      <c r="B1614" s="65">
        <v>1812</v>
      </c>
      <c r="C1614" s="579" t="s">
        <v>281</v>
      </c>
      <c r="D1614" s="65"/>
      <c r="E1614" s="583"/>
      <c r="F1614" s="596"/>
      <c r="G1614" s="65">
        <v>0</v>
      </c>
      <c r="H1614" s="591" t="s">
        <v>280</v>
      </c>
      <c r="I1614" s="591" t="s">
        <v>280</v>
      </c>
      <c r="J1614" s="57"/>
    </row>
    <row r="1615" spans="1:10">
      <c r="A1615" s="582" t="s">
        <v>431</v>
      </c>
      <c r="B1615" s="65">
        <v>1813</v>
      </c>
      <c r="C1615" s="579" t="s">
        <v>281</v>
      </c>
      <c r="D1615" s="579"/>
      <c r="E1615" s="583"/>
      <c r="F1615" s="596"/>
      <c r="G1615" s="65">
        <v>0</v>
      </c>
      <c r="H1615" s="591" t="s">
        <v>280</v>
      </c>
      <c r="I1615" s="591" t="s">
        <v>280</v>
      </c>
      <c r="J1615" s="57"/>
    </row>
    <row r="1616" spans="1:10">
      <c r="A1616" s="582" t="s">
        <v>431</v>
      </c>
      <c r="B1616" s="65">
        <v>1814</v>
      </c>
      <c r="C1616" s="65" t="s">
        <v>435</v>
      </c>
      <c r="D1616" s="579">
        <v>10373</v>
      </c>
      <c r="E1616" s="583"/>
      <c r="F1616" s="585">
        <v>45535</v>
      </c>
      <c r="G1616" s="65">
        <v>1</v>
      </c>
      <c r="H1616" s="591" t="s">
        <v>280</v>
      </c>
      <c r="I1616" s="591" t="s">
        <v>280</v>
      </c>
      <c r="J1616" s="57"/>
    </row>
    <row r="1617" spans="1:10">
      <c r="A1617" s="582" t="s">
        <v>431</v>
      </c>
      <c r="B1617" s="65">
        <v>1815</v>
      </c>
      <c r="C1617" s="579" t="s">
        <v>436</v>
      </c>
      <c r="D1617" s="579">
        <v>10650</v>
      </c>
      <c r="E1617" s="583"/>
      <c r="F1617" s="585">
        <v>45535</v>
      </c>
      <c r="G1617" s="65">
        <v>1</v>
      </c>
      <c r="H1617" s="591" t="s">
        <v>1978</v>
      </c>
      <c r="I1617" s="591" t="s">
        <v>1236</v>
      </c>
      <c r="J1617" s="57"/>
    </row>
    <row r="1618" spans="1:10">
      <c r="A1618" s="582" t="s">
        <v>431</v>
      </c>
      <c r="B1618" s="65">
        <v>1816</v>
      </c>
      <c r="C1618" s="579" t="s">
        <v>437</v>
      </c>
      <c r="D1618" s="579">
        <v>10334</v>
      </c>
      <c r="E1618" s="583"/>
      <c r="F1618" s="585">
        <v>45535</v>
      </c>
      <c r="G1618" s="65">
        <v>1</v>
      </c>
      <c r="H1618" s="591" t="s">
        <v>1974</v>
      </c>
      <c r="I1618" s="591" t="s">
        <v>87</v>
      </c>
      <c r="J1618" s="57"/>
    </row>
    <row r="1619" spans="1:10">
      <c r="A1619" s="582" t="s">
        <v>431</v>
      </c>
      <c r="B1619" s="65">
        <v>1817</v>
      </c>
      <c r="C1619" s="65" t="s">
        <v>1701</v>
      </c>
      <c r="D1619" s="579">
        <v>10569</v>
      </c>
      <c r="E1619" s="583"/>
      <c r="F1619" s="585">
        <v>45535</v>
      </c>
      <c r="G1619" s="65">
        <v>1</v>
      </c>
      <c r="H1619" s="591" t="s">
        <v>9</v>
      </c>
      <c r="I1619" s="591" t="s">
        <v>61</v>
      </c>
      <c r="J1619" s="66"/>
    </row>
    <row r="1620" spans="1:10">
      <c r="A1620" s="582" t="s">
        <v>431</v>
      </c>
      <c r="B1620" s="65">
        <v>1818</v>
      </c>
      <c r="C1620" s="579" t="s">
        <v>281</v>
      </c>
      <c r="D1620" s="579"/>
      <c r="E1620" s="583"/>
      <c r="F1620" s="596"/>
      <c r="G1620" s="65">
        <v>0</v>
      </c>
      <c r="H1620" s="591" t="s">
        <v>280</v>
      </c>
      <c r="I1620" s="591" t="s">
        <v>280</v>
      </c>
      <c r="J1620" s="66"/>
    </row>
    <row r="1621" spans="1:10">
      <c r="A1621" s="582" t="s">
        <v>431</v>
      </c>
      <c r="B1621" s="65">
        <v>1819</v>
      </c>
      <c r="C1621" s="579" t="s">
        <v>438</v>
      </c>
      <c r="D1621" s="579">
        <v>10668</v>
      </c>
      <c r="E1621" s="583"/>
      <c r="F1621" s="585">
        <v>45535</v>
      </c>
      <c r="G1621" s="65">
        <v>1</v>
      </c>
      <c r="H1621" s="591" t="s">
        <v>1978</v>
      </c>
      <c r="I1621" s="591" t="s">
        <v>1236</v>
      </c>
      <c r="J1621" s="57"/>
    </row>
    <row r="1622" spans="1:10">
      <c r="A1622" s="582" t="s">
        <v>431</v>
      </c>
      <c r="B1622" s="65">
        <v>1820</v>
      </c>
      <c r="C1622" s="65" t="s">
        <v>281</v>
      </c>
      <c r="D1622" s="579"/>
      <c r="E1622" s="583"/>
      <c r="F1622" s="596"/>
      <c r="G1622" s="65">
        <v>0</v>
      </c>
      <c r="H1622" s="591" t="s">
        <v>280</v>
      </c>
      <c r="I1622" s="591" t="s">
        <v>280</v>
      </c>
      <c r="J1622" s="57"/>
    </row>
    <row r="1623" spans="1:10">
      <c r="A1623" s="582" t="s">
        <v>431</v>
      </c>
      <c r="B1623" s="65">
        <v>1821</v>
      </c>
      <c r="C1623" s="65" t="s">
        <v>281</v>
      </c>
      <c r="D1623" s="579"/>
      <c r="E1623" s="583"/>
      <c r="F1623" s="596"/>
      <c r="G1623" s="65">
        <v>0</v>
      </c>
      <c r="H1623" s="591" t="s">
        <v>280</v>
      </c>
      <c r="I1623" s="591" t="s">
        <v>280</v>
      </c>
      <c r="J1623" s="57"/>
    </row>
    <row r="1624" spans="1:10">
      <c r="A1624" s="582" t="s">
        <v>431</v>
      </c>
      <c r="B1624" s="65">
        <v>1822</v>
      </c>
      <c r="C1624" s="579" t="s">
        <v>281</v>
      </c>
      <c r="D1624" s="65"/>
      <c r="E1624" s="583"/>
      <c r="F1624" s="596"/>
      <c r="G1624" s="65">
        <v>0</v>
      </c>
      <c r="H1624" s="591" t="s">
        <v>280</v>
      </c>
      <c r="I1624" s="591" t="s">
        <v>280</v>
      </c>
      <c r="J1624" s="57"/>
    </row>
    <row r="1625" spans="1:10">
      <c r="A1625" s="582" t="s">
        <v>431</v>
      </c>
      <c r="B1625" s="65">
        <v>1823</v>
      </c>
      <c r="C1625" s="65" t="s">
        <v>439</v>
      </c>
      <c r="D1625" s="65">
        <v>10418</v>
      </c>
      <c r="E1625" s="583"/>
      <c r="F1625" s="585">
        <v>45535</v>
      </c>
      <c r="G1625" s="65">
        <v>1</v>
      </c>
      <c r="H1625" s="591" t="s">
        <v>9</v>
      </c>
      <c r="I1625" s="591" t="s">
        <v>61</v>
      </c>
    </row>
    <row r="1626" spans="1:10">
      <c r="A1626" s="582" t="s">
        <v>431</v>
      </c>
      <c r="B1626" s="65">
        <v>1824</v>
      </c>
      <c r="C1626" s="65" t="s">
        <v>440</v>
      </c>
      <c r="D1626" s="579">
        <v>10325</v>
      </c>
      <c r="E1626" s="583"/>
      <c r="F1626" s="585">
        <v>45535</v>
      </c>
      <c r="G1626" s="65">
        <v>1</v>
      </c>
      <c r="H1626" s="591" t="s">
        <v>280</v>
      </c>
      <c r="I1626" s="591" t="s">
        <v>280</v>
      </c>
    </row>
    <row r="1627" spans="1:10">
      <c r="A1627" s="582" t="s">
        <v>431</v>
      </c>
      <c r="B1627" s="65">
        <v>1825</v>
      </c>
      <c r="C1627" s="579" t="s">
        <v>441</v>
      </c>
      <c r="D1627" s="579">
        <v>10052</v>
      </c>
      <c r="E1627" s="583"/>
      <c r="F1627" s="585">
        <v>45535</v>
      </c>
      <c r="G1627" s="65">
        <v>1</v>
      </c>
      <c r="H1627" s="591" t="s">
        <v>280</v>
      </c>
      <c r="I1627" s="591" t="s">
        <v>280</v>
      </c>
    </row>
    <row r="1628" spans="1:10">
      <c r="A1628" s="582" t="s">
        <v>431</v>
      </c>
      <c r="B1628" s="65">
        <v>1826</v>
      </c>
      <c r="C1628" s="579" t="s">
        <v>281</v>
      </c>
      <c r="D1628" s="579"/>
      <c r="E1628" s="583"/>
      <c r="F1628" s="596"/>
      <c r="G1628" s="65">
        <v>0</v>
      </c>
      <c r="H1628" s="591" t="s">
        <v>280</v>
      </c>
      <c r="I1628" s="591" t="s">
        <v>280</v>
      </c>
    </row>
    <row r="1629" spans="1:10">
      <c r="A1629" s="582" t="s">
        <v>431</v>
      </c>
      <c r="B1629" s="65">
        <v>1827</v>
      </c>
      <c r="C1629" s="579" t="s">
        <v>442</v>
      </c>
      <c r="D1629" s="579">
        <v>10202</v>
      </c>
      <c r="E1629" s="583"/>
      <c r="F1629" s="585">
        <v>45535</v>
      </c>
      <c r="G1629" s="65">
        <v>1</v>
      </c>
      <c r="H1629" s="591" t="s">
        <v>1974</v>
      </c>
      <c r="I1629" s="591" t="s">
        <v>87</v>
      </c>
    </row>
    <row r="1630" spans="1:10">
      <c r="A1630" s="582" t="s">
        <v>431</v>
      </c>
      <c r="B1630" s="65">
        <v>1828</v>
      </c>
      <c r="C1630" s="579" t="s">
        <v>281</v>
      </c>
      <c r="D1630" s="65"/>
      <c r="E1630" s="583"/>
      <c r="F1630" s="596"/>
      <c r="G1630" s="65">
        <v>0</v>
      </c>
      <c r="H1630" s="591" t="s">
        <v>280</v>
      </c>
      <c r="I1630" s="591" t="s">
        <v>280</v>
      </c>
    </row>
    <row r="1631" spans="1:10">
      <c r="A1631" s="582" t="s">
        <v>431</v>
      </c>
      <c r="B1631" s="65">
        <v>1829</v>
      </c>
      <c r="C1631" s="579" t="s">
        <v>281</v>
      </c>
      <c r="D1631" s="65"/>
      <c r="E1631" s="583"/>
      <c r="F1631" s="596"/>
      <c r="G1631" s="65">
        <v>0</v>
      </c>
      <c r="H1631" s="591" t="s">
        <v>280</v>
      </c>
      <c r="I1631" s="591" t="s">
        <v>280</v>
      </c>
    </row>
    <row r="1632" spans="1:10">
      <c r="A1632" s="582" t="s">
        <v>431</v>
      </c>
      <c r="B1632" s="65">
        <v>1830</v>
      </c>
      <c r="C1632" s="579" t="s">
        <v>281</v>
      </c>
      <c r="D1632" s="65"/>
      <c r="E1632" s="583"/>
      <c r="F1632" s="596"/>
      <c r="G1632" s="65">
        <v>0</v>
      </c>
      <c r="H1632" s="591" t="s">
        <v>280</v>
      </c>
      <c r="I1632" s="591" t="s">
        <v>280</v>
      </c>
    </row>
    <row r="1633" spans="1:9">
      <c r="A1633" s="582" t="s">
        <v>431</v>
      </c>
      <c r="B1633" s="65">
        <v>1831</v>
      </c>
      <c r="C1633" s="579" t="s">
        <v>281</v>
      </c>
      <c r="D1633" s="579"/>
      <c r="E1633" s="583"/>
      <c r="F1633" s="596"/>
      <c r="G1633" s="65">
        <v>0</v>
      </c>
      <c r="H1633" s="591" t="s">
        <v>280</v>
      </c>
      <c r="I1633" s="591" t="s">
        <v>280</v>
      </c>
    </row>
    <row r="1634" spans="1:9">
      <c r="A1634" s="582" t="s">
        <v>431</v>
      </c>
      <c r="B1634" s="65">
        <v>1832</v>
      </c>
      <c r="C1634" s="579" t="s">
        <v>281</v>
      </c>
      <c r="D1634" s="65"/>
      <c r="E1634" s="583"/>
      <c r="F1634" s="596"/>
      <c r="G1634" s="65">
        <v>0</v>
      </c>
      <c r="H1634" s="591" t="s">
        <v>280</v>
      </c>
      <c r="I1634" s="591" t="s">
        <v>280</v>
      </c>
    </row>
    <row r="1635" spans="1:9">
      <c r="A1635" s="582" t="s">
        <v>431</v>
      </c>
      <c r="B1635" s="65">
        <v>1833</v>
      </c>
      <c r="C1635" s="579" t="s">
        <v>443</v>
      </c>
      <c r="D1635" s="63">
        <v>10188</v>
      </c>
      <c r="E1635" s="583"/>
      <c r="F1635" s="585">
        <v>45535</v>
      </c>
      <c r="G1635" s="65">
        <v>1</v>
      </c>
      <c r="H1635" s="591" t="s">
        <v>280</v>
      </c>
      <c r="I1635" s="591" t="s">
        <v>280</v>
      </c>
    </row>
    <row r="1636" spans="1:9">
      <c r="A1636" s="582" t="s">
        <v>431</v>
      </c>
      <c r="B1636" s="65">
        <v>1834</v>
      </c>
      <c r="C1636" s="579" t="s">
        <v>281</v>
      </c>
      <c r="D1636" s="65"/>
      <c r="E1636" s="583"/>
      <c r="F1636" s="596"/>
      <c r="G1636" s="65">
        <v>0</v>
      </c>
      <c r="H1636" s="591" t="s">
        <v>280</v>
      </c>
      <c r="I1636" s="591" t="s">
        <v>280</v>
      </c>
    </row>
    <row r="1637" spans="1:9">
      <c r="A1637" s="582" t="s">
        <v>431</v>
      </c>
      <c r="B1637" s="65">
        <v>1835</v>
      </c>
      <c r="C1637" s="579" t="s">
        <v>444</v>
      </c>
      <c r="D1637" s="579">
        <v>10518</v>
      </c>
      <c r="E1637" s="583"/>
      <c r="F1637" s="585">
        <v>45535</v>
      </c>
      <c r="G1637" s="65">
        <v>1</v>
      </c>
      <c r="H1637" s="591" t="s">
        <v>9</v>
      </c>
      <c r="I1637" s="591" t="s">
        <v>61</v>
      </c>
    </row>
    <row r="1638" spans="1:9">
      <c r="A1638" s="582" t="s">
        <v>431</v>
      </c>
      <c r="B1638" s="65">
        <v>1836</v>
      </c>
      <c r="C1638" s="579" t="s">
        <v>281</v>
      </c>
      <c r="D1638" s="579"/>
      <c r="E1638" s="583"/>
      <c r="F1638" s="596"/>
      <c r="G1638" s="65">
        <v>0</v>
      </c>
      <c r="H1638" s="591" t="s">
        <v>280</v>
      </c>
      <c r="I1638" s="591" t="s">
        <v>280</v>
      </c>
    </row>
    <row r="1639" spans="1:9">
      <c r="A1639" s="582" t="s">
        <v>431</v>
      </c>
      <c r="B1639" s="65">
        <v>1837</v>
      </c>
      <c r="C1639" s="579" t="s">
        <v>445</v>
      </c>
      <c r="D1639" s="63">
        <v>10179</v>
      </c>
      <c r="E1639" s="583"/>
      <c r="F1639" s="585">
        <v>45535</v>
      </c>
      <c r="G1639" s="65">
        <v>1</v>
      </c>
      <c r="H1639" s="591" t="s">
        <v>9</v>
      </c>
      <c r="I1639" s="591" t="s">
        <v>61</v>
      </c>
    </row>
    <row r="1640" spans="1:9">
      <c r="A1640" s="582" t="s">
        <v>431</v>
      </c>
      <c r="B1640" s="65">
        <v>1838</v>
      </c>
      <c r="C1640" s="579" t="s">
        <v>281</v>
      </c>
      <c r="D1640" s="63"/>
      <c r="E1640" s="583"/>
      <c r="F1640" s="596"/>
      <c r="G1640" s="65">
        <v>0</v>
      </c>
      <c r="H1640" s="591" t="s">
        <v>280</v>
      </c>
      <c r="I1640" s="591" t="s">
        <v>280</v>
      </c>
    </row>
    <row r="1641" spans="1:9">
      <c r="A1641" s="582" t="s">
        <v>431</v>
      </c>
      <c r="B1641" s="65">
        <v>1839</v>
      </c>
      <c r="C1641" s="579" t="s">
        <v>446</v>
      </c>
      <c r="D1641" s="63">
        <v>10071</v>
      </c>
      <c r="E1641" s="583"/>
      <c r="F1641" s="585">
        <v>45535</v>
      </c>
      <c r="G1641" s="65">
        <v>1</v>
      </c>
      <c r="H1641" s="591" t="s">
        <v>280</v>
      </c>
      <c r="I1641" s="591" t="s">
        <v>280</v>
      </c>
    </row>
    <row r="1642" spans="1:9">
      <c r="A1642" s="582" t="s">
        <v>431</v>
      </c>
      <c r="B1642" s="65">
        <v>1840</v>
      </c>
      <c r="C1642" s="579" t="s">
        <v>281</v>
      </c>
      <c r="D1642" s="63"/>
      <c r="E1642" s="583"/>
      <c r="F1642" s="596"/>
      <c r="G1642" s="65">
        <v>0</v>
      </c>
      <c r="H1642" s="591" t="s">
        <v>280</v>
      </c>
      <c r="I1642" s="591" t="s">
        <v>280</v>
      </c>
    </row>
    <row r="1643" spans="1:9">
      <c r="A1643" s="582" t="s">
        <v>431</v>
      </c>
      <c r="B1643" s="65">
        <v>1841</v>
      </c>
      <c r="C1643" s="579" t="s">
        <v>447</v>
      </c>
      <c r="D1643" s="579">
        <v>10178</v>
      </c>
      <c r="E1643" s="583"/>
      <c r="F1643" s="585">
        <v>45535</v>
      </c>
      <c r="G1643" s="65">
        <v>1</v>
      </c>
      <c r="H1643" s="591" t="s">
        <v>1974</v>
      </c>
      <c r="I1643" s="591" t="s">
        <v>87</v>
      </c>
    </row>
    <row r="1644" spans="1:9">
      <c r="A1644" s="582" t="s">
        <v>431</v>
      </c>
      <c r="B1644" s="65">
        <v>1842</v>
      </c>
      <c r="C1644" s="579" t="s">
        <v>281</v>
      </c>
      <c r="D1644" s="63"/>
      <c r="E1644" s="583"/>
      <c r="F1644" s="596"/>
      <c r="G1644" s="65">
        <v>0</v>
      </c>
      <c r="H1644" s="591" t="s">
        <v>280</v>
      </c>
      <c r="I1644" s="591" t="s">
        <v>280</v>
      </c>
    </row>
    <row r="1645" spans="1:9">
      <c r="A1645" s="582" t="s">
        <v>431</v>
      </c>
      <c r="B1645" s="65">
        <v>1843</v>
      </c>
      <c r="C1645" s="579" t="s">
        <v>281</v>
      </c>
      <c r="D1645" s="63"/>
      <c r="E1645" s="583"/>
      <c r="F1645" s="596"/>
      <c r="G1645" s="65">
        <v>0</v>
      </c>
      <c r="H1645" s="591" t="s">
        <v>280</v>
      </c>
      <c r="I1645" s="591" t="s">
        <v>280</v>
      </c>
    </row>
    <row r="1646" spans="1:9">
      <c r="A1646" s="582" t="s">
        <v>431</v>
      </c>
      <c r="B1646" s="65">
        <v>1844</v>
      </c>
      <c r="C1646" s="579" t="s">
        <v>448</v>
      </c>
      <c r="D1646" s="579">
        <v>10031</v>
      </c>
      <c r="E1646" s="583"/>
      <c r="F1646" s="585">
        <v>45535</v>
      </c>
      <c r="G1646" s="65">
        <v>1</v>
      </c>
      <c r="H1646" s="591" t="s">
        <v>1979</v>
      </c>
      <c r="I1646" s="591" t="s">
        <v>1230</v>
      </c>
    </row>
    <row r="1647" spans="1:9">
      <c r="A1647" s="582" t="s">
        <v>431</v>
      </c>
      <c r="B1647" s="65">
        <v>1845</v>
      </c>
      <c r="C1647" s="579" t="s">
        <v>449</v>
      </c>
      <c r="D1647" s="65">
        <v>10481</v>
      </c>
      <c r="E1647" s="583"/>
      <c r="F1647" s="585">
        <v>45535</v>
      </c>
      <c r="G1647" s="65">
        <v>1</v>
      </c>
      <c r="H1647" s="591" t="s">
        <v>1978</v>
      </c>
      <c r="I1647" s="591" t="s">
        <v>1236</v>
      </c>
    </row>
    <row r="1648" spans="1:9">
      <c r="A1648" s="582" t="s">
        <v>431</v>
      </c>
      <c r="B1648" s="65">
        <v>1846</v>
      </c>
      <c r="C1648" s="579" t="s">
        <v>450</v>
      </c>
      <c r="D1648" s="579">
        <v>10506</v>
      </c>
      <c r="E1648" s="583"/>
      <c r="F1648" s="585">
        <v>45535</v>
      </c>
      <c r="G1648" s="65">
        <v>1</v>
      </c>
      <c r="H1648" s="591" t="s">
        <v>9</v>
      </c>
      <c r="I1648" s="591" t="s">
        <v>61</v>
      </c>
    </row>
    <row r="1649" spans="1:9">
      <c r="A1649" s="582" t="s">
        <v>431</v>
      </c>
      <c r="B1649" s="65">
        <v>1847</v>
      </c>
      <c r="C1649" s="579" t="s">
        <v>451</v>
      </c>
      <c r="D1649" s="579">
        <v>10665</v>
      </c>
      <c r="E1649" s="583"/>
      <c r="F1649" s="585">
        <v>45535</v>
      </c>
      <c r="G1649" s="65">
        <v>1</v>
      </c>
      <c r="H1649" s="591" t="s">
        <v>1974</v>
      </c>
      <c r="I1649" s="591" t="s">
        <v>87</v>
      </c>
    </row>
    <row r="1650" spans="1:9">
      <c r="A1650" s="582" t="s">
        <v>431</v>
      </c>
      <c r="B1650" s="65">
        <v>1848</v>
      </c>
      <c r="C1650" s="579" t="s">
        <v>452</v>
      </c>
      <c r="D1650" s="63">
        <v>10053</v>
      </c>
      <c r="E1650" s="583"/>
      <c r="F1650" s="585">
        <v>45535</v>
      </c>
      <c r="G1650" s="65">
        <v>1</v>
      </c>
      <c r="H1650" s="591" t="s">
        <v>1978</v>
      </c>
      <c r="I1650" s="591" t="s">
        <v>1236</v>
      </c>
    </row>
    <row r="1651" spans="1:9">
      <c r="A1651" s="582" t="s">
        <v>431</v>
      </c>
      <c r="B1651" s="65">
        <v>1849</v>
      </c>
      <c r="C1651" s="579" t="s">
        <v>453</v>
      </c>
      <c r="D1651" s="63">
        <v>10648</v>
      </c>
      <c r="E1651" s="583"/>
      <c r="F1651" s="585">
        <v>45535</v>
      </c>
      <c r="G1651" s="65">
        <v>1</v>
      </c>
      <c r="H1651" s="591" t="s">
        <v>1978</v>
      </c>
      <c r="I1651" s="591" t="s">
        <v>1236</v>
      </c>
    </row>
    <row r="1652" spans="1:9">
      <c r="A1652" s="580" t="s">
        <v>431</v>
      </c>
      <c r="B1652" s="65">
        <v>1850</v>
      </c>
      <c r="C1652" s="63" t="s">
        <v>281</v>
      </c>
      <c r="D1652" s="579"/>
      <c r="E1652" s="583"/>
      <c r="F1652" s="596"/>
      <c r="G1652" s="65">
        <v>0</v>
      </c>
      <c r="H1652" s="591" t="s">
        <v>280</v>
      </c>
      <c r="I1652" s="591" t="s">
        <v>280</v>
      </c>
    </row>
    <row r="1653" spans="1:9">
      <c r="A1653" s="580" t="s">
        <v>431</v>
      </c>
      <c r="B1653" s="65">
        <v>1851</v>
      </c>
      <c r="C1653" s="579" t="s">
        <v>281</v>
      </c>
      <c r="D1653" s="579"/>
      <c r="E1653" s="583"/>
      <c r="F1653" s="596"/>
      <c r="G1653" s="65">
        <v>0</v>
      </c>
      <c r="H1653" s="591" t="s">
        <v>280</v>
      </c>
      <c r="I1653" s="591" t="s">
        <v>280</v>
      </c>
    </row>
    <row r="1654" spans="1:9">
      <c r="A1654" s="580" t="s">
        <v>431</v>
      </c>
      <c r="B1654" s="65">
        <v>1852</v>
      </c>
      <c r="C1654" s="63" t="s">
        <v>655</v>
      </c>
      <c r="D1654" s="63">
        <v>10695</v>
      </c>
      <c r="E1654" s="583"/>
      <c r="F1654" s="585">
        <v>45535</v>
      </c>
      <c r="G1654" s="65">
        <v>1</v>
      </c>
      <c r="H1654" s="591" t="s">
        <v>1979</v>
      </c>
      <c r="I1654" s="591" t="s">
        <v>1230</v>
      </c>
    </row>
    <row r="1655" spans="1:9">
      <c r="A1655" s="580" t="s">
        <v>431</v>
      </c>
      <c r="B1655" s="65">
        <v>1853</v>
      </c>
      <c r="C1655" s="63" t="s">
        <v>660</v>
      </c>
      <c r="D1655" s="579">
        <v>10692</v>
      </c>
      <c r="E1655" s="583"/>
      <c r="F1655" s="585">
        <v>45535</v>
      </c>
      <c r="G1655" s="65">
        <v>1</v>
      </c>
      <c r="H1655" s="591" t="s">
        <v>1979</v>
      </c>
      <c r="I1655" s="591" t="s">
        <v>1230</v>
      </c>
    </row>
    <row r="1656" spans="1:9">
      <c r="A1656" s="580" t="s">
        <v>431</v>
      </c>
      <c r="B1656" s="65">
        <v>1854</v>
      </c>
      <c r="C1656" s="63" t="s">
        <v>281</v>
      </c>
      <c r="D1656" s="65"/>
      <c r="E1656" s="583"/>
      <c r="F1656" s="596"/>
      <c r="G1656" s="65">
        <v>0</v>
      </c>
      <c r="H1656" s="591" t="s">
        <v>280</v>
      </c>
      <c r="I1656" s="591" t="s">
        <v>280</v>
      </c>
    </row>
    <row r="1657" spans="1:9">
      <c r="A1657" s="580" t="s">
        <v>431</v>
      </c>
      <c r="B1657" s="65">
        <v>1855</v>
      </c>
      <c r="C1657" s="63" t="s">
        <v>1702</v>
      </c>
      <c r="D1657" s="65">
        <v>10825</v>
      </c>
      <c r="E1657" s="583"/>
      <c r="F1657" s="585">
        <v>45535</v>
      </c>
      <c r="G1657" s="65">
        <v>1</v>
      </c>
      <c r="H1657" s="591" t="s">
        <v>9</v>
      </c>
      <c r="I1657" s="591" t="s">
        <v>61</v>
      </c>
    </row>
    <row r="1658" spans="1:9">
      <c r="A1658" s="580" t="s">
        <v>431</v>
      </c>
      <c r="B1658" s="65">
        <v>1856</v>
      </c>
      <c r="C1658" s="63" t="s">
        <v>281</v>
      </c>
      <c r="D1658" s="65"/>
      <c r="E1658" s="583"/>
      <c r="F1658" s="596"/>
      <c r="G1658" s="65">
        <v>0</v>
      </c>
      <c r="H1658" s="591" t="s">
        <v>280</v>
      </c>
      <c r="I1658" s="591" t="s">
        <v>280</v>
      </c>
    </row>
    <row r="1659" spans="1:9">
      <c r="A1659" s="580" t="s">
        <v>431</v>
      </c>
      <c r="B1659" s="65">
        <v>1857</v>
      </c>
      <c r="C1659" s="63" t="s">
        <v>1703</v>
      </c>
      <c r="D1659" s="65">
        <v>10827</v>
      </c>
      <c r="E1659" s="583"/>
      <c r="F1659" s="585">
        <v>45535</v>
      </c>
      <c r="G1659" s="65">
        <v>1</v>
      </c>
      <c r="H1659" s="591" t="s">
        <v>1974</v>
      </c>
      <c r="I1659" s="591" t="s">
        <v>87</v>
      </c>
    </row>
    <row r="1660" spans="1:9">
      <c r="A1660" s="580" t="s">
        <v>431</v>
      </c>
      <c r="B1660" s="65">
        <v>1858</v>
      </c>
      <c r="C1660" s="63" t="s">
        <v>1704</v>
      </c>
      <c r="D1660" s="65">
        <v>10828</v>
      </c>
      <c r="E1660" s="583"/>
      <c r="F1660" s="585">
        <v>45535</v>
      </c>
      <c r="G1660" s="65">
        <v>1</v>
      </c>
      <c r="H1660" s="591" t="s">
        <v>1978</v>
      </c>
      <c r="I1660" s="591" t="s">
        <v>1236</v>
      </c>
    </row>
    <row r="1661" spans="1:9">
      <c r="A1661" s="580" t="s">
        <v>431</v>
      </c>
      <c r="B1661" s="65">
        <v>1859</v>
      </c>
      <c r="C1661" s="63" t="s">
        <v>281</v>
      </c>
      <c r="D1661" s="65"/>
      <c r="E1661" s="583"/>
      <c r="F1661" s="596"/>
      <c r="G1661" s="65">
        <v>0</v>
      </c>
      <c r="H1661" s="591" t="s">
        <v>280</v>
      </c>
      <c r="I1661" s="591" t="s">
        <v>280</v>
      </c>
    </row>
    <row r="1662" spans="1:9">
      <c r="A1662" s="580" t="s">
        <v>431</v>
      </c>
      <c r="B1662" s="65">
        <v>1860</v>
      </c>
      <c r="C1662" s="63" t="s">
        <v>281</v>
      </c>
      <c r="D1662" s="65"/>
      <c r="E1662" s="583"/>
      <c r="F1662" s="596"/>
      <c r="G1662" s="65">
        <v>0</v>
      </c>
      <c r="H1662" s="591" t="s">
        <v>280</v>
      </c>
      <c r="I1662" s="591" t="s">
        <v>280</v>
      </c>
    </row>
    <row r="1663" spans="1:9">
      <c r="A1663" s="580" t="s">
        <v>431</v>
      </c>
      <c r="B1663" s="65">
        <v>1861</v>
      </c>
      <c r="C1663" s="65" t="s">
        <v>1705</v>
      </c>
      <c r="D1663" s="65">
        <v>10875</v>
      </c>
      <c r="E1663" s="583"/>
      <c r="F1663" s="585">
        <v>45535</v>
      </c>
      <c r="G1663" s="65">
        <v>1</v>
      </c>
      <c r="H1663" s="591" t="s">
        <v>9</v>
      </c>
      <c r="I1663" s="591" t="s">
        <v>61</v>
      </c>
    </row>
    <row r="1664" spans="1:9">
      <c r="A1664" s="582" t="s">
        <v>431</v>
      </c>
      <c r="B1664" s="65">
        <v>1862</v>
      </c>
      <c r="C1664" s="579" t="s">
        <v>1706</v>
      </c>
      <c r="D1664" s="579">
        <v>10891</v>
      </c>
      <c r="E1664" s="583"/>
      <c r="F1664" s="585">
        <v>45535</v>
      </c>
      <c r="G1664" s="65">
        <v>1</v>
      </c>
      <c r="H1664" s="591" t="s">
        <v>1974</v>
      </c>
      <c r="I1664" s="591" t="s">
        <v>87</v>
      </c>
    </row>
    <row r="1665" spans="1:9">
      <c r="A1665" s="580" t="s">
        <v>431</v>
      </c>
      <c r="B1665" s="65">
        <v>1863</v>
      </c>
      <c r="C1665" s="65" t="s">
        <v>1707</v>
      </c>
      <c r="D1665" s="65">
        <v>10907</v>
      </c>
      <c r="E1665" s="583"/>
      <c r="F1665" s="585">
        <v>45535</v>
      </c>
      <c r="G1665" s="65">
        <v>1</v>
      </c>
      <c r="H1665" s="591" t="s">
        <v>280</v>
      </c>
      <c r="I1665" s="591" t="s">
        <v>280</v>
      </c>
    </row>
    <row r="1666" spans="1:9">
      <c r="A1666" s="580" t="s">
        <v>431</v>
      </c>
      <c r="B1666" s="65">
        <v>1864</v>
      </c>
      <c r="C1666" s="65" t="s">
        <v>1708</v>
      </c>
      <c r="D1666" s="65">
        <v>10908</v>
      </c>
      <c r="E1666" s="583"/>
      <c r="F1666" s="585">
        <v>45535</v>
      </c>
      <c r="G1666" s="65">
        <v>1</v>
      </c>
      <c r="H1666" s="591" t="s">
        <v>280</v>
      </c>
      <c r="I1666" s="591" t="s">
        <v>280</v>
      </c>
    </row>
    <row r="1667" spans="1:9">
      <c r="A1667" s="580" t="s">
        <v>431</v>
      </c>
      <c r="B1667" s="65">
        <v>1865</v>
      </c>
      <c r="C1667" s="65" t="s">
        <v>1709</v>
      </c>
      <c r="D1667" s="65">
        <v>10909</v>
      </c>
      <c r="E1667" s="583"/>
      <c r="F1667" s="585">
        <v>45535</v>
      </c>
      <c r="G1667" s="65">
        <v>1</v>
      </c>
      <c r="H1667" s="591" t="s">
        <v>1979</v>
      </c>
      <c r="I1667" s="591" t="s">
        <v>1230</v>
      </c>
    </row>
    <row r="1668" spans="1:9">
      <c r="A1668" s="582" t="s">
        <v>431</v>
      </c>
      <c r="B1668" s="65">
        <v>1866</v>
      </c>
      <c r="C1668" s="65" t="s">
        <v>1710</v>
      </c>
      <c r="D1668" s="65">
        <v>10923</v>
      </c>
      <c r="E1668" s="583"/>
      <c r="F1668" s="585">
        <v>45535</v>
      </c>
      <c r="G1668" s="65">
        <v>1</v>
      </c>
      <c r="H1668" s="591" t="s">
        <v>1978</v>
      </c>
      <c r="I1668" s="591" t="s">
        <v>1236</v>
      </c>
    </row>
    <row r="1669" spans="1:9">
      <c r="A1669" s="582" t="s">
        <v>431</v>
      </c>
      <c r="B1669" s="65">
        <v>1867</v>
      </c>
      <c r="C1669" s="579" t="s">
        <v>336</v>
      </c>
      <c r="D1669" s="579">
        <v>10317</v>
      </c>
      <c r="E1669" s="583"/>
      <c r="F1669" s="585">
        <v>45535</v>
      </c>
      <c r="G1669" s="65">
        <v>1</v>
      </c>
      <c r="H1669" s="591" t="s">
        <v>9</v>
      </c>
      <c r="I1669" s="591" t="s">
        <v>61</v>
      </c>
    </row>
    <row r="1670" spans="1:9">
      <c r="A1670" s="582" t="s">
        <v>431</v>
      </c>
      <c r="B1670" s="65">
        <v>1868</v>
      </c>
      <c r="C1670" s="65" t="s">
        <v>1711</v>
      </c>
      <c r="D1670" s="65">
        <v>10959</v>
      </c>
      <c r="E1670" s="583"/>
      <c r="F1670" s="585">
        <v>45535</v>
      </c>
      <c r="G1670" s="65">
        <v>1</v>
      </c>
      <c r="H1670" s="591" t="s">
        <v>1974</v>
      </c>
      <c r="I1670" s="591" t="s">
        <v>87</v>
      </c>
    </row>
    <row r="1671" spans="1:9">
      <c r="A1671" s="582" t="s">
        <v>431</v>
      </c>
      <c r="B1671" s="65">
        <v>1869</v>
      </c>
      <c r="C1671" s="65" t="s">
        <v>1712</v>
      </c>
      <c r="D1671" s="65">
        <v>10960</v>
      </c>
      <c r="E1671" s="583"/>
      <c r="F1671" s="585">
        <v>45535</v>
      </c>
      <c r="G1671" s="65">
        <v>1</v>
      </c>
      <c r="H1671" s="591" t="s">
        <v>1974</v>
      </c>
      <c r="I1671" s="591" t="s">
        <v>87</v>
      </c>
    </row>
    <row r="1672" spans="1:9">
      <c r="A1672" s="582" t="s">
        <v>431</v>
      </c>
      <c r="B1672" s="65">
        <v>1870</v>
      </c>
      <c r="C1672" s="65" t="s">
        <v>1713</v>
      </c>
      <c r="D1672" s="65">
        <v>10961</v>
      </c>
      <c r="E1672" s="583"/>
      <c r="F1672" s="585">
        <v>45535</v>
      </c>
      <c r="G1672" s="65">
        <v>1</v>
      </c>
      <c r="H1672" s="591" t="s">
        <v>1978</v>
      </c>
      <c r="I1672" s="591" t="s">
        <v>1236</v>
      </c>
    </row>
    <row r="1673" spans="1:9">
      <c r="A1673" s="582" t="s">
        <v>431</v>
      </c>
      <c r="B1673" s="65">
        <v>1871</v>
      </c>
      <c r="C1673" s="65" t="s">
        <v>1714</v>
      </c>
      <c r="D1673" s="65">
        <v>10962</v>
      </c>
      <c r="E1673" s="583"/>
      <c r="F1673" s="585">
        <v>45535</v>
      </c>
      <c r="G1673" s="65">
        <v>1</v>
      </c>
      <c r="H1673" s="591" t="s">
        <v>1979</v>
      </c>
      <c r="I1673" s="591" t="s">
        <v>1230</v>
      </c>
    </row>
    <row r="1674" spans="1:9">
      <c r="A1674" s="582" t="s">
        <v>431</v>
      </c>
      <c r="B1674" s="65">
        <v>1872</v>
      </c>
      <c r="C1674" s="65" t="s">
        <v>1715</v>
      </c>
      <c r="D1674" s="65">
        <v>10963</v>
      </c>
      <c r="E1674" s="583"/>
      <c r="F1674" s="585">
        <v>45535</v>
      </c>
      <c r="G1674" s="65">
        <v>1</v>
      </c>
      <c r="H1674" s="591" t="s">
        <v>1979</v>
      </c>
      <c r="I1674" s="591" t="s">
        <v>1230</v>
      </c>
    </row>
    <row r="1675" spans="1:9">
      <c r="A1675" s="582" t="s">
        <v>431</v>
      </c>
      <c r="B1675" s="65">
        <v>1873</v>
      </c>
      <c r="C1675" s="65" t="s">
        <v>1716</v>
      </c>
      <c r="D1675" s="65">
        <v>10964</v>
      </c>
      <c r="E1675" s="583"/>
      <c r="F1675" s="585">
        <v>45535</v>
      </c>
      <c r="G1675" s="65">
        <v>1</v>
      </c>
      <c r="H1675" s="591" t="s">
        <v>1979</v>
      </c>
      <c r="I1675" s="591" t="s">
        <v>1230</v>
      </c>
    </row>
    <row r="1676" spans="1:9">
      <c r="A1676" s="582" t="s">
        <v>431</v>
      </c>
      <c r="B1676" s="65">
        <v>1874</v>
      </c>
      <c r="C1676" s="65" t="s">
        <v>1717</v>
      </c>
      <c r="D1676" s="65">
        <v>10965</v>
      </c>
      <c r="E1676" s="583"/>
      <c r="F1676" s="585">
        <v>45535</v>
      </c>
      <c r="G1676" s="65">
        <v>1</v>
      </c>
      <c r="H1676" s="591" t="s">
        <v>1979</v>
      </c>
      <c r="I1676" s="591" t="s">
        <v>1230</v>
      </c>
    </row>
    <row r="1677" spans="1:9">
      <c r="A1677" s="582" t="s">
        <v>431</v>
      </c>
      <c r="B1677" s="65">
        <v>1875</v>
      </c>
      <c r="C1677" s="65" t="s">
        <v>1718</v>
      </c>
      <c r="D1677" s="65">
        <v>11041</v>
      </c>
      <c r="E1677" s="583"/>
      <c r="F1677" s="585">
        <v>45535</v>
      </c>
      <c r="G1677" s="65">
        <v>1</v>
      </c>
      <c r="H1677" s="591" t="s">
        <v>1974</v>
      </c>
      <c r="I1677" s="591" t="s">
        <v>87</v>
      </c>
    </row>
    <row r="1678" spans="1:9">
      <c r="A1678" s="582" t="s">
        <v>431</v>
      </c>
      <c r="B1678" s="65">
        <v>1876</v>
      </c>
      <c r="C1678" s="65" t="s">
        <v>1719</v>
      </c>
      <c r="D1678" s="65">
        <v>11042</v>
      </c>
      <c r="E1678" s="583"/>
      <c r="F1678" s="585">
        <v>45535</v>
      </c>
      <c r="G1678" s="65">
        <v>1</v>
      </c>
      <c r="H1678" s="591" t="s">
        <v>9</v>
      </c>
      <c r="I1678" s="591" t="s">
        <v>61</v>
      </c>
    </row>
    <row r="1679" spans="1:9">
      <c r="A1679" s="582" t="s">
        <v>431</v>
      </c>
      <c r="B1679" s="65">
        <v>1877</v>
      </c>
      <c r="C1679" s="579" t="s">
        <v>1942</v>
      </c>
      <c r="D1679" s="579">
        <v>11046</v>
      </c>
      <c r="E1679" s="583"/>
      <c r="F1679" s="585">
        <v>45535</v>
      </c>
      <c r="G1679" s="65">
        <v>1</v>
      </c>
      <c r="H1679" s="591" t="s">
        <v>280</v>
      </c>
      <c r="I1679" s="591" t="s">
        <v>280</v>
      </c>
    </row>
    <row r="1680" spans="1:9">
      <c r="A1680" s="582" t="s">
        <v>431</v>
      </c>
      <c r="B1680" s="65">
        <v>1878</v>
      </c>
      <c r="C1680" s="579" t="s">
        <v>281</v>
      </c>
      <c r="D1680" s="579"/>
      <c r="E1680" s="583"/>
      <c r="F1680" s="596"/>
      <c r="G1680" s="65">
        <v>0</v>
      </c>
      <c r="H1680" s="591" t="s">
        <v>280</v>
      </c>
      <c r="I1680" s="591" t="s">
        <v>280</v>
      </c>
    </row>
    <row r="1681" spans="1:9">
      <c r="A1681" s="582" t="s">
        <v>431</v>
      </c>
      <c r="B1681" s="65">
        <v>1879</v>
      </c>
      <c r="C1681" s="579" t="s">
        <v>281</v>
      </c>
      <c r="D1681" s="579"/>
      <c r="E1681" s="583"/>
      <c r="F1681" s="596"/>
      <c r="G1681" s="65">
        <v>0</v>
      </c>
      <c r="H1681" s="591" t="s">
        <v>280</v>
      </c>
      <c r="I1681" s="591" t="s">
        <v>280</v>
      </c>
    </row>
    <row r="1682" spans="1:9">
      <c r="A1682" s="582" t="s">
        <v>431</v>
      </c>
      <c r="B1682" s="65">
        <v>1880</v>
      </c>
      <c r="C1682" s="579" t="s">
        <v>281</v>
      </c>
      <c r="D1682" s="579"/>
      <c r="E1682" s="583"/>
      <c r="F1682" s="596"/>
      <c r="G1682" s="65">
        <v>0</v>
      </c>
      <c r="H1682" s="591" t="s">
        <v>280</v>
      </c>
      <c r="I1682" s="591" t="s">
        <v>280</v>
      </c>
    </row>
    <row r="1683" spans="1:9">
      <c r="A1683" s="582" t="s">
        <v>431</v>
      </c>
      <c r="B1683" s="65">
        <v>1881</v>
      </c>
      <c r="C1683" s="579" t="s">
        <v>281</v>
      </c>
      <c r="D1683" s="579"/>
      <c r="E1683" s="583"/>
      <c r="F1683" s="596"/>
      <c r="G1683" s="65">
        <v>0</v>
      </c>
      <c r="H1683" s="591" t="s">
        <v>280</v>
      </c>
      <c r="I1683" s="591" t="s">
        <v>280</v>
      </c>
    </row>
    <row r="1684" spans="1:9">
      <c r="A1684" s="582" t="s">
        <v>431</v>
      </c>
      <c r="B1684" s="65">
        <v>1882</v>
      </c>
      <c r="C1684" s="579" t="s">
        <v>281</v>
      </c>
      <c r="D1684" s="579"/>
      <c r="E1684" s="583"/>
      <c r="F1684" s="596"/>
      <c r="G1684" s="65">
        <v>0</v>
      </c>
      <c r="H1684" s="591" t="s">
        <v>280</v>
      </c>
      <c r="I1684" s="591" t="s">
        <v>280</v>
      </c>
    </row>
    <row r="1685" spans="1:9">
      <c r="A1685" s="582" t="s">
        <v>431</v>
      </c>
      <c r="B1685" s="65">
        <v>1883</v>
      </c>
      <c r="C1685" s="579" t="s">
        <v>281</v>
      </c>
      <c r="D1685" s="579"/>
      <c r="E1685" s="583"/>
      <c r="F1685" s="596"/>
      <c r="G1685" s="65">
        <v>0</v>
      </c>
      <c r="H1685" s="591" t="s">
        <v>280</v>
      </c>
      <c r="I1685" s="591" t="s">
        <v>280</v>
      </c>
    </row>
    <row r="1686" spans="1:9">
      <c r="A1686" s="582" t="s">
        <v>431</v>
      </c>
      <c r="B1686" s="65">
        <v>1884</v>
      </c>
      <c r="C1686" s="579" t="s">
        <v>281</v>
      </c>
      <c r="D1686" s="579"/>
      <c r="E1686" s="583"/>
      <c r="F1686" s="596"/>
      <c r="G1686" s="65">
        <v>0</v>
      </c>
      <c r="H1686" s="591" t="s">
        <v>280</v>
      </c>
      <c r="I1686" s="591" t="s">
        <v>280</v>
      </c>
    </row>
    <row r="1687" spans="1:9">
      <c r="A1687" s="582" t="s">
        <v>431</v>
      </c>
      <c r="B1687" s="65">
        <v>1885</v>
      </c>
      <c r="C1687" s="579" t="s">
        <v>281</v>
      </c>
      <c r="D1687" s="579"/>
      <c r="E1687" s="583"/>
      <c r="F1687" s="596"/>
      <c r="G1687" s="65">
        <v>0</v>
      </c>
      <c r="H1687" s="591" t="s">
        <v>280</v>
      </c>
      <c r="I1687" s="591" t="s">
        <v>280</v>
      </c>
    </row>
    <row r="1688" spans="1:9">
      <c r="A1688" s="582" t="s">
        <v>431</v>
      </c>
      <c r="B1688" s="65">
        <v>1886</v>
      </c>
      <c r="C1688" s="579" t="s">
        <v>281</v>
      </c>
      <c r="D1688" s="579"/>
      <c r="E1688" s="583"/>
      <c r="F1688" s="596"/>
      <c r="G1688" s="65">
        <v>0</v>
      </c>
      <c r="H1688" s="591" t="s">
        <v>280</v>
      </c>
      <c r="I1688" s="591" t="s">
        <v>280</v>
      </c>
    </row>
    <row r="1689" spans="1:9">
      <c r="A1689" s="582" t="s">
        <v>431</v>
      </c>
      <c r="B1689" s="65">
        <v>1887</v>
      </c>
      <c r="C1689" s="579" t="s">
        <v>281</v>
      </c>
      <c r="D1689" s="579"/>
      <c r="E1689" s="583"/>
      <c r="F1689" s="596"/>
      <c r="G1689" s="65">
        <v>0</v>
      </c>
      <c r="H1689" s="591" t="s">
        <v>280</v>
      </c>
      <c r="I1689" s="591" t="s">
        <v>280</v>
      </c>
    </row>
    <row r="1690" spans="1:9">
      <c r="A1690" s="582" t="s">
        <v>431</v>
      </c>
      <c r="B1690" s="65">
        <v>1888</v>
      </c>
      <c r="C1690" s="579" t="s">
        <v>281</v>
      </c>
      <c r="D1690" s="579"/>
      <c r="E1690" s="583"/>
      <c r="F1690" s="596"/>
      <c r="G1690" s="65">
        <v>0</v>
      </c>
      <c r="H1690" s="591" t="s">
        <v>280</v>
      </c>
      <c r="I1690" s="591" t="s">
        <v>280</v>
      </c>
    </row>
    <row r="1691" spans="1:9">
      <c r="A1691" s="582" t="s">
        <v>431</v>
      </c>
      <c r="B1691" s="65">
        <v>1889</v>
      </c>
      <c r="C1691" s="579" t="s">
        <v>281</v>
      </c>
      <c r="D1691" s="579"/>
      <c r="E1691" s="583"/>
      <c r="F1691" s="596"/>
      <c r="G1691" s="65">
        <v>0</v>
      </c>
      <c r="H1691" s="591" t="s">
        <v>280</v>
      </c>
      <c r="I1691" s="591" t="s">
        <v>280</v>
      </c>
    </row>
    <row r="1692" spans="1:9">
      <c r="A1692" s="582" t="s">
        <v>431</v>
      </c>
      <c r="B1692" s="65">
        <v>1890</v>
      </c>
      <c r="C1692" s="579" t="s">
        <v>281</v>
      </c>
      <c r="D1692" s="579"/>
      <c r="E1692" s="583"/>
      <c r="F1692" s="596"/>
      <c r="G1692" s="65">
        <v>0</v>
      </c>
      <c r="H1692" s="591" t="s">
        <v>280</v>
      </c>
      <c r="I1692" s="591" t="s">
        <v>280</v>
      </c>
    </row>
    <row r="1693" spans="1:9">
      <c r="A1693" s="582" t="s">
        <v>431</v>
      </c>
      <c r="B1693" s="65">
        <v>1891</v>
      </c>
      <c r="C1693" s="579" t="s">
        <v>281</v>
      </c>
      <c r="D1693" s="579"/>
      <c r="E1693" s="583"/>
      <c r="F1693" s="596"/>
      <c r="G1693" s="65">
        <v>0</v>
      </c>
      <c r="H1693" s="591" t="s">
        <v>280</v>
      </c>
      <c r="I1693" s="591" t="s">
        <v>280</v>
      </c>
    </row>
    <row r="1694" spans="1:9">
      <c r="A1694" s="582" t="s">
        <v>431</v>
      </c>
      <c r="B1694" s="65">
        <v>1892</v>
      </c>
      <c r="C1694" s="579" t="s">
        <v>281</v>
      </c>
      <c r="D1694" s="579"/>
      <c r="E1694" s="583"/>
      <c r="F1694" s="596"/>
      <c r="G1694" s="65">
        <v>0</v>
      </c>
      <c r="H1694" s="591" t="s">
        <v>280</v>
      </c>
      <c r="I1694" s="591" t="s">
        <v>280</v>
      </c>
    </row>
    <row r="1695" spans="1:9">
      <c r="A1695" s="582" t="s">
        <v>431</v>
      </c>
      <c r="B1695" s="65">
        <v>1893</v>
      </c>
      <c r="C1695" s="579" t="s">
        <v>281</v>
      </c>
      <c r="D1695" s="579"/>
      <c r="E1695" s="583"/>
      <c r="F1695" s="596"/>
      <c r="G1695" s="65">
        <v>0</v>
      </c>
      <c r="H1695" s="591" t="s">
        <v>280</v>
      </c>
      <c r="I1695" s="591" t="s">
        <v>280</v>
      </c>
    </row>
    <row r="1696" spans="1:9">
      <c r="A1696" s="582" t="s">
        <v>431</v>
      </c>
      <c r="B1696" s="65">
        <v>1894</v>
      </c>
      <c r="C1696" s="579" t="s">
        <v>281</v>
      </c>
      <c r="D1696" s="579"/>
      <c r="E1696" s="583"/>
      <c r="F1696" s="596"/>
      <c r="G1696" s="65">
        <v>0</v>
      </c>
      <c r="H1696" s="591" t="s">
        <v>280</v>
      </c>
      <c r="I1696" s="591" t="s">
        <v>280</v>
      </c>
    </row>
    <row r="1697" spans="1:10">
      <c r="A1697" s="582" t="s">
        <v>431</v>
      </c>
      <c r="B1697" s="65">
        <v>1895</v>
      </c>
      <c r="C1697" s="579" t="s">
        <v>281</v>
      </c>
      <c r="D1697" s="579"/>
      <c r="E1697" s="583"/>
      <c r="F1697" s="596"/>
      <c r="G1697" s="65">
        <v>0</v>
      </c>
      <c r="H1697" s="591" t="s">
        <v>280</v>
      </c>
      <c r="I1697" s="591" t="s">
        <v>280</v>
      </c>
    </row>
    <row r="1698" spans="1:10">
      <c r="A1698" s="582" t="s">
        <v>431</v>
      </c>
      <c r="B1698" s="65">
        <v>1896</v>
      </c>
      <c r="C1698" s="579" t="s">
        <v>281</v>
      </c>
      <c r="D1698" s="579"/>
      <c r="E1698" s="583"/>
      <c r="F1698" s="596"/>
      <c r="G1698" s="65">
        <v>0</v>
      </c>
      <c r="H1698" s="591" t="s">
        <v>280</v>
      </c>
      <c r="I1698" s="591" t="s">
        <v>280</v>
      </c>
    </row>
    <row r="1699" spans="1:10">
      <c r="A1699" s="582" t="s">
        <v>431</v>
      </c>
      <c r="B1699" s="65">
        <v>1897</v>
      </c>
      <c r="C1699" s="579" t="s">
        <v>281</v>
      </c>
      <c r="D1699" s="579"/>
      <c r="E1699" s="583"/>
      <c r="F1699" s="596"/>
      <c r="G1699" s="65">
        <v>0</v>
      </c>
      <c r="H1699" s="591" t="s">
        <v>280</v>
      </c>
      <c r="I1699" s="591" t="s">
        <v>280</v>
      </c>
    </row>
    <row r="1700" spans="1:10">
      <c r="A1700" s="582" t="s">
        <v>431</v>
      </c>
      <c r="B1700" s="65">
        <v>1898</v>
      </c>
      <c r="C1700" s="579" t="s">
        <v>281</v>
      </c>
      <c r="D1700" s="579"/>
      <c r="E1700" s="583"/>
      <c r="F1700" s="596"/>
      <c r="G1700" s="65">
        <v>0</v>
      </c>
      <c r="H1700" s="591" t="s">
        <v>280</v>
      </c>
      <c r="I1700" s="591" t="s">
        <v>280</v>
      </c>
    </row>
    <row r="1701" spans="1:10">
      <c r="A1701" s="582" t="s">
        <v>431</v>
      </c>
      <c r="B1701" s="65">
        <v>1899</v>
      </c>
      <c r="C1701" s="579" t="s">
        <v>281</v>
      </c>
      <c r="D1701" s="579"/>
      <c r="E1701" s="583"/>
      <c r="F1701" s="596"/>
      <c r="G1701" s="65">
        <v>0</v>
      </c>
      <c r="H1701" s="591" t="s">
        <v>280</v>
      </c>
      <c r="I1701" s="591" t="s">
        <v>280</v>
      </c>
    </row>
    <row r="1702" spans="1:10">
      <c r="A1702" s="582" t="s">
        <v>1720</v>
      </c>
      <c r="B1702" s="65">
        <v>1900</v>
      </c>
      <c r="C1702" s="579" t="s">
        <v>279</v>
      </c>
      <c r="D1702" s="579"/>
      <c r="E1702" s="583"/>
      <c r="F1702" s="585">
        <v>45535</v>
      </c>
      <c r="G1702" s="65">
        <v>0</v>
      </c>
      <c r="H1702" s="591" t="s">
        <v>280</v>
      </c>
      <c r="I1702" s="591" t="s">
        <v>280</v>
      </c>
    </row>
    <row r="1703" spans="1:10">
      <c r="A1703" s="582" t="s">
        <v>1720</v>
      </c>
      <c r="B1703" s="65">
        <v>1901</v>
      </c>
      <c r="C1703" s="579" t="s">
        <v>355</v>
      </c>
      <c r="D1703" s="63">
        <v>10542</v>
      </c>
      <c r="E1703" s="583"/>
      <c r="F1703" s="585">
        <v>45535</v>
      </c>
      <c r="G1703" s="65">
        <v>0</v>
      </c>
      <c r="H1703" s="591" t="s">
        <v>1977</v>
      </c>
      <c r="I1703" s="591" t="s">
        <v>1223</v>
      </c>
      <c r="J1703" s="57"/>
    </row>
    <row r="1704" spans="1:10" ht="13.5">
      <c r="A1704" s="582" t="s">
        <v>1720</v>
      </c>
      <c r="B1704" s="65">
        <v>1902</v>
      </c>
      <c r="C1704" s="579" t="s">
        <v>356</v>
      </c>
      <c r="D1704" s="579">
        <v>10465</v>
      </c>
      <c r="E1704" s="582"/>
      <c r="F1704" s="585">
        <v>45535</v>
      </c>
      <c r="G1704" s="65">
        <v>0</v>
      </c>
      <c r="H1704" s="591" t="s">
        <v>1977</v>
      </c>
      <c r="I1704" s="591" t="s">
        <v>1223</v>
      </c>
      <c r="J1704" s="57"/>
    </row>
    <row r="1705" spans="1:10">
      <c r="A1705" s="582" t="s">
        <v>1720</v>
      </c>
      <c r="B1705" s="65">
        <v>1903</v>
      </c>
      <c r="C1705" s="65" t="s">
        <v>358</v>
      </c>
      <c r="D1705" s="63">
        <v>10211</v>
      </c>
      <c r="E1705" s="583"/>
      <c r="F1705" s="585">
        <v>45535</v>
      </c>
      <c r="G1705" s="65">
        <v>0</v>
      </c>
      <c r="H1705" s="591" t="s">
        <v>280</v>
      </c>
      <c r="I1705" s="591" t="s">
        <v>280</v>
      </c>
      <c r="J1705" s="57"/>
    </row>
    <row r="1706" spans="1:10">
      <c r="A1706" s="582" t="s">
        <v>1720</v>
      </c>
      <c r="B1706" s="65">
        <v>1904</v>
      </c>
      <c r="C1706" s="579" t="s">
        <v>364</v>
      </c>
      <c r="D1706" s="579">
        <v>10628</v>
      </c>
      <c r="E1706" s="583"/>
      <c r="F1706" s="585">
        <v>45535</v>
      </c>
      <c r="G1706" s="65">
        <v>0</v>
      </c>
      <c r="H1706" s="591" t="s">
        <v>1977</v>
      </c>
      <c r="I1706" s="591" t="s">
        <v>1223</v>
      </c>
      <c r="J1706" s="57"/>
    </row>
    <row r="1707" spans="1:10">
      <c r="A1707" s="582" t="s">
        <v>1720</v>
      </c>
      <c r="B1707" s="65">
        <v>1905</v>
      </c>
      <c r="C1707" s="579" t="s">
        <v>365</v>
      </c>
      <c r="D1707" s="579">
        <v>10689</v>
      </c>
      <c r="E1707" s="583"/>
      <c r="F1707" s="585">
        <v>45535</v>
      </c>
      <c r="G1707" s="65">
        <v>0</v>
      </c>
      <c r="H1707" s="591" t="s">
        <v>1977</v>
      </c>
      <c r="I1707" s="591" t="s">
        <v>1223</v>
      </c>
      <c r="J1707" s="57"/>
    </row>
    <row r="1708" spans="1:10">
      <c r="A1708" s="582" t="s">
        <v>1720</v>
      </c>
      <c r="B1708" s="65">
        <v>1906</v>
      </c>
      <c r="C1708" s="579" t="s">
        <v>369</v>
      </c>
      <c r="D1708" s="579">
        <v>10548</v>
      </c>
      <c r="E1708" s="583"/>
      <c r="F1708" s="585">
        <v>45535</v>
      </c>
      <c r="G1708" s="65">
        <v>0</v>
      </c>
      <c r="H1708" s="591" t="s">
        <v>280</v>
      </c>
      <c r="I1708" s="591" t="s">
        <v>280</v>
      </c>
      <c r="J1708" s="57"/>
    </row>
    <row r="1709" spans="1:10">
      <c r="A1709" s="582" t="s">
        <v>1720</v>
      </c>
      <c r="B1709" s="65">
        <v>1907</v>
      </c>
      <c r="C1709" s="579" t="s">
        <v>1721</v>
      </c>
      <c r="D1709" s="579">
        <v>10772</v>
      </c>
      <c r="E1709" s="583"/>
      <c r="F1709" s="585">
        <v>45535</v>
      </c>
      <c r="G1709" s="65">
        <v>0</v>
      </c>
      <c r="H1709" s="591" t="s">
        <v>1977</v>
      </c>
      <c r="I1709" s="591" t="s">
        <v>1223</v>
      </c>
      <c r="J1709" s="57"/>
    </row>
    <row r="1710" spans="1:10">
      <c r="A1710" s="582" t="s">
        <v>1720</v>
      </c>
      <c r="B1710" s="65">
        <v>1908</v>
      </c>
      <c r="C1710" s="579" t="s">
        <v>281</v>
      </c>
      <c r="D1710" s="65"/>
      <c r="E1710" s="583"/>
      <c r="F1710" s="596"/>
      <c r="G1710" s="65">
        <v>0</v>
      </c>
      <c r="H1710" s="591" t="s">
        <v>280</v>
      </c>
      <c r="I1710" s="591" t="s">
        <v>280</v>
      </c>
      <c r="J1710" s="57"/>
    </row>
    <row r="1711" spans="1:10">
      <c r="A1711" s="582" t="s">
        <v>1720</v>
      </c>
      <c r="B1711" s="65">
        <v>1909</v>
      </c>
      <c r="C1711" s="579" t="s">
        <v>1722</v>
      </c>
      <c r="D1711" s="65">
        <v>10773</v>
      </c>
      <c r="E1711" s="583"/>
      <c r="F1711" s="585">
        <v>45535</v>
      </c>
      <c r="G1711" s="65">
        <v>0</v>
      </c>
      <c r="H1711" s="591" t="s">
        <v>1977</v>
      </c>
      <c r="I1711" s="591" t="s">
        <v>1223</v>
      </c>
      <c r="J1711" s="67"/>
    </row>
    <row r="1712" spans="1:10">
      <c r="A1712" s="582" t="s">
        <v>1720</v>
      </c>
      <c r="B1712" s="65">
        <v>1910</v>
      </c>
      <c r="C1712" s="579" t="s">
        <v>1723</v>
      </c>
      <c r="D1712" s="65">
        <v>10774</v>
      </c>
      <c r="E1712" s="583"/>
      <c r="F1712" s="585">
        <v>45535</v>
      </c>
      <c r="G1712" s="65">
        <v>0</v>
      </c>
      <c r="H1712" s="591" t="s">
        <v>1977</v>
      </c>
      <c r="I1712" s="591" t="s">
        <v>1223</v>
      </c>
      <c r="J1712" s="57"/>
    </row>
    <row r="1713" spans="1:10">
      <c r="A1713" s="582" t="s">
        <v>1720</v>
      </c>
      <c r="B1713" s="65">
        <v>1911</v>
      </c>
      <c r="C1713" s="579" t="s">
        <v>1724</v>
      </c>
      <c r="D1713" s="65">
        <v>10803</v>
      </c>
      <c r="E1713" s="583"/>
      <c r="F1713" s="585">
        <v>45535</v>
      </c>
      <c r="G1713" s="65">
        <v>0</v>
      </c>
      <c r="H1713" s="591" t="s">
        <v>1977</v>
      </c>
      <c r="I1713" s="591" t="s">
        <v>1223</v>
      </c>
      <c r="J1713" s="57"/>
    </row>
    <row r="1714" spans="1:10">
      <c r="A1714" s="582" t="s">
        <v>1720</v>
      </c>
      <c r="B1714" s="65">
        <v>1912</v>
      </c>
      <c r="C1714" s="579" t="s">
        <v>281</v>
      </c>
      <c r="D1714" s="65"/>
      <c r="E1714" s="583"/>
      <c r="F1714" s="596"/>
      <c r="G1714" s="65">
        <v>0</v>
      </c>
      <c r="H1714" s="591" t="s">
        <v>280</v>
      </c>
      <c r="I1714" s="591" t="s">
        <v>280</v>
      </c>
      <c r="J1714" s="57"/>
    </row>
    <row r="1715" spans="1:10">
      <c r="A1715" s="582" t="s">
        <v>1720</v>
      </c>
      <c r="B1715" s="65">
        <v>1913</v>
      </c>
      <c r="C1715" s="579" t="s">
        <v>281</v>
      </c>
      <c r="D1715" s="65"/>
      <c r="E1715" s="583"/>
      <c r="F1715" s="596"/>
      <c r="G1715" s="65">
        <v>0</v>
      </c>
      <c r="H1715" s="591" t="s">
        <v>280</v>
      </c>
      <c r="I1715" s="591" t="s">
        <v>280</v>
      </c>
      <c r="J1715" s="57"/>
    </row>
    <row r="1716" spans="1:10">
      <c r="A1716" s="582" t="s">
        <v>1720</v>
      </c>
      <c r="B1716" s="65">
        <v>1914</v>
      </c>
      <c r="C1716" s="579" t="s">
        <v>281</v>
      </c>
      <c r="D1716" s="579"/>
      <c r="E1716" s="583"/>
      <c r="F1716" s="596"/>
      <c r="G1716" s="65">
        <v>0</v>
      </c>
      <c r="H1716" s="591" t="s">
        <v>280</v>
      </c>
      <c r="I1716" s="591" t="s">
        <v>280</v>
      </c>
      <c r="J1716" s="57"/>
    </row>
    <row r="1717" spans="1:10">
      <c r="A1717" s="582" t="s">
        <v>1720</v>
      </c>
      <c r="B1717" s="65">
        <v>1915</v>
      </c>
      <c r="C1717" s="579" t="s">
        <v>281</v>
      </c>
      <c r="D1717" s="579"/>
      <c r="E1717" s="583"/>
      <c r="F1717" s="596"/>
      <c r="G1717" s="65">
        <v>0</v>
      </c>
      <c r="H1717" s="591" t="s">
        <v>280</v>
      </c>
      <c r="I1717" s="591" t="s">
        <v>280</v>
      </c>
      <c r="J1717" s="57"/>
    </row>
    <row r="1718" spans="1:10">
      <c r="A1718" s="582" t="s">
        <v>1720</v>
      </c>
      <c r="B1718" s="65">
        <v>1916</v>
      </c>
      <c r="C1718" s="579" t="s">
        <v>281</v>
      </c>
      <c r="D1718" s="579"/>
      <c r="E1718" s="583"/>
      <c r="F1718" s="596"/>
      <c r="G1718" s="65">
        <v>0</v>
      </c>
      <c r="H1718" s="591" t="s">
        <v>280</v>
      </c>
      <c r="I1718" s="591" t="s">
        <v>280</v>
      </c>
      <c r="J1718" s="57"/>
    </row>
    <row r="1719" spans="1:10">
      <c r="A1719" s="582" t="s">
        <v>1720</v>
      </c>
      <c r="B1719" s="65">
        <v>1917</v>
      </c>
      <c r="C1719" s="579" t="s">
        <v>281</v>
      </c>
      <c r="D1719" s="579"/>
      <c r="E1719" s="583"/>
      <c r="F1719" s="596"/>
      <c r="G1719" s="65">
        <v>0</v>
      </c>
      <c r="H1719" s="591" t="s">
        <v>280</v>
      </c>
      <c r="I1719" s="591" t="s">
        <v>280</v>
      </c>
      <c r="J1719" s="57"/>
    </row>
    <row r="1720" spans="1:10">
      <c r="A1720" s="582" t="s">
        <v>1720</v>
      </c>
      <c r="B1720" s="65">
        <v>1918</v>
      </c>
      <c r="C1720" s="579" t="s">
        <v>281</v>
      </c>
      <c r="D1720" s="65"/>
      <c r="E1720" s="583"/>
      <c r="F1720" s="596"/>
      <c r="G1720" s="65">
        <v>0</v>
      </c>
      <c r="H1720" s="591" t="s">
        <v>280</v>
      </c>
      <c r="I1720" s="591" t="s">
        <v>280</v>
      </c>
      <c r="J1720" s="57"/>
    </row>
    <row r="1721" spans="1:10">
      <c r="A1721" s="582" t="s">
        <v>1720</v>
      </c>
      <c r="B1721" s="65">
        <v>1919</v>
      </c>
      <c r="C1721" s="579" t="s">
        <v>281</v>
      </c>
      <c r="D1721" s="579"/>
      <c r="E1721" s="583"/>
      <c r="F1721" s="596"/>
      <c r="G1721" s="65">
        <v>0</v>
      </c>
      <c r="H1721" s="591" t="s">
        <v>280</v>
      </c>
      <c r="I1721" s="591" t="s">
        <v>280</v>
      </c>
      <c r="J1721" s="57"/>
    </row>
    <row r="1722" spans="1:10">
      <c r="A1722" s="582" t="s">
        <v>1720</v>
      </c>
      <c r="B1722" s="65">
        <v>1920</v>
      </c>
      <c r="C1722" s="579" t="s">
        <v>281</v>
      </c>
      <c r="D1722" s="579"/>
      <c r="E1722" s="583"/>
      <c r="F1722" s="596"/>
      <c r="G1722" s="65">
        <v>0</v>
      </c>
      <c r="H1722" s="591" t="s">
        <v>280</v>
      </c>
      <c r="I1722" s="591" t="s">
        <v>280</v>
      </c>
      <c r="J1722" s="57"/>
    </row>
    <row r="1723" spans="1:10">
      <c r="A1723" s="582" t="s">
        <v>1720</v>
      </c>
      <c r="B1723" s="65">
        <v>1921</v>
      </c>
      <c r="C1723" s="579" t="s">
        <v>281</v>
      </c>
      <c r="D1723" s="579"/>
      <c r="E1723" s="583"/>
      <c r="F1723" s="596"/>
      <c r="G1723" s="65">
        <v>0</v>
      </c>
      <c r="H1723" s="591" t="s">
        <v>280</v>
      </c>
      <c r="I1723" s="591" t="s">
        <v>280</v>
      </c>
      <c r="J1723" s="57"/>
    </row>
    <row r="1724" spans="1:10">
      <c r="A1724" s="582" t="s">
        <v>1720</v>
      </c>
      <c r="B1724" s="65">
        <v>1922</v>
      </c>
      <c r="C1724" s="579" t="s">
        <v>281</v>
      </c>
      <c r="D1724" s="579"/>
      <c r="E1724" s="583"/>
      <c r="F1724" s="596"/>
      <c r="G1724" s="65">
        <v>0</v>
      </c>
      <c r="H1724" s="591" t="s">
        <v>280</v>
      </c>
      <c r="I1724" s="591" t="s">
        <v>280</v>
      </c>
      <c r="J1724" s="57"/>
    </row>
    <row r="1725" spans="1:10">
      <c r="A1725" s="582" t="s">
        <v>1720</v>
      </c>
      <c r="B1725" s="65">
        <v>1923</v>
      </c>
      <c r="C1725" s="579" t="s">
        <v>281</v>
      </c>
      <c r="D1725" s="579"/>
      <c r="E1725" s="583"/>
      <c r="F1725" s="596"/>
      <c r="G1725" s="65">
        <v>0</v>
      </c>
      <c r="H1725" s="591" t="s">
        <v>280</v>
      </c>
      <c r="I1725" s="591" t="s">
        <v>280</v>
      </c>
      <c r="J1725" s="57"/>
    </row>
    <row r="1726" spans="1:10" ht="13.5">
      <c r="A1726" s="582" t="s">
        <v>1720</v>
      </c>
      <c r="B1726" s="65">
        <v>1924</v>
      </c>
      <c r="C1726" s="579" t="s">
        <v>281</v>
      </c>
      <c r="D1726" s="582"/>
      <c r="E1726" s="582"/>
      <c r="F1726" s="596"/>
      <c r="G1726" s="65">
        <v>0</v>
      </c>
      <c r="H1726" s="591" t="s">
        <v>280</v>
      </c>
      <c r="I1726" s="591" t="s">
        <v>280</v>
      </c>
      <c r="J1726" s="57"/>
    </row>
    <row r="1727" spans="1:10">
      <c r="A1727" s="582" t="s">
        <v>1720</v>
      </c>
      <c r="B1727" s="65">
        <v>1925</v>
      </c>
      <c r="C1727" s="579" t="s">
        <v>281</v>
      </c>
      <c r="D1727" s="579"/>
      <c r="E1727" s="583"/>
      <c r="F1727" s="596"/>
      <c r="G1727" s="65">
        <v>0</v>
      </c>
      <c r="H1727" s="591" t="s">
        <v>280</v>
      </c>
      <c r="I1727" s="591" t="s">
        <v>280</v>
      </c>
    </row>
    <row r="1728" spans="1:10">
      <c r="A1728" s="582" t="s">
        <v>1720</v>
      </c>
      <c r="B1728" s="65">
        <v>1926</v>
      </c>
      <c r="C1728" s="579" t="s">
        <v>281</v>
      </c>
      <c r="D1728" s="65"/>
      <c r="E1728" s="583"/>
      <c r="F1728" s="596"/>
      <c r="G1728" s="65">
        <v>0</v>
      </c>
      <c r="H1728" s="591" t="s">
        <v>280</v>
      </c>
      <c r="I1728" s="591" t="s">
        <v>280</v>
      </c>
    </row>
    <row r="1729" spans="1:9">
      <c r="A1729" s="582" t="s">
        <v>1720</v>
      </c>
      <c r="B1729" s="65">
        <v>1927</v>
      </c>
      <c r="C1729" s="579" t="s">
        <v>281</v>
      </c>
      <c r="D1729" s="65"/>
      <c r="E1729" s="583"/>
      <c r="F1729" s="596"/>
      <c r="G1729" s="65">
        <v>0</v>
      </c>
      <c r="H1729" s="591" t="s">
        <v>280</v>
      </c>
      <c r="I1729" s="591" t="s">
        <v>280</v>
      </c>
    </row>
    <row r="1730" spans="1:9">
      <c r="A1730" s="582" t="s">
        <v>1720</v>
      </c>
      <c r="B1730" s="65">
        <v>1928</v>
      </c>
      <c r="C1730" s="579" t="s">
        <v>281</v>
      </c>
      <c r="D1730" s="65"/>
      <c r="E1730" s="583"/>
      <c r="F1730" s="596"/>
      <c r="G1730" s="65">
        <v>0</v>
      </c>
      <c r="H1730" s="591" t="s">
        <v>280</v>
      </c>
      <c r="I1730" s="591" t="s">
        <v>280</v>
      </c>
    </row>
    <row r="1731" spans="1:9">
      <c r="A1731" s="582" t="s">
        <v>1720</v>
      </c>
      <c r="B1731" s="65">
        <v>1929</v>
      </c>
      <c r="C1731" s="579" t="s">
        <v>281</v>
      </c>
      <c r="D1731" s="65"/>
      <c r="E1731" s="583"/>
      <c r="F1731" s="596"/>
      <c r="G1731" s="65">
        <v>0</v>
      </c>
      <c r="H1731" s="591" t="s">
        <v>280</v>
      </c>
      <c r="I1731" s="591" t="s">
        <v>280</v>
      </c>
    </row>
    <row r="1732" spans="1:9">
      <c r="A1732" s="582" t="s">
        <v>1720</v>
      </c>
      <c r="B1732" s="65">
        <v>1930</v>
      </c>
      <c r="C1732" s="579" t="s">
        <v>281</v>
      </c>
      <c r="D1732" s="65"/>
      <c r="E1732" s="583"/>
      <c r="F1732" s="596"/>
      <c r="G1732" s="65">
        <v>0</v>
      </c>
      <c r="H1732" s="591" t="s">
        <v>280</v>
      </c>
      <c r="I1732" s="591" t="s">
        <v>280</v>
      </c>
    </row>
    <row r="1733" spans="1:9">
      <c r="A1733" s="582" t="s">
        <v>1720</v>
      </c>
      <c r="B1733" s="65">
        <v>1931</v>
      </c>
      <c r="C1733" s="579" t="s">
        <v>281</v>
      </c>
      <c r="D1733" s="579"/>
      <c r="E1733" s="583"/>
      <c r="F1733" s="596"/>
      <c r="G1733" s="65">
        <v>0</v>
      </c>
      <c r="H1733" s="591" t="s">
        <v>280</v>
      </c>
      <c r="I1733" s="591" t="s">
        <v>280</v>
      </c>
    </row>
    <row r="1734" spans="1:9">
      <c r="A1734" s="582" t="s">
        <v>1720</v>
      </c>
      <c r="B1734" s="65">
        <v>1932</v>
      </c>
      <c r="C1734" s="579" t="s">
        <v>281</v>
      </c>
      <c r="D1734" s="579"/>
      <c r="E1734" s="583"/>
      <c r="F1734" s="596"/>
      <c r="G1734" s="65">
        <v>0</v>
      </c>
      <c r="H1734" s="591" t="s">
        <v>280</v>
      </c>
      <c r="I1734" s="591" t="s">
        <v>280</v>
      </c>
    </row>
    <row r="1735" spans="1:9">
      <c r="A1735" s="582" t="s">
        <v>1720</v>
      </c>
      <c r="B1735" s="65">
        <v>1933</v>
      </c>
      <c r="C1735" s="579" t="s">
        <v>281</v>
      </c>
      <c r="D1735" s="579"/>
      <c r="E1735" s="583"/>
      <c r="F1735" s="596"/>
      <c r="G1735" s="65">
        <v>0</v>
      </c>
      <c r="H1735" s="591" t="s">
        <v>280</v>
      </c>
      <c r="I1735" s="591" t="s">
        <v>280</v>
      </c>
    </row>
    <row r="1736" spans="1:9">
      <c r="A1736" s="582" t="s">
        <v>1720</v>
      </c>
      <c r="B1736" s="65">
        <v>1934</v>
      </c>
      <c r="C1736" s="579" t="s">
        <v>281</v>
      </c>
      <c r="D1736" s="579"/>
      <c r="E1736" s="583"/>
      <c r="F1736" s="596"/>
      <c r="G1736" s="65">
        <v>0</v>
      </c>
      <c r="H1736" s="591" t="s">
        <v>280</v>
      </c>
      <c r="I1736" s="591" t="s">
        <v>280</v>
      </c>
    </row>
    <row r="1737" spans="1:9">
      <c r="A1737" s="582" t="s">
        <v>1720</v>
      </c>
      <c r="B1737" s="65">
        <v>1935</v>
      </c>
      <c r="C1737" s="579" t="s">
        <v>281</v>
      </c>
      <c r="D1737" s="579"/>
      <c r="E1737" s="583"/>
      <c r="F1737" s="596"/>
      <c r="G1737" s="65">
        <v>0</v>
      </c>
      <c r="H1737" s="591" t="s">
        <v>280</v>
      </c>
      <c r="I1737" s="591" t="s">
        <v>280</v>
      </c>
    </row>
    <row r="1738" spans="1:9">
      <c r="A1738" s="582" t="s">
        <v>1720</v>
      </c>
      <c r="B1738" s="65">
        <v>1936</v>
      </c>
      <c r="C1738" s="579" t="s">
        <v>281</v>
      </c>
      <c r="D1738" s="579"/>
      <c r="E1738" s="583"/>
      <c r="F1738" s="596"/>
      <c r="G1738" s="65">
        <v>0</v>
      </c>
      <c r="H1738" s="591" t="s">
        <v>280</v>
      </c>
      <c r="I1738" s="591" t="s">
        <v>280</v>
      </c>
    </row>
    <row r="1739" spans="1:9">
      <c r="A1739" s="582" t="s">
        <v>1720</v>
      </c>
      <c r="B1739" s="65">
        <v>1937</v>
      </c>
      <c r="C1739" s="579" t="s">
        <v>281</v>
      </c>
      <c r="D1739" s="579"/>
      <c r="E1739" s="583"/>
      <c r="F1739" s="596"/>
      <c r="G1739" s="65">
        <v>0</v>
      </c>
      <c r="H1739" s="591" t="s">
        <v>280</v>
      </c>
      <c r="I1739" s="591" t="s">
        <v>280</v>
      </c>
    </row>
    <row r="1740" spans="1:9">
      <c r="A1740" s="582" t="s">
        <v>1720</v>
      </c>
      <c r="B1740" s="65">
        <v>1938</v>
      </c>
      <c r="C1740" s="579" t="s">
        <v>281</v>
      </c>
      <c r="D1740" s="579"/>
      <c r="E1740" s="583"/>
      <c r="F1740" s="596"/>
      <c r="G1740" s="65">
        <v>0</v>
      </c>
      <c r="H1740" s="591" t="s">
        <v>280</v>
      </c>
      <c r="I1740" s="591" t="s">
        <v>280</v>
      </c>
    </row>
    <row r="1741" spans="1:9">
      <c r="A1741" s="582" t="s">
        <v>1720</v>
      </c>
      <c r="B1741" s="65">
        <v>1939</v>
      </c>
      <c r="C1741" s="579" t="s">
        <v>281</v>
      </c>
      <c r="D1741" s="579"/>
      <c r="E1741" s="583"/>
      <c r="F1741" s="596"/>
      <c r="G1741" s="65">
        <v>0</v>
      </c>
      <c r="H1741" s="591" t="s">
        <v>280</v>
      </c>
      <c r="I1741" s="591" t="s">
        <v>280</v>
      </c>
    </row>
    <row r="1742" spans="1:9">
      <c r="A1742" s="582" t="s">
        <v>1720</v>
      </c>
      <c r="B1742" s="65">
        <v>1940</v>
      </c>
      <c r="C1742" s="579" t="s">
        <v>281</v>
      </c>
      <c r="D1742" s="579"/>
      <c r="E1742" s="583"/>
      <c r="F1742" s="596"/>
      <c r="G1742" s="65">
        <v>0</v>
      </c>
      <c r="H1742" s="591" t="s">
        <v>280</v>
      </c>
      <c r="I1742" s="591" t="s">
        <v>280</v>
      </c>
    </row>
    <row r="1743" spans="1:9">
      <c r="A1743" s="582" t="s">
        <v>1720</v>
      </c>
      <c r="B1743" s="65">
        <v>1941</v>
      </c>
      <c r="C1743" s="579" t="s">
        <v>281</v>
      </c>
      <c r="D1743" s="579"/>
      <c r="E1743" s="583"/>
      <c r="F1743" s="596"/>
      <c r="G1743" s="65">
        <v>0</v>
      </c>
      <c r="H1743" s="591" t="s">
        <v>280</v>
      </c>
      <c r="I1743" s="591" t="s">
        <v>280</v>
      </c>
    </row>
    <row r="1744" spans="1:9">
      <c r="A1744" s="582" t="s">
        <v>1720</v>
      </c>
      <c r="B1744" s="65">
        <v>1942</v>
      </c>
      <c r="C1744" s="579" t="s">
        <v>281</v>
      </c>
      <c r="D1744" s="579"/>
      <c r="E1744" s="583"/>
      <c r="F1744" s="596"/>
      <c r="G1744" s="65">
        <v>0</v>
      </c>
      <c r="H1744" s="591" t="s">
        <v>280</v>
      </c>
      <c r="I1744" s="591" t="s">
        <v>280</v>
      </c>
    </row>
    <row r="1745" spans="1:9">
      <c r="A1745" s="582" t="s">
        <v>1720</v>
      </c>
      <c r="B1745" s="65">
        <v>1943</v>
      </c>
      <c r="C1745" s="579" t="s">
        <v>281</v>
      </c>
      <c r="D1745" s="579"/>
      <c r="E1745" s="583"/>
      <c r="F1745" s="596"/>
      <c r="G1745" s="65">
        <v>0</v>
      </c>
      <c r="H1745" s="591" t="s">
        <v>280</v>
      </c>
      <c r="I1745" s="591" t="s">
        <v>280</v>
      </c>
    </row>
    <row r="1746" spans="1:9">
      <c r="A1746" s="582" t="s">
        <v>1720</v>
      </c>
      <c r="B1746" s="65">
        <v>1944</v>
      </c>
      <c r="C1746" s="579" t="s">
        <v>281</v>
      </c>
      <c r="D1746" s="579"/>
      <c r="E1746" s="583"/>
      <c r="F1746" s="596"/>
      <c r="G1746" s="65">
        <v>0</v>
      </c>
      <c r="H1746" s="591" t="s">
        <v>280</v>
      </c>
      <c r="I1746" s="591" t="s">
        <v>280</v>
      </c>
    </row>
    <row r="1747" spans="1:9">
      <c r="A1747" s="582" t="s">
        <v>1720</v>
      </c>
      <c r="B1747" s="65">
        <v>1945</v>
      </c>
      <c r="C1747" s="579" t="s">
        <v>281</v>
      </c>
      <c r="D1747" s="579"/>
      <c r="E1747" s="583"/>
      <c r="F1747" s="596"/>
      <c r="G1747" s="65">
        <v>0</v>
      </c>
      <c r="H1747" s="591" t="s">
        <v>280</v>
      </c>
      <c r="I1747" s="591" t="s">
        <v>280</v>
      </c>
    </row>
    <row r="1748" spans="1:9">
      <c r="A1748" s="582" t="s">
        <v>1720</v>
      </c>
      <c r="B1748" s="65">
        <v>1946</v>
      </c>
      <c r="C1748" s="579" t="s">
        <v>281</v>
      </c>
      <c r="D1748" s="579"/>
      <c r="E1748" s="583"/>
      <c r="F1748" s="596"/>
      <c r="G1748" s="65">
        <v>0</v>
      </c>
      <c r="H1748" s="591" t="s">
        <v>280</v>
      </c>
      <c r="I1748" s="591" t="s">
        <v>280</v>
      </c>
    </row>
    <row r="1749" spans="1:9">
      <c r="A1749" s="582" t="s">
        <v>1720</v>
      </c>
      <c r="B1749" s="65">
        <v>1947</v>
      </c>
      <c r="C1749" s="579" t="s">
        <v>281</v>
      </c>
      <c r="D1749" s="579"/>
      <c r="E1749" s="583"/>
      <c r="F1749" s="596"/>
      <c r="G1749" s="65">
        <v>0</v>
      </c>
      <c r="H1749" s="591" t="s">
        <v>280</v>
      </c>
      <c r="I1749" s="591" t="s">
        <v>280</v>
      </c>
    </row>
    <row r="1750" spans="1:9">
      <c r="A1750" s="582" t="s">
        <v>1720</v>
      </c>
      <c r="B1750" s="65">
        <v>1948</v>
      </c>
      <c r="C1750" s="579" t="s">
        <v>281</v>
      </c>
      <c r="D1750" s="579"/>
      <c r="E1750" s="583"/>
      <c r="F1750" s="596"/>
      <c r="G1750" s="65">
        <v>0</v>
      </c>
      <c r="H1750" s="591" t="s">
        <v>280</v>
      </c>
      <c r="I1750" s="591" t="s">
        <v>280</v>
      </c>
    </row>
    <row r="1751" spans="1:9">
      <c r="A1751" s="582" t="s">
        <v>1720</v>
      </c>
      <c r="B1751" s="65">
        <v>1949</v>
      </c>
      <c r="C1751" s="579" t="s">
        <v>281</v>
      </c>
      <c r="D1751" s="579"/>
      <c r="E1751" s="583"/>
      <c r="F1751" s="596"/>
      <c r="G1751" s="65">
        <v>0</v>
      </c>
      <c r="H1751" s="591" t="s">
        <v>280</v>
      </c>
      <c r="I1751" s="591" t="s">
        <v>280</v>
      </c>
    </row>
    <row r="1752" spans="1:9">
      <c r="A1752" s="582" t="s">
        <v>1720</v>
      </c>
      <c r="B1752" s="65">
        <v>1950</v>
      </c>
      <c r="C1752" s="579" t="s">
        <v>281</v>
      </c>
      <c r="D1752" s="579"/>
      <c r="E1752" s="583"/>
      <c r="F1752" s="596"/>
      <c r="G1752" s="65">
        <v>0</v>
      </c>
      <c r="H1752" s="591" t="s">
        <v>280</v>
      </c>
      <c r="I1752" s="591" t="s">
        <v>280</v>
      </c>
    </row>
    <row r="1753" spans="1:9">
      <c r="A1753" s="582" t="s">
        <v>1720</v>
      </c>
      <c r="B1753" s="65">
        <v>1951</v>
      </c>
      <c r="C1753" s="579" t="s">
        <v>281</v>
      </c>
      <c r="D1753" s="579"/>
      <c r="E1753" s="583"/>
      <c r="F1753" s="596"/>
      <c r="G1753" s="65">
        <v>0</v>
      </c>
      <c r="H1753" s="591" t="s">
        <v>280</v>
      </c>
      <c r="I1753" s="591" t="s">
        <v>280</v>
      </c>
    </row>
    <row r="1754" spans="1:9">
      <c r="A1754" s="582" t="s">
        <v>1720</v>
      </c>
      <c r="B1754" s="65">
        <v>1952</v>
      </c>
      <c r="C1754" s="579" t="s">
        <v>281</v>
      </c>
      <c r="D1754" s="579"/>
      <c r="E1754" s="583"/>
      <c r="F1754" s="596"/>
      <c r="G1754" s="65">
        <v>0</v>
      </c>
      <c r="H1754" s="591" t="s">
        <v>280</v>
      </c>
      <c r="I1754" s="591" t="s">
        <v>280</v>
      </c>
    </row>
    <row r="1755" spans="1:9">
      <c r="A1755" s="582" t="s">
        <v>1720</v>
      </c>
      <c r="B1755" s="65">
        <v>1953</v>
      </c>
      <c r="C1755" s="579" t="s">
        <v>281</v>
      </c>
      <c r="D1755" s="579"/>
      <c r="E1755" s="583"/>
      <c r="F1755" s="596"/>
      <c r="G1755" s="65">
        <v>0</v>
      </c>
      <c r="H1755" s="591" t="s">
        <v>280</v>
      </c>
      <c r="I1755" s="591" t="s">
        <v>280</v>
      </c>
    </row>
    <row r="1756" spans="1:9">
      <c r="A1756" s="582" t="s">
        <v>1720</v>
      </c>
      <c r="B1756" s="65">
        <v>1954</v>
      </c>
      <c r="C1756" s="579" t="s">
        <v>281</v>
      </c>
      <c r="D1756" s="579"/>
      <c r="E1756" s="583"/>
      <c r="F1756" s="596"/>
      <c r="G1756" s="65">
        <v>0</v>
      </c>
      <c r="H1756" s="591" t="s">
        <v>280</v>
      </c>
      <c r="I1756" s="591" t="s">
        <v>280</v>
      </c>
    </row>
    <row r="1757" spans="1:9">
      <c r="A1757" s="582" t="s">
        <v>1720</v>
      </c>
      <c r="B1757" s="65">
        <v>1955</v>
      </c>
      <c r="C1757" s="579" t="s">
        <v>281</v>
      </c>
      <c r="D1757" s="579"/>
      <c r="E1757" s="583"/>
      <c r="F1757" s="596"/>
      <c r="G1757" s="65">
        <v>0</v>
      </c>
      <c r="H1757" s="591" t="s">
        <v>280</v>
      </c>
      <c r="I1757" s="591" t="s">
        <v>280</v>
      </c>
    </row>
    <row r="1758" spans="1:9">
      <c r="A1758" s="582" t="s">
        <v>1720</v>
      </c>
      <c r="B1758" s="65">
        <v>1956</v>
      </c>
      <c r="C1758" s="579" t="s">
        <v>281</v>
      </c>
      <c r="D1758" s="579"/>
      <c r="E1758" s="583"/>
      <c r="F1758" s="596"/>
      <c r="G1758" s="65">
        <v>0</v>
      </c>
      <c r="H1758" s="591" t="s">
        <v>280</v>
      </c>
      <c r="I1758" s="591" t="s">
        <v>280</v>
      </c>
    </row>
    <row r="1759" spans="1:9">
      <c r="A1759" s="582" t="s">
        <v>1720</v>
      </c>
      <c r="B1759" s="65">
        <v>1957</v>
      </c>
      <c r="C1759" s="579" t="s">
        <v>281</v>
      </c>
      <c r="D1759" s="579"/>
      <c r="E1759" s="583"/>
      <c r="F1759" s="596"/>
      <c r="G1759" s="65">
        <v>0</v>
      </c>
      <c r="H1759" s="591" t="s">
        <v>280</v>
      </c>
      <c r="I1759" s="591" t="s">
        <v>280</v>
      </c>
    </row>
    <row r="1760" spans="1:9">
      <c r="A1760" s="582" t="s">
        <v>1720</v>
      </c>
      <c r="B1760" s="65">
        <v>1958</v>
      </c>
      <c r="C1760" s="579" t="s">
        <v>281</v>
      </c>
      <c r="D1760" s="579"/>
      <c r="E1760" s="583"/>
      <c r="F1760" s="596"/>
      <c r="G1760" s="65">
        <v>0</v>
      </c>
      <c r="H1760" s="591" t="s">
        <v>280</v>
      </c>
      <c r="I1760" s="591" t="s">
        <v>280</v>
      </c>
    </row>
    <row r="1761" spans="1:9">
      <c r="A1761" s="582" t="s">
        <v>1720</v>
      </c>
      <c r="B1761" s="65">
        <v>1959</v>
      </c>
      <c r="C1761" s="579" t="s">
        <v>281</v>
      </c>
      <c r="D1761" s="579"/>
      <c r="E1761" s="583"/>
      <c r="F1761" s="596"/>
      <c r="G1761" s="65">
        <v>0</v>
      </c>
      <c r="H1761" s="591" t="s">
        <v>280</v>
      </c>
      <c r="I1761" s="591" t="s">
        <v>280</v>
      </c>
    </row>
    <row r="1762" spans="1:9">
      <c r="A1762" s="582" t="s">
        <v>1720</v>
      </c>
      <c r="B1762" s="65">
        <v>1960</v>
      </c>
      <c r="C1762" s="579" t="s">
        <v>281</v>
      </c>
      <c r="D1762" s="579"/>
      <c r="E1762" s="583"/>
      <c r="F1762" s="596"/>
      <c r="G1762" s="65">
        <v>0</v>
      </c>
      <c r="H1762" s="591" t="s">
        <v>280</v>
      </c>
      <c r="I1762" s="591" t="s">
        <v>280</v>
      </c>
    </row>
    <row r="1763" spans="1:9">
      <c r="A1763" s="582" t="s">
        <v>1720</v>
      </c>
      <c r="B1763" s="65">
        <v>1961</v>
      </c>
      <c r="C1763" s="579" t="s">
        <v>281</v>
      </c>
      <c r="D1763" s="579"/>
      <c r="E1763" s="583"/>
      <c r="F1763" s="596"/>
      <c r="G1763" s="65">
        <v>0</v>
      </c>
      <c r="H1763" s="591" t="s">
        <v>280</v>
      </c>
      <c r="I1763" s="591" t="s">
        <v>280</v>
      </c>
    </row>
    <row r="1764" spans="1:9">
      <c r="A1764" s="582" t="s">
        <v>1720</v>
      </c>
      <c r="B1764" s="65">
        <v>1962</v>
      </c>
      <c r="C1764" s="579" t="s">
        <v>281</v>
      </c>
      <c r="D1764" s="579"/>
      <c r="E1764" s="583"/>
      <c r="F1764" s="596"/>
      <c r="G1764" s="65">
        <v>0</v>
      </c>
      <c r="H1764" s="591" t="s">
        <v>280</v>
      </c>
      <c r="I1764" s="591" t="s">
        <v>280</v>
      </c>
    </row>
    <row r="1765" spans="1:9">
      <c r="A1765" s="582" t="s">
        <v>1720</v>
      </c>
      <c r="B1765" s="65">
        <v>1963</v>
      </c>
      <c r="C1765" s="579" t="s">
        <v>281</v>
      </c>
      <c r="D1765" s="579"/>
      <c r="E1765" s="583"/>
      <c r="F1765" s="596"/>
      <c r="G1765" s="65">
        <v>0</v>
      </c>
      <c r="H1765" s="591" t="s">
        <v>280</v>
      </c>
      <c r="I1765" s="591" t="s">
        <v>280</v>
      </c>
    </row>
    <row r="1766" spans="1:9">
      <c r="A1766" s="582" t="s">
        <v>1720</v>
      </c>
      <c r="B1766" s="65">
        <v>1964</v>
      </c>
      <c r="C1766" s="579" t="s">
        <v>281</v>
      </c>
      <c r="D1766" s="579"/>
      <c r="E1766" s="583"/>
      <c r="F1766" s="596"/>
      <c r="G1766" s="65">
        <v>0</v>
      </c>
      <c r="H1766" s="591" t="s">
        <v>280</v>
      </c>
      <c r="I1766" s="591" t="s">
        <v>280</v>
      </c>
    </row>
    <row r="1767" spans="1:9">
      <c r="A1767" s="582" t="s">
        <v>1720</v>
      </c>
      <c r="B1767" s="65">
        <v>1965</v>
      </c>
      <c r="C1767" s="579" t="s">
        <v>281</v>
      </c>
      <c r="D1767" s="579"/>
      <c r="E1767" s="583"/>
      <c r="F1767" s="596"/>
      <c r="G1767" s="65">
        <v>0</v>
      </c>
      <c r="H1767" s="591" t="s">
        <v>280</v>
      </c>
      <c r="I1767" s="591" t="s">
        <v>280</v>
      </c>
    </row>
    <row r="1768" spans="1:9">
      <c r="A1768" s="582" t="s">
        <v>1720</v>
      </c>
      <c r="B1768" s="65">
        <v>1966</v>
      </c>
      <c r="C1768" s="579" t="s">
        <v>281</v>
      </c>
      <c r="D1768" s="579"/>
      <c r="E1768" s="583"/>
      <c r="F1768" s="596"/>
      <c r="G1768" s="65">
        <v>0</v>
      </c>
      <c r="H1768" s="591" t="s">
        <v>280</v>
      </c>
      <c r="I1768" s="591" t="s">
        <v>280</v>
      </c>
    </row>
    <row r="1769" spans="1:9">
      <c r="A1769" s="582" t="s">
        <v>1720</v>
      </c>
      <c r="B1769" s="65">
        <v>1967</v>
      </c>
      <c r="C1769" s="579" t="s">
        <v>281</v>
      </c>
      <c r="D1769" s="579"/>
      <c r="E1769" s="583"/>
      <c r="F1769" s="596"/>
      <c r="G1769" s="65">
        <v>0</v>
      </c>
      <c r="H1769" s="591" t="s">
        <v>280</v>
      </c>
      <c r="I1769" s="591" t="s">
        <v>280</v>
      </c>
    </row>
    <row r="1770" spans="1:9">
      <c r="A1770" s="582" t="s">
        <v>1720</v>
      </c>
      <c r="B1770" s="65">
        <v>1968</v>
      </c>
      <c r="C1770" s="579" t="s">
        <v>281</v>
      </c>
      <c r="D1770" s="579"/>
      <c r="E1770" s="583"/>
      <c r="F1770" s="596"/>
      <c r="G1770" s="65">
        <v>0</v>
      </c>
      <c r="H1770" s="591" t="s">
        <v>280</v>
      </c>
      <c r="I1770" s="591" t="s">
        <v>280</v>
      </c>
    </row>
    <row r="1771" spans="1:9">
      <c r="A1771" s="582" t="s">
        <v>1720</v>
      </c>
      <c r="B1771" s="65">
        <v>1969</v>
      </c>
      <c r="C1771" s="579" t="s">
        <v>281</v>
      </c>
      <c r="D1771" s="579"/>
      <c r="E1771" s="583"/>
      <c r="F1771" s="596"/>
      <c r="G1771" s="65">
        <v>0</v>
      </c>
      <c r="H1771" s="591" t="s">
        <v>280</v>
      </c>
      <c r="I1771" s="591" t="s">
        <v>280</v>
      </c>
    </row>
    <row r="1772" spans="1:9">
      <c r="A1772" s="582" t="s">
        <v>1720</v>
      </c>
      <c r="B1772" s="65">
        <v>1970</v>
      </c>
      <c r="C1772" s="579" t="s">
        <v>281</v>
      </c>
      <c r="D1772" s="579"/>
      <c r="E1772" s="583"/>
      <c r="F1772" s="596"/>
      <c r="G1772" s="65">
        <v>0</v>
      </c>
      <c r="H1772" s="591" t="s">
        <v>280</v>
      </c>
      <c r="I1772" s="591" t="s">
        <v>280</v>
      </c>
    </row>
    <row r="1773" spans="1:9">
      <c r="A1773" s="582" t="s">
        <v>1720</v>
      </c>
      <c r="B1773" s="65">
        <v>1971</v>
      </c>
      <c r="C1773" s="579" t="s">
        <v>281</v>
      </c>
      <c r="D1773" s="579"/>
      <c r="E1773" s="583"/>
      <c r="F1773" s="596"/>
      <c r="G1773" s="65">
        <v>0</v>
      </c>
      <c r="H1773" s="591" t="s">
        <v>280</v>
      </c>
      <c r="I1773" s="591" t="s">
        <v>280</v>
      </c>
    </row>
    <row r="1774" spans="1:9">
      <c r="A1774" s="582" t="s">
        <v>1720</v>
      </c>
      <c r="B1774" s="65">
        <v>1972</v>
      </c>
      <c r="C1774" s="579" t="s">
        <v>281</v>
      </c>
      <c r="D1774" s="579"/>
      <c r="E1774" s="583"/>
      <c r="F1774" s="596"/>
      <c r="G1774" s="65">
        <v>0</v>
      </c>
      <c r="H1774" s="591" t="s">
        <v>280</v>
      </c>
      <c r="I1774" s="591" t="s">
        <v>280</v>
      </c>
    </row>
    <row r="1775" spans="1:9">
      <c r="A1775" s="582" t="s">
        <v>1720</v>
      </c>
      <c r="B1775" s="65">
        <v>1973</v>
      </c>
      <c r="C1775" s="579" t="s">
        <v>281</v>
      </c>
      <c r="D1775" s="579"/>
      <c r="E1775" s="583"/>
      <c r="F1775" s="596"/>
      <c r="G1775" s="65">
        <v>0</v>
      </c>
      <c r="H1775" s="591" t="s">
        <v>280</v>
      </c>
      <c r="I1775" s="591" t="s">
        <v>280</v>
      </c>
    </row>
    <row r="1776" spans="1:9">
      <c r="A1776" s="582" t="s">
        <v>1720</v>
      </c>
      <c r="B1776" s="65">
        <v>1974</v>
      </c>
      <c r="C1776" s="579" t="s">
        <v>281</v>
      </c>
      <c r="D1776" s="579"/>
      <c r="E1776" s="583"/>
      <c r="F1776" s="596"/>
      <c r="G1776" s="65">
        <v>0</v>
      </c>
      <c r="H1776" s="591" t="s">
        <v>280</v>
      </c>
      <c r="I1776" s="591" t="s">
        <v>280</v>
      </c>
    </row>
    <row r="1777" spans="1:9">
      <c r="A1777" s="582" t="s">
        <v>1720</v>
      </c>
      <c r="B1777" s="65">
        <v>1975</v>
      </c>
      <c r="C1777" s="579" t="s">
        <v>281</v>
      </c>
      <c r="D1777" s="579"/>
      <c r="E1777" s="583"/>
      <c r="F1777" s="596"/>
      <c r="G1777" s="65">
        <v>0</v>
      </c>
      <c r="H1777" s="591" t="s">
        <v>280</v>
      </c>
      <c r="I1777" s="591" t="s">
        <v>280</v>
      </c>
    </row>
    <row r="1778" spans="1:9">
      <c r="A1778" s="582" t="s">
        <v>1720</v>
      </c>
      <c r="B1778" s="65">
        <v>1976</v>
      </c>
      <c r="C1778" s="579" t="s">
        <v>281</v>
      </c>
      <c r="D1778" s="579"/>
      <c r="E1778" s="583"/>
      <c r="F1778" s="596"/>
      <c r="G1778" s="65">
        <v>0</v>
      </c>
      <c r="H1778" s="591" t="s">
        <v>280</v>
      </c>
      <c r="I1778" s="591" t="s">
        <v>280</v>
      </c>
    </row>
    <row r="1779" spans="1:9">
      <c r="A1779" s="582" t="s">
        <v>1720</v>
      </c>
      <c r="B1779" s="65">
        <v>1977</v>
      </c>
      <c r="C1779" s="579" t="s">
        <v>281</v>
      </c>
      <c r="D1779" s="579"/>
      <c r="E1779" s="583"/>
      <c r="F1779" s="596"/>
      <c r="G1779" s="65">
        <v>0</v>
      </c>
      <c r="H1779" s="591" t="s">
        <v>280</v>
      </c>
      <c r="I1779" s="591" t="s">
        <v>280</v>
      </c>
    </row>
    <row r="1780" spans="1:9">
      <c r="A1780" s="582" t="s">
        <v>1720</v>
      </c>
      <c r="B1780" s="65">
        <v>1978</v>
      </c>
      <c r="C1780" s="579" t="s">
        <v>281</v>
      </c>
      <c r="D1780" s="579"/>
      <c r="E1780" s="583"/>
      <c r="F1780" s="596"/>
      <c r="G1780" s="65">
        <v>0</v>
      </c>
      <c r="H1780" s="591" t="s">
        <v>280</v>
      </c>
      <c r="I1780" s="591" t="s">
        <v>280</v>
      </c>
    </row>
    <row r="1781" spans="1:9">
      <c r="A1781" s="582" t="s">
        <v>1720</v>
      </c>
      <c r="B1781" s="65">
        <v>1979</v>
      </c>
      <c r="C1781" s="579" t="s">
        <v>281</v>
      </c>
      <c r="D1781" s="579"/>
      <c r="E1781" s="583"/>
      <c r="F1781" s="596"/>
      <c r="G1781" s="65">
        <v>0</v>
      </c>
      <c r="H1781" s="591" t="s">
        <v>280</v>
      </c>
      <c r="I1781" s="591" t="s">
        <v>280</v>
      </c>
    </row>
    <row r="1782" spans="1:9">
      <c r="A1782" s="582" t="s">
        <v>1720</v>
      </c>
      <c r="B1782" s="65">
        <v>1980</v>
      </c>
      <c r="C1782" s="579" t="s">
        <v>281</v>
      </c>
      <c r="D1782" s="579"/>
      <c r="E1782" s="583"/>
      <c r="F1782" s="596"/>
      <c r="G1782" s="65">
        <v>0</v>
      </c>
      <c r="H1782" s="591" t="s">
        <v>280</v>
      </c>
      <c r="I1782" s="591" t="s">
        <v>280</v>
      </c>
    </row>
    <row r="1783" spans="1:9">
      <c r="A1783" s="582" t="s">
        <v>1720</v>
      </c>
      <c r="B1783" s="65">
        <v>1981</v>
      </c>
      <c r="C1783" s="579" t="s">
        <v>281</v>
      </c>
      <c r="D1783" s="579"/>
      <c r="E1783" s="583"/>
      <c r="F1783" s="596"/>
      <c r="G1783" s="65">
        <v>0</v>
      </c>
      <c r="H1783" s="591" t="s">
        <v>280</v>
      </c>
      <c r="I1783" s="591" t="s">
        <v>280</v>
      </c>
    </row>
    <row r="1784" spans="1:9">
      <c r="A1784" s="582" t="s">
        <v>1720</v>
      </c>
      <c r="B1784" s="65">
        <v>1982</v>
      </c>
      <c r="C1784" s="579" t="s">
        <v>281</v>
      </c>
      <c r="D1784" s="579"/>
      <c r="E1784" s="583"/>
      <c r="F1784" s="596"/>
      <c r="G1784" s="65">
        <v>0</v>
      </c>
      <c r="H1784" s="591" t="s">
        <v>280</v>
      </c>
      <c r="I1784" s="591" t="s">
        <v>280</v>
      </c>
    </row>
    <row r="1785" spans="1:9">
      <c r="A1785" s="582" t="s">
        <v>1720</v>
      </c>
      <c r="B1785" s="65">
        <v>1983</v>
      </c>
      <c r="C1785" s="579" t="s">
        <v>281</v>
      </c>
      <c r="D1785" s="579"/>
      <c r="E1785" s="583"/>
      <c r="F1785" s="596"/>
      <c r="G1785" s="65">
        <v>0</v>
      </c>
      <c r="H1785" s="591" t="s">
        <v>280</v>
      </c>
      <c r="I1785" s="591" t="s">
        <v>280</v>
      </c>
    </row>
    <row r="1786" spans="1:9">
      <c r="A1786" s="582" t="s">
        <v>1720</v>
      </c>
      <c r="B1786" s="65">
        <v>1984</v>
      </c>
      <c r="C1786" s="579" t="s">
        <v>281</v>
      </c>
      <c r="D1786" s="579"/>
      <c r="E1786" s="583"/>
      <c r="F1786" s="596"/>
      <c r="G1786" s="65">
        <v>0</v>
      </c>
      <c r="H1786" s="591" t="s">
        <v>280</v>
      </c>
      <c r="I1786" s="591" t="s">
        <v>280</v>
      </c>
    </row>
    <row r="1787" spans="1:9">
      <c r="A1787" s="582" t="s">
        <v>1720</v>
      </c>
      <c r="B1787" s="65">
        <v>1985</v>
      </c>
      <c r="C1787" s="579" t="s">
        <v>281</v>
      </c>
      <c r="D1787" s="579"/>
      <c r="E1787" s="583"/>
      <c r="F1787" s="596"/>
      <c r="G1787" s="65">
        <v>0</v>
      </c>
      <c r="H1787" s="591" t="s">
        <v>280</v>
      </c>
      <c r="I1787" s="591" t="s">
        <v>280</v>
      </c>
    </row>
    <row r="1788" spans="1:9">
      <c r="A1788" s="582" t="s">
        <v>1720</v>
      </c>
      <c r="B1788" s="65">
        <v>1986</v>
      </c>
      <c r="C1788" s="579" t="s">
        <v>281</v>
      </c>
      <c r="D1788" s="579"/>
      <c r="E1788" s="583"/>
      <c r="F1788" s="596"/>
      <c r="G1788" s="65">
        <v>0</v>
      </c>
      <c r="H1788" s="591" t="s">
        <v>280</v>
      </c>
      <c r="I1788" s="591" t="s">
        <v>280</v>
      </c>
    </row>
    <row r="1789" spans="1:9">
      <c r="A1789" s="582" t="s">
        <v>1720</v>
      </c>
      <c r="B1789" s="65">
        <v>1987</v>
      </c>
      <c r="C1789" s="579" t="s">
        <v>281</v>
      </c>
      <c r="D1789" s="579"/>
      <c r="E1789" s="583"/>
      <c r="F1789" s="596"/>
      <c r="G1789" s="65">
        <v>0</v>
      </c>
      <c r="H1789" s="591" t="s">
        <v>280</v>
      </c>
      <c r="I1789" s="591" t="s">
        <v>280</v>
      </c>
    </row>
    <row r="1790" spans="1:9">
      <c r="A1790" s="582" t="s">
        <v>1720</v>
      </c>
      <c r="B1790" s="65">
        <v>1988</v>
      </c>
      <c r="C1790" s="579" t="s">
        <v>281</v>
      </c>
      <c r="D1790" s="579"/>
      <c r="E1790" s="583"/>
      <c r="F1790" s="596"/>
      <c r="G1790" s="65">
        <v>0</v>
      </c>
      <c r="H1790" s="591" t="s">
        <v>280</v>
      </c>
      <c r="I1790" s="591" t="s">
        <v>280</v>
      </c>
    </row>
    <row r="1791" spans="1:9">
      <c r="A1791" s="582" t="s">
        <v>1720</v>
      </c>
      <c r="B1791" s="65">
        <v>1989</v>
      </c>
      <c r="C1791" s="579" t="s">
        <v>281</v>
      </c>
      <c r="D1791" s="579"/>
      <c r="E1791" s="583"/>
      <c r="F1791" s="596"/>
      <c r="G1791" s="65">
        <v>0</v>
      </c>
      <c r="H1791" s="591" t="s">
        <v>280</v>
      </c>
      <c r="I1791" s="591" t="s">
        <v>280</v>
      </c>
    </row>
    <row r="1792" spans="1:9">
      <c r="A1792" s="582" t="s">
        <v>1720</v>
      </c>
      <c r="B1792" s="65">
        <v>1990</v>
      </c>
      <c r="C1792" s="579" t="s">
        <v>281</v>
      </c>
      <c r="D1792" s="579"/>
      <c r="E1792" s="583"/>
      <c r="F1792" s="596"/>
      <c r="G1792" s="65">
        <v>0</v>
      </c>
      <c r="H1792" s="591" t="s">
        <v>280</v>
      </c>
      <c r="I1792" s="591" t="s">
        <v>280</v>
      </c>
    </row>
    <row r="1793" spans="1:10">
      <c r="A1793" s="582" t="s">
        <v>1720</v>
      </c>
      <c r="B1793" s="65">
        <v>1991</v>
      </c>
      <c r="C1793" s="579" t="s">
        <v>281</v>
      </c>
      <c r="D1793" s="579"/>
      <c r="E1793" s="583"/>
      <c r="F1793" s="596"/>
      <c r="G1793" s="65">
        <v>0</v>
      </c>
      <c r="H1793" s="591" t="s">
        <v>280</v>
      </c>
      <c r="I1793" s="591" t="s">
        <v>280</v>
      </c>
    </row>
    <row r="1794" spans="1:10">
      <c r="A1794" s="582" t="s">
        <v>1720</v>
      </c>
      <c r="B1794" s="65">
        <v>1992</v>
      </c>
      <c r="C1794" s="579" t="s">
        <v>281</v>
      </c>
      <c r="D1794" s="579"/>
      <c r="E1794" s="583"/>
      <c r="F1794" s="596"/>
      <c r="G1794" s="65">
        <v>0</v>
      </c>
      <c r="H1794" s="591" t="s">
        <v>280</v>
      </c>
      <c r="I1794" s="591" t="s">
        <v>280</v>
      </c>
    </row>
    <row r="1795" spans="1:10">
      <c r="A1795" s="582" t="s">
        <v>1720</v>
      </c>
      <c r="B1795" s="65">
        <v>1993</v>
      </c>
      <c r="C1795" s="579" t="s">
        <v>281</v>
      </c>
      <c r="D1795" s="579"/>
      <c r="E1795" s="583"/>
      <c r="F1795" s="596"/>
      <c r="G1795" s="65">
        <v>0</v>
      </c>
      <c r="H1795" s="591" t="s">
        <v>280</v>
      </c>
      <c r="I1795" s="591" t="s">
        <v>280</v>
      </c>
    </row>
    <row r="1796" spans="1:10">
      <c r="A1796" s="582" t="s">
        <v>1720</v>
      </c>
      <c r="B1796" s="65">
        <v>1994</v>
      </c>
      <c r="C1796" s="579" t="s">
        <v>281</v>
      </c>
      <c r="D1796" s="579"/>
      <c r="E1796" s="583"/>
      <c r="F1796" s="596"/>
      <c r="G1796" s="65">
        <v>0</v>
      </c>
      <c r="H1796" s="591" t="s">
        <v>280</v>
      </c>
      <c r="I1796" s="591" t="s">
        <v>280</v>
      </c>
    </row>
    <row r="1797" spans="1:10">
      <c r="A1797" s="582" t="s">
        <v>1720</v>
      </c>
      <c r="B1797" s="65">
        <v>1995</v>
      </c>
      <c r="C1797" s="579" t="s">
        <v>281</v>
      </c>
      <c r="D1797" s="579"/>
      <c r="E1797" s="583"/>
      <c r="F1797" s="596"/>
      <c r="G1797" s="65">
        <v>0</v>
      </c>
      <c r="H1797" s="591" t="s">
        <v>280</v>
      </c>
      <c r="I1797" s="591" t="s">
        <v>280</v>
      </c>
    </row>
    <row r="1798" spans="1:10">
      <c r="A1798" s="582" t="s">
        <v>1720</v>
      </c>
      <c r="B1798" s="65">
        <v>1996</v>
      </c>
      <c r="C1798" s="579" t="s">
        <v>281</v>
      </c>
      <c r="D1798" s="579"/>
      <c r="E1798" s="583"/>
      <c r="F1798" s="596"/>
      <c r="G1798" s="65">
        <v>0</v>
      </c>
      <c r="H1798" s="591" t="s">
        <v>280</v>
      </c>
      <c r="I1798" s="591" t="s">
        <v>280</v>
      </c>
    </row>
    <row r="1799" spans="1:10">
      <c r="A1799" s="582" t="s">
        <v>1720</v>
      </c>
      <c r="B1799" s="65">
        <v>1997</v>
      </c>
      <c r="C1799" s="579" t="s">
        <v>281</v>
      </c>
      <c r="D1799" s="579"/>
      <c r="E1799" s="583"/>
      <c r="F1799" s="596"/>
      <c r="G1799" s="65">
        <v>0</v>
      </c>
      <c r="H1799" s="591" t="s">
        <v>280</v>
      </c>
      <c r="I1799" s="591" t="s">
        <v>280</v>
      </c>
    </row>
    <row r="1800" spans="1:10">
      <c r="A1800" s="582" t="s">
        <v>1720</v>
      </c>
      <c r="B1800" s="65">
        <v>1998</v>
      </c>
      <c r="C1800" s="579" t="s">
        <v>281</v>
      </c>
      <c r="D1800" s="579"/>
      <c r="E1800" s="583"/>
      <c r="F1800" s="596"/>
      <c r="G1800" s="65">
        <v>0</v>
      </c>
      <c r="H1800" s="591" t="s">
        <v>280</v>
      </c>
      <c r="I1800" s="591" t="s">
        <v>280</v>
      </c>
    </row>
    <row r="1801" spans="1:10">
      <c r="A1801" s="582" t="s">
        <v>1720</v>
      </c>
      <c r="B1801" s="65">
        <v>1999</v>
      </c>
      <c r="C1801" s="579" t="s">
        <v>281</v>
      </c>
      <c r="D1801" s="579"/>
      <c r="E1801" s="583"/>
      <c r="F1801" s="596"/>
      <c r="G1801" s="65">
        <v>0</v>
      </c>
      <c r="H1801" s="591" t="s">
        <v>280</v>
      </c>
      <c r="I1801" s="591" t="s">
        <v>280</v>
      </c>
    </row>
    <row r="1802" spans="1:10">
      <c r="A1802" s="580"/>
      <c r="B1802" s="65">
        <v>2000</v>
      </c>
      <c r="C1802" s="579" t="s">
        <v>279</v>
      </c>
      <c r="D1802" s="579"/>
      <c r="E1802" s="583"/>
      <c r="F1802" s="596"/>
      <c r="G1802" s="65">
        <v>0</v>
      </c>
      <c r="H1802" s="591" t="s">
        <v>280</v>
      </c>
      <c r="I1802" s="591" t="s">
        <v>280</v>
      </c>
    </row>
    <row r="1803" spans="1:10">
      <c r="A1803" s="580"/>
      <c r="B1803" s="65">
        <v>2001</v>
      </c>
      <c r="C1803" s="579" t="s">
        <v>281</v>
      </c>
      <c r="D1803" s="579"/>
      <c r="E1803" s="583"/>
      <c r="F1803" s="596"/>
      <c r="G1803" s="65">
        <v>0</v>
      </c>
      <c r="H1803" s="591" t="s">
        <v>280</v>
      </c>
      <c r="I1803" s="591" t="s">
        <v>280</v>
      </c>
    </row>
    <row r="1804" spans="1:10">
      <c r="A1804" s="580"/>
      <c r="B1804" s="65">
        <v>2002</v>
      </c>
      <c r="C1804" s="579" t="s">
        <v>281</v>
      </c>
      <c r="D1804" s="579"/>
      <c r="E1804" s="583"/>
      <c r="F1804" s="596"/>
      <c r="G1804" s="65">
        <v>0</v>
      </c>
      <c r="H1804" s="591" t="s">
        <v>280</v>
      </c>
      <c r="I1804" s="591" t="s">
        <v>280</v>
      </c>
      <c r="J1804" s="57"/>
    </row>
    <row r="1805" spans="1:10">
      <c r="A1805" s="580"/>
      <c r="B1805" s="65">
        <v>2003</v>
      </c>
      <c r="C1805" s="579" t="s">
        <v>281</v>
      </c>
      <c r="D1805" s="579"/>
      <c r="E1805" s="583"/>
      <c r="F1805" s="596"/>
      <c r="G1805" s="65">
        <v>0</v>
      </c>
      <c r="H1805" s="591" t="s">
        <v>280</v>
      </c>
      <c r="I1805" s="591" t="s">
        <v>280</v>
      </c>
      <c r="J1805" s="57"/>
    </row>
    <row r="1806" spans="1:10">
      <c r="A1806" s="580"/>
      <c r="B1806" s="65">
        <v>2004</v>
      </c>
      <c r="C1806" s="579" t="s">
        <v>281</v>
      </c>
      <c r="D1806" s="579"/>
      <c r="E1806" s="583"/>
      <c r="F1806" s="596"/>
      <c r="G1806" s="65">
        <v>0</v>
      </c>
      <c r="H1806" s="591" t="s">
        <v>280</v>
      </c>
      <c r="I1806" s="591" t="s">
        <v>280</v>
      </c>
      <c r="J1806" s="57"/>
    </row>
    <row r="1807" spans="1:10">
      <c r="A1807" s="580"/>
      <c r="B1807" s="65">
        <v>2005</v>
      </c>
      <c r="C1807" s="579" t="s">
        <v>281</v>
      </c>
      <c r="D1807" s="63"/>
      <c r="E1807" s="583"/>
      <c r="F1807" s="596"/>
      <c r="G1807" s="65">
        <v>0</v>
      </c>
      <c r="H1807" s="591" t="s">
        <v>280</v>
      </c>
      <c r="I1807" s="591" t="s">
        <v>280</v>
      </c>
      <c r="J1807" s="57"/>
    </row>
    <row r="1808" spans="1:10">
      <c r="A1808" s="580"/>
      <c r="B1808" s="65">
        <v>2006</v>
      </c>
      <c r="C1808" s="579" t="s">
        <v>281</v>
      </c>
      <c r="D1808" s="579"/>
      <c r="E1808" s="583"/>
      <c r="F1808" s="596"/>
      <c r="G1808" s="65">
        <v>0</v>
      </c>
      <c r="H1808" s="591" t="s">
        <v>280</v>
      </c>
      <c r="I1808" s="591" t="s">
        <v>280</v>
      </c>
      <c r="J1808" s="57"/>
    </row>
    <row r="1809" spans="1:10">
      <c r="A1809" s="580"/>
      <c r="B1809" s="65">
        <v>2007</v>
      </c>
      <c r="C1809" s="579" t="s">
        <v>281</v>
      </c>
      <c r="D1809" s="579"/>
      <c r="E1809" s="583"/>
      <c r="F1809" s="596"/>
      <c r="G1809" s="65">
        <v>0</v>
      </c>
      <c r="H1809" s="591" t="s">
        <v>280</v>
      </c>
      <c r="I1809" s="591" t="s">
        <v>280</v>
      </c>
      <c r="J1809" s="57"/>
    </row>
    <row r="1810" spans="1:10">
      <c r="A1810" s="580"/>
      <c r="B1810" s="65">
        <v>2008</v>
      </c>
      <c r="C1810" s="579" t="s">
        <v>281</v>
      </c>
      <c r="D1810" s="63"/>
      <c r="E1810" s="583"/>
      <c r="F1810" s="596"/>
      <c r="G1810" s="65">
        <v>0</v>
      </c>
      <c r="H1810" s="591" t="s">
        <v>280</v>
      </c>
      <c r="I1810" s="591" t="s">
        <v>280</v>
      </c>
      <c r="J1810" s="57"/>
    </row>
    <row r="1811" spans="1:10">
      <c r="A1811" s="580"/>
      <c r="B1811" s="65">
        <v>2009</v>
      </c>
      <c r="C1811" s="579" t="s">
        <v>281</v>
      </c>
      <c r="D1811" s="579"/>
      <c r="E1811" s="583"/>
      <c r="F1811" s="596"/>
      <c r="G1811" s="65">
        <v>0</v>
      </c>
      <c r="H1811" s="591" t="s">
        <v>280</v>
      </c>
      <c r="I1811" s="591" t="s">
        <v>280</v>
      </c>
      <c r="J1811" s="57"/>
    </row>
    <row r="1812" spans="1:10">
      <c r="A1812" s="580"/>
      <c r="B1812" s="65">
        <v>2010</v>
      </c>
      <c r="C1812" s="579" t="s">
        <v>281</v>
      </c>
      <c r="D1812" s="579"/>
      <c r="E1812" s="583"/>
      <c r="F1812" s="596"/>
      <c r="G1812" s="65">
        <v>0</v>
      </c>
      <c r="H1812" s="591" t="s">
        <v>280</v>
      </c>
      <c r="I1812" s="591" t="s">
        <v>280</v>
      </c>
      <c r="J1812" s="68"/>
    </row>
    <row r="1813" spans="1:10">
      <c r="A1813" s="580"/>
      <c r="B1813" s="65">
        <v>2011</v>
      </c>
      <c r="C1813" s="579" t="s">
        <v>281</v>
      </c>
      <c r="D1813" s="579"/>
      <c r="E1813" s="583"/>
      <c r="F1813" s="596"/>
      <c r="G1813" s="65">
        <v>0</v>
      </c>
      <c r="H1813" s="591" t="s">
        <v>280</v>
      </c>
      <c r="I1813" s="591" t="s">
        <v>280</v>
      </c>
      <c r="J1813" s="57"/>
    </row>
    <row r="1814" spans="1:10">
      <c r="A1814" s="580"/>
      <c r="B1814" s="65">
        <v>2012</v>
      </c>
      <c r="C1814" s="579" t="s">
        <v>281</v>
      </c>
      <c r="D1814" s="63"/>
      <c r="E1814" s="583"/>
      <c r="F1814" s="596"/>
      <c r="G1814" s="65">
        <v>0</v>
      </c>
      <c r="H1814" s="591" t="s">
        <v>280</v>
      </c>
      <c r="I1814" s="591" t="s">
        <v>280</v>
      </c>
      <c r="J1814" s="57"/>
    </row>
    <row r="1815" spans="1:10">
      <c r="A1815" s="580"/>
      <c r="B1815" s="65">
        <v>2013</v>
      </c>
      <c r="C1815" s="579" t="s">
        <v>281</v>
      </c>
      <c r="D1815" s="579"/>
      <c r="E1815" s="583"/>
      <c r="F1815" s="596"/>
      <c r="G1815" s="65">
        <v>0</v>
      </c>
      <c r="H1815" s="591" t="s">
        <v>280</v>
      </c>
      <c r="I1815" s="591" t="s">
        <v>280</v>
      </c>
    </row>
    <row r="1816" spans="1:10">
      <c r="A1816" s="580"/>
      <c r="B1816" s="65">
        <v>2014</v>
      </c>
      <c r="C1816" s="579" t="s">
        <v>281</v>
      </c>
      <c r="D1816" s="579"/>
      <c r="E1816" s="583"/>
      <c r="F1816" s="596"/>
      <c r="G1816" s="65">
        <v>0</v>
      </c>
      <c r="H1816" s="591" t="s">
        <v>280</v>
      </c>
      <c r="I1816" s="591" t="s">
        <v>280</v>
      </c>
    </row>
    <row r="1817" spans="1:10">
      <c r="A1817" s="580"/>
      <c r="B1817" s="65">
        <v>2015</v>
      </c>
      <c r="C1817" s="579" t="s">
        <v>281</v>
      </c>
      <c r="D1817" s="579"/>
      <c r="E1817" s="583"/>
      <c r="F1817" s="596"/>
      <c r="G1817" s="65">
        <v>0</v>
      </c>
      <c r="H1817" s="591" t="s">
        <v>280</v>
      </c>
      <c r="I1817" s="591" t="s">
        <v>280</v>
      </c>
    </row>
    <row r="1818" spans="1:10">
      <c r="A1818" s="580"/>
      <c r="B1818" s="65">
        <v>2016</v>
      </c>
      <c r="C1818" s="579" t="s">
        <v>281</v>
      </c>
      <c r="D1818" s="579"/>
      <c r="E1818" s="583"/>
      <c r="F1818" s="596"/>
      <c r="G1818" s="65">
        <v>0</v>
      </c>
      <c r="H1818" s="591" t="s">
        <v>280</v>
      </c>
      <c r="I1818" s="591" t="s">
        <v>280</v>
      </c>
    </row>
    <row r="1819" spans="1:10">
      <c r="A1819" s="580"/>
      <c r="B1819" s="65">
        <v>2017</v>
      </c>
      <c r="C1819" s="579" t="s">
        <v>281</v>
      </c>
      <c r="D1819" s="579"/>
      <c r="E1819" s="583"/>
      <c r="F1819" s="596"/>
      <c r="G1819" s="65">
        <v>0</v>
      </c>
      <c r="H1819" s="591" t="s">
        <v>280</v>
      </c>
      <c r="I1819" s="591" t="s">
        <v>280</v>
      </c>
    </row>
    <row r="1820" spans="1:10">
      <c r="A1820" s="580"/>
      <c r="B1820" s="65">
        <v>2018</v>
      </c>
      <c r="C1820" s="579" t="s">
        <v>281</v>
      </c>
      <c r="D1820" s="579"/>
      <c r="E1820" s="583"/>
      <c r="F1820" s="596"/>
      <c r="G1820" s="65">
        <v>0</v>
      </c>
      <c r="H1820" s="591" t="s">
        <v>280</v>
      </c>
      <c r="I1820" s="591" t="s">
        <v>280</v>
      </c>
    </row>
    <row r="1821" spans="1:10">
      <c r="A1821" s="580"/>
      <c r="B1821" s="65">
        <v>2019</v>
      </c>
      <c r="C1821" s="579" t="s">
        <v>281</v>
      </c>
      <c r="D1821" s="63"/>
      <c r="E1821" s="583"/>
      <c r="F1821" s="596"/>
      <c r="G1821" s="65">
        <v>0</v>
      </c>
      <c r="H1821" s="591" t="s">
        <v>280</v>
      </c>
      <c r="I1821" s="591" t="s">
        <v>280</v>
      </c>
    </row>
    <row r="1822" spans="1:10">
      <c r="A1822" s="580"/>
      <c r="B1822" s="65">
        <v>2020</v>
      </c>
      <c r="C1822" s="579" t="s">
        <v>281</v>
      </c>
      <c r="D1822" s="63"/>
      <c r="E1822" s="583"/>
      <c r="F1822" s="596"/>
      <c r="G1822" s="65">
        <v>0</v>
      </c>
      <c r="H1822" s="591" t="s">
        <v>280</v>
      </c>
      <c r="I1822" s="591" t="s">
        <v>280</v>
      </c>
    </row>
    <row r="1823" spans="1:10">
      <c r="A1823" s="580"/>
      <c r="B1823" s="65">
        <v>2021</v>
      </c>
      <c r="C1823" s="579" t="s">
        <v>281</v>
      </c>
      <c r="D1823" s="63"/>
      <c r="E1823" s="583"/>
      <c r="F1823" s="596"/>
      <c r="G1823" s="65">
        <v>0</v>
      </c>
      <c r="H1823" s="591" t="s">
        <v>280</v>
      </c>
      <c r="I1823" s="591" t="s">
        <v>280</v>
      </c>
    </row>
    <row r="1824" spans="1:10">
      <c r="A1824" s="580"/>
      <c r="B1824" s="65">
        <v>2022</v>
      </c>
      <c r="C1824" s="579" t="s">
        <v>281</v>
      </c>
      <c r="D1824" s="63"/>
      <c r="E1824" s="583"/>
      <c r="F1824" s="596"/>
      <c r="G1824" s="65">
        <v>0</v>
      </c>
      <c r="H1824" s="591" t="s">
        <v>280</v>
      </c>
      <c r="I1824" s="591" t="s">
        <v>280</v>
      </c>
    </row>
    <row r="1825" spans="1:9">
      <c r="A1825" s="580"/>
      <c r="B1825" s="65">
        <v>2023</v>
      </c>
      <c r="C1825" s="579" t="s">
        <v>281</v>
      </c>
      <c r="D1825" s="63"/>
      <c r="E1825" s="583"/>
      <c r="F1825" s="596"/>
      <c r="G1825" s="65">
        <v>0</v>
      </c>
      <c r="H1825" s="591" t="s">
        <v>280</v>
      </c>
      <c r="I1825" s="591" t="s">
        <v>280</v>
      </c>
    </row>
    <row r="1826" spans="1:9">
      <c r="A1826" s="580"/>
      <c r="B1826" s="65">
        <v>2024</v>
      </c>
      <c r="C1826" s="579" t="s">
        <v>281</v>
      </c>
      <c r="D1826" s="65"/>
      <c r="E1826" s="583"/>
      <c r="F1826" s="596"/>
      <c r="G1826" s="65">
        <v>0</v>
      </c>
      <c r="H1826" s="591" t="s">
        <v>280</v>
      </c>
      <c r="I1826" s="591" t="s">
        <v>280</v>
      </c>
    </row>
    <row r="1827" spans="1:9">
      <c r="A1827" s="580"/>
      <c r="B1827" s="65">
        <v>2025</v>
      </c>
      <c r="C1827" s="579" t="s">
        <v>281</v>
      </c>
      <c r="D1827" s="65"/>
      <c r="E1827" s="583"/>
      <c r="F1827" s="596"/>
      <c r="G1827" s="65">
        <v>0</v>
      </c>
      <c r="H1827" s="591" t="s">
        <v>280</v>
      </c>
      <c r="I1827" s="591" t="s">
        <v>280</v>
      </c>
    </row>
    <row r="1828" spans="1:9">
      <c r="A1828" s="580"/>
      <c r="B1828" s="65">
        <v>2026</v>
      </c>
      <c r="C1828" s="579" t="s">
        <v>281</v>
      </c>
      <c r="D1828" s="579"/>
      <c r="E1828" s="583"/>
      <c r="F1828" s="596"/>
      <c r="G1828" s="65">
        <v>0</v>
      </c>
      <c r="H1828" s="591" t="s">
        <v>280</v>
      </c>
      <c r="I1828" s="591" t="s">
        <v>280</v>
      </c>
    </row>
    <row r="1829" spans="1:9">
      <c r="A1829" s="580"/>
      <c r="B1829" s="65">
        <v>2027</v>
      </c>
      <c r="C1829" s="579" t="s">
        <v>281</v>
      </c>
      <c r="D1829" s="65"/>
      <c r="E1829" s="583"/>
      <c r="F1829" s="596"/>
      <c r="G1829" s="65">
        <v>0</v>
      </c>
      <c r="H1829" s="591" t="s">
        <v>280</v>
      </c>
      <c r="I1829" s="591" t="s">
        <v>280</v>
      </c>
    </row>
    <row r="1830" spans="1:9">
      <c r="A1830" s="580"/>
      <c r="B1830" s="65">
        <v>2028</v>
      </c>
      <c r="C1830" s="579" t="s">
        <v>281</v>
      </c>
      <c r="D1830" s="579"/>
      <c r="E1830" s="583"/>
      <c r="F1830" s="596"/>
      <c r="G1830" s="65">
        <v>0</v>
      </c>
      <c r="H1830" s="591" t="s">
        <v>280</v>
      </c>
      <c r="I1830" s="591" t="s">
        <v>280</v>
      </c>
    </row>
    <row r="1831" spans="1:9">
      <c r="A1831" s="580"/>
      <c r="B1831" s="65">
        <v>2029</v>
      </c>
      <c r="C1831" s="579" t="s">
        <v>281</v>
      </c>
      <c r="D1831" s="579"/>
      <c r="E1831" s="583"/>
      <c r="F1831" s="596"/>
      <c r="G1831" s="65">
        <v>0</v>
      </c>
      <c r="H1831" s="591" t="s">
        <v>280</v>
      </c>
      <c r="I1831" s="591" t="s">
        <v>280</v>
      </c>
    </row>
    <row r="1832" spans="1:9">
      <c r="A1832" s="580"/>
      <c r="B1832" s="65">
        <v>2030</v>
      </c>
      <c r="C1832" s="579" t="s">
        <v>281</v>
      </c>
      <c r="D1832" s="579"/>
      <c r="E1832" s="583"/>
      <c r="F1832" s="596"/>
      <c r="G1832" s="65">
        <v>0</v>
      </c>
      <c r="H1832" s="591" t="s">
        <v>280</v>
      </c>
      <c r="I1832" s="591" t="s">
        <v>280</v>
      </c>
    </row>
    <row r="1833" spans="1:9">
      <c r="A1833" s="580"/>
      <c r="B1833" s="65">
        <v>2031</v>
      </c>
      <c r="C1833" s="579" t="s">
        <v>281</v>
      </c>
      <c r="D1833" s="579"/>
      <c r="E1833" s="583"/>
      <c r="F1833" s="596"/>
      <c r="G1833" s="65">
        <v>0</v>
      </c>
      <c r="H1833" s="591" t="s">
        <v>280</v>
      </c>
      <c r="I1833" s="591" t="s">
        <v>280</v>
      </c>
    </row>
    <row r="1834" spans="1:9">
      <c r="A1834" s="580"/>
      <c r="B1834" s="65">
        <v>2032</v>
      </c>
      <c r="C1834" s="579" t="s">
        <v>281</v>
      </c>
      <c r="D1834" s="579"/>
      <c r="E1834" s="583"/>
      <c r="F1834" s="596"/>
      <c r="G1834" s="65">
        <v>0</v>
      </c>
      <c r="H1834" s="591" t="s">
        <v>280</v>
      </c>
      <c r="I1834" s="591" t="s">
        <v>280</v>
      </c>
    </row>
    <row r="1835" spans="1:9">
      <c r="A1835" s="580"/>
      <c r="B1835" s="65">
        <v>2033</v>
      </c>
      <c r="C1835" s="579" t="s">
        <v>281</v>
      </c>
      <c r="D1835" s="579"/>
      <c r="E1835" s="583"/>
      <c r="F1835" s="596"/>
      <c r="G1835" s="65">
        <v>0</v>
      </c>
      <c r="H1835" s="591" t="s">
        <v>280</v>
      </c>
      <c r="I1835" s="591" t="s">
        <v>280</v>
      </c>
    </row>
    <row r="1836" spans="1:9">
      <c r="A1836" s="580"/>
      <c r="B1836" s="65">
        <v>2034</v>
      </c>
      <c r="C1836" s="579" t="s">
        <v>281</v>
      </c>
      <c r="D1836" s="579"/>
      <c r="E1836" s="583"/>
      <c r="F1836" s="596"/>
      <c r="G1836" s="65">
        <v>0</v>
      </c>
      <c r="H1836" s="591" t="s">
        <v>280</v>
      </c>
      <c r="I1836" s="591" t="s">
        <v>280</v>
      </c>
    </row>
    <row r="1837" spans="1:9">
      <c r="A1837" s="580"/>
      <c r="B1837" s="65">
        <v>2035</v>
      </c>
      <c r="C1837" s="579" t="s">
        <v>281</v>
      </c>
      <c r="D1837" s="579"/>
      <c r="E1837" s="583"/>
      <c r="F1837" s="596"/>
      <c r="G1837" s="65">
        <v>0</v>
      </c>
      <c r="H1837" s="591" t="s">
        <v>280</v>
      </c>
      <c r="I1837" s="591" t="s">
        <v>280</v>
      </c>
    </row>
    <row r="1838" spans="1:9">
      <c r="A1838" s="580"/>
      <c r="B1838" s="65">
        <v>2036</v>
      </c>
      <c r="C1838" s="579" t="s">
        <v>281</v>
      </c>
      <c r="D1838" s="579"/>
      <c r="E1838" s="583"/>
      <c r="F1838" s="596"/>
      <c r="G1838" s="65">
        <v>0</v>
      </c>
      <c r="H1838" s="591" t="s">
        <v>280</v>
      </c>
      <c r="I1838" s="591" t="s">
        <v>280</v>
      </c>
    </row>
    <row r="1839" spans="1:9">
      <c r="A1839" s="580"/>
      <c r="B1839" s="65">
        <v>2037</v>
      </c>
      <c r="C1839" s="579" t="s">
        <v>281</v>
      </c>
      <c r="D1839" s="579"/>
      <c r="E1839" s="583"/>
      <c r="F1839" s="596"/>
      <c r="G1839" s="65">
        <v>0</v>
      </c>
      <c r="H1839" s="591" t="s">
        <v>280</v>
      </c>
      <c r="I1839" s="591" t="s">
        <v>280</v>
      </c>
    </row>
    <row r="1840" spans="1:9">
      <c r="A1840" s="580"/>
      <c r="B1840" s="65">
        <v>2038</v>
      </c>
      <c r="C1840" s="579" t="s">
        <v>281</v>
      </c>
      <c r="D1840" s="579"/>
      <c r="E1840" s="583"/>
      <c r="F1840" s="596"/>
      <c r="G1840" s="65">
        <v>0</v>
      </c>
      <c r="H1840" s="591" t="s">
        <v>280</v>
      </c>
      <c r="I1840" s="591" t="s">
        <v>280</v>
      </c>
    </row>
    <row r="1841" spans="1:9">
      <c r="A1841" s="580"/>
      <c r="B1841" s="65">
        <v>2039</v>
      </c>
      <c r="C1841" s="579" t="s">
        <v>281</v>
      </c>
      <c r="D1841" s="579"/>
      <c r="E1841" s="583"/>
      <c r="F1841" s="596"/>
      <c r="G1841" s="65">
        <v>0</v>
      </c>
      <c r="H1841" s="591" t="s">
        <v>280</v>
      </c>
      <c r="I1841" s="591" t="s">
        <v>280</v>
      </c>
    </row>
    <row r="1842" spans="1:9">
      <c r="A1842" s="580"/>
      <c r="B1842" s="65">
        <v>2040</v>
      </c>
      <c r="C1842" s="579" t="s">
        <v>281</v>
      </c>
      <c r="D1842" s="579"/>
      <c r="E1842" s="583"/>
      <c r="F1842" s="596"/>
      <c r="G1842" s="65">
        <v>0</v>
      </c>
      <c r="H1842" s="591" t="s">
        <v>280</v>
      </c>
      <c r="I1842" s="591" t="s">
        <v>280</v>
      </c>
    </row>
    <row r="1843" spans="1:9">
      <c r="A1843" s="580"/>
      <c r="B1843" s="65">
        <v>2041</v>
      </c>
      <c r="C1843" s="579" t="s">
        <v>281</v>
      </c>
      <c r="D1843" s="579"/>
      <c r="E1843" s="583"/>
      <c r="F1843" s="596"/>
      <c r="G1843" s="65">
        <v>0</v>
      </c>
      <c r="H1843" s="591" t="s">
        <v>280</v>
      </c>
      <c r="I1843" s="591" t="s">
        <v>280</v>
      </c>
    </row>
    <row r="1844" spans="1:9">
      <c r="A1844" s="580"/>
      <c r="B1844" s="65">
        <v>2042</v>
      </c>
      <c r="C1844" s="579" t="s">
        <v>281</v>
      </c>
      <c r="D1844" s="579"/>
      <c r="E1844" s="583"/>
      <c r="F1844" s="596"/>
      <c r="G1844" s="65">
        <v>0</v>
      </c>
      <c r="H1844" s="591" t="s">
        <v>280</v>
      </c>
      <c r="I1844" s="591" t="s">
        <v>280</v>
      </c>
    </row>
    <row r="1845" spans="1:9">
      <c r="A1845" s="580"/>
      <c r="B1845" s="65">
        <v>2043</v>
      </c>
      <c r="C1845" s="579" t="s">
        <v>281</v>
      </c>
      <c r="D1845" s="579"/>
      <c r="E1845" s="583"/>
      <c r="F1845" s="596"/>
      <c r="G1845" s="65">
        <v>0</v>
      </c>
      <c r="H1845" s="591" t="s">
        <v>280</v>
      </c>
      <c r="I1845" s="591" t="s">
        <v>280</v>
      </c>
    </row>
    <row r="1846" spans="1:9">
      <c r="A1846" s="580"/>
      <c r="B1846" s="65">
        <v>2044</v>
      </c>
      <c r="C1846" s="579" t="s">
        <v>281</v>
      </c>
      <c r="D1846" s="579"/>
      <c r="E1846" s="583"/>
      <c r="F1846" s="596"/>
      <c r="G1846" s="65">
        <v>0</v>
      </c>
      <c r="H1846" s="591" t="s">
        <v>280</v>
      </c>
      <c r="I1846" s="591" t="s">
        <v>280</v>
      </c>
    </row>
    <row r="1847" spans="1:9">
      <c r="A1847" s="580"/>
      <c r="B1847" s="65">
        <v>2045</v>
      </c>
      <c r="C1847" s="579" t="s">
        <v>281</v>
      </c>
      <c r="D1847" s="579"/>
      <c r="E1847" s="583"/>
      <c r="F1847" s="596"/>
      <c r="G1847" s="65">
        <v>0</v>
      </c>
      <c r="H1847" s="591" t="s">
        <v>280</v>
      </c>
      <c r="I1847" s="591" t="s">
        <v>280</v>
      </c>
    </row>
    <row r="1848" spans="1:9">
      <c r="A1848" s="580"/>
      <c r="B1848" s="65">
        <v>2046</v>
      </c>
      <c r="C1848" s="579" t="s">
        <v>281</v>
      </c>
      <c r="D1848" s="579"/>
      <c r="E1848" s="583"/>
      <c r="F1848" s="596"/>
      <c r="G1848" s="65">
        <v>0</v>
      </c>
      <c r="H1848" s="591" t="s">
        <v>280</v>
      </c>
      <c r="I1848" s="591" t="s">
        <v>280</v>
      </c>
    </row>
    <row r="1849" spans="1:9">
      <c r="A1849" s="580"/>
      <c r="B1849" s="65">
        <v>2047</v>
      </c>
      <c r="C1849" s="579" t="s">
        <v>281</v>
      </c>
      <c r="D1849" s="579"/>
      <c r="E1849" s="583"/>
      <c r="F1849" s="596"/>
      <c r="G1849" s="65">
        <v>0</v>
      </c>
      <c r="H1849" s="591" t="s">
        <v>280</v>
      </c>
      <c r="I1849" s="591" t="s">
        <v>280</v>
      </c>
    </row>
    <row r="1850" spans="1:9">
      <c r="A1850" s="580"/>
      <c r="B1850" s="65">
        <v>2048</v>
      </c>
      <c r="C1850" s="579" t="s">
        <v>281</v>
      </c>
      <c r="D1850" s="579"/>
      <c r="E1850" s="583"/>
      <c r="F1850" s="596"/>
      <c r="G1850" s="65">
        <v>0</v>
      </c>
      <c r="H1850" s="591" t="s">
        <v>280</v>
      </c>
      <c r="I1850" s="591" t="s">
        <v>280</v>
      </c>
    </row>
    <row r="1851" spans="1:9">
      <c r="A1851" s="580"/>
      <c r="B1851" s="65">
        <v>2049</v>
      </c>
      <c r="C1851" s="579" t="s">
        <v>281</v>
      </c>
      <c r="D1851" s="579"/>
      <c r="E1851" s="583"/>
      <c r="F1851" s="596"/>
      <c r="G1851" s="65">
        <v>0</v>
      </c>
      <c r="H1851" s="591" t="s">
        <v>280</v>
      </c>
      <c r="I1851" s="591" t="s">
        <v>280</v>
      </c>
    </row>
    <row r="1852" spans="1:9">
      <c r="A1852" s="580"/>
      <c r="B1852" s="65">
        <v>2050</v>
      </c>
      <c r="C1852" s="579" t="s">
        <v>281</v>
      </c>
      <c r="D1852" s="579"/>
      <c r="E1852" s="583"/>
      <c r="F1852" s="596"/>
      <c r="G1852" s="65">
        <v>0</v>
      </c>
      <c r="H1852" s="591" t="s">
        <v>280</v>
      </c>
      <c r="I1852" s="591" t="s">
        <v>280</v>
      </c>
    </row>
    <row r="1853" spans="1:9">
      <c r="A1853" s="580"/>
      <c r="B1853" s="65">
        <v>2051</v>
      </c>
      <c r="C1853" s="579" t="s">
        <v>281</v>
      </c>
      <c r="D1853" s="579"/>
      <c r="E1853" s="583"/>
      <c r="F1853" s="596"/>
      <c r="G1853" s="65">
        <v>0</v>
      </c>
      <c r="H1853" s="591" t="s">
        <v>280</v>
      </c>
      <c r="I1853" s="591" t="s">
        <v>280</v>
      </c>
    </row>
    <row r="1854" spans="1:9">
      <c r="A1854" s="580"/>
      <c r="B1854" s="65">
        <v>2052</v>
      </c>
      <c r="C1854" s="579" t="s">
        <v>281</v>
      </c>
      <c r="D1854" s="579"/>
      <c r="E1854" s="583"/>
      <c r="F1854" s="596"/>
      <c r="G1854" s="65">
        <v>0</v>
      </c>
      <c r="H1854" s="591" t="s">
        <v>280</v>
      </c>
      <c r="I1854" s="591" t="s">
        <v>280</v>
      </c>
    </row>
    <row r="1855" spans="1:9">
      <c r="A1855" s="580"/>
      <c r="B1855" s="65">
        <v>2053</v>
      </c>
      <c r="C1855" s="579" t="s">
        <v>281</v>
      </c>
      <c r="D1855" s="579"/>
      <c r="E1855" s="583"/>
      <c r="F1855" s="596"/>
      <c r="G1855" s="65">
        <v>0</v>
      </c>
      <c r="H1855" s="591" t="s">
        <v>280</v>
      </c>
      <c r="I1855" s="591" t="s">
        <v>280</v>
      </c>
    </row>
    <row r="1856" spans="1:9">
      <c r="A1856" s="580"/>
      <c r="B1856" s="65">
        <v>2054</v>
      </c>
      <c r="C1856" s="579" t="s">
        <v>281</v>
      </c>
      <c r="D1856" s="579"/>
      <c r="E1856" s="583"/>
      <c r="F1856" s="596"/>
      <c r="G1856" s="65">
        <v>0</v>
      </c>
      <c r="H1856" s="591" t="s">
        <v>280</v>
      </c>
      <c r="I1856" s="591" t="s">
        <v>280</v>
      </c>
    </row>
    <row r="1857" spans="1:9">
      <c r="A1857" s="580"/>
      <c r="B1857" s="65">
        <v>2055</v>
      </c>
      <c r="C1857" s="579" t="s">
        <v>281</v>
      </c>
      <c r="D1857" s="579"/>
      <c r="E1857" s="583"/>
      <c r="F1857" s="596"/>
      <c r="G1857" s="65">
        <v>0</v>
      </c>
      <c r="H1857" s="591" t="s">
        <v>280</v>
      </c>
      <c r="I1857" s="591" t="s">
        <v>280</v>
      </c>
    </row>
    <row r="1858" spans="1:9">
      <c r="A1858" s="580"/>
      <c r="B1858" s="65">
        <v>2056</v>
      </c>
      <c r="C1858" s="579" t="s">
        <v>281</v>
      </c>
      <c r="D1858" s="579"/>
      <c r="E1858" s="583"/>
      <c r="F1858" s="596"/>
      <c r="G1858" s="65">
        <v>0</v>
      </c>
      <c r="H1858" s="591" t="s">
        <v>280</v>
      </c>
      <c r="I1858" s="591" t="s">
        <v>280</v>
      </c>
    </row>
    <row r="1859" spans="1:9">
      <c r="A1859" s="580"/>
      <c r="B1859" s="65">
        <v>2057</v>
      </c>
      <c r="C1859" s="579" t="s">
        <v>281</v>
      </c>
      <c r="D1859" s="579"/>
      <c r="E1859" s="583"/>
      <c r="F1859" s="596"/>
      <c r="G1859" s="65">
        <v>0</v>
      </c>
      <c r="H1859" s="591" t="s">
        <v>280</v>
      </c>
      <c r="I1859" s="591" t="s">
        <v>280</v>
      </c>
    </row>
    <row r="1860" spans="1:9">
      <c r="A1860" s="580"/>
      <c r="B1860" s="65">
        <v>2058</v>
      </c>
      <c r="C1860" s="579" t="s">
        <v>281</v>
      </c>
      <c r="D1860" s="579"/>
      <c r="E1860" s="583"/>
      <c r="F1860" s="596"/>
      <c r="G1860" s="65">
        <v>0</v>
      </c>
      <c r="H1860" s="591" t="s">
        <v>280</v>
      </c>
      <c r="I1860" s="591" t="s">
        <v>280</v>
      </c>
    </row>
    <row r="1861" spans="1:9">
      <c r="A1861" s="580"/>
      <c r="B1861" s="65">
        <v>2059</v>
      </c>
      <c r="C1861" s="579" t="s">
        <v>281</v>
      </c>
      <c r="D1861" s="579"/>
      <c r="E1861" s="583"/>
      <c r="F1861" s="596"/>
      <c r="G1861" s="65">
        <v>0</v>
      </c>
      <c r="H1861" s="591" t="s">
        <v>280</v>
      </c>
      <c r="I1861" s="591" t="s">
        <v>280</v>
      </c>
    </row>
    <row r="1862" spans="1:9">
      <c r="A1862" s="580"/>
      <c r="B1862" s="65">
        <v>2060</v>
      </c>
      <c r="C1862" s="579" t="s">
        <v>281</v>
      </c>
      <c r="D1862" s="579"/>
      <c r="E1862" s="583"/>
      <c r="F1862" s="596"/>
      <c r="G1862" s="65">
        <v>0</v>
      </c>
      <c r="H1862" s="591" t="s">
        <v>280</v>
      </c>
      <c r="I1862" s="591" t="s">
        <v>280</v>
      </c>
    </row>
    <row r="1863" spans="1:9">
      <c r="A1863" s="580"/>
      <c r="B1863" s="65">
        <v>2061</v>
      </c>
      <c r="C1863" s="579" t="s">
        <v>281</v>
      </c>
      <c r="D1863" s="579"/>
      <c r="E1863" s="583"/>
      <c r="F1863" s="596"/>
      <c r="G1863" s="65">
        <v>0</v>
      </c>
      <c r="H1863" s="591" t="s">
        <v>280</v>
      </c>
      <c r="I1863" s="591" t="s">
        <v>280</v>
      </c>
    </row>
    <row r="1864" spans="1:9">
      <c r="A1864" s="580"/>
      <c r="B1864" s="65">
        <v>2062</v>
      </c>
      <c r="C1864" s="579" t="s">
        <v>281</v>
      </c>
      <c r="D1864" s="579"/>
      <c r="E1864" s="583"/>
      <c r="F1864" s="596"/>
      <c r="G1864" s="65">
        <v>0</v>
      </c>
      <c r="H1864" s="591" t="s">
        <v>280</v>
      </c>
      <c r="I1864" s="591" t="s">
        <v>280</v>
      </c>
    </row>
    <row r="1865" spans="1:9">
      <c r="A1865" s="580"/>
      <c r="B1865" s="65">
        <v>2063</v>
      </c>
      <c r="C1865" s="579" t="s">
        <v>281</v>
      </c>
      <c r="D1865" s="579"/>
      <c r="E1865" s="583"/>
      <c r="F1865" s="596"/>
      <c r="G1865" s="65">
        <v>0</v>
      </c>
      <c r="H1865" s="591" t="s">
        <v>280</v>
      </c>
      <c r="I1865" s="591" t="s">
        <v>280</v>
      </c>
    </row>
    <row r="1866" spans="1:9">
      <c r="A1866" s="580"/>
      <c r="B1866" s="65">
        <v>2064</v>
      </c>
      <c r="C1866" s="579" t="s">
        <v>281</v>
      </c>
      <c r="D1866" s="579"/>
      <c r="E1866" s="583"/>
      <c r="F1866" s="596"/>
      <c r="G1866" s="65">
        <v>0</v>
      </c>
      <c r="H1866" s="591" t="s">
        <v>280</v>
      </c>
      <c r="I1866" s="591" t="s">
        <v>280</v>
      </c>
    </row>
    <row r="1867" spans="1:9">
      <c r="A1867" s="580"/>
      <c r="B1867" s="65">
        <v>2065</v>
      </c>
      <c r="C1867" s="579" t="s">
        <v>281</v>
      </c>
      <c r="D1867" s="579"/>
      <c r="E1867" s="583"/>
      <c r="F1867" s="596"/>
      <c r="G1867" s="65">
        <v>0</v>
      </c>
      <c r="H1867" s="591" t="s">
        <v>280</v>
      </c>
      <c r="I1867" s="591" t="s">
        <v>280</v>
      </c>
    </row>
    <row r="1868" spans="1:9">
      <c r="A1868" s="580"/>
      <c r="B1868" s="65">
        <v>2066</v>
      </c>
      <c r="C1868" s="579" t="s">
        <v>281</v>
      </c>
      <c r="D1868" s="579"/>
      <c r="E1868" s="583"/>
      <c r="F1868" s="596"/>
      <c r="G1868" s="65">
        <v>0</v>
      </c>
      <c r="H1868" s="591" t="s">
        <v>280</v>
      </c>
      <c r="I1868" s="591" t="s">
        <v>280</v>
      </c>
    </row>
    <row r="1869" spans="1:9">
      <c r="A1869" s="580"/>
      <c r="B1869" s="65">
        <v>2067</v>
      </c>
      <c r="C1869" s="579" t="s">
        <v>281</v>
      </c>
      <c r="D1869" s="579"/>
      <c r="E1869" s="583"/>
      <c r="F1869" s="596"/>
      <c r="G1869" s="65">
        <v>0</v>
      </c>
      <c r="H1869" s="591" t="s">
        <v>280</v>
      </c>
      <c r="I1869" s="591" t="s">
        <v>280</v>
      </c>
    </row>
    <row r="1870" spans="1:9">
      <c r="A1870" s="580"/>
      <c r="B1870" s="65">
        <v>2068</v>
      </c>
      <c r="C1870" s="579" t="s">
        <v>281</v>
      </c>
      <c r="D1870" s="579"/>
      <c r="E1870" s="583"/>
      <c r="F1870" s="596"/>
      <c r="G1870" s="65">
        <v>0</v>
      </c>
      <c r="H1870" s="591" t="s">
        <v>280</v>
      </c>
      <c r="I1870" s="591" t="s">
        <v>280</v>
      </c>
    </row>
    <row r="1871" spans="1:9">
      <c r="A1871" s="580"/>
      <c r="B1871" s="65">
        <v>2069</v>
      </c>
      <c r="C1871" s="579" t="s">
        <v>281</v>
      </c>
      <c r="D1871" s="579"/>
      <c r="E1871" s="583"/>
      <c r="F1871" s="596"/>
      <c r="G1871" s="65">
        <v>0</v>
      </c>
      <c r="H1871" s="591" t="s">
        <v>280</v>
      </c>
      <c r="I1871" s="591" t="s">
        <v>280</v>
      </c>
    </row>
    <row r="1872" spans="1:9">
      <c r="A1872" s="580"/>
      <c r="B1872" s="65">
        <v>2070</v>
      </c>
      <c r="C1872" s="579" t="s">
        <v>281</v>
      </c>
      <c r="D1872" s="579"/>
      <c r="E1872" s="583"/>
      <c r="F1872" s="596"/>
      <c r="G1872" s="65">
        <v>0</v>
      </c>
      <c r="H1872" s="591" t="s">
        <v>280</v>
      </c>
      <c r="I1872" s="591" t="s">
        <v>280</v>
      </c>
    </row>
    <row r="1873" spans="1:9">
      <c r="A1873" s="580"/>
      <c r="B1873" s="65">
        <v>2071</v>
      </c>
      <c r="C1873" s="579" t="s">
        <v>281</v>
      </c>
      <c r="D1873" s="579"/>
      <c r="E1873" s="583"/>
      <c r="F1873" s="596"/>
      <c r="G1873" s="65">
        <v>0</v>
      </c>
      <c r="H1873" s="591" t="s">
        <v>280</v>
      </c>
      <c r="I1873" s="591" t="s">
        <v>280</v>
      </c>
    </row>
    <row r="1874" spans="1:9">
      <c r="A1874" s="580"/>
      <c r="B1874" s="65">
        <v>2072</v>
      </c>
      <c r="C1874" s="579" t="s">
        <v>281</v>
      </c>
      <c r="D1874" s="579"/>
      <c r="E1874" s="583"/>
      <c r="F1874" s="596"/>
      <c r="G1874" s="65">
        <v>0</v>
      </c>
      <c r="H1874" s="591" t="s">
        <v>280</v>
      </c>
      <c r="I1874" s="591" t="s">
        <v>280</v>
      </c>
    </row>
    <row r="1875" spans="1:9">
      <c r="A1875" s="580"/>
      <c r="B1875" s="65">
        <v>2073</v>
      </c>
      <c r="C1875" s="579" t="s">
        <v>281</v>
      </c>
      <c r="D1875" s="579"/>
      <c r="E1875" s="583"/>
      <c r="F1875" s="596"/>
      <c r="G1875" s="65">
        <v>0</v>
      </c>
      <c r="H1875" s="591" t="s">
        <v>280</v>
      </c>
      <c r="I1875" s="591" t="s">
        <v>280</v>
      </c>
    </row>
    <row r="1876" spans="1:9">
      <c r="A1876" s="580"/>
      <c r="B1876" s="65">
        <v>2074</v>
      </c>
      <c r="C1876" s="579" t="s">
        <v>281</v>
      </c>
      <c r="D1876" s="579"/>
      <c r="E1876" s="583"/>
      <c r="F1876" s="596"/>
      <c r="G1876" s="65">
        <v>0</v>
      </c>
      <c r="H1876" s="591" t="s">
        <v>280</v>
      </c>
      <c r="I1876" s="591" t="s">
        <v>280</v>
      </c>
    </row>
    <row r="1877" spans="1:9">
      <c r="A1877" s="580"/>
      <c r="B1877" s="65">
        <v>2075</v>
      </c>
      <c r="C1877" s="579" t="s">
        <v>281</v>
      </c>
      <c r="D1877" s="579"/>
      <c r="E1877" s="583"/>
      <c r="F1877" s="596"/>
      <c r="G1877" s="65">
        <v>0</v>
      </c>
      <c r="H1877" s="591" t="s">
        <v>280</v>
      </c>
      <c r="I1877" s="591" t="s">
        <v>280</v>
      </c>
    </row>
    <row r="1878" spans="1:9">
      <c r="A1878" s="580"/>
      <c r="B1878" s="65">
        <v>2076</v>
      </c>
      <c r="C1878" s="579" t="s">
        <v>281</v>
      </c>
      <c r="D1878" s="579"/>
      <c r="E1878" s="583"/>
      <c r="F1878" s="596"/>
      <c r="G1878" s="65">
        <v>0</v>
      </c>
      <c r="H1878" s="591" t="s">
        <v>280</v>
      </c>
      <c r="I1878" s="591" t="s">
        <v>280</v>
      </c>
    </row>
    <row r="1879" spans="1:9">
      <c r="A1879" s="580"/>
      <c r="B1879" s="65">
        <v>2077</v>
      </c>
      <c r="C1879" s="579" t="s">
        <v>281</v>
      </c>
      <c r="D1879" s="579"/>
      <c r="E1879" s="583"/>
      <c r="F1879" s="596"/>
      <c r="G1879" s="65">
        <v>0</v>
      </c>
      <c r="H1879" s="591" t="s">
        <v>280</v>
      </c>
      <c r="I1879" s="591" t="s">
        <v>280</v>
      </c>
    </row>
    <row r="1880" spans="1:9">
      <c r="A1880" s="580"/>
      <c r="B1880" s="65">
        <v>2078</v>
      </c>
      <c r="C1880" s="579" t="s">
        <v>281</v>
      </c>
      <c r="D1880" s="579"/>
      <c r="E1880" s="583"/>
      <c r="F1880" s="596"/>
      <c r="G1880" s="65">
        <v>0</v>
      </c>
      <c r="H1880" s="591" t="s">
        <v>280</v>
      </c>
      <c r="I1880" s="591" t="s">
        <v>280</v>
      </c>
    </row>
    <row r="1881" spans="1:9">
      <c r="A1881" s="580"/>
      <c r="B1881" s="65">
        <v>2079</v>
      </c>
      <c r="C1881" s="579" t="s">
        <v>281</v>
      </c>
      <c r="D1881" s="579"/>
      <c r="E1881" s="583"/>
      <c r="F1881" s="596"/>
      <c r="G1881" s="65">
        <v>0</v>
      </c>
      <c r="H1881" s="591" t="s">
        <v>280</v>
      </c>
      <c r="I1881" s="591" t="s">
        <v>280</v>
      </c>
    </row>
    <row r="1882" spans="1:9">
      <c r="A1882" s="580"/>
      <c r="B1882" s="65">
        <v>2080</v>
      </c>
      <c r="C1882" s="579" t="s">
        <v>281</v>
      </c>
      <c r="D1882" s="579"/>
      <c r="E1882" s="583"/>
      <c r="F1882" s="596"/>
      <c r="G1882" s="65">
        <v>0</v>
      </c>
      <c r="H1882" s="591" t="s">
        <v>280</v>
      </c>
      <c r="I1882" s="591" t="s">
        <v>280</v>
      </c>
    </row>
    <row r="1883" spans="1:9">
      <c r="A1883" s="580"/>
      <c r="B1883" s="65">
        <v>2081</v>
      </c>
      <c r="C1883" s="579" t="s">
        <v>281</v>
      </c>
      <c r="D1883" s="579"/>
      <c r="E1883" s="583"/>
      <c r="F1883" s="596"/>
      <c r="G1883" s="65">
        <v>0</v>
      </c>
      <c r="H1883" s="591" t="s">
        <v>280</v>
      </c>
      <c r="I1883" s="591" t="s">
        <v>280</v>
      </c>
    </row>
    <row r="1884" spans="1:9">
      <c r="A1884" s="580"/>
      <c r="B1884" s="65">
        <v>2082</v>
      </c>
      <c r="C1884" s="579" t="s">
        <v>281</v>
      </c>
      <c r="D1884" s="579"/>
      <c r="E1884" s="583"/>
      <c r="F1884" s="596"/>
      <c r="G1884" s="65">
        <v>0</v>
      </c>
      <c r="H1884" s="591" t="s">
        <v>280</v>
      </c>
      <c r="I1884" s="591" t="s">
        <v>280</v>
      </c>
    </row>
    <row r="1885" spans="1:9">
      <c r="A1885" s="580"/>
      <c r="B1885" s="65">
        <v>2083</v>
      </c>
      <c r="C1885" s="579" t="s">
        <v>281</v>
      </c>
      <c r="D1885" s="579"/>
      <c r="E1885" s="583"/>
      <c r="F1885" s="596"/>
      <c r="G1885" s="65">
        <v>0</v>
      </c>
      <c r="H1885" s="591" t="s">
        <v>280</v>
      </c>
      <c r="I1885" s="591" t="s">
        <v>280</v>
      </c>
    </row>
    <row r="1886" spans="1:9">
      <c r="A1886" s="580"/>
      <c r="B1886" s="65">
        <v>2084</v>
      </c>
      <c r="C1886" s="579" t="s">
        <v>281</v>
      </c>
      <c r="D1886" s="579"/>
      <c r="E1886" s="583"/>
      <c r="F1886" s="596"/>
      <c r="G1886" s="65">
        <v>0</v>
      </c>
      <c r="H1886" s="591" t="s">
        <v>280</v>
      </c>
      <c r="I1886" s="591" t="s">
        <v>280</v>
      </c>
    </row>
    <row r="1887" spans="1:9">
      <c r="A1887" s="580"/>
      <c r="B1887" s="65">
        <v>2085</v>
      </c>
      <c r="C1887" s="579" t="s">
        <v>281</v>
      </c>
      <c r="D1887" s="579"/>
      <c r="E1887" s="583"/>
      <c r="F1887" s="596"/>
      <c r="G1887" s="65">
        <v>0</v>
      </c>
      <c r="H1887" s="591" t="s">
        <v>280</v>
      </c>
      <c r="I1887" s="591" t="s">
        <v>280</v>
      </c>
    </row>
    <row r="1888" spans="1:9">
      <c r="A1888" s="580"/>
      <c r="B1888" s="65">
        <v>2086</v>
      </c>
      <c r="C1888" s="579" t="s">
        <v>281</v>
      </c>
      <c r="D1888" s="579"/>
      <c r="E1888" s="583"/>
      <c r="F1888" s="596"/>
      <c r="G1888" s="65">
        <v>0</v>
      </c>
      <c r="H1888" s="591" t="s">
        <v>280</v>
      </c>
      <c r="I1888" s="591" t="s">
        <v>280</v>
      </c>
    </row>
    <row r="1889" spans="1:9">
      <c r="A1889" s="580"/>
      <c r="B1889" s="65">
        <v>2087</v>
      </c>
      <c r="C1889" s="579" t="s">
        <v>281</v>
      </c>
      <c r="D1889" s="579"/>
      <c r="E1889" s="583"/>
      <c r="F1889" s="596"/>
      <c r="G1889" s="65">
        <v>0</v>
      </c>
      <c r="H1889" s="591" t="s">
        <v>280</v>
      </c>
      <c r="I1889" s="591" t="s">
        <v>280</v>
      </c>
    </row>
    <row r="1890" spans="1:9">
      <c r="A1890" s="580"/>
      <c r="B1890" s="65">
        <v>2088</v>
      </c>
      <c r="C1890" s="579" t="s">
        <v>281</v>
      </c>
      <c r="D1890" s="579"/>
      <c r="E1890" s="583"/>
      <c r="F1890" s="596"/>
      <c r="G1890" s="65">
        <v>0</v>
      </c>
      <c r="H1890" s="591" t="s">
        <v>280</v>
      </c>
      <c r="I1890" s="591" t="s">
        <v>280</v>
      </c>
    </row>
    <row r="1891" spans="1:9">
      <c r="A1891" s="580"/>
      <c r="B1891" s="65">
        <v>2089</v>
      </c>
      <c r="C1891" s="579" t="s">
        <v>281</v>
      </c>
      <c r="D1891" s="579"/>
      <c r="E1891" s="583"/>
      <c r="F1891" s="596"/>
      <c r="G1891" s="65">
        <v>0</v>
      </c>
      <c r="H1891" s="591" t="s">
        <v>280</v>
      </c>
      <c r="I1891" s="591" t="s">
        <v>280</v>
      </c>
    </row>
    <row r="1892" spans="1:9">
      <c r="A1892" s="580"/>
      <c r="B1892" s="65">
        <v>2090</v>
      </c>
      <c r="C1892" s="579" t="s">
        <v>281</v>
      </c>
      <c r="D1892" s="579"/>
      <c r="E1892" s="583"/>
      <c r="F1892" s="596"/>
      <c r="G1892" s="65">
        <v>0</v>
      </c>
      <c r="H1892" s="591" t="s">
        <v>280</v>
      </c>
      <c r="I1892" s="591" t="s">
        <v>280</v>
      </c>
    </row>
    <row r="1893" spans="1:9">
      <c r="A1893" s="580"/>
      <c r="B1893" s="65">
        <v>2091</v>
      </c>
      <c r="C1893" s="579" t="s">
        <v>281</v>
      </c>
      <c r="D1893" s="579"/>
      <c r="E1893" s="583"/>
      <c r="F1893" s="596"/>
      <c r="G1893" s="65">
        <v>0</v>
      </c>
      <c r="H1893" s="591" t="s">
        <v>280</v>
      </c>
      <c r="I1893" s="591" t="s">
        <v>280</v>
      </c>
    </row>
    <row r="1894" spans="1:9">
      <c r="A1894" s="580"/>
      <c r="B1894" s="65">
        <v>2092</v>
      </c>
      <c r="C1894" s="579" t="s">
        <v>281</v>
      </c>
      <c r="D1894" s="579"/>
      <c r="E1894" s="583"/>
      <c r="F1894" s="596"/>
      <c r="G1894" s="65">
        <v>0</v>
      </c>
      <c r="H1894" s="591" t="s">
        <v>280</v>
      </c>
      <c r="I1894" s="591" t="s">
        <v>280</v>
      </c>
    </row>
    <row r="1895" spans="1:9">
      <c r="A1895" s="580"/>
      <c r="B1895" s="65">
        <v>2093</v>
      </c>
      <c r="C1895" s="579" t="s">
        <v>281</v>
      </c>
      <c r="D1895" s="579"/>
      <c r="E1895" s="583"/>
      <c r="F1895" s="596"/>
      <c r="G1895" s="65">
        <v>0</v>
      </c>
      <c r="H1895" s="591" t="s">
        <v>280</v>
      </c>
      <c r="I1895" s="591" t="s">
        <v>280</v>
      </c>
    </row>
    <row r="1896" spans="1:9">
      <c r="A1896" s="580"/>
      <c r="B1896" s="65">
        <v>2094</v>
      </c>
      <c r="C1896" s="579" t="s">
        <v>281</v>
      </c>
      <c r="D1896" s="579"/>
      <c r="E1896" s="583"/>
      <c r="F1896" s="596"/>
      <c r="G1896" s="65">
        <v>0</v>
      </c>
      <c r="H1896" s="591" t="s">
        <v>280</v>
      </c>
      <c r="I1896" s="591" t="s">
        <v>280</v>
      </c>
    </row>
    <row r="1897" spans="1:9">
      <c r="A1897" s="580"/>
      <c r="B1897" s="65">
        <v>2095</v>
      </c>
      <c r="C1897" s="579" t="s">
        <v>281</v>
      </c>
      <c r="D1897" s="579"/>
      <c r="E1897" s="583"/>
      <c r="F1897" s="596"/>
      <c r="G1897" s="65">
        <v>0</v>
      </c>
      <c r="H1897" s="591" t="s">
        <v>280</v>
      </c>
      <c r="I1897" s="591" t="s">
        <v>280</v>
      </c>
    </row>
    <row r="1898" spans="1:9">
      <c r="A1898" s="580"/>
      <c r="B1898" s="65">
        <v>2096</v>
      </c>
      <c r="C1898" s="579" t="s">
        <v>281</v>
      </c>
      <c r="D1898" s="579"/>
      <c r="E1898" s="583"/>
      <c r="F1898" s="596"/>
      <c r="G1898" s="65">
        <v>0</v>
      </c>
      <c r="H1898" s="591" t="s">
        <v>280</v>
      </c>
      <c r="I1898" s="591" t="s">
        <v>280</v>
      </c>
    </row>
    <row r="1899" spans="1:9">
      <c r="A1899" s="580"/>
      <c r="B1899" s="65">
        <v>2097</v>
      </c>
      <c r="C1899" s="579" t="s">
        <v>281</v>
      </c>
      <c r="D1899" s="579"/>
      <c r="E1899" s="583"/>
      <c r="F1899" s="596"/>
      <c r="G1899" s="65">
        <v>0</v>
      </c>
      <c r="H1899" s="591" t="s">
        <v>280</v>
      </c>
      <c r="I1899" s="591" t="s">
        <v>280</v>
      </c>
    </row>
    <row r="1900" spans="1:9">
      <c r="A1900" s="580"/>
      <c r="B1900" s="65">
        <v>2098</v>
      </c>
      <c r="C1900" s="579" t="s">
        <v>281</v>
      </c>
      <c r="D1900" s="579"/>
      <c r="E1900" s="583"/>
      <c r="F1900" s="596"/>
      <c r="G1900" s="65">
        <v>0</v>
      </c>
      <c r="H1900" s="591" t="s">
        <v>280</v>
      </c>
      <c r="I1900" s="591" t="s">
        <v>280</v>
      </c>
    </row>
    <row r="1901" spans="1:9">
      <c r="A1901" s="580"/>
      <c r="B1901" s="65">
        <v>2099</v>
      </c>
      <c r="C1901" s="579" t="s">
        <v>281</v>
      </c>
      <c r="D1901" s="579"/>
      <c r="E1901" s="583"/>
      <c r="F1901" s="596"/>
      <c r="G1901" s="65">
        <v>0</v>
      </c>
      <c r="H1901" s="591" t="s">
        <v>280</v>
      </c>
      <c r="I1901" s="591" t="s">
        <v>280</v>
      </c>
    </row>
    <row r="1902" spans="1:9">
      <c r="A1902" s="580" t="s">
        <v>455</v>
      </c>
      <c r="B1902" s="65">
        <v>2100</v>
      </c>
      <c r="C1902" s="579" t="s">
        <v>279</v>
      </c>
      <c r="D1902" s="579"/>
      <c r="E1902" s="583"/>
      <c r="F1902" s="585">
        <v>45535</v>
      </c>
      <c r="G1902" s="65">
        <v>1</v>
      </c>
      <c r="H1902" s="591" t="s">
        <v>280</v>
      </c>
      <c r="I1902" s="591" t="s">
        <v>280</v>
      </c>
    </row>
    <row r="1903" spans="1:9">
      <c r="A1903" s="580" t="s">
        <v>455</v>
      </c>
      <c r="B1903" s="65">
        <v>2101</v>
      </c>
      <c r="C1903" s="579" t="s">
        <v>281</v>
      </c>
      <c r="D1903" s="579"/>
      <c r="E1903" s="583"/>
      <c r="F1903" s="596"/>
      <c r="G1903" s="65">
        <v>0</v>
      </c>
      <c r="H1903" s="591" t="s">
        <v>280</v>
      </c>
      <c r="I1903" s="591" t="s">
        <v>280</v>
      </c>
    </row>
    <row r="1904" spans="1:9">
      <c r="A1904" s="580" t="s">
        <v>455</v>
      </c>
      <c r="B1904" s="65">
        <v>2102</v>
      </c>
      <c r="C1904" s="65" t="s">
        <v>456</v>
      </c>
      <c r="D1904" s="579">
        <v>10408</v>
      </c>
      <c r="E1904" s="583"/>
      <c r="F1904" s="585">
        <v>45535</v>
      </c>
      <c r="G1904" s="65">
        <v>1</v>
      </c>
      <c r="H1904" s="591" t="s">
        <v>1974</v>
      </c>
      <c r="I1904" s="591" t="s">
        <v>63</v>
      </c>
    </row>
    <row r="1905" spans="1:10">
      <c r="A1905" s="580" t="s">
        <v>455</v>
      </c>
      <c r="B1905" s="65">
        <v>2103</v>
      </c>
      <c r="C1905" s="579" t="s">
        <v>281</v>
      </c>
      <c r="D1905" s="579"/>
      <c r="E1905" s="583"/>
      <c r="F1905" s="596"/>
      <c r="G1905" s="65">
        <v>0</v>
      </c>
      <c r="H1905" s="591" t="s">
        <v>280</v>
      </c>
      <c r="I1905" s="591" t="s">
        <v>280</v>
      </c>
    </row>
    <row r="1906" spans="1:10">
      <c r="A1906" s="580" t="s">
        <v>455</v>
      </c>
      <c r="B1906" s="65">
        <v>2104</v>
      </c>
      <c r="C1906" s="579" t="s">
        <v>281</v>
      </c>
      <c r="D1906" s="579"/>
      <c r="E1906" s="583"/>
      <c r="F1906" s="596"/>
      <c r="G1906" s="65">
        <v>0</v>
      </c>
      <c r="H1906" s="591" t="s">
        <v>280</v>
      </c>
      <c r="I1906" s="591" t="s">
        <v>280</v>
      </c>
    </row>
    <row r="1907" spans="1:10">
      <c r="A1907" s="580" t="s">
        <v>455</v>
      </c>
      <c r="B1907" s="65">
        <v>2105</v>
      </c>
      <c r="C1907" s="579" t="s">
        <v>281</v>
      </c>
      <c r="D1907" s="579"/>
      <c r="E1907" s="583"/>
      <c r="F1907" s="596"/>
      <c r="G1907" s="65">
        <v>0</v>
      </c>
      <c r="H1907" s="591" t="s">
        <v>280</v>
      </c>
      <c r="I1907" s="591" t="s">
        <v>280</v>
      </c>
    </row>
    <row r="1908" spans="1:10">
      <c r="A1908" s="580" t="s">
        <v>455</v>
      </c>
      <c r="B1908" s="65">
        <v>2106</v>
      </c>
      <c r="C1908" s="65" t="s">
        <v>457</v>
      </c>
      <c r="D1908" s="579">
        <v>10195</v>
      </c>
      <c r="E1908" s="583"/>
      <c r="F1908" s="585">
        <v>45535</v>
      </c>
      <c r="G1908" s="65">
        <v>1</v>
      </c>
      <c r="H1908" s="591" t="s">
        <v>1974</v>
      </c>
      <c r="I1908" s="591" t="s">
        <v>63</v>
      </c>
      <c r="J1908" s="57"/>
    </row>
    <row r="1909" spans="1:10">
      <c r="A1909" s="580" t="s">
        <v>455</v>
      </c>
      <c r="B1909" s="65">
        <v>2107</v>
      </c>
      <c r="C1909" s="579" t="s">
        <v>281</v>
      </c>
      <c r="D1909" s="579"/>
      <c r="E1909" s="583"/>
      <c r="F1909" s="596"/>
      <c r="G1909" s="65">
        <v>0</v>
      </c>
      <c r="H1909" s="591" t="s">
        <v>280</v>
      </c>
      <c r="I1909" s="591" t="s">
        <v>280</v>
      </c>
      <c r="J1909" s="57"/>
    </row>
    <row r="1910" spans="1:10">
      <c r="A1910" s="580" t="s">
        <v>455</v>
      </c>
      <c r="B1910" s="65">
        <v>2108</v>
      </c>
      <c r="C1910" s="579" t="s">
        <v>281</v>
      </c>
      <c r="D1910" s="579"/>
      <c r="E1910" s="583"/>
      <c r="F1910" s="596"/>
      <c r="G1910" s="65">
        <v>0</v>
      </c>
      <c r="H1910" s="591" t="s">
        <v>280</v>
      </c>
      <c r="I1910" s="591" t="s">
        <v>280</v>
      </c>
      <c r="J1910" s="57"/>
    </row>
    <row r="1911" spans="1:10">
      <c r="A1911" s="580" t="s">
        <v>455</v>
      </c>
      <c r="B1911" s="65">
        <v>2109</v>
      </c>
      <c r="C1911" s="579" t="s">
        <v>281</v>
      </c>
      <c r="D1911" s="579"/>
      <c r="E1911" s="583"/>
      <c r="F1911" s="596"/>
      <c r="G1911" s="65">
        <v>0</v>
      </c>
      <c r="H1911" s="591" t="s">
        <v>280</v>
      </c>
      <c r="I1911" s="591" t="s">
        <v>280</v>
      </c>
      <c r="J1911" s="57"/>
    </row>
    <row r="1912" spans="1:10">
      <c r="A1912" s="580" t="s">
        <v>455</v>
      </c>
      <c r="B1912" s="65">
        <v>2110</v>
      </c>
      <c r="C1912" s="579" t="s">
        <v>281</v>
      </c>
      <c r="D1912" s="579"/>
      <c r="E1912" s="583"/>
      <c r="F1912" s="596"/>
      <c r="G1912" s="65">
        <v>0</v>
      </c>
      <c r="H1912" s="591" t="s">
        <v>280</v>
      </c>
      <c r="I1912" s="591" t="s">
        <v>280</v>
      </c>
      <c r="J1912" s="57"/>
    </row>
    <row r="1913" spans="1:10">
      <c r="A1913" s="580" t="s">
        <v>455</v>
      </c>
      <c r="B1913" s="65">
        <v>2111</v>
      </c>
      <c r="C1913" s="65" t="s">
        <v>281</v>
      </c>
      <c r="D1913" s="579"/>
      <c r="E1913" s="583"/>
      <c r="F1913" s="596"/>
      <c r="G1913" s="65">
        <v>0</v>
      </c>
      <c r="H1913" s="591" t="s">
        <v>280</v>
      </c>
      <c r="I1913" s="591" t="s">
        <v>280</v>
      </c>
      <c r="J1913" s="57"/>
    </row>
    <row r="1914" spans="1:10">
      <c r="A1914" s="580" t="s">
        <v>455</v>
      </c>
      <c r="B1914" s="65">
        <v>2112</v>
      </c>
      <c r="C1914" s="579" t="s">
        <v>281</v>
      </c>
      <c r="D1914" s="579"/>
      <c r="E1914" s="583"/>
      <c r="F1914" s="596"/>
      <c r="G1914" s="65">
        <v>0</v>
      </c>
      <c r="H1914" s="591" t="s">
        <v>280</v>
      </c>
      <c r="I1914" s="591" t="s">
        <v>280</v>
      </c>
      <c r="J1914" s="57"/>
    </row>
    <row r="1915" spans="1:10">
      <c r="A1915" s="580" t="s">
        <v>455</v>
      </c>
      <c r="B1915" s="65">
        <v>2113</v>
      </c>
      <c r="C1915" s="579" t="s">
        <v>281</v>
      </c>
      <c r="D1915" s="579"/>
      <c r="E1915" s="583"/>
      <c r="F1915" s="596"/>
      <c r="G1915" s="65">
        <v>0</v>
      </c>
      <c r="H1915" s="591" t="s">
        <v>280</v>
      </c>
      <c r="I1915" s="591" t="s">
        <v>280</v>
      </c>
      <c r="J1915" s="57"/>
    </row>
    <row r="1916" spans="1:10">
      <c r="A1916" s="580" t="s">
        <v>455</v>
      </c>
      <c r="B1916" s="65">
        <v>2114</v>
      </c>
      <c r="C1916" s="65" t="s">
        <v>281</v>
      </c>
      <c r="D1916" s="579"/>
      <c r="E1916" s="583"/>
      <c r="F1916" s="596"/>
      <c r="G1916" s="65">
        <v>0</v>
      </c>
      <c r="H1916" s="591" t="s">
        <v>280</v>
      </c>
      <c r="I1916" s="591" t="s">
        <v>280</v>
      </c>
      <c r="J1916" s="57"/>
    </row>
    <row r="1917" spans="1:10">
      <c r="A1917" s="580" t="s">
        <v>455</v>
      </c>
      <c r="B1917" s="65">
        <v>2115</v>
      </c>
      <c r="C1917" s="579" t="s">
        <v>458</v>
      </c>
      <c r="D1917" s="579">
        <v>10599</v>
      </c>
      <c r="E1917" s="583"/>
      <c r="F1917" s="585">
        <v>45535</v>
      </c>
      <c r="G1917" s="65">
        <v>1</v>
      </c>
      <c r="H1917" s="591" t="s">
        <v>1974</v>
      </c>
      <c r="I1917" s="591" t="s">
        <v>63</v>
      </c>
    </row>
    <row r="1918" spans="1:10">
      <c r="A1918" s="580" t="s">
        <v>455</v>
      </c>
      <c r="B1918" s="65">
        <v>2116</v>
      </c>
      <c r="C1918" s="579" t="s">
        <v>281</v>
      </c>
      <c r="D1918" s="579"/>
      <c r="E1918" s="583"/>
      <c r="F1918" s="596"/>
      <c r="G1918" s="65">
        <v>0</v>
      </c>
      <c r="H1918" s="591" t="s">
        <v>280</v>
      </c>
      <c r="I1918" s="591" t="s">
        <v>280</v>
      </c>
    </row>
    <row r="1919" spans="1:10">
      <c r="A1919" s="580" t="s">
        <v>455</v>
      </c>
      <c r="B1919" s="65">
        <v>2117</v>
      </c>
      <c r="C1919" s="579" t="s">
        <v>281</v>
      </c>
      <c r="D1919" s="579"/>
      <c r="E1919" s="583"/>
      <c r="F1919" s="596"/>
      <c r="G1919" s="65">
        <v>0</v>
      </c>
      <c r="H1919" s="591" t="s">
        <v>280</v>
      </c>
      <c r="I1919" s="591" t="s">
        <v>280</v>
      </c>
    </row>
    <row r="1920" spans="1:10">
      <c r="A1920" s="580" t="s">
        <v>455</v>
      </c>
      <c r="B1920" s="65">
        <v>2118</v>
      </c>
      <c r="C1920" s="579" t="s">
        <v>281</v>
      </c>
      <c r="D1920" s="579"/>
      <c r="E1920" s="583"/>
      <c r="F1920" s="596"/>
      <c r="G1920" s="65">
        <v>0</v>
      </c>
      <c r="H1920" s="591" t="s">
        <v>280</v>
      </c>
      <c r="I1920" s="591" t="s">
        <v>280</v>
      </c>
    </row>
    <row r="1921" spans="1:9">
      <c r="A1921" s="580" t="s">
        <v>455</v>
      </c>
      <c r="B1921" s="65">
        <v>2119</v>
      </c>
      <c r="C1921" s="584" t="s">
        <v>281</v>
      </c>
      <c r="D1921" s="579"/>
      <c r="E1921" s="583"/>
      <c r="F1921" s="596"/>
      <c r="G1921" s="65">
        <v>0</v>
      </c>
      <c r="H1921" s="591" t="s">
        <v>280</v>
      </c>
      <c r="I1921" s="591" t="s">
        <v>280</v>
      </c>
    </row>
    <row r="1922" spans="1:9">
      <c r="A1922" s="580" t="s">
        <v>455</v>
      </c>
      <c r="B1922" s="65">
        <v>2120</v>
      </c>
      <c r="C1922" s="579" t="s">
        <v>459</v>
      </c>
      <c r="D1922" s="63">
        <v>10672</v>
      </c>
      <c r="E1922" s="583"/>
      <c r="F1922" s="585">
        <v>45535</v>
      </c>
      <c r="G1922" s="65">
        <v>1</v>
      </c>
      <c r="H1922" s="591" t="s">
        <v>1974</v>
      </c>
      <c r="I1922" s="591" t="s">
        <v>63</v>
      </c>
    </row>
    <row r="1923" spans="1:9">
      <c r="A1923" s="580" t="s">
        <v>455</v>
      </c>
      <c r="B1923" s="65">
        <v>2121</v>
      </c>
      <c r="C1923" s="579" t="s">
        <v>281</v>
      </c>
      <c r="D1923" s="579"/>
      <c r="E1923" s="583"/>
      <c r="F1923" s="596"/>
      <c r="G1923" s="65">
        <v>0</v>
      </c>
      <c r="H1923" s="591" t="s">
        <v>280</v>
      </c>
      <c r="I1923" s="591" t="s">
        <v>280</v>
      </c>
    </row>
    <row r="1924" spans="1:9">
      <c r="A1924" s="580" t="s">
        <v>455</v>
      </c>
      <c r="B1924" s="65">
        <v>2122</v>
      </c>
      <c r="C1924" s="579" t="s">
        <v>281</v>
      </c>
      <c r="D1924" s="579"/>
      <c r="E1924" s="583"/>
      <c r="F1924" s="596"/>
      <c r="G1924" s="65">
        <v>0</v>
      </c>
      <c r="H1924" s="591" t="s">
        <v>280</v>
      </c>
      <c r="I1924" s="591" t="s">
        <v>280</v>
      </c>
    </row>
    <row r="1925" spans="1:9">
      <c r="A1925" s="580" t="s">
        <v>455</v>
      </c>
      <c r="B1925" s="65">
        <v>2123</v>
      </c>
      <c r="C1925" s="579" t="s">
        <v>281</v>
      </c>
      <c r="D1925" s="579"/>
      <c r="E1925" s="583"/>
      <c r="F1925" s="596"/>
      <c r="G1925" s="65">
        <v>0</v>
      </c>
      <c r="H1925" s="591" t="s">
        <v>280</v>
      </c>
      <c r="I1925" s="591" t="s">
        <v>280</v>
      </c>
    </row>
    <row r="1926" spans="1:9">
      <c r="A1926" s="580" t="s">
        <v>455</v>
      </c>
      <c r="B1926" s="65">
        <v>2124</v>
      </c>
      <c r="C1926" s="579" t="s">
        <v>460</v>
      </c>
      <c r="D1926" s="579">
        <v>10406</v>
      </c>
      <c r="E1926" s="583"/>
      <c r="F1926" s="585">
        <v>45535</v>
      </c>
      <c r="G1926" s="65">
        <v>1</v>
      </c>
      <c r="H1926" s="591" t="s">
        <v>1974</v>
      </c>
      <c r="I1926" s="591" t="s">
        <v>63</v>
      </c>
    </row>
    <row r="1927" spans="1:9">
      <c r="A1927" s="580" t="s">
        <v>455</v>
      </c>
      <c r="B1927" s="65">
        <v>2125</v>
      </c>
      <c r="C1927" s="579" t="s">
        <v>281</v>
      </c>
      <c r="D1927" s="579"/>
      <c r="E1927" s="583"/>
      <c r="F1927" s="596"/>
      <c r="G1927" s="65">
        <v>0</v>
      </c>
      <c r="H1927" s="591" t="s">
        <v>280</v>
      </c>
      <c r="I1927" s="591" t="s">
        <v>280</v>
      </c>
    </row>
    <row r="1928" spans="1:9">
      <c r="A1928" s="580" t="s">
        <v>455</v>
      </c>
      <c r="B1928" s="65">
        <v>2126</v>
      </c>
      <c r="C1928" s="579" t="s">
        <v>281</v>
      </c>
      <c r="D1928" s="63"/>
      <c r="E1928" s="583"/>
      <c r="F1928" s="596"/>
      <c r="G1928" s="65">
        <v>0</v>
      </c>
      <c r="H1928" s="591" t="s">
        <v>280</v>
      </c>
      <c r="I1928" s="591" t="s">
        <v>280</v>
      </c>
    </row>
    <row r="1929" spans="1:9">
      <c r="A1929" s="580" t="s">
        <v>455</v>
      </c>
      <c r="B1929" s="65">
        <v>2127</v>
      </c>
      <c r="C1929" s="579" t="s">
        <v>281</v>
      </c>
      <c r="D1929" s="579"/>
      <c r="E1929" s="583"/>
      <c r="F1929" s="596"/>
      <c r="G1929" s="65">
        <v>0</v>
      </c>
      <c r="H1929" s="591" t="s">
        <v>280</v>
      </c>
      <c r="I1929" s="591" t="s">
        <v>280</v>
      </c>
    </row>
    <row r="1930" spans="1:9">
      <c r="A1930" s="580" t="s">
        <v>455</v>
      </c>
      <c r="B1930" s="65">
        <v>2128</v>
      </c>
      <c r="C1930" s="579" t="s">
        <v>461</v>
      </c>
      <c r="D1930" s="63">
        <v>10350</v>
      </c>
      <c r="E1930" s="583"/>
      <c r="F1930" s="585">
        <v>45535</v>
      </c>
      <c r="G1930" s="65">
        <v>1</v>
      </c>
      <c r="H1930" s="591" t="s">
        <v>1974</v>
      </c>
      <c r="I1930" s="591" t="s">
        <v>63</v>
      </c>
    </row>
    <row r="1931" spans="1:9">
      <c r="A1931" s="580" t="s">
        <v>455</v>
      </c>
      <c r="B1931" s="65">
        <v>2129</v>
      </c>
      <c r="C1931" s="579" t="s">
        <v>281</v>
      </c>
      <c r="D1931" s="579"/>
      <c r="E1931" s="583"/>
      <c r="F1931" s="596"/>
      <c r="G1931" s="65">
        <v>0</v>
      </c>
      <c r="H1931" s="591" t="s">
        <v>280</v>
      </c>
      <c r="I1931" s="591" t="s">
        <v>280</v>
      </c>
    </row>
    <row r="1932" spans="1:9">
      <c r="A1932" s="580" t="s">
        <v>455</v>
      </c>
      <c r="B1932" s="65">
        <v>2130</v>
      </c>
      <c r="C1932" s="579" t="s">
        <v>281</v>
      </c>
      <c r="D1932" s="65"/>
      <c r="E1932" s="583"/>
      <c r="F1932" s="596"/>
      <c r="G1932" s="65">
        <v>0</v>
      </c>
      <c r="H1932" s="591" t="s">
        <v>280</v>
      </c>
      <c r="I1932" s="591" t="s">
        <v>280</v>
      </c>
    </row>
    <row r="1933" spans="1:9">
      <c r="A1933" s="580" t="s">
        <v>455</v>
      </c>
      <c r="B1933" s="65">
        <v>2131</v>
      </c>
      <c r="C1933" s="579" t="s">
        <v>281</v>
      </c>
      <c r="D1933" s="579"/>
      <c r="E1933" s="583"/>
      <c r="F1933" s="596"/>
      <c r="G1933" s="65">
        <v>0</v>
      </c>
      <c r="H1933" s="591" t="s">
        <v>280</v>
      </c>
      <c r="I1933" s="591" t="s">
        <v>280</v>
      </c>
    </row>
    <row r="1934" spans="1:9">
      <c r="A1934" s="580" t="s">
        <v>455</v>
      </c>
      <c r="B1934" s="65">
        <v>2132</v>
      </c>
      <c r="C1934" s="579" t="s">
        <v>463</v>
      </c>
      <c r="D1934" s="63">
        <v>10293</v>
      </c>
      <c r="E1934" s="583"/>
      <c r="F1934" s="585">
        <v>45535</v>
      </c>
      <c r="G1934" s="65">
        <v>1</v>
      </c>
      <c r="H1934" s="591" t="s">
        <v>1974</v>
      </c>
      <c r="I1934" s="591" t="s">
        <v>63</v>
      </c>
    </row>
    <row r="1935" spans="1:9">
      <c r="A1935" s="580" t="s">
        <v>455</v>
      </c>
      <c r="B1935" s="65">
        <v>2133</v>
      </c>
      <c r="C1935" s="579" t="s">
        <v>281</v>
      </c>
      <c r="D1935" s="63"/>
      <c r="E1935" s="583"/>
      <c r="F1935" s="596"/>
      <c r="G1935" s="65">
        <v>0</v>
      </c>
      <c r="H1935" s="591" t="s">
        <v>280</v>
      </c>
      <c r="I1935" s="591" t="s">
        <v>280</v>
      </c>
    </row>
    <row r="1936" spans="1:9">
      <c r="A1936" s="580" t="s">
        <v>455</v>
      </c>
      <c r="B1936" s="65">
        <v>2134</v>
      </c>
      <c r="C1936" s="579" t="s">
        <v>1725</v>
      </c>
      <c r="D1936" s="63">
        <v>10756</v>
      </c>
      <c r="E1936" s="583"/>
      <c r="F1936" s="585">
        <v>45535</v>
      </c>
      <c r="G1936" s="65">
        <v>1</v>
      </c>
      <c r="H1936" s="591" t="s">
        <v>1974</v>
      </c>
      <c r="I1936" s="591" t="s">
        <v>63</v>
      </c>
    </row>
    <row r="1937" spans="1:9">
      <c r="A1937" s="580" t="s">
        <v>455</v>
      </c>
      <c r="B1937" s="65">
        <v>2135</v>
      </c>
      <c r="C1937" s="579" t="s">
        <v>769</v>
      </c>
      <c r="D1937" s="63">
        <v>10161</v>
      </c>
      <c r="E1937" s="583"/>
      <c r="F1937" s="585">
        <v>45535</v>
      </c>
      <c r="G1937" s="65">
        <v>1</v>
      </c>
      <c r="H1937" s="591" t="s">
        <v>1974</v>
      </c>
      <c r="I1937" s="591" t="s">
        <v>63</v>
      </c>
    </row>
    <row r="1938" spans="1:9">
      <c r="A1938" s="580" t="s">
        <v>455</v>
      </c>
      <c r="B1938" s="65">
        <v>2136</v>
      </c>
      <c r="C1938" s="579" t="s">
        <v>1726</v>
      </c>
      <c r="D1938" s="63">
        <v>10757</v>
      </c>
      <c r="E1938" s="583"/>
      <c r="F1938" s="585">
        <v>45535</v>
      </c>
      <c r="G1938" s="65">
        <v>1</v>
      </c>
      <c r="H1938" s="591" t="s">
        <v>1974</v>
      </c>
      <c r="I1938" s="591" t="s">
        <v>63</v>
      </c>
    </row>
    <row r="1939" spans="1:9">
      <c r="A1939" s="580" t="s">
        <v>455</v>
      </c>
      <c r="B1939" s="65">
        <v>2137</v>
      </c>
      <c r="C1939" s="65" t="s">
        <v>1727</v>
      </c>
      <c r="D1939" s="65">
        <v>10851</v>
      </c>
      <c r="E1939" s="583"/>
      <c r="F1939" s="585">
        <v>45535</v>
      </c>
      <c r="G1939" s="65">
        <v>1</v>
      </c>
      <c r="H1939" s="591" t="s">
        <v>280</v>
      </c>
      <c r="I1939" s="591" t="s">
        <v>280</v>
      </c>
    </row>
    <row r="1940" spans="1:9">
      <c r="A1940" s="580" t="s">
        <v>455</v>
      </c>
      <c r="B1940" s="65">
        <v>2138</v>
      </c>
      <c r="C1940" s="65" t="s">
        <v>1955</v>
      </c>
      <c r="D1940" s="65">
        <v>10949</v>
      </c>
      <c r="E1940" s="583"/>
      <c r="F1940" s="585">
        <v>45535</v>
      </c>
      <c r="G1940" s="65">
        <v>1</v>
      </c>
      <c r="H1940" s="591" t="s">
        <v>1974</v>
      </c>
      <c r="I1940" s="591" t="s">
        <v>63</v>
      </c>
    </row>
    <row r="1941" spans="1:9">
      <c r="A1941" s="580" t="s">
        <v>455</v>
      </c>
      <c r="B1941" s="65">
        <v>2139</v>
      </c>
      <c r="C1941" s="65" t="s">
        <v>1728</v>
      </c>
      <c r="D1941" s="65">
        <v>10950</v>
      </c>
      <c r="E1941" s="583"/>
      <c r="F1941" s="585">
        <v>45535</v>
      </c>
      <c r="G1941" s="65">
        <v>1</v>
      </c>
      <c r="H1941" s="591" t="s">
        <v>1974</v>
      </c>
      <c r="I1941" s="591" t="s">
        <v>63</v>
      </c>
    </row>
    <row r="1942" spans="1:9">
      <c r="A1942" s="580" t="s">
        <v>455</v>
      </c>
      <c r="B1942" s="65">
        <v>2140</v>
      </c>
      <c r="C1942" s="65" t="s">
        <v>1729</v>
      </c>
      <c r="D1942" s="65">
        <v>10951</v>
      </c>
      <c r="E1942" s="583"/>
      <c r="F1942" s="585">
        <v>45535</v>
      </c>
      <c r="G1942" s="65">
        <v>1</v>
      </c>
      <c r="H1942" s="591" t="s">
        <v>1974</v>
      </c>
      <c r="I1942" s="591" t="s">
        <v>63</v>
      </c>
    </row>
    <row r="1943" spans="1:9">
      <c r="A1943" s="580" t="s">
        <v>455</v>
      </c>
      <c r="B1943" s="65">
        <v>2141</v>
      </c>
      <c r="C1943" s="65" t="s">
        <v>1730</v>
      </c>
      <c r="D1943" s="65">
        <v>11017</v>
      </c>
      <c r="E1943" s="583"/>
      <c r="F1943" s="585">
        <v>45535</v>
      </c>
      <c r="G1943" s="65">
        <v>1</v>
      </c>
      <c r="H1943" s="591" t="s">
        <v>1974</v>
      </c>
      <c r="I1943" s="591" t="s">
        <v>63</v>
      </c>
    </row>
    <row r="1944" spans="1:9">
      <c r="A1944" s="580" t="s">
        <v>455</v>
      </c>
      <c r="B1944" s="65">
        <v>2142</v>
      </c>
      <c r="C1944" s="579" t="s">
        <v>281</v>
      </c>
      <c r="D1944" s="579"/>
      <c r="E1944" s="583"/>
      <c r="F1944" s="596"/>
      <c r="G1944" s="65">
        <v>0</v>
      </c>
      <c r="H1944" s="591" t="s">
        <v>280</v>
      </c>
      <c r="I1944" s="591" t="s">
        <v>280</v>
      </c>
    </row>
    <row r="1945" spans="1:9">
      <c r="A1945" s="580" t="s">
        <v>455</v>
      </c>
      <c r="B1945" s="65">
        <v>2143</v>
      </c>
      <c r="C1945" s="579" t="s">
        <v>281</v>
      </c>
      <c r="D1945" s="579"/>
      <c r="E1945" s="583"/>
      <c r="F1945" s="596"/>
      <c r="G1945" s="65">
        <v>0</v>
      </c>
      <c r="H1945" s="591" t="s">
        <v>280</v>
      </c>
      <c r="I1945" s="591" t="s">
        <v>280</v>
      </c>
    </row>
    <row r="1946" spans="1:9">
      <c r="A1946" s="580" t="s">
        <v>455</v>
      </c>
      <c r="B1946" s="65">
        <v>2144</v>
      </c>
      <c r="C1946" s="579" t="s">
        <v>281</v>
      </c>
      <c r="D1946" s="579"/>
      <c r="E1946" s="583"/>
      <c r="F1946" s="596"/>
      <c r="G1946" s="65">
        <v>0</v>
      </c>
      <c r="H1946" s="591" t="s">
        <v>280</v>
      </c>
      <c r="I1946" s="591" t="s">
        <v>280</v>
      </c>
    </row>
    <row r="1947" spans="1:9">
      <c r="A1947" s="580" t="s">
        <v>455</v>
      </c>
      <c r="B1947" s="65">
        <v>2145</v>
      </c>
      <c r="C1947" s="579" t="s">
        <v>281</v>
      </c>
      <c r="D1947" s="579"/>
      <c r="E1947" s="583"/>
      <c r="F1947" s="596"/>
      <c r="G1947" s="65">
        <v>0</v>
      </c>
      <c r="H1947" s="591" t="s">
        <v>280</v>
      </c>
      <c r="I1947" s="591" t="s">
        <v>280</v>
      </c>
    </row>
    <row r="1948" spans="1:9">
      <c r="A1948" s="580" t="s">
        <v>455</v>
      </c>
      <c r="B1948" s="65">
        <v>2146</v>
      </c>
      <c r="C1948" s="579" t="s">
        <v>281</v>
      </c>
      <c r="D1948" s="579"/>
      <c r="E1948" s="583"/>
      <c r="F1948" s="596"/>
      <c r="G1948" s="65">
        <v>0</v>
      </c>
      <c r="H1948" s="591" t="s">
        <v>280</v>
      </c>
      <c r="I1948" s="591" t="s">
        <v>280</v>
      </c>
    </row>
    <row r="1949" spans="1:9">
      <c r="A1949" s="580" t="s">
        <v>455</v>
      </c>
      <c r="B1949" s="65">
        <v>2147</v>
      </c>
      <c r="C1949" s="579" t="s">
        <v>281</v>
      </c>
      <c r="D1949" s="579"/>
      <c r="E1949" s="583"/>
      <c r="F1949" s="596"/>
      <c r="G1949" s="65">
        <v>0</v>
      </c>
      <c r="H1949" s="591" t="s">
        <v>280</v>
      </c>
      <c r="I1949" s="591" t="s">
        <v>280</v>
      </c>
    </row>
    <row r="1950" spans="1:9">
      <c r="A1950" s="580" t="s">
        <v>455</v>
      </c>
      <c r="B1950" s="65">
        <v>2148</v>
      </c>
      <c r="C1950" s="579" t="s">
        <v>281</v>
      </c>
      <c r="D1950" s="579"/>
      <c r="E1950" s="583"/>
      <c r="F1950" s="596"/>
      <c r="G1950" s="65">
        <v>0</v>
      </c>
      <c r="H1950" s="591" t="s">
        <v>280</v>
      </c>
      <c r="I1950" s="591" t="s">
        <v>280</v>
      </c>
    </row>
    <row r="1951" spans="1:9">
      <c r="A1951" s="580" t="s">
        <v>455</v>
      </c>
      <c r="B1951" s="65">
        <v>2149</v>
      </c>
      <c r="C1951" s="579" t="s">
        <v>281</v>
      </c>
      <c r="D1951" s="579"/>
      <c r="E1951" s="583"/>
      <c r="F1951" s="596"/>
      <c r="G1951" s="65">
        <v>0</v>
      </c>
      <c r="H1951" s="591" t="s">
        <v>280</v>
      </c>
      <c r="I1951" s="591" t="s">
        <v>280</v>
      </c>
    </row>
    <row r="1952" spans="1:9">
      <c r="A1952" s="580" t="s">
        <v>455</v>
      </c>
      <c r="B1952" s="65">
        <v>2150</v>
      </c>
      <c r="C1952" s="579" t="s">
        <v>281</v>
      </c>
      <c r="D1952" s="579"/>
      <c r="E1952" s="583"/>
      <c r="F1952" s="596"/>
      <c r="G1952" s="65">
        <v>0</v>
      </c>
      <c r="H1952" s="591" t="s">
        <v>280</v>
      </c>
      <c r="I1952" s="591" t="s">
        <v>280</v>
      </c>
    </row>
    <row r="1953" spans="1:9">
      <c r="A1953" s="580" t="s">
        <v>455</v>
      </c>
      <c r="B1953" s="65">
        <v>2151</v>
      </c>
      <c r="C1953" s="579" t="s">
        <v>281</v>
      </c>
      <c r="D1953" s="579"/>
      <c r="E1953" s="583"/>
      <c r="F1953" s="596"/>
      <c r="G1953" s="65">
        <v>0</v>
      </c>
      <c r="H1953" s="591" t="s">
        <v>280</v>
      </c>
      <c r="I1953" s="591" t="s">
        <v>280</v>
      </c>
    </row>
    <row r="1954" spans="1:9">
      <c r="A1954" s="580" t="s">
        <v>455</v>
      </c>
      <c r="B1954" s="65">
        <v>2152</v>
      </c>
      <c r="C1954" s="579" t="s">
        <v>281</v>
      </c>
      <c r="D1954" s="579"/>
      <c r="E1954" s="583"/>
      <c r="F1954" s="596"/>
      <c r="G1954" s="65">
        <v>0</v>
      </c>
      <c r="H1954" s="591" t="s">
        <v>280</v>
      </c>
      <c r="I1954" s="591" t="s">
        <v>280</v>
      </c>
    </row>
    <row r="1955" spans="1:9">
      <c r="A1955" s="580" t="s">
        <v>455</v>
      </c>
      <c r="B1955" s="65">
        <v>2153</v>
      </c>
      <c r="C1955" s="579" t="s">
        <v>281</v>
      </c>
      <c r="D1955" s="579"/>
      <c r="E1955" s="583"/>
      <c r="F1955" s="596"/>
      <c r="G1955" s="65">
        <v>0</v>
      </c>
      <c r="H1955" s="591" t="s">
        <v>280</v>
      </c>
      <c r="I1955" s="591" t="s">
        <v>280</v>
      </c>
    </row>
    <row r="1956" spans="1:9">
      <c r="A1956" s="580" t="s">
        <v>455</v>
      </c>
      <c r="B1956" s="65">
        <v>2154</v>
      </c>
      <c r="C1956" s="579" t="s">
        <v>281</v>
      </c>
      <c r="D1956" s="579"/>
      <c r="E1956" s="583"/>
      <c r="F1956" s="596"/>
      <c r="G1956" s="65">
        <v>0</v>
      </c>
      <c r="H1956" s="591" t="s">
        <v>280</v>
      </c>
      <c r="I1956" s="591" t="s">
        <v>280</v>
      </c>
    </row>
    <row r="1957" spans="1:9">
      <c r="A1957" s="580" t="s">
        <v>455</v>
      </c>
      <c r="B1957" s="65">
        <v>2155</v>
      </c>
      <c r="C1957" s="579" t="s">
        <v>281</v>
      </c>
      <c r="D1957" s="579"/>
      <c r="E1957" s="583"/>
      <c r="F1957" s="596"/>
      <c r="G1957" s="65">
        <v>0</v>
      </c>
      <c r="H1957" s="591" t="s">
        <v>280</v>
      </c>
      <c r="I1957" s="591" t="s">
        <v>280</v>
      </c>
    </row>
    <row r="1958" spans="1:9">
      <c r="A1958" s="580" t="s">
        <v>455</v>
      </c>
      <c r="B1958" s="65">
        <v>2156</v>
      </c>
      <c r="C1958" s="579" t="s">
        <v>281</v>
      </c>
      <c r="D1958" s="579"/>
      <c r="E1958" s="583"/>
      <c r="F1958" s="596"/>
      <c r="G1958" s="65">
        <v>0</v>
      </c>
      <c r="H1958" s="591" t="s">
        <v>280</v>
      </c>
      <c r="I1958" s="591" t="s">
        <v>280</v>
      </c>
    </row>
    <row r="1959" spans="1:9">
      <c r="A1959" s="580" t="s">
        <v>455</v>
      </c>
      <c r="B1959" s="65">
        <v>2157</v>
      </c>
      <c r="C1959" s="579" t="s">
        <v>281</v>
      </c>
      <c r="D1959" s="579"/>
      <c r="E1959" s="583"/>
      <c r="F1959" s="596"/>
      <c r="G1959" s="65">
        <v>0</v>
      </c>
      <c r="H1959" s="591" t="s">
        <v>280</v>
      </c>
      <c r="I1959" s="591" t="s">
        <v>280</v>
      </c>
    </row>
    <row r="1960" spans="1:9">
      <c r="A1960" s="580" t="s">
        <v>455</v>
      </c>
      <c r="B1960" s="65">
        <v>2158</v>
      </c>
      <c r="C1960" s="579" t="s">
        <v>281</v>
      </c>
      <c r="D1960" s="579"/>
      <c r="E1960" s="583"/>
      <c r="F1960" s="596"/>
      <c r="G1960" s="65">
        <v>0</v>
      </c>
      <c r="H1960" s="591" t="s">
        <v>280</v>
      </c>
      <c r="I1960" s="591" t="s">
        <v>280</v>
      </c>
    </row>
    <row r="1961" spans="1:9">
      <c r="A1961" s="580" t="s">
        <v>455</v>
      </c>
      <c r="B1961" s="65">
        <v>2159</v>
      </c>
      <c r="C1961" s="579" t="s">
        <v>281</v>
      </c>
      <c r="D1961" s="579"/>
      <c r="E1961" s="583"/>
      <c r="F1961" s="596"/>
      <c r="G1961" s="65">
        <v>0</v>
      </c>
      <c r="H1961" s="591" t="s">
        <v>280</v>
      </c>
      <c r="I1961" s="591" t="s">
        <v>280</v>
      </c>
    </row>
    <row r="1962" spans="1:9">
      <c r="A1962" s="580" t="s">
        <v>455</v>
      </c>
      <c r="B1962" s="65">
        <v>2160</v>
      </c>
      <c r="C1962" s="579" t="s">
        <v>281</v>
      </c>
      <c r="D1962" s="579"/>
      <c r="E1962" s="583"/>
      <c r="F1962" s="596"/>
      <c r="G1962" s="65">
        <v>0</v>
      </c>
      <c r="H1962" s="591" t="s">
        <v>280</v>
      </c>
      <c r="I1962" s="591" t="s">
        <v>280</v>
      </c>
    </row>
    <row r="1963" spans="1:9">
      <c r="A1963" s="580" t="s">
        <v>455</v>
      </c>
      <c r="B1963" s="65">
        <v>2161</v>
      </c>
      <c r="C1963" s="579" t="s">
        <v>281</v>
      </c>
      <c r="D1963" s="579"/>
      <c r="E1963" s="583"/>
      <c r="F1963" s="596"/>
      <c r="G1963" s="65">
        <v>0</v>
      </c>
      <c r="H1963" s="591" t="s">
        <v>280</v>
      </c>
      <c r="I1963" s="591" t="s">
        <v>280</v>
      </c>
    </row>
    <row r="1964" spans="1:9">
      <c r="A1964" s="580" t="s">
        <v>455</v>
      </c>
      <c r="B1964" s="65">
        <v>2162</v>
      </c>
      <c r="C1964" s="579" t="s">
        <v>281</v>
      </c>
      <c r="D1964" s="579"/>
      <c r="E1964" s="583"/>
      <c r="F1964" s="596"/>
      <c r="G1964" s="65">
        <v>0</v>
      </c>
      <c r="H1964" s="591" t="s">
        <v>280</v>
      </c>
      <c r="I1964" s="591" t="s">
        <v>280</v>
      </c>
    </row>
    <row r="1965" spans="1:9">
      <c r="A1965" s="580" t="s">
        <v>455</v>
      </c>
      <c r="B1965" s="65">
        <v>2163</v>
      </c>
      <c r="C1965" s="579" t="s">
        <v>281</v>
      </c>
      <c r="D1965" s="579"/>
      <c r="E1965" s="583"/>
      <c r="F1965" s="596"/>
      <c r="G1965" s="65">
        <v>0</v>
      </c>
      <c r="H1965" s="591" t="s">
        <v>280</v>
      </c>
      <c r="I1965" s="591" t="s">
        <v>280</v>
      </c>
    </row>
    <row r="1966" spans="1:9">
      <c r="A1966" s="580" t="s">
        <v>455</v>
      </c>
      <c r="B1966" s="65">
        <v>2164</v>
      </c>
      <c r="C1966" s="579" t="s">
        <v>281</v>
      </c>
      <c r="D1966" s="579"/>
      <c r="E1966" s="583"/>
      <c r="F1966" s="596"/>
      <c r="G1966" s="65">
        <v>0</v>
      </c>
      <c r="H1966" s="591" t="s">
        <v>280</v>
      </c>
      <c r="I1966" s="591" t="s">
        <v>280</v>
      </c>
    </row>
    <row r="1967" spans="1:9">
      <c r="A1967" s="580" t="s">
        <v>455</v>
      </c>
      <c r="B1967" s="65">
        <v>2165</v>
      </c>
      <c r="C1967" s="579" t="s">
        <v>281</v>
      </c>
      <c r="D1967" s="579"/>
      <c r="E1967" s="583"/>
      <c r="F1967" s="596"/>
      <c r="G1967" s="65">
        <v>0</v>
      </c>
      <c r="H1967" s="591" t="s">
        <v>280</v>
      </c>
      <c r="I1967" s="591" t="s">
        <v>280</v>
      </c>
    </row>
    <row r="1968" spans="1:9">
      <c r="A1968" s="580" t="s">
        <v>455</v>
      </c>
      <c r="B1968" s="65">
        <v>2166</v>
      </c>
      <c r="C1968" s="579" t="s">
        <v>281</v>
      </c>
      <c r="D1968" s="579"/>
      <c r="E1968" s="583"/>
      <c r="F1968" s="596"/>
      <c r="G1968" s="65">
        <v>0</v>
      </c>
      <c r="H1968" s="591" t="s">
        <v>280</v>
      </c>
      <c r="I1968" s="591" t="s">
        <v>280</v>
      </c>
    </row>
    <row r="1969" spans="1:9">
      <c r="A1969" s="580" t="s">
        <v>455</v>
      </c>
      <c r="B1969" s="65">
        <v>2167</v>
      </c>
      <c r="C1969" s="579" t="s">
        <v>281</v>
      </c>
      <c r="D1969" s="579"/>
      <c r="E1969" s="583"/>
      <c r="F1969" s="596"/>
      <c r="G1969" s="65">
        <v>0</v>
      </c>
      <c r="H1969" s="591" t="s">
        <v>280</v>
      </c>
      <c r="I1969" s="591" t="s">
        <v>280</v>
      </c>
    </row>
    <row r="1970" spans="1:9">
      <c r="A1970" s="580" t="s">
        <v>455</v>
      </c>
      <c r="B1970" s="65">
        <v>2168</v>
      </c>
      <c r="C1970" s="579" t="s">
        <v>281</v>
      </c>
      <c r="D1970" s="579"/>
      <c r="E1970" s="583"/>
      <c r="F1970" s="596"/>
      <c r="G1970" s="65">
        <v>0</v>
      </c>
      <c r="H1970" s="591" t="s">
        <v>280</v>
      </c>
      <c r="I1970" s="591" t="s">
        <v>280</v>
      </c>
    </row>
    <row r="1971" spans="1:9">
      <c r="A1971" s="580" t="s">
        <v>455</v>
      </c>
      <c r="B1971" s="65">
        <v>2169</v>
      </c>
      <c r="C1971" s="579" t="s">
        <v>281</v>
      </c>
      <c r="D1971" s="579"/>
      <c r="E1971" s="583"/>
      <c r="F1971" s="596"/>
      <c r="G1971" s="65">
        <v>0</v>
      </c>
      <c r="H1971" s="591" t="s">
        <v>280</v>
      </c>
      <c r="I1971" s="591" t="s">
        <v>280</v>
      </c>
    </row>
    <row r="1972" spans="1:9">
      <c r="A1972" s="580" t="s">
        <v>455</v>
      </c>
      <c r="B1972" s="65">
        <v>2170</v>
      </c>
      <c r="C1972" s="579" t="s">
        <v>281</v>
      </c>
      <c r="D1972" s="579"/>
      <c r="E1972" s="583"/>
      <c r="F1972" s="596"/>
      <c r="G1972" s="65">
        <v>0</v>
      </c>
      <c r="H1972" s="591" t="s">
        <v>280</v>
      </c>
      <c r="I1972" s="591" t="s">
        <v>280</v>
      </c>
    </row>
    <row r="1973" spans="1:9">
      <c r="A1973" s="580" t="s">
        <v>455</v>
      </c>
      <c r="B1973" s="65">
        <v>2171</v>
      </c>
      <c r="C1973" s="579" t="s">
        <v>281</v>
      </c>
      <c r="D1973" s="579"/>
      <c r="E1973" s="583"/>
      <c r="F1973" s="596"/>
      <c r="G1973" s="65">
        <v>0</v>
      </c>
      <c r="H1973" s="591" t="s">
        <v>280</v>
      </c>
      <c r="I1973" s="591" t="s">
        <v>280</v>
      </c>
    </row>
    <row r="1974" spans="1:9">
      <c r="A1974" s="580" t="s">
        <v>455</v>
      </c>
      <c r="B1974" s="65">
        <v>2172</v>
      </c>
      <c r="C1974" s="579" t="s">
        <v>281</v>
      </c>
      <c r="D1974" s="579"/>
      <c r="E1974" s="583"/>
      <c r="F1974" s="596"/>
      <c r="G1974" s="65">
        <v>0</v>
      </c>
      <c r="H1974" s="591" t="s">
        <v>280</v>
      </c>
      <c r="I1974" s="591" t="s">
        <v>280</v>
      </c>
    </row>
    <row r="1975" spans="1:9">
      <c r="A1975" s="580" t="s">
        <v>455</v>
      </c>
      <c r="B1975" s="65">
        <v>2173</v>
      </c>
      <c r="C1975" s="579" t="s">
        <v>281</v>
      </c>
      <c r="D1975" s="579"/>
      <c r="E1975" s="583"/>
      <c r="F1975" s="596"/>
      <c r="G1975" s="65">
        <v>0</v>
      </c>
      <c r="H1975" s="591" t="s">
        <v>280</v>
      </c>
      <c r="I1975" s="591" t="s">
        <v>280</v>
      </c>
    </row>
    <row r="1976" spans="1:9">
      <c r="A1976" s="580" t="s">
        <v>455</v>
      </c>
      <c r="B1976" s="65">
        <v>2174</v>
      </c>
      <c r="C1976" s="579" t="s">
        <v>281</v>
      </c>
      <c r="D1976" s="579"/>
      <c r="E1976" s="583"/>
      <c r="F1976" s="596"/>
      <c r="G1976" s="65">
        <v>0</v>
      </c>
      <c r="H1976" s="591" t="s">
        <v>280</v>
      </c>
      <c r="I1976" s="591" t="s">
        <v>280</v>
      </c>
    </row>
    <row r="1977" spans="1:9">
      <c r="A1977" s="580" t="s">
        <v>455</v>
      </c>
      <c r="B1977" s="65">
        <v>2175</v>
      </c>
      <c r="C1977" s="579" t="s">
        <v>281</v>
      </c>
      <c r="D1977" s="579"/>
      <c r="E1977" s="583"/>
      <c r="F1977" s="596"/>
      <c r="G1977" s="65">
        <v>0</v>
      </c>
      <c r="H1977" s="591" t="s">
        <v>280</v>
      </c>
      <c r="I1977" s="591" t="s">
        <v>280</v>
      </c>
    </row>
    <row r="1978" spans="1:9">
      <c r="A1978" s="580" t="s">
        <v>455</v>
      </c>
      <c r="B1978" s="65">
        <v>2176</v>
      </c>
      <c r="C1978" s="579" t="s">
        <v>281</v>
      </c>
      <c r="D1978" s="579"/>
      <c r="E1978" s="583"/>
      <c r="F1978" s="596"/>
      <c r="G1978" s="65">
        <v>0</v>
      </c>
      <c r="H1978" s="591" t="s">
        <v>280</v>
      </c>
      <c r="I1978" s="591" t="s">
        <v>280</v>
      </c>
    </row>
    <row r="1979" spans="1:9">
      <c r="A1979" s="580" t="s">
        <v>455</v>
      </c>
      <c r="B1979" s="65">
        <v>2177</v>
      </c>
      <c r="C1979" s="579" t="s">
        <v>281</v>
      </c>
      <c r="D1979" s="579"/>
      <c r="E1979" s="583"/>
      <c r="F1979" s="596"/>
      <c r="G1979" s="65">
        <v>0</v>
      </c>
      <c r="H1979" s="591" t="s">
        <v>280</v>
      </c>
      <c r="I1979" s="591" t="s">
        <v>280</v>
      </c>
    </row>
    <row r="1980" spans="1:9">
      <c r="A1980" s="580" t="s">
        <v>455</v>
      </c>
      <c r="B1980" s="65">
        <v>2178</v>
      </c>
      <c r="C1980" s="579" t="s">
        <v>281</v>
      </c>
      <c r="D1980" s="579"/>
      <c r="E1980" s="583"/>
      <c r="F1980" s="596"/>
      <c r="G1980" s="65">
        <v>0</v>
      </c>
      <c r="H1980" s="591" t="s">
        <v>280</v>
      </c>
      <c r="I1980" s="591" t="s">
        <v>280</v>
      </c>
    </row>
    <row r="1981" spans="1:9">
      <c r="A1981" s="580" t="s">
        <v>455</v>
      </c>
      <c r="B1981" s="65">
        <v>2179</v>
      </c>
      <c r="C1981" s="579" t="s">
        <v>281</v>
      </c>
      <c r="D1981" s="579"/>
      <c r="E1981" s="583"/>
      <c r="F1981" s="596"/>
      <c r="G1981" s="65">
        <v>0</v>
      </c>
      <c r="H1981" s="591" t="s">
        <v>280</v>
      </c>
      <c r="I1981" s="591" t="s">
        <v>280</v>
      </c>
    </row>
    <row r="1982" spans="1:9">
      <c r="A1982" s="580" t="s">
        <v>455</v>
      </c>
      <c r="B1982" s="65">
        <v>2180</v>
      </c>
      <c r="C1982" s="579" t="s">
        <v>281</v>
      </c>
      <c r="D1982" s="579"/>
      <c r="E1982" s="583"/>
      <c r="F1982" s="596"/>
      <c r="G1982" s="65">
        <v>0</v>
      </c>
      <c r="H1982" s="591" t="s">
        <v>280</v>
      </c>
      <c r="I1982" s="591" t="s">
        <v>280</v>
      </c>
    </row>
    <row r="1983" spans="1:9">
      <c r="A1983" s="580" t="s">
        <v>455</v>
      </c>
      <c r="B1983" s="65">
        <v>2181</v>
      </c>
      <c r="C1983" s="579" t="s">
        <v>281</v>
      </c>
      <c r="D1983" s="579"/>
      <c r="E1983" s="583"/>
      <c r="F1983" s="596"/>
      <c r="G1983" s="65">
        <v>0</v>
      </c>
      <c r="H1983" s="591" t="s">
        <v>280</v>
      </c>
      <c r="I1983" s="591" t="s">
        <v>280</v>
      </c>
    </row>
    <row r="1984" spans="1:9">
      <c r="A1984" s="580" t="s">
        <v>455</v>
      </c>
      <c r="B1984" s="65">
        <v>2182</v>
      </c>
      <c r="C1984" s="579" t="s">
        <v>281</v>
      </c>
      <c r="D1984" s="579"/>
      <c r="E1984" s="583"/>
      <c r="F1984" s="596"/>
      <c r="G1984" s="65">
        <v>0</v>
      </c>
      <c r="H1984" s="591" t="s">
        <v>280</v>
      </c>
      <c r="I1984" s="591" t="s">
        <v>280</v>
      </c>
    </row>
    <row r="1985" spans="1:9">
      <c r="A1985" s="580" t="s">
        <v>455</v>
      </c>
      <c r="B1985" s="65">
        <v>2183</v>
      </c>
      <c r="C1985" s="579" t="s">
        <v>281</v>
      </c>
      <c r="D1985" s="579"/>
      <c r="E1985" s="583"/>
      <c r="F1985" s="596"/>
      <c r="G1985" s="65">
        <v>0</v>
      </c>
      <c r="H1985" s="591" t="s">
        <v>280</v>
      </c>
      <c r="I1985" s="591" t="s">
        <v>280</v>
      </c>
    </row>
    <row r="1986" spans="1:9">
      <c r="A1986" s="580" t="s">
        <v>455</v>
      </c>
      <c r="B1986" s="65">
        <v>2184</v>
      </c>
      <c r="C1986" s="579" t="s">
        <v>281</v>
      </c>
      <c r="D1986" s="579"/>
      <c r="E1986" s="583"/>
      <c r="F1986" s="596"/>
      <c r="G1986" s="65">
        <v>0</v>
      </c>
      <c r="H1986" s="591" t="s">
        <v>280</v>
      </c>
      <c r="I1986" s="591" t="s">
        <v>280</v>
      </c>
    </row>
    <row r="1987" spans="1:9">
      <c r="A1987" s="580" t="s">
        <v>455</v>
      </c>
      <c r="B1987" s="65">
        <v>2185</v>
      </c>
      <c r="C1987" s="579" t="s">
        <v>281</v>
      </c>
      <c r="D1987" s="579"/>
      <c r="E1987" s="583"/>
      <c r="F1987" s="596"/>
      <c r="G1987" s="65">
        <v>0</v>
      </c>
      <c r="H1987" s="591" t="s">
        <v>280</v>
      </c>
      <c r="I1987" s="591" t="s">
        <v>280</v>
      </c>
    </row>
    <row r="1988" spans="1:9">
      <c r="A1988" s="580" t="s">
        <v>455</v>
      </c>
      <c r="B1988" s="65">
        <v>2186</v>
      </c>
      <c r="C1988" s="579" t="s">
        <v>281</v>
      </c>
      <c r="D1988" s="579"/>
      <c r="E1988" s="583"/>
      <c r="F1988" s="596"/>
      <c r="G1988" s="65">
        <v>0</v>
      </c>
      <c r="H1988" s="591" t="s">
        <v>280</v>
      </c>
      <c r="I1988" s="591" t="s">
        <v>280</v>
      </c>
    </row>
    <row r="1989" spans="1:9">
      <c r="A1989" s="580" t="s">
        <v>455</v>
      </c>
      <c r="B1989" s="65">
        <v>2187</v>
      </c>
      <c r="C1989" s="579" t="s">
        <v>281</v>
      </c>
      <c r="D1989" s="579"/>
      <c r="E1989" s="583"/>
      <c r="F1989" s="596"/>
      <c r="G1989" s="65">
        <v>0</v>
      </c>
      <c r="H1989" s="591" t="s">
        <v>280</v>
      </c>
      <c r="I1989" s="591" t="s">
        <v>280</v>
      </c>
    </row>
    <row r="1990" spans="1:9">
      <c r="A1990" s="580" t="s">
        <v>455</v>
      </c>
      <c r="B1990" s="65">
        <v>2188</v>
      </c>
      <c r="C1990" s="579" t="s">
        <v>281</v>
      </c>
      <c r="D1990" s="579"/>
      <c r="E1990" s="583"/>
      <c r="F1990" s="596"/>
      <c r="G1990" s="65">
        <v>0</v>
      </c>
      <c r="H1990" s="591" t="s">
        <v>280</v>
      </c>
      <c r="I1990" s="591" t="s">
        <v>280</v>
      </c>
    </row>
    <row r="1991" spans="1:9">
      <c r="A1991" s="580" t="s">
        <v>455</v>
      </c>
      <c r="B1991" s="65">
        <v>2189</v>
      </c>
      <c r="C1991" s="579" t="s">
        <v>281</v>
      </c>
      <c r="D1991" s="579"/>
      <c r="E1991" s="583"/>
      <c r="F1991" s="596"/>
      <c r="G1991" s="65">
        <v>0</v>
      </c>
      <c r="H1991" s="591" t="s">
        <v>280</v>
      </c>
      <c r="I1991" s="591" t="s">
        <v>280</v>
      </c>
    </row>
    <row r="1992" spans="1:9">
      <c r="A1992" s="580" t="s">
        <v>455</v>
      </c>
      <c r="B1992" s="65">
        <v>2190</v>
      </c>
      <c r="C1992" s="579" t="s">
        <v>281</v>
      </c>
      <c r="D1992" s="579"/>
      <c r="E1992" s="583"/>
      <c r="F1992" s="596"/>
      <c r="G1992" s="65">
        <v>0</v>
      </c>
      <c r="H1992" s="591" t="s">
        <v>280</v>
      </c>
      <c r="I1992" s="591" t="s">
        <v>280</v>
      </c>
    </row>
    <row r="1993" spans="1:9">
      <c r="A1993" s="580" t="s">
        <v>455</v>
      </c>
      <c r="B1993" s="65">
        <v>2191</v>
      </c>
      <c r="C1993" s="579" t="s">
        <v>281</v>
      </c>
      <c r="D1993" s="579"/>
      <c r="E1993" s="583"/>
      <c r="F1993" s="596"/>
      <c r="G1993" s="65">
        <v>0</v>
      </c>
      <c r="H1993" s="591" t="s">
        <v>280</v>
      </c>
      <c r="I1993" s="591" t="s">
        <v>280</v>
      </c>
    </row>
    <row r="1994" spans="1:9">
      <c r="A1994" s="580" t="s">
        <v>455</v>
      </c>
      <c r="B1994" s="65">
        <v>2192</v>
      </c>
      <c r="C1994" s="579" t="s">
        <v>281</v>
      </c>
      <c r="D1994" s="579"/>
      <c r="E1994" s="583"/>
      <c r="F1994" s="596"/>
      <c r="G1994" s="65">
        <v>0</v>
      </c>
      <c r="H1994" s="591" t="s">
        <v>280</v>
      </c>
      <c r="I1994" s="591" t="s">
        <v>280</v>
      </c>
    </row>
    <row r="1995" spans="1:9">
      <c r="A1995" s="580" t="s">
        <v>455</v>
      </c>
      <c r="B1995" s="65">
        <v>2193</v>
      </c>
      <c r="C1995" s="579" t="s">
        <v>281</v>
      </c>
      <c r="D1995" s="579"/>
      <c r="E1995" s="583"/>
      <c r="F1995" s="596"/>
      <c r="G1995" s="65">
        <v>0</v>
      </c>
      <c r="H1995" s="591" t="s">
        <v>280</v>
      </c>
      <c r="I1995" s="591" t="s">
        <v>280</v>
      </c>
    </row>
    <row r="1996" spans="1:9">
      <c r="A1996" s="580" t="s">
        <v>455</v>
      </c>
      <c r="B1996" s="65">
        <v>2194</v>
      </c>
      <c r="C1996" s="579" t="s">
        <v>281</v>
      </c>
      <c r="D1996" s="579"/>
      <c r="E1996" s="583"/>
      <c r="F1996" s="596"/>
      <c r="G1996" s="65">
        <v>0</v>
      </c>
      <c r="H1996" s="591" t="s">
        <v>280</v>
      </c>
      <c r="I1996" s="591" t="s">
        <v>280</v>
      </c>
    </row>
    <row r="1997" spans="1:9">
      <c r="A1997" s="580" t="s">
        <v>455</v>
      </c>
      <c r="B1997" s="65">
        <v>2195</v>
      </c>
      <c r="C1997" s="579" t="s">
        <v>281</v>
      </c>
      <c r="D1997" s="579"/>
      <c r="E1997" s="583"/>
      <c r="F1997" s="596"/>
      <c r="G1997" s="65">
        <v>0</v>
      </c>
      <c r="H1997" s="591" t="s">
        <v>280</v>
      </c>
      <c r="I1997" s="591" t="s">
        <v>280</v>
      </c>
    </row>
    <row r="1998" spans="1:9">
      <c r="A1998" s="580" t="s">
        <v>455</v>
      </c>
      <c r="B1998" s="65">
        <v>2196</v>
      </c>
      <c r="C1998" s="579" t="s">
        <v>281</v>
      </c>
      <c r="D1998" s="579"/>
      <c r="E1998" s="583"/>
      <c r="F1998" s="596"/>
      <c r="G1998" s="65">
        <v>0</v>
      </c>
      <c r="H1998" s="591" t="s">
        <v>280</v>
      </c>
      <c r="I1998" s="591" t="s">
        <v>280</v>
      </c>
    </row>
    <row r="1999" spans="1:9">
      <c r="A1999" s="580" t="s">
        <v>455</v>
      </c>
      <c r="B1999" s="65">
        <v>2197</v>
      </c>
      <c r="C1999" s="579" t="s">
        <v>281</v>
      </c>
      <c r="D1999" s="579"/>
      <c r="E1999" s="583"/>
      <c r="F1999" s="596"/>
      <c r="G1999" s="65">
        <v>0</v>
      </c>
      <c r="H1999" s="591" t="s">
        <v>280</v>
      </c>
      <c r="I1999" s="591" t="s">
        <v>280</v>
      </c>
    </row>
    <row r="2000" spans="1:9">
      <c r="A2000" s="580" t="s">
        <v>455</v>
      </c>
      <c r="B2000" s="65">
        <v>2198</v>
      </c>
      <c r="C2000" s="579" t="s">
        <v>281</v>
      </c>
      <c r="D2000" s="579"/>
      <c r="E2000" s="583"/>
      <c r="F2000" s="596"/>
      <c r="G2000" s="65">
        <v>0</v>
      </c>
      <c r="H2000" s="591" t="s">
        <v>280</v>
      </c>
      <c r="I2000" s="591" t="s">
        <v>280</v>
      </c>
    </row>
    <row r="2001" spans="1:10">
      <c r="A2001" s="580" t="s">
        <v>455</v>
      </c>
      <c r="B2001" s="65">
        <v>2199</v>
      </c>
      <c r="C2001" s="579" t="s">
        <v>281</v>
      </c>
      <c r="D2001" s="579"/>
      <c r="E2001" s="583"/>
      <c r="F2001" s="596"/>
      <c r="G2001" s="65">
        <v>0</v>
      </c>
      <c r="H2001" s="591" t="s">
        <v>280</v>
      </c>
      <c r="I2001" s="591" t="s">
        <v>280</v>
      </c>
    </row>
    <row r="2002" spans="1:10" ht="12.75">
      <c r="A2002" s="582" t="s">
        <v>464</v>
      </c>
      <c r="B2002" s="63">
        <v>2200</v>
      </c>
      <c r="C2002" s="63" t="s">
        <v>279</v>
      </c>
      <c r="D2002" s="63"/>
      <c r="E2002" s="62"/>
      <c r="F2002" s="585">
        <v>45535</v>
      </c>
      <c r="G2002" s="65">
        <v>1</v>
      </c>
      <c r="H2002" s="591" t="s">
        <v>280</v>
      </c>
      <c r="I2002" s="591" t="s">
        <v>280</v>
      </c>
    </row>
    <row r="2003" spans="1:10" ht="13.5">
      <c r="A2003" s="582" t="s">
        <v>464</v>
      </c>
      <c r="B2003" s="63">
        <v>2201</v>
      </c>
      <c r="C2003" s="63" t="s">
        <v>465</v>
      </c>
      <c r="D2003" s="63">
        <v>10035</v>
      </c>
      <c r="E2003" s="62"/>
      <c r="F2003" s="585">
        <v>45535</v>
      </c>
      <c r="G2003" s="65">
        <v>1</v>
      </c>
      <c r="H2003" s="591" t="s">
        <v>35</v>
      </c>
      <c r="I2003" s="591" t="s">
        <v>64</v>
      </c>
      <c r="J2003" s="57"/>
    </row>
    <row r="2004" spans="1:10" ht="13.5">
      <c r="A2004" s="582" t="s">
        <v>464</v>
      </c>
      <c r="B2004" s="63">
        <v>2202</v>
      </c>
      <c r="C2004" s="63" t="s">
        <v>281</v>
      </c>
      <c r="D2004" s="63"/>
      <c r="E2004" s="62"/>
      <c r="F2004" s="596"/>
      <c r="G2004" s="65">
        <v>0</v>
      </c>
      <c r="H2004" s="591" t="s">
        <v>280</v>
      </c>
      <c r="I2004" s="591" t="s">
        <v>280</v>
      </c>
      <c r="J2004" s="57"/>
    </row>
    <row r="2005" spans="1:10" ht="13.5">
      <c r="A2005" s="582" t="s">
        <v>464</v>
      </c>
      <c r="B2005" s="63">
        <v>2203</v>
      </c>
      <c r="C2005" s="63" t="s">
        <v>281</v>
      </c>
      <c r="D2005" s="63"/>
      <c r="E2005" s="62"/>
      <c r="F2005" s="596"/>
      <c r="G2005" s="65">
        <v>0</v>
      </c>
      <c r="H2005" s="591" t="s">
        <v>280</v>
      </c>
      <c r="I2005" s="591" t="s">
        <v>280</v>
      </c>
      <c r="J2005" s="57"/>
    </row>
    <row r="2006" spans="1:10" ht="13.5">
      <c r="A2006" s="582" t="s">
        <v>464</v>
      </c>
      <c r="B2006" s="63">
        <v>2204</v>
      </c>
      <c r="C2006" s="63" t="s">
        <v>281</v>
      </c>
      <c r="D2006" s="63"/>
      <c r="E2006" s="62"/>
      <c r="F2006" s="596"/>
      <c r="G2006" s="65">
        <v>0</v>
      </c>
      <c r="H2006" s="591" t="s">
        <v>280</v>
      </c>
      <c r="I2006" s="591" t="s">
        <v>280</v>
      </c>
      <c r="J2006" s="57"/>
    </row>
    <row r="2007" spans="1:10" ht="13.5">
      <c r="A2007" s="582" t="s">
        <v>464</v>
      </c>
      <c r="B2007" s="63">
        <v>2205</v>
      </c>
      <c r="C2007" s="63" t="s">
        <v>281</v>
      </c>
      <c r="D2007" s="63"/>
      <c r="E2007" s="62"/>
      <c r="F2007" s="596"/>
      <c r="G2007" s="65">
        <v>0</v>
      </c>
      <c r="H2007" s="591" t="s">
        <v>280</v>
      </c>
      <c r="I2007" s="591" t="s">
        <v>280</v>
      </c>
      <c r="J2007" s="57"/>
    </row>
    <row r="2008" spans="1:10" ht="13.5">
      <c r="A2008" s="582" t="s">
        <v>464</v>
      </c>
      <c r="B2008" s="63">
        <v>2206</v>
      </c>
      <c r="C2008" s="63" t="s">
        <v>466</v>
      </c>
      <c r="D2008" s="63">
        <v>10009</v>
      </c>
      <c r="E2008" s="62"/>
      <c r="F2008" s="585">
        <v>45535</v>
      </c>
      <c r="G2008" s="65">
        <v>1</v>
      </c>
      <c r="H2008" s="591" t="s">
        <v>35</v>
      </c>
      <c r="I2008" s="591" t="s">
        <v>64</v>
      </c>
      <c r="J2008" s="57"/>
    </row>
    <row r="2009" spans="1:10" ht="13.5">
      <c r="A2009" s="582" t="s">
        <v>464</v>
      </c>
      <c r="B2009" s="63">
        <v>2207</v>
      </c>
      <c r="C2009" s="63" t="s">
        <v>467</v>
      </c>
      <c r="D2009" s="65">
        <v>10682</v>
      </c>
      <c r="E2009" s="62"/>
      <c r="F2009" s="585">
        <v>45535</v>
      </c>
      <c r="G2009" s="65">
        <v>1</v>
      </c>
      <c r="H2009" s="591" t="s">
        <v>35</v>
      </c>
      <c r="I2009" s="591" t="s">
        <v>64</v>
      </c>
      <c r="J2009" s="57"/>
    </row>
    <row r="2010" spans="1:10" ht="13.5">
      <c r="A2010" s="582" t="s">
        <v>464</v>
      </c>
      <c r="B2010" s="63">
        <v>2208</v>
      </c>
      <c r="C2010" s="63" t="s">
        <v>468</v>
      </c>
      <c r="D2010" s="579">
        <v>10016</v>
      </c>
      <c r="E2010" s="62"/>
      <c r="F2010" s="585">
        <v>45535</v>
      </c>
      <c r="G2010" s="65">
        <v>1</v>
      </c>
      <c r="H2010" s="591" t="s">
        <v>1974</v>
      </c>
      <c r="I2010" s="591" t="s">
        <v>98</v>
      </c>
      <c r="J2010" s="57"/>
    </row>
    <row r="2011" spans="1:10" ht="13.5">
      <c r="A2011" s="582" t="s">
        <v>464</v>
      </c>
      <c r="B2011" s="63">
        <v>2209</v>
      </c>
      <c r="C2011" s="63" t="s">
        <v>281</v>
      </c>
      <c r="D2011" s="63"/>
      <c r="E2011" s="62"/>
      <c r="F2011" s="596"/>
      <c r="G2011" s="65">
        <v>0</v>
      </c>
      <c r="H2011" s="591" t="s">
        <v>280</v>
      </c>
      <c r="I2011" s="591" t="s">
        <v>280</v>
      </c>
      <c r="J2011" s="57"/>
    </row>
    <row r="2012" spans="1:10" ht="13.5">
      <c r="A2012" s="582" t="s">
        <v>464</v>
      </c>
      <c r="B2012" s="63">
        <v>2210</v>
      </c>
      <c r="C2012" s="63" t="s">
        <v>1731</v>
      </c>
      <c r="D2012" s="63">
        <v>10898</v>
      </c>
      <c r="E2012" s="62"/>
      <c r="F2012" s="585">
        <v>45535</v>
      </c>
      <c r="G2012" s="65">
        <v>1</v>
      </c>
      <c r="H2012" s="591" t="s">
        <v>280</v>
      </c>
      <c r="I2012" s="591" t="s">
        <v>280</v>
      </c>
      <c r="J2012" s="57"/>
    </row>
    <row r="2013" spans="1:10" ht="13.5">
      <c r="A2013" s="582" t="s">
        <v>464</v>
      </c>
      <c r="B2013" s="63">
        <v>2211</v>
      </c>
      <c r="C2013" s="63" t="s">
        <v>469</v>
      </c>
      <c r="D2013" s="63">
        <v>10072</v>
      </c>
      <c r="E2013" s="62"/>
      <c r="F2013" s="585">
        <v>45535</v>
      </c>
      <c r="G2013" s="65">
        <v>1</v>
      </c>
      <c r="H2013" s="591" t="s">
        <v>280</v>
      </c>
      <c r="I2013" s="591" t="s">
        <v>280</v>
      </c>
      <c r="J2013" s="57"/>
    </row>
    <row r="2014" spans="1:10" ht="13.5">
      <c r="A2014" s="582" t="s">
        <v>464</v>
      </c>
      <c r="B2014" s="63">
        <v>2212</v>
      </c>
      <c r="C2014" s="63" t="s">
        <v>281</v>
      </c>
      <c r="D2014" s="63"/>
      <c r="E2014" s="62"/>
      <c r="F2014" s="596"/>
      <c r="G2014" s="65">
        <v>0</v>
      </c>
      <c r="H2014" s="591" t="s">
        <v>280</v>
      </c>
      <c r="I2014" s="591" t="s">
        <v>280</v>
      </c>
      <c r="J2014" s="57"/>
    </row>
    <row r="2015" spans="1:10" ht="13.5">
      <c r="A2015" s="582" t="s">
        <v>464</v>
      </c>
      <c r="B2015" s="63">
        <v>2213</v>
      </c>
      <c r="C2015" s="63" t="s">
        <v>281</v>
      </c>
      <c r="D2015" s="63"/>
      <c r="E2015" s="62"/>
      <c r="F2015" s="596"/>
      <c r="G2015" s="65">
        <v>0</v>
      </c>
      <c r="H2015" s="591" t="s">
        <v>280</v>
      </c>
      <c r="I2015" s="591" t="s">
        <v>280</v>
      </c>
      <c r="J2015" s="57"/>
    </row>
    <row r="2016" spans="1:10" ht="13.5">
      <c r="A2016" s="582" t="s">
        <v>464</v>
      </c>
      <c r="B2016" s="63">
        <v>2214</v>
      </c>
      <c r="C2016" s="63" t="s">
        <v>470</v>
      </c>
      <c r="D2016" s="63">
        <v>10002</v>
      </c>
      <c r="E2016" s="62"/>
      <c r="F2016" s="585">
        <v>45535</v>
      </c>
      <c r="G2016" s="65">
        <v>1</v>
      </c>
      <c r="H2016" s="591" t="s">
        <v>1974</v>
      </c>
      <c r="I2016" s="591" t="s">
        <v>98</v>
      </c>
      <c r="J2016" s="57"/>
    </row>
    <row r="2017" spans="1:10" ht="13.5">
      <c r="A2017" s="582" t="s">
        <v>464</v>
      </c>
      <c r="B2017" s="63">
        <v>2215</v>
      </c>
      <c r="C2017" s="63" t="s">
        <v>471</v>
      </c>
      <c r="D2017" s="579">
        <v>10276</v>
      </c>
      <c r="E2017" s="62"/>
      <c r="F2017" s="585">
        <v>45535</v>
      </c>
      <c r="G2017" s="65">
        <v>1</v>
      </c>
      <c r="H2017" s="591" t="s">
        <v>35</v>
      </c>
      <c r="I2017" s="591" t="s">
        <v>64</v>
      </c>
      <c r="J2017" s="57"/>
    </row>
    <row r="2018" spans="1:10" ht="13.5">
      <c r="A2018" s="582" t="s">
        <v>464</v>
      </c>
      <c r="B2018" s="63">
        <v>2216</v>
      </c>
      <c r="C2018" s="63" t="s">
        <v>1961</v>
      </c>
      <c r="D2018" s="579">
        <v>10413</v>
      </c>
      <c r="E2018" s="62"/>
      <c r="F2018" s="585">
        <v>45584</v>
      </c>
      <c r="G2018" s="65">
        <v>1</v>
      </c>
      <c r="H2018" s="591" t="s">
        <v>280</v>
      </c>
      <c r="I2018" s="591" t="s">
        <v>280</v>
      </c>
      <c r="J2018" s="57"/>
    </row>
    <row r="2019" spans="1:10" ht="13.5">
      <c r="A2019" s="582" t="s">
        <v>464</v>
      </c>
      <c r="B2019" s="63">
        <v>2217</v>
      </c>
      <c r="C2019" s="63" t="s">
        <v>472</v>
      </c>
      <c r="D2019" s="579">
        <v>10364</v>
      </c>
      <c r="E2019" s="62"/>
      <c r="F2019" s="585">
        <v>45535</v>
      </c>
      <c r="G2019" s="65">
        <v>1</v>
      </c>
      <c r="H2019" s="591" t="s">
        <v>1974</v>
      </c>
      <c r="I2019" s="591" t="s">
        <v>98</v>
      </c>
      <c r="J2019" s="57"/>
    </row>
    <row r="2020" spans="1:10" ht="13.5">
      <c r="A2020" s="582" t="s">
        <v>464</v>
      </c>
      <c r="B2020" s="63">
        <v>2218</v>
      </c>
      <c r="C2020" s="63" t="s">
        <v>281</v>
      </c>
      <c r="D2020" s="63"/>
      <c r="E2020" s="62"/>
      <c r="F2020" s="596"/>
      <c r="G2020" s="65">
        <v>0</v>
      </c>
      <c r="H2020" s="591" t="s">
        <v>280</v>
      </c>
      <c r="I2020" s="591" t="s">
        <v>280</v>
      </c>
      <c r="J2020" s="57"/>
    </row>
    <row r="2021" spans="1:10" ht="12.75">
      <c r="A2021" s="582" t="s">
        <v>464</v>
      </c>
      <c r="B2021" s="63">
        <v>2219</v>
      </c>
      <c r="C2021" s="63" t="s">
        <v>281</v>
      </c>
      <c r="D2021" s="63"/>
      <c r="E2021" s="62"/>
      <c r="F2021" s="596"/>
      <c r="G2021" s="65">
        <v>0</v>
      </c>
      <c r="H2021" s="591" t="s">
        <v>280</v>
      </c>
      <c r="I2021" s="591" t="s">
        <v>280</v>
      </c>
    </row>
    <row r="2022" spans="1:10" ht="12.75">
      <c r="A2022" s="582" t="s">
        <v>464</v>
      </c>
      <c r="B2022" s="63">
        <v>2220</v>
      </c>
      <c r="C2022" s="63" t="s">
        <v>281</v>
      </c>
      <c r="D2022" s="63"/>
      <c r="E2022" s="62"/>
      <c r="F2022" s="596"/>
      <c r="G2022" s="65">
        <v>0</v>
      </c>
      <c r="H2022" s="591" t="s">
        <v>280</v>
      </c>
      <c r="I2022" s="591" t="s">
        <v>280</v>
      </c>
    </row>
    <row r="2023" spans="1:10" ht="12.75">
      <c r="A2023" s="582" t="s">
        <v>464</v>
      </c>
      <c r="B2023" s="63">
        <v>2221</v>
      </c>
      <c r="C2023" s="63" t="s">
        <v>281</v>
      </c>
      <c r="D2023" s="63"/>
      <c r="E2023" s="62"/>
      <c r="F2023" s="596"/>
      <c r="G2023" s="65">
        <v>0</v>
      </c>
      <c r="H2023" s="591" t="s">
        <v>280</v>
      </c>
      <c r="I2023" s="591" t="s">
        <v>280</v>
      </c>
    </row>
    <row r="2024" spans="1:10" ht="12.75">
      <c r="A2024" s="582" t="s">
        <v>464</v>
      </c>
      <c r="B2024" s="63">
        <v>2222</v>
      </c>
      <c r="C2024" s="63" t="s">
        <v>281</v>
      </c>
      <c r="D2024" s="63"/>
      <c r="E2024" s="62"/>
      <c r="F2024" s="596"/>
      <c r="G2024" s="65">
        <v>0</v>
      </c>
      <c r="H2024" s="591" t="s">
        <v>280</v>
      </c>
      <c r="I2024" s="591" t="s">
        <v>280</v>
      </c>
    </row>
    <row r="2025" spans="1:10" ht="12.75">
      <c r="A2025" s="582" t="s">
        <v>464</v>
      </c>
      <c r="B2025" s="63">
        <v>2223</v>
      </c>
      <c r="C2025" s="63" t="s">
        <v>473</v>
      </c>
      <c r="D2025" s="579">
        <v>10629</v>
      </c>
      <c r="E2025" s="62"/>
      <c r="F2025" s="585">
        <v>45535</v>
      </c>
      <c r="G2025" s="65">
        <v>1</v>
      </c>
      <c r="H2025" s="591" t="s">
        <v>35</v>
      </c>
      <c r="I2025" s="591" t="s">
        <v>64</v>
      </c>
    </row>
    <row r="2026" spans="1:10" ht="12.75">
      <c r="A2026" s="582" t="s">
        <v>464</v>
      </c>
      <c r="B2026" s="63">
        <v>2224</v>
      </c>
      <c r="C2026" s="63" t="s">
        <v>281</v>
      </c>
      <c r="D2026" s="63"/>
      <c r="E2026" s="62"/>
      <c r="F2026" s="596"/>
      <c r="G2026" s="65">
        <v>0</v>
      </c>
      <c r="H2026" s="591" t="s">
        <v>280</v>
      </c>
      <c r="I2026" s="591" t="s">
        <v>280</v>
      </c>
    </row>
    <row r="2027" spans="1:10" ht="12.75">
      <c r="A2027" s="582" t="s">
        <v>464</v>
      </c>
      <c r="B2027" s="63">
        <v>2225</v>
      </c>
      <c r="C2027" s="63" t="s">
        <v>1962</v>
      </c>
      <c r="D2027" s="579">
        <v>10566</v>
      </c>
      <c r="E2027" s="65"/>
      <c r="F2027" s="585">
        <v>45584</v>
      </c>
      <c r="G2027" s="65">
        <v>1</v>
      </c>
      <c r="H2027" s="591" t="s">
        <v>1974</v>
      </c>
      <c r="I2027" s="591" t="s">
        <v>98</v>
      </c>
    </row>
    <row r="2028" spans="1:10" ht="12.75">
      <c r="A2028" s="582" t="s">
        <v>464</v>
      </c>
      <c r="B2028" s="63">
        <v>2226</v>
      </c>
      <c r="C2028" s="63" t="s">
        <v>281</v>
      </c>
      <c r="D2028" s="63"/>
      <c r="E2028" s="62"/>
      <c r="F2028" s="596"/>
      <c r="G2028" s="65">
        <v>0</v>
      </c>
      <c r="H2028" s="591" t="s">
        <v>280</v>
      </c>
      <c r="I2028" s="591" t="s">
        <v>280</v>
      </c>
    </row>
    <row r="2029" spans="1:10" ht="12.75">
      <c r="A2029" s="582" t="s">
        <v>464</v>
      </c>
      <c r="B2029" s="63">
        <v>2227</v>
      </c>
      <c r="C2029" s="63" t="s">
        <v>281</v>
      </c>
      <c r="D2029" s="63"/>
      <c r="E2029" s="62"/>
      <c r="F2029" s="596"/>
      <c r="G2029" s="65">
        <v>0</v>
      </c>
      <c r="H2029" s="591" t="s">
        <v>280</v>
      </c>
      <c r="I2029" s="591" t="s">
        <v>280</v>
      </c>
    </row>
    <row r="2030" spans="1:10" ht="12.75">
      <c r="A2030" s="582" t="s">
        <v>464</v>
      </c>
      <c r="B2030" s="63">
        <v>2228</v>
      </c>
      <c r="C2030" s="63" t="s">
        <v>281</v>
      </c>
      <c r="D2030" s="63"/>
      <c r="E2030" s="62"/>
      <c r="F2030" s="596"/>
      <c r="G2030" s="65">
        <v>0</v>
      </c>
      <c r="H2030" s="591" t="s">
        <v>280</v>
      </c>
      <c r="I2030" s="591" t="s">
        <v>280</v>
      </c>
    </row>
    <row r="2031" spans="1:10" ht="12.75">
      <c r="A2031" s="582" t="s">
        <v>464</v>
      </c>
      <c r="B2031" s="63">
        <v>2229</v>
      </c>
      <c r="C2031" s="63" t="s">
        <v>281</v>
      </c>
      <c r="D2031" s="63"/>
      <c r="E2031" s="62"/>
      <c r="F2031" s="596"/>
      <c r="G2031" s="65">
        <v>0</v>
      </c>
      <c r="H2031" s="591" t="s">
        <v>280</v>
      </c>
      <c r="I2031" s="591" t="s">
        <v>280</v>
      </c>
    </row>
    <row r="2032" spans="1:10" ht="12.75">
      <c r="A2032" s="582" t="s">
        <v>464</v>
      </c>
      <c r="B2032" s="63">
        <v>2230</v>
      </c>
      <c r="C2032" s="63" t="s">
        <v>281</v>
      </c>
      <c r="D2032" s="63"/>
      <c r="E2032" s="62"/>
      <c r="F2032" s="596"/>
      <c r="G2032" s="65">
        <v>0</v>
      </c>
      <c r="H2032" s="591" t="s">
        <v>280</v>
      </c>
      <c r="I2032" s="591" t="s">
        <v>280</v>
      </c>
    </row>
    <row r="2033" spans="1:9" ht="12.75">
      <c r="A2033" s="582" t="s">
        <v>464</v>
      </c>
      <c r="B2033" s="63">
        <v>2231</v>
      </c>
      <c r="C2033" s="63" t="s">
        <v>281</v>
      </c>
      <c r="D2033" s="63"/>
      <c r="E2033" s="62"/>
      <c r="F2033" s="596"/>
      <c r="G2033" s="65">
        <v>0</v>
      </c>
      <c r="H2033" s="591" t="s">
        <v>280</v>
      </c>
      <c r="I2033" s="591" t="s">
        <v>280</v>
      </c>
    </row>
    <row r="2034" spans="1:9" ht="12.75">
      <c r="A2034" s="582" t="s">
        <v>464</v>
      </c>
      <c r="B2034" s="63">
        <v>2232</v>
      </c>
      <c r="C2034" s="63" t="s">
        <v>281</v>
      </c>
      <c r="D2034" s="63"/>
      <c r="E2034" s="62"/>
      <c r="F2034" s="596"/>
      <c r="G2034" s="65">
        <v>0</v>
      </c>
      <c r="H2034" s="591" t="s">
        <v>280</v>
      </c>
      <c r="I2034" s="591" t="s">
        <v>280</v>
      </c>
    </row>
    <row r="2035" spans="1:9" ht="12.75">
      <c r="A2035" s="582" t="s">
        <v>464</v>
      </c>
      <c r="B2035" s="63">
        <v>2233</v>
      </c>
      <c r="C2035" s="63" t="s">
        <v>281</v>
      </c>
      <c r="D2035" s="63"/>
      <c r="E2035" s="62"/>
      <c r="F2035" s="596"/>
      <c r="G2035" s="65">
        <v>0</v>
      </c>
      <c r="H2035" s="591" t="s">
        <v>280</v>
      </c>
      <c r="I2035" s="591" t="s">
        <v>280</v>
      </c>
    </row>
    <row r="2036" spans="1:9" ht="12.75">
      <c r="A2036" s="582" t="s">
        <v>464</v>
      </c>
      <c r="B2036" s="63">
        <v>2234</v>
      </c>
      <c r="C2036" s="63" t="s">
        <v>474</v>
      </c>
      <c r="D2036" s="63">
        <v>10150</v>
      </c>
      <c r="E2036" s="62"/>
      <c r="F2036" s="585">
        <v>45535</v>
      </c>
      <c r="G2036" s="65">
        <v>1</v>
      </c>
      <c r="H2036" s="591" t="s">
        <v>1974</v>
      </c>
      <c r="I2036" s="591" t="s">
        <v>98</v>
      </c>
    </row>
    <row r="2037" spans="1:9" ht="12.75">
      <c r="A2037" s="582" t="s">
        <v>464</v>
      </c>
      <c r="B2037" s="63">
        <v>2235</v>
      </c>
      <c r="C2037" s="63" t="s">
        <v>475</v>
      </c>
      <c r="D2037" s="579">
        <v>10291</v>
      </c>
      <c r="E2037" s="62"/>
      <c r="F2037" s="585">
        <v>45535</v>
      </c>
      <c r="G2037" s="65">
        <v>1</v>
      </c>
      <c r="H2037" s="591" t="s">
        <v>280</v>
      </c>
      <c r="I2037" s="591" t="s">
        <v>280</v>
      </c>
    </row>
    <row r="2038" spans="1:9" ht="12.75">
      <c r="A2038" s="582" t="s">
        <v>464</v>
      </c>
      <c r="B2038" s="63">
        <v>2236</v>
      </c>
      <c r="C2038" s="63" t="s">
        <v>476</v>
      </c>
      <c r="D2038" s="63">
        <v>10266</v>
      </c>
      <c r="E2038" s="62"/>
      <c r="F2038" s="585">
        <v>45535</v>
      </c>
      <c r="G2038" s="65">
        <v>1</v>
      </c>
      <c r="H2038" s="591" t="s">
        <v>280</v>
      </c>
      <c r="I2038" s="591" t="s">
        <v>280</v>
      </c>
    </row>
    <row r="2039" spans="1:9" ht="12.75">
      <c r="A2039" s="582" t="s">
        <v>464</v>
      </c>
      <c r="B2039" s="63">
        <v>2237</v>
      </c>
      <c r="C2039" s="63" t="s">
        <v>281</v>
      </c>
      <c r="D2039" s="63"/>
      <c r="E2039" s="62"/>
      <c r="F2039" s="596"/>
      <c r="G2039" s="65">
        <v>0</v>
      </c>
      <c r="H2039" s="591" t="s">
        <v>280</v>
      </c>
      <c r="I2039" s="591" t="s">
        <v>280</v>
      </c>
    </row>
    <row r="2040" spans="1:9" ht="12.75">
      <c r="A2040" s="582" t="s">
        <v>464</v>
      </c>
      <c r="B2040" s="63">
        <v>2238</v>
      </c>
      <c r="C2040" s="63" t="s">
        <v>281</v>
      </c>
      <c r="D2040" s="63"/>
      <c r="E2040" s="62"/>
      <c r="F2040" s="596"/>
      <c r="G2040" s="65">
        <v>0</v>
      </c>
      <c r="H2040" s="591" t="s">
        <v>280</v>
      </c>
      <c r="I2040" s="591" t="s">
        <v>280</v>
      </c>
    </row>
    <row r="2041" spans="1:9" ht="12.75">
      <c r="A2041" s="582" t="s">
        <v>464</v>
      </c>
      <c r="B2041" s="63">
        <v>2239</v>
      </c>
      <c r="C2041" s="63" t="s">
        <v>281</v>
      </c>
      <c r="D2041" s="63"/>
      <c r="E2041" s="62"/>
      <c r="F2041" s="596"/>
      <c r="G2041" s="65">
        <v>0</v>
      </c>
      <c r="H2041" s="591" t="s">
        <v>280</v>
      </c>
      <c r="I2041" s="591" t="s">
        <v>280</v>
      </c>
    </row>
    <row r="2042" spans="1:9" ht="12.75">
      <c r="A2042" s="582" t="s">
        <v>464</v>
      </c>
      <c r="B2042" s="63">
        <v>2240</v>
      </c>
      <c r="C2042" s="63" t="s">
        <v>281</v>
      </c>
      <c r="D2042" s="63"/>
      <c r="E2042" s="62"/>
      <c r="F2042" s="596"/>
      <c r="G2042" s="65">
        <v>0</v>
      </c>
      <c r="H2042" s="591" t="s">
        <v>280</v>
      </c>
      <c r="I2042" s="591" t="s">
        <v>280</v>
      </c>
    </row>
    <row r="2043" spans="1:9" ht="12.75">
      <c r="A2043" s="582" t="s">
        <v>464</v>
      </c>
      <c r="B2043" s="63">
        <v>2241</v>
      </c>
      <c r="C2043" s="63" t="s">
        <v>281</v>
      </c>
      <c r="D2043" s="65"/>
      <c r="E2043" s="62"/>
      <c r="F2043" s="596"/>
      <c r="G2043" s="65">
        <v>0</v>
      </c>
      <c r="H2043" s="591" t="s">
        <v>280</v>
      </c>
      <c r="I2043" s="591" t="s">
        <v>280</v>
      </c>
    </row>
    <row r="2044" spans="1:9" ht="12.75">
      <c r="A2044" s="582" t="s">
        <v>464</v>
      </c>
      <c r="B2044" s="63">
        <v>2242</v>
      </c>
      <c r="C2044" s="63" t="s">
        <v>281</v>
      </c>
      <c r="D2044" s="63"/>
      <c r="E2044" s="62"/>
      <c r="F2044" s="596"/>
      <c r="G2044" s="65">
        <v>0</v>
      </c>
      <c r="H2044" s="591" t="s">
        <v>280</v>
      </c>
      <c r="I2044" s="591" t="s">
        <v>280</v>
      </c>
    </row>
    <row r="2045" spans="1:9">
      <c r="A2045" s="582" t="s">
        <v>464</v>
      </c>
      <c r="B2045" s="63">
        <v>2243</v>
      </c>
      <c r="C2045" s="63" t="s">
        <v>281</v>
      </c>
      <c r="D2045" s="63"/>
      <c r="E2045" s="583"/>
      <c r="F2045" s="596"/>
      <c r="G2045" s="65">
        <v>0</v>
      </c>
      <c r="H2045" s="591" t="s">
        <v>280</v>
      </c>
      <c r="I2045" s="591" t="s">
        <v>280</v>
      </c>
    </row>
    <row r="2046" spans="1:9" ht="12.75">
      <c r="A2046" s="582" t="s">
        <v>464</v>
      </c>
      <c r="B2046" s="63">
        <v>2244</v>
      </c>
      <c r="C2046" s="63" t="s">
        <v>281</v>
      </c>
      <c r="D2046" s="63"/>
      <c r="E2046" s="62"/>
      <c r="F2046" s="596"/>
      <c r="G2046" s="65">
        <v>0</v>
      </c>
      <c r="H2046" s="591" t="s">
        <v>280</v>
      </c>
      <c r="I2046" s="591" t="s">
        <v>280</v>
      </c>
    </row>
    <row r="2047" spans="1:9" ht="12.75">
      <c r="A2047" s="582" t="s">
        <v>464</v>
      </c>
      <c r="B2047" s="63">
        <v>2245</v>
      </c>
      <c r="C2047" s="63" t="s">
        <v>478</v>
      </c>
      <c r="D2047" s="579">
        <v>10133</v>
      </c>
      <c r="E2047" s="62"/>
      <c r="F2047" s="585">
        <v>45535</v>
      </c>
      <c r="G2047" s="65">
        <v>1</v>
      </c>
      <c r="H2047" s="591" t="s">
        <v>1974</v>
      </c>
      <c r="I2047" s="591" t="s">
        <v>98</v>
      </c>
    </row>
    <row r="2048" spans="1:9" ht="12.75">
      <c r="A2048" s="582" t="s">
        <v>464</v>
      </c>
      <c r="B2048" s="63">
        <v>2246</v>
      </c>
      <c r="C2048" s="63" t="s">
        <v>479</v>
      </c>
      <c r="D2048" s="579">
        <v>10076</v>
      </c>
      <c r="E2048" s="62"/>
      <c r="F2048" s="585">
        <v>45535</v>
      </c>
      <c r="G2048" s="65">
        <v>1</v>
      </c>
      <c r="H2048" s="591" t="s">
        <v>35</v>
      </c>
      <c r="I2048" s="591" t="s">
        <v>64</v>
      </c>
    </row>
    <row r="2049" spans="1:9">
      <c r="A2049" s="582" t="s">
        <v>464</v>
      </c>
      <c r="B2049" s="65">
        <v>2247</v>
      </c>
      <c r="C2049" s="63" t="s">
        <v>281</v>
      </c>
      <c r="D2049" s="63"/>
      <c r="E2049" s="583"/>
      <c r="F2049" s="596"/>
      <c r="G2049" s="65">
        <v>0</v>
      </c>
      <c r="H2049" s="591" t="s">
        <v>280</v>
      </c>
      <c r="I2049" s="591" t="s">
        <v>280</v>
      </c>
    </row>
    <row r="2050" spans="1:9">
      <c r="A2050" s="582" t="s">
        <v>464</v>
      </c>
      <c r="B2050" s="65">
        <v>2248</v>
      </c>
      <c r="C2050" s="63" t="s">
        <v>281</v>
      </c>
      <c r="D2050" s="579"/>
      <c r="E2050" s="583"/>
      <c r="F2050" s="596"/>
      <c r="G2050" s="65">
        <v>0</v>
      </c>
      <c r="H2050" s="591" t="s">
        <v>280</v>
      </c>
      <c r="I2050" s="591" t="s">
        <v>280</v>
      </c>
    </row>
    <row r="2051" spans="1:9">
      <c r="A2051" s="580" t="s">
        <v>464</v>
      </c>
      <c r="B2051" s="63">
        <v>2249</v>
      </c>
      <c r="C2051" s="63" t="s">
        <v>480</v>
      </c>
      <c r="D2051" s="579">
        <v>10358</v>
      </c>
      <c r="E2051" s="583"/>
      <c r="F2051" s="585">
        <v>45535</v>
      </c>
      <c r="G2051" s="65">
        <v>1</v>
      </c>
      <c r="H2051" s="591" t="s">
        <v>1974</v>
      </c>
      <c r="I2051" s="591" t="s">
        <v>98</v>
      </c>
    </row>
    <row r="2052" spans="1:9">
      <c r="A2052" s="582" t="s">
        <v>464</v>
      </c>
      <c r="B2052" s="65">
        <v>2250</v>
      </c>
      <c r="C2052" s="63" t="s">
        <v>481</v>
      </c>
      <c r="D2052" s="63">
        <v>10215</v>
      </c>
      <c r="E2052" s="583"/>
      <c r="F2052" s="585">
        <v>45535</v>
      </c>
      <c r="G2052" s="65">
        <v>1</v>
      </c>
      <c r="H2052" s="591" t="s">
        <v>280</v>
      </c>
      <c r="I2052" s="591" t="s">
        <v>280</v>
      </c>
    </row>
    <row r="2053" spans="1:9">
      <c r="A2053" s="582" t="s">
        <v>464</v>
      </c>
      <c r="B2053" s="65">
        <v>2251</v>
      </c>
      <c r="C2053" s="63" t="s">
        <v>482</v>
      </c>
      <c r="D2053" s="579">
        <v>10205</v>
      </c>
      <c r="E2053" s="583"/>
      <c r="F2053" s="585">
        <v>45535</v>
      </c>
      <c r="G2053" s="65">
        <v>1</v>
      </c>
      <c r="H2053" s="591" t="s">
        <v>35</v>
      </c>
      <c r="I2053" s="591" t="s">
        <v>64</v>
      </c>
    </row>
    <row r="2054" spans="1:9">
      <c r="A2054" s="582" t="s">
        <v>464</v>
      </c>
      <c r="B2054" s="65">
        <v>2252</v>
      </c>
      <c r="C2054" s="63"/>
      <c r="D2054" s="579"/>
      <c r="E2054" s="583"/>
      <c r="F2054" s="596"/>
      <c r="G2054" s="65">
        <v>0</v>
      </c>
      <c r="H2054" s="591" t="s">
        <v>280</v>
      </c>
      <c r="I2054" s="591" t="s">
        <v>280</v>
      </c>
    </row>
    <row r="2055" spans="1:9">
      <c r="A2055" s="582" t="s">
        <v>464</v>
      </c>
      <c r="B2055" s="65">
        <v>2253</v>
      </c>
      <c r="C2055" s="63" t="s">
        <v>1732</v>
      </c>
      <c r="D2055" s="579">
        <v>10716</v>
      </c>
      <c r="E2055" s="583"/>
      <c r="F2055" s="585">
        <v>45535</v>
      </c>
      <c r="G2055" s="65">
        <v>1</v>
      </c>
      <c r="H2055" s="591" t="s">
        <v>1974</v>
      </c>
      <c r="I2055" s="591" t="s">
        <v>98</v>
      </c>
    </row>
    <row r="2056" spans="1:9">
      <c r="A2056" s="582" t="s">
        <v>464</v>
      </c>
      <c r="B2056" s="65">
        <v>2254</v>
      </c>
      <c r="C2056" s="63" t="s">
        <v>451</v>
      </c>
      <c r="D2056" s="579">
        <v>10717</v>
      </c>
      <c r="E2056" s="583"/>
      <c r="F2056" s="585">
        <v>45535</v>
      </c>
      <c r="G2056" s="65">
        <v>1</v>
      </c>
      <c r="H2056" s="591" t="s">
        <v>1974</v>
      </c>
      <c r="I2056" s="591" t="s">
        <v>98</v>
      </c>
    </row>
    <row r="2057" spans="1:9">
      <c r="A2057" s="582" t="s">
        <v>464</v>
      </c>
      <c r="B2057" s="65">
        <v>2255</v>
      </c>
      <c r="C2057" s="63" t="s">
        <v>1733</v>
      </c>
      <c r="D2057" s="579">
        <v>10718</v>
      </c>
      <c r="E2057" s="583"/>
      <c r="F2057" s="585">
        <v>45535</v>
      </c>
      <c r="G2057" s="65">
        <v>1</v>
      </c>
      <c r="H2057" s="591" t="s">
        <v>35</v>
      </c>
      <c r="I2057" s="591" t="s">
        <v>64</v>
      </c>
    </row>
    <row r="2058" spans="1:9">
      <c r="A2058" s="582" t="s">
        <v>464</v>
      </c>
      <c r="B2058" s="65">
        <v>2256</v>
      </c>
      <c r="C2058" s="63" t="s">
        <v>1734</v>
      </c>
      <c r="D2058" s="579">
        <v>10842</v>
      </c>
      <c r="E2058" s="583"/>
      <c r="F2058" s="585">
        <v>45535</v>
      </c>
      <c r="G2058" s="65">
        <v>1</v>
      </c>
      <c r="H2058" s="591" t="s">
        <v>1974</v>
      </c>
      <c r="I2058" s="591" t="s">
        <v>98</v>
      </c>
    </row>
    <row r="2059" spans="1:9">
      <c r="A2059" s="580" t="s">
        <v>464</v>
      </c>
      <c r="B2059" s="65">
        <v>2257</v>
      </c>
      <c r="C2059" s="65" t="s">
        <v>1735</v>
      </c>
      <c r="D2059" s="65">
        <v>10911</v>
      </c>
      <c r="E2059" s="583"/>
      <c r="F2059" s="585">
        <v>45535</v>
      </c>
      <c r="G2059" s="65">
        <v>1</v>
      </c>
      <c r="H2059" s="591" t="s">
        <v>35</v>
      </c>
      <c r="I2059" s="591" t="s">
        <v>64</v>
      </c>
    </row>
    <row r="2060" spans="1:9">
      <c r="A2060" s="582" t="s">
        <v>464</v>
      </c>
      <c r="B2060" s="65">
        <v>2258</v>
      </c>
      <c r="C2060" s="579" t="s">
        <v>1736</v>
      </c>
      <c r="D2060" s="579">
        <v>10940</v>
      </c>
      <c r="E2060" s="583"/>
      <c r="F2060" s="585">
        <v>45535</v>
      </c>
      <c r="G2060" s="65">
        <v>1</v>
      </c>
      <c r="H2060" s="591" t="s">
        <v>280</v>
      </c>
      <c r="I2060" s="591" t="s">
        <v>280</v>
      </c>
    </row>
    <row r="2061" spans="1:9">
      <c r="A2061" s="582" t="s">
        <v>464</v>
      </c>
      <c r="B2061" s="65">
        <v>2259</v>
      </c>
      <c r="C2061" s="65" t="s">
        <v>1737</v>
      </c>
      <c r="D2061" s="65">
        <v>11025</v>
      </c>
      <c r="E2061" s="583"/>
      <c r="F2061" s="585">
        <v>45535</v>
      </c>
      <c r="G2061" s="65">
        <v>1</v>
      </c>
      <c r="H2061" s="591" t="s">
        <v>280</v>
      </c>
      <c r="I2061" s="591" t="s">
        <v>280</v>
      </c>
    </row>
    <row r="2062" spans="1:9">
      <c r="A2062" s="582" t="s">
        <v>464</v>
      </c>
      <c r="B2062" s="65">
        <v>2260</v>
      </c>
      <c r="C2062" s="579" t="s">
        <v>1963</v>
      </c>
      <c r="D2062" s="579">
        <v>11058</v>
      </c>
      <c r="E2062" s="583"/>
      <c r="F2062" s="585">
        <v>45584</v>
      </c>
      <c r="G2062" s="65">
        <v>1</v>
      </c>
      <c r="H2062" s="591" t="s">
        <v>280</v>
      </c>
      <c r="I2062" s="591" t="s">
        <v>280</v>
      </c>
    </row>
    <row r="2063" spans="1:9" ht="14.25">
      <c r="A2063" s="582" t="s">
        <v>464</v>
      </c>
      <c r="B2063" s="65">
        <v>2261</v>
      </c>
      <c r="C2063" s="579" t="s">
        <v>2037</v>
      </c>
      <c r="D2063" s="579">
        <v>11069</v>
      </c>
      <c r="E2063" s="587"/>
      <c r="F2063" s="600">
        <v>45675</v>
      </c>
      <c r="G2063" s="65">
        <v>1</v>
      </c>
      <c r="H2063" s="591" t="s">
        <v>280</v>
      </c>
      <c r="I2063" s="591" t="s">
        <v>280</v>
      </c>
    </row>
    <row r="2064" spans="1:9" ht="14.25">
      <c r="A2064" s="582" t="s">
        <v>464</v>
      </c>
      <c r="B2064" s="65">
        <v>2262</v>
      </c>
      <c r="C2064" s="579" t="s">
        <v>2038</v>
      </c>
      <c r="D2064" s="579">
        <v>11073</v>
      </c>
      <c r="E2064" s="587"/>
      <c r="F2064" s="600">
        <v>45675</v>
      </c>
      <c r="G2064" s="65">
        <v>1</v>
      </c>
      <c r="H2064" s="591" t="s">
        <v>280</v>
      </c>
      <c r="I2064" s="591" t="s">
        <v>280</v>
      </c>
    </row>
    <row r="2065" spans="1:9">
      <c r="A2065" s="582" t="s">
        <v>464</v>
      </c>
      <c r="B2065" s="65">
        <v>2263</v>
      </c>
      <c r="C2065" s="579" t="s">
        <v>281</v>
      </c>
      <c r="D2065" s="579"/>
      <c r="E2065" s="583"/>
      <c r="F2065" s="596"/>
      <c r="G2065" s="65">
        <v>0</v>
      </c>
      <c r="H2065" s="591" t="s">
        <v>280</v>
      </c>
      <c r="I2065" s="591" t="s">
        <v>280</v>
      </c>
    </row>
    <row r="2066" spans="1:9">
      <c r="A2066" s="582" t="s">
        <v>464</v>
      </c>
      <c r="B2066" s="65">
        <v>2264</v>
      </c>
      <c r="C2066" s="579" t="s">
        <v>281</v>
      </c>
      <c r="D2066" s="579"/>
      <c r="E2066" s="583"/>
      <c r="F2066" s="596"/>
      <c r="G2066" s="65">
        <v>0</v>
      </c>
      <c r="H2066" s="591" t="s">
        <v>280</v>
      </c>
      <c r="I2066" s="591" t="s">
        <v>280</v>
      </c>
    </row>
    <row r="2067" spans="1:9">
      <c r="A2067" s="582" t="s">
        <v>464</v>
      </c>
      <c r="B2067" s="65">
        <v>2265</v>
      </c>
      <c r="C2067" s="579" t="s">
        <v>281</v>
      </c>
      <c r="D2067" s="579"/>
      <c r="E2067" s="583"/>
      <c r="F2067" s="596"/>
      <c r="G2067" s="65">
        <v>0</v>
      </c>
      <c r="H2067" s="591" t="s">
        <v>280</v>
      </c>
      <c r="I2067" s="591" t="s">
        <v>280</v>
      </c>
    </row>
    <row r="2068" spans="1:9">
      <c r="A2068" s="582" t="s">
        <v>464</v>
      </c>
      <c r="B2068" s="65">
        <v>2266</v>
      </c>
      <c r="C2068" s="579" t="s">
        <v>281</v>
      </c>
      <c r="D2068" s="579"/>
      <c r="E2068" s="583"/>
      <c r="F2068" s="596"/>
      <c r="G2068" s="65">
        <v>0</v>
      </c>
      <c r="H2068" s="591" t="s">
        <v>280</v>
      </c>
      <c r="I2068" s="591" t="s">
        <v>280</v>
      </c>
    </row>
    <row r="2069" spans="1:9">
      <c r="A2069" s="582" t="s">
        <v>464</v>
      </c>
      <c r="B2069" s="65">
        <v>2267</v>
      </c>
      <c r="C2069" s="579" t="s">
        <v>281</v>
      </c>
      <c r="D2069" s="579"/>
      <c r="E2069" s="583"/>
      <c r="F2069" s="596"/>
      <c r="G2069" s="65">
        <v>0</v>
      </c>
      <c r="H2069" s="591" t="s">
        <v>280</v>
      </c>
      <c r="I2069" s="591" t="s">
        <v>280</v>
      </c>
    </row>
    <row r="2070" spans="1:9">
      <c r="A2070" s="582" t="s">
        <v>464</v>
      </c>
      <c r="B2070" s="65">
        <v>2268</v>
      </c>
      <c r="C2070" s="579" t="s">
        <v>281</v>
      </c>
      <c r="D2070" s="579"/>
      <c r="E2070" s="583"/>
      <c r="F2070" s="596"/>
      <c r="G2070" s="65">
        <v>0</v>
      </c>
      <c r="H2070" s="591" t="s">
        <v>280</v>
      </c>
      <c r="I2070" s="591" t="s">
        <v>280</v>
      </c>
    </row>
    <row r="2071" spans="1:9">
      <c r="A2071" s="582" t="s">
        <v>464</v>
      </c>
      <c r="B2071" s="65">
        <v>2269</v>
      </c>
      <c r="C2071" s="579" t="s">
        <v>281</v>
      </c>
      <c r="D2071" s="579"/>
      <c r="E2071" s="583"/>
      <c r="F2071" s="596"/>
      <c r="G2071" s="65">
        <v>0</v>
      </c>
      <c r="H2071" s="591" t="s">
        <v>280</v>
      </c>
      <c r="I2071" s="591" t="s">
        <v>280</v>
      </c>
    </row>
    <row r="2072" spans="1:9">
      <c r="A2072" s="582" t="s">
        <v>464</v>
      </c>
      <c r="B2072" s="65">
        <v>2270</v>
      </c>
      <c r="C2072" s="579" t="s">
        <v>281</v>
      </c>
      <c r="D2072" s="579"/>
      <c r="E2072" s="583"/>
      <c r="F2072" s="596"/>
      <c r="G2072" s="65">
        <v>0</v>
      </c>
      <c r="H2072" s="591" t="s">
        <v>280</v>
      </c>
      <c r="I2072" s="591" t="s">
        <v>280</v>
      </c>
    </row>
    <row r="2073" spans="1:9">
      <c r="A2073" s="582" t="s">
        <v>464</v>
      </c>
      <c r="B2073" s="65">
        <v>2271</v>
      </c>
      <c r="C2073" s="579" t="s">
        <v>281</v>
      </c>
      <c r="D2073" s="579"/>
      <c r="E2073" s="583"/>
      <c r="F2073" s="596"/>
      <c r="G2073" s="65">
        <v>0</v>
      </c>
      <c r="H2073" s="591" t="s">
        <v>280</v>
      </c>
      <c r="I2073" s="591" t="s">
        <v>280</v>
      </c>
    </row>
    <row r="2074" spans="1:9">
      <c r="A2074" s="582" t="s">
        <v>464</v>
      </c>
      <c r="B2074" s="65">
        <v>2272</v>
      </c>
      <c r="C2074" s="579" t="s">
        <v>281</v>
      </c>
      <c r="D2074" s="579"/>
      <c r="E2074" s="583"/>
      <c r="F2074" s="596"/>
      <c r="G2074" s="65">
        <v>0</v>
      </c>
      <c r="H2074" s="591" t="s">
        <v>280</v>
      </c>
      <c r="I2074" s="591" t="s">
        <v>280</v>
      </c>
    </row>
    <row r="2075" spans="1:9">
      <c r="A2075" s="582" t="s">
        <v>464</v>
      </c>
      <c r="B2075" s="65">
        <v>2273</v>
      </c>
      <c r="C2075" s="579" t="s">
        <v>281</v>
      </c>
      <c r="D2075" s="579"/>
      <c r="E2075" s="583"/>
      <c r="F2075" s="596"/>
      <c r="G2075" s="65">
        <v>0</v>
      </c>
      <c r="H2075" s="591" t="s">
        <v>280</v>
      </c>
      <c r="I2075" s="591" t="s">
        <v>280</v>
      </c>
    </row>
    <row r="2076" spans="1:9">
      <c r="A2076" s="582" t="s">
        <v>464</v>
      </c>
      <c r="B2076" s="65">
        <v>2274</v>
      </c>
      <c r="C2076" s="579" t="s">
        <v>281</v>
      </c>
      <c r="D2076" s="579"/>
      <c r="E2076" s="583"/>
      <c r="F2076" s="596"/>
      <c r="G2076" s="65">
        <v>0</v>
      </c>
      <c r="H2076" s="591" t="s">
        <v>280</v>
      </c>
      <c r="I2076" s="591" t="s">
        <v>280</v>
      </c>
    </row>
    <row r="2077" spans="1:9">
      <c r="A2077" s="582" t="s">
        <v>464</v>
      </c>
      <c r="B2077" s="65">
        <v>2275</v>
      </c>
      <c r="C2077" s="579" t="s">
        <v>281</v>
      </c>
      <c r="D2077" s="579"/>
      <c r="E2077" s="583"/>
      <c r="F2077" s="596"/>
      <c r="G2077" s="65">
        <v>0</v>
      </c>
      <c r="H2077" s="591" t="s">
        <v>280</v>
      </c>
      <c r="I2077" s="591" t="s">
        <v>280</v>
      </c>
    </row>
    <row r="2078" spans="1:9">
      <c r="A2078" s="582" t="s">
        <v>464</v>
      </c>
      <c r="B2078" s="65">
        <v>2276</v>
      </c>
      <c r="C2078" s="579" t="s">
        <v>281</v>
      </c>
      <c r="D2078" s="579"/>
      <c r="E2078" s="583"/>
      <c r="F2078" s="596"/>
      <c r="G2078" s="65">
        <v>0</v>
      </c>
      <c r="H2078" s="591" t="s">
        <v>280</v>
      </c>
      <c r="I2078" s="591" t="s">
        <v>280</v>
      </c>
    </row>
    <row r="2079" spans="1:9">
      <c r="A2079" s="582" t="s">
        <v>464</v>
      </c>
      <c r="B2079" s="65">
        <v>2277</v>
      </c>
      <c r="C2079" s="579" t="s">
        <v>281</v>
      </c>
      <c r="D2079" s="579"/>
      <c r="E2079" s="583"/>
      <c r="F2079" s="596"/>
      <c r="G2079" s="65">
        <v>0</v>
      </c>
      <c r="H2079" s="591" t="s">
        <v>280</v>
      </c>
      <c r="I2079" s="591" t="s">
        <v>280</v>
      </c>
    </row>
    <row r="2080" spans="1:9">
      <c r="A2080" s="582" t="s">
        <v>464</v>
      </c>
      <c r="B2080" s="65">
        <v>2278</v>
      </c>
      <c r="C2080" s="579" t="s">
        <v>281</v>
      </c>
      <c r="D2080" s="579"/>
      <c r="E2080" s="583"/>
      <c r="F2080" s="596"/>
      <c r="G2080" s="65">
        <v>0</v>
      </c>
      <c r="H2080" s="591" t="s">
        <v>280</v>
      </c>
      <c r="I2080" s="591" t="s">
        <v>280</v>
      </c>
    </row>
    <row r="2081" spans="1:9">
      <c r="A2081" s="582" t="s">
        <v>464</v>
      </c>
      <c r="B2081" s="65">
        <v>2279</v>
      </c>
      <c r="C2081" s="579" t="s">
        <v>281</v>
      </c>
      <c r="D2081" s="579"/>
      <c r="E2081" s="583"/>
      <c r="F2081" s="596"/>
      <c r="G2081" s="65">
        <v>0</v>
      </c>
      <c r="H2081" s="591" t="s">
        <v>280</v>
      </c>
      <c r="I2081" s="591" t="s">
        <v>280</v>
      </c>
    </row>
    <row r="2082" spans="1:9">
      <c r="A2082" s="582" t="s">
        <v>464</v>
      </c>
      <c r="B2082" s="65">
        <v>2280</v>
      </c>
      <c r="C2082" s="579" t="s">
        <v>281</v>
      </c>
      <c r="D2082" s="579"/>
      <c r="E2082" s="583"/>
      <c r="F2082" s="596"/>
      <c r="G2082" s="65">
        <v>0</v>
      </c>
      <c r="H2082" s="591" t="s">
        <v>280</v>
      </c>
      <c r="I2082" s="591" t="s">
        <v>280</v>
      </c>
    </row>
    <row r="2083" spans="1:9">
      <c r="A2083" s="582" t="s">
        <v>464</v>
      </c>
      <c r="B2083" s="65">
        <v>2281</v>
      </c>
      <c r="C2083" s="579" t="s">
        <v>281</v>
      </c>
      <c r="D2083" s="579"/>
      <c r="E2083" s="583"/>
      <c r="F2083" s="596"/>
      <c r="G2083" s="65">
        <v>0</v>
      </c>
      <c r="H2083" s="591" t="s">
        <v>280</v>
      </c>
      <c r="I2083" s="591" t="s">
        <v>280</v>
      </c>
    </row>
    <row r="2084" spans="1:9">
      <c r="A2084" s="582" t="s">
        <v>464</v>
      </c>
      <c r="B2084" s="65">
        <v>2282</v>
      </c>
      <c r="C2084" s="579" t="s">
        <v>281</v>
      </c>
      <c r="D2084" s="579"/>
      <c r="E2084" s="583"/>
      <c r="F2084" s="596"/>
      <c r="G2084" s="65">
        <v>0</v>
      </c>
      <c r="H2084" s="591" t="s">
        <v>280</v>
      </c>
      <c r="I2084" s="591" t="s">
        <v>280</v>
      </c>
    </row>
    <row r="2085" spans="1:9">
      <c r="A2085" s="582" t="s">
        <v>464</v>
      </c>
      <c r="B2085" s="65">
        <v>2283</v>
      </c>
      <c r="C2085" s="579" t="s">
        <v>281</v>
      </c>
      <c r="D2085" s="579"/>
      <c r="E2085" s="583"/>
      <c r="F2085" s="596"/>
      <c r="G2085" s="65">
        <v>0</v>
      </c>
      <c r="H2085" s="591" t="s">
        <v>280</v>
      </c>
      <c r="I2085" s="591" t="s">
        <v>280</v>
      </c>
    </row>
    <row r="2086" spans="1:9">
      <c r="A2086" s="582" t="s">
        <v>464</v>
      </c>
      <c r="B2086" s="65">
        <v>2284</v>
      </c>
      <c r="C2086" s="579" t="s">
        <v>281</v>
      </c>
      <c r="D2086" s="579"/>
      <c r="E2086" s="583"/>
      <c r="F2086" s="596"/>
      <c r="G2086" s="65">
        <v>0</v>
      </c>
      <c r="H2086" s="591" t="s">
        <v>280</v>
      </c>
      <c r="I2086" s="591" t="s">
        <v>280</v>
      </c>
    </row>
    <row r="2087" spans="1:9">
      <c r="A2087" s="582" t="s">
        <v>464</v>
      </c>
      <c r="B2087" s="65">
        <v>2285</v>
      </c>
      <c r="C2087" s="579" t="s">
        <v>281</v>
      </c>
      <c r="D2087" s="579"/>
      <c r="E2087" s="583"/>
      <c r="F2087" s="596"/>
      <c r="G2087" s="65">
        <v>0</v>
      </c>
      <c r="H2087" s="591" t="s">
        <v>280</v>
      </c>
      <c r="I2087" s="591" t="s">
        <v>280</v>
      </c>
    </row>
    <row r="2088" spans="1:9">
      <c r="A2088" s="582" t="s">
        <v>464</v>
      </c>
      <c r="B2088" s="65">
        <v>2286</v>
      </c>
      <c r="C2088" s="579" t="s">
        <v>281</v>
      </c>
      <c r="D2088" s="579"/>
      <c r="E2088" s="583"/>
      <c r="F2088" s="596"/>
      <c r="G2088" s="65">
        <v>0</v>
      </c>
      <c r="H2088" s="591" t="s">
        <v>280</v>
      </c>
      <c r="I2088" s="591" t="s">
        <v>280</v>
      </c>
    </row>
    <row r="2089" spans="1:9">
      <c r="A2089" s="582" t="s">
        <v>464</v>
      </c>
      <c r="B2089" s="65">
        <v>2287</v>
      </c>
      <c r="C2089" s="579" t="s">
        <v>281</v>
      </c>
      <c r="D2089" s="579"/>
      <c r="E2089" s="583"/>
      <c r="F2089" s="596"/>
      <c r="G2089" s="65">
        <v>0</v>
      </c>
      <c r="H2089" s="591" t="s">
        <v>280</v>
      </c>
      <c r="I2089" s="591" t="s">
        <v>280</v>
      </c>
    </row>
    <row r="2090" spans="1:9">
      <c r="A2090" s="582" t="s">
        <v>464</v>
      </c>
      <c r="B2090" s="65">
        <v>2288</v>
      </c>
      <c r="C2090" s="579" t="s">
        <v>281</v>
      </c>
      <c r="D2090" s="579"/>
      <c r="E2090" s="583"/>
      <c r="F2090" s="596"/>
      <c r="G2090" s="65">
        <v>0</v>
      </c>
      <c r="H2090" s="591" t="s">
        <v>280</v>
      </c>
      <c r="I2090" s="591" t="s">
        <v>280</v>
      </c>
    </row>
    <row r="2091" spans="1:9">
      <c r="A2091" s="582" t="s">
        <v>464</v>
      </c>
      <c r="B2091" s="65">
        <v>2289</v>
      </c>
      <c r="C2091" s="579" t="s">
        <v>281</v>
      </c>
      <c r="D2091" s="579"/>
      <c r="E2091" s="583"/>
      <c r="F2091" s="596"/>
      <c r="G2091" s="65">
        <v>0</v>
      </c>
      <c r="H2091" s="591" t="s">
        <v>280</v>
      </c>
      <c r="I2091" s="591" t="s">
        <v>280</v>
      </c>
    </row>
    <row r="2092" spans="1:9">
      <c r="A2092" s="582" t="s">
        <v>464</v>
      </c>
      <c r="B2092" s="65">
        <v>2290</v>
      </c>
      <c r="C2092" s="579" t="s">
        <v>281</v>
      </c>
      <c r="D2092" s="579"/>
      <c r="E2092" s="583"/>
      <c r="F2092" s="596"/>
      <c r="G2092" s="65">
        <v>0</v>
      </c>
      <c r="H2092" s="591" t="s">
        <v>280</v>
      </c>
      <c r="I2092" s="591" t="s">
        <v>280</v>
      </c>
    </row>
    <row r="2093" spans="1:9">
      <c r="A2093" s="582" t="s">
        <v>464</v>
      </c>
      <c r="B2093" s="65">
        <v>2291</v>
      </c>
      <c r="C2093" s="579" t="s">
        <v>281</v>
      </c>
      <c r="D2093" s="579"/>
      <c r="E2093" s="583"/>
      <c r="F2093" s="596"/>
      <c r="G2093" s="65">
        <v>0</v>
      </c>
      <c r="H2093" s="591" t="s">
        <v>280</v>
      </c>
      <c r="I2093" s="591" t="s">
        <v>280</v>
      </c>
    </row>
    <row r="2094" spans="1:9">
      <c r="A2094" s="582" t="s">
        <v>464</v>
      </c>
      <c r="B2094" s="65">
        <v>2292</v>
      </c>
      <c r="C2094" s="579" t="s">
        <v>281</v>
      </c>
      <c r="D2094" s="579"/>
      <c r="E2094" s="583"/>
      <c r="F2094" s="596"/>
      <c r="G2094" s="65">
        <v>0</v>
      </c>
      <c r="H2094" s="591" t="s">
        <v>280</v>
      </c>
      <c r="I2094" s="591" t="s">
        <v>280</v>
      </c>
    </row>
    <row r="2095" spans="1:9">
      <c r="A2095" s="582" t="s">
        <v>464</v>
      </c>
      <c r="B2095" s="65">
        <v>2293</v>
      </c>
      <c r="C2095" s="579" t="s">
        <v>281</v>
      </c>
      <c r="D2095" s="579"/>
      <c r="E2095" s="583"/>
      <c r="F2095" s="596"/>
      <c r="G2095" s="65">
        <v>0</v>
      </c>
      <c r="H2095" s="591" t="s">
        <v>280</v>
      </c>
      <c r="I2095" s="591" t="s">
        <v>280</v>
      </c>
    </row>
    <row r="2096" spans="1:9">
      <c r="A2096" s="582" t="s">
        <v>464</v>
      </c>
      <c r="B2096" s="65">
        <v>2294</v>
      </c>
      <c r="C2096" s="579" t="s">
        <v>281</v>
      </c>
      <c r="D2096" s="579"/>
      <c r="E2096" s="583"/>
      <c r="F2096" s="596"/>
      <c r="G2096" s="65">
        <v>0</v>
      </c>
      <c r="H2096" s="591" t="s">
        <v>280</v>
      </c>
      <c r="I2096" s="591" t="s">
        <v>280</v>
      </c>
    </row>
    <row r="2097" spans="1:9">
      <c r="A2097" s="582" t="s">
        <v>464</v>
      </c>
      <c r="B2097" s="65">
        <v>2295</v>
      </c>
      <c r="C2097" s="579" t="s">
        <v>281</v>
      </c>
      <c r="D2097" s="579"/>
      <c r="E2097" s="583"/>
      <c r="F2097" s="596"/>
      <c r="G2097" s="65">
        <v>0</v>
      </c>
      <c r="H2097" s="591" t="s">
        <v>280</v>
      </c>
      <c r="I2097" s="591" t="s">
        <v>280</v>
      </c>
    </row>
    <row r="2098" spans="1:9">
      <c r="A2098" s="582" t="s">
        <v>464</v>
      </c>
      <c r="B2098" s="65">
        <v>2296</v>
      </c>
      <c r="C2098" s="579" t="s">
        <v>281</v>
      </c>
      <c r="D2098" s="579"/>
      <c r="E2098" s="583"/>
      <c r="F2098" s="596"/>
      <c r="G2098" s="65">
        <v>0</v>
      </c>
      <c r="H2098" s="591" t="s">
        <v>280</v>
      </c>
      <c r="I2098" s="591" t="s">
        <v>280</v>
      </c>
    </row>
    <row r="2099" spans="1:9">
      <c r="A2099" s="582" t="s">
        <v>464</v>
      </c>
      <c r="B2099" s="65">
        <v>2297</v>
      </c>
      <c r="C2099" s="579" t="s">
        <v>281</v>
      </c>
      <c r="D2099" s="579"/>
      <c r="E2099" s="583"/>
      <c r="F2099" s="596"/>
      <c r="G2099" s="65">
        <v>0</v>
      </c>
      <c r="H2099" s="591" t="s">
        <v>280</v>
      </c>
      <c r="I2099" s="591" t="s">
        <v>280</v>
      </c>
    </row>
    <row r="2100" spans="1:9">
      <c r="A2100" s="582" t="s">
        <v>464</v>
      </c>
      <c r="B2100" s="65">
        <v>2298</v>
      </c>
      <c r="C2100" s="579" t="s">
        <v>281</v>
      </c>
      <c r="D2100" s="579"/>
      <c r="E2100" s="583"/>
      <c r="F2100" s="596"/>
      <c r="G2100" s="65">
        <v>0</v>
      </c>
      <c r="H2100" s="591" t="s">
        <v>280</v>
      </c>
      <c r="I2100" s="591" t="s">
        <v>280</v>
      </c>
    </row>
    <row r="2101" spans="1:9">
      <c r="A2101" s="582" t="s">
        <v>464</v>
      </c>
      <c r="B2101" s="65">
        <v>2299</v>
      </c>
      <c r="C2101" s="579" t="s">
        <v>281</v>
      </c>
      <c r="D2101" s="579"/>
      <c r="E2101" s="583"/>
      <c r="F2101" s="596"/>
      <c r="G2101" s="65">
        <v>0</v>
      </c>
      <c r="H2101" s="591" t="s">
        <v>280</v>
      </c>
      <c r="I2101" s="591" t="s">
        <v>280</v>
      </c>
    </row>
    <row r="2102" spans="1:9">
      <c r="A2102" s="582" t="s">
        <v>1738</v>
      </c>
      <c r="B2102" s="65">
        <v>2300</v>
      </c>
      <c r="C2102" s="579" t="s">
        <v>279</v>
      </c>
      <c r="D2102" s="579"/>
      <c r="E2102" s="583"/>
      <c r="F2102" s="585">
        <v>45535</v>
      </c>
      <c r="G2102" s="65">
        <v>1</v>
      </c>
      <c r="H2102" s="591" t="s">
        <v>280</v>
      </c>
      <c r="I2102" s="591" t="s">
        <v>280</v>
      </c>
    </row>
    <row r="2103" spans="1:9">
      <c r="A2103" s="580" t="s">
        <v>1738</v>
      </c>
      <c r="B2103" s="65">
        <v>2301</v>
      </c>
      <c r="C2103" s="579" t="s">
        <v>281</v>
      </c>
      <c r="D2103" s="579"/>
      <c r="E2103" s="583"/>
      <c r="F2103" s="596"/>
      <c r="G2103" s="65">
        <v>0</v>
      </c>
      <c r="H2103" s="591" t="s">
        <v>280</v>
      </c>
      <c r="I2103" s="591" t="s">
        <v>280</v>
      </c>
    </row>
    <row r="2104" spans="1:9">
      <c r="A2104" s="580" t="s">
        <v>1738</v>
      </c>
      <c r="B2104" s="65">
        <v>2302</v>
      </c>
      <c r="C2104" s="579" t="s">
        <v>1739</v>
      </c>
      <c r="D2104" s="579">
        <v>10725</v>
      </c>
      <c r="E2104" s="583"/>
      <c r="F2104" s="585">
        <v>45535</v>
      </c>
      <c r="G2104" s="65">
        <v>1</v>
      </c>
      <c r="H2104" s="591" t="s">
        <v>280</v>
      </c>
      <c r="I2104" s="591" t="s">
        <v>280</v>
      </c>
    </row>
    <row r="2105" spans="1:9">
      <c r="A2105" s="580" t="s">
        <v>1738</v>
      </c>
      <c r="B2105" s="65">
        <v>2303</v>
      </c>
      <c r="C2105" s="579" t="s">
        <v>1740</v>
      </c>
      <c r="D2105" s="579">
        <v>10726</v>
      </c>
      <c r="E2105" s="583"/>
      <c r="F2105" s="585">
        <v>45535</v>
      </c>
      <c r="G2105" s="65">
        <v>1</v>
      </c>
      <c r="H2105" s="591" t="s">
        <v>1976</v>
      </c>
      <c r="I2105" s="591" t="s">
        <v>1239</v>
      </c>
    </row>
    <row r="2106" spans="1:9">
      <c r="A2106" s="580" t="s">
        <v>1738</v>
      </c>
      <c r="B2106" s="65">
        <v>2304</v>
      </c>
      <c r="C2106" s="579" t="s">
        <v>508</v>
      </c>
      <c r="D2106" s="579">
        <v>10128</v>
      </c>
      <c r="E2106" s="583"/>
      <c r="F2106" s="585">
        <v>45535</v>
      </c>
      <c r="G2106" s="65">
        <v>1</v>
      </c>
      <c r="H2106" s="591" t="s">
        <v>1976</v>
      </c>
      <c r="I2106" s="591" t="s">
        <v>1239</v>
      </c>
    </row>
    <row r="2107" spans="1:9">
      <c r="A2107" s="580" t="s">
        <v>1738</v>
      </c>
      <c r="B2107" s="65">
        <v>2305</v>
      </c>
      <c r="C2107" s="579" t="s">
        <v>281</v>
      </c>
      <c r="D2107" s="579"/>
      <c r="E2107" s="583"/>
      <c r="F2107" s="596"/>
      <c r="G2107" s="65">
        <v>0</v>
      </c>
      <c r="H2107" s="591" t="s">
        <v>280</v>
      </c>
      <c r="I2107" s="591" t="s">
        <v>280</v>
      </c>
    </row>
    <row r="2108" spans="1:9">
      <c r="A2108" s="580" t="s">
        <v>1738</v>
      </c>
      <c r="B2108" s="65">
        <v>2306</v>
      </c>
      <c r="C2108" s="579" t="s">
        <v>281</v>
      </c>
      <c r="D2108" s="579"/>
      <c r="E2108" s="583"/>
      <c r="F2108" s="596"/>
      <c r="G2108" s="65">
        <v>0</v>
      </c>
      <c r="H2108" s="591" t="s">
        <v>280</v>
      </c>
      <c r="I2108" s="591" t="s">
        <v>280</v>
      </c>
    </row>
    <row r="2109" spans="1:9">
      <c r="A2109" s="580" t="s">
        <v>1738</v>
      </c>
      <c r="B2109" s="65">
        <v>2307</v>
      </c>
      <c r="C2109" s="579" t="s">
        <v>515</v>
      </c>
      <c r="D2109" s="579">
        <v>10447</v>
      </c>
      <c r="E2109" s="583"/>
      <c r="F2109" s="585">
        <v>45535</v>
      </c>
      <c r="G2109" s="65">
        <v>1</v>
      </c>
      <c r="H2109" s="591" t="s">
        <v>1976</v>
      </c>
      <c r="I2109" s="591" t="s">
        <v>1239</v>
      </c>
    </row>
    <row r="2110" spans="1:9">
      <c r="A2110" s="580" t="s">
        <v>1738</v>
      </c>
      <c r="B2110" s="65">
        <v>2308</v>
      </c>
      <c r="C2110" s="579" t="s">
        <v>281</v>
      </c>
      <c r="D2110" s="579"/>
      <c r="E2110" s="583"/>
      <c r="F2110" s="596"/>
      <c r="G2110" s="65">
        <v>0</v>
      </c>
      <c r="H2110" s="591" t="s">
        <v>280</v>
      </c>
      <c r="I2110" s="591" t="s">
        <v>280</v>
      </c>
    </row>
    <row r="2111" spans="1:9">
      <c r="A2111" s="580" t="s">
        <v>1738</v>
      </c>
      <c r="B2111" s="65">
        <v>2309</v>
      </c>
      <c r="C2111" s="579" t="s">
        <v>1741</v>
      </c>
      <c r="D2111" s="579">
        <v>10732</v>
      </c>
      <c r="E2111" s="583"/>
      <c r="F2111" s="585">
        <v>45535</v>
      </c>
      <c r="G2111" s="65">
        <v>1</v>
      </c>
      <c r="H2111" s="591" t="s">
        <v>1976</v>
      </c>
      <c r="I2111" s="591" t="s">
        <v>1239</v>
      </c>
    </row>
    <row r="2112" spans="1:9">
      <c r="A2112" s="580" t="s">
        <v>1738</v>
      </c>
      <c r="B2112" s="65">
        <v>2310</v>
      </c>
      <c r="C2112" s="579" t="s">
        <v>1742</v>
      </c>
      <c r="D2112" s="579">
        <v>10733</v>
      </c>
      <c r="E2112" s="583"/>
      <c r="F2112" s="585">
        <v>45535</v>
      </c>
      <c r="G2112" s="65">
        <v>1</v>
      </c>
      <c r="H2112" s="591" t="s">
        <v>280</v>
      </c>
      <c r="I2112" s="591" t="s">
        <v>280</v>
      </c>
    </row>
    <row r="2113" spans="1:9">
      <c r="A2113" s="580" t="s">
        <v>1738</v>
      </c>
      <c r="B2113" s="65">
        <v>2311</v>
      </c>
      <c r="C2113" s="579" t="s">
        <v>1743</v>
      </c>
      <c r="D2113" s="579">
        <v>10734</v>
      </c>
      <c r="E2113" s="583"/>
      <c r="F2113" s="585">
        <v>45535</v>
      </c>
      <c r="G2113" s="65">
        <v>1</v>
      </c>
      <c r="H2113" s="591" t="s">
        <v>280</v>
      </c>
      <c r="I2113" s="591" t="s">
        <v>280</v>
      </c>
    </row>
    <row r="2114" spans="1:9">
      <c r="A2114" s="580" t="s">
        <v>1738</v>
      </c>
      <c r="B2114" s="65">
        <v>2312</v>
      </c>
      <c r="C2114" s="65" t="s">
        <v>281</v>
      </c>
      <c r="D2114" s="65"/>
      <c r="E2114" s="583"/>
      <c r="F2114" s="596"/>
      <c r="G2114" s="65">
        <v>0</v>
      </c>
      <c r="H2114" s="591" t="s">
        <v>280</v>
      </c>
      <c r="I2114" s="591" t="s">
        <v>280</v>
      </c>
    </row>
    <row r="2115" spans="1:9">
      <c r="A2115" s="580" t="s">
        <v>1738</v>
      </c>
      <c r="B2115" s="65">
        <v>2313</v>
      </c>
      <c r="C2115" s="65" t="s">
        <v>1744</v>
      </c>
      <c r="D2115" s="65">
        <v>10847</v>
      </c>
      <c r="E2115" s="583"/>
      <c r="F2115" s="585">
        <v>45535</v>
      </c>
      <c r="G2115" s="65">
        <v>1</v>
      </c>
      <c r="H2115" s="591" t="s">
        <v>1976</v>
      </c>
      <c r="I2115" s="591" t="s">
        <v>1239</v>
      </c>
    </row>
    <row r="2116" spans="1:9">
      <c r="A2116" s="580" t="s">
        <v>1738</v>
      </c>
      <c r="B2116" s="65">
        <v>2314</v>
      </c>
      <c r="C2116" s="65" t="s">
        <v>281</v>
      </c>
      <c r="D2116" s="65"/>
      <c r="E2116" s="583"/>
      <c r="F2116" s="596"/>
      <c r="G2116" s="65">
        <v>0</v>
      </c>
      <c r="H2116" s="591" t="s">
        <v>280</v>
      </c>
      <c r="I2116" s="591" t="s">
        <v>280</v>
      </c>
    </row>
    <row r="2117" spans="1:9">
      <c r="A2117" s="580" t="s">
        <v>1738</v>
      </c>
      <c r="B2117" s="65">
        <v>2315</v>
      </c>
      <c r="C2117" s="65" t="s">
        <v>1745</v>
      </c>
      <c r="D2117" s="65">
        <v>10849</v>
      </c>
      <c r="E2117" s="583"/>
      <c r="F2117" s="585">
        <v>45535</v>
      </c>
      <c r="G2117" s="65">
        <v>1</v>
      </c>
      <c r="H2117" s="591" t="s">
        <v>1976</v>
      </c>
      <c r="I2117" s="591" t="s">
        <v>1239</v>
      </c>
    </row>
    <row r="2118" spans="1:9">
      <c r="A2118" s="580" t="s">
        <v>1738</v>
      </c>
      <c r="B2118" s="65">
        <v>2316</v>
      </c>
      <c r="C2118" s="65" t="s">
        <v>1746</v>
      </c>
      <c r="D2118" s="65">
        <v>10873</v>
      </c>
      <c r="E2118" s="583"/>
      <c r="F2118" s="585">
        <v>45535</v>
      </c>
      <c r="G2118" s="65">
        <v>1</v>
      </c>
      <c r="H2118" s="591" t="s">
        <v>1976</v>
      </c>
      <c r="I2118" s="591" t="s">
        <v>1239</v>
      </c>
    </row>
    <row r="2119" spans="1:9">
      <c r="A2119" s="580" t="s">
        <v>1738</v>
      </c>
      <c r="B2119" s="65">
        <v>2317</v>
      </c>
      <c r="C2119" s="65" t="s">
        <v>1747</v>
      </c>
      <c r="D2119" s="65">
        <v>10889</v>
      </c>
      <c r="E2119" s="583"/>
      <c r="F2119" s="585">
        <v>45535</v>
      </c>
      <c r="G2119" s="65">
        <v>1</v>
      </c>
      <c r="H2119" s="591" t="s">
        <v>280</v>
      </c>
      <c r="I2119" s="591" t="s">
        <v>280</v>
      </c>
    </row>
    <row r="2120" spans="1:9">
      <c r="A2120" s="582" t="s">
        <v>1738</v>
      </c>
      <c r="B2120" s="65">
        <v>2318</v>
      </c>
      <c r="C2120" s="65" t="s">
        <v>1748</v>
      </c>
      <c r="D2120" s="65">
        <v>10727</v>
      </c>
      <c r="E2120" s="583"/>
      <c r="F2120" s="585">
        <v>45535</v>
      </c>
      <c r="G2120" s="65">
        <v>1</v>
      </c>
      <c r="H2120" s="591" t="s">
        <v>280</v>
      </c>
      <c r="I2120" s="591" t="s">
        <v>280</v>
      </c>
    </row>
    <row r="2121" spans="1:9">
      <c r="A2121" s="582" t="s">
        <v>1738</v>
      </c>
      <c r="B2121" s="65">
        <v>2319</v>
      </c>
      <c r="C2121" s="65" t="s">
        <v>1749</v>
      </c>
      <c r="D2121" s="65">
        <v>10730</v>
      </c>
      <c r="E2121" s="583"/>
      <c r="F2121" s="585">
        <v>45535</v>
      </c>
      <c r="G2121" s="65">
        <v>1</v>
      </c>
      <c r="H2121" s="591" t="s">
        <v>280</v>
      </c>
      <c r="I2121" s="591" t="s">
        <v>280</v>
      </c>
    </row>
    <row r="2122" spans="1:9">
      <c r="A2122" s="582" t="s">
        <v>1738</v>
      </c>
      <c r="B2122" s="65">
        <v>2320</v>
      </c>
      <c r="C2122" s="65" t="s">
        <v>1750</v>
      </c>
      <c r="D2122" s="65">
        <v>10941</v>
      </c>
      <c r="E2122" s="583"/>
      <c r="F2122" s="585">
        <v>45535</v>
      </c>
      <c r="G2122" s="65">
        <v>1</v>
      </c>
      <c r="H2122" s="591" t="s">
        <v>1976</v>
      </c>
      <c r="I2122" s="591" t="s">
        <v>1239</v>
      </c>
    </row>
    <row r="2123" spans="1:9">
      <c r="A2123" s="582" t="s">
        <v>1738</v>
      </c>
      <c r="B2123" s="65">
        <v>2321</v>
      </c>
      <c r="C2123" s="65" t="s">
        <v>1751</v>
      </c>
      <c r="D2123" s="65">
        <v>10942</v>
      </c>
      <c r="E2123" s="583"/>
      <c r="F2123" s="585">
        <v>45535</v>
      </c>
      <c r="G2123" s="65">
        <v>1</v>
      </c>
      <c r="H2123" s="591" t="s">
        <v>280</v>
      </c>
      <c r="I2123" s="591" t="s">
        <v>280</v>
      </c>
    </row>
    <row r="2124" spans="1:9">
      <c r="A2124" s="582" t="s">
        <v>1738</v>
      </c>
      <c r="B2124" s="65">
        <v>2322</v>
      </c>
      <c r="C2124" s="65" t="s">
        <v>1752</v>
      </c>
      <c r="D2124" s="65">
        <v>10943</v>
      </c>
      <c r="E2124" s="583"/>
      <c r="F2124" s="585">
        <v>45535</v>
      </c>
      <c r="G2124" s="65">
        <v>1</v>
      </c>
      <c r="H2124" s="591" t="s">
        <v>280</v>
      </c>
      <c r="I2124" s="591" t="s">
        <v>280</v>
      </c>
    </row>
    <row r="2125" spans="1:9">
      <c r="A2125" s="582" t="s">
        <v>1738</v>
      </c>
      <c r="B2125" s="65">
        <v>2323</v>
      </c>
      <c r="C2125" s="65" t="s">
        <v>1753</v>
      </c>
      <c r="D2125" s="65">
        <v>11026</v>
      </c>
      <c r="E2125" s="583"/>
      <c r="F2125" s="585">
        <v>45535</v>
      </c>
      <c r="G2125" s="65">
        <v>1</v>
      </c>
      <c r="H2125" s="591" t="s">
        <v>1976</v>
      </c>
      <c r="I2125" s="591" t="s">
        <v>1239</v>
      </c>
    </row>
    <row r="2126" spans="1:9">
      <c r="A2126" s="582" t="s">
        <v>1738</v>
      </c>
      <c r="B2126" s="65">
        <v>2324</v>
      </c>
      <c r="C2126" s="65" t="s">
        <v>1964</v>
      </c>
      <c r="D2126" s="65">
        <v>11056</v>
      </c>
      <c r="E2126" s="583"/>
      <c r="F2126" s="585">
        <v>45584</v>
      </c>
      <c r="G2126" s="65">
        <v>1</v>
      </c>
      <c r="H2126" s="591" t="s">
        <v>1976</v>
      </c>
      <c r="I2126" s="591" t="s">
        <v>1239</v>
      </c>
    </row>
    <row r="2127" spans="1:9">
      <c r="A2127" s="582" t="s">
        <v>1738</v>
      </c>
      <c r="B2127" s="65">
        <v>2325</v>
      </c>
      <c r="C2127" s="579" t="s">
        <v>281</v>
      </c>
      <c r="D2127" s="579"/>
      <c r="E2127" s="583"/>
      <c r="F2127" s="596"/>
      <c r="G2127" s="65">
        <v>0</v>
      </c>
      <c r="H2127" s="591" t="s">
        <v>280</v>
      </c>
      <c r="I2127" s="591" t="s">
        <v>280</v>
      </c>
    </row>
    <row r="2128" spans="1:9">
      <c r="A2128" s="582" t="s">
        <v>1738</v>
      </c>
      <c r="B2128" s="65">
        <v>2326</v>
      </c>
      <c r="C2128" s="579" t="s">
        <v>281</v>
      </c>
      <c r="D2128" s="579"/>
      <c r="E2128" s="583"/>
      <c r="F2128" s="596"/>
      <c r="G2128" s="65">
        <v>0</v>
      </c>
      <c r="H2128" s="591" t="s">
        <v>280</v>
      </c>
      <c r="I2128" s="591" t="s">
        <v>280</v>
      </c>
    </row>
    <row r="2129" spans="1:9">
      <c r="A2129" s="582" t="s">
        <v>1738</v>
      </c>
      <c r="B2129" s="65">
        <v>2327</v>
      </c>
      <c r="C2129" s="579" t="s">
        <v>281</v>
      </c>
      <c r="D2129" s="579"/>
      <c r="E2129" s="583"/>
      <c r="F2129" s="596"/>
      <c r="G2129" s="65">
        <v>0</v>
      </c>
      <c r="H2129" s="591" t="s">
        <v>280</v>
      </c>
      <c r="I2129" s="591" t="s">
        <v>280</v>
      </c>
    </row>
    <row r="2130" spans="1:9">
      <c r="A2130" s="582" t="s">
        <v>1738</v>
      </c>
      <c r="B2130" s="65">
        <v>2328</v>
      </c>
      <c r="C2130" s="579" t="s">
        <v>281</v>
      </c>
      <c r="D2130" s="579"/>
      <c r="E2130" s="583"/>
      <c r="F2130" s="596"/>
      <c r="G2130" s="65">
        <v>0</v>
      </c>
      <c r="H2130" s="591" t="s">
        <v>280</v>
      </c>
      <c r="I2130" s="591" t="s">
        <v>280</v>
      </c>
    </row>
    <row r="2131" spans="1:9">
      <c r="A2131" s="582" t="s">
        <v>1738</v>
      </c>
      <c r="B2131" s="65">
        <v>2329</v>
      </c>
      <c r="C2131" s="579" t="s">
        <v>281</v>
      </c>
      <c r="D2131" s="579"/>
      <c r="E2131" s="583"/>
      <c r="F2131" s="596"/>
      <c r="G2131" s="65">
        <v>0</v>
      </c>
      <c r="H2131" s="591" t="s">
        <v>280</v>
      </c>
      <c r="I2131" s="591" t="s">
        <v>280</v>
      </c>
    </row>
    <row r="2132" spans="1:9">
      <c r="A2132" s="582" t="s">
        <v>1738</v>
      </c>
      <c r="B2132" s="65">
        <v>2330</v>
      </c>
      <c r="C2132" s="579" t="s">
        <v>281</v>
      </c>
      <c r="D2132" s="579"/>
      <c r="E2132" s="583"/>
      <c r="F2132" s="596"/>
      <c r="G2132" s="65">
        <v>0</v>
      </c>
      <c r="H2132" s="591" t="s">
        <v>280</v>
      </c>
      <c r="I2132" s="591" t="s">
        <v>280</v>
      </c>
    </row>
    <row r="2133" spans="1:9">
      <c r="A2133" s="582" t="s">
        <v>1738</v>
      </c>
      <c r="B2133" s="65">
        <v>2331</v>
      </c>
      <c r="C2133" s="579" t="s">
        <v>281</v>
      </c>
      <c r="D2133" s="579"/>
      <c r="E2133" s="583"/>
      <c r="F2133" s="596"/>
      <c r="G2133" s="65">
        <v>0</v>
      </c>
      <c r="H2133" s="591" t="s">
        <v>280</v>
      </c>
      <c r="I2133" s="591" t="s">
        <v>280</v>
      </c>
    </row>
    <row r="2134" spans="1:9">
      <c r="A2134" s="582" t="s">
        <v>1738</v>
      </c>
      <c r="B2134" s="65">
        <v>2332</v>
      </c>
      <c r="C2134" s="579" t="s">
        <v>281</v>
      </c>
      <c r="D2134" s="579"/>
      <c r="E2134" s="583"/>
      <c r="F2134" s="596"/>
      <c r="G2134" s="65">
        <v>0</v>
      </c>
      <c r="H2134" s="591" t="s">
        <v>280</v>
      </c>
      <c r="I2134" s="591" t="s">
        <v>280</v>
      </c>
    </row>
    <row r="2135" spans="1:9">
      <c r="A2135" s="582" t="s">
        <v>1738</v>
      </c>
      <c r="B2135" s="65">
        <v>2333</v>
      </c>
      <c r="C2135" s="579" t="s">
        <v>281</v>
      </c>
      <c r="D2135" s="579"/>
      <c r="E2135" s="583"/>
      <c r="F2135" s="596"/>
      <c r="G2135" s="65">
        <v>0</v>
      </c>
      <c r="H2135" s="591" t="s">
        <v>280</v>
      </c>
      <c r="I2135" s="591" t="s">
        <v>280</v>
      </c>
    </row>
    <row r="2136" spans="1:9">
      <c r="A2136" s="582" t="s">
        <v>1738</v>
      </c>
      <c r="B2136" s="65">
        <v>2334</v>
      </c>
      <c r="C2136" s="579" t="s">
        <v>281</v>
      </c>
      <c r="D2136" s="579"/>
      <c r="E2136" s="583"/>
      <c r="F2136" s="596"/>
      <c r="G2136" s="65">
        <v>0</v>
      </c>
      <c r="H2136" s="591" t="s">
        <v>280</v>
      </c>
      <c r="I2136" s="591" t="s">
        <v>280</v>
      </c>
    </row>
    <row r="2137" spans="1:9">
      <c r="A2137" s="582" t="s">
        <v>1738</v>
      </c>
      <c r="B2137" s="65">
        <v>2335</v>
      </c>
      <c r="C2137" s="579" t="s">
        <v>281</v>
      </c>
      <c r="D2137" s="579"/>
      <c r="E2137" s="583"/>
      <c r="F2137" s="596"/>
      <c r="G2137" s="65">
        <v>0</v>
      </c>
      <c r="H2137" s="591" t="s">
        <v>280</v>
      </c>
      <c r="I2137" s="591" t="s">
        <v>280</v>
      </c>
    </row>
    <row r="2138" spans="1:9">
      <c r="A2138" s="582" t="s">
        <v>1738</v>
      </c>
      <c r="B2138" s="65">
        <v>2336</v>
      </c>
      <c r="C2138" s="579" t="s">
        <v>281</v>
      </c>
      <c r="D2138" s="579"/>
      <c r="E2138" s="583"/>
      <c r="F2138" s="596"/>
      <c r="G2138" s="65">
        <v>0</v>
      </c>
      <c r="H2138" s="591" t="s">
        <v>280</v>
      </c>
      <c r="I2138" s="591" t="s">
        <v>280</v>
      </c>
    </row>
    <row r="2139" spans="1:9">
      <c r="A2139" s="582" t="s">
        <v>1738</v>
      </c>
      <c r="B2139" s="65">
        <v>2337</v>
      </c>
      <c r="C2139" s="579" t="s">
        <v>281</v>
      </c>
      <c r="D2139" s="579"/>
      <c r="E2139" s="583"/>
      <c r="F2139" s="596"/>
      <c r="G2139" s="65">
        <v>0</v>
      </c>
      <c r="H2139" s="591" t="s">
        <v>280</v>
      </c>
      <c r="I2139" s="591" t="s">
        <v>280</v>
      </c>
    </row>
    <row r="2140" spans="1:9">
      <c r="A2140" s="582" t="s">
        <v>1738</v>
      </c>
      <c r="B2140" s="65">
        <v>2338</v>
      </c>
      <c r="C2140" s="579" t="s">
        <v>281</v>
      </c>
      <c r="D2140" s="579"/>
      <c r="E2140" s="583"/>
      <c r="F2140" s="596"/>
      <c r="G2140" s="65">
        <v>0</v>
      </c>
      <c r="H2140" s="591" t="s">
        <v>280</v>
      </c>
      <c r="I2140" s="591" t="s">
        <v>280</v>
      </c>
    </row>
    <row r="2141" spans="1:9">
      <c r="A2141" s="582" t="s">
        <v>1738</v>
      </c>
      <c r="B2141" s="65">
        <v>2339</v>
      </c>
      <c r="C2141" s="579" t="s">
        <v>281</v>
      </c>
      <c r="D2141" s="579"/>
      <c r="E2141" s="583"/>
      <c r="F2141" s="596"/>
      <c r="G2141" s="65">
        <v>0</v>
      </c>
      <c r="H2141" s="591" t="s">
        <v>280</v>
      </c>
      <c r="I2141" s="591" t="s">
        <v>280</v>
      </c>
    </row>
    <row r="2142" spans="1:9">
      <c r="A2142" s="582" t="s">
        <v>1738</v>
      </c>
      <c r="B2142" s="65">
        <v>2340</v>
      </c>
      <c r="C2142" s="579" t="s">
        <v>281</v>
      </c>
      <c r="D2142" s="579"/>
      <c r="E2142" s="583"/>
      <c r="F2142" s="596"/>
      <c r="G2142" s="65">
        <v>0</v>
      </c>
      <c r="H2142" s="591" t="s">
        <v>280</v>
      </c>
      <c r="I2142" s="591" t="s">
        <v>280</v>
      </c>
    </row>
    <row r="2143" spans="1:9">
      <c r="A2143" s="582" t="s">
        <v>1738</v>
      </c>
      <c r="B2143" s="65">
        <v>2341</v>
      </c>
      <c r="C2143" s="579" t="s">
        <v>281</v>
      </c>
      <c r="D2143" s="579"/>
      <c r="E2143" s="583"/>
      <c r="F2143" s="596"/>
      <c r="G2143" s="65">
        <v>0</v>
      </c>
      <c r="H2143" s="591" t="s">
        <v>280</v>
      </c>
      <c r="I2143" s="591" t="s">
        <v>280</v>
      </c>
    </row>
    <row r="2144" spans="1:9">
      <c r="A2144" s="582" t="s">
        <v>1738</v>
      </c>
      <c r="B2144" s="65">
        <v>2342</v>
      </c>
      <c r="C2144" s="579" t="s">
        <v>281</v>
      </c>
      <c r="D2144" s="579"/>
      <c r="E2144" s="583"/>
      <c r="F2144" s="596"/>
      <c r="G2144" s="65">
        <v>0</v>
      </c>
      <c r="H2144" s="591" t="s">
        <v>280</v>
      </c>
      <c r="I2144" s="591" t="s">
        <v>280</v>
      </c>
    </row>
    <row r="2145" spans="1:9">
      <c r="A2145" s="582" t="s">
        <v>1738</v>
      </c>
      <c r="B2145" s="65">
        <v>2343</v>
      </c>
      <c r="C2145" s="579" t="s">
        <v>281</v>
      </c>
      <c r="D2145" s="579"/>
      <c r="E2145" s="583"/>
      <c r="F2145" s="596"/>
      <c r="G2145" s="65">
        <v>0</v>
      </c>
      <c r="H2145" s="591" t="s">
        <v>280</v>
      </c>
      <c r="I2145" s="591" t="s">
        <v>280</v>
      </c>
    </row>
    <row r="2146" spans="1:9">
      <c r="A2146" s="582" t="s">
        <v>1738</v>
      </c>
      <c r="B2146" s="65">
        <v>2344</v>
      </c>
      <c r="C2146" s="579" t="s">
        <v>281</v>
      </c>
      <c r="D2146" s="579"/>
      <c r="E2146" s="583"/>
      <c r="F2146" s="596"/>
      <c r="G2146" s="65">
        <v>0</v>
      </c>
      <c r="H2146" s="591" t="s">
        <v>280</v>
      </c>
      <c r="I2146" s="591" t="s">
        <v>280</v>
      </c>
    </row>
    <row r="2147" spans="1:9">
      <c r="A2147" s="582" t="s">
        <v>1738</v>
      </c>
      <c r="B2147" s="65">
        <v>2345</v>
      </c>
      <c r="C2147" s="579" t="s">
        <v>281</v>
      </c>
      <c r="D2147" s="579"/>
      <c r="E2147" s="583"/>
      <c r="F2147" s="596"/>
      <c r="G2147" s="65">
        <v>0</v>
      </c>
      <c r="H2147" s="591" t="s">
        <v>280</v>
      </c>
      <c r="I2147" s="591" t="s">
        <v>280</v>
      </c>
    </row>
    <row r="2148" spans="1:9">
      <c r="A2148" s="582" t="s">
        <v>1738</v>
      </c>
      <c r="B2148" s="65">
        <v>2346</v>
      </c>
      <c r="C2148" s="579" t="s">
        <v>281</v>
      </c>
      <c r="D2148" s="579"/>
      <c r="E2148" s="583"/>
      <c r="F2148" s="596"/>
      <c r="G2148" s="65">
        <v>0</v>
      </c>
      <c r="H2148" s="591" t="s">
        <v>280</v>
      </c>
      <c r="I2148" s="591" t="s">
        <v>280</v>
      </c>
    </row>
    <row r="2149" spans="1:9">
      <c r="A2149" s="582" t="s">
        <v>1738</v>
      </c>
      <c r="B2149" s="65">
        <v>2347</v>
      </c>
      <c r="C2149" s="579" t="s">
        <v>281</v>
      </c>
      <c r="D2149" s="579"/>
      <c r="E2149" s="583"/>
      <c r="F2149" s="596"/>
      <c r="G2149" s="65">
        <v>0</v>
      </c>
      <c r="H2149" s="591" t="s">
        <v>280</v>
      </c>
      <c r="I2149" s="591" t="s">
        <v>280</v>
      </c>
    </row>
    <row r="2150" spans="1:9">
      <c r="A2150" s="582" t="s">
        <v>1738</v>
      </c>
      <c r="B2150" s="65">
        <v>2348</v>
      </c>
      <c r="C2150" s="579" t="s">
        <v>281</v>
      </c>
      <c r="D2150" s="579"/>
      <c r="E2150" s="583"/>
      <c r="F2150" s="596"/>
      <c r="G2150" s="65">
        <v>0</v>
      </c>
      <c r="H2150" s="591" t="s">
        <v>280</v>
      </c>
      <c r="I2150" s="591" t="s">
        <v>280</v>
      </c>
    </row>
    <row r="2151" spans="1:9">
      <c r="A2151" s="582" t="s">
        <v>1738</v>
      </c>
      <c r="B2151" s="65">
        <v>2349</v>
      </c>
      <c r="C2151" s="579" t="s">
        <v>281</v>
      </c>
      <c r="D2151" s="579"/>
      <c r="E2151" s="583"/>
      <c r="F2151" s="596"/>
      <c r="G2151" s="65">
        <v>0</v>
      </c>
      <c r="H2151" s="591" t="s">
        <v>280</v>
      </c>
      <c r="I2151" s="591" t="s">
        <v>280</v>
      </c>
    </row>
    <row r="2152" spans="1:9">
      <c r="A2152" s="582" t="s">
        <v>1738</v>
      </c>
      <c r="B2152" s="65">
        <v>2350</v>
      </c>
      <c r="C2152" s="579" t="s">
        <v>281</v>
      </c>
      <c r="D2152" s="579"/>
      <c r="E2152" s="583"/>
      <c r="F2152" s="596"/>
      <c r="G2152" s="65">
        <v>0</v>
      </c>
      <c r="H2152" s="591" t="s">
        <v>280</v>
      </c>
      <c r="I2152" s="591" t="s">
        <v>280</v>
      </c>
    </row>
    <row r="2153" spans="1:9">
      <c r="A2153" s="582" t="s">
        <v>1738</v>
      </c>
      <c r="B2153" s="65">
        <v>2351</v>
      </c>
      <c r="C2153" s="579" t="s">
        <v>281</v>
      </c>
      <c r="D2153" s="579"/>
      <c r="E2153" s="583"/>
      <c r="F2153" s="596"/>
      <c r="G2153" s="65">
        <v>0</v>
      </c>
      <c r="H2153" s="591" t="s">
        <v>280</v>
      </c>
      <c r="I2153" s="591" t="s">
        <v>280</v>
      </c>
    </row>
    <row r="2154" spans="1:9">
      <c r="A2154" s="582" t="s">
        <v>1738</v>
      </c>
      <c r="B2154" s="65">
        <v>2352</v>
      </c>
      <c r="C2154" s="579" t="s">
        <v>281</v>
      </c>
      <c r="D2154" s="579"/>
      <c r="E2154" s="583"/>
      <c r="F2154" s="596"/>
      <c r="G2154" s="65">
        <v>0</v>
      </c>
      <c r="H2154" s="591" t="s">
        <v>280</v>
      </c>
      <c r="I2154" s="591" t="s">
        <v>280</v>
      </c>
    </row>
    <row r="2155" spans="1:9">
      <c r="A2155" s="582" t="s">
        <v>1738</v>
      </c>
      <c r="B2155" s="65">
        <v>2353</v>
      </c>
      <c r="C2155" s="579" t="s">
        <v>281</v>
      </c>
      <c r="D2155" s="579"/>
      <c r="E2155" s="583"/>
      <c r="F2155" s="596"/>
      <c r="G2155" s="65">
        <v>0</v>
      </c>
      <c r="H2155" s="591" t="s">
        <v>280</v>
      </c>
      <c r="I2155" s="591" t="s">
        <v>280</v>
      </c>
    </row>
    <row r="2156" spans="1:9">
      <c r="A2156" s="582" t="s">
        <v>1738</v>
      </c>
      <c r="B2156" s="65">
        <v>2354</v>
      </c>
      <c r="C2156" s="579" t="s">
        <v>281</v>
      </c>
      <c r="D2156" s="579"/>
      <c r="E2156" s="583"/>
      <c r="F2156" s="596"/>
      <c r="G2156" s="65">
        <v>0</v>
      </c>
      <c r="H2156" s="591" t="s">
        <v>280</v>
      </c>
      <c r="I2156" s="591" t="s">
        <v>280</v>
      </c>
    </row>
    <row r="2157" spans="1:9">
      <c r="A2157" s="582" t="s">
        <v>1738</v>
      </c>
      <c r="B2157" s="65">
        <v>2355</v>
      </c>
      <c r="C2157" s="579" t="s">
        <v>281</v>
      </c>
      <c r="D2157" s="579"/>
      <c r="E2157" s="583"/>
      <c r="F2157" s="596"/>
      <c r="G2157" s="65">
        <v>0</v>
      </c>
      <c r="H2157" s="591" t="s">
        <v>280</v>
      </c>
      <c r="I2157" s="591" t="s">
        <v>280</v>
      </c>
    </row>
    <row r="2158" spans="1:9">
      <c r="A2158" s="582" t="s">
        <v>1738</v>
      </c>
      <c r="B2158" s="65">
        <v>2356</v>
      </c>
      <c r="C2158" s="579" t="s">
        <v>281</v>
      </c>
      <c r="D2158" s="579"/>
      <c r="E2158" s="583"/>
      <c r="F2158" s="596"/>
      <c r="G2158" s="65">
        <v>0</v>
      </c>
      <c r="H2158" s="591" t="s">
        <v>280</v>
      </c>
      <c r="I2158" s="591" t="s">
        <v>280</v>
      </c>
    </row>
    <row r="2159" spans="1:9">
      <c r="A2159" s="582" t="s">
        <v>1738</v>
      </c>
      <c r="B2159" s="65">
        <v>2357</v>
      </c>
      <c r="C2159" s="579" t="s">
        <v>281</v>
      </c>
      <c r="D2159" s="579"/>
      <c r="E2159" s="583"/>
      <c r="F2159" s="596"/>
      <c r="G2159" s="65">
        <v>0</v>
      </c>
      <c r="H2159" s="591" t="s">
        <v>280</v>
      </c>
      <c r="I2159" s="591" t="s">
        <v>280</v>
      </c>
    </row>
    <row r="2160" spans="1:9">
      <c r="A2160" s="582" t="s">
        <v>1738</v>
      </c>
      <c r="B2160" s="65">
        <v>2358</v>
      </c>
      <c r="C2160" s="579" t="s">
        <v>281</v>
      </c>
      <c r="D2160" s="579"/>
      <c r="E2160" s="583"/>
      <c r="F2160" s="596"/>
      <c r="G2160" s="65">
        <v>0</v>
      </c>
      <c r="H2160" s="591" t="s">
        <v>280</v>
      </c>
      <c r="I2160" s="591" t="s">
        <v>280</v>
      </c>
    </row>
    <row r="2161" spans="1:9">
      <c r="A2161" s="582" t="s">
        <v>1738</v>
      </c>
      <c r="B2161" s="65">
        <v>2359</v>
      </c>
      <c r="C2161" s="579" t="s">
        <v>281</v>
      </c>
      <c r="D2161" s="579"/>
      <c r="E2161" s="583"/>
      <c r="F2161" s="596"/>
      <c r="G2161" s="65">
        <v>0</v>
      </c>
      <c r="H2161" s="591" t="s">
        <v>280</v>
      </c>
      <c r="I2161" s="591" t="s">
        <v>280</v>
      </c>
    </row>
    <row r="2162" spans="1:9">
      <c r="A2162" s="582" t="s">
        <v>1738</v>
      </c>
      <c r="B2162" s="65">
        <v>2360</v>
      </c>
      <c r="C2162" s="579" t="s">
        <v>281</v>
      </c>
      <c r="D2162" s="579"/>
      <c r="E2162" s="583"/>
      <c r="F2162" s="596"/>
      <c r="G2162" s="65">
        <v>0</v>
      </c>
      <c r="H2162" s="591" t="s">
        <v>280</v>
      </c>
      <c r="I2162" s="591" t="s">
        <v>280</v>
      </c>
    </row>
    <row r="2163" spans="1:9">
      <c r="A2163" s="582" t="s">
        <v>1738</v>
      </c>
      <c r="B2163" s="65">
        <v>2361</v>
      </c>
      <c r="C2163" s="579" t="s">
        <v>281</v>
      </c>
      <c r="D2163" s="579"/>
      <c r="E2163" s="583"/>
      <c r="F2163" s="596"/>
      <c r="G2163" s="65">
        <v>0</v>
      </c>
      <c r="H2163" s="591" t="s">
        <v>280</v>
      </c>
      <c r="I2163" s="591" t="s">
        <v>280</v>
      </c>
    </row>
    <row r="2164" spans="1:9">
      <c r="A2164" s="582" t="s">
        <v>1738</v>
      </c>
      <c r="B2164" s="65">
        <v>2362</v>
      </c>
      <c r="C2164" s="579" t="s">
        <v>281</v>
      </c>
      <c r="D2164" s="579"/>
      <c r="E2164" s="583"/>
      <c r="F2164" s="596"/>
      <c r="G2164" s="65">
        <v>0</v>
      </c>
      <c r="H2164" s="591" t="s">
        <v>280</v>
      </c>
      <c r="I2164" s="591" t="s">
        <v>280</v>
      </c>
    </row>
    <row r="2165" spans="1:9">
      <c r="A2165" s="582" t="s">
        <v>1738</v>
      </c>
      <c r="B2165" s="65">
        <v>2363</v>
      </c>
      <c r="C2165" s="579" t="s">
        <v>281</v>
      </c>
      <c r="D2165" s="579"/>
      <c r="E2165" s="583"/>
      <c r="F2165" s="596"/>
      <c r="G2165" s="65">
        <v>0</v>
      </c>
      <c r="H2165" s="591" t="s">
        <v>280</v>
      </c>
      <c r="I2165" s="591" t="s">
        <v>280</v>
      </c>
    </row>
    <row r="2166" spans="1:9">
      <c r="A2166" s="582" t="s">
        <v>1738</v>
      </c>
      <c r="B2166" s="65">
        <v>2364</v>
      </c>
      <c r="C2166" s="579" t="s">
        <v>281</v>
      </c>
      <c r="D2166" s="579"/>
      <c r="E2166" s="583"/>
      <c r="F2166" s="596"/>
      <c r="G2166" s="65">
        <v>0</v>
      </c>
      <c r="H2166" s="591" t="s">
        <v>280</v>
      </c>
      <c r="I2166" s="591" t="s">
        <v>280</v>
      </c>
    </row>
    <row r="2167" spans="1:9">
      <c r="A2167" s="582" t="s">
        <v>1738</v>
      </c>
      <c r="B2167" s="65">
        <v>2365</v>
      </c>
      <c r="C2167" s="579" t="s">
        <v>281</v>
      </c>
      <c r="D2167" s="579"/>
      <c r="E2167" s="583"/>
      <c r="F2167" s="596"/>
      <c r="G2167" s="65">
        <v>0</v>
      </c>
      <c r="H2167" s="591" t="s">
        <v>280</v>
      </c>
      <c r="I2167" s="591" t="s">
        <v>280</v>
      </c>
    </row>
    <row r="2168" spans="1:9">
      <c r="A2168" s="582" t="s">
        <v>1738</v>
      </c>
      <c r="B2168" s="65">
        <v>2366</v>
      </c>
      <c r="C2168" s="579" t="s">
        <v>281</v>
      </c>
      <c r="D2168" s="579"/>
      <c r="E2168" s="583"/>
      <c r="F2168" s="596"/>
      <c r="G2168" s="65">
        <v>0</v>
      </c>
      <c r="H2168" s="591" t="s">
        <v>280</v>
      </c>
      <c r="I2168" s="591" t="s">
        <v>280</v>
      </c>
    </row>
    <row r="2169" spans="1:9">
      <c r="A2169" s="582" t="s">
        <v>1738</v>
      </c>
      <c r="B2169" s="65">
        <v>2367</v>
      </c>
      <c r="C2169" s="579" t="s">
        <v>281</v>
      </c>
      <c r="D2169" s="579"/>
      <c r="E2169" s="583"/>
      <c r="F2169" s="596"/>
      <c r="G2169" s="65">
        <v>0</v>
      </c>
      <c r="H2169" s="591" t="s">
        <v>280</v>
      </c>
      <c r="I2169" s="591" t="s">
        <v>280</v>
      </c>
    </row>
    <row r="2170" spans="1:9">
      <c r="A2170" s="582" t="s">
        <v>1738</v>
      </c>
      <c r="B2170" s="65">
        <v>2368</v>
      </c>
      <c r="C2170" s="579" t="s">
        <v>281</v>
      </c>
      <c r="D2170" s="579"/>
      <c r="E2170" s="583"/>
      <c r="F2170" s="596"/>
      <c r="G2170" s="65">
        <v>0</v>
      </c>
      <c r="H2170" s="591" t="s">
        <v>280</v>
      </c>
      <c r="I2170" s="591" t="s">
        <v>280</v>
      </c>
    </row>
    <row r="2171" spans="1:9">
      <c r="A2171" s="582" t="s">
        <v>1738</v>
      </c>
      <c r="B2171" s="65">
        <v>2369</v>
      </c>
      <c r="C2171" s="579" t="s">
        <v>281</v>
      </c>
      <c r="D2171" s="579"/>
      <c r="E2171" s="583"/>
      <c r="F2171" s="596"/>
      <c r="G2171" s="65">
        <v>0</v>
      </c>
      <c r="H2171" s="591" t="s">
        <v>280</v>
      </c>
      <c r="I2171" s="591" t="s">
        <v>280</v>
      </c>
    </row>
    <row r="2172" spans="1:9">
      <c r="A2172" s="582" t="s">
        <v>1738</v>
      </c>
      <c r="B2172" s="65">
        <v>2370</v>
      </c>
      <c r="C2172" s="579" t="s">
        <v>281</v>
      </c>
      <c r="D2172" s="579"/>
      <c r="E2172" s="583"/>
      <c r="F2172" s="596"/>
      <c r="G2172" s="65">
        <v>0</v>
      </c>
      <c r="H2172" s="591" t="s">
        <v>280</v>
      </c>
      <c r="I2172" s="591" t="s">
        <v>280</v>
      </c>
    </row>
    <row r="2173" spans="1:9">
      <c r="A2173" s="582" t="s">
        <v>1738</v>
      </c>
      <c r="B2173" s="65">
        <v>2371</v>
      </c>
      <c r="C2173" s="579" t="s">
        <v>281</v>
      </c>
      <c r="D2173" s="579"/>
      <c r="E2173" s="583"/>
      <c r="F2173" s="596"/>
      <c r="G2173" s="65">
        <v>0</v>
      </c>
      <c r="H2173" s="591" t="s">
        <v>280</v>
      </c>
      <c r="I2173" s="591" t="s">
        <v>280</v>
      </c>
    </row>
    <row r="2174" spans="1:9">
      <c r="A2174" s="582" t="s">
        <v>1738</v>
      </c>
      <c r="B2174" s="65">
        <v>2372</v>
      </c>
      <c r="C2174" s="579" t="s">
        <v>281</v>
      </c>
      <c r="D2174" s="579"/>
      <c r="E2174" s="583"/>
      <c r="F2174" s="596"/>
      <c r="G2174" s="65">
        <v>0</v>
      </c>
      <c r="H2174" s="591" t="s">
        <v>280</v>
      </c>
      <c r="I2174" s="591" t="s">
        <v>280</v>
      </c>
    </row>
    <row r="2175" spans="1:9">
      <c r="A2175" s="582" t="s">
        <v>1738</v>
      </c>
      <c r="B2175" s="65">
        <v>2373</v>
      </c>
      <c r="C2175" s="579" t="s">
        <v>281</v>
      </c>
      <c r="D2175" s="579"/>
      <c r="E2175" s="583"/>
      <c r="F2175" s="596"/>
      <c r="G2175" s="65">
        <v>0</v>
      </c>
      <c r="H2175" s="591" t="s">
        <v>280</v>
      </c>
      <c r="I2175" s="591" t="s">
        <v>280</v>
      </c>
    </row>
    <row r="2176" spans="1:9">
      <c r="A2176" s="582" t="s">
        <v>1738</v>
      </c>
      <c r="B2176" s="65">
        <v>2374</v>
      </c>
      <c r="C2176" s="579" t="s">
        <v>281</v>
      </c>
      <c r="D2176" s="579"/>
      <c r="E2176" s="583"/>
      <c r="F2176" s="596"/>
      <c r="G2176" s="65">
        <v>0</v>
      </c>
      <c r="H2176" s="591" t="s">
        <v>280</v>
      </c>
      <c r="I2176" s="591" t="s">
        <v>280</v>
      </c>
    </row>
    <row r="2177" spans="1:9">
      <c r="A2177" s="582" t="s">
        <v>1738</v>
      </c>
      <c r="B2177" s="65">
        <v>2375</v>
      </c>
      <c r="C2177" s="579" t="s">
        <v>281</v>
      </c>
      <c r="D2177" s="579"/>
      <c r="E2177" s="583"/>
      <c r="F2177" s="596"/>
      <c r="G2177" s="65">
        <v>0</v>
      </c>
      <c r="H2177" s="591" t="s">
        <v>280</v>
      </c>
      <c r="I2177" s="591" t="s">
        <v>280</v>
      </c>
    </row>
    <row r="2178" spans="1:9">
      <c r="A2178" s="582" t="s">
        <v>1738</v>
      </c>
      <c r="B2178" s="65">
        <v>2376</v>
      </c>
      <c r="C2178" s="579" t="s">
        <v>281</v>
      </c>
      <c r="D2178" s="579"/>
      <c r="E2178" s="583"/>
      <c r="F2178" s="596"/>
      <c r="G2178" s="65">
        <v>0</v>
      </c>
      <c r="H2178" s="591" t="s">
        <v>280</v>
      </c>
      <c r="I2178" s="591" t="s">
        <v>280</v>
      </c>
    </row>
    <row r="2179" spans="1:9">
      <c r="A2179" s="582" t="s">
        <v>1738</v>
      </c>
      <c r="B2179" s="65">
        <v>2377</v>
      </c>
      <c r="C2179" s="579" t="s">
        <v>281</v>
      </c>
      <c r="D2179" s="579"/>
      <c r="E2179" s="583"/>
      <c r="F2179" s="596"/>
      <c r="G2179" s="65">
        <v>0</v>
      </c>
      <c r="H2179" s="591" t="s">
        <v>280</v>
      </c>
      <c r="I2179" s="591" t="s">
        <v>280</v>
      </c>
    </row>
    <row r="2180" spans="1:9">
      <c r="A2180" s="582" t="s">
        <v>1738</v>
      </c>
      <c r="B2180" s="65">
        <v>2378</v>
      </c>
      <c r="C2180" s="579" t="s">
        <v>281</v>
      </c>
      <c r="D2180" s="579"/>
      <c r="E2180" s="583"/>
      <c r="F2180" s="596"/>
      <c r="G2180" s="65">
        <v>0</v>
      </c>
      <c r="H2180" s="591" t="s">
        <v>280</v>
      </c>
      <c r="I2180" s="591" t="s">
        <v>280</v>
      </c>
    </row>
    <row r="2181" spans="1:9">
      <c r="A2181" s="582" t="s">
        <v>1738</v>
      </c>
      <c r="B2181" s="65">
        <v>2379</v>
      </c>
      <c r="C2181" s="579" t="s">
        <v>281</v>
      </c>
      <c r="D2181" s="579"/>
      <c r="E2181" s="583"/>
      <c r="F2181" s="596"/>
      <c r="G2181" s="65">
        <v>0</v>
      </c>
      <c r="H2181" s="591" t="s">
        <v>280</v>
      </c>
      <c r="I2181" s="591" t="s">
        <v>280</v>
      </c>
    </row>
    <row r="2182" spans="1:9">
      <c r="A2182" s="582" t="s">
        <v>1738</v>
      </c>
      <c r="B2182" s="65">
        <v>2380</v>
      </c>
      <c r="C2182" s="579" t="s">
        <v>281</v>
      </c>
      <c r="D2182" s="579"/>
      <c r="E2182" s="583"/>
      <c r="F2182" s="596"/>
      <c r="G2182" s="65">
        <v>0</v>
      </c>
      <c r="H2182" s="591" t="s">
        <v>280</v>
      </c>
      <c r="I2182" s="591" t="s">
        <v>280</v>
      </c>
    </row>
    <row r="2183" spans="1:9">
      <c r="A2183" s="582" t="s">
        <v>1738</v>
      </c>
      <c r="B2183" s="65">
        <v>2381</v>
      </c>
      <c r="C2183" s="579" t="s">
        <v>281</v>
      </c>
      <c r="D2183" s="579"/>
      <c r="E2183" s="583"/>
      <c r="F2183" s="596"/>
      <c r="G2183" s="65">
        <v>0</v>
      </c>
      <c r="H2183" s="591" t="s">
        <v>280</v>
      </c>
      <c r="I2183" s="591" t="s">
        <v>280</v>
      </c>
    </row>
    <row r="2184" spans="1:9">
      <c r="A2184" s="582" t="s">
        <v>1738</v>
      </c>
      <c r="B2184" s="65">
        <v>2382</v>
      </c>
      <c r="C2184" s="579" t="s">
        <v>281</v>
      </c>
      <c r="D2184" s="579"/>
      <c r="E2184" s="583"/>
      <c r="F2184" s="596"/>
      <c r="G2184" s="65">
        <v>0</v>
      </c>
      <c r="H2184" s="591" t="s">
        <v>280</v>
      </c>
      <c r="I2184" s="591" t="s">
        <v>280</v>
      </c>
    </row>
    <row r="2185" spans="1:9">
      <c r="A2185" s="582" t="s">
        <v>1738</v>
      </c>
      <c r="B2185" s="65">
        <v>2383</v>
      </c>
      <c r="C2185" s="579" t="s">
        <v>281</v>
      </c>
      <c r="D2185" s="579"/>
      <c r="E2185" s="583"/>
      <c r="F2185" s="596"/>
      <c r="G2185" s="65">
        <v>0</v>
      </c>
      <c r="H2185" s="591" t="s">
        <v>280</v>
      </c>
      <c r="I2185" s="591" t="s">
        <v>280</v>
      </c>
    </row>
    <row r="2186" spans="1:9">
      <c r="A2186" s="582" t="s">
        <v>1738</v>
      </c>
      <c r="B2186" s="65">
        <v>2384</v>
      </c>
      <c r="C2186" s="579" t="s">
        <v>281</v>
      </c>
      <c r="D2186" s="579"/>
      <c r="E2186" s="583"/>
      <c r="F2186" s="596"/>
      <c r="G2186" s="65">
        <v>0</v>
      </c>
      <c r="H2186" s="591" t="s">
        <v>280</v>
      </c>
      <c r="I2186" s="591" t="s">
        <v>280</v>
      </c>
    </row>
    <row r="2187" spans="1:9">
      <c r="A2187" s="582" t="s">
        <v>1738</v>
      </c>
      <c r="B2187" s="65">
        <v>2385</v>
      </c>
      <c r="C2187" s="579" t="s">
        <v>281</v>
      </c>
      <c r="D2187" s="579"/>
      <c r="E2187" s="583"/>
      <c r="F2187" s="596"/>
      <c r="G2187" s="65">
        <v>0</v>
      </c>
      <c r="H2187" s="591" t="s">
        <v>280</v>
      </c>
      <c r="I2187" s="591" t="s">
        <v>280</v>
      </c>
    </row>
    <row r="2188" spans="1:9">
      <c r="A2188" s="582" t="s">
        <v>1738</v>
      </c>
      <c r="B2188" s="65">
        <v>2386</v>
      </c>
      <c r="C2188" s="579" t="s">
        <v>281</v>
      </c>
      <c r="D2188" s="579"/>
      <c r="E2188" s="583"/>
      <c r="F2188" s="596"/>
      <c r="G2188" s="65">
        <v>0</v>
      </c>
      <c r="H2188" s="591" t="s">
        <v>280</v>
      </c>
      <c r="I2188" s="591" t="s">
        <v>280</v>
      </c>
    </row>
    <row r="2189" spans="1:9">
      <c r="A2189" s="582" t="s">
        <v>1738</v>
      </c>
      <c r="B2189" s="65">
        <v>2387</v>
      </c>
      <c r="C2189" s="579" t="s">
        <v>281</v>
      </c>
      <c r="D2189" s="579"/>
      <c r="E2189" s="583"/>
      <c r="F2189" s="596"/>
      <c r="G2189" s="65">
        <v>0</v>
      </c>
      <c r="H2189" s="591" t="s">
        <v>280</v>
      </c>
      <c r="I2189" s="591" t="s">
        <v>280</v>
      </c>
    </row>
    <row r="2190" spans="1:9">
      <c r="A2190" s="582" t="s">
        <v>1738</v>
      </c>
      <c r="B2190" s="65">
        <v>2388</v>
      </c>
      <c r="C2190" s="579" t="s">
        <v>281</v>
      </c>
      <c r="D2190" s="579"/>
      <c r="E2190" s="583"/>
      <c r="F2190" s="596"/>
      <c r="G2190" s="65">
        <v>0</v>
      </c>
      <c r="H2190" s="591" t="s">
        <v>280</v>
      </c>
      <c r="I2190" s="591" t="s">
        <v>280</v>
      </c>
    </row>
    <row r="2191" spans="1:9">
      <c r="A2191" s="582" t="s">
        <v>1738</v>
      </c>
      <c r="B2191" s="65">
        <v>2389</v>
      </c>
      <c r="C2191" s="579" t="s">
        <v>281</v>
      </c>
      <c r="D2191" s="579"/>
      <c r="E2191" s="583"/>
      <c r="F2191" s="596"/>
      <c r="G2191" s="65">
        <v>0</v>
      </c>
      <c r="H2191" s="591" t="s">
        <v>280</v>
      </c>
      <c r="I2191" s="591" t="s">
        <v>280</v>
      </c>
    </row>
    <row r="2192" spans="1:9">
      <c r="A2192" s="582" t="s">
        <v>1738</v>
      </c>
      <c r="B2192" s="65">
        <v>2390</v>
      </c>
      <c r="C2192" s="579" t="s">
        <v>281</v>
      </c>
      <c r="D2192" s="579"/>
      <c r="E2192" s="583"/>
      <c r="F2192" s="596"/>
      <c r="G2192" s="65">
        <v>0</v>
      </c>
      <c r="H2192" s="591" t="s">
        <v>280</v>
      </c>
      <c r="I2192" s="591" t="s">
        <v>280</v>
      </c>
    </row>
    <row r="2193" spans="1:10">
      <c r="A2193" s="582" t="s">
        <v>1738</v>
      </c>
      <c r="B2193" s="65">
        <v>2391</v>
      </c>
      <c r="C2193" s="579" t="s">
        <v>281</v>
      </c>
      <c r="D2193" s="579"/>
      <c r="E2193" s="583"/>
      <c r="F2193" s="596"/>
      <c r="G2193" s="65">
        <v>0</v>
      </c>
      <c r="H2193" s="591" t="s">
        <v>280</v>
      </c>
      <c r="I2193" s="591" t="s">
        <v>280</v>
      </c>
    </row>
    <row r="2194" spans="1:10">
      <c r="A2194" s="582" t="s">
        <v>1738</v>
      </c>
      <c r="B2194" s="65">
        <v>2392</v>
      </c>
      <c r="C2194" s="579" t="s">
        <v>281</v>
      </c>
      <c r="D2194" s="579"/>
      <c r="E2194" s="583"/>
      <c r="F2194" s="596"/>
      <c r="G2194" s="65">
        <v>0</v>
      </c>
      <c r="H2194" s="591" t="s">
        <v>280</v>
      </c>
      <c r="I2194" s="591" t="s">
        <v>280</v>
      </c>
    </row>
    <row r="2195" spans="1:10">
      <c r="A2195" s="582" t="s">
        <v>1738</v>
      </c>
      <c r="B2195" s="65">
        <v>2393</v>
      </c>
      <c r="C2195" s="579" t="s">
        <v>281</v>
      </c>
      <c r="D2195" s="579"/>
      <c r="E2195" s="583"/>
      <c r="F2195" s="596"/>
      <c r="G2195" s="65">
        <v>0</v>
      </c>
      <c r="H2195" s="591" t="s">
        <v>280</v>
      </c>
      <c r="I2195" s="591" t="s">
        <v>280</v>
      </c>
    </row>
    <row r="2196" spans="1:10">
      <c r="A2196" s="582" t="s">
        <v>1738</v>
      </c>
      <c r="B2196" s="65">
        <v>2394</v>
      </c>
      <c r="C2196" s="579" t="s">
        <v>281</v>
      </c>
      <c r="D2196" s="579"/>
      <c r="E2196" s="583"/>
      <c r="F2196" s="596"/>
      <c r="G2196" s="65">
        <v>0</v>
      </c>
      <c r="H2196" s="591" t="s">
        <v>280</v>
      </c>
      <c r="I2196" s="591" t="s">
        <v>280</v>
      </c>
    </row>
    <row r="2197" spans="1:10">
      <c r="A2197" s="582" t="s">
        <v>1738</v>
      </c>
      <c r="B2197" s="65">
        <v>2395</v>
      </c>
      <c r="C2197" s="579" t="s">
        <v>281</v>
      </c>
      <c r="D2197" s="579"/>
      <c r="E2197" s="583"/>
      <c r="F2197" s="596"/>
      <c r="G2197" s="65">
        <v>0</v>
      </c>
      <c r="H2197" s="591" t="s">
        <v>280</v>
      </c>
      <c r="I2197" s="591" t="s">
        <v>280</v>
      </c>
    </row>
    <row r="2198" spans="1:10">
      <c r="A2198" s="582" t="s">
        <v>1738</v>
      </c>
      <c r="B2198" s="65">
        <v>2396</v>
      </c>
      <c r="C2198" s="579" t="s">
        <v>281</v>
      </c>
      <c r="D2198" s="579"/>
      <c r="E2198" s="583"/>
      <c r="F2198" s="596"/>
      <c r="G2198" s="65">
        <v>0</v>
      </c>
      <c r="H2198" s="591" t="s">
        <v>280</v>
      </c>
      <c r="I2198" s="591" t="s">
        <v>280</v>
      </c>
    </row>
    <row r="2199" spans="1:10">
      <c r="A2199" s="582" t="s">
        <v>1738</v>
      </c>
      <c r="B2199" s="65">
        <v>2397</v>
      </c>
      <c r="C2199" s="579" t="s">
        <v>281</v>
      </c>
      <c r="D2199" s="579"/>
      <c r="E2199" s="583"/>
      <c r="F2199" s="596"/>
      <c r="G2199" s="65">
        <v>0</v>
      </c>
      <c r="H2199" s="591" t="s">
        <v>280</v>
      </c>
      <c r="I2199" s="591" t="s">
        <v>280</v>
      </c>
    </row>
    <row r="2200" spans="1:10">
      <c r="A2200" s="582" t="s">
        <v>1738</v>
      </c>
      <c r="B2200" s="65">
        <v>2398</v>
      </c>
      <c r="C2200" s="579" t="s">
        <v>281</v>
      </c>
      <c r="D2200" s="579"/>
      <c r="E2200" s="583"/>
      <c r="F2200" s="596"/>
      <c r="G2200" s="65">
        <v>0</v>
      </c>
      <c r="H2200" s="591" t="s">
        <v>280</v>
      </c>
      <c r="I2200" s="591" t="s">
        <v>280</v>
      </c>
    </row>
    <row r="2201" spans="1:10">
      <c r="A2201" s="582" t="s">
        <v>1738</v>
      </c>
      <c r="B2201" s="65">
        <v>2399</v>
      </c>
      <c r="C2201" s="579" t="s">
        <v>281</v>
      </c>
      <c r="D2201" s="579"/>
      <c r="E2201" s="583"/>
      <c r="F2201" s="596"/>
      <c r="G2201" s="65">
        <v>0</v>
      </c>
      <c r="H2201" s="591" t="s">
        <v>280</v>
      </c>
      <c r="I2201" s="591" t="s">
        <v>280</v>
      </c>
    </row>
    <row r="2202" spans="1:10">
      <c r="A2202" s="582" t="s">
        <v>51</v>
      </c>
      <c r="B2202" s="65">
        <v>2400</v>
      </c>
      <c r="C2202" s="579" t="s">
        <v>279</v>
      </c>
      <c r="D2202" s="579"/>
      <c r="E2202" s="583"/>
      <c r="F2202" s="585">
        <v>45535</v>
      </c>
      <c r="G2202" s="65">
        <v>1</v>
      </c>
      <c r="H2202" s="591" t="s">
        <v>280</v>
      </c>
      <c r="I2202" s="591" t="s">
        <v>280</v>
      </c>
    </row>
    <row r="2203" spans="1:10">
      <c r="A2203" s="582" t="s">
        <v>51</v>
      </c>
      <c r="B2203" s="65">
        <v>2401</v>
      </c>
      <c r="C2203" s="65" t="s">
        <v>483</v>
      </c>
      <c r="D2203" s="579">
        <v>10339</v>
      </c>
      <c r="E2203" s="583"/>
      <c r="F2203" s="585">
        <v>45535</v>
      </c>
      <c r="G2203" s="65">
        <v>1</v>
      </c>
      <c r="H2203" s="591" t="s">
        <v>1975</v>
      </c>
      <c r="I2203" s="591" t="s">
        <v>51</v>
      </c>
      <c r="J2203" s="57"/>
    </row>
    <row r="2204" spans="1:10">
      <c r="A2204" s="582" t="s">
        <v>51</v>
      </c>
      <c r="B2204" s="65">
        <v>2402</v>
      </c>
      <c r="C2204" s="65" t="s">
        <v>484</v>
      </c>
      <c r="D2204" s="65">
        <v>10433</v>
      </c>
      <c r="E2204" s="583"/>
      <c r="F2204" s="585">
        <v>45535</v>
      </c>
      <c r="G2204" s="65">
        <v>1</v>
      </c>
      <c r="H2204" s="591" t="s">
        <v>1975</v>
      </c>
      <c r="I2204" s="591" t="s">
        <v>51</v>
      </c>
      <c r="J2204" s="57"/>
    </row>
    <row r="2205" spans="1:10">
      <c r="A2205" s="582" t="s">
        <v>51</v>
      </c>
      <c r="B2205" s="65">
        <v>2403</v>
      </c>
      <c r="C2205" s="65" t="s">
        <v>281</v>
      </c>
      <c r="D2205" s="65"/>
      <c r="E2205" s="583"/>
      <c r="F2205" s="596"/>
      <c r="G2205" s="65">
        <v>0</v>
      </c>
      <c r="H2205" s="591" t="s">
        <v>280</v>
      </c>
      <c r="I2205" s="591" t="s">
        <v>280</v>
      </c>
      <c r="J2205" s="57"/>
    </row>
    <row r="2206" spans="1:10">
      <c r="A2206" s="582" t="s">
        <v>51</v>
      </c>
      <c r="B2206" s="65">
        <v>2404</v>
      </c>
      <c r="C2206" s="65" t="s">
        <v>281</v>
      </c>
      <c r="D2206" s="65"/>
      <c r="E2206" s="583"/>
      <c r="F2206" s="596"/>
      <c r="G2206" s="65">
        <v>0</v>
      </c>
      <c r="H2206" s="591" t="s">
        <v>280</v>
      </c>
      <c r="I2206" s="591" t="s">
        <v>280</v>
      </c>
      <c r="J2206" s="57"/>
    </row>
    <row r="2207" spans="1:10">
      <c r="A2207" s="582" t="s">
        <v>51</v>
      </c>
      <c r="B2207" s="65">
        <v>2405</v>
      </c>
      <c r="C2207" s="65" t="s">
        <v>281</v>
      </c>
      <c r="D2207" s="65"/>
      <c r="E2207" s="583"/>
      <c r="F2207" s="596"/>
      <c r="G2207" s="65">
        <v>0</v>
      </c>
      <c r="H2207" s="591" t="s">
        <v>280</v>
      </c>
      <c r="I2207" s="591" t="s">
        <v>280</v>
      </c>
      <c r="J2207" s="57"/>
    </row>
    <row r="2208" spans="1:10">
      <c r="A2208" s="582" t="s">
        <v>51</v>
      </c>
      <c r="B2208" s="65">
        <v>2406</v>
      </c>
      <c r="C2208" s="65" t="s">
        <v>281</v>
      </c>
      <c r="D2208" s="65"/>
      <c r="E2208" s="583"/>
      <c r="F2208" s="596"/>
      <c r="G2208" s="65">
        <v>0</v>
      </c>
      <c r="H2208" s="591" t="s">
        <v>280</v>
      </c>
      <c r="I2208" s="591" t="s">
        <v>280</v>
      </c>
      <c r="J2208" s="57"/>
    </row>
    <row r="2209" spans="1:10">
      <c r="A2209" s="582" t="s">
        <v>51</v>
      </c>
      <c r="B2209" s="65">
        <v>2407</v>
      </c>
      <c r="C2209" s="65" t="s">
        <v>281</v>
      </c>
      <c r="D2209" s="65"/>
      <c r="E2209" s="583"/>
      <c r="F2209" s="596"/>
      <c r="G2209" s="65">
        <v>0</v>
      </c>
      <c r="H2209" s="591" t="s">
        <v>280</v>
      </c>
      <c r="I2209" s="591" t="s">
        <v>280</v>
      </c>
      <c r="J2209" s="57"/>
    </row>
    <row r="2210" spans="1:10">
      <c r="A2210" s="582" t="s">
        <v>51</v>
      </c>
      <c r="B2210" s="65">
        <v>2408</v>
      </c>
      <c r="C2210" s="65" t="s">
        <v>281</v>
      </c>
      <c r="D2210" s="65"/>
      <c r="E2210" s="583"/>
      <c r="F2210" s="596"/>
      <c r="G2210" s="65">
        <v>0</v>
      </c>
      <c r="H2210" s="591" t="s">
        <v>280</v>
      </c>
      <c r="I2210" s="591" t="s">
        <v>280</v>
      </c>
      <c r="J2210" s="57"/>
    </row>
    <row r="2211" spans="1:10">
      <c r="A2211" s="582" t="s">
        <v>51</v>
      </c>
      <c r="B2211" s="65">
        <v>2409</v>
      </c>
      <c r="C2211" s="65" t="s">
        <v>281</v>
      </c>
      <c r="D2211" s="65"/>
      <c r="E2211" s="583"/>
      <c r="F2211" s="596"/>
      <c r="G2211" s="65">
        <v>0</v>
      </c>
      <c r="H2211" s="591" t="s">
        <v>280</v>
      </c>
      <c r="I2211" s="591" t="s">
        <v>280</v>
      </c>
      <c r="J2211" s="57"/>
    </row>
    <row r="2212" spans="1:10">
      <c r="A2212" s="582" t="s">
        <v>51</v>
      </c>
      <c r="B2212" s="65">
        <v>2410</v>
      </c>
      <c r="C2212" s="65" t="s">
        <v>281</v>
      </c>
      <c r="D2212" s="63"/>
      <c r="E2212" s="583"/>
      <c r="F2212" s="596"/>
      <c r="G2212" s="65">
        <v>0</v>
      </c>
      <c r="H2212" s="591" t="s">
        <v>280</v>
      </c>
      <c r="I2212" s="591" t="s">
        <v>280</v>
      </c>
      <c r="J2212" s="57"/>
    </row>
    <row r="2213" spans="1:10">
      <c r="A2213" s="582" t="s">
        <v>51</v>
      </c>
      <c r="B2213" s="65">
        <v>2411</v>
      </c>
      <c r="C2213" s="63" t="s">
        <v>1965</v>
      </c>
      <c r="D2213" s="579">
        <v>10338</v>
      </c>
      <c r="E2213" s="583"/>
      <c r="F2213" s="585">
        <v>45584</v>
      </c>
      <c r="G2213" s="65">
        <v>1</v>
      </c>
      <c r="H2213" s="591" t="s">
        <v>1975</v>
      </c>
      <c r="I2213" s="591" t="s">
        <v>51</v>
      </c>
    </row>
    <row r="2214" spans="1:10">
      <c r="A2214" s="582" t="s">
        <v>51</v>
      </c>
      <c r="B2214" s="65">
        <v>2412</v>
      </c>
      <c r="C2214" s="65" t="s">
        <v>281</v>
      </c>
      <c r="D2214" s="579"/>
      <c r="E2214" s="583"/>
      <c r="F2214" s="596"/>
      <c r="G2214" s="65">
        <v>0</v>
      </c>
      <c r="H2214" s="591" t="s">
        <v>280</v>
      </c>
      <c r="I2214" s="591" t="s">
        <v>280</v>
      </c>
    </row>
    <row r="2215" spans="1:10">
      <c r="A2215" s="582" t="s">
        <v>51</v>
      </c>
      <c r="B2215" s="65">
        <v>2413</v>
      </c>
      <c r="C2215" s="65" t="s">
        <v>281</v>
      </c>
      <c r="D2215" s="579"/>
      <c r="E2215" s="583"/>
      <c r="F2215" s="596"/>
      <c r="G2215" s="65">
        <v>0</v>
      </c>
      <c r="H2215" s="591" t="s">
        <v>280</v>
      </c>
      <c r="I2215" s="591" t="s">
        <v>280</v>
      </c>
    </row>
    <row r="2216" spans="1:10">
      <c r="A2216" s="580" t="s">
        <v>51</v>
      </c>
      <c r="B2216" s="65">
        <v>2414</v>
      </c>
      <c r="C2216" s="65" t="s">
        <v>1956</v>
      </c>
      <c r="D2216" s="65">
        <v>10435</v>
      </c>
      <c r="E2216" s="583"/>
      <c r="F2216" s="585">
        <v>45549</v>
      </c>
      <c r="G2216" s="65">
        <v>1</v>
      </c>
      <c r="H2216" s="591" t="s">
        <v>1975</v>
      </c>
      <c r="I2216" s="591" t="s">
        <v>51</v>
      </c>
    </row>
    <row r="2217" spans="1:10">
      <c r="A2217" s="582" t="s">
        <v>51</v>
      </c>
      <c r="B2217" s="65">
        <v>2415</v>
      </c>
      <c r="C2217" s="65" t="s">
        <v>1754</v>
      </c>
      <c r="D2217" s="65">
        <v>10971</v>
      </c>
      <c r="E2217" s="583"/>
      <c r="F2217" s="585">
        <v>45535</v>
      </c>
      <c r="G2217" s="65">
        <v>1</v>
      </c>
      <c r="H2217" s="591" t="s">
        <v>1975</v>
      </c>
      <c r="I2217" s="591" t="s">
        <v>51</v>
      </c>
    </row>
    <row r="2218" spans="1:10">
      <c r="A2218" s="582" t="s">
        <v>51</v>
      </c>
      <c r="B2218" s="65">
        <v>2416</v>
      </c>
      <c r="C2218" s="65" t="s">
        <v>487</v>
      </c>
      <c r="D2218" s="579">
        <v>10440</v>
      </c>
      <c r="E2218" s="583"/>
      <c r="F2218" s="585">
        <v>45535</v>
      </c>
      <c r="G2218" s="65">
        <v>1</v>
      </c>
      <c r="H2218" s="591" t="s">
        <v>1975</v>
      </c>
      <c r="I2218" s="591" t="s">
        <v>51</v>
      </c>
    </row>
    <row r="2219" spans="1:10" ht="14.25">
      <c r="A2219" s="580" t="s">
        <v>51</v>
      </c>
      <c r="B2219" s="65">
        <v>2417</v>
      </c>
      <c r="C2219" s="63" t="s">
        <v>2039</v>
      </c>
      <c r="D2219" s="579">
        <v>10604</v>
      </c>
      <c r="E2219" s="587"/>
      <c r="F2219" s="600">
        <v>45675</v>
      </c>
      <c r="G2219" s="65">
        <v>1</v>
      </c>
      <c r="H2219" s="591" t="s">
        <v>280</v>
      </c>
      <c r="I2219" s="591" t="s">
        <v>280</v>
      </c>
    </row>
    <row r="2220" spans="1:10">
      <c r="A2220" s="582" t="s">
        <v>51</v>
      </c>
      <c r="B2220" s="65">
        <v>2418</v>
      </c>
      <c r="C2220" s="65" t="s">
        <v>281</v>
      </c>
      <c r="D2220" s="579"/>
      <c r="E2220" s="583"/>
      <c r="F2220" s="596"/>
      <c r="G2220" s="65">
        <v>0</v>
      </c>
      <c r="H2220" s="591" t="s">
        <v>280</v>
      </c>
      <c r="I2220" s="591" t="s">
        <v>280</v>
      </c>
    </row>
    <row r="2221" spans="1:10">
      <c r="A2221" s="582" t="s">
        <v>51</v>
      </c>
      <c r="B2221" s="65">
        <v>2419</v>
      </c>
      <c r="C2221" s="579" t="s">
        <v>488</v>
      </c>
      <c r="D2221" s="63">
        <v>10630</v>
      </c>
      <c r="E2221" s="583"/>
      <c r="F2221" s="585">
        <v>45549</v>
      </c>
      <c r="G2221" s="65">
        <v>1</v>
      </c>
      <c r="H2221" s="591" t="s">
        <v>280</v>
      </c>
      <c r="I2221" s="591" t="s">
        <v>280</v>
      </c>
    </row>
    <row r="2222" spans="1:10">
      <c r="A2222" s="582" t="s">
        <v>51</v>
      </c>
      <c r="B2222" s="65">
        <v>2420</v>
      </c>
      <c r="C2222" s="65" t="s">
        <v>281</v>
      </c>
      <c r="D2222" s="579"/>
      <c r="E2222" s="583"/>
      <c r="F2222" s="596"/>
      <c r="G2222" s="65">
        <v>0</v>
      </c>
      <c r="H2222" s="591" t="s">
        <v>280</v>
      </c>
      <c r="I2222" s="591" t="s">
        <v>280</v>
      </c>
    </row>
    <row r="2223" spans="1:10">
      <c r="A2223" s="582" t="s">
        <v>51</v>
      </c>
      <c r="B2223" s="65">
        <v>2421</v>
      </c>
      <c r="C2223" s="65" t="s">
        <v>281</v>
      </c>
      <c r="D2223" s="579"/>
      <c r="E2223" s="583"/>
      <c r="F2223" s="596"/>
      <c r="G2223" s="65">
        <v>0</v>
      </c>
      <c r="H2223" s="591" t="s">
        <v>280</v>
      </c>
      <c r="I2223" s="591" t="s">
        <v>280</v>
      </c>
    </row>
    <row r="2224" spans="1:10">
      <c r="A2224" s="582" t="s">
        <v>51</v>
      </c>
      <c r="B2224" s="65">
        <v>2422</v>
      </c>
      <c r="C2224" s="65" t="s">
        <v>281</v>
      </c>
      <c r="D2224" s="65"/>
      <c r="E2224" s="583"/>
      <c r="F2224" s="596"/>
      <c r="G2224" s="65">
        <v>0</v>
      </c>
      <c r="H2224" s="591" t="s">
        <v>280</v>
      </c>
      <c r="I2224" s="591" t="s">
        <v>280</v>
      </c>
    </row>
    <row r="2225" spans="1:9">
      <c r="A2225" s="582" t="s">
        <v>51</v>
      </c>
      <c r="B2225" s="65">
        <v>2423</v>
      </c>
      <c r="C2225" s="65" t="s">
        <v>281</v>
      </c>
      <c r="D2225" s="579"/>
      <c r="E2225" s="583"/>
      <c r="F2225" s="596"/>
      <c r="G2225" s="65">
        <v>0</v>
      </c>
      <c r="H2225" s="591" t="s">
        <v>280</v>
      </c>
      <c r="I2225" s="591" t="s">
        <v>280</v>
      </c>
    </row>
    <row r="2226" spans="1:9">
      <c r="A2226" s="582" t="s">
        <v>51</v>
      </c>
      <c r="B2226" s="65">
        <v>2424</v>
      </c>
      <c r="C2226" s="65" t="s">
        <v>281</v>
      </c>
      <c r="D2226" s="63"/>
      <c r="E2226" s="583"/>
      <c r="F2226" s="596"/>
      <c r="G2226" s="65">
        <v>0</v>
      </c>
      <c r="H2226" s="591" t="s">
        <v>280</v>
      </c>
      <c r="I2226" s="591" t="s">
        <v>280</v>
      </c>
    </row>
    <row r="2227" spans="1:9">
      <c r="A2227" s="582" t="s">
        <v>51</v>
      </c>
      <c r="B2227" s="65">
        <v>2425</v>
      </c>
      <c r="C2227" s="65" t="s">
        <v>281</v>
      </c>
      <c r="D2227" s="579"/>
      <c r="E2227" s="583"/>
      <c r="F2227" s="596"/>
      <c r="G2227" s="65">
        <v>0</v>
      </c>
      <c r="H2227" s="591" t="s">
        <v>280</v>
      </c>
      <c r="I2227" s="591" t="s">
        <v>280</v>
      </c>
    </row>
    <row r="2228" spans="1:9">
      <c r="A2228" s="582" t="s">
        <v>51</v>
      </c>
      <c r="B2228" s="65">
        <v>2426</v>
      </c>
      <c r="C2228" s="65" t="s">
        <v>281</v>
      </c>
      <c r="D2228" s="579"/>
      <c r="E2228" s="583"/>
      <c r="F2228" s="596"/>
      <c r="G2228" s="65">
        <v>0</v>
      </c>
      <c r="H2228" s="591" t="s">
        <v>280</v>
      </c>
      <c r="I2228" s="591" t="s">
        <v>280</v>
      </c>
    </row>
    <row r="2229" spans="1:9">
      <c r="A2229" s="582" t="s">
        <v>51</v>
      </c>
      <c r="B2229" s="65">
        <v>2427</v>
      </c>
      <c r="C2229" s="579" t="s">
        <v>755</v>
      </c>
      <c r="D2229" s="63">
        <v>10691</v>
      </c>
      <c r="E2229" s="583"/>
      <c r="F2229" s="585">
        <v>45535</v>
      </c>
      <c r="G2229" s="65">
        <v>1</v>
      </c>
      <c r="H2229" s="591" t="s">
        <v>1975</v>
      </c>
      <c r="I2229" s="591" t="s">
        <v>51</v>
      </c>
    </row>
    <row r="2230" spans="1:9">
      <c r="A2230" s="580" t="s">
        <v>51</v>
      </c>
      <c r="B2230" s="65">
        <v>2428</v>
      </c>
      <c r="C2230" s="65" t="s">
        <v>281</v>
      </c>
      <c r="D2230" s="65"/>
      <c r="E2230" s="583"/>
      <c r="F2230" s="596"/>
      <c r="G2230" s="65">
        <v>0</v>
      </c>
      <c r="H2230" s="591" t="s">
        <v>280</v>
      </c>
      <c r="I2230" s="591" t="s">
        <v>280</v>
      </c>
    </row>
    <row r="2231" spans="1:9">
      <c r="A2231" s="580" t="s">
        <v>51</v>
      </c>
      <c r="B2231" s="65">
        <v>2429</v>
      </c>
      <c r="C2231" s="65" t="s">
        <v>1755</v>
      </c>
      <c r="D2231" s="65">
        <v>10860</v>
      </c>
      <c r="E2231" s="583"/>
      <c r="F2231" s="585">
        <v>45535</v>
      </c>
      <c r="G2231" s="65">
        <v>1</v>
      </c>
      <c r="H2231" s="591" t="s">
        <v>1975</v>
      </c>
      <c r="I2231" s="591" t="s">
        <v>51</v>
      </c>
    </row>
    <row r="2232" spans="1:9">
      <c r="A2232" s="580" t="s">
        <v>51</v>
      </c>
      <c r="B2232" s="65">
        <v>2430</v>
      </c>
      <c r="C2232" s="65" t="s">
        <v>1756</v>
      </c>
      <c r="D2232" s="65">
        <v>10882</v>
      </c>
      <c r="E2232" s="583"/>
      <c r="F2232" s="585">
        <v>45535</v>
      </c>
      <c r="G2232" s="65">
        <v>1</v>
      </c>
      <c r="H2232" s="591" t="s">
        <v>1975</v>
      </c>
      <c r="I2232" s="591" t="s">
        <v>51</v>
      </c>
    </row>
    <row r="2233" spans="1:9">
      <c r="A2233" s="582" t="s">
        <v>51</v>
      </c>
      <c r="B2233" s="65">
        <v>2431</v>
      </c>
      <c r="C2233" s="65" t="s">
        <v>1757</v>
      </c>
      <c r="D2233" s="65">
        <v>10969</v>
      </c>
      <c r="E2233" s="583"/>
      <c r="F2233" s="585">
        <v>45535</v>
      </c>
      <c r="G2233" s="65">
        <v>1</v>
      </c>
      <c r="H2233" s="591" t="s">
        <v>1975</v>
      </c>
      <c r="I2233" s="591" t="s">
        <v>51</v>
      </c>
    </row>
    <row r="2234" spans="1:9">
      <c r="A2234" s="582" t="s">
        <v>51</v>
      </c>
      <c r="B2234" s="65">
        <v>2432</v>
      </c>
      <c r="C2234" s="65" t="s">
        <v>1758</v>
      </c>
      <c r="D2234" s="65">
        <v>10970</v>
      </c>
      <c r="E2234" s="583"/>
      <c r="F2234" s="585">
        <v>45535</v>
      </c>
      <c r="G2234" s="65">
        <v>1</v>
      </c>
      <c r="H2234" s="591" t="s">
        <v>1975</v>
      </c>
      <c r="I2234" s="591" t="s">
        <v>51</v>
      </c>
    </row>
    <row r="2235" spans="1:9">
      <c r="A2235" s="582" t="s">
        <v>51</v>
      </c>
      <c r="B2235" s="65">
        <v>2433</v>
      </c>
      <c r="C2235" s="65" t="s">
        <v>1759</v>
      </c>
      <c r="D2235" s="65">
        <v>11030</v>
      </c>
      <c r="E2235" s="583"/>
      <c r="F2235" s="585">
        <v>45535</v>
      </c>
      <c r="G2235" s="65">
        <v>1</v>
      </c>
      <c r="H2235" s="591" t="s">
        <v>280</v>
      </c>
      <c r="I2235" s="591" t="s">
        <v>280</v>
      </c>
    </row>
    <row r="2236" spans="1:9">
      <c r="A2236" s="582" t="s">
        <v>51</v>
      </c>
      <c r="B2236" s="65">
        <v>2434</v>
      </c>
      <c r="C2236" s="65" t="s">
        <v>281</v>
      </c>
      <c r="D2236" s="65"/>
      <c r="E2236" s="583"/>
      <c r="F2236" s="596"/>
      <c r="G2236" s="65">
        <v>0</v>
      </c>
      <c r="H2236" s="591" t="s">
        <v>280</v>
      </c>
      <c r="I2236" s="591" t="s">
        <v>280</v>
      </c>
    </row>
    <row r="2237" spans="1:9" ht="14.25">
      <c r="A2237" s="580" t="s">
        <v>51</v>
      </c>
      <c r="B2237" s="65">
        <v>2435</v>
      </c>
      <c r="C2237" s="65" t="s">
        <v>2040</v>
      </c>
      <c r="D2237" s="65">
        <v>11078</v>
      </c>
      <c r="E2237" s="587"/>
      <c r="F2237" s="600">
        <v>45675</v>
      </c>
      <c r="G2237" s="65">
        <v>1</v>
      </c>
      <c r="H2237" s="591" t="s">
        <v>280</v>
      </c>
      <c r="I2237" s="591" t="s">
        <v>280</v>
      </c>
    </row>
    <row r="2238" spans="1:9">
      <c r="A2238" s="582" t="s">
        <v>51</v>
      </c>
      <c r="B2238" s="65">
        <v>2436</v>
      </c>
      <c r="C2238" s="579" t="s">
        <v>281</v>
      </c>
      <c r="D2238" s="579"/>
      <c r="E2238" s="583"/>
      <c r="F2238" s="596"/>
      <c r="G2238" s="65">
        <v>0</v>
      </c>
      <c r="H2238" s="591" t="s">
        <v>280</v>
      </c>
      <c r="I2238" s="591" t="s">
        <v>280</v>
      </c>
    </row>
    <row r="2239" spans="1:9">
      <c r="A2239" s="582" t="s">
        <v>51</v>
      </c>
      <c r="B2239" s="65">
        <v>2437</v>
      </c>
      <c r="C2239" s="579" t="s">
        <v>281</v>
      </c>
      <c r="D2239" s="579"/>
      <c r="E2239" s="583"/>
      <c r="F2239" s="596"/>
      <c r="G2239" s="65">
        <v>0</v>
      </c>
      <c r="H2239" s="591" t="s">
        <v>280</v>
      </c>
      <c r="I2239" s="591" t="s">
        <v>280</v>
      </c>
    </row>
    <row r="2240" spans="1:9">
      <c r="A2240" s="582" t="s">
        <v>51</v>
      </c>
      <c r="B2240" s="65">
        <v>2438</v>
      </c>
      <c r="C2240" s="579" t="s">
        <v>281</v>
      </c>
      <c r="D2240" s="579"/>
      <c r="E2240" s="583"/>
      <c r="F2240" s="596"/>
      <c r="G2240" s="65">
        <v>0</v>
      </c>
      <c r="H2240" s="591" t="s">
        <v>280</v>
      </c>
      <c r="I2240" s="591" t="s">
        <v>280</v>
      </c>
    </row>
    <row r="2241" spans="1:9">
      <c r="A2241" s="582" t="s">
        <v>51</v>
      </c>
      <c r="B2241" s="65">
        <v>2439</v>
      </c>
      <c r="C2241" s="579" t="s">
        <v>281</v>
      </c>
      <c r="D2241" s="579"/>
      <c r="E2241" s="583"/>
      <c r="F2241" s="596"/>
      <c r="G2241" s="65">
        <v>0</v>
      </c>
      <c r="H2241" s="591" t="s">
        <v>280</v>
      </c>
      <c r="I2241" s="591" t="s">
        <v>280</v>
      </c>
    </row>
    <row r="2242" spans="1:9">
      <c r="A2242" s="582" t="s">
        <v>51</v>
      </c>
      <c r="B2242" s="65">
        <v>2440</v>
      </c>
      <c r="C2242" s="579" t="s">
        <v>281</v>
      </c>
      <c r="D2242" s="579"/>
      <c r="E2242" s="583"/>
      <c r="F2242" s="596"/>
      <c r="G2242" s="65">
        <v>0</v>
      </c>
      <c r="H2242" s="591" t="s">
        <v>280</v>
      </c>
      <c r="I2242" s="591" t="s">
        <v>280</v>
      </c>
    </row>
    <row r="2243" spans="1:9">
      <c r="A2243" s="582" t="s">
        <v>51</v>
      </c>
      <c r="B2243" s="65">
        <v>2441</v>
      </c>
      <c r="C2243" s="579" t="s">
        <v>281</v>
      </c>
      <c r="D2243" s="579"/>
      <c r="E2243" s="583"/>
      <c r="F2243" s="596"/>
      <c r="G2243" s="65">
        <v>0</v>
      </c>
      <c r="H2243" s="591" t="s">
        <v>280</v>
      </c>
      <c r="I2243" s="591" t="s">
        <v>280</v>
      </c>
    </row>
    <row r="2244" spans="1:9">
      <c r="A2244" s="582" t="s">
        <v>51</v>
      </c>
      <c r="B2244" s="65">
        <v>2442</v>
      </c>
      <c r="C2244" s="579" t="s">
        <v>281</v>
      </c>
      <c r="D2244" s="579"/>
      <c r="E2244" s="583"/>
      <c r="F2244" s="596"/>
      <c r="G2244" s="65">
        <v>0</v>
      </c>
      <c r="H2244" s="591" t="s">
        <v>280</v>
      </c>
      <c r="I2244" s="591" t="s">
        <v>280</v>
      </c>
    </row>
    <row r="2245" spans="1:9">
      <c r="A2245" s="582" t="s">
        <v>51</v>
      </c>
      <c r="B2245" s="65">
        <v>2443</v>
      </c>
      <c r="C2245" s="579" t="s">
        <v>281</v>
      </c>
      <c r="D2245" s="579"/>
      <c r="E2245" s="583"/>
      <c r="F2245" s="596"/>
      <c r="G2245" s="65">
        <v>0</v>
      </c>
      <c r="H2245" s="591" t="s">
        <v>280</v>
      </c>
      <c r="I2245" s="591" t="s">
        <v>280</v>
      </c>
    </row>
    <row r="2246" spans="1:9">
      <c r="A2246" s="582" t="s">
        <v>51</v>
      </c>
      <c r="B2246" s="65">
        <v>2444</v>
      </c>
      <c r="C2246" s="579" t="s">
        <v>281</v>
      </c>
      <c r="D2246" s="579"/>
      <c r="E2246" s="583"/>
      <c r="F2246" s="596"/>
      <c r="G2246" s="65">
        <v>0</v>
      </c>
      <c r="H2246" s="591" t="s">
        <v>280</v>
      </c>
      <c r="I2246" s="591" t="s">
        <v>280</v>
      </c>
    </row>
    <row r="2247" spans="1:9">
      <c r="A2247" s="582" t="s">
        <v>51</v>
      </c>
      <c r="B2247" s="65">
        <v>2445</v>
      </c>
      <c r="C2247" s="579" t="s">
        <v>281</v>
      </c>
      <c r="D2247" s="579"/>
      <c r="E2247" s="583"/>
      <c r="F2247" s="596"/>
      <c r="G2247" s="65">
        <v>0</v>
      </c>
      <c r="H2247" s="591" t="s">
        <v>280</v>
      </c>
      <c r="I2247" s="591" t="s">
        <v>280</v>
      </c>
    </row>
    <row r="2248" spans="1:9">
      <c r="A2248" s="582" t="s">
        <v>51</v>
      </c>
      <c r="B2248" s="65">
        <v>2446</v>
      </c>
      <c r="C2248" s="579" t="s">
        <v>281</v>
      </c>
      <c r="D2248" s="579"/>
      <c r="E2248" s="583"/>
      <c r="F2248" s="596"/>
      <c r="G2248" s="65">
        <v>0</v>
      </c>
      <c r="H2248" s="591" t="s">
        <v>280</v>
      </c>
      <c r="I2248" s="591" t="s">
        <v>280</v>
      </c>
    </row>
    <row r="2249" spans="1:9">
      <c r="A2249" s="582" t="s">
        <v>51</v>
      </c>
      <c r="B2249" s="65">
        <v>2447</v>
      </c>
      <c r="C2249" s="579" t="s">
        <v>281</v>
      </c>
      <c r="D2249" s="579"/>
      <c r="E2249" s="583"/>
      <c r="F2249" s="596"/>
      <c r="G2249" s="65">
        <v>0</v>
      </c>
      <c r="H2249" s="591" t="s">
        <v>280</v>
      </c>
      <c r="I2249" s="591" t="s">
        <v>280</v>
      </c>
    </row>
    <row r="2250" spans="1:9">
      <c r="A2250" s="582" t="s">
        <v>51</v>
      </c>
      <c r="B2250" s="65">
        <v>2448</v>
      </c>
      <c r="C2250" s="579" t="s">
        <v>281</v>
      </c>
      <c r="D2250" s="579"/>
      <c r="E2250" s="583"/>
      <c r="F2250" s="596"/>
      <c r="G2250" s="65">
        <v>0</v>
      </c>
      <c r="H2250" s="591" t="s">
        <v>280</v>
      </c>
      <c r="I2250" s="591" t="s">
        <v>280</v>
      </c>
    </row>
    <row r="2251" spans="1:9">
      <c r="A2251" s="582" t="s">
        <v>51</v>
      </c>
      <c r="B2251" s="65">
        <v>2449</v>
      </c>
      <c r="C2251" s="579" t="s">
        <v>281</v>
      </c>
      <c r="D2251" s="579"/>
      <c r="E2251" s="583"/>
      <c r="F2251" s="596"/>
      <c r="G2251" s="65">
        <v>0</v>
      </c>
      <c r="H2251" s="591" t="s">
        <v>280</v>
      </c>
      <c r="I2251" s="591" t="s">
        <v>280</v>
      </c>
    </row>
    <row r="2252" spans="1:9">
      <c r="A2252" s="582" t="s">
        <v>51</v>
      </c>
      <c r="B2252" s="65">
        <v>2450</v>
      </c>
      <c r="C2252" s="579" t="s">
        <v>281</v>
      </c>
      <c r="D2252" s="579"/>
      <c r="E2252" s="583"/>
      <c r="F2252" s="596"/>
      <c r="G2252" s="65">
        <v>0</v>
      </c>
      <c r="H2252" s="591" t="s">
        <v>280</v>
      </c>
      <c r="I2252" s="591" t="s">
        <v>280</v>
      </c>
    </row>
    <row r="2253" spans="1:9">
      <c r="A2253" s="582" t="s">
        <v>51</v>
      </c>
      <c r="B2253" s="65">
        <v>2451</v>
      </c>
      <c r="C2253" s="579" t="s">
        <v>281</v>
      </c>
      <c r="D2253" s="579"/>
      <c r="E2253" s="583"/>
      <c r="F2253" s="596"/>
      <c r="G2253" s="65">
        <v>0</v>
      </c>
      <c r="H2253" s="591" t="s">
        <v>280</v>
      </c>
      <c r="I2253" s="591" t="s">
        <v>280</v>
      </c>
    </row>
    <row r="2254" spans="1:9">
      <c r="A2254" s="582" t="s">
        <v>51</v>
      </c>
      <c r="B2254" s="65">
        <v>2452</v>
      </c>
      <c r="C2254" s="579" t="s">
        <v>281</v>
      </c>
      <c r="D2254" s="579"/>
      <c r="E2254" s="583"/>
      <c r="F2254" s="596"/>
      <c r="G2254" s="65">
        <v>0</v>
      </c>
      <c r="H2254" s="591" t="s">
        <v>280</v>
      </c>
      <c r="I2254" s="591" t="s">
        <v>280</v>
      </c>
    </row>
    <row r="2255" spans="1:9">
      <c r="A2255" s="582" t="s">
        <v>51</v>
      </c>
      <c r="B2255" s="65">
        <v>2453</v>
      </c>
      <c r="C2255" s="579" t="s">
        <v>281</v>
      </c>
      <c r="D2255" s="579"/>
      <c r="E2255" s="583"/>
      <c r="F2255" s="596"/>
      <c r="G2255" s="65">
        <v>0</v>
      </c>
      <c r="H2255" s="591" t="s">
        <v>280</v>
      </c>
      <c r="I2255" s="591" t="s">
        <v>280</v>
      </c>
    </row>
    <row r="2256" spans="1:9">
      <c r="A2256" s="582" t="s">
        <v>51</v>
      </c>
      <c r="B2256" s="65">
        <v>2454</v>
      </c>
      <c r="C2256" s="579" t="s">
        <v>281</v>
      </c>
      <c r="D2256" s="579"/>
      <c r="E2256" s="583"/>
      <c r="F2256" s="596"/>
      <c r="G2256" s="65">
        <v>0</v>
      </c>
      <c r="H2256" s="591" t="s">
        <v>280</v>
      </c>
      <c r="I2256" s="591" t="s">
        <v>280</v>
      </c>
    </row>
    <row r="2257" spans="1:9">
      <c r="A2257" s="582" t="s">
        <v>51</v>
      </c>
      <c r="B2257" s="65">
        <v>2455</v>
      </c>
      <c r="C2257" s="579" t="s">
        <v>281</v>
      </c>
      <c r="D2257" s="579"/>
      <c r="E2257" s="583"/>
      <c r="F2257" s="596"/>
      <c r="G2257" s="65">
        <v>0</v>
      </c>
      <c r="H2257" s="591" t="s">
        <v>280</v>
      </c>
      <c r="I2257" s="591" t="s">
        <v>280</v>
      </c>
    </row>
    <row r="2258" spans="1:9">
      <c r="A2258" s="582" t="s">
        <v>51</v>
      </c>
      <c r="B2258" s="65">
        <v>2456</v>
      </c>
      <c r="C2258" s="579" t="s">
        <v>281</v>
      </c>
      <c r="D2258" s="579"/>
      <c r="E2258" s="583"/>
      <c r="F2258" s="596"/>
      <c r="G2258" s="65">
        <v>0</v>
      </c>
      <c r="H2258" s="591" t="s">
        <v>280</v>
      </c>
      <c r="I2258" s="591" t="s">
        <v>280</v>
      </c>
    </row>
    <row r="2259" spans="1:9">
      <c r="A2259" s="582" t="s">
        <v>51</v>
      </c>
      <c r="B2259" s="65">
        <v>2457</v>
      </c>
      <c r="C2259" s="579" t="s">
        <v>281</v>
      </c>
      <c r="D2259" s="579"/>
      <c r="E2259" s="583"/>
      <c r="F2259" s="596"/>
      <c r="G2259" s="65">
        <v>0</v>
      </c>
      <c r="H2259" s="591" t="s">
        <v>280</v>
      </c>
      <c r="I2259" s="591" t="s">
        <v>280</v>
      </c>
    </row>
    <row r="2260" spans="1:9">
      <c r="A2260" s="582" t="s">
        <v>51</v>
      </c>
      <c r="B2260" s="65">
        <v>2458</v>
      </c>
      <c r="C2260" s="579" t="s">
        <v>281</v>
      </c>
      <c r="D2260" s="579"/>
      <c r="E2260" s="583"/>
      <c r="F2260" s="596"/>
      <c r="G2260" s="65">
        <v>0</v>
      </c>
      <c r="H2260" s="591" t="s">
        <v>280</v>
      </c>
      <c r="I2260" s="591" t="s">
        <v>280</v>
      </c>
    </row>
    <row r="2261" spans="1:9">
      <c r="A2261" s="582" t="s">
        <v>51</v>
      </c>
      <c r="B2261" s="65">
        <v>2459</v>
      </c>
      <c r="C2261" s="579" t="s">
        <v>281</v>
      </c>
      <c r="D2261" s="579"/>
      <c r="E2261" s="583"/>
      <c r="F2261" s="596"/>
      <c r="G2261" s="65">
        <v>0</v>
      </c>
      <c r="H2261" s="591" t="s">
        <v>280</v>
      </c>
      <c r="I2261" s="591" t="s">
        <v>280</v>
      </c>
    </row>
    <row r="2262" spans="1:9">
      <c r="A2262" s="582" t="s">
        <v>51</v>
      </c>
      <c r="B2262" s="65">
        <v>2460</v>
      </c>
      <c r="C2262" s="579" t="s">
        <v>281</v>
      </c>
      <c r="D2262" s="579"/>
      <c r="E2262" s="583"/>
      <c r="F2262" s="596"/>
      <c r="G2262" s="65">
        <v>0</v>
      </c>
      <c r="H2262" s="591" t="s">
        <v>280</v>
      </c>
      <c r="I2262" s="591" t="s">
        <v>280</v>
      </c>
    </row>
    <row r="2263" spans="1:9">
      <c r="A2263" s="582" t="s">
        <v>51</v>
      </c>
      <c r="B2263" s="65">
        <v>2461</v>
      </c>
      <c r="C2263" s="579" t="s">
        <v>281</v>
      </c>
      <c r="D2263" s="579"/>
      <c r="E2263" s="583"/>
      <c r="F2263" s="596"/>
      <c r="G2263" s="65">
        <v>0</v>
      </c>
      <c r="H2263" s="591" t="s">
        <v>280</v>
      </c>
      <c r="I2263" s="591" t="s">
        <v>280</v>
      </c>
    </row>
    <row r="2264" spans="1:9">
      <c r="A2264" s="582" t="s">
        <v>51</v>
      </c>
      <c r="B2264" s="65">
        <v>2462</v>
      </c>
      <c r="C2264" s="579" t="s">
        <v>281</v>
      </c>
      <c r="D2264" s="579"/>
      <c r="E2264" s="583"/>
      <c r="F2264" s="596"/>
      <c r="G2264" s="65">
        <v>0</v>
      </c>
      <c r="H2264" s="591" t="s">
        <v>280</v>
      </c>
      <c r="I2264" s="591" t="s">
        <v>280</v>
      </c>
    </row>
    <row r="2265" spans="1:9">
      <c r="A2265" s="582" t="s">
        <v>51</v>
      </c>
      <c r="B2265" s="65">
        <v>2463</v>
      </c>
      <c r="C2265" s="579" t="s">
        <v>281</v>
      </c>
      <c r="D2265" s="579"/>
      <c r="E2265" s="583"/>
      <c r="F2265" s="596"/>
      <c r="G2265" s="65">
        <v>0</v>
      </c>
      <c r="H2265" s="591" t="s">
        <v>280</v>
      </c>
      <c r="I2265" s="591" t="s">
        <v>280</v>
      </c>
    </row>
    <row r="2266" spans="1:9">
      <c r="A2266" s="582" t="s">
        <v>51</v>
      </c>
      <c r="B2266" s="65">
        <v>2464</v>
      </c>
      <c r="C2266" s="579" t="s">
        <v>281</v>
      </c>
      <c r="D2266" s="579"/>
      <c r="E2266" s="583"/>
      <c r="F2266" s="596"/>
      <c r="G2266" s="65">
        <v>0</v>
      </c>
      <c r="H2266" s="591" t="s">
        <v>280</v>
      </c>
      <c r="I2266" s="591" t="s">
        <v>280</v>
      </c>
    </row>
    <row r="2267" spans="1:9">
      <c r="A2267" s="582" t="s">
        <v>51</v>
      </c>
      <c r="B2267" s="65">
        <v>2465</v>
      </c>
      <c r="C2267" s="579" t="s">
        <v>281</v>
      </c>
      <c r="D2267" s="579"/>
      <c r="E2267" s="583"/>
      <c r="F2267" s="596"/>
      <c r="G2267" s="65">
        <v>0</v>
      </c>
      <c r="H2267" s="591" t="s">
        <v>280</v>
      </c>
      <c r="I2267" s="591" t="s">
        <v>280</v>
      </c>
    </row>
    <row r="2268" spans="1:9">
      <c r="A2268" s="582" t="s">
        <v>51</v>
      </c>
      <c r="B2268" s="65">
        <v>2466</v>
      </c>
      <c r="C2268" s="579" t="s">
        <v>281</v>
      </c>
      <c r="D2268" s="579"/>
      <c r="E2268" s="583"/>
      <c r="F2268" s="596"/>
      <c r="G2268" s="65">
        <v>0</v>
      </c>
      <c r="H2268" s="591" t="s">
        <v>280</v>
      </c>
      <c r="I2268" s="591" t="s">
        <v>280</v>
      </c>
    </row>
    <row r="2269" spans="1:9">
      <c r="A2269" s="582" t="s">
        <v>51</v>
      </c>
      <c r="B2269" s="65">
        <v>2467</v>
      </c>
      <c r="C2269" s="579" t="s">
        <v>281</v>
      </c>
      <c r="D2269" s="579"/>
      <c r="E2269" s="583"/>
      <c r="F2269" s="596"/>
      <c r="G2269" s="65">
        <v>0</v>
      </c>
      <c r="H2269" s="591" t="s">
        <v>280</v>
      </c>
      <c r="I2269" s="591" t="s">
        <v>280</v>
      </c>
    </row>
    <row r="2270" spans="1:9">
      <c r="A2270" s="582" t="s">
        <v>51</v>
      </c>
      <c r="B2270" s="65">
        <v>2468</v>
      </c>
      <c r="C2270" s="579" t="s">
        <v>281</v>
      </c>
      <c r="D2270" s="579"/>
      <c r="E2270" s="583"/>
      <c r="F2270" s="596"/>
      <c r="G2270" s="65">
        <v>0</v>
      </c>
      <c r="H2270" s="591" t="s">
        <v>280</v>
      </c>
      <c r="I2270" s="591" t="s">
        <v>280</v>
      </c>
    </row>
    <row r="2271" spans="1:9">
      <c r="A2271" s="582" t="s">
        <v>51</v>
      </c>
      <c r="B2271" s="65">
        <v>2469</v>
      </c>
      <c r="C2271" s="579" t="s">
        <v>281</v>
      </c>
      <c r="D2271" s="579"/>
      <c r="E2271" s="583"/>
      <c r="F2271" s="596"/>
      <c r="G2271" s="65">
        <v>0</v>
      </c>
      <c r="H2271" s="591" t="s">
        <v>280</v>
      </c>
      <c r="I2271" s="591" t="s">
        <v>280</v>
      </c>
    </row>
    <row r="2272" spans="1:9">
      <c r="A2272" s="582" t="s">
        <v>51</v>
      </c>
      <c r="B2272" s="65">
        <v>2470</v>
      </c>
      <c r="C2272" s="579" t="s">
        <v>281</v>
      </c>
      <c r="D2272" s="579"/>
      <c r="E2272" s="583"/>
      <c r="F2272" s="596"/>
      <c r="G2272" s="65">
        <v>0</v>
      </c>
      <c r="H2272" s="591" t="s">
        <v>280</v>
      </c>
      <c r="I2272" s="591" t="s">
        <v>280</v>
      </c>
    </row>
    <row r="2273" spans="1:9">
      <c r="A2273" s="582" t="s">
        <v>51</v>
      </c>
      <c r="B2273" s="65">
        <v>2471</v>
      </c>
      <c r="C2273" s="579" t="s">
        <v>281</v>
      </c>
      <c r="D2273" s="579"/>
      <c r="E2273" s="583"/>
      <c r="F2273" s="596"/>
      <c r="G2273" s="65">
        <v>0</v>
      </c>
      <c r="H2273" s="591" t="s">
        <v>280</v>
      </c>
      <c r="I2273" s="591" t="s">
        <v>280</v>
      </c>
    </row>
    <row r="2274" spans="1:9">
      <c r="A2274" s="582" t="s">
        <v>51</v>
      </c>
      <c r="B2274" s="65">
        <v>2472</v>
      </c>
      <c r="C2274" s="579" t="s">
        <v>281</v>
      </c>
      <c r="D2274" s="579"/>
      <c r="E2274" s="583"/>
      <c r="F2274" s="596"/>
      <c r="G2274" s="65">
        <v>0</v>
      </c>
      <c r="H2274" s="591" t="s">
        <v>280</v>
      </c>
      <c r="I2274" s="591" t="s">
        <v>280</v>
      </c>
    </row>
    <row r="2275" spans="1:9">
      <c r="A2275" s="582" t="s">
        <v>51</v>
      </c>
      <c r="B2275" s="65">
        <v>2473</v>
      </c>
      <c r="C2275" s="579" t="s">
        <v>281</v>
      </c>
      <c r="D2275" s="579"/>
      <c r="E2275" s="583"/>
      <c r="F2275" s="596"/>
      <c r="G2275" s="65">
        <v>0</v>
      </c>
      <c r="H2275" s="591" t="s">
        <v>280</v>
      </c>
      <c r="I2275" s="591" t="s">
        <v>280</v>
      </c>
    </row>
    <row r="2276" spans="1:9">
      <c r="A2276" s="582" t="s">
        <v>51</v>
      </c>
      <c r="B2276" s="65">
        <v>2474</v>
      </c>
      <c r="C2276" s="579" t="s">
        <v>281</v>
      </c>
      <c r="D2276" s="579"/>
      <c r="E2276" s="583"/>
      <c r="F2276" s="596"/>
      <c r="G2276" s="65">
        <v>0</v>
      </c>
      <c r="H2276" s="591" t="s">
        <v>280</v>
      </c>
      <c r="I2276" s="591" t="s">
        <v>280</v>
      </c>
    </row>
    <row r="2277" spans="1:9">
      <c r="A2277" s="582" t="s">
        <v>51</v>
      </c>
      <c r="B2277" s="65">
        <v>2475</v>
      </c>
      <c r="C2277" s="579" t="s">
        <v>281</v>
      </c>
      <c r="D2277" s="579"/>
      <c r="E2277" s="583"/>
      <c r="F2277" s="596"/>
      <c r="G2277" s="65">
        <v>0</v>
      </c>
      <c r="H2277" s="591" t="s">
        <v>280</v>
      </c>
      <c r="I2277" s="591" t="s">
        <v>280</v>
      </c>
    </row>
    <row r="2278" spans="1:9">
      <c r="A2278" s="582" t="s">
        <v>51</v>
      </c>
      <c r="B2278" s="65">
        <v>2476</v>
      </c>
      <c r="C2278" s="579" t="s">
        <v>281</v>
      </c>
      <c r="D2278" s="579"/>
      <c r="E2278" s="583"/>
      <c r="F2278" s="596"/>
      <c r="G2278" s="65">
        <v>0</v>
      </c>
      <c r="H2278" s="591" t="s">
        <v>280</v>
      </c>
      <c r="I2278" s="591" t="s">
        <v>280</v>
      </c>
    </row>
    <row r="2279" spans="1:9">
      <c r="A2279" s="582" t="s">
        <v>51</v>
      </c>
      <c r="B2279" s="65">
        <v>2477</v>
      </c>
      <c r="C2279" s="579" t="s">
        <v>281</v>
      </c>
      <c r="D2279" s="579"/>
      <c r="E2279" s="583"/>
      <c r="F2279" s="596"/>
      <c r="G2279" s="65">
        <v>0</v>
      </c>
      <c r="H2279" s="591" t="s">
        <v>280</v>
      </c>
      <c r="I2279" s="591" t="s">
        <v>280</v>
      </c>
    </row>
    <row r="2280" spans="1:9">
      <c r="A2280" s="582" t="s">
        <v>51</v>
      </c>
      <c r="B2280" s="65">
        <v>2478</v>
      </c>
      <c r="C2280" s="579" t="s">
        <v>281</v>
      </c>
      <c r="D2280" s="579"/>
      <c r="E2280" s="583"/>
      <c r="F2280" s="596"/>
      <c r="G2280" s="65">
        <v>0</v>
      </c>
      <c r="H2280" s="591" t="s">
        <v>280</v>
      </c>
      <c r="I2280" s="591" t="s">
        <v>280</v>
      </c>
    </row>
    <row r="2281" spans="1:9">
      <c r="A2281" s="582" t="s">
        <v>51</v>
      </c>
      <c r="B2281" s="65">
        <v>2479</v>
      </c>
      <c r="C2281" s="579" t="s">
        <v>281</v>
      </c>
      <c r="D2281" s="579"/>
      <c r="E2281" s="583"/>
      <c r="F2281" s="596"/>
      <c r="G2281" s="65">
        <v>0</v>
      </c>
      <c r="H2281" s="591" t="s">
        <v>280</v>
      </c>
      <c r="I2281" s="591" t="s">
        <v>280</v>
      </c>
    </row>
    <row r="2282" spans="1:9">
      <c r="A2282" s="582" t="s">
        <v>51</v>
      </c>
      <c r="B2282" s="65">
        <v>2480</v>
      </c>
      <c r="C2282" s="579" t="s">
        <v>281</v>
      </c>
      <c r="D2282" s="579"/>
      <c r="E2282" s="583"/>
      <c r="F2282" s="596"/>
      <c r="G2282" s="65">
        <v>0</v>
      </c>
      <c r="H2282" s="591" t="s">
        <v>280</v>
      </c>
      <c r="I2282" s="591" t="s">
        <v>280</v>
      </c>
    </row>
    <row r="2283" spans="1:9">
      <c r="A2283" s="582" t="s">
        <v>51</v>
      </c>
      <c r="B2283" s="65">
        <v>2481</v>
      </c>
      <c r="C2283" s="579" t="s">
        <v>281</v>
      </c>
      <c r="D2283" s="579"/>
      <c r="E2283" s="583"/>
      <c r="F2283" s="596"/>
      <c r="G2283" s="65">
        <v>0</v>
      </c>
      <c r="H2283" s="591" t="s">
        <v>280</v>
      </c>
      <c r="I2283" s="591" t="s">
        <v>280</v>
      </c>
    </row>
    <row r="2284" spans="1:9">
      <c r="A2284" s="582" t="s">
        <v>51</v>
      </c>
      <c r="B2284" s="65">
        <v>2482</v>
      </c>
      <c r="C2284" s="579" t="s">
        <v>281</v>
      </c>
      <c r="D2284" s="579"/>
      <c r="E2284" s="583"/>
      <c r="F2284" s="596"/>
      <c r="G2284" s="65">
        <v>0</v>
      </c>
      <c r="H2284" s="591" t="s">
        <v>280</v>
      </c>
      <c r="I2284" s="591" t="s">
        <v>280</v>
      </c>
    </row>
    <row r="2285" spans="1:9">
      <c r="A2285" s="582" t="s">
        <v>51</v>
      </c>
      <c r="B2285" s="65">
        <v>2483</v>
      </c>
      <c r="C2285" s="579" t="s">
        <v>281</v>
      </c>
      <c r="D2285" s="579"/>
      <c r="E2285" s="583"/>
      <c r="F2285" s="596"/>
      <c r="G2285" s="65">
        <v>0</v>
      </c>
      <c r="H2285" s="591" t="s">
        <v>280</v>
      </c>
      <c r="I2285" s="591" t="s">
        <v>280</v>
      </c>
    </row>
    <row r="2286" spans="1:9">
      <c r="A2286" s="582" t="s">
        <v>51</v>
      </c>
      <c r="B2286" s="65">
        <v>2484</v>
      </c>
      <c r="C2286" s="579" t="s">
        <v>281</v>
      </c>
      <c r="D2286" s="579"/>
      <c r="E2286" s="583"/>
      <c r="F2286" s="596"/>
      <c r="G2286" s="65">
        <v>0</v>
      </c>
      <c r="H2286" s="591" t="s">
        <v>280</v>
      </c>
      <c r="I2286" s="591" t="s">
        <v>280</v>
      </c>
    </row>
    <row r="2287" spans="1:9">
      <c r="A2287" s="582" t="s">
        <v>51</v>
      </c>
      <c r="B2287" s="65">
        <v>2485</v>
      </c>
      <c r="C2287" s="579" t="s">
        <v>281</v>
      </c>
      <c r="D2287" s="579"/>
      <c r="E2287" s="583"/>
      <c r="F2287" s="596"/>
      <c r="G2287" s="65">
        <v>0</v>
      </c>
      <c r="H2287" s="591" t="s">
        <v>280</v>
      </c>
      <c r="I2287" s="591" t="s">
        <v>280</v>
      </c>
    </row>
    <row r="2288" spans="1:9">
      <c r="A2288" s="582" t="s">
        <v>51</v>
      </c>
      <c r="B2288" s="65">
        <v>2486</v>
      </c>
      <c r="C2288" s="579" t="s">
        <v>281</v>
      </c>
      <c r="D2288" s="579"/>
      <c r="E2288" s="583"/>
      <c r="F2288" s="596"/>
      <c r="G2288" s="65">
        <v>0</v>
      </c>
      <c r="H2288" s="591" t="s">
        <v>280</v>
      </c>
      <c r="I2288" s="591" t="s">
        <v>280</v>
      </c>
    </row>
    <row r="2289" spans="1:10">
      <c r="A2289" s="582" t="s">
        <v>51</v>
      </c>
      <c r="B2289" s="65">
        <v>2487</v>
      </c>
      <c r="C2289" s="579" t="s">
        <v>281</v>
      </c>
      <c r="D2289" s="579"/>
      <c r="E2289" s="583"/>
      <c r="F2289" s="596"/>
      <c r="G2289" s="65">
        <v>0</v>
      </c>
      <c r="H2289" s="591" t="s">
        <v>280</v>
      </c>
      <c r="I2289" s="591" t="s">
        <v>280</v>
      </c>
    </row>
    <row r="2290" spans="1:10">
      <c r="A2290" s="582" t="s">
        <v>51</v>
      </c>
      <c r="B2290" s="65">
        <v>2488</v>
      </c>
      <c r="C2290" s="579" t="s">
        <v>281</v>
      </c>
      <c r="D2290" s="579"/>
      <c r="E2290" s="583"/>
      <c r="F2290" s="596"/>
      <c r="G2290" s="65">
        <v>0</v>
      </c>
      <c r="H2290" s="591" t="s">
        <v>280</v>
      </c>
      <c r="I2290" s="591" t="s">
        <v>280</v>
      </c>
    </row>
    <row r="2291" spans="1:10">
      <c r="A2291" s="582" t="s">
        <v>51</v>
      </c>
      <c r="B2291" s="65">
        <v>2489</v>
      </c>
      <c r="C2291" s="579" t="s">
        <v>281</v>
      </c>
      <c r="D2291" s="579"/>
      <c r="E2291" s="583"/>
      <c r="F2291" s="596"/>
      <c r="G2291" s="65">
        <v>0</v>
      </c>
      <c r="H2291" s="591" t="s">
        <v>280</v>
      </c>
      <c r="I2291" s="591" t="s">
        <v>280</v>
      </c>
    </row>
    <row r="2292" spans="1:10">
      <c r="A2292" s="582" t="s">
        <v>51</v>
      </c>
      <c r="B2292" s="65">
        <v>2490</v>
      </c>
      <c r="C2292" s="579" t="s">
        <v>281</v>
      </c>
      <c r="D2292" s="579"/>
      <c r="E2292" s="583"/>
      <c r="F2292" s="596"/>
      <c r="G2292" s="65">
        <v>0</v>
      </c>
      <c r="H2292" s="591" t="s">
        <v>280</v>
      </c>
      <c r="I2292" s="591" t="s">
        <v>280</v>
      </c>
    </row>
    <row r="2293" spans="1:10">
      <c r="A2293" s="582" t="s">
        <v>51</v>
      </c>
      <c r="B2293" s="65">
        <v>2491</v>
      </c>
      <c r="C2293" s="579" t="s">
        <v>281</v>
      </c>
      <c r="D2293" s="579"/>
      <c r="E2293" s="583"/>
      <c r="F2293" s="596"/>
      <c r="G2293" s="65">
        <v>0</v>
      </c>
      <c r="H2293" s="591" t="s">
        <v>280</v>
      </c>
      <c r="I2293" s="591" t="s">
        <v>280</v>
      </c>
    </row>
    <row r="2294" spans="1:10">
      <c r="A2294" s="582" t="s">
        <v>51</v>
      </c>
      <c r="B2294" s="65">
        <v>2492</v>
      </c>
      <c r="C2294" s="579" t="s">
        <v>281</v>
      </c>
      <c r="D2294" s="579"/>
      <c r="E2294" s="583"/>
      <c r="F2294" s="596"/>
      <c r="G2294" s="65">
        <v>0</v>
      </c>
      <c r="H2294" s="591" t="s">
        <v>280</v>
      </c>
      <c r="I2294" s="591" t="s">
        <v>280</v>
      </c>
    </row>
    <row r="2295" spans="1:10">
      <c r="A2295" s="582" t="s">
        <v>51</v>
      </c>
      <c r="B2295" s="65">
        <v>2493</v>
      </c>
      <c r="C2295" s="579" t="s">
        <v>281</v>
      </c>
      <c r="D2295" s="579"/>
      <c r="E2295" s="583"/>
      <c r="F2295" s="596"/>
      <c r="G2295" s="65">
        <v>0</v>
      </c>
      <c r="H2295" s="591" t="s">
        <v>280</v>
      </c>
      <c r="I2295" s="591" t="s">
        <v>280</v>
      </c>
    </row>
    <row r="2296" spans="1:10">
      <c r="A2296" s="582" t="s">
        <v>51</v>
      </c>
      <c r="B2296" s="65">
        <v>2494</v>
      </c>
      <c r="C2296" s="579" t="s">
        <v>281</v>
      </c>
      <c r="D2296" s="579"/>
      <c r="E2296" s="583"/>
      <c r="F2296" s="596"/>
      <c r="G2296" s="65">
        <v>0</v>
      </c>
      <c r="H2296" s="591" t="s">
        <v>280</v>
      </c>
      <c r="I2296" s="591" t="s">
        <v>280</v>
      </c>
    </row>
    <row r="2297" spans="1:10">
      <c r="A2297" s="582" t="s">
        <v>51</v>
      </c>
      <c r="B2297" s="65">
        <v>2495</v>
      </c>
      <c r="C2297" s="579" t="s">
        <v>281</v>
      </c>
      <c r="D2297" s="579"/>
      <c r="E2297" s="583"/>
      <c r="F2297" s="596"/>
      <c r="G2297" s="65">
        <v>0</v>
      </c>
      <c r="H2297" s="591" t="s">
        <v>280</v>
      </c>
      <c r="I2297" s="591" t="s">
        <v>280</v>
      </c>
    </row>
    <row r="2298" spans="1:10">
      <c r="A2298" s="582" t="s">
        <v>51</v>
      </c>
      <c r="B2298" s="65">
        <v>2496</v>
      </c>
      <c r="C2298" s="579" t="s">
        <v>281</v>
      </c>
      <c r="D2298" s="579"/>
      <c r="E2298" s="583"/>
      <c r="F2298" s="596"/>
      <c r="G2298" s="65">
        <v>0</v>
      </c>
      <c r="H2298" s="591" t="s">
        <v>280</v>
      </c>
      <c r="I2298" s="591" t="s">
        <v>280</v>
      </c>
    </row>
    <row r="2299" spans="1:10">
      <c r="A2299" s="582" t="s">
        <v>51</v>
      </c>
      <c r="B2299" s="65">
        <v>2497</v>
      </c>
      <c r="C2299" s="579" t="s">
        <v>281</v>
      </c>
      <c r="D2299" s="579"/>
      <c r="E2299" s="583"/>
      <c r="F2299" s="596"/>
      <c r="G2299" s="65">
        <v>0</v>
      </c>
      <c r="H2299" s="591" t="s">
        <v>280</v>
      </c>
      <c r="I2299" s="591" t="s">
        <v>280</v>
      </c>
    </row>
    <row r="2300" spans="1:10">
      <c r="A2300" s="582" t="s">
        <v>51</v>
      </c>
      <c r="B2300" s="65">
        <v>2498</v>
      </c>
      <c r="C2300" s="579" t="s">
        <v>281</v>
      </c>
      <c r="D2300" s="579"/>
      <c r="E2300" s="583"/>
      <c r="F2300" s="596"/>
      <c r="G2300" s="65">
        <v>0</v>
      </c>
      <c r="H2300" s="591" t="s">
        <v>280</v>
      </c>
      <c r="I2300" s="591" t="s">
        <v>280</v>
      </c>
    </row>
    <row r="2301" spans="1:10">
      <c r="A2301" s="582" t="s">
        <v>51</v>
      </c>
      <c r="B2301" s="65">
        <v>2499</v>
      </c>
      <c r="C2301" s="579" t="s">
        <v>281</v>
      </c>
      <c r="D2301" s="579"/>
      <c r="E2301" s="583"/>
      <c r="F2301" s="596"/>
      <c r="G2301" s="65">
        <v>0</v>
      </c>
      <c r="H2301" s="591" t="s">
        <v>280</v>
      </c>
      <c r="I2301" s="591" t="s">
        <v>280</v>
      </c>
    </row>
    <row r="2302" spans="1:10">
      <c r="A2302" s="582" t="s">
        <v>491</v>
      </c>
      <c r="B2302" s="65">
        <v>2500</v>
      </c>
      <c r="C2302" s="579" t="s">
        <v>279</v>
      </c>
      <c r="D2302" s="579"/>
      <c r="E2302" s="583"/>
      <c r="F2302" s="585">
        <v>45535</v>
      </c>
      <c r="G2302" s="65">
        <v>1</v>
      </c>
      <c r="H2302" s="591" t="s">
        <v>280</v>
      </c>
      <c r="I2302" s="591" t="s">
        <v>280</v>
      </c>
    </row>
    <row r="2303" spans="1:10">
      <c r="A2303" s="582" t="s">
        <v>491</v>
      </c>
      <c r="B2303" s="65">
        <v>2501</v>
      </c>
      <c r="C2303" s="65" t="s">
        <v>492</v>
      </c>
      <c r="D2303" s="579">
        <v>10611</v>
      </c>
      <c r="E2303" s="583"/>
      <c r="F2303" s="585">
        <v>45535</v>
      </c>
      <c r="G2303" s="65">
        <v>1</v>
      </c>
      <c r="H2303" s="591" t="s">
        <v>1977</v>
      </c>
      <c r="I2303" s="591" t="s">
        <v>1225</v>
      </c>
      <c r="J2303" s="57"/>
    </row>
    <row r="2304" spans="1:10">
      <c r="A2304" s="582" t="s">
        <v>491</v>
      </c>
      <c r="B2304" s="65">
        <v>2502</v>
      </c>
      <c r="C2304" s="65" t="s">
        <v>493</v>
      </c>
      <c r="D2304" s="63">
        <v>10167</v>
      </c>
      <c r="E2304" s="583"/>
      <c r="F2304" s="585">
        <v>45535</v>
      </c>
      <c r="G2304" s="65">
        <v>1</v>
      </c>
      <c r="H2304" s="591" t="s">
        <v>1977</v>
      </c>
      <c r="I2304" s="591" t="s">
        <v>1225</v>
      </c>
      <c r="J2304" s="57"/>
    </row>
    <row r="2305" spans="1:10">
      <c r="A2305" s="582" t="s">
        <v>491</v>
      </c>
      <c r="B2305" s="65">
        <v>2503</v>
      </c>
      <c r="C2305" s="65" t="s">
        <v>281</v>
      </c>
      <c r="D2305" s="579"/>
      <c r="E2305" s="583"/>
      <c r="F2305" s="596"/>
      <c r="G2305" s="65">
        <v>0</v>
      </c>
      <c r="H2305" s="591" t="s">
        <v>280</v>
      </c>
      <c r="I2305" s="591" t="s">
        <v>280</v>
      </c>
      <c r="J2305" s="57"/>
    </row>
    <row r="2306" spans="1:10">
      <c r="A2306" s="582" t="s">
        <v>491</v>
      </c>
      <c r="B2306" s="65">
        <v>2504</v>
      </c>
      <c r="C2306" s="65" t="s">
        <v>281</v>
      </c>
      <c r="D2306" s="65"/>
      <c r="E2306" s="583"/>
      <c r="F2306" s="596"/>
      <c r="G2306" s="65">
        <v>0</v>
      </c>
      <c r="H2306" s="591" t="s">
        <v>280</v>
      </c>
      <c r="I2306" s="591" t="s">
        <v>280</v>
      </c>
      <c r="J2306" s="57"/>
    </row>
    <row r="2307" spans="1:10">
      <c r="A2307" s="582" t="s">
        <v>491</v>
      </c>
      <c r="B2307" s="65">
        <v>2505</v>
      </c>
      <c r="C2307" s="65" t="s">
        <v>281</v>
      </c>
      <c r="D2307" s="65"/>
      <c r="E2307" s="583"/>
      <c r="F2307" s="596"/>
      <c r="G2307" s="65">
        <v>0</v>
      </c>
      <c r="H2307" s="591" t="s">
        <v>280</v>
      </c>
      <c r="I2307" s="591" t="s">
        <v>280</v>
      </c>
      <c r="J2307" s="57"/>
    </row>
    <row r="2308" spans="1:10">
      <c r="A2308" s="582" t="s">
        <v>491</v>
      </c>
      <c r="B2308" s="65">
        <v>2506</v>
      </c>
      <c r="C2308" s="65" t="s">
        <v>281</v>
      </c>
      <c r="D2308" s="65"/>
      <c r="E2308" s="583"/>
      <c r="F2308" s="596"/>
      <c r="G2308" s="65">
        <v>0</v>
      </c>
      <c r="H2308" s="591" t="s">
        <v>280</v>
      </c>
      <c r="I2308" s="591" t="s">
        <v>280</v>
      </c>
      <c r="J2308" s="57"/>
    </row>
    <row r="2309" spans="1:10" ht="13.5">
      <c r="A2309" s="582" t="s">
        <v>491</v>
      </c>
      <c r="B2309" s="65">
        <v>2507</v>
      </c>
      <c r="C2309" s="65" t="s">
        <v>281</v>
      </c>
      <c r="D2309" s="65"/>
      <c r="E2309" s="65"/>
      <c r="F2309" s="596"/>
      <c r="G2309" s="65">
        <v>0</v>
      </c>
      <c r="H2309" s="591" t="s">
        <v>280</v>
      </c>
      <c r="I2309" s="591" t="s">
        <v>280</v>
      </c>
      <c r="J2309" s="57"/>
    </row>
    <row r="2310" spans="1:10">
      <c r="A2310" s="582" t="s">
        <v>491</v>
      </c>
      <c r="B2310" s="65">
        <v>2508</v>
      </c>
      <c r="C2310" s="65" t="s">
        <v>281</v>
      </c>
      <c r="D2310" s="65"/>
      <c r="E2310" s="583"/>
      <c r="F2310" s="596"/>
      <c r="G2310" s="65">
        <v>0</v>
      </c>
      <c r="H2310" s="591" t="s">
        <v>280</v>
      </c>
      <c r="I2310" s="591" t="s">
        <v>280</v>
      </c>
      <c r="J2310" s="57"/>
    </row>
    <row r="2311" spans="1:10">
      <c r="A2311" s="582" t="s">
        <v>491</v>
      </c>
      <c r="B2311" s="65">
        <v>2509</v>
      </c>
      <c r="C2311" s="65" t="s">
        <v>281</v>
      </c>
      <c r="D2311" s="65"/>
      <c r="E2311" s="583"/>
      <c r="F2311" s="596"/>
      <c r="G2311" s="65">
        <v>0</v>
      </c>
      <c r="H2311" s="591" t="s">
        <v>280</v>
      </c>
      <c r="I2311" s="591" t="s">
        <v>280</v>
      </c>
      <c r="J2311" s="57"/>
    </row>
    <row r="2312" spans="1:10">
      <c r="A2312" s="582" t="s">
        <v>491</v>
      </c>
      <c r="B2312" s="65">
        <v>2510</v>
      </c>
      <c r="C2312" s="65" t="s">
        <v>281</v>
      </c>
      <c r="D2312" s="65"/>
      <c r="E2312" s="583"/>
      <c r="F2312" s="596"/>
      <c r="G2312" s="65">
        <v>0</v>
      </c>
      <c r="H2312" s="591" t="s">
        <v>280</v>
      </c>
      <c r="I2312" s="591" t="s">
        <v>280</v>
      </c>
      <c r="J2312" s="57"/>
    </row>
    <row r="2313" spans="1:10">
      <c r="A2313" s="582" t="s">
        <v>491</v>
      </c>
      <c r="B2313" s="65">
        <v>2511</v>
      </c>
      <c r="C2313" s="65" t="s">
        <v>281</v>
      </c>
      <c r="D2313" s="65"/>
      <c r="E2313" s="583"/>
      <c r="F2313" s="596"/>
      <c r="G2313" s="65">
        <v>0</v>
      </c>
      <c r="H2313" s="591" t="s">
        <v>280</v>
      </c>
      <c r="I2313" s="591" t="s">
        <v>280</v>
      </c>
      <c r="J2313" s="57"/>
    </row>
    <row r="2314" spans="1:10">
      <c r="A2314" s="582" t="s">
        <v>491</v>
      </c>
      <c r="B2314" s="65">
        <v>2512</v>
      </c>
      <c r="C2314" s="579" t="s">
        <v>281</v>
      </c>
      <c r="D2314" s="579"/>
      <c r="E2314" s="583"/>
      <c r="F2314" s="596"/>
      <c r="G2314" s="65">
        <v>0</v>
      </c>
      <c r="H2314" s="591" t="s">
        <v>280</v>
      </c>
      <c r="I2314" s="591" t="s">
        <v>280</v>
      </c>
    </row>
    <row r="2315" spans="1:10">
      <c r="A2315" s="580" t="s">
        <v>491</v>
      </c>
      <c r="B2315" s="65">
        <v>2513</v>
      </c>
      <c r="C2315" s="65" t="s">
        <v>1760</v>
      </c>
      <c r="D2315" s="579">
        <v>10767</v>
      </c>
      <c r="E2315" s="583"/>
      <c r="F2315" s="585">
        <v>45535</v>
      </c>
      <c r="G2315" s="65">
        <v>1</v>
      </c>
      <c r="H2315" s="591" t="s">
        <v>280</v>
      </c>
      <c r="I2315" s="591" t="s">
        <v>280</v>
      </c>
    </row>
    <row r="2316" spans="1:10">
      <c r="A2316" s="582" t="s">
        <v>491</v>
      </c>
      <c r="B2316" s="65">
        <v>2514</v>
      </c>
      <c r="C2316" s="65"/>
      <c r="D2316" s="579"/>
      <c r="E2316" s="583"/>
      <c r="F2316" s="596"/>
      <c r="G2316" s="65">
        <v>0</v>
      </c>
      <c r="H2316" s="591" t="s">
        <v>280</v>
      </c>
      <c r="I2316" s="591" t="s">
        <v>280</v>
      </c>
    </row>
    <row r="2317" spans="1:10">
      <c r="A2317" s="582" t="s">
        <v>491</v>
      </c>
      <c r="B2317" s="65">
        <v>2515</v>
      </c>
      <c r="C2317" s="582"/>
      <c r="D2317" s="582"/>
      <c r="E2317" s="583"/>
      <c r="F2317" s="596"/>
      <c r="G2317" s="65">
        <v>0</v>
      </c>
      <c r="H2317" s="591" t="s">
        <v>280</v>
      </c>
      <c r="I2317" s="591" t="s">
        <v>280</v>
      </c>
    </row>
    <row r="2318" spans="1:10">
      <c r="A2318" s="582" t="s">
        <v>491</v>
      </c>
      <c r="B2318" s="65">
        <v>2516</v>
      </c>
      <c r="C2318" s="579" t="s">
        <v>281</v>
      </c>
      <c r="D2318" s="579"/>
      <c r="E2318" s="583"/>
      <c r="F2318" s="596"/>
      <c r="G2318" s="65">
        <v>0</v>
      </c>
      <c r="H2318" s="591" t="s">
        <v>280</v>
      </c>
      <c r="I2318" s="591" t="s">
        <v>280</v>
      </c>
    </row>
    <row r="2319" spans="1:10">
      <c r="A2319" s="582" t="s">
        <v>491</v>
      </c>
      <c r="B2319" s="65">
        <v>2517</v>
      </c>
      <c r="C2319" s="65" t="s">
        <v>281</v>
      </c>
      <c r="D2319" s="65"/>
      <c r="E2319" s="583"/>
      <c r="F2319" s="596"/>
      <c r="G2319" s="65">
        <v>0</v>
      </c>
      <c r="H2319" s="591" t="s">
        <v>280</v>
      </c>
      <c r="I2319" s="591" t="s">
        <v>280</v>
      </c>
    </row>
    <row r="2320" spans="1:10">
      <c r="A2320" s="582" t="s">
        <v>491</v>
      </c>
      <c r="B2320" s="65">
        <v>2518</v>
      </c>
      <c r="C2320" s="65" t="s">
        <v>281</v>
      </c>
      <c r="D2320" s="65"/>
      <c r="E2320" s="583"/>
      <c r="F2320" s="596"/>
      <c r="G2320" s="65">
        <v>0</v>
      </c>
      <c r="H2320" s="591" t="s">
        <v>280</v>
      </c>
      <c r="I2320" s="591" t="s">
        <v>280</v>
      </c>
    </row>
    <row r="2321" spans="1:9">
      <c r="A2321" s="582" t="s">
        <v>491</v>
      </c>
      <c r="B2321" s="65">
        <v>2519</v>
      </c>
      <c r="C2321" s="65" t="s">
        <v>281</v>
      </c>
      <c r="D2321" s="65"/>
      <c r="E2321" s="583"/>
      <c r="F2321" s="596"/>
      <c r="G2321" s="65">
        <v>0</v>
      </c>
      <c r="H2321" s="591" t="s">
        <v>280</v>
      </c>
      <c r="I2321" s="591" t="s">
        <v>280</v>
      </c>
    </row>
    <row r="2322" spans="1:9">
      <c r="A2322" s="582" t="s">
        <v>491</v>
      </c>
      <c r="B2322" s="65">
        <v>2520</v>
      </c>
      <c r="C2322" s="65" t="s">
        <v>281</v>
      </c>
      <c r="D2322" s="65"/>
      <c r="E2322" s="583"/>
      <c r="F2322" s="596"/>
      <c r="G2322" s="65">
        <v>0</v>
      </c>
      <c r="H2322" s="591" t="s">
        <v>280</v>
      </c>
      <c r="I2322" s="591" t="s">
        <v>280</v>
      </c>
    </row>
    <row r="2323" spans="1:9">
      <c r="A2323" s="582" t="s">
        <v>491</v>
      </c>
      <c r="B2323" s="65">
        <v>2521</v>
      </c>
      <c r="C2323" s="65" t="s">
        <v>281</v>
      </c>
      <c r="D2323" s="65"/>
      <c r="E2323" s="583"/>
      <c r="F2323" s="596"/>
      <c r="G2323" s="65">
        <v>0</v>
      </c>
      <c r="H2323" s="591" t="s">
        <v>280</v>
      </c>
      <c r="I2323" s="591" t="s">
        <v>280</v>
      </c>
    </row>
    <row r="2324" spans="1:9">
      <c r="A2324" s="582" t="s">
        <v>491</v>
      </c>
      <c r="B2324" s="65">
        <v>2522</v>
      </c>
      <c r="C2324" s="65" t="s">
        <v>281</v>
      </c>
      <c r="D2324" s="65"/>
      <c r="E2324" s="583"/>
      <c r="F2324" s="596"/>
      <c r="G2324" s="65">
        <v>0</v>
      </c>
      <c r="H2324" s="591" t="s">
        <v>280</v>
      </c>
      <c r="I2324" s="591" t="s">
        <v>280</v>
      </c>
    </row>
    <row r="2325" spans="1:9">
      <c r="A2325" s="582" t="s">
        <v>491</v>
      </c>
      <c r="B2325" s="65">
        <v>2523</v>
      </c>
      <c r="C2325" s="579" t="s">
        <v>281</v>
      </c>
      <c r="D2325" s="579"/>
      <c r="E2325" s="583"/>
      <c r="F2325" s="596"/>
      <c r="G2325" s="65">
        <v>0</v>
      </c>
      <c r="H2325" s="591" t="s">
        <v>280</v>
      </c>
      <c r="I2325" s="591" t="s">
        <v>280</v>
      </c>
    </row>
    <row r="2326" spans="1:9">
      <c r="A2326" s="582" t="s">
        <v>491</v>
      </c>
      <c r="B2326" s="65">
        <v>2524</v>
      </c>
      <c r="C2326" s="579" t="s">
        <v>281</v>
      </c>
      <c r="D2326" s="63"/>
      <c r="E2326" s="583"/>
      <c r="F2326" s="596"/>
      <c r="G2326" s="65">
        <v>0</v>
      </c>
      <c r="H2326" s="591" t="s">
        <v>280</v>
      </c>
      <c r="I2326" s="591" t="s">
        <v>280</v>
      </c>
    </row>
    <row r="2327" spans="1:9">
      <c r="A2327" s="582" t="s">
        <v>491</v>
      </c>
      <c r="B2327" s="65">
        <v>2525</v>
      </c>
      <c r="C2327" s="579" t="s">
        <v>281</v>
      </c>
      <c r="D2327" s="579"/>
      <c r="E2327" s="583"/>
      <c r="F2327" s="596"/>
      <c r="G2327" s="65">
        <v>0</v>
      </c>
      <c r="H2327" s="591" t="s">
        <v>280</v>
      </c>
      <c r="I2327" s="591" t="s">
        <v>280</v>
      </c>
    </row>
    <row r="2328" spans="1:9">
      <c r="A2328" s="582" t="s">
        <v>491</v>
      </c>
      <c r="B2328" s="65">
        <v>2526</v>
      </c>
      <c r="C2328" s="579" t="s">
        <v>498</v>
      </c>
      <c r="D2328" s="579">
        <v>10198</v>
      </c>
      <c r="E2328" s="583"/>
      <c r="F2328" s="585">
        <v>45535</v>
      </c>
      <c r="G2328" s="65">
        <v>1</v>
      </c>
      <c r="H2328" s="591" t="s">
        <v>1977</v>
      </c>
      <c r="I2328" s="591" t="s">
        <v>1225</v>
      </c>
    </row>
    <row r="2329" spans="1:9">
      <c r="A2329" s="582" t="s">
        <v>491</v>
      </c>
      <c r="B2329" s="65">
        <v>2527</v>
      </c>
      <c r="C2329" s="579" t="s">
        <v>281</v>
      </c>
      <c r="D2329" s="579"/>
      <c r="E2329" s="583"/>
      <c r="F2329" s="596"/>
      <c r="G2329" s="65">
        <v>0</v>
      </c>
      <c r="H2329" s="591" t="s">
        <v>280</v>
      </c>
      <c r="I2329" s="591" t="s">
        <v>280</v>
      </c>
    </row>
    <row r="2330" spans="1:9">
      <c r="A2330" s="582" t="s">
        <v>491</v>
      </c>
      <c r="B2330" s="65">
        <v>2528</v>
      </c>
      <c r="C2330" s="579" t="s">
        <v>281</v>
      </c>
      <c r="D2330" s="579"/>
      <c r="E2330" s="583"/>
      <c r="F2330" s="596"/>
      <c r="G2330" s="65">
        <v>0</v>
      </c>
      <c r="H2330" s="591" t="s">
        <v>280</v>
      </c>
      <c r="I2330" s="591" t="s">
        <v>280</v>
      </c>
    </row>
    <row r="2331" spans="1:9">
      <c r="A2331" s="582" t="s">
        <v>491</v>
      </c>
      <c r="B2331" s="65">
        <v>2529</v>
      </c>
      <c r="C2331" s="579" t="s">
        <v>281</v>
      </c>
      <c r="D2331" s="63"/>
      <c r="E2331" s="583"/>
      <c r="F2331" s="596"/>
      <c r="G2331" s="65">
        <v>0</v>
      </c>
      <c r="H2331" s="591" t="s">
        <v>280</v>
      </c>
      <c r="I2331" s="591" t="s">
        <v>280</v>
      </c>
    </row>
    <row r="2332" spans="1:9">
      <c r="A2332" s="582" t="s">
        <v>491</v>
      </c>
      <c r="B2332" s="65">
        <v>2530</v>
      </c>
      <c r="C2332" s="579" t="s">
        <v>281</v>
      </c>
      <c r="D2332" s="579"/>
      <c r="E2332" s="583"/>
      <c r="F2332" s="596"/>
      <c r="G2332" s="65">
        <v>0</v>
      </c>
      <c r="H2332" s="591" t="s">
        <v>280</v>
      </c>
      <c r="I2332" s="591" t="s">
        <v>280</v>
      </c>
    </row>
    <row r="2333" spans="1:9">
      <c r="A2333" s="580" t="s">
        <v>491</v>
      </c>
      <c r="B2333" s="65">
        <v>2531</v>
      </c>
      <c r="C2333" s="65" t="s">
        <v>281</v>
      </c>
      <c r="D2333" s="579"/>
      <c r="E2333" s="583"/>
      <c r="F2333" s="596"/>
      <c r="G2333" s="65">
        <v>0</v>
      </c>
      <c r="H2333" s="591" t="s">
        <v>280</v>
      </c>
      <c r="I2333" s="591" t="s">
        <v>280</v>
      </c>
    </row>
    <row r="2334" spans="1:9">
      <c r="A2334" s="580" t="s">
        <v>491</v>
      </c>
      <c r="B2334" s="65">
        <v>2532</v>
      </c>
      <c r="C2334" s="65" t="s">
        <v>281</v>
      </c>
      <c r="D2334" s="65"/>
      <c r="E2334" s="583"/>
      <c r="F2334" s="596"/>
      <c r="G2334" s="65">
        <v>0</v>
      </c>
      <c r="H2334" s="591" t="s">
        <v>280</v>
      </c>
      <c r="I2334" s="591" t="s">
        <v>280</v>
      </c>
    </row>
    <row r="2335" spans="1:9">
      <c r="A2335" s="580" t="s">
        <v>491</v>
      </c>
      <c r="B2335" s="65">
        <v>2533</v>
      </c>
      <c r="C2335" s="65" t="s">
        <v>1761</v>
      </c>
      <c r="D2335" s="65">
        <v>10892</v>
      </c>
      <c r="E2335" s="583"/>
      <c r="F2335" s="585">
        <v>45535</v>
      </c>
      <c r="G2335" s="65">
        <v>1</v>
      </c>
      <c r="H2335" s="591" t="s">
        <v>1977</v>
      </c>
      <c r="I2335" s="591" t="s">
        <v>1225</v>
      </c>
    </row>
    <row r="2336" spans="1:9">
      <c r="A2336" s="580" t="s">
        <v>491</v>
      </c>
      <c r="B2336" s="65">
        <v>2534</v>
      </c>
      <c r="C2336" s="65" t="s">
        <v>1762</v>
      </c>
      <c r="D2336" s="65">
        <v>10893</v>
      </c>
      <c r="E2336" s="583"/>
      <c r="F2336" s="585">
        <v>45535</v>
      </c>
      <c r="G2336" s="65">
        <v>1</v>
      </c>
      <c r="H2336" s="591" t="s">
        <v>1977</v>
      </c>
      <c r="I2336" s="591" t="s">
        <v>1225</v>
      </c>
    </row>
    <row r="2337" spans="1:9">
      <c r="A2337" s="582" t="s">
        <v>491</v>
      </c>
      <c r="B2337" s="65">
        <v>2535</v>
      </c>
      <c r="C2337" s="65" t="s">
        <v>1763</v>
      </c>
      <c r="D2337" s="65">
        <v>10984</v>
      </c>
      <c r="E2337" s="583"/>
      <c r="F2337" s="585">
        <v>45535</v>
      </c>
      <c r="G2337" s="65">
        <v>1</v>
      </c>
      <c r="H2337" s="591" t="s">
        <v>1977</v>
      </c>
      <c r="I2337" s="591" t="s">
        <v>1225</v>
      </c>
    </row>
    <row r="2338" spans="1:9">
      <c r="A2338" s="582" t="s">
        <v>491</v>
      </c>
      <c r="B2338" s="65">
        <v>2536</v>
      </c>
      <c r="C2338" s="65" t="s">
        <v>1764</v>
      </c>
      <c r="D2338" s="63">
        <v>10985</v>
      </c>
      <c r="E2338" s="583"/>
      <c r="F2338" s="585">
        <v>45535</v>
      </c>
      <c r="G2338" s="65">
        <v>1</v>
      </c>
      <c r="H2338" s="591" t="s">
        <v>1977</v>
      </c>
      <c r="I2338" s="591" t="s">
        <v>1225</v>
      </c>
    </row>
    <row r="2339" spans="1:9">
      <c r="A2339" s="582" t="s">
        <v>491</v>
      </c>
      <c r="B2339" s="65">
        <v>2537</v>
      </c>
      <c r="C2339" s="65" t="s">
        <v>1765</v>
      </c>
      <c r="D2339" s="65">
        <v>10986</v>
      </c>
      <c r="E2339" s="583"/>
      <c r="F2339" s="585">
        <v>45535</v>
      </c>
      <c r="G2339" s="65">
        <v>1</v>
      </c>
      <c r="H2339" s="591" t="s">
        <v>280</v>
      </c>
      <c r="I2339" s="591" t="s">
        <v>280</v>
      </c>
    </row>
    <row r="2340" spans="1:9">
      <c r="A2340" s="582" t="s">
        <v>491</v>
      </c>
      <c r="B2340" s="65">
        <v>2538</v>
      </c>
      <c r="C2340" s="579" t="s">
        <v>1966</v>
      </c>
      <c r="D2340" s="579">
        <v>10073</v>
      </c>
      <c r="E2340" s="583"/>
      <c r="F2340" s="585">
        <v>45584</v>
      </c>
      <c r="G2340" s="65">
        <v>1</v>
      </c>
      <c r="H2340" s="591" t="s">
        <v>1977</v>
      </c>
      <c r="I2340" s="591" t="s">
        <v>1225</v>
      </c>
    </row>
    <row r="2341" spans="1:9" ht="14.25">
      <c r="A2341" s="580" t="s">
        <v>491</v>
      </c>
      <c r="B2341" s="65">
        <v>2539</v>
      </c>
      <c r="C2341" s="579" t="s">
        <v>2052</v>
      </c>
      <c r="D2341" s="579">
        <v>11082</v>
      </c>
      <c r="E2341" s="587"/>
      <c r="F2341" s="600">
        <v>45696</v>
      </c>
      <c r="G2341" s="65">
        <v>1</v>
      </c>
      <c r="H2341" s="591" t="s">
        <v>280</v>
      </c>
      <c r="I2341" s="591" t="s">
        <v>280</v>
      </c>
    </row>
    <row r="2342" spans="1:9">
      <c r="A2342" s="582" t="s">
        <v>491</v>
      </c>
      <c r="B2342" s="65">
        <v>2540</v>
      </c>
      <c r="C2342" s="579" t="s">
        <v>2053</v>
      </c>
      <c r="D2342" s="579">
        <v>11083</v>
      </c>
      <c r="E2342" s="583"/>
      <c r="F2342" s="600">
        <v>45696</v>
      </c>
      <c r="G2342" s="65">
        <v>1</v>
      </c>
      <c r="H2342" s="591" t="s">
        <v>280</v>
      </c>
      <c r="I2342" s="591" t="s">
        <v>280</v>
      </c>
    </row>
    <row r="2343" spans="1:9">
      <c r="A2343" s="582" t="s">
        <v>491</v>
      </c>
      <c r="B2343" s="65">
        <v>2541</v>
      </c>
      <c r="C2343" s="579" t="s">
        <v>281</v>
      </c>
      <c r="D2343" s="579"/>
      <c r="E2343" s="583"/>
      <c r="F2343" s="596"/>
      <c r="G2343" s="65">
        <v>0</v>
      </c>
      <c r="H2343" s="591" t="s">
        <v>280</v>
      </c>
      <c r="I2343" s="591" t="s">
        <v>280</v>
      </c>
    </row>
    <row r="2344" spans="1:9">
      <c r="A2344" s="582" t="s">
        <v>491</v>
      </c>
      <c r="B2344" s="65">
        <v>2542</v>
      </c>
      <c r="C2344" s="579" t="s">
        <v>281</v>
      </c>
      <c r="D2344" s="579"/>
      <c r="E2344" s="583"/>
      <c r="F2344" s="596"/>
      <c r="G2344" s="65">
        <v>0</v>
      </c>
      <c r="H2344" s="591" t="s">
        <v>280</v>
      </c>
      <c r="I2344" s="591" t="s">
        <v>280</v>
      </c>
    </row>
    <row r="2345" spans="1:9">
      <c r="A2345" s="582" t="s">
        <v>491</v>
      </c>
      <c r="B2345" s="65">
        <v>2543</v>
      </c>
      <c r="C2345" s="579" t="s">
        <v>281</v>
      </c>
      <c r="D2345" s="579"/>
      <c r="E2345" s="583"/>
      <c r="F2345" s="596"/>
      <c r="G2345" s="65">
        <v>0</v>
      </c>
      <c r="H2345" s="591" t="s">
        <v>280</v>
      </c>
      <c r="I2345" s="591" t="s">
        <v>280</v>
      </c>
    </row>
    <row r="2346" spans="1:9">
      <c r="A2346" s="582" t="s">
        <v>491</v>
      </c>
      <c r="B2346" s="65">
        <v>2544</v>
      </c>
      <c r="C2346" s="579" t="s">
        <v>281</v>
      </c>
      <c r="D2346" s="579"/>
      <c r="E2346" s="583"/>
      <c r="F2346" s="596"/>
      <c r="G2346" s="65">
        <v>0</v>
      </c>
      <c r="H2346" s="591" t="s">
        <v>280</v>
      </c>
      <c r="I2346" s="591" t="s">
        <v>280</v>
      </c>
    </row>
    <row r="2347" spans="1:9">
      <c r="A2347" s="582" t="s">
        <v>491</v>
      </c>
      <c r="B2347" s="65">
        <v>2545</v>
      </c>
      <c r="C2347" s="579" t="s">
        <v>281</v>
      </c>
      <c r="D2347" s="579"/>
      <c r="E2347" s="583"/>
      <c r="F2347" s="596"/>
      <c r="G2347" s="65">
        <v>0</v>
      </c>
      <c r="H2347" s="591" t="s">
        <v>280</v>
      </c>
      <c r="I2347" s="591" t="s">
        <v>280</v>
      </c>
    </row>
    <row r="2348" spans="1:9">
      <c r="A2348" s="582" t="s">
        <v>491</v>
      </c>
      <c r="B2348" s="65">
        <v>2546</v>
      </c>
      <c r="C2348" s="579" t="s">
        <v>281</v>
      </c>
      <c r="D2348" s="579"/>
      <c r="E2348" s="583"/>
      <c r="F2348" s="596"/>
      <c r="G2348" s="65">
        <v>0</v>
      </c>
      <c r="H2348" s="591" t="s">
        <v>280</v>
      </c>
      <c r="I2348" s="591" t="s">
        <v>280</v>
      </c>
    </row>
    <row r="2349" spans="1:9">
      <c r="A2349" s="582" t="s">
        <v>491</v>
      </c>
      <c r="B2349" s="65">
        <v>2547</v>
      </c>
      <c r="C2349" s="579" t="s">
        <v>281</v>
      </c>
      <c r="D2349" s="579"/>
      <c r="E2349" s="583"/>
      <c r="F2349" s="596"/>
      <c r="G2349" s="65">
        <v>0</v>
      </c>
      <c r="H2349" s="591" t="s">
        <v>280</v>
      </c>
      <c r="I2349" s="591" t="s">
        <v>280</v>
      </c>
    </row>
    <row r="2350" spans="1:9">
      <c r="A2350" s="582" t="s">
        <v>491</v>
      </c>
      <c r="B2350" s="65">
        <v>2548</v>
      </c>
      <c r="C2350" s="579" t="s">
        <v>281</v>
      </c>
      <c r="D2350" s="579"/>
      <c r="E2350" s="583"/>
      <c r="F2350" s="596"/>
      <c r="G2350" s="65">
        <v>0</v>
      </c>
      <c r="H2350" s="591" t="s">
        <v>280</v>
      </c>
      <c r="I2350" s="591" t="s">
        <v>280</v>
      </c>
    </row>
    <row r="2351" spans="1:9">
      <c r="A2351" s="582" t="s">
        <v>491</v>
      </c>
      <c r="B2351" s="65">
        <v>2549</v>
      </c>
      <c r="C2351" s="579" t="s">
        <v>281</v>
      </c>
      <c r="D2351" s="579"/>
      <c r="E2351" s="583"/>
      <c r="F2351" s="596"/>
      <c r="G2351" s="65">
        <v>0</v>
      </c>
      <c r="H2351" s="591" t="s">
        <v>280</v>
      </c>
      <c r="I2351" s="591" t="s">
        <v>280</v>
      </c>
    </row>
    <row r="2352" spans="1:9">
      <c r="A2352" s="582" t="s">
        <v>491</v>
      </c>
      <c r="B2352" s="65">
        <v>2550</v>
      </c>
      <c r="C2352" s="579" t="s">
        <v>281</v>
      </c>
      <c r="D2352" s="579"/>
      <c r="E2352" s="583"/>
      <c r="F2352" s="596"/>
      <c r="G2352" s="65">
        <v>0</v>
      </c>
      <c r="H2352" s="591" t="s">
        <v>280</v>
      </c>
      <c r="I2352" s="591" t="s">
        <v>280</v>
      </c>
    </row>
    <row r="2353" spans="1:9">
      <c r="A2353" s="582" t="s">
        <v>491</v>
      </c>
      <c r="B2353" s="65">
        <v>2551</v>
      </c>
      <c r="C2353" s="579" t="s">
        <v>281</v>
      </c>
      <c r="D2353" s="579"/>
      <c r="E2353" s="583"/>
      <c r="F2353" s="596"/>
      <c r="G2353" s="65">
        <v>0</v>
      </c>
      <c r="H2353" s="591" t="s">
        <v>280</v>
      </c>
      <c r="I2353" s="591" t="s">
        <v>280</v>
      </c>
    </row>
    <row r="2354" spans="1:9">
      <c r="A2354" s="582" t="s">
        <v>491</v>
      </c>
      <c r="B2354" s="65">
        <v>2552</v>
      </c>
      <c r="C2354" s="579" t="s">
        <v>281</v>
      </c>
      <c r="D2354" s="579"/>
      <c r="E2354" s="583"/>
      <c r="F2354" s="596"/>
      <c r="G2354" s="65">
        <v>0</v>
      </c>
      <c r="H2354" s="591" t="s">
        <v>280</v>
      </c>
      <c r="I2354" s="591" t="s">
        <v>280</v>
      </c>
    </row>
    <row r="2355" spans="1:9">
      <c r="A2355" s="582" t="s">
        <v>491</v>
      </c>
      <c r="B2355" s="65">
        <v>2553</v>
      </c>
      <c r="C2355" s="579" t="s">
        <v>281</v>
      </c>
      <c r="D2355" s="579"/>
      <c r="E2355" s="583"/>
      <c r="F2355" s="596"/>
      <c r="G2355" s="65">
        <v>0</v>
      </c>
      <c r="H2355" s="591" t="s">
        <v>280</v>
      </c>
      <c r="I2355" s="591" t="s">
        <v>280</v>
      </c>
    </row>
    <row r="2356" spans="1:9">
      <c r="A2356" s="582" t="s">
        <v>491</v>
      </c>
      <c r="B2356" s="65">
        <v>2554</v>
      </c>
      <c r="C2356" s="579" t="s">
        <v>281</v>
      </c>
      <c r="D2356" s="579"/>
      <c r="E2356" s="583"/>
      <c r="F2356" s="596"/>
      <c r="G2356" s="65">
        <v>0</v>
      </c>
      <c r="H2356" s="591" t="s">
        <v>280</v>
      </c>
      <c r="I2356" s="591" t="s">
        <v>280</v>
      </c>
    </row>
    <row r="2357" spans="1:9">
      <c r="A2357" s="582" t="s">
        <v>491</v>
      </c>
      <c r="B2357" s="65">
        <v>2555</v>
      </c>
      <c r="C2357" s="579" t="s">
        <v>281</v>
      </c>
      <c r="D2357" s="579"/>
      <c r="E2357" s="583"/>
      <c r="F2357" s="596"/>
      <c r="G2357" s="65">
        <v>0</v>
      </c>
      <c r="H2357" s="591" t="s">
        <v>280</v>
      </c>
      <c r="I2357" s="591" t="s">
        <v>280</v>
      </c>
    </row>
    <row r="2358" spans="1:9">
      <c r="A2358" s="582" t="s">
        <v>491</v>
      </c>
      <c r="B2358" s="65">
        <v>2556</v>
      </c>
      <c r="C2358" s="579" t="s">
        <v>281</v>
      </c>
      <c r="D2358" s="579"/>
      <c r="E2358" s="583"/>
      <c r="F2358" s="596"/>
      <c r="G2358" s="65">
        <v>0</v>
      </c>
      <c r="H2358" s="591" t="s">
        <v>280</v>
      </c>
      <c r="I2358" s="591" t="s">
        <v>280</v>
      </c>
    </row>
    <row r="2359" spans="1:9">
      <c r="A2359" s="582" t="s">
        <v>491</v>
      </c>
      <c r="B2359" s="65">
        <v>2557</v>
      </c>
      <c r="C2359" s="579" t="s">
        <v>281</v>
      </c>
      <c r="D2359" s="579"/>
      <c r="E2359" s="583"/>
      <c r="F2359" s="596"/>
      <c r="G2359" s="65">
        <v>0</v>
      </c>
      <c r="H2359" s="591" t="s">
        <v>280</v>
      </c>
      <c r="I2359" s="591" t="s">
        <v>280</v>
      </c>
    </row>
    <row r="2360" spans="1:9">
      <c r="A2360" s="582" t="s">
        <v>491</v>
      </c>
      <c r="B2360" s="65">
        <v>2558</v>
      </c>
      <c r="C2360" s="579" t="s">
        <v>281</v>
      </c>
      <c r="D2360" s="579"/>
      <c r="E2360" s="583"/>
      <c r="F2360" s="596"/>
      <c r="G2360" s="65">
        <v>0</v>
      </c>
      <c r="H2360" s="591" t="s">
        <v>280</v>
      </c>
      <c r="I2360" s="591" t="s">
        <v>280</v>
      </c>
    </row>
    <row r="2361" spans="1:9">
      <c r="A2361" s="582" t="s">
        <v>491</v>
      </c>
      <c r="B2361" s="65">
        <v>2559</v>
      </c>
      <c r="C2361" s="579" t="s">
        <v>281</v>
      </c>
      <c r="D2361" s="579"/>
      <c r="E2361" s="583"/>
      <c r="F2361" s="596"/>
      <c r="G2361" s="65">
        <v>0</v>
      </c>
      <c r="H2361" s="591" t="s">
        <v>280</v>
      </c>
      <c r="I2361" s="591" t="s">
        <v>280</v>
      </c>
    </row>
    <row r="2362" spans="1:9">
      <c r="A2362" s="582" t="s">
        <v>491</v>
      </c>
      <c r="B2362" s="65">
        <v>2560</v>
      </c>
      <c r="C2362" s="579" t="s">
        <v>281</v>
      </c>
      <c r="D2362" s="579"/>
      <c r="E2362" s="583"/>
      <c r="F2362" s="596"/>
      <c r="G2362" s="65">
        <v>0</v>
      </c>
      <c r="H2362" s="591" t="s">
        <v>280</v>
      </c>
      <c r="I2362" s="591" t="s">
        <v>280</v>
      </c>
    </row>
    <row r="2363" spans="1:9">
      <c r="A2363" s="582" t="s">
        <v>491</v>
      </c>
      <c r="B2363" s="65">
        <v>2561</v>
      </c>
      <c r="C2363" s="579" t="s">
        <v>281</v>
      </c>
      <c r="D2363" s="579"/>
      <c r="E2363" s="583"/>
      <c r="F2363" s="596"/>
      <c r="G2363" s="65">
        <v>0</v>
      </c>
      <c r="H2363" s="591" t="s">
        <v>280</v>
      </c>
      <c r="I2363" s="591" t="s">
        <v>280</v>
      </c>
    </row>
    <row r="2364" spans="1:9">
      <c r="A2364" s="582" t="s">
        <v>491</v>
      </c>
      <c r="B2364" s="65">
        <v>2562</v>
      </c>
      <c r="C2364" s="579" t="s">
        <v>281</v>
      </c>
      <c r="D2364" s="579"/>
      <c r="E2364" s="583"/>
      <c r="F2364" s="596"/>
      <c r="G2364" s="65">
        <v>0</v>
      </c>
      <c r="H2364" s="591" t="s">
        <v>280</v>
      </c>
      <c r="I2364" s="591" t="s">
        <v>280</v>
      </c>
    </row>
    <row r="2365" spans="1:9">
      <c r="A2365" s="582" t="s">
        <v>491</v>
      </c>
      <c r="B2365" s="65">
        <v>2563</v>
      </c>
      <c r="C2365" s="579" t="s">
        <v>281</v>
      </c>
      <c r="D2365" s="579"/>
      <c r="E2365" s="583"/>
      <c r="F2365" s="596"/>
      <c r="G2365" s="65">
        <v>0</v>
      </c>
      <c r="H2365" s="591" t="s">
        <v>280</v>
      </c>
      <c r="I2365" s="591" t="s">
        <v>280</v>
      </c>
    </row>
    <row r="2366" spans="1:9">
      <c r="A2366" s="582" t="s">
        <v>491</v>
      </c>
      <c r="B2366" s="65">
        <v>2564</v>
      </c>
      <c r="C2366" s="579" t="s">
        <v>281</v>
      </c>
      <c r="D2366" s="579"/>
      <c r="E2366" s="583"/>
      <c r="F2366" s="596"/>
      <c r="G2366" s="65">
        <v>0</v>
      </c>
      <c r="H2366" s="591" t="s">
        <v>280</v>
      </c>
      <c r="I2366" s="591" t="s">
        <v>280</v>
      </c>
    </row>
    <row r="2367" spans="1:9">
      <c r="A2367" s="582" t="s">
        <v>491</v>
      </c>
      <c r="B2367" s="65">
        <v>2565</v>
      </c>
      <c r="C2367" s="579" t="s">
        <v>281</v>
      </c>
      <c r="D2367" s="579"/>
      <c r="E2367" s="583"/>
      <c r="F2367" s="596"/>
      <c r="G2367" s="65">
        <v>0</v>
      </c>
      <c r="H2367" s="591" t="s">
        <v>280</v>
      </c>
      <c r="I2367" s="591" t="s">
        <v>280</v>
      </c>
    </row>
    <row r="2368" spans="1:9">
      <c r="A2368" s="582" t="s">
        <v>491</v>
      </c>
      <c r="B2368" s="65">
        <v>2566</v>
      </c>
      <c r="C2368" s="579" t="s">
        <v>281</v>
      </c>
      <c r="D2368" s="579"/>
      <c r="E2368" s="583"/>
      <c r="F2368" s="596"/>
      <c r="G2368" s="65">
        <v>0</v>
      </c>
      <c r="H2368" s="591" t="s">
        <v>280</v>
      </c>
      <c r="I2368" s="591" t="s">
        <v>280</v>
      </c>
    </row>
    <row r="2369" spans="1:9">
      <c r="A2369" s="582" t="s">
        <v>491</v>
      </c>
      <c r="B2369" s="65">
        <v>2567</v>
      </c>
      <c r="C2369" s="579" t="s">
        <v>281</v>
      </c>
      <c r="D2369" s="579"/>
      <c r="E2369" s="583"/>
      <c r="F2369" s="596"/>
      <c r="G2369" s="65">
        <v>0</v>
      </c>
      <c r="H2369" s="591" t="s">
        <v>280</v>
      </c>
      <c r="I2369" s="591" t="s">
        <v>280</v>
      </c>
    </row>
    <row r="2370" spans="1:9">
      <c r="A2370" s="582" t="s">
        <v>491</v>
      </c>
      <c r="B2370" s="65">
        <v>2568</v>
      </c>
      <c r="C2370" s="579" t="s">
        <v>281</v>
      </c>
      <c r="D2370" s="579"/>
      <c r="E2370" s="583"/>
      <c r="F2370" s="596"/>
      <c r="G2370" s="65">
        <v>0</v>
      </c>
      <c r="H2370" s="591" t="s">
        <v>280</v>
      </c>
      <c r="I2370" s="591" t="s">
        <v>280</v>
      </c>
    </row>
    <row r="2371" spans="1:9">
      <c r="A2371" s="582" t="s">
        <v>491</v>
      </c>
      <c r="B2371" s="65">
        <v>2569</v>
      </c>
      <c r="C2371" s="579" t="s">
        <v>281</v>
      </c>
      <c r="D2371" s="579"/>
      <c r="E2371" s="583"/>
      <c r="F2371" s="596"/>
      <c r="G2371" s="65">
        <v>0</v>
      </c>
      <c r="H2371" s="591" t="s">
        <v>280</v>
      </c>
      <c r="I2371" s="591" t="s">
        <v>280</v>
      </c>
    </row>
    <row r="2372" spans="1:9">
      <c r="A2372" s="582" t="s">
        <v>491</v>
      </c>
      <c r="B2372" s="65">
        <v>2570</v>
      </c>
      <c r="C2372" s="579" t="s">
        <v>281</v>
      </c>
      <c r="D2372" s="579"/>
      <c r="E2372" s="583"/>
      <c r="F2372" s="596"/>
      <c r="G2372" s="65">
        <v>0</v>
      </c>
      <c r="H2372" s="591" t="s">
        <v>280</v>
      </c>
      <c r="I2372" s="591" t="s">
        <v>280</v>
      </c>
    </row>
    <row r="2373" spans="1:9">
      <c r="A2373" s="582" t="s">
        <v>491</v>
      </c>
      <c r="B2373" s="65">
        <v>2571</v>
      </c>
      <c r="C2373" s="579" t="s">
        <v>281</v>
      </c>
      <c r="D2373" s="579"/>
      <c r="E2373" s="583"/>
      <c r="F2373" s="596"/>
      <c r="G2373" s="65">
        <v>0</v>
      </c>
      <c r="H2373" s="591" t="s">
        <v>280</v>
      </c>
      <c r="I2373" s="591" t="s">
        <v>280</v>
      </c>
    </row>
    <row r="2374" spans="1:9">
      <c r="A2374" s="582" t="s">
        <v>491</v>
      </c>
      <c r="B2374" s="65">
        <v>2572</v>
      </c>
      <c r="C2374" s="579" t="s">
        <v>281</v>
      </c>
      <c r="D2374" s="579"/>
      <c r="E2374" s="583"/>
      <c r="F2374" s="596"/>
      <c r="G2374" s="65">
        <v>0</v>
      </c>
      <c r="H2374" s="591" t="s">
        <v>280</v>
      </c>
      <c r="I2374" s="591" t="s">
        <v>280</v>
      </c>
    </row>
    <row r="2375" spans="1:9">
      <c r="A2375" s="582" t="s">
        <v>491</v>
      </c>
      <c r="B2375" s="65">
        <v>2573</v>
      </c>
      <c r="C2375" s="579" t="s">
        <v>281</v>
      </c>
      <c r="D2375" s="579"/>
      <c r="E2375" s="583"/>
      <c r="F2375" s="596"/>
      <c r="G2375" s="65">
        <v>0</v>
      </c>
      <c r="H2375" s="591" t="s">
        <v>280</v>
      </c>
      <c r="I2375" s="591" t="s">
        <v>280</v>
      </c>
    </row>
    <row r="2376" spans="1:9">
      <c r="A2376" s="582" t="s">
        <v>491</v>
      </c>
      <c r="B2376" s="65">
        <v>2574</v>
      </c>
      <c r="C2376" s="579" t="s">
        <v>281</v>
      </c>
      <c r="D2376" s="579"/>
      <c r="E2376" s="583"/>
      <c r="F2376" s="596"/>
      <c r="G2376" s="65">
        <v>0</v>
      </c>
      <c r="H2376" s="591" t="s">
        <v>280</v>
      </c>
      <c r="I2376" s="591" t="s">
        <v>280</v>
      </c>
    </row>
    <row r="2377" spans="1:9">
      <c r="A2377" s="582" t="s">
        <v>491</v>
      </c>
      <c r="B2377" s="65">
        <v>2575</v>
      </c>
      <c r="C2377" s="579" t="s">
        <v>281</v>
      </c>
      <c r="D2377" s="579"/>
      <c r="E2377" s="583"/>
      <c r="F2377" s="596"/>
      <c r="G2377" s="65">
        <v>0</v>
      </c>
      <c r="H2377" s="591" t="s">
        <v>280</v>
      </c>
      <c r="I2377" s="591" t="s">
        <v>280</v>
      </c>
    </row>
    <row r="2378" spans="1:9">
      <c r="A2378" s="582" t="s">
        <v>491</v>
      </c>
      <c r="B2378" s="65">
        <v>2576</v>
      </c>
      <c r="C2378" s="579" t="s">
        <v>281</v>
      </c>
      <c r="D2378" s="579"/>
      <c r="E2378" s="583"/>
      <c r="F2378" s="596"/>
      <c r="G2378" s="65">
        <v>0</v>
      </c>
      <c r="H2378" s="591" t="s">
        <v>280</v>
      </c>
      <c r="I2378" s="591" t="s">
        <v>280</v>
      </c>
    </row>
    <row r="2379" spans="1:9">
      <c r="A2379" s="582" t="s">
        <v>491</v>
      </c>
      <c r="B2379" s="65">
        <v>2577</v>
      </c>
      <c r="C2379" s="579" t="s">
        <v>281</v>
      </c>
      <c r="D2379" s="579"/>
      <c r="E2379" s="583"/>
      <c r="F2379" s="596"/>
      <c r="G2379" s="65">
        <v>0</v>
      </c>
      <c r="H2379" s="591" t="s">
        <v>280</v>
      </c>
      <c r="I2379" s="591" t="s">
        <v>280</v>
      </c>
    </row>
    <row r="2380" spans="1:9">
      <c r="A2380" s="582" t="s">
        <v>491</v>
      </c>
      <c r="B2380" s="65">
        <v>2578</v>
      </c>
      <c r="C2380" s="579" t="s">
        <v>281</v>
      </c>
      <c r="D2380" s="579"/>
      <c r="E2380" s="583"/>
      <c r="F2380" s="596"/>
      <c r="G2380" s="65">
        <v>0</v>
      </c>
      <c r="H2380" s="591" t="s">
        <v>280</v>
      </c>
      <c r="I2380" s="591" t="s">
        <v>280</v>
      </c>
    </row>
    <row r="2381" spans="1:9">
      <c r="A2381" s="582" t="s">
        <v>491</v>
      </c>
      <c r="B2381" s="65">
        <v>2579</v>
      </c>
      <c r="C2381" s="579" t="s">
        <v>281</v>
      </c>
      <c r="D2381" s="579"/>
      <c r="E2381" s="583"/>
      <c r="F2381" s="596"/>
      <c r="G2381" s="65">
        <v>0</v>
      </c>
      <c r="H2381" s="591" t="s">
        <v>280</v>
      </c>
      <c r="I2381" s="591" t="s">
        <v>280</v>
      </c>
    </row>
    <row r="2382" spans="1:9">
      <c r="A2382" s="582" t="s">
        <v>491</v>
      </c>
      <c r="B2382" s="65">
        <v>2580</v>
      </c>
      <c r="C2382" s="579" t="s">
        <v>281</v>
      </c>
      <c r="D2382" s="579"/>
      <c r="E2382" s="583"/>
      <c r="F2382" s="596"/>
      <c r="G2382" s="65">
        <v>0</v>
      </c>
      <c r="H2382" s="591" t="s">
        <v>280</v>
      </c>
      <c r="I2382" s="591" t="s">
        <v>280</v>
      </c>
    </row>
    <row r="2383" spans="1:9">
      <c r="A2383" s="582" t="s">
        <v>491</v>
      </c>
      <c r="B2383" s="65">
        <v>2581</v>
      </c>
      <c r="C2383" s="579" t="s">
        <v>281</v>
      </c>
      <c r="D2383" s="579"/>
      <c r="E2383" s="583"/>
      <c r="F2383" s="596"/>
      <c r="G2383" s="65">
        <v>0</v>
      </c>
      <c r="H2383" s="591" t="s">
        <v>280</v>
      </c>
      <c r="I2383" s="591" t="s">
        <v>280</v>
      </c>
    </row>
    <row r="2384" spans="1:9">
      <c r="A2384" s="582" t="s">
        <v>491</v>
      </c>
      <c r="B2384" s="65">
        <v>2582</v>
      </c>
      <c r="C2384" s="579" t="s">
        <v>281</v>
      </c>
      <c r="D2384" s="579"/>
      <c r="E2384" s="583"/>
      <c r="F2384" s="596"/>
      <c r="G2384" s="65">
        <v>0</v>
      </c>
      <c r="H2384" s="591" t="s">
        <v>280</v>
      </c>
      <c r="I2384" s="591" t="s">
        <v>280</v>
      </c>
    </row>
    <row r="2385" spans="1:9">
      <c r="A2385" s="582" t="s">
        <v>491</v>
      </c>
      <c r="B2385" s="65">
        <v>2583</v>
      </c>
      <c r="C2385" s="579" t="s">
        <v>281</v>
      </c>
      <c r="D2385" s="579"/>
      <c r="E2385" s="583"/>
      <c r="F2385" s="596"/>
      <c r="G2385" s="65">
        <v>0</v>
      </c>
      <c r="H2385" s="591" t="s">
        <v>280</v>
      </c>
      <c r="I2385" s="591" t="s">
        <v>280</v>
      </c>
    </row>
    <row r="2386" spans="1:9">
      <c r="A2386" s="582" t="s">
        <v>491</v>
      </c>
      <c r="B2386" s="65">
        <v>2584</v>
      </c>
      <c r="C2386" s="579" t="s">
        <v>281</v>
      </c>
      <c r="D2386" s="579"/>
      <c r="E2386" s="583"/>
      <c r="F2386" s="596"/>
      <c r="G2386" s="65">
        <v>0</v>
      </c>
      <c r="H2386" s="591" t="s">
        <v>280</v>
      </c>
      <c r="I2386" s="591" t="s">
        <v>280</v>
      </c>
    </row>
    <row r="2387" spans="1:9">
      <c r="A2387" s="582" t="s">
        <v>491</v>
      </c>
      <c r="B2387" s="65">
        <v>2585</v>
      </c>
      <c r="C2387" s="579" t="s">
        <v>281</v>
      </c>
      <c r="D2387" s="579"/>
      <c r="E2387" s="583"/>
      <c r="F2387" s="596"/>
      <c r="G2387" s="65">
        <v>0</v>
      </c>
      <c r="H2387" s="591" t="s">
        <v>280</v>
      </c>
      <c r="I2387" s="591" t="s">
        <v>280</v>
      </c>
    </row>
    <row r="2388" spans="1:9">
      <c r="A2388" s="582" t="s">
        <v>491</v>
      </c>
      <c r="B2388" s="65">
        <v>2586</v>
      </c>
      <c r="C2388" s="579" t="s">
        <v>281</v>
      </c>
      <c r="D2388" s="579"/>
      <c r="E2388" s="583"/>
      <c r="F2388" s="596"/>
      <c r="G2388" s="65">
        <v>0</v>
      </c>
      <c r="H2388" s="591" t="s">
        <v>280</v>
      </c>
      <c r="I2388" s="591" t="s">
        <v>280</v>
      </c>
    </row>
    <row r="2389" spans="1:9">
      <c r="A2389" s="582" t="s">
        <v>491</v>
      </c>
      <c r="B2389" s="65">
        <v>2587</v>
      </c>
      <c r="C2389" s="579" t="s">
        <v>281</v>
      </c>
      <c r="D2389" s="579"/>
      <c r="E2389" s="583"/>
      <c r="F2389" s="596"/>
      <c r="G2389" s="65">
        <v>0</v>
      </c>
      <c r="H2389" s="591" t="s">
        <v>280</v>
      </c>
      <c r="I2389" s="591" t="s">
        <v>280</v>
      </c>
    </row>
    <row r="2390" spans="1:9">
      <c r="A2390" s="582" t="s">
        <v>491</v>
      </c>
      <c r="B2390" s="65">
        <v>2588</v>
      </c>
      <c r="C2390" s="579" t="s">
        <v>281</v>
      </c>
      <c r="D2390" s="579"/>
      <c r="E2390" s="583"/>
      <c r="F2390" s="596"/>
      <c r="G2390" s="65">
        <v>0</v>
      </c>
      <c r="H2390" s="591" t="s">
        <v>280</v>
      </c>
      <c r="I2390" s="591" t="s">
        <v>280</v>
      </c>
    </row>
    <row r="2391" spans="1:9">
      <c r="A2391" s="582" t="s">
        <v>491</v>
      </c>
      <c r="B2391" s="65">
        <v>2589</v>
      </c>
      <c r="C2391" s="579" t="s">
        <v>281</v>
      </c>
      <c r="D2391" s="579"/>
      <c r="E2391" s="583"/>
      <c r="F2391" s="596"/>
      <c r="G2391" s="65">
        <v>0</v>
      </c>
      <c r="H2391" s="591" t="s">
        <v>280</v>
      </c>
      <c r="I2391" s="591" t="s">
        <v>280</v>
      </c>
    </row>
    <row r="2392" spans="1:9">
      <c r="A2392" s="582" t="s">
        <v>491</v>
      </c>
      <c r="B2392" s="65">
        <v>2590</v>
      </c>
      <c r="C2392" s="579" t="s">
        <v>281</v>
      </c>
      <c r="D2392" s="579"/>
      <c r="E2392" s="583"/>
      <c r="F2392" s="596"/>
      <c r="G2392" s="65">
        <v>0</v>
      </c>
      <c r="H2392" s="591" t="s">
        <v>280</v>
      </c>
      <c r="I2392" s="591" t="s">
        <v>280</v>
      </c>
    </row>
    <row r="2393" spans="1:9">
      <c r="A2393" s="582" t="s">
        <v>491</v>
      </c>
      <c r="B2393" s="65">
        <v>2591</v>
      </c>
      <c r="C2393" s="579" t="s">
        <v>281</v>
      </c>
      <c r="D2393" s="579"/>
      <c r="E2393" s="583"/>
      <c r="F2393" s="596"/>
      <c r="G2393" s="65">
        <v>0</v>
      </c>
      <c r="H2393" s="591" t="s">
        <v>280</v>
      </c>
      <c r="I2393" s="591" t="s">
        <v>280</v>
      </c>
    </row>
    <row r="2394" spans="1:9">
      <c r="A2394" s="582" t="s">
        <v>491</v>
      </c>
      <c r="B2394" s="65">
        <v>2592</v>
      </c>
      <c r="C2394" s="579" t="s">
        <v>281</v>
      </c>
      <c r="D2394" s="579"/>
      <c r="E2394" s="583"/>
      <c r="F2394" s="596"/>
      <c r="G2394" s="65">
        <v>0</v>
      </c>
      <c r="H2394" s="591" t="s">
        <v>280</v>
      </c>
      <c r="I2394" s="591" t="s">
        <v>280</v>
      </c>
    </row>
    <row r="2395" spans="1:9">
      <c r="A2395" s="582" t="s">
        <v>491</v>
      </c>
      <c r="B2395" s="65">
        <v>2593</v>
      </c>
      <c r="C2395" s="579" t="s">
        <v>281</v>
      </c>
      <c r="D2395" s="579"/>
      <c r="E2395" s="583"/>
      <c r="F2395" s="596"/>
      <c r="G2395" s="65">
        <v>0</v>
      </c>
      <c r="H2395" s="591" t="s">
        <v>280</v>
      </c>
      <c r="I2395" s="591" t="s">
        <v>280</v>
      </c>
    </row>
    <row r="2396" spans="1:9">
      <c r="A2396" s="582" t="s">
        <v>491</v>
      </c>
      <c r="B2396" s="65">
        <v>2594</v>
      </c>
      <c r="C2396" s="579" t="s">
        <v>281</v>
      </c>
      <c r="D2396" s="579"/>
      <c r="E2396" s="583"/>
      <c r="F2396" s="596"/>
      <c r="G2396" s="65">
        <v>0</v>
      </c>
      <c r="H2396" s="591" t="s">
        <v>280</v>
      </c>
      <c r="I2396" s="591" t="s">
        <v>280</v>
      </c>
    </row>
    <row r="2397" spans="1:9">
      <c r="A2397" s="582" t="s">
        <v>491</v>
      </c>
      <c r="B2397" s="65">
        <v>2595</v>
      </c>
      <c r="C2397" s="579" t="s">
        <v>281</v>
      </c>
      <c r="D2397" s="579"/>
      <c r="E2397" s="583"/>
      <c r="F2397" s="596"/>
      <c r="G2397" s="65">
        <v>0</v>
      </c>
      <c r="H2397" s="591" t="s">
        <v>280</v>
      </c>
      <c r="I2397" s="591" t="s">
        <v>280</v>
      </c>
    </row>
    <row r="2398" spans="1:9">
      <c r="A2398" s="582" t="s">
        <v>491</v>
      </c>
      <c r="B2398" s="65">
        <v>2596</v>
      </c>
      <c r="C2398" s="579" t="s">
        <v>281</v>
      </c>
      <c r="D2398" s="579"/>
      <c r="E2398" s="583"/>
      <c r="F2398" s="596"/>
      <c r="G2398" s="65">
        <v>0</v>
      </c>
      <c r="H2398" s="591" t="s">
        <v>280</v>
      </c>
      <c r="I2398" s="591" t="s">
        <v>280</v>
      </c>
    </row>
    <row r="2399" spans="1:9">
      <c r="A2399" s="582" t="s">
        <v>491</v>
      </c>
      <c r="B2399" s="65">
        <v>2597</v>
      </c>
      <c r="C2399" s="579" t="s">
        <v>281</v>
      </c>
      <c r="D2399" s="579"/>
      <c r="E2399" s="583"/>
      <c r="F2399" s="596"/>
      <c r="G2399" s="65">
        <v>0</v>
      </c>
      <c r="H2399" s="591" t="s">
        <v>280</v>
      </c>
      <c r="I2399" s="591" t="s">
        <v>280</v>
      </c>
    </row>
    <row r="2400" spans="1:9">
      <c r="A2400" s="582" t="s">
        <v>491</v>
      </c>
      <c r="B2400" s="65">
        <v>2598</v>
      </c>
      <c r="C2400" s="579" t="s">
        <v>281</v>
      </c>
      <c r="D2400" s="579"/>
      <c r="E2400" s="583"/>
      <c r="F2400" s="596"/>
      <c r="G2400" s="65">
        <v>0</v>
      </c>
      <c r="H2400" s="591" t="s">
        <v>280</v>
      </c>
      <c r="I2400" s="591" t="s">
        <v>280</v>
      </c>
    </row>
    <row r="2401" spans="1:10">
      <c r="A2401" s="582" t="s">
        <v>491</v>
      </c>
      <c r="B2401" s="65">
        <v>2599</v>
      </c>
      <c r="C2401" s="579" t="s">
        <v>281</v>
      </c>
      <c r="D2401" s="579"/>
      <c r="E2401" s="583"/>
      <c r="F2401" s="596"/>
      <c r="G2401" s="65">
        <v>0</v>
      </c>
      <c r="H2401" s="591" t="s">
        <v>280</v>
      </c>
      <c r="I2401" s="591" t="s">
        <v>280</v>
      </c>
    </row>
    <row r="2402" spans="1:10">
      <c r="A2402" s="582" t="s">
        <v>501</v>
      </c>
      <c r="B2402" s="65">
        <v>2600</v>
      </c>
      <c r="C2402" s="579" t="s">
        <v>279</v>
      </c>
      <c r="D2402" s="579"/>
      <c r="E2402" s="583"/>
      <c r="F2402" s="585">
        <v>45535</v>
      </c>
      <c r="G2402" s="65">
        <v>1</v>
      </c>
      <c r="H2402" s="591" t="s">
        <v>280</v>
      </c>
      <c r="I2402" s="591" t="s">
        <v>280</v>
      </c>
    </row>
    <row r="2403" spans="1:10">
      <c r="A2403" s="582" t="s">
        <v>501</v>
      </c>
      <c r="B2403" s="65">
        <v>2601</v>
      </c>
      <c r="C2403" s="65" t="s">
        <v>281</v>
      </c>
      <c r="D2403" s="65"/>
      <c r="E2403" s="583"/>
      <c r="F2403" s="596"/>
      <c r="G2403" s="65">
        <v>0</v>
      </c>
      <c r="H2403" s="591" t="s">
        <v>280</v>
      </c>
      <c r="I2403" s="591" t="s">
        <v>280</v>
      </c>
    </row>
    <row r="2404" spans="1:10">
      <c r="A2404" s="582" t="s">
        <v>501</v>
      </c>
      <c r="B2404" s="65">
        <v>2602</v>
      </c>
      <c r="C2404" s="65" t="s">
        <v>502</v>
      </c>
      <c r="D2404" s="579">
        <v>10067</v>
      </c>
      <c r="E2404" s="583"/>
      <c r="F2404" s="585">
        <v>45535</v>
      </c>
      <c r="G2404" s="65">
        <v>1</v>
      </c>
      <c r="H2404" s="591" t="s">
        <v>1976</v>
      </c>
      <c r="I2404" s="591" t="s">
        <v>104</v>
      </c>
      <c r="J2404" s="57"/>
    </row>
    <row r="2405" spans="1:10">
      <c r="A2405" s="582" t="s">
        <v>501</v>
      </c>
      <c r="B2405" s="65">
        <v>2603</v>
      </c>
      <c r="C2405" s="65" t="s">
        <v>503</v>
      </c>
      <c r="D2405" s="63">
        <v>10156</v>
      </c>
      <c r="E2405" s="583"/>
      <c r="F2405" s="585">
        <v>45535</v>
      </c>
      <c r="G2405" s="65">
        <v>1</v>
      </c>
      <c r="H2405" s="591" t="s">
        <v>35</v>
      </c>
      <c r="I2405" s="591" t="s">
        <v>21</v>
      </c>
      <c r="J2405" s="57"/>
    </row>
    <row r="2406" spans="1:10">
      <c r="A2406" s="582" t="s">
        <v>501</v>
      </c>
      <c r="B2406" s="65">
        <v>2604</v>
      </c>
      <c r="C2406" s="65" t="s">
        <v>504</v>
      </c>
      <c r="D2406" s="579">
        <v>10315</v>
      </c>
      <c r="E2406" s="583"/>
      <c r="F2406" s="585">
        <v>45535</v>
      </c>
      <c r="G2406" s="65">
        <v>1</v>
      </c>
      <c r="H2406" s="591" t="s">
        <v>1976</v>
      </c>
      <c r="I2406" s="591" t="s">
        <v>104</v>
      </c>
      <c r="J2406" s="57"/>
    </row>
    <row r="2407" spans="1:10">
      <c r="A2407" s="582" t="s">
        <v>501</v>
      </c>
      <c r="B2407" s="65">
        <v>2605</v>
      </c>
      <c r="C2407" s="65" t="s">
        <v>1766</v>
      </c>
      <c r="D2407" s="579">
        <v>10512</v>
      </c>
      <c r="E2407" s="583"/>
      <c r="F2407" s="585">
        <v>45535</v>
      </c>
      <c r="G2407" s="65">
        <v>1</v>
      </c>
      <c r="H2407" s="591" t="s">
        <v>280</v>
      </c>
      <c r="I2407" s="591" t="s">
        <v>280</v>
      </c>
      <c r="J2407" s="57"/>
    </row>
    <row r="2408" spans="1:10">
      <c r="A2408" s="582" t="s">
        <v>501</v>
      </c>
      <c r="B2408" s="65">
        <v>2606</v>
      </c>
      <c r="C2408" s="65" t="s">
        <v>281</v>
      </c>
      <c r="D2408" s="65"/>
      <c r="E2408" s="583"/>
      <c r="F2408" s="596"/>
      <c r="G2408" s="65">
        <v>0</v>
      </c>
      <c r="H2408" s="591" t="s">
        <v>280</v>
      </c>
      <c r="I2408" s="591" t="s">
        <v>280</v>
      </c>
      <c r="J2408" s="57"/>
    </row>
    <row r="2409" spans="1:10">
      <c r="A2409" s="582" t="s">
        <v>501</v>
      </c>
      <c r="B2409" s="65">
        <v>2607</v>
      </c>
      <c r="C2409" s="65" t="s">
        <v>505</v>
      </c>
      <c r="D2409" s="65">
        <v>10412</v>
      </c>
      <c r="E2409" s="583"/>
      <c r="F2409" s="585">
        <v>45535</v>
      </c>
      <c r="G2409" s="65">
        <v>1</v>
      </c>
      <c r="H2409" s="591" t="s">
        <v>1976</v>
      </c>
      <c r="I2409" s="591" t="s">
        <v>104</v>
      </c>
      <c r="J2409" s="57"/>
    </row>
    <row r="2410" spans="1:10">
      <c r="A2410" s="582" t="s">
        <v>501</v>
      </c>
      <c r="B2410" s="65">
        <v>2608</v>
      </c>
      <c r="C2410" s="65" t="s">
        <v>506</v>
      </c>
      <c r="D2410" s="63">
        <v>10078</v>
      </c>
      <c r="E2410" s="583"/>
      <c r="F2410" s="585">
        <v>45535</v>
      </c>
      <c r="G2410" s="65">
        <v>1</v>
      </c>
      <c r="H2410" s="591" t="s">
        <v>35</v>
      </c>
      <c r="I2410" s="591" t="s">
        <v>21</v>
      </c>
      <c r="J2410" s="57"/>
    </row>
    <row r="2411" spans="1:10">
      <c r="A2411" s="582" t="s">
        <v>501</v>
      </c>
      <c r="B2411" s="65">
        <v>2609</v>
      </c>
      <c r="C2411" s="65" t="s">
        <v>281</v>
      </c>
      <c r="D2411" s="65"/>
      <c r="E2411" s="583"/>
      <c r="F2411" s="596"/>
      <c r="G2411" s="65">
        <v>0</v>
      </c>
      <c r="H2411" s="591" t="s">
        <v>280</v>
      </c>
      <c r="I2411" s="591" t="s">
        <v>280</v>
      </c>
      <c r="J2411" s="57"/>
    </row>
    <row r="2412" spans="1:10">
      <c r="A2412" s="582" t="s">
        <v>501</v>
      </c>
      <c r="B2412" s="65">
        <v>2610</v>
      </c>
      <c r="C2412" s="65" t="s">
        <v>281</v>
      </c>
      <c r="D2412" s="65"/>
      <c r="E2412" s="583"/>
      <c r="F2412" s="596"/>
      <c r="G2412" s="65">
        <v>0</v>
      </c>
      <c r="H2412" s="591" t="s">
        <v>280</v>
      </c>
      <c r="I2412" s="591" t="s">
        <v>280</v>
      </c>
      <c r="J2412" s="57"/>
    </row>
    <row r="2413" spans="1:10">
      <c r="A2413" s="582" t="s">
        <v>501</v>
      </c>
      <c r="B2413" s="65">
        <v>2611</v>
      </c>
      <c r="C2413" s="65" t="s">
        <v>507</v>
      </c>
      <c r="D2413" s="579">
        <v>10443</v>
      </c>
      <c r="E2413" s="583"/>
      <c r="F2413" s="585">
        <v>45535</v>
      </c>
      <c r="G2413" s="65">
        <v>1</v>
      </c>
      <c r="H2413" s="591" t="s">
        <v>1976</v>
      </c>
      <c r="I2413" s="591" t="s">
        <v>104</v>
      </c>
    </row>
    <row r="2414" spans="1:10">
      <c r="A2414" s="582" t="s">
        <v>501</v>
      </c>
      <c r="B2414" s="65">
        <v>2612</v>
      </c>
      <c r="C2414" s="579" t="s">
        <v>281</v>
      </c>
      <c r="D2414" s="63"/>
      <c r="E2414" s="583"/>
      <c r="F2414" s="596"/>
      <c r="G2414" s="65">
        <v>0</v>
      </c>
      <c r="H2414" s="591" t="s">
        <v>280</v>
      </c>
      <c r="I2414" s="591" t="s">
        <v>280</v>
      </c>
    </row>
    <row r="2415" spans="1:10">
      <c r="A2415" s="582" t="s">
        <v>501</v>
      </c>
      <c r="B2415" s="65">
        <v>2613</v>
      </c>
      <c r="C2415" s="65" t="s">
        <v>509</v>
      </c>
      <c r="D2415" s="63">
        <v>10344</v>
      </c>
      <c r="E2415" s="583"/>
      <c r="F2415" s="585">
        <v>45535</v>
      </c>
      <c r="G2415" s="65">
        <v>1</v>
      </c>
      <c r="H2415" s="591" t="s">
        <v>1976</v>
      </c>
      <c r="I2415" s="591" t="s">
        <v>104</v>
      </c>
    </row>
    <row r="2416" spans="1:10">
      <c r="A2416" s="582" t="s">
        <v>501</v>
      </c>
      <c r="B2416" s="65">
        <v>2614</v>
      </c>
      <c r="C2416" s="65" t="s">
        <v>510</v>
      </c>
      <c r="D2416" s="65">
        <v>10694</v>
      </c>
      <c r="E2416" s="583"/>
      <c r="F2416" s="585">
        <v>45535</v>
      </c>
      <c r="G2416" s="65">
        <v>1</v>
      </c>
      <c r="H2416" s="591" t="s">
        <v>1976</v>
      </c>
      <c r="I2416" s="591" t="s">
        <v>104</v>
      </c>
    </row>
    <row r="2417" spans="1:9">
      <c r="A2417" s="582" t="s">
        <v>501</v>
      </c>
      <c r="B2417" s="65">
        <v>2615</v>
      </c>
      <c r="C2417" s="65" t="s">
        <v>1767</v>
      </c>
      <c r="D2417" s="65">
        <v>10914</v>
      </c>
      <c r="E2417" s="583"/>
      <c r="F2417" s="585">
        <v>45535</v>
      </c>
      <c r="G2417" s="65">
        <v>1</v>
      </c>
      <c r="H2417" s="591" t="s">
        <v>35</v>
      </c>
      <c r="I2417" s="591" t="s">
        <v>21</v>
      </c>
    </row>
    <row r="2418" spans="1:9">
      <c r="A2418" s="582" t="s">
        <v>501</v>
      </c>
      <c r="B2418" s="65">
        <v>2616</v>
      </c>
      <c r="C2418" s="65" t="s">
        <v>511</v>
      </c>
      <c r="D2418" s="63">
        <v>10642</v>
      </c>
      <c r="E2418" s="583"/>
      <c r="F2418" s="585">
        <v>45535</v>
      </c>
      <c r="G2418" s="65">
        <v>1</v>
      </c>
      <c r="H2418" s="591" t="s">
        <v>1976</v>
      </c>
      <c r="I2418" s="591" t="s">
        <v>104</v>
      </c>
    </row>
    <row r="2419" spans="1:9">
      <c r="A2419" s="582" t="s">
        <v>501</v>
      </c>
      <c r="B2419" s="65">
        <v>2617</v>
      </c>
      <c r="C2419" s="579" t="s">
        <v>512</v>
      </c>
      <c r="D2419" s="579">
        <v>10246</v>
      </c>
      <c r="E2419" s="583"/>
      <c r="F2419" s="585">
        <v>45535</v>
      </c>
      <c r="G2419" s="65">
        <v>1</v>
      </c>
      <c r="H2419" s="591" t="s">
        <v>35</v>
      </c>
      <c r="I2419" s="591" t="s">
        <v>21</v>
      </c>
    </row>
    <row r="2420" spans="1:9">
      <c r="A2420" s="582" t="s">
        <v>501</v>
      </c>
      <c r="B2420" s="65">
        <v>2618</v>
      </c>
      <c r="C2420" s="579" t="s">
        <v>513</v>
      </c>
      <c r="D2420" s="579">
        <v>10267</v>
      </c>
      <c r="E2420" s="583"/>
      <c r="F2420" s="585">
        <v>45535</v>
      </c>
      <c r="G2420" s="65">
        <v>1</v>
      </c>
      <c r="H2420" s="591" t="s">
        <v>35</v>
      </c>
      <c r="I2420" s="591" t="s">
        <v>21</v>
      </c>
    </row>
    <row r="2421" spans="1:9">
      <c r="A2421" s="582" t="s">
        <v>501</v>
      </c>
      <c r="B2421" s="65">
        <v>2619</v>
      </c>
      <c r="C2421" s="579" t="s">
        <v>514</v>
      </c>
      <c r="D2421" s="579">
        <v>10154</v>
      </c>
      <c r="E2421" s="583"/>
      <c r="F2421" s="585">
        <v>45535</v>
      </c>
      <c r="G2421" s="65">
        <v>1</v>
      </c>
      <c r="H2421" s="591" t="s">
        <v>35</v>
      </c>
      <c r="I2421" s="591" t="s">
        <v>21</v>
      </c>
    </row>
    <row r="2422" spans="1:9">
      <c r="A2422" s="582" t="s">
        <v>501</v>
      </c>
      <c r="B2422" s="65">
        <v>2620</v>
      </c>
      <c r="C2422" s="579" t="s">
        <v>281</v>
      </c>
      <c r="D2422" s="63"/>
      <c r="E2422" s="583"/>
      <c r="F2422" s="596"/>
      <c r="G2422" s="65">
        <v>0</v>
      </c>
      <c r="H2422" s="591" t="s">
        <v>280</v>
      </c>
      <c r="I2422" s="591" t="s">
        <v>280</v>
      </c>
    </row>
    <row r="2423" spans="1:9">
      <c r="A2423" s="582" t="s">
        <v>501</v>
      </c>
      <c r="B2423" s="65">
        <v>2621</v>
      </c>
      <c r="C2423" s="579" t="s">
        <v>516</v>
      </c>
      <c r="D2423" s="63">
        <v>10119</v>
      </c>
      <c r="E2423" s="583"/>
      <c r="F2423" s="585">
        <v>45535</v>
      </c>
      <c r="G2423" s="65">
        <v>1</v>
      </c>
      <c r="H2423" s="591" t="s">
        <v>280</v>
      </c>
      <c r="I2423" s="591" t="s">
        <v>280</v>
      </c>
    </row>
    <row r="2424" spans="1:9">
      <c r="A2424" s="582" t="s">
        <v>501</v>
      </c>
      <c r="B2424" s="65">
        <v>2622</v>
      </c>
      <c r="C2424" s="579" t="s">
        <v>517</v>
      </c>
      <c r="D2424" s="579">
        <v>10346</v>
      </c>
      <c r="E2424" s="583"/>
      <c r="F2424" s="585">
        <v>45535</v>
      </c>
      <c r="G2424" s="65">
        <v>1</v>
      </c>
      <c r="H2424" s="591" t="s">
        <v>280</v>
      </c>
      <c r="I2424" s="591" t="s">
        <v>280</v>
      </c>
    </row>
    <row r="2425" spans="1:9">
      <c r="A2425" s="582" t="s">
        <v>501</v>
      </c>
      <c r="B2425" s="65">
        <v>2623</v>
      </c>
      <c r="C2425" s="579" t="s">
        <v>518</v>
      </c>
      <c r="D2425" s="579">
        <v>10310</v>
      </c>
      <c r="E2425" s="583"/>
      <c r="F2425" s="585">
        <v>45535</v>
      </c>
      <c r="G2425" s="65">
        <v>1</v>
      </c>
      <c r="H2425" s="591" t="s">
        <v>1976</v>
      </c>
      <c r="I2425" s="591" t="s">
        <v>104</v>
      </c>
    </row>
    <row r="2426" spans="1:9">
      <c r="A2426" s="582" t="s">
        <v>501</v>
      </c>
      <c r="B2426" s="65">
        <v>2624</v>
      </c>
      <c r="C2426" s="579" t="s">
        <v>519</v>
      </c>
      <c r="D2426" s="579">
        <v>10452</v>
      </c>
      <c r="E2426" s="583"/>
      <c r="F2426" s="585">
        <v>45535</v>
      </c>
      <c r="G2426" s="65">
        <v>1</v>
      </c>
      <c r="H2426" s="591" t="s">
        <v>1976</v>
      </c>
      <c r="I2426" s="591" t="s">
        <v>104</v>
      </c>
    </row>
    <row r="2427" spans="1:9">
      <c r="A2427" s="582" t="s">
        <v>501</v>
      </c>
      <c r="B2427" s="65">
        <v>2625</v>
      </c>
      <c r="C2427" s="579" t="s">
        <v>520</v>
      </c>
      <c r="D2427" s="63">
        <v>10096</v>
      </c>
      <c r="E2427" s="583"/>
      <c r="F2427" s="585">
        <v>45535</v>
      </c>
      <c r="G2427" s="65">
        <v>1</v>
      </c>
      <c r="H2427" s="591" t="s">
        <v>35</v>
      </c>
      <c r="I2427" s="591" t="s">
        <v>21</v>
      </c>
    </row>
    <row r="2428" spans="1:9">
      <c r="A2428" s="582" t="s">
        <v>501</v>
      </c>
      <c r="B2428" s="65">
        <v>2626</v>
      </c>
      <c r="C2428" s="579" t="s">
        <v>521</v>
      </c>
      <c r="D2428" s="579">
        <v>10082</v>
      </c>
      <c r="E2428" s="583"/>
      <c r="F2428" s="585">
        <v>45535</v>
      </c>
      <c r="G2428" s="65">
        <v>1</v>
      </c>
      <c r="H2428" s="591" t="s">
        <v>35</v>
      </c>
      <c r="I2428" s="591" t="s">
        <v>21</v>
      </c>
    </row>
    <row r="2429" spans="1:9">
      <c r="A2429" s="582" t="s">
        <v>501</v>
      </c>
      <c r="B2429" s="65">
        <v>2627</v>
      </c>
      <c r="C2429" s="579" t="s">
        <v>522</v>
      </c>
      <c r="D2429" s="579">
        <v>10238</v>
      </c>
      <c r="E2429" s="583"/>
      <c r="F2429" s="585">
        <v>45535</v>
      </c>
      <c r="G2429" s="65">
        <v>1</v>
      </c>
      <c r="H2429" s="591" t="s">
        <v>35</v>
      </c>
      <c r="I2429" s="591" t="s">
        <v>21</v>
      </c>
    </row>
    <row r="2430" spans="1:9">
      <c r="A2430" s="582" t="s">
        <v>501</v>
      </c>
      <c r="B2430" s="65">
        <v>2628</v>
      </c>
      <c r="C2430" s="579" t="s">
        <v>523</v>
      </c>
      <c r="D2430" s="63">
        <v>10155</v>
      </c>
      <c r="E2430" s="583"/>
      <c r="F2430" s="585">
        <v>45535</v>
      </c>
      <c r="G2430" s="65">
        <v>1</v>
      </c>
      <c r="H2430" s="591" t="s">
        <v>1976</v>
      </c>
      <c r="I2430" s="591" t="s">
        <v>104</v>
      </c>
    </row>
    <row r="2431" spans="1:9">
      <c r="A2431" s="582" t="s">
        <v>501</v>
      </c>
      <c r="B2431" s="65">
        <v>2629</v>
      </c>
      <c r="C2431" s="579" t="s">
        <v>1768</v>
      </c>
      <c r="D2431" s="579">
        <v>10809</v>
      </c>
      <c r="E2431" s="583"/>
      <c r="F2431" s="585">
        <v>45535</v>
      </c>
      <c r="G2431" s="65">
        <v>1</v>
      </c>
      <c r="H2431" s="591" t="s">
        <v>35</v>
      </c>
      <c r="I2431" s="591" t="s">
        <v>21</v>
      </c>
    </row>
    <row r="2432" spans="1:9">
      <c r="A2432" s="580" t="s">
        <v>501</v>
      </c>
      <c r="B2432" s="65">
        <v>2630</v>
      </c>
      <c r="C2432" s="65" t="s">
        <v>1769</v>
      </c>
      <c r="D2432" s="65">
        <v>10967</v>
      </c>
      <c r="E2432" s="583"/>
      <c r="F2432" s="585">
        <v>45535</v>
      </c>
      <c r="G2432" s="65">
        <v>1</v>
      </c>
      <c r="H2432" s="591" t="s">
        <v>280</v>
      </c>
      <c r="I2432" s="591" t="s">
        <v>280</v>
      </c>
    </row>
    <row r="2433" spans="1:9">
      <c r="A2433" s="580" t="s">
        <v>501</v>
      </c>
      <c r="B2433" s="65">
        <v>2631</v>
      </c>
      <c r="C2433" s="65" t="s">
        <v>1770</v>
      </c>
      <c r="D2433" s="65">
        <v>10968</v>
      </c>
      <c r="E2433" s="583"/>
      <c r="F2433" s="585">
        <v>45535</v>
      </c>
      <c r="G2433" s="65">
        <v>1</v>
      </c>
      <c r="H2433" s="591" t="s">
        <v>1976</v>
      </c>
      <c r="I2433" s="591" t="s">
        <v>104</v>
      </c>
    </row>
    <row r="2434" spans="1:9">
      <c r="A2434" s="580" t="s">
        <v>501</v>
      </c>
      <c r="B2434" s="65">
        <v>2632</v>
      </c>
      <c r="C2434" s="579" t="s">
        <v>281</v>
      </c>
      <c r="D2434" s="579"/>
      <c r="E2434" s="583"/>
      <c r="F2434" s="596"/>
      <c r="G2434" s="65">
        <v>0</v>
      </c>
      <c r="H2434" s="591" t="s">
        <v>280</v>
      </c>
      <c r="I2434" s="591" t="s">
        <v>280</v>
      </c>
    </row>
    <row r="2435" spans="1:9">
      <c r="A2435" s="582" t="s">
        <v>501</v>
      </c>
      <c r="B2435" s="65">
        <v>2633</v>
      </c>
      <c r="C2435" s="579" t="s">
        <v>281</v>
      </c>
      <c r="D2435" s="579"/>
      <c r="E2435" s="583"/>
      <c r="F2435" s="596"/>
      <c r="G2435" s="65">
        <v>0</v>
      </c>
      <c r="H2435" s="591" t="s">
        <v>280</v>
      </c>
      <c r="I2435" s="591" t="s">
        <v>280</v>
      </c>
    </row>
    <row r="2436" spans="1:9">
      <c r="A2436" s="582" t="s">
        <v>501</v>
      </c>
      <c r="B2436" s="65">
        <v>2634</v>
      </c>
      <c r="C2436" s="579" t="s">
        <v>281</v>
      </c>
      <c r="D2436" s="579"/>
      <c r="E2436" s="583"/>
      <c r="F2436" s="596"/>
      <c r="G2436" s="65">
        <v>0</v>
      </c>
      <c r="H2436" s="591" t="s">
        <v>280</v>
      </c>
      <c r="I2436" s="591" t="s">
        <v>280</v>
      </c>
    </row>
    <row r="2437" spans="1:9">
      <c r="A2437" s="582" t="s">
        <v>501</v>
      </c>
      <c r="B2437" s="65">
        <v>2635</v>
      </c>
      <c r="C2437" s="579" t="s">
        <v>281</v>
      </c>
      <c r="D2437" s="579"/>
      <c r="E2437" s="583"/>
      <c r="F2437" s="596"/>
      <c r="G2437" s="65">
        <v>0</v>
      </c>
      <c r="H2437" s="591" t="s">
        <v>280</v>
      </c>
      <c r="I2437" s="591" t="s">
        <v>280</v>
      </c>
    </row>
    <row r="2438" spans="1:9">
      <c r="A2438" s="582" t="s">
        <v>501</v>
      </c>
      <c r="B2438" s="65">
        <v>2636</v>
      </c>
      <c r="C2438" s="579" t="s">
        <v>281</v>
      </c>
      <c r="D2438" s="579"/>
      <c r="E2438" s="583"/>
      <c r="F2438" s="596"/>
      <c r="G2438" s="65">
        <v>0</v>
      </c>
      <c r="H2438" s="591" t="s">
        <v>280</v>
      </c>
      <c r="I2438" s="591" t="s">
        <v>280</v>
      </c>
    </row>
    <row r="2439" spans="1:9">
      <c r="A2439" s="582" t="s">
        <v>501</v>
      </c>
      <c r="B2439" s="65">
        <v>2637</v>
      </c>
      <c r="C2439" s="579" t="s">
        <v>281</v>
      </c>
      <c r="D2439" s="579"/>
      <c r="E2439" s="583"/>
      <c r="F2439" s="596"/>
      <c r="G2439" s="65">
        <v>0</v>
      </c>
      <c r="H2439" s="591" t="s">
        <v>280</v>
      </c>
      <c r="I2439" s="591" t="s">
        <v>280</v>
      </c>
    </row>
    <row r="2440" spans="1:9">
      <c r="A2440" s="582" t="s">
        <v>501</v>
      </c>
      <c r="B2440" s="65">
        <v>2638</v>
      </c>
      <c r="C2440" s="579" t="s">
        <v>281</v>
      </c>
      <c r="D2440" s="579"/>
      <c r="E2440" s="583"/>
      <c r="F2440" s="596"/>
      <c r="G2440" s="65">
        <v>0</v>
      </c>
      <c r="H2440" s="591" t="s">
        <v>280</v>
      </c>
      <c r="I2440" s="591" t="s">
        <v>280</v>
      </c>
    </row>
    <row r="2441" spans="1:9">
      <c r="A2441" s="582" t="s">
        <v>501</v>
      </c>
      <c r="B2441" s="65">
        <v>2639</v>
      </c>
      <c r="C2441" s="579" t="s">
        <v>281</v>
      </c>
      <c r="D2441" s="579"/>
      <c r="E2441" s="583"/>
      <c r="F2441" s="596"/>
      <c r="G2441" s="65">
        <v>0</v>
      </c>
      <c r="H2441" s="591" t="s">
        <v>280</v>
      </c>
      <c r="I2441" s="591" t="s">
        <v>280</v>
      </c>
    </row>
    <row r="2442" spans="1:9">
      <c r="A2442" s="582" t="s">
        <v>501</v>
      </c>
      <c r="B2442" s="65">
        <v>2640</v>
      </c>
      <c r="C2442" s="579" t="s">
        <v>281</v>
      </c>
      <c r="D2442" s="579"/>
      <c r="E2442" s="583"/>
      <c r="F2442" s="596"/>
      <c r="G2442" s="65">
        <v>0</v>
      </c>
      <c r="H2442" s="591" t="s">
        <v>280</v>
      </c>
      <c r="I2442" s="591" t="s">
        <v>280</v>
      </c>
    </row>
    <row r="2443" spans="1:9">
      <c r="A2443" s="582" t="s">
        <v>501</v>
      </c>
      <c r="B2443" s="65">
        <v>2641</v>
      </c>
      <c r="C2443" s="579" t="s">
        <v>281</v>
      </c>
      <c r="D2443" s="579"/>
      <c r="E2443" s="583"/>
      <c r="F2443" s="596"/>
      <c r="G2443" s="65">
        <v>0</v>
      </c>
      <c r="H2443" s="591" t="s">
        <v>280</v>
      </c>
      <c r="I2443" s="591" t="s">
        <v>280</v>
      </c>
    </row>
    <row r="2444" spans="1:9">
      <c r="A2444" s="582" t="s">
        <v>501</v>
      </c>
      <c r="B2444" s="65">
        <v>2642</v>
      </c>
      <c r="C2444" s="579" t="s">
        <v>281</v>
      </c>
      <c r="D2444" s="579"/>
      <c r="E2444" s="583"/>
      <c r="F2444" s="596"/>
      <c r="G2444" s="65">
        <v>0</v>
      </c>
      <c r="H2444" s="591" t="s">
        <v>280</v>
      </c>
      <c r="I2444" s="591" t="s">
        <v>280</v>
      </c>
    </row>
    <row r="2445" spans="1:9">
      <c r="A2445" s="582" t="s">
        <v>501</v>
      </c>
      <c r="B2445" s="65">
        <v>2643</v>
      </c>
      <c r="C2445" s="579" t="s">
        <v>281</v>
      </c>
      <c r="D2445" s="579"/>
      <c r="E2445" s="583"/>
      <c r="F2445" s="596"/>
      <c r="G2445" s="65">
        <v>0</v>
      </c>
      <c r="H2445" s="591" t="s">
        <v>280</v>
      </c>
      <c r="I2445" s="591" t="s">
        <v>280</v>
      </c>
    </row>
    <row r="2446" spans="1:9">
      <c r="A2446" s="582" t="s">
        <v>501</v>
      </c>
      <c r="B2446" s="65">
        <v>2644</v>
      </c>
      <c r="C2446" s="579" t="s">
        <v>281</v>
      </c>
      <c r="D2446" s="579"/>
      <c r="E2446" s="583"/>
      <c r="F2446" s="596"/>
      <c r="G2446" s="65">
        <v>0</v>
      </c>
      <c r="H2446" s="591" t="s">
        <v>280</v>
      </c>
      <c r="I2446" s="591" t="s">
        <v>280</v>
      </c>
    </row>
    <row r="2447" spans="1:9">
      <c r="A2447" s="582" t="s">
        <v>501</v>
      </c>
      <c r="B2447" s="65">
        <v>2645</v>
      </c>
      <c r="C2447" s="579" t="s">
        <v>281</v>
      </c>
      <c r="D2447" s="579"/>
      <c r="E2447" s="583"/>
      <c r="F2447" s="596"/>
      <c r="G2447" s="65">
        <v>0</v>
      </c>
      <c r="H2447" s="591" t="s">
        <v>280</v>
      </c>
      <c r="I2447" s="591" t="s">
        <v>280</v>
      </c>
    </row>
    <row r="2448" spans="1:9">
      <c r="A2448" s="582" t="s">
        <v>501</v>
      </c>
      <c r="B2448" s="65">
        <v>2646</v>
      </c>
      <c r="C2448" s="579" t="s">
        <v>281</v>
      </c>
      <c r="D2448" s="579"/>
      <c r="E2448" s="583"/>
      <c r="F2448" s="596"/>
      <c r="G2448" s="65">
        <v>0</v>
      </c>
      <c r="H2448" s="591" t="s">
        <v>280</v>
      </c>
      <c r="I2448" s="591" t="s">
        <v>280</v>
      </c>
    </row>
    <row r="2449" spans="1:9">
      <c r="A2449" s="582" t="s">
        <v>501</v>
      </c>
      <c r="B2449" s="65">
        <v>2647</v>
      </c>
      <c r="C2449" s="579" t="s">
        <v>281</v>
      </c>
      <c r="D2449" s="579"/>
      <c r="E2449" s="583"/>
      <c r="F2449" s="596"/>
      <c r="G2449" s="65">
        <v>0</v>
      </c>
      <c r="H2449" s="591" t="s">
        <v>280</v>
      </c>
      <c r="I2449" s="591" t="s">
        <v>280</v>
      </c>
    </row>
    <row r="2450" spans="1:9">
      <c r="A2450" s="582" t="s">
        <v>501</v>
      </c>
      <c r="B2450" s="65">
        <v>2648</v>
      </c>
      <c r="C2450" s="579" t="s">
        <v>281</v>
      </c>
      <c r="D2450" s="579"/>
      <c r="E2450" s="583"/>
      <c r="F2450" s="596"/>
      <c r="G2450" s="65">
        <v>0</v>
      </c>
      <c r="H2450" s="591" t="s">
        <v>280</v>
      </c>
      <c r="I2450" s="591" t="s">
        <v>280</v>
      </c>
    </row>
    <row r="2451" spans="1:9">
      <c r="A2451" s="582" t="s">
        <v>501</v>
      </c>
      <c r="B2451" s="65">
        <v>2649</v>
      </c>
      <c r="C2451" s="579" t="s">
        <v>281</v>
      </c>
      <c r="D2451" s="579"/>
      <c r="E2451" s="583"/>
      <c r="F2451" s="596"/>
      <c r="G2451" s="65">
        <v>0</v>
      </c>
      <c r="H2451" s="591" t="s">
        <v>280</v>
      </c>
      <c r="I2451" s="591" t="s">
        <v>280</v>
      </c>
    </row>
    <row r="2452" spans="1:9">
      <c r="A2452" s="582" t="s">
        <v>501</v>
      </c>
      <c r="B2452" s="65">
        <v>2650</v>
      </c>
      <c r="C2452" s="579" t="s">
        <v>281</v>
      </c>
      <c r="D2452" s="579"/>
      <c r="E2452" s="583"/>
      <c r="F2452" s="596"/>
      <c r="G2452" s="65">
        <v>0</v>
      </c>
      <c r="H2452" s="591" t="s">
        <v>280</v>
      </c>
      <c r="I2452" s="591" t="s">
        <v>280</v>
      </c>
    </row>
    <row r="2453" spans="1:9">
      <c r="A2453" s="582" t="s">
        <v>501</v>
      </c>
      <c r="B2453" s="65">
        <v>2651</v>
      </c>
      <c r="C2453" s="579" t="s">
        <v>281</v>
      </c>
      <c r="D2453" s="579"/>
      <c r="E2453" s="583"/>
      <c r="F2453" s="596"/>
      <c r="G2453" s="65">
        <v>0</v>
      </c>
      <c r="H2453" s="591" t="s">
        <v>280</v>
      </c>
      <c r="I2453" s="591" t="s">
        <v>280</v>
      </c>
    </row>
    <row r="2454" spans="1:9">
      <c r="A2454" s="582" t="s">
        <v>501</v>
      </c>
      <c r="B2454" s="65">
        <v>2652</v>
      </c>
      <c r="C2454" s="579" t="s">
        <v>281</v>
      </c>
      <c r="D2454" s="579"/>
      <c r="E2454" s="583"/>
      <c r="F2454" s="596"/>
      <c r="G2454" s="65">
        <v>0</v>
      </c>
      <c r="H2454" s="591" t="s">
        <v>280</v>
      </c>
      <c r="I2454" s="591" t="s">
        <v>280</v>
      </c>
    </row>
    <row r="2455" spans="1:9">
      <c r="A2455" s="582" t="s">
        <v>501</v>
      </c>
      <c r="B2455" s="65">
        <v>2653</v>
      </c>
      <c r="C2455" s="579" t="s">
        <v>281</v>
      </c>
      <c r="D2455" s="579"/>
      <c r="E2455" s="583"/>
      <c r="F2455" s="596"/>
      <c r="G2455" s="65">
        <v>0</v>
      </c>
      <c r="H2455" s="591" t="s">
        <v>280</v>
      </c>
      <c r="I2455" s="591" t="s">
        <v>280</v>
      </c>
    </row>
    <row r="2456" spans="1:9">
      <c r="A2456" s="582" t="s">
        <v>501</v>
      </c>
      <c r="B2456" s="65">
        <v>2654</v>
      </c>
      <c r="C2456" s="579" t="s">
        <v>281</v>
      </c>
      <c r="D2456" s="579"/>
      <c r="E2456" s="583"/>
      <c r="F2456" s="596"/>
      <c r="G2456" s="65">
        <v>0</v>
      </c>
      <c r="H2456" s="591" t="s">
        <v>280</v>
      </c>
      <c r="I2456" s="591" t="s">
        <v>280</v>
      </c>
    </row>
    <row r="2457" spans="1:9">
      <c r="A2457" s="582" t="s">
        <v>501</v>
      </c>
      <c r="B2457" s="65">
        <v>2655</v>
      </c>
      <c r="C2457" s="579" t="s">
        <v>281</v>
      </c>
      <c r="D2457" s="579"/>
      <c r="E2457" s="583"/>
      <c r="F2457" s="596"/>
      <c r="G2457" s="65">
        <v>0</v>
      </c>
      <c r="H2457" s="591" t="s">
        <v>280</v>
      </c>
      <c r="I2457" s="591" t="s">
        <v>280</v>
      </c>
    </row>
    <row r="2458" spans="1:9">
      <c r="A2458" s="582" t="s">
        <v>501</v>
      </c>
      <c r="B2458" s="65">
        <v>2656</v>
      </c>
      <c r="C2458" s="579" t="s">
        <v>281</v>
      </c>
      <c r="D2458" s="579"/>
      <c r="E2458" s="583"/>
      <c r="F2458" s="596"/>
      <c r="G2458" s="65">
        <v>0</v>
      </c>
      <c r="H2458" s="591" t="s">
        <v>280</v>
      </c>
      <c r="I2458" s="591" t="s">
        <v>280</v>
      </c>
    </row>
    <row r="2459" spans="1:9">
      <c r="A2459" s="582" t="s">
        <v>501</v>
      </c>
      <c r="B2459" s="65">
        <v>2657</v>
      </c>
      <c r="C2459" s="579" t="s">
        <v>281</v>
      </c>
      <c r="D2459" s="579"/>
      <c r="E2459" s="583"/>
      <c r="F2459" s="596"/>
      <c r="G2459" s="65">
        <v>0</v>
      </c>
      <c r="H2459" s="591" t="s">
        <v>280</v>
      </c>
      <c r="I2459" s="591" t="s">
        <v>280</v>
      </c>
    </row>
    <row r="2460" spans="1:9">
      <c r="A2460" s="582" t="s">
        <v>501</v>
      </c>
      <c r="B2460" s="65">
        <v>2658</v>
      </c>
      <c r="C2460" s="579" t="s">
        <v>281</v>
      </c>
      <c r="D2460" s="579"/>
      <c r="E2460" s="583"/>
      <c r="F2460" s="596"/>
      <c r="G2460" s="65">
        <v>0</v>
      </c>
      <c r="H2460" s="591" t="s">
        <v>280</v>
      </c>
      <c r="I2460" s="591" t="s">
        <v>280</v>
      </c>
    </row>
    <row r="2461" spans="1:9">
      <c r="A2461" s="582" t="s">
        <v>501</v>
      </c>
      <c r="B2461" s="65">
        <v>2659</v>
      </c>
      <c r="C2461" s="579" t="s">
        <v>281</v>
      </c>
      <c r="D2461" s="579"/>
      <c r="E2461" s="583"/>
      <c r="F2461" s="596"/>
      <c r="G2461" s="65">
        <v>0</v>
      </c>
      <c r="H2461" s="591" t="s">
        <v>280</v>
      </c>
      <c r="I2461" s="591" t="s">
        <v>280</v>
      </c>
    </row>
    <row r="2462" spans="1:9">
      <c r="A2462" s="582" t="s">
        <v>501</v>
      </c>
      <c r="B2462" s="65">
        <v>2660</v>
      </c>
      <c r="C2462" s="579" t="s">
        <v>281</v>
      </c>
      <c r="D2462" s="579"/>
      <c r="E2462" s="583"/>
      <c r="F2462" s="596"/>
      <c r="G2462" s="65">
        <v>0</v>
      </c>
      <c r="H2462" s="591" t="s">
        <v>280</v>
      </c>
      <c r="I2462" s="591" t="s">
        <v>280</v>
      </c>
    </row>
    <row r="2463" spans="1:9">
      <c r="A2463" s="582" t="s">
        <v>501</v>
      </c>
      <c r="B2463" s="65">
        <v>2661</v>
      </c>
      <c r="C2463" s="579" t="s">
        <v>281</v>
      </c>
      <c r="D2463" s="579"/>
      <c r="E2463" s="583"/>
      <c r="F2463" s="596"/>
      <c r="G2463" s="65">
        <v>0</v>
      </c>
      <c r="H2463" s="591" t="s">
        <v>280</v>
      </c>
      <c r="I2463" s="591" t="s">
        <v>280</v>
      </c>
    </row>
    <row r="2464" spans="1:9">
      <c r="A2464" s="582" t="s">
        <v>501</v>
      </c>
      <c r="B2464" s="65">
        <v>2662</v>
      </c>
      <c r="C2464" s="579" t="s">
        <v>281</v>
      </c>
      <c r="D2464" s="579"/>
      <c r="E2464" s="583"/>
      <c r="F2464" s="596"/>
      <c r="G2464" s="65">
        <v>0</v>
      </c>
      <c r="H2464" s="591" t="s">
        <v>280</v>
      </c>
      <c r="I2464" s="591" t="s">
        <v>280</v>
      </c>
    </row>
    <row r="2465" spans="1:9">
      <c r="A2465" s="582" t="s">
        <v>501</v>
      </c>
      <c r="B2465" s="65">
        <v>2663</v>
      </c>
      <c r="C2465" s="579" t="s">
        <v>281</v>
      </c>
      <c r="D2465" s="579"/>
      <c r="E2465" s="583"/>
      <c r="F2465" s="596"/>
      <c r="G2465" s="65">
        <v>0</v>
      </c>
      <c r="H2465" s="591" t="s">
        <v>280</v>
      </c>
      <c r="I2465" s="591" t="s">
        <v>280</v>
      </c>
    </row>
    <row r="2466" spans="1:9">
      <c r="A2466" s="582" t="s">
        <v>501</v>
      </c>
      <c r="B2466" s="65">
        <v>2664</v>
      </c>
      <c r="C2466" s="579" t="s">
        <v>281</v>
      </c>
      <c r="D2466" s="579"/>
      <c r="E2466" s="583"/>
      <c r="F2466" s="596"/>
      <c r="G2466" s="65">
        <v>0</v>
      </c>
      <c r="H2466" s="591" t="s">
        <v>280</v>
      </c>
      <c r="I2466" s="591" t="s">
        <v>280</v>
      </c>
    </row>
    <row r="2467" spans="1:9">
      <c r="A2467" s="582" t="s">
        <v>501</v>
      </c>
      <c r="B2467" s="65">
        <v>2665</v>
      </c>
      <c r="C2467" s="579" t="s">
        <v>281</v>
      </c>
      <c r="D2467" s="579"/>
      <c r="E2467" s="583"/>
      <c r="F2467" s="596"/>
      <c r="G2467" s="65">
        <v>0</v>
      </c>
      <c r="H2467" s="591" t="s">
        <v>280</v>
      </c>
      <c r="I2467" s="591" t="s">
        <v>280</v>
      </c>
    </row>
    <row r="2468" spans="1:9">
      <c r="A2468" s="582" t="s">
        <v>501</v>
      </c>
      <c r="B2468" s="65">
        <v>2666</v>
      </c>
      <c r="C2468" s="579" t="s">
        <v>281</v>
      </c>
      <c r="D2468" s="579"/>
      <c r="E2468" s="583"/>
      <c r="F2468" s="596"/>
      <c r="G2468" s="65">
        <v>0</v>
      </c>
      <c r="H2468" s="591" t="s">
        <v>280</v>
      </c>
      <c r="I2468" s="591" t="s">
        <v>280</v>
      </c>
    </row>
    <row r="2469" spans="1:9">
      <c r="A2469" s="582" t="s">
        <v>501</v>
      </c>
      <c r="B2469" s="65">
        <v>2667</v>
      </c>
      <c r="C2469" s="579" t="s">
        <v>281</v>
      </c>
      <c r="D2469" s="579"/>
      <c r="E2469" s="583"/>
      <c r="F2469" s="596"/>
      <c r="G2469" s="65">
        <v>0</v>
      </c>
      <c r="H2469" s="591" t="s">
        <v>280</v>
      </c>
      <c r="I2469" s="591" t="s">
        <v>280</v>
      </c>
    </row>
    <row r="2470" spans="1:9">
      <c r="A2470" s="582" t="s">
        <v>501</v>
      </c>
      <c r="B2470" s="65">
        <v>2668</v>
      </c>
      <c r="C2470" s="579" t="s">
        <v>281</v>
      </c>
      <c r="D2470" s="579"/>
      <c r="E2470" s="583"/>
      <c r="F2470" s="596"/>
      <c r="G2470" s="65">
        <v>0</v>
      </c>
      <c r="H2470" s="591" t="s">
        <v>280</v>
      </c>
      <c r="I2470" s="591" t="s">
        <v>280</v>
      </c>
    </row>
    <row r="2471" spans="1:9">
      <c r="A2471" s="582" t="s">
        <v>501</v>
      </c>
      <c r="B2471" s="65">
        <v>2669</v>
      </c>
      <c r="C2471" s="579" t="s">
        <v>281</v>
      </c>
      <c r="D2471" s="579"/>
      <c r="E2471" s="583"/>
      <c r="F2471" s="596"/>
      <c r="G2471" s="65">
        <v>0</v>
      </c>
      <c r="H2471" s="591" t="s">
        <v>280</v>
      </c>
      <c r="I2471" s="591" t="s">
        <v>280</v>
      </c>
    </row>
    <row r="2472" spans="1:9">
      <c r="A2472" s="582" t="s">
        <v>501</v>
      </c>
      <c r="B2472" s="65">
        <v>2670</v>
      </c>
      <c r="C2472" s="579" t="s">
        <v>281</v>
      </c>
      <c r="D2472" s="579"/>
      <c r="E2472" s="583"/>
      <c r="F2472" s="596"/>
      <c r="G2472" s="65">
        <v>0</v>
      </c>
      <c r="H2472" s="591" t="s">
        <v>280</v>
      </c>
      <c r="I2472" s="591" t="s">
        <v>280</v>
      </c>
    </row>
    <row r="2473" spans="1:9">
      <c r="A2473" s="582" t="s">
        <v>501</v>
      </c>
      <c r="B2473" s="65">
        <v>2671</v>
      </c>
      <c r="C2473" s="579" t="s">
        <v>281</v>
      </c>
      <c r="D2473" s="579"/>
      <c r="E2473" s="583"/>
      <c r="F2473" s="596"/>
      <c r="G2473" s="65">
        <v>0</v>
      </c>
      <c r="H2473" s="591" t="s">
        <v>280</v>
      </c>
      <c r="I2473" s="591" t="s">
        <v>280</v>
      </c>
    </row>
    <row r="2474" spans="1:9">
      <c r="A2474" s="582" t="s">
        <v>501</v>
      </c>
      <c r="B2474" s="65">
        <v>2672</v>
      </c>
      <c r="C2474" s="579" t="s">
        <v>281</v>
      </c>
      <c r="D2474" s="579"/>
      <c r="E2474" s="583"/>
      <c r="F2474" s="596"/>
      <c r="G2474" s="65">
        <v>0</v>
      </c>
      <c r="H2474" s="591" t="s">
        <v>280</v>
      </c>
      <c r="I2474" s="591" t="s">
        <v>280</v>
      </c>
    </row>
    <row r="2475" spans="1:9">
      <c r="A2475" s="582" t="s">
        <v>501</v>
      </c>
      <c r="B2475" s="65">
        <v>2673</v>
      </c>
      <c r="C2475" s="579" t="s">
        <v>281</v>
      </c>
      <c r="D2475" s="579"/>
      <c r="E2475" s="583"/>
      <c r="F2475" s="596"/>
      <c r="G2475" s="65">
        <v>0</v>
      </c>
      <c r="H2475" s="591" t="s">
        <v>280</v>
      </c>
      <c r="I2475" s="591" t="s">
        <v>280</v>
      </c>
    </row>
    <row r="2476" spans="1:9">
      <c r="A2476" s="582" t="s">
        <v>501</v>
      </c>
      <c r="B2476" s="65">
        <v>2674</v>
      </c>
      <c r="C2476" s="579" t="s">
        <v>281</v>
      </c>
      <c r="D2476" s="579"/>
      <c r="E2476" s="583"/>
      <c r="F2476" s="596"/>
      <c r="G2476" s="65">
        <v>0</v>
      </c>
      <c r="H2476" s="591" t="s">
        <v>280</v>
      </c>
      <c r="I2476" s="591" t="s">
        <v>280</v>
      </c>
    </row>
    <row r="2477" spans="1:9">
      <c r="A2477" s="582" t="s">
        <v>501</v>
      </c>
      <c r="B2477" s="65">
        <v>2675</v>
      </c>
      <c r="C2477" s="579" t="s">
        <v>281</v>
      </c>
      <c r="D2477" s="579"/>
      <c r="E2477" s="583"/>
      <c r="F2477" s="596"/>
      <c r="G2477" s="65">
        <v>0</v>
      </c>
      <c r="H2477" s="591" t="s">
        <v>280</v>
      </c>
      <c r="I2477" s="591" t="s">
        <v>280</v>
      </c>
    </row>
    <row r="2478" spans="1:9">
      <c r="A2478" s="582" t="s">
        <v>501</v>
      </c>
      <c r="B2478" s="65">
        <v>2676</v>
      </c>
      <c r="C2478" s="579" t="s">
        <v>281</v>
      </c>
      <c r="D2478" s="579"/>
      <c r="E2478" s="583"/>
      <c r="F2478" s="596"/>
      <c r="G2478" s="65">
        <v>0</v>
      </c>
      <c r="H2478" s="591" t="s">
        <v>280</v>
      </c>
      <c r="I2478" s="591" t="s">
        <v>280</v>
      </c>
    </row>
    <row r="2479" spans="1:9">
      <c r="A2479" s="582" t="s">
        <v>501</v>
      </c>
      <c r="B2479" s="65">
        <v>2677</v>
      </c>
      <c r="C2479" s="579" t="s">
        <v>281</v>
      </c>
      <c r="D2479" s="579"/>
      <c r="E2479" s="583"/>
      <c r="F2479" s="596"/>
      <c r="G2479" s="65">
        <v>0</v>
      </c>
      <c r="H2479" s="591" t="s">
        <v>280</v>
      </c>
      <c r="I2479" s="591" t="s">
        <v>280</v>
      </c>
    </row>
    <row r="2480" spans="1:9">
      <c r="A2480" s="582" t="s">
        <v>501</v>
      </c>
      <c r="B2480" s="65">
        <v>2678</v>
      </c>
      <c r="C2480" s="579" t="s">
        <v>281</v>
      </c>
      <c r="D2480" s="579"/>
      <c r="E2480" s="583"/>
      <c r="F2480" s="596"/>
      <c r="G2480" s="65">
        <v>0</v>
      </c>
      <c r="H2480" s="591" t="s">
        <v>280</v>
      </c>
      <c r="I2480" s="591" t="s">
        <v>280</v>
      </c>
    </row>
    <row r="2481" spans="1:9">
      <c r="A2481" s="582" t="s">
        <v>501</v>
      </c>
      <c r="B2481" s="65">
        <v>2679</v>
      </c>
      <c r="C2481" s="579" t="s">
        <v>281</v>
      </c>
      <c r="D2481" s="579"/>
      <c r="E2481" s="583"/>
      <c r="F2481" s="596"/>
      <c r="G2481" s="65">
        <v>0</v>
      </c>
      <c r="H2481" s="591" t="s">
        <v>280</v>
      </c>
      <c r="I2481" s="591" t="s">
        <v>280</v>
      </c>
    </row>
    <row r="2482" spans="1:9">
      <c r="A2482" s="582" t="s">
        <v>501</v>
      </c>
      <c r="B2482" s="65">
        <v>2680</v>
      </c>
      <c r="C2482" s="579" t="s">
        <v>281</v>
      </c>
      <c r="D2482" s="579"/>
      <c r="E2482" s="583"/>
      <c r="F2482" s="596"/>
      <c r="G2482" s="65">
        <v>0</v>
      </c>
      <c r="H2482" s="591" t="s">
        <v>280</v>
      </c>
      <c r="I2482" s="591" t="s">
        <v>280</v>
      </c>
    </row>
    <row r="2483" spans="1:9">
      <c r="A2483" s="582" t="s">
        <v>501</v>
      </c>
      <c r="B2483" s="65">
        <v>2681</v>
      </c>
      <c r="C2483" s="579" t="s">
        <v>281</v>
      </c>
      <c r="D2483" s="579"/>
      <c r="E2483" s="583"/>
      <c r="F2483" s="596"/>
      <c r="G2483" s="65">
        <v>0</v>
      </c>
      <c r="H2483" s="591" t="s">
        <v>280</v>
      </c>
      <c r="I2483" s="591" t="s">
        <v>280</v>
      </c>
    </row>
    <row r="2484" spans="1:9">
      <c r="A2484" s="582" t="s">
        <v>501</v>
      </c>
      <c r="B2484" s="65">
        <v>2682</v>
      </c>
      <c r="C2484" s="579" t="s">
        <v>281</v>
      </c>
      <c r="D2484" s="579"/>
      <c r="E2484" s="583"/>
      <c r="F2484" s="596"/>
      <c r="G2484" s="65">
        <v>0</v>
      </c>
      <c r="H2484" s="591" t="s">
        <v>280</v>
      </c>
      <c r="I2484" s="591" t="s">
        <v>280</v>
      </c>
    </row>
    <row r="2485" spans="1:9">
      <c r="A2485" s="582" t="s">
        <v>501</v>
      </c>
      <c r="B2485" s="65">
        <v>2683</v>
      </c>
      <c r="C2485" s="579" t="s">
        <v>281</v>
      </c>
      <c r="D2485" s="579"/>
      <c r="E2485" s="583"/>
      <c r="F2485" s="596"/>
      <c r="G2485" s="65">
        <v>0</v>
      </c>
      <c r="H2485" s="591" t="s">
        <v>280</v>
      </c>
      <c r="I2485" s="591" t="s">
        <v>280</v>
      </c>
    </row>
    <row r="2486" spans="1:9">
      <c r="A2486" s="582" t="s">
        <v>501</v>
      </c>
      <c r="B2486" s="65">
        <v>2684</v>
      </c>
      <c r="C2486" s="579" t="s">
        <v>281</v>
      </c>
      <c r="D2486" s="579"/>
      <c r="E2486" s="583"/>
      <c r="F2486" s="596"/>
      <c r="G2486" s="65">
        <v>0</v>
      </c>
      <c r="H2486" s="591" t="s">
        <v>280</v>
      </c>
      <c r="I2486" s="591" t="s">
        <v>280</v>
      </c>
    </row>
    <row r="2487" spans="1:9">
      <c r="A2487" s="582" t="s">
        <v>501</v>
      </c>
      <c r="B2487" s="65">
        <v>2685</v>
      </c>
      <c r="C2487" s="579" t="s">
        <v>281</v>
      </c>
      <c r="D2487" s="579"/>
      <c r="E2487" s="583"/>
      <c r="F2487" s="596"/>
      <c r="G2487" s="65">
        <v>0</v>
      </c>
      <c r="H2487" s="591" t="s">
        <v>280</v>
      </c>
      <c r="I2487" s="591" t="s">
        <v>280</v>
      </c>
    </row>
    <row r="2488" spans="1:9">
      <c r="A2488" s="582" t="s">
        <v>501</v>
      </c>
      <c r="B2488" s="65">
        <v>2686</v>
      </c>
      <c r="C2488" s="579" t="s">
        <v>281</v>
      </c>
      <c r="D2488" s="579"/>
      <c r="E2488" s="583"/>
      <c r="F2488" s="596"/>
      <c r="G2488" s="65">
        <v>0</v>
      </c>
      <c r="H2488" s="591" t="s">
        <v>280</v>
      </c>
      <c r="I2488" s="591" t="s">
        <v>280</v>
      </c>
    </row>
    <row r="2489" spans="1:9">
      <c r="A2489" s="582" t="s">
        <v>501</v>
      </c>
      <c r="B2489" s="65">
        <v>2687</v>
      </c>
      <c r="C2489" s="579" t="s">
        <v>281</v>
      </c>
      <c r="D2489" s="579"/>
      <c r="E2489" s="583"/>
      <c r="F2489" s="596"/>
      <c r="G2489" s="65">
        <v>0</v>
      </c>
      <c r="H2489" s="591" t="s">
        <v>280</v>
      </c>
      <c r="I2489" s="591" t="s">
        <v>280</v>
      </c>
    </row>
    <row r="2490" spans="1:9">
      <c r="A2490" s="582" t="s">
        <v>501</v>
      </c>
      <c r="B2490" s="65">
        <v>2688</v>
      </c>
      <c r="C2490" s="579" t="s">
        <v>281</v>
      </c>
      <c r="D2490" s="579"/>
      <c r="E2490" s="583"/>
      <c r="F2490" s="596"/>
      <c r="G2490" s="65">
        <v>0</v>
      </c>
      <c r="H2490" s="591" t="s">
        <v>280</v>
      </c>
      <c r="I2490" s="591" t="s">
        <v>280</v>
      </c>
    </row>
    <row r="2491" spans="1:9">
      <c r="A2491" s="582" t="s">
        <v>501</v>
      </c>
      <c r="B2491" s="65">
        <v>2689</v>
      </c>
      <c r="C2491" s="579" t="s">
        <v>281</v>
      </c>
      <c r="D2491" s="579"/>
      <c r="E2491" s="583"/>
      <c r="F2491" s="596"/>
      <c r="G2491" s="65">
        <v>0</v>
      </c>
      <c r="H2491" s="591" t="s">
        <v>280</v>
      </c>
      <c r="I2491" s="591" t="s">
        <v>280</v>
      </c>
    </row>
    <row r="2492" spans="1:9">
      <c r="A2492" s="582" t="s">
        <v>501</v>
      </c>
      <c r="B2492" s="65">
        <v>2690</v>
      </c>
      <c r="C2492" s="579" t="s">
        <v>281</v>
      </c>
      <c r="D2492" s="579"/>
      <c r="E2492" s="583"/>
      <c r="F2492" s="596"/>
      <c r="G2492" s="65">
        <v>0</v>
      </c>
      <c r="H2492" s="591" t="s">
        <v>280</v>
      </c>
      <c r="I2492" s="591" t="s">
        <v>280</v>
      </c>
    </row>
    <row r="2493" spans="1:9">
      <c r="A2493" s="582" t="s">
        <v>501</v>
      </c>
      <c r="B2493" s="65">
        <v>2691</v>
      </c>
      <c r="C2493" s="579" t="s">
        <v>281</v>
      </c>
      <c r="D2493" s="579"/>
      <c r="E2493" s="583"/>
      <c r="F2493" s="596"/>
      <c r="G2493" s="65">
        <v>0</v>
      </c>
      <c r="H2493" s="591" t="s">
        <v>280</v>
      </c>
      <c r="I2493" s="591" t="s">
        <v>280</v>
      </c>
    </row>
    <row r="2494" spans="1:9">
      <c r="A2494" s="582" t="s">
        <v>501</v>
      </c>
      <c r="B2494" s="65">
        <v>2692</v>
      </c>
      <c r="C2494" s="579" t="s">
        <v>281</v>
      </c>
      <c r="D2494" s="579"/>
      <c r="E2494" s="583"/>
      <c r="F2494" s="596"/>
      <c r="G2494" s="65">
        <v>0</v>
      </c>
      <c r="H2494" s="591" t="s">
        <v>280</v>
      </c>
      <c r="I2494" s="591" t="s">
        <v>280</v>
      </c>
    </row>
    <row r="2495" spans="1:9">
      <c r="A2495" s="582" t="s">
        <v>501</v>
      </c>
      <c r="B2495" s="65">
        <v>2693</v>
      </c>
      <c r="C2495" s="579" t="s">
        <v>281</v>
      </c>
      <c r="D2495" s="579"/>
      <c r="E2495" s="583"/>
      <c r="F2495" s="596"/>
      <c r="G2495" s="65">
        <v>0</v>
      </c>
      <c r="H2495" s="591" t="s">
        <v>280</v>
      </c>
      <c r="I2495" s="591" t="s">
        <v>280</v>
      </c>
    </row>
    <row r="2496" spans="1:9">
      <c r="A2496" s="582" t="s">
        <v>501</v>
      </c>
      <c r="B2496" s="65">
        <v>2694</v>
      </c>
      <c r="C2496" s="579" t="s">
        <v>281</v>
      </c>
      <c r="D2496" s="579"/>
      <c r="E2496" s="583"/>
      <c r="F2496" s="596"/>
      <c r="G2496" s="65">
        <v>0</v>
      </c>
      <c r="H2496" s="591" t="s">
        <v>280</v>
      </c>
      <c r="I2496" s="591" t="s">
        <v>280</v>
      </c>
    </row>
    <row r="2497" spans="1:10">
      <c r="A2497" s="582" t="s">
        <v>501</v>
      </c>
      <c r="B2497" s="65">
        <v>2695</v>
      </c>
      <c r="C2497" s="579" t="s">
        <v>281</v>
      </c>
      <c r="D2497" s="579"/>
      <c r="E2497" s="583"/>
      <c r="F2497" s="596"/>
      <c r="G2497" s="65">
        <v>0</v>
      </c>
      <c r="H2497" s="591" t="s">
        <v>280</v>
      </c>
      <c r="I2497" s="591" t="s">
        <v>280</v>
      </c>
    </row>
    <row r="2498" spans="1:10">
      <c r="A2498" s="582" t="s">
        <v>501</v>
      </c>
      <c r="B2498" s="65">
        <v>2696</v>
      </c>
      <c r="C2498" s="579" t="s">
        <v>281</v>
      </c>
      <c r="D2498" s="579"/>
      <c r="E2498" s="583"/>
      <c r="F2498" s="596"/>
      <c r="G2498" s="65">
        <v>0</v>
      </c>
      <c r="H2498" s="591" t="s">
        <v>280</v>
      </c>
      <c r="I2498" s="591" t="s">
        <v>280</v>
      </c>
    </row>
    <row r="2499" spans="1:10">
      <c r="A2499" s="582" t="s">
        <v>501</v>
      </c>
      <c r="B2499" s="65">
        <v>2697</v>
      </c>
      <c r="C2499" s="579" t="s">
        <v>281</v>
      </c>
      <c r="D2499" s="579"/>
      <c r="E2499" s="583"/>
      <c r="F2499" s="596"/>
      <c r="G2499" s="65">
        <v>0</v>
      </c>
      <c r="H2499" s="591" t="s">
        <v>280</v>
      </c>
      <c r="I2499" s="591" t="s">
        <v>280</v>
      </c>
    </row>
    <row r="2500" spans="1:10">
      <c r="A2500" s="582" t="s">
        <v>501</v>
      </c>
      <c r="B2500" s="65">
        <v>2698</v>
      </c>
      <c r="C2500" s="579" t="s">
        <v>281</v>
      </c>
      <c r="D2500" s="579"/>
      <c r="E2500" s="583"/>
      <c r="F2500" s="596"/>
      <c r="G2500" s="65">
        <v>0</v>
      </c>
      <c r="H2500" s="591" t="s">
        <v>280</v>
      </c>
      <c r="I2500" s="591" t="s">
        <v>280</v>
      </c>
    </row>
    <row r="2501" spans="1:10">
      <c r="A2501" s="582" t="s">
        <v>501</v>
      </c>
      <c r="B2501" s="65">
        <v>2699</v>
      </c>
      <c r="C2501" s="579" t="s">
        <v>281</v>
      </c>
      <c r="D2501" s="579"/>
      <c r="E2501" s="583"/>
      <c r="F2501" s="596"/>
      <c r="G2501" s="65">
        <v>0</v>
      </c>
      <c r="H2501" s="591" t="s">
        <v>280</v>
      </c>
      <c r="I2501" s="591" t="s">
        <v>280</v>
      </c>
    </row>
    <row r="2502" spans="1:10">
      <c r="A2502" s="582" t="s">
        <v>1220</v>
      </c>
      <c r="B2502" s="65">
        <v>2700</v>
      </c>
      <c r="C2502" s="579" t="s">
        <v>279</v>
      </c>
      <c r="D2502" s="579"/>
      <c r="E2502" s="583"/>
      <c r="F2502" s="585">
        <v>45535</v>
      </c>
      <c r="G2502" s="65">
        <v>1</v>
      </c>
      <c r="H2502" s="591" t="s">
        <v>280</v>
      </c>
      <c r="I2502" s="591" t="s">
        <v>280</v>
      </c>
      <c r="J2502" s="57"/>
    </row>
    <row r="2503" spans="1:10">
      <c r="A2503" s="582" t="s">
        <v>1220</v>
      </c>
      <c r="B2503" s="65">
        <v>2701</v>
      </c>
      <c r="C2503" s="579" t="s">
        <v>524</v>
      </c>
      <c r="D2503" s="63">
        <v>10594</v>
      </c>
      <c r="E2503" s="583"/>
      <c r="F2503" s="585">
        <v>45535</v>
      </c>
      <c r="G2503" s="65">
        <v>1</v>
      </c>
      <c r="H2503" s="591" t="s">
        <v>35</v>
      </c>
      <c r="I2503" s="591" t="s">
        <v>1220</v>
      </c>
      <c r="J2503" s="57"/>
    </row>
    <row r="2504" spans="1:10">
      <c r="A2504" s="582" t="s">
        <v>1220</v>
      </c>
      <c r="B2504" s="65">
        <v>2702</v>
      </c>
      <c r="C2504" s="579" t="s">
        <v>525</v>
      </c>
      <c r="D2504" s="63">
        <v>10111</v>
      </c>
      <c r="E2504" s="583"/>
      <c r="F2504" s="585">
        <v>45535</v>
      </c>
      <c r="G2504" s="65">
        <v>1</v>
      </c>
      <c r="H2504" s="591" t="s">
        <v>35</v>
      </c>
      <c r="I2504" s="591" t="s">
        <v>1220</v>
      </c>
      <c r="J2504" s="57"/>
    </row>
    <row r="2505" spans="1:10">
      <c r="A2505" s="582" t="s">
        <v>1220</v>
      </c>
      <c r="B2505" s="65">
        <v>2703</v>
      </c>
      <c r="C2505" s="579" t="s">
        <v>526</v>
      </c>
      <c r="D2505" s="65">
        <v>10592</v>
      </c>
      <c r="E2505" s="583"/>
      <c r="F2505" s="585">
        <v>45535</v>
      </c>
      <c r="G2505" s="65">
        <v>1</v>
      </c>
      <c r="H2505" s="591" t="s">
        <v>35</v>
      </c>
      <c r="I2505" s="591" t="s">
        <v>1220</v>
      </c>
      <c r="J2505" s="57"/>
    </row>
    <row r="2506" spans="1:10">
      <c r="A2506" s="582" t="s">
        <v>1220</v>
      </c>
      <c r="B2506" s="65">
        <v>2704</v>
      </c>
      <c r="C2506" s="579" t="s">
        <v>527</v>
      </c>
      <c r="D2506" s="63">
        <v>10050</v>
      </c>
      <c r="E2506" s="583"/>
      <c r="F2506" s="585">
        <v>45535</v>
      </c>
      <c r="G2506" s="65">
        <v>1</v>
      </c>
      <c r="H2506" s="591" t="s">
        <v>35</v>
      </c>
      <c r="I2506" s="591" t="s">
        <v>1220</v>
      </c>
      <c r="J2506" s="57"/>
    </row>
    <row r="2507" spans="1:10">
      <c r="A2507" s="582" t="s">
        <v>1220</v>
      </c>
      <c r="B2507" s="65">
        <v>2705</v>
      </c>
      <c r="C2507" s="579" t="s">
        <v>528</v>
      </c>
      <c r="D2507" s="63">
        <v>10021</v>
      </c>
      <c r="E2507" s="583"/>
      <c r="F2507" s="585">
        <v>45535</v>
      </c>
      <c r="G2507" s="65">
        <v>1</v>
      </c>
      <c r="H2507" s="591" t="s">
        <v>35</v>
      </c>
      <c r="I2507" s="591" t="s">
        <v>1220</v>
      </c>
      <c r="J2507" s="57"/>
    </row>
    <row r="2508" spans="1:10">
      <c r="A2508" s="582" t="s">
        <v>1220</v>
      </c>
      <c r="B2508" s="65">
        <v>2706</v>
      </c>
      <c r="C2508" s="579" t="s">
        <v>529</v>
      </c>
      <c r="D2508" s="65">
        <v>10493</v>
      </c>
      <c r="E2508" s="583"/>
      <c r="F2508" s="585">
        <v>45535</v>
      </c>
      <c r="G2508" s="65">
        <v>1</v>
      </c>
      <c r="H2508" s="591" t="s">
        <v>35</v>
      </c>
      <c r="I2508" s="591" t="s">
        <v>1220</v>
      </c>
      <c r="J2508" s="57"/>
    </row>
    <row r="2509" spans="1:10">
      <c r="A2509" s="582" t="s">
        <v>1220</v>
      </c>
      <c r="B2509" s="65">
        <v>2707</v>
      </c>
      <c r="C2509" s="579" t="s">
        <v>281</v>
      </c>
      <c r="D2509" s="579"/>
      <c r="E2509" s="583"/>
      <c r="F2509" s="596"/>
      <c r="G2509" s="65">
        <v>0</v>
      </c>
      <c r="H2509" s="591" t="s">
        <v>280</v>
      </c>
      <c r="I2509" s="591" t="s">
        <v>280</v>
      </c>
    </row>
    <row r="2510" spans="1:10">
      <c r="A2510" s="582" t="s">
        <v>1220</v>
      </c>
      <c r="B2510" s="65">
        <v>2708</v>
      </c>
      <c r="C2510" s="579" t="s">
        <v>530</v>
      </c>
      <c r="D2510" s="579">
        <v>10204</v>
      </c>
      <c r="E2510" s="583"/>
      <c r="F2510" s="585">
        <v>45535</v>
      </c>
      <c r="G2510" s="65">
        <v>1</v>
      </c>
      <c r="H2510" s="591" t="s">
        <v>35</v>
      </c>
      <c r="I2510" s="591" t="s">
        <v>1220</v>
      </c>
    </row>
    <row r="2511" spans="1:10">
      <c r="A2511" s="582" t="s">
        <v>1220</v>
      </c>
      <c r="B2511" s="65">
        <v>2709</v>
      </c>
      <c r="C2511" s="579" t="s">
        <v>531</v>
      </c>
      <c r="D2511" s="65">
        <v>10436</v>
      </c>
      <c r="E2511" s="583"/>
      <c r="F2511" s="585">
        <v>45535</v>
      </c>
      <c r="G2511" s="65">
        <v>1</v>
      </c>
      <c r="H2511" s="591" t="s">
        <v>35</v>
      </c>
      <c r="I2511" s="591" t="s">
        <v>1220</v>
      </c>
    </row>
    <row r="2512" spans="1:10">
      <c r="A2512" s="582" t="s">
        <v>1220</v>
      </c>
      <c r="B2512" s="65">
        <v>2710</v>
      </c>
      <c r="C2512" s="579" t="s">
        <v>532</v>
      </c>
      <c r="D2512" s="579">
        <v>10620</v>
      </c>
      <c r="E2512" s="583"/>
      <c r="F2512" s="585">
        <v>45535</v>
      </c>
      <c r="G2512" s="65">
        <v>1</v>
      </c>
      <c r="H2512" s="591" t="s">
        <v>280</v>
      </c>
      <c r="I2512" s="591" t="s">
        <v>280</v>
      </c>
    </row>
    <row r="2513" spans="1:10">
      <c r="A2513" s="582" t="s">
        <v>1220</v>
      </c>
      <c r="B2513" s="65">
        <v>2711</v>
      </c>
      <c r="C2513" s="579" t="s">
        <v>281</v>
      </c>
      <c r="D2513" s="579"/>
      <c r="E2513" s="583"/>
      <c r="F2513" s="596"/>
      <c r="G2513" s="65">
        <v>0</v>
      </c>
      <c r="H2513" s="591" t="s">
        <v>280</v>
      </c>
      <c r="I2513" s="591" t="s">
        <v>280</v>
      </c>
    </row>
    <row r="2514" spans="1:10">
      <c r="A2514" s="582" t="s">
        <v>1220</v>
      </c>
      <c r="B2514" s="65">
        <v>2712</v>
      </c>
      <c r="C2514" s="579" t="s">
        <v>1771</v>
      </c>
      <c r="D2514" s="579">
        <v>10473</v>
      </c>
      <c r="E2514" s="583"/>
      <c r="F2514" s="585">
        <v>45535</v>
      </c>
      <c r="G2514" s="65">
        <v>1</v>
      </c>
      <c r="H2514" s="591" t="s">
        <v>35</v>
      </c>
      <c r="I2514" s="591" t="s">
        <v>1220</v>
      </c>
      <c r="J2514" s="69"/>
    </row>
    <row r="2515" spans="1:10">
      <c r="A2515" s="582" t="s">
        <v>1220</v>
      </c>
      <c r="B2515" s="65">
        <v>2713</v>
      </c>
      <c r="C2515" s="579" t="s">
        <v>533</v>
      </c>
      <c r="D2515" s="63">
        <v>10038</v>
      </c>
      <c r="E2515" s="583"/>
      <c r="F2515" s="585">
        <v>45535</v>
      </c>
      <c r="G2515" s="65">
        <v>1</v>
      </c>
      <c r="H2515" s="591" t="s">
        <v>35</v>
      </c>
      <c r="I2515" s="591" t="s">
        <v>1220</v>
      </c>
      <c r="J2515" s="57"/>
    </row>
    <row r="2516" spans="1:10">
      <c r="A2516" s="582" t="s">
        <v>1220</v>
      </c>
      <c r="B2516" s="65">
        <v>2714</v>
      </c>
      <c r="C2516" s="579" t="s">
        <v>1772</v>
      </c>
      <c r="D2516" s="65">
        <v>10866</v>
      </c>
      <c r="E2516" s="583"/>
      <c r="F2516" s="585">
        <v>45535</v>
      </c>
      <c r="G2516" s="65">
        <v>1</v>
      </c>
      <c r="H2516" s="591" t="s">
        <v>35</v>
      </c>
      <c r="I2516" s="591" t="s">
        <v>1220</v>
      </c>
      <c r="J2516" s="57"/>
    </row>
    <row r="2517" spans="1:10">
      <c r="A2517" s="582" t="s">
        <v>1220</v>
      </c>
      <c r="B2517" s="65">
        <v>2715</v>
      </c>
      <c r="C2517" s="65" t="s">
        <v>1773</v>
      </c>
      <c r="D2517" s="65">
        <v>11011</v>
      </c>
      <c r="E2517" s="583"/>
      <c r="F2517" s="585">
        <v>45535</v>
      </c>
      <c r="G2517" s="65">
        <v>1</v>
      </c>
      <c r="H2517" s="591" t="s">
        <v>280</v>
      </c>
      <c r="I2517" s="591" t="s">
        <v>280</v>
      </c>
      <c r="J2517" s="57"/>
    </row>
    <row r="2518" spans="1:10">
      <c r="A2518" s="582" t="s">
        <v>1220</v>
      </c>
      <c r="B2518" s="65">
        <v>2716</v>
      </c>
      <c r="C2518" s="65" t="s">
        <v>1774</v>
      </c>
      <c r="D2518" s="65">
        <v>11012</v>
      </c>
      <c r="E2518" s="583"/>
      <c r="F2518" s="585">
        <v>45535</v>
      </c>
      <c r="G2518" s="65">
        <v>1</v>
      </c>
      <c r="H2518" s="591" t="s">
        <v>35</v>
      </c>
      <c r="I2518" s="591" t="s">
        <v>1220</v>
      </c>
      <c r="J2518" s="61"/>
    </row>
    <row r="2519" spans="1:10">
      <c r="A2519" s="582" t="s">
        <v>1220</v>
      </c>
      <c r="B2519" s="65">
        <v>2717</v>
      </c>
      <c r="C2519" s="65" t="s">
        <v>1775</v>
      </c>
      <c r="D2519" s="65">
        <v>11013</v>
      </c>
      <c r="E2519" s="583"/>
      <c r="F2519" s="585">
        <v>45535</v>
      </c>
      <c r="G2519" s="65">
        <v>1</v>
      </c>
      <c r="H2519" s="591" t="s">
        <v>280</v>
      </c>
      <c r="I2519" s="591" t="s">
        <v>280</v>
      </c>
      <c r="J2519" s="61"/>
    </row>
    <row r="2520" spans="1:10">
      <c r="A2520" s="582" t="s">
        <v>1220</v>
      </c>
      <c r="B2520" s="65">
        <v>2718</v>
      </c>
      <c r="C2520" s="65" t="s">
        <v>1776</v>
      </c>
      <c r="D2520" s="65">
        <v>11014</v>
      </c>
      <c r="E2520" s="583"/>
      <c r="F2520" s="585">
        <v>45535</v>
      </c>
      <c r="G2520" s="65">
        <v>1</v>
      </c>
      <c r="H2520" s="591" t="s">
        <v>35</v>
      </c>
      <c r="I2520" s="591" t="s">
        <v>1220</v>
      </c>
      <c r="J2520" s="61"/>
    </row>
    <row r="2521" spans="1:10">
      <c r="A2521" s="582" t="s">
        <v>1220</v>
      </c>
      <c r="B2521" s="65">
        <v>2719</v>
      </c>
      <c r="C2521" s="65" t="s">
        <v>2041</v>
      </c>
      <c r="D2521" s="65">
        <v>11072</v>
      </c>
      <c r="E2521" s="587"/>
      <c r="F2521" s="600">
        <v>45675</v>
      </c>
      <c r="G2521" s="65">
        <v>1</v>
      </c>
      <c r="H2521" s="591" t="s">
        <v>280</v>
      </c>
      <c r="I2521" s="591" t="s">
        <v>280</v>
      </c>
      <c r="J2521" s="61"/>
    </row>
    <row r="2522" spans="1:10">
      <c r="A2522" s="582" t="s">
        <v>1220</v>
      </c>
      <c r="B2522" s="65">
        <v>2720</v>
      </c>
      <c r="C2522" s="579" t="s">
        <v>281</v>
      </c>
      <c r="D2522" s="65"/>
      <c r="E2522" s="583"/>
      <c r="F2522" s="596"/>
      <c r="G2522" s="65">
        <v>0</v>
      </c>
      <c r="H2522" s="591" t="s">
        <v>280</v>
      </c>
      <c r="I2522" s="591" t="s">
        <v>280</v>
      </c>
    </row>
    <row r="2523" spans="1:10">
      <c r="A2523" s="582" t="s">
        <v>1220</v>
      </c>
      <c r="B2523" s="65">
        <v>2721</v>
      </c>
      <c r="C2523" s="579" t="s">
        <v>281</v>
      </c>
      <c r="D2523" s="65"/>
      <c r="E2523" s="583"/>
      <c r="F2523" s="596"/>
      <c r="G2523" s="65">
        <v>0</v>
      </c>
      <c r="H2523" s="591" t="s">
        <v>280</v>
      </c>
      <c r="I2523" s="591" t="s">
        <v>280</v>
      </c>
    </row>
    <row r="2524" spans="1:10">
      <c r="A2524" s="582" t="s">
        <v>1220</v>
      </c>
      <c r="B2524" s="65">
        <v>2722</v>
      </c>
      <c r="C2524" s="579" t="s">
        <v>281</v>
      </c>
      <c r="D2524" s="65"/>
      <c r="E2524" s="583"/>
      <c r="F2524" s="596"/>
      <c r="G2524" s="65">
        <v>0</v>
      </c>
      <c r="H2524" s="591" t="s">
        <v>280</v>
      </c>
      <c r="I2524" s="591" t="s">
        <v>280</v>
      </c>
    </row>
    <row r="2525" spans="1:10">
      <c r="A2525" s="582" t="s">
        <v>1220</v>
      </c>
      <c r="B2525" s="65">
        <v>2723</v>
      </c>
      <c r="C2525" s="579" t="s">
        <v>281</v>
      </c>
      <c r="D2525" s="65"/>
      <c r="E2525" s="583"/>
      <c r="F2525" s="596"/>
      <c r="G2525" s="65">
        <v>0</v>
      </c>
      <c r="H2525" s="591" t="s">
        <v>280</v>
      </c>
      <c r="I2525" s="591" t="s">
        <v>280</v>
      </c>
    </row>
    <row r="2526" spans="1:10">
      <c r="A2526" s="582" t="s">
        <v>1220</v>
      </c>
      <c r="B2526" s="65">
        <v>2724</v>
      </c>
      <c r="C2526" s="65" t="s">
        <v>281</v>
      </c>
      <c r="D2526" s="65"/>
      <c r="E2526" s="583"/>
      <c r="F2526" s="596"/>
      <c r="G2526" s="65">
        <v>0</v>
      </c>
      <c r="H2526" s="591" t="s">
        <v>280</v>
      </c>
      <c r="I2526" s="591" t="s">
        <v>280</v>
      </c>
    </row>
    <row r="2527" spans="1:10">
      <c r="A2527" s="582" t="s">
        <v>1220</v>
      </c>
      <c r="B2527" s="65">
        <v>2725</v>
      </c>
      <c r="C2527" s="579" t="s">
        <v>281</v>
      </c>
      <c r="D2527" s="65"/>
      <c r="E2527" s="583"/>
      <c r="F2527" s="596"/>
      <c r="G2527" s="65">
        <v>0</v>
      </c>
      <c r="H2527" s="591" t="s">
        <v>280</v>
      </c>
      <c r="I2527" s="591" t="s">
        <v>280</v>
      </c>
    </row>
    <row r="2528" spans="1:10">
      <c r="A2528" s="582" t="s">
        <v>1220</v>
      </c>
      <c r="B2528" s="65">
        <v>2726</v>
      </c>
      <c r="C2528" s="579" t="s">
        <v>281</v>
      </c>
      <c r="D2528" s="65"/>
      <c r="E2528" s="583"/>
      <c r="F2528" s="596"/>
      <c r="G2528" s="65">
        <v>0</v>
      </c>
      <c r="H2528" s="591" t="s">
        <v>280</v>
      </c>
      <c r="I2528" s="591" t="s">
        <v>280</v>
      </c>
    </row>
    <row r="2529" spans="1:9">
      <c r="A2529" s="582" t="s">
        <v>1220</v>
      </c>
      <c r="B2529" s="65">
        <v>2727</v>
      </c>
      <c r="C2529" s="579" t="s">
        <v>281</v>
      </c>
      <c r="D2529" s="65"/>
      <c r="E2529" s="583"/>
      <c r="F2529" s="596"/>
      <c r="G2529" s="65">
        <v>0</v>
      </c>
      <c r="H2529" s="591" t="s">
        <v>280</v>
      </c>
      <c r="I2529" s="591" t="s">
        <v>280</v>
      </c>
    </row>
    <row r="2530" spans="1:9">
      <c r="A2530" s="582" t="s">
        <v>1220</v>
      </c>
      <c r="B2530" s="65">
        <v>2728</v>
      </c>
      <c r="C2530" s="579" t="s">
        <v>281</v>
      </c>
      <c r="D2530" s="65"/>
      <c r="E2530" s="583"/>
      <c r="F2530" s="596"/>
      <c r="G2530" s="65">
        <v>0</v>
      </c>
      <c r="H2530" s="591" t="s">
        <v>280</v>
      </c>
      <c r="I2530" s="591" t="s">
        <v>280</v>
      </c>
    </row>
    <row r="2531" spans="1:9">
      <c r="A2531" s="582" t="s">
        <v>1220</v>
      </c>
      <c r="B2531" s="65">
        <v>2729</v>
      </c>
      <c r="C2531" s="579" t="s">
        <v>281</v>
      </c>
      <c r="D2531" s="65"/>
      <c r="E2531" s="583"/>
      <c r="F2531" s="596"/>
      <c r="G2531" s="65">
        <v>0</v>
      </c>
      <c r="H2531" s="591" t="s">
        <v>280</v>
      </c>
      <c r="I2531" s="591" t="s">
        <v>280</v>
      </c>
    </row>
    <row r="2532" spans="1:9">
      <c r="A2532" s="582" t="s">
        <v>1220</v>
      </c>
      <c r="B2532" s="65">
        <v>2730</v>
      </c>
      <c r="C2532" s="579" t="s">
        <v>281</v>
      </c>
      <c r="D2532" s="65"/>
      <c r="E2532" s="583"/>
      <c r="F2532" s="596"/>
      <c r="G2532" s="65">
        <v>0</v>
      </c>
      <c r="H2532" s="591" t="s">
        <v>280</v>
      </c>
      <c r="I2532" s="591" t="s">
        <v>280</v>
      </c>
    </row>
    <row r="2533" spans="1:9">
      <c r="A2533" s="582" t="s">
        <v>1220</v>
      </c>
      <c r="B2533" s="65">
        <v>2731</v>
      </c>
      <c r="C2533" s="579" t="s">
        <v>281</v>
      </c>
      <c r="D2533" s="65"/>
      <c r="E2533" s="583"/>
      <c r="F2533" s="596"/>
      <c r="G2533" s="65">
        <v>0</v>
      </c>
      <c r="H2533" s="591" t="s">
        <v>280</v>
      </c>
      <c r="I2533" s="591" t="s">
        <v>280</v>
      </c>
    </row>
    <row r="2534" spans="1:9">
      <c r="A2534" s="582" t="s">
        <v>1220</v>
      </c>
      <c r="B2534" s="65">
        <v>2732</v>
      </c>
      <c r="C2534" s="579" t="s">
        <v>281</v>
      </c>
      <c r="D2534" s="65"/>
      <c r="E2534" s="583"/>
      <c r="F2534" s="596"/>
      <c r="G2534" s="65">
        <v>0</v>
      </c>
      <c r="H2534" s="591" t="s">
        <v>280</v>
      </c>
      <c r="I2534" s="591" t="s">
        <v>280</v>
      </c>
    </row>
    <row r="2535" spans="1:9">
      <c r="A2535" s="582" t="s">
        <v>1220</v>
      </c>
      <c r="B2535" s="65">
        <v>2733</v>
      </c>
      <c r="C2535" s="579" t="s">
        <v>281</v>
      </c>
      <c r="D2535" s="65"/>
      <c r="E2535" s="583"/>
      <c r="F2535" s="596"/>
      <c r="G2535" s="65">
        <v>0</v>
      </c>
      <c r="H2535" s="591" t="s">
        <v>280</v>
      </c>
      <c r="I2535" s="591" t="s">
        <v>280</v>
      </c>
    </row>
    <row r="2536" spans="1:9">
      <c r="A2536" s="582" t="s">
        <v>1220</v>
      </c>
      <c r="B2536" s="65">
        <v>2734</v>
      </c>
      <c r="C2536" s="579" t="s">
        <v>281</v>
      </c>
      <c r="D2536" s="65"/>
      <c r="E2536" s="583"/>
      <c r="F2536" s="596"/>
      <c r="G2536" s="65">
        <v>0</v>
      </c>
      <c r="H2536" s="591" t="s">
        <v>280</v>
      </c>
      <c r="I2536" s="591" t="s">
        <v>280</v>
      </c>
    </row>
    <row r="2537" spans="1:9">
      <c r="A2537" s="582" t="s">
        <v>1220</v>
      </c>
      <c r="B2537" s="65">
        <v>2735</v>
      </c>
      <c r="C2537" s="579" t="s">
        <v>281</v>
      </c>
      <c r="D2537" s="65"/>
      <c r="E2537" s="583"/>
      <c r="F2537" s="596"/>
      <c r="G2537" s="65">
        <v>0</v>
      </c>
      <c r="H2537" s="591" t="s">
        <v>280</v>
      </c>
      <c r="I2537" s="591" t="s">
        <v>280</v>
      </c>
    </row>
    <row r="2538" spans="1:9">
      <c r="A2538" s="582" t="s">
        <v>1220</v>
      </c>
      <c r="B2538" s="65">
        <v>2736</v>
      </c>
      <c r="C2538" s="579" t="s">
        <v>281</v>
      </c>
      <c r="D2538" s="65"/>
      <c r="E2538" s="583"/>
      <c r="F2538" s="596"/>
      <c r="G2538" s="65">
        <v>0</v>
      </c>
      <c r="H2538" s="591" t="s">
        <v>280</v>
      </c>
      <c r="I2538" s="591" t="s">
        <v>280</v>
      </c>
    </row>
    <row r="2539" spans="1:9">
      <c r="A2539" s="582" t="s">
        <v>1220</v>
      </c>
      <c r="B2539" s="65">
        <v>2737</v>
      </c>
      <c r="C2539" s="579" t="s">
        <v>281</v>
      </c>
      <c r="D2539" s="65"/>
      <c r="E2539" s="583"/>
      <c r="F2539" s="596"/>
      <c r="G2539" s="65">
        <v>0</v>
      </c>
      <c r="H2539" s="591" t="s">
        <v>280</v>
      </c>
      <c r="I2539" s="591" t="s">
        <v>280</v>
      </c>
    </row>
    <row r="2540" spans="1:9">
      <c r="A2540" s="582" t="s">
        <v>1220</v>
      </c>
      <c r="B2540" s="65">
        <v>2738</v>
      </c>
      <c r="C2540" s="579" t="s">
        <v>281</v>
      </c>
      <c r="D2540" s="579"/>
      <c r="E2540" s="583"/>
      <c r="F2540" s="596"/>
      <c r="G2540" s="65">
        <v>0</v>
      </c>
      <c r="H2540" s="591" t="s">
        <v>280</v>
      </c>
      <c r="I2540" s="591" t="s">
        <v>280</v>
      </c>
    </row>
    <row r="2541" spans="1:9">
      <c r="A2541" s="582" t="s">
        <v>1220</v>
      </c>
      <c r="B2541" s="65">
        <v>2739</v>
      </c>
      <c r="C2541" s="579" t="s">
        <v>281</v>
      </c>
      <c r="D2541" s="579"/>
      <c r="E2541" s="583"/>
      <c r="F2541" s="596"/>
      <c r="G2541" s="65">
        <v>0</v>
      </c>
      <c r="H2541" s="591" t="s">
        <v>280</v>
      </c>
      <c r="I2541" s="591" t="s">
        <v>280</v>
      </c>
    </row>
    <row r="2542" spans="1:9">
      <c r="A2542" s="582" t="s">
        <v>1220</v>
      </c>
      <c r="B2542" s="65">
        <v>2740</v>
      </c>
      <c r="C2542" s="579" t="s">
        <v>281</v>
      </c>
      <c r="D2542" s="579"/>
      <c r="E2542" s="583"/>
      <c r="F2542" s="596"/>
      <c r="G2542" s="65">
        <v>0</v>
      </c>
      <c r="H2542" s="591" t="s">
        <v>280</v>
      </c>
      <c r="I2542" s="591" t="s">
        <v>280</v>
      </c>
    </row>
    <row r="2543" spans="1:9">
      <c r="A2543" s="582" t="s">
        <v>1220</v>
      </c>
      <c r="B2543" s="65">
        <v>2741</v>
      </c>
      <c r="C2543" s="579" t="s">
        <v>281</v>
      </c>
      <c r="D2543" s="579"/>
      <c r="E2543" s="583"/>
      <c r="F2543" s="596"/>
      <c r="G2543" s="65">
        <v>0</v>
      </c>
      <c r="H2543" s="591" t="s">
        <v>280</v>
      </c>
      <c r="I2543" s="591" t="s">
        <v>280</v>
      </c>
    </row>
    <row r="2544" spans="1:9">
      <c r="A2544" s="582" t="s">
        <v>1220</v>
      </c>
      <c r="B2544" s="65">
        <v>2742</v>
      </c>
      <c r="C2544" s="579" t="s">
        <v>281</v>
      </c>
      <c r="D2544" s="579"/>
      <c r="E2544" s="583"/>
      <c r="F2544" s="596"/>
      <c r="G2544" s="65">
        <v>0</v>
      </c>
      <c r="H2544" s="591" t="s">
        <v>280</v>
      </c>
      <c r="I2544" s="591" t="s">
        <v>280</v>
      </c>
    </row>
    <row r="2545" spans="1:9">
      <c r="A2545" s="582" t="s">
        <v>1220</v>
      </c>
      <c r="B2545" s="65">
        <v>2743</v>
      </c>
      <c r="C2545" s="579" t="s">
        <v>281</v>
      </c>
      <c r="D2545" s="579"/>
      <c r="E2545" s="583"/>
      <c r="F2545" s="596"/>
      <c r="G2545" s="65">
        <v>0</v>
      </c>
      <c r="H2545" s="591" t="s">
        <v>280</v>
      </c>
      <c r="I2545" s="591" t="s">
        <v>280</v>
      </c>
    </row>
    <row r="2546" spans="1:9">
      <c r="A2546" s="582" t="s">
        <v>1220</v>
      </c>
      <c r="B2546" s="65">
        <v>2744</v>
      </c>
      <c r="C2546" s="579" t="s">
        <v>281</v>
      </c>
      <c r="D2546" s="579"/>
      <c r="E2546" s="583"/>
      <c r="F2546" s="596"/>
      <c r="G2546" s="65">
        <v>0</v>
      </c>
      <c r="H2546" s="591" t="s">
        <v>280</v>
      </c>
      <c r="I2546" s="591" t="s">
        <v>280</v>
      </c>
    </row>
    <row r="2547" spans="1:9">
      <c r="A2547" s="582" t="s">
        <v>1220</v>
      </c>
      <c r="B2547" s="65">
        <v>2745</v>
      </c>
      <c r="C2547" s="579" t="s">
        <v>281</v>
      </c>
      <c r="D2547" s="579"/>
      <c r="E2547" s="583"/>
      <c r="F2547" s="596"/>
      <c r="G2547" s="65">
        <v>0</v>
      </c>
      <c r="H2547" s="591" t="s">
        <v>280</v>
      </c>
      <c r="I2547" s="591" t="s">
        <v>280</v>
      </c>
    </row>
    <row r="2548" spans="1:9">
      <c r="A2548" s="582" t="s">
        <v>1220</v>
      </c>
      <c r="B2548" s="65">
        <v>2746</v>
      </c>
      <c r="C2548" s="579" t="s">
        <v>281</v>
      </c>
      <c r="D2548" s="579"/>
      <c r="E2548" s="583"/>
      <c r="F2548" s="596"/>
      <c r="G2548" s="65">
        <v>0</v>
      </c>
      <c r="H2548" s="591" t="s">
        <v>280</v>
      </c>
      <c r="I2548" s="591" t="s">
        <v>280</v>
      </c>
    </row>
    <row r="2549" spans="1:9">
      <c r="A2549" s="582" t="s">
        <v>1220</v>
      </c>
      <c r="B2549" s="65">
        <v>2747</v>
      </c>
      <c r="C2549" s="579" t="s">
        <v>281</v>
      </c>
      <c r="D2549" s="579"/>
      <c r="E2549" s="583"/>
      <c r="F2549" s="596"/>
      <c r="G2549" s="65">
        <v>0</v>
      </c>
      <c r="H2549" s="591" t="s">
        <v>280</v>
      </c>
      <c r="I2549" s="591" t="s">
        <v>280</v>
      </c>
    </row>
    <row r="2550" spans="1:9">
      <c r="A2550" s="582" t="s">
        <v>1220</v>
      </c>
      <c r="B2550" s="65">
        <v>2748</v>
      </c>
      <c r="C2550" s="579" t="s">
        <v>281</v>
      </c>
      <c r="D2550" s="579"/>
      <c r="E2550" s="583"/>
      <c r="F2550" s="596"/>
      <c r="G2550" s="65">
        <v>0</v>
      </c>
      <c r="H2550" s="591" t="s">
        <v>280</v>
      </c>
      <c r="I2550" s="591" t="s">
        <v>280</v>
      </c>
    </row>
    <row r="2551" spans="1:9">
      <c r="A2551" s="582" t="s">
        <v>1220</v>
      </c>
      <c r="B2551" s="65">
        <v>2749</v>
      </c>
      <c r="C2551" s="579" t="s">
        <v>281</v>
      </c>
      <c r="D2551" s="579"/>
      <c r="E2551" s="583"/>
      <c r="F2551" s="596"/>
      <c r="G2551" s="65">
        <v>0</v>
      </c>
      <c r="H2551" s="591" t="s">
        <v>280</v>
      </c>
      <c r="I2551" s="591" t="s">
        <v>280</v>
      </c>
    </row>
    <row r="2552" spans="1:9">
      <c r="A2552" s="582" t="s">
        <v>1220</v>
      </c>
      <c r="B2552" s="65">
        <v>2750</v>
      </c>
      <c r="C2552" s="579" t="s">
        <v>281</v>
      </c>
      <c r="D2552" s="579"/>
      <c r="E2552" s="583"/>
      <c r="F2552" s="596"/>
      <c r="G2552" s="65">
        <v>0</v>
      </c>
      <c r="H2552" s="591" t="s">
        <v>280</v>
      </c>
      <c r="I2552" s="591" t="s">
        <v>280</v>
      </c>
    </row>
    <row r="2553" spans="1:9">
      <c r="A2553" s="582" t="s">
        <v>1220</v>
      </c>
      <c r="B2553" s="65">
        <v>2751</v>
      </c>
      <c r="C2553" s="579" t="s">
        <v>281</v>
      </c>
      <c r="D2553" s="579"/>
      <c r="E2553" s="583"/>
      <c r="F2553" s="596"/>
      <c r="G2553" s="65">
        <v>0</v>
      </c>
      <c r="H2553" s="591" t="s">
        <v>280</v>
      </c>
      <c r="I2553" s="591" t="s">
        <v>280</v>
      </c>
    </row>
    <row r="2554" spans="1:9">
      <c r="A2554" s="582" t="s">
        <v>1220</v>
      </c>
      <c r="B2554" s="65">
        <v>2752</v>
      </c>
      <c r="C2554" s="579" t="s">
        <v>281</v>
      </c>
      <c r="D2554" s="579"/>
      <c r="E2554" s="583"/>
      <c r="F2554" s="596"/>
      <c r="G2554" s="65">
        <v>0</v>
      </c>
      <c r="H2554" s="591" t="s">
        <v>280</v>
      </c>
      <c r="I2554" s="591" t="s">
        <v>280</v>
      </c>
    </row>
    <row r="2555" spans="1:9">
      <c r="A2555" s="582" t="s">
        <v>1220</v>
      </c>
      <c r="B2555" s="65">
        <v>2753</v>
      </c>
      <c r="C2555" s="579" t="s">
        <v>281</v>
      </c>
      <c r="D2555" s="65"/>
      <c r="E2555" s="583"/>
      <c r="F2555" s="596"/>
      <c r="G2555" s="65">
        <v>0</v>
      </c>
      <c r="H2555" s="591" t="s">
        <v>280</v>
      </c>
      <c r="I2555" s="591" t="s">
        <v>280</v>
      </c>
    </row>
    <row r="2556" spans="1:9">
      <c r="A2556" s="582" t="s">
        <v>1220</v>
      </c>
      <c r="B2556" s="65">
        <v>2754</v>
      </c>
      <c r="C2556" s="579" t="s">
        <v>281</v>
      </c>
      <c r="D2556" s="65"/>
      <c r="E2556" s="583"/>
      <c r="F2556" s="596"/>
      <c r="G2556" s="65">
        <v>0</v>
      </c>
      <c r="H2556" s="591" t="s">
        <v>280</v>
      </c>
      <c r="I2556" s="591" t="s">
        <v>280</v>
      </c>
    </row>
    <row r="2557" spans="1:9">
      <c r="A2557" s="582" t="s">
        <v>1220</v>
      </c>
      <c r="B2557" s="65">
        <v>2755</v>
      </c>
      <c r="C2557" s="579" t="s">
        <v>281</v>
      </c>
      <c r="D2557" s="65"/>
      <c r="E2557" s="583"/>
      <c r="F2557" s="596"/>
      <c r="G2557" s="65">
        <v>0</v>
      </c>
      <c r="H2557" s="591" t="s">
        <v>280</v>
      </c>
      <c r="I2557" s="591" t="s">
        <v>280</v>
      </c>
    </row>
    <row r="2558" spans="1:9">
      <c r="A2558" s="582" t="s">
        <v>1220</v>
      </c>
      <c r="B2558" s="65">
        <v>2756</v>
      </c>
      <c r="C2558" s="579" t="s">
        <v>281</v>
      </c>
      <c r="D2558" s="65"/>
      <c r="E2558" s="583"/>
      <c r="F2558" s="596"/>
      <c r="G2558" s="65">
        <v>0</v>
      </c>
      <c r="H2558" s="591" t="s">
        <v>280</v>
      </c>
      <c r="I2558" s="591" t="s">
        <v>280</v>
      </c>
    </row>
    <row r="2559" spans="1:9">
      <c r="A2559" s="582" t="s">
        <v>1220</v>
      </c>
      <c r="B2559" s="65">
        <v>2757</v>
      </c>
      <c r="C2559" s="579" t="s">
        <v>281</v>
      </c>
      <c r="D2559" s="65"/>
      <c r="E2559" s="583"/>
      <c r="F2559" s="596"/>
      <c r="G2559" s="65">
        <v>0</v>
      </c>
      <c r="H2559" s="591" t="s">
        <v>280</v>
      </c>
      <c r="I2559" s="591" t="s">
        <v>280</v>
      </c>
    </row>
    <row r="2560" spans="1:9">
      <c r="A2560" s="582" t="s">
        <v>1220</v>
      </c>
      <c r="B2560" s="65">
        <v>2758</v>
      </c>
      <c r="C2560" s="579" t="s">
        <v>281</v>
      </c>
      <c r="D2560" s="65"/>
      <c r="E2560" s="583"/>
      <c r="F2560" s="596"/>
      <c r="G2560" s="65">
        <v>0</v>
      </c>
      <c r="H2560" s="591" t="s">
        <v>280</v>
      </c>
      <c r="I2560" s="591" t="s">
        <v>280</v>
      </c>
    </row>
    <row r="2561" spans="1:9">
      <c r="A2561" s="582" t="s">
        <v>1220</v>
      </c>
      <c r="B2561" s="65">
        <v>2759</v>
      </c>
      <c r="C2561" s="579" t="s">
        <v>281</v>
      </c>
      <c r="D2561" s="65"/>
      <c r="E2561" s="583"/>
      <c r="F2561" s="596"/>
      <c r="G2561" s="65">
        <v>0</v>
      </c>
      <c r="H2561" s="591" t="s">
        <v>280</v>
      </c>
      <c r="I2561" s="591" t="s">
        <v>280</v>
      </c>
    </row>
    <row r="2562" spans="1:9">
      <c r="A2562" s="582" t="s">
        <v>1220</v>
      </c>
      <c r="B2562" s="65">
        <v>2760</v>
      </c>
      <c r="C2562" s="579" t="s">
        <v>281</v>
      </c>
      <c r="D2562" s="65"/>
      <c r="E2562" s="583"/>
      <c r="F2562" s="596"/>
      <c r="G2562" s="65">
        <v>0</v>
      </c>
      <c r="H2562" s="591" t="s">
        <v>280</v>
      </c>
      <c r="I2562" s="591" t="s">
        <v>280</v>
      </c>
    </row>
    <row r="2563" spans="1:9">
      <c r="A2563" s="582" t="s">
        <v>1220</v>
      </c>
      <c r="B2563" s="65">
        <v>2761</v>
      </c>
      <c r="C2563" s="579" t="s">
        <v>281</v>
      </c>
      <c r="D2563" s="65"/>
      <c r="E2563" s="583"/>
      <c r="F2563" s="596"/>
      <c r="G2563" s="65">
        <v>0</v>
      </c>
      <c r="H2563" s="591" t="s">
        <v>280</v>
      </c>
      <c r="I2563" s="591" t="s">
        <v>280</v>
      </c>
    </row>
    <row r="2564" spans="1:9">
      <c r="A2564" s="582" t="s">
        <v>1220</v>
      </c>
      <c r="B2564" s="65">
        <v>2762</v>
      </c>
      <c r="C2564" s="579" t="s">
        <v>281</v>
      </c>
      <c r="D2564" s="65"/>
      <c r="E2564" s="583"/>
      <c r="F2564" s="596"/>
      <c r="G2564" s="65">
        <v>0</v>
      </c>
      <c r="H2564" s="591" t="s">
        <v>280</v>
      </c>
      <c r="I2564" s="591" t="s">
        <v>280</v>
      </c>
    </row>
    <row r="2565" spans="1:9">
      <c r="A2565" s="582" t="s">
        <v>1220</v>
      </c>
      <c r="B2565" s="65">
        <v>2763</v>
      </c>
      <c r="C2565" s="579" t="s">
        <v>281</v>
      </c>
      <c r="D2565" s="65"/>
      <c r="E2565" s="583"/>
      <c r="F2565" s="596"/>
      <c r="G2565" s="65">
        <v>0</v>
      </c>
      <c r="H2565" s="591" t="s">
        <v>280</v>
      </c>
      <c r="I2565" s="591" t="s">
        <v>280</v>
      </c>
    </row>
    <row r="2566" spans="1:9">
      <c r="A2566" s="582" t="s">
        <v>1220</v>
      </c>
      <c r="B2566" s="65">
        <v>2764</v>
      </c>
      <c r="C2566" s="579" t="s">
        <v>281</v>
      </c>
      <c r="D2566" s="65"/>
      <c r="E2566" s="583"/>
      <c r="F2566" s="596"/>
      <c r="G2566" s="65">
        <v>0</v>
      </c>
      <c r="H2566" s="591" t="s">
        <v>280</v>
      </c>
      <c r="I2566" s="591" t="s">
        <v>280</v>
      </c>
    </row>
    <row r="2567" spans="1:9">
      <c r="A2567" s="582" t="s">
        <v>1220</v>
      </c>
      <c r="B2567" s="65">
        <v>2765</v>
      </c>
      <c r="C2567" s="579" t="s">
        <v>281</v>
      </c>
      <c r="D2567" s="65"/>
      <c r="E2567" s="583"/>
      <c r="F2567" s="596"/>
      <c r="G2567" s="65">
        <v>0</v>
      </c>
      <c r="H2567" s="591" t="s">
        <v>280</v>
      </c>
      <c r="I2567" s="591" t="s">
        <v>280</v>
      </c>
    </row>
    <row r="2568" spans="1:9">
      <c r="A2568" s="582" t="s">
        <v>1220</v>
      </c>
      <c r="B2568" s="65">
        <v>2766</v>
      </c>
      <c r="C2568" s="579" t="s">
        <v>281</v>
      </c>
      <c r="D2568" s="65"/>
      <c r="E2568" s="583"/>
      <c r="F2568" s="596"/>
      <c r="G2568" s="65">
        <v>0</v>
      </c>
      <c r="H2568" s="591" t="s">
        <v>280</v>
      </c>
      <c r="I2568" s="591" t="s">
        <v>280</v>
      </c>
    </row>
    <row r="2569" spans="1:9">
      <c r="A2569" s="582" t="s">
        <v>1220</v>
      </c>
      <c r="B2569" s="65">
        <v>2767</v>
      </c>
      <c r="C2569" s="579" t="s">
        <v>281</v>
      </c>
      <c r="D2569" s="579"/>
      <c r="E2569" s="583"/>
      <c r="F2569" s="596"/>
      <c r="G2569" s="65">
        <v>0</v>
      </c>
      <c r="H2569" s="591" t="s">
        <v>280</v>
      </c>
      <c r="I2569" s="591" t="s">
        <v>280</v>
      </c>
    </row>
    <row r="2570" spans="1:9">
      <c r="A2570" s="582" t="s">
        <v>1220</v>
      </c>
      <c r="B2570" s="65">
        <v>2768</v>
      </c>
      <c r="C2570" s="579" t="s">
        <v>281</v>
      </c>
      <c r="D2570" s="579"/>
      <c r="E2570" s="583"/>
      <c r="F2570" s="596"/>
      <c r="G2570" s="65">
        <v>0</v>
      </c>
      <c r="H2570" s="591" t="s">
        <v>280</v>
      </c>
      <c r="I2570" s="591" t="s">
        <v>280</v>
      </c>
    </row>
    <row r="2571" spans="1:9">
      <c r="A2571" s="582" t="s">
        <v>1220</v>
      </c>
      <c r="B2571" s="65">
        <v>2769</v>
      </c>
      <c r="C2571" s="65" t="s">
        <v>281</v>
      </c>
      <c r="D2571" s="65"/>
      <c r="E2571" s="583"/>
      <c r="F2571" s="596"/>
      <c r="G2571" s="65">
        <v>0</v>
      </c>
      <c r="H2571" s="591" t="s">
        <v>280</v>
      </c>
      <c r="I2571" s="591" t="s">
        <v>280</v>
      </c>
    </row>
    <row r="2572" spans="1:9">
      <c r="A2572" s="582" t="s">
        <v>1220</v>
      </c>
      <c r="B2572" s="65">
        <v>2770</v>
      </c>
      <c r="C2572" s="579" t="s">
        <v>281</v>
      </c>
      <c r="D2572" s="579"/>
      <c r="E2572" s="583"/>
      <c r="F2572" s="596"/>
      <c r="G2572" s="65">
        <v>0</v>
      </c>
      <c r="H2572" s="591" t="s">
        <v>280</v>
      </c>
      <c r="I2572" s="591" t="s">
        <v>280</v>
      </c>
    </row>
    <row r="2573" spans="1:9">
      <c r="A2573" s="582" t="s">
        <v>1220</v>
      </c>
      <c r="B2573" s="65">
        <v>2771</v>
      </c>
      <c r="C2573" s="579" t="s">
        <v>281</v>
      </c>
      <c r="D2573" s="579"/>
      <c r="E2573" s="583"/>
      <c r="F2573" s="596"/>
      <c r="G2573" s="65">
        <v>0</v>
      </c>
      <c r="H2573" s="591" t="s">
        <v>280</v>
      </c>
      <c r="I2573" s="591" t="s">
        <v>280</v>
      </c>
    </row>
    <row r="2574" spans="1:9">
      <c r="A2574" s="582" t="s">
        <v>1220</v>
      </c>
      <c r="B2574" s="65">
        <v>2772</v>
      </c>
      <c r="C2574" s="579" t="s">
        <v>281</v>
      </c>
      <c r="D2574" s="579"/>
      <c r="E2574" s="583"/>
      <c r="F2574" s="596"/>
      <c r="G2574" s="65">
        <v>0</v>
      </c>
      <c r="H2574" s="591" t="s">
        <v>280</v>
      </c>
      <c r="I2574" s="591" t="s">
        <v>280</v>
      </c>
    </row>
    <row r="2575" spans="1:9">
      <c r="A2575" s="582" t="s">
        <v>1220</v>
      </c>
      <c r="B2575" s="65">
        <v>2773</v>
      </c>
      <c r="C2575" s="579" t="s">
        <v>281</v>
      </c>
      <c r="D2575" s="579"/>
      <c r="E2575" s="583"/>
      <c r="F2575" s="596"/>
      <c r="G2575" s="65">
        <v>0</v>
      </c>
      <c r="H2575" s="591" t="s">
        <v>280</v>
      </c>
      <c r="I2575" s="591" t="s">
        <v>280</v>
      </c>
    </row>
    <row r="2576" spans="1:9">
      <c r="A2576" s="582" t="s">
        <v>1220</v>
      </c>
      <c r="B2576" s="65">
        <v>2774</v>
      </c>
      <c r="C2576" s="579" t="s">
        <v>281</v>
      </c>
      <c r="D2576" s="579"/>
      <c r="E2576" s="583"/>
      <c r="F2576" s="596"/>
      <c r="G2576" s="65">
        <v>0</v>
      </c>
      <c r="H2576" s="591" t="s">
        <v>280</v>
      </c>
      <c r="I2576" s="591" t="s">
        <v>280</v>
      </c>
    </row>
    <row r="2577" spans="1:9">
      <c r="A2577" s="582" t="s">
        <v>1220</v>
      </c>
      <c r="B2577" s="65">
        <v>2775</v>
      </c>
      <c r="C2577" s="579" t="s">
        <v>281</v>
      </c>
      <c r="D2577" s="579"/>
      <c r="E2577" s="583"/>
      <c r="F2577" s="596"/>
      <c r="G2577" s="65">
        <v>0</v>
      </c>
      <c r="H2577" s="591" t="s">
        <v>280</v>
      </c>
      <c r="I2577" s="591" t="s">
        <v>280</v>
      </c>
    </row>
    <row r="2578" spans="1:9">
      <c r="A2578" s="582" t="s">
        <v>1220</v>
      </c>
      <c r="B2578" s="65">
        <v>2776</v>
      </c>
      <c r="C2578" s="579" t="s">
        <v>281</v>
      </c>
      <c r="D2578" s="579"/>
      <c r="E2578" s="583"/>
      <c r="F2578" s="596"/>
      <c r="G2578" s="65">
        <v>0</v>
      </c>
      <c r="H2578" s="591" t="s">
        <v>280</v>
      </c>
      <c r="I2578" s="591" t="s">
        <v>280</v>
      </c>
    </row>
    <row r="2579" spans="1:9">
      <c r="A2579" s="582" t="s">
        <v>1220</v>
      </c>
      <c r="B2579" s="65">
        <v>2777</v>
      </c>
      <c r="C2579" s="579" t="s">
        <v>281</v>
      </c>
      <c r="D2579" s="579"/>
      <c r="E2579" s="583"/>
      <c r="F2579" s="596"/>
      <c r="G2579" s="65">
        <v>0</v>
      </c>
      <c r="H2579" s="591" t="s">
        <v>280</v>
      </c>
      <c r="I2579" s="591" t="s">
        <v>280</v>
      </c>
    </row>
    <row r="2580" spans="1:9">
      <c r="A2580" s="582" t="s">
        <v>1220</v>
      </c>
      <c r="B2580" s="65">
        <v>2778</v>
      </c>
      <c r="C2580" s="579" t="s">
        <v>281</v>
      </c>
      <c r="D2580" s="579"/>
      <c r="E2580" s="583"/>
      <c r="F2580" s="596"/>
      <c r="G2580" s="65">
        <v>0</v>
      </c>
      <c r="H2580" s="591" t="s">
        <v>280</v>
      </c>
      <c r="I2580" s="591" t="s">
        <v>280</v>
      </c>
    </row>
    <row r="2581" spans="1:9">
      <c r="A2581" s="582" t="s">
        <v>1220</v>
      </c>
      <c r="B2581" s="65">
        <v>2779</v>
      </c>
      <c r="C2581" s="579" t="s">
        <v>281</v>
      </c>
      <c r="D2581" s="579"/>
      <c r="E2581" s="583"/>
      <c r="F2581" s="596"/>
      <c r="G2581" s="65">
        <v>0</v>
      </c>
      <c r="H2581" s="591" t="s">
        <v>280</v>
      </c>
      <c r="I2581" s="591" t="s">
        <v>280</v>
      </c>
    </row>
    <row r="2582" spans="1:9">
      <c r="A2582" s="582" t="s">
        <v>1220</v>
      </c>
      <c r="B2582" s="65">
        <v>2780</v>
      </c>
      <c r="C2582" s="579" t="s">
        <v>281</v>
      </c>
      <c r="D2582" s="579"/>
      <c r="E2582" s="583"/>
      <c r="F2582" s="596"/>
      <c r="G2582" s="65">
        <v>0</v>
      </c>
      <c r="H2582" s="591" t="s">
        <v>280</v>
      </c>
      <c r="I2582" s="591" t="s">
        <v>280</v>
      </c>
    </row>
    <row r="2583" spans="1:9">
      <c r="A2583" s="582" t="s">
        <v>1220</v>
      </c>
      <c r="B2583" s="65">
        <v>2781</v>
      </c>
      <c r="C2583" s="579" t="s">
        <v>281</v>
      </c>
      <c r="D2583" s="579"/>
      <c r="E2583" s="583"/>
      <c r="F2583" s="596"/>
      <c r="G2583" s="65">
        <v>0</v>
      </c>
      <c r="H2583" s="591" t="s">
        <v>280</v>
      </c>
      <c r="I2583" s="591" t="s">
        <v>280</v>
      </c>
    </row>
    <row r="2584" spans="1:9">
      <c r="A2584" s="582" t="s">
        <v>1220</v>
      </c>
      <c r="B2584" s="65">
        <v>2782</v>
      </c>
      <c r="C2584" s="579" t="s">
        <v>281</v>
      </c>
      <c r="D2584" s="579"/>
      <c r="E2584" s="583"/>
      <c r="F2584" s="596"/>
      <c r="G2584" s="65">
        <v>0</v>
      </c>
      <c r="H2584" s="591" t="s">
        <v>280</v>
      </c>
      <c r="I2584" s="591" t="s">
        <v>280</v>
      </c>
    </row>
    <row r="2585" spans="1:9">
      <c r="A2585" s="582" t="s">
        <v>1220</v>
      </c>
      <c r="B2585" s="65">
        <v>2783</v>
      </c>
      <c r="C2585" s="579" t="s">
        <v>281</v>
      </c>
      <c r="D2585" s="579"/>
      <c r="E2585" s="583"/>
      <c r="F2585" s="596"/>
      <c r="G2585" s="65">
        <v>0</v>
      </c>
      <c r="H2585" s="591" t="s">
        <v>280</v>
      </c>
      <c r="I2585" s="591" t="s">
        <v>280</v>
      </c>
    </row>
    <row r="2586" spans="1:9">
      <c r="A2586" s="582" t="s">
        <v>1220</v>
      </c>
      <c r="B2586" s="65">
        <v>2784</v>
      </c>
      <c r="C2586" s="579" t="s">
        <v>281</v>
      </c>
      <c r="D2586" s="579"/>
      <c r="E2586" s="583"/>
      <c r="F2586" s="596"/>
      <c r="G2586" s="65">
        <v>0</v>
      </c>
      <c r="H2586" s="591" t="s">
        <v>280</v>
      </c>
      <c r="I2586" s="591" t="s">
        <v>280</v>
      </c>
    </row>
    <row r="2587" spans="1:9">
      <c r="A2587" s="582" t="s">
        <v>1220</v>
      </c>
      <c r="B2587" s="65">
        <v>2785</v>
      </c>
      <c r="C2587" s="579" t="s">
        <v>281</v>
      </c>
      <c r="D2587" s="579"/>
      <c r="E2587" s="583"/>
      <c r="F2587" s="596"/>
      <c r="G2587" s="65">
        <v>0</v>
      </c>
      <c r="H2587" s="591" t="s">
        <v>280</v>
      </c>
      <c r="I2587" s="591" t="s">
        <v>280</v>
      </c>
    </row>
    <row r="2588" spans="1:9">
      <c r="A2588" s="582" t="s">
        <v>1220</v>
      </c>
      <c r="B2588" s="65">
        <v>2786</v>
      </c>
      <c r="C2588" s="579" t="s">
        <v>281</v>
      </c>
      <c r="D2588" s="579"/>
      <c r="E2588" s="583"/>
      <c r="F2588" s="596"/>
      <c r="G2588" s="65">
        <v>0</v>
      </c>
      <c r="H2588" s="591" t="s">
        <v>280</v>
      </c>
      <c r="I2588" s="591" t="s">
        <v>280</v>
      </c>
    </row>
    <row r="2589" spans="1:9">
      <c r="A2589" s="582" t="s">
        <v>1220</v>
      </c>
      <c r="B2589" s="65">
        <v>2787</v>
      </c>
      <c r="C2589" s="579" t="s">
        <v>281</v>
      </c>
      <c r="D2589" s="579"/>
      <c r="E2589" s="583"/>
      <c r="F2589" s="596"/>
      <c r="G2589" s="65">
        <v>0</v>
      </c>
      <c r="H2589" s="591" t="s">
        <v>280</v>
      </c>
      <c r="I2589" s="591" t="s">
        <v>280</v>
      </c>
    </row>
    <row r="2590" spans="1:9">
      <c r="A2590" s="582" t="s">
        <v>1220</v>
      </c>
      <c r="B2590" s="65">
        <v>2788</v>
      </c>
      <c r="C2590" s="579" t="s">
        <v>281</v>
      </c>
      <c r="D2590" s="579"/>
      <c r="E2590" s="583"/>
      <c r="F2590" s="596"/>
      <c r="G2590" s="65">
        <v>0</v>
      </c>
      <c r="H2590" s="591" t="s">
        <v>280</v>
      </c>
      <c r="I2590" s="591" t="s">
        <v>280</v>
      </c>
    </row>
    <row r="2591" spans="1:9">
      <c r="A2591" s="582" t="s">
        <v>1220</v>
      </c>
      <c r="B2591" s="65">
        <v>2789</v>
      </c>
      <c r="C2591" s="579" t="s">
        <v>281</v>
      </c>
      <c r="D2591" s="579"/>
      <c r="E2591" s="583"/>
      <c r="F2591" s="596"/>
      <c r="G2591" s="65">
        <v>0</v>
      </c>
      <c r="H2591" s="591" t="s">
        <v>280</v>
      </c>
      <c r="I2591" s="591" t="s">
        <v>280</v>
      </c>
    </row>
    <row r="2592" spans="1:9">
      <c r="A2592" s="582" t="s">
        <v>1220</v>
      </c>
      <c r="B2592" s="65">
        <v>2790</v>
      </c>
      <c r="C2592" s="579" t="s">
        <v>281</v>
      </c>
      <c r="D2592" s="579"/>
      <c r="E2592" s="583"/>
      <c r="F2592" s="596"/>
      <c r="G2592" s="65">
        <v>0</v>
      </c>
      <c r="H2592" s="591" t="s">
        <v>280</v>
      </c>
      <c r="I2592" s="591" t="s">
        <v>280</v>
      </c>
    </row>
    <row r="2593" spans="1:10">
      <c r="A2593" s="582" t="s">
        <v>1220</v>
      </c>
      <c r="B2593" s="65">
        <v>2791</v>
      </c>
      <c r="C2593" s="579" t="s">
        <v>281</v>
      </c>
      <c r="D2593" s="579"/>
      <c r="E2593" s="583"/>
      <c r="F2593" s="596"/>
      <c r="G2593" s="65">
        <v>0</v>
      </c>
      <c r="H2593" s="591" t="s">
        <v>280</v>
      </c>
      <c r="I2593" s="591" t="s">
        <v>280</v>
      </c>
    </row>
    <row r="2594" spans="1:10">
      <c r="A2594" s="582" t="s">
        <v>1220</v>
      </c>
      <c r="B2594" s="65">
        <v>2792</v>
      </c>
      <c r="C2594" s="579" t="s">
        <v>281</v>
      </c>
      <c r="D2594" s="579"/>
      <c r="E2594" s="583"/>
      <c r="F2594" s="596"/>
      <c r="G2594" s="65">
        <v>0</v>
      </c>
      <c r="H2594" s="591" t="s">
        <v>280</v>
      </c>
      <c r="I2594" s="591" t="s">
        <v>280</v>
      </c>
    </row>
    <row r="2595" spans="1:10">
      <c r="A2595" s="582" t="s">
        <v>1220</v>
      </c>
      <c r="B2595" s="65">
        <v>2793</v>
      </c>
      <c r="C2595" s="579" t="s">
        <v>281</v>
      </c>
      <c r="D2595" s="579"/>
      <c r="E2595" s="583"/>
      <c r="F2595" s="596"/>
      <c r="G2595" s="65">
        <v>0</v>
      </c>
      <c r="H2595" s="591" t="s">
        <v>280</v>
      </c>
      <c r="I2595" s="591" t="s">
        <v>280</v>
      </c>
    </row>
    <row r="2596" spans="1:10">
      <c r="A2596" s="582" t="s">
        <v>1220</v>
      </c>
      <c r="B2596" s="65">
        <v>2794</v>
      </c>
      <c r="C2596" s="579" t="s">
        <v>281</v>
      </c>
      <c r="D2596" s="579"/>
      <c r="E2596" s="583"/>
      <c r="F2596" s="596"/>
      <c r="G2596" s="65">
        <v>0</v>
      </c>
      <c r="H2596" s="591" t="s">
        <v>280</v>
      </c>
      <c r="I2596" s="591" t="s">
        <v>280</v>
      </c>
    </row>
    <row r="2597" spans="1:10">
      <c r="A2597" s="582" t="s">
        <v>1220</v>
      </c>
      <c r="B2597" s="65">
        <v>2795</v>
      </c>
      <c r="C2597" s="579" t="s">
        <v>281</v>
      </c>
      <c r="D2597" s="579"/>
      <c r="E2597" s="583"/>
      <c r="F2597" s="596"/>
      <c r="G2597" s="65">
        <v>0</v>
      </c>
      <c r="H2597" s="591" t="s">
        <v>280</v>
      </c>
      <c r="I2597" s="591" t="s">
        <v>280</v>
      </c>
    </row>
    <row r="2598" spans="1:10">
      <c r="A2598" s="582" t="s">
        <v>1220</v>
      </c>
      <c r="B2598" s="65">
        <v>2796</v>
      </c>
      <c r="C2598" s="579" t="s">
        <v>281</v>
      </c>
      <c r="D2598" s="579"/>
      <c r="E2598" s="583"/>
      <c r="F2598" s="596"/>
      <c r="G2598" s="65">
        <v>0</v>
      </c>
      <c r="H2598" s="591" t="s">
        <v>280</v>
      </c>
      <c r="I2598" s="591" t="s">
        <v>280</v>
      </c>
    </row>
    <row r="2599" spans="1:10">
      <c r="A2599" s="582" t="s">
        <v>1220</v>
      </c>
      <c r="B2599" s="65">
        <v>2797</v>
      </c>
      <c r="C2599" s="579" t="s">
        <v>281</v>
      </c>
      <c r="D2599" s="579"/>
      <c r="E2599" s="583"/>
      <c r="F2599" s="596"/>
      <c r="G2599" s="65">
        <v>0</v>
      </c>
      <c r="H2599" s="591" t="s">
        <v>280</v>
      </c>
      <c r="I2599" s="591" t="s">
        <v>280</v>
      </c>
    </row>
    <row r="2600" spans="1:10">
      <c r="A2600" s="582" t="s">
        <v>1220</v>
      </c>
      <c r="B2600" s="65">
        <v>2798</v>
      </c>
      <c r="C2600" s="579" t="s">
        <v>281</v>
      </c>
      <c r="D2600" s="579"/>
      <c r="E2600" s="583"/>
      <c r="F2600" s="596"/>
      <c r="G2600" s="65">
        <v>0</v>
      </c>
      <c r="H2600" s="591" t="s">
        <v>280</v>
      </c>
      <c r="I2600" s="591" t="s">
        <v>280</v>
      </c>
    </row>
    <row r="2601" spans="1:10">
      <c r="A2601" s="582" t="s">
        <v>1220</v>
      </c>
      <c r="B2601" s="65">
        <v>2799</v>
      </c>
      <c r="C2601" s="579" t="s">
        <v>281</v>
      </c>
      <c r="D2601" s="579"/>
      <c r="E2601" s="583"/>
      <c r="F2601" s="596"/>
      <c r="G2601" s="65">
        <v>0</v>
      </c>
      <c r="H2601" s="591" t="s">
        <v>280</v>
      </c>
      <c r="I2601" s="591" t="s">
        <v>280</v>
      </c>
    </row>
    <row r="2602" spans="1:10" ht="12.75">
      <c r="A2602" s="580" t="s">
        <v>17</v>
      </c>
      <c r="B2602" s="63">
        <v>2800</v>
      </c>
      <c r="C2602" s="63" t="s">
        <v>279</v>
      </c>
      <c r="D2602" s="63"/>
      <c r="E2602" s="62"/>
      <c r="F2602" s="585">
        <v>45535</v>
      </c>
      <c r="G2602" s="65">
        <v>1</v>
      </c>
      <c r="H2602" s="591" t="s">
        <v>280</v>
      </c>
      <c r="I2602" s="591" t="s">
        <v>280</v>
      </c>
    </row>
    <row r="2603" spans="1:10" ht="13.5">
      <c r="A2603" s="580" t="s">
        <v>17</v>
      </c>
      <c r="B2603" s="63">
        <v>2801</v>
      </c>
      <c r="C2603" s="63" t="s">
        <v>281</v>
      </c>
      <c r="D2603" s="63"/>
      <c r="E2603" s="62"/>
      <c r="F2603" s="596"/>
      <c r="G2603" s="65">
        <v>0</v>
      </c>
      <c r="H2603" s="591" t="s">
        <v>280</v>
      </c>
      <c r="I2603" s="591" t="s">
        <v>280</v>
      </c>
      <c r="J2603" s="57"/>
    </row>
    <row r="2604" spans="1:10" ht="13.5">
      <c r="A2604" s="580" t="s">
        <v>17</v>
      </c>
      <c r="B2604" s="63">
        <v>2802</v>
      </c>
      <c r="C2604" s="63" t="s">
        <v>534</v>
      </c>
      <c r="D2604" s="63">
        <v>10221</v>
      </c>
      <c r="E2604" s="62"/>
      <c r="F2604" s="585">
        <v>45535</v>
      </c>
      <c r="G2604" s="65">
        <v>1</v>
      </c>
      <c r="H2604" s="591" t="s">
        <v>9</v>
      </c>
      <c r="I2604" s="591" t="s">
        <v>17</v>
      </c>
      <c r="J2604" s="57"/>
    </row>
    <row r="2605" spans="1:10" ht="13.5">
      <c r="A2605" s="580" t="s">
        <v>17</v>
      </c>
      <c r="B2605" s="63">
        <v>2803</v>
      </c>
      <c r="C2605" s="63" t="s">
        <v>535</v>
      </c>
      <c r="D2605" s="65">
        <v>10439</v>
      </c>
      <c r="E2605" s="62"/>
      <c r="F2605" s="585">
        <v>45535</v>
      </c>
      <c r="G2605" s="65">
        <v>1</v>
      </c>
      <c r="H2605" s="591" t="s">
        <v>9</v>
      </c>
      <c r="I2605" s="591" t="s">
        <v>17</v>
      </c>
      <c r="J2605" s="57"/>
    </row>
    <row r="2606" spans="1:10" ht="13.5">
      <c r="A2606" s="580" t="s">
        <v>17</v>
      </c>
      <c r="B2606" s="63">
        <v>2804</v>
      </c>
      <c r="C2606" s="63" t="s">
        <v>281</v>
      </c>
      <c r="D2606" s="63"/>
      <c r="E2606" s="62"/>
      <c r="F2606" s="596"/>
      <c r="G2606" s="65">
        <v>0</v>
      </c>
      <c r="H2606" s="591" t="s">
        <v>280</v>
      </c>
      <c r="I2606" s="591" t="s">
        <v>280</v>
      </c>
      <c r="J2606" s="57"/>
    </row>
    <row r="2607" spans="1:10" ht="13.5">
      <c r="A2607" s="580" t="s">
        <v>17</v>
      </c>
      <c r="B2607" s="63">
        <v>2805</v>
      </c>
      <c r="C2607" s="63" t="s">
        <v>281</v>
      </c>
      <c r="D2607" s="63"/>
      <c r="E2607" s="62"/>
      <c r="F2607" s="596"/>
      <c r="G2607" s="65">
        <v>0</v>
      </c>
      <c r="H2607" s="591" t="s">
        <v>280</v>
      </c>
      <c r="I2607" s="591" t="s">
        <v>280</v>
      </c>
      <c r="J2607" s="57"/>
    </row>
    <row r="2608" spans="1:10" ht="13.5">
      <c r="A2608" s="580" t="s">
        <v>17</v>
      </c>
      <c r="B2608" s="63">
        <v>2806</v>
      </c>
      <c r="C2608" s="63" t="s">
        <v>281</v>
      </c>
      <c r="D2608" s="63"/>
      <c r="E2608" s="62"/>
      <c r="F2608" s="596"/>
      <c r="G2608" s="65">
        <v>0</v>
      </c>
      <c r="H2608" s="591" t="s">
        <v>280</v>
      </c>
      <c r="I2608" s="591" t="s">
        <v>280</v>
      </c>
      <c r="J2608" s="57"/>
    </row>
    <row r="2609" spans="1:10" ht="13.5">
      <c r="A2609" s="580" t="s">
        <v>17</v>
      </c>
      <c r="B2609" s="63">
        <v>2807</v>
      </c>
      <c r="C2609" s="63" t="s">
        <v>536</v>
      </c>
      <c r="D2609" s="579">
        <v>10222</v>
      </c>
      <c r="E2609" s="62"/>
      <c r="F2609" s="585">
        <v>45535</v>
      </c>
      <c r="G2609" s="65">
        <v>1</v>
      </c>
      <c r="H2609" s="591" t="s">
        <v>9</v>
      </c>
      <c r="I2609" s="591" t="s">
        <v>17</v>
      </c>
      <c r="J2609" s="57"/>
    </row>
    <row r="2610" spans="1:10" ht="13.5">
      <c r="A2610" s="580" t="s">
        <v>17</v>
      </c>
      <c r="B2610" s="63">
        <v>2808</v>
      </c>
      <c r="C2610" s="63" t="s">
        <v>281</v>
      </c>
      <c r="D2610" s="63"/>
      <c r="E2610" s="62"/>
      <c r="F2610" s="596"/>
      <c r="G2610" s="65">
        <v>0</v>
      </c>
      <c r="H2610" s="591" t="s">
        <v>280</v>
      </c>
      <c r="I2610" s="591" t="s">
        <v>280</v>
      </c>
      <c r="J2610" s="57"/>
    </row>
    <row r="2611" spans="1:10" ht="13.5">
      <c r="A2611" s="580" t="s">
        <v>17</v>
      </c>
      <c r="B2611" s="63">
        <v>2809</v>
      </c>
      <c r="C2611" s="63" t="s">
        <v>281</v>
      </c>
      <c r="D2611" s="63"/>
      <c r="E2611" s="62"/>
      <c r="F2611" s="596"/>
      <c r="G2611" s="65">
        <v>0</v>
      </c>
      <c r="H2611" s="591" t="s">
        <v>280</v>
      </c>
      <c r="I2611" s="591" t="s">
        <v>280</v>
      </c>
      <c r="J2611" s="57"/>
    </row>
    <row r="2612" spans="1:10" ht="12.75">
      <c r="A2612" s="580" t="s">
        <v>17</v>
      </c>
      <c r="B2612" s="63">
        <v>2810</v>
      </c>
      <c r="C2612" s="63" t="s">
        <v>281</v>
      </c>
      <c r="D2612" s="63"/>
      <c r="E2612" s="62"/>
      <c r="F2612" s="596"/>
      <c r="G2612" s="65">
        <v>0</v>
      </c>
      <c r="H2612" s="591" t="s">
        <v>280</v>
      </c>
      <c r="I2612" s="591" t="s">
        <v>280</v>
      </c>
    </row>
    <row r="2613" spans="1:10" ht="12.75">
      <c r="A2613" s="580" t="s">
        <v>17</v>
      </c>
      <c r="B2613" s="63">
        <v>2811</v>
      </c>
      <c r="C2613" s="63" t="s">
        <v>537</v>
      </c>
      <c r="D2613" s="63">
        <v>10011</v>
      </c>
      <c r="E2613" s="62"/>
      <c r="F2613" s="585">
        <v>45535</v>
      </c>
      <c r="G2613" s="65">
        <v>1</v>
      </c>
      <c r="H2613" s="591" t="s">
        <v>9</v>
      </c>
      <c r="I2613" s="591" t="s">
        <v>17</v>
      </c>
    </row>
    <row r="2614" spans="1:10" ht="12.75">
      <c r="A2614" s="580" t="s">
        <v>17</v>
      </c>
      <c r="B2614" s="63">
        <v>2812</v>
      </c>
      <c r="C2614" s="63" t="s">
        <v>281</v>
      </c>
      <c r="D2614" s="63"/>
      <c r="E2614" s="62"/>
      <c r="F2614" s="596"/>
      <c r="G2614" s="65">
        <v>0</v>
      </c>
      <c r="H2614" s="591" t="s">
        <v>280</v>
      </c>
      <c r="I2614" s="591" t="s">
        <v>280</v>
      </c>
    </row>
    <row r="2615" spans="1:10" ht="12.75">
      <c r="A2615" s="580" t="s">
        <v>17</v>
      </c>
      <c r="B2615" s="63">
        <v>2813</v>
      </c>
      <c r="C2615" s="63" t="s">
        <v>281</v>
      </c>
      <c r="D2615" s="63"/>
      <c r="E2615" s="62"/>
      <c r="F2615" s="596"/>
      <c r="G2615" s="65">
        <v>0</v>
      </c>
      <c r="H2615" s="591" t="s">
        <v>280</v>
      </c>
      <c r="I2615" s="591" t="s">
        <v>280</v>
      </c>
    </row>
    <row r="2616" spans="1:10" ht="12.75">
      <c r="A2616" s="580" t="s">
        <v>17</v>
      </c>
      <c r="B2616" s="63">
        <v>2814</v>
      </c>
      <c r="C2616" s="63" t="s">
        <v>281</v>
      </c>
      <c r="D2616" s="63"/>
      <c r="E2616" s="62"/>
      <c r="F2616" s="596"/>
      <c r="G2616" s="65">
        <v>0</v>
      </c>
      <c r="H2616" s="591" t="s">
        <v>280</v>
      </c>
      <c r="I2616" s="591" t="s">
        <v>280</v>
      </c>
    </row>
    <row r="2617" spans="1:10" ht="12.75">
      <c r="A2617" s="580" t="s">
        <v>17</v>
      </c>
      <c r="B2617" s="63">
        <v>2815</v>
      </c>
      <c r="C2617" s="63" t="s">
        <v>538</v>
      </c>
      <c r="D2617" s="63">
        <v>10015</v>
      </c>
      <c r="E2617" s="62"/>
      <c r="F2617" s="585">
        <v>45535</v>
      </c>
      <c r="G2617" s="65">
        <v>1</v>
      </c>
      <c r="H2617" s="591" t="s">
        <v>280</v>
      </c>
      <c r="I2617" s="591" t="s">
        <v>280</v>
      </c>
    </row>
    <row r="2618" spans="1:10" ht="12.75">
      <c r="A2618" s="580" t="s">
        <v>17</v>
      </c>
      <c r="B2618" s="63">
        <v>2816</v>
      </c>
      <c r="C2618" s="63" t="s">
        <v>281</v>
      </c>
      <c r="D2618" s="63"/>
      <c r="E2618" s="62"/>
      <c r="F2618" s="596"/>
      <c r="G2618" s="65">
        <v>0</v>
      </c>
      <c r="H2618" s="591" t="s">
        <v>280</v>
      </c>
      <c r="I2618" s="591" t="s">
        <v>280</v>
      </c>
    </row>
    <row r="2619" spans="1:10" ht="12.75">
      <c r="A2619" s="580" t="s">
        <v>17</v>
      </c>
      <c r="B2619" s="63">
        <v>2817</v>
      </c>
      <c r="C2619" s="63" t="s">
        <v>281</v>
      </c>
      <c r="D2619" s="63"/>
      <c r="E2619" s="62"/>
      <c r="F2619" s="596"/>
      <c r="G2619" s="65">
        <v>0</v>
      </c>
      <c r="H2619" s="591" t="s">
        <v>280</v>
      </c>
      <c r="I2619" s="591" t="s">
        <v>280</v>
      </c>
    </row>
    <row r="2620" spans="1:10" ht="12.75">
      <c r="A2620" s="580" t="s">
        <v>17</v>
      </c>
      <c r="B2620" s="63">
        <v>2818</v>
      </c>
      <c r="C2620" s="63" t="s">
        <v>281</v>
      </c>
      <c r="D2620" s="63"/>
      <c r="E2620" s="62"/>
      <c r="F2620" s="596"/>
      <c r="G2620" s="65">
        <v>0</v>
      </c>
      <c r="H2620" s="591" t="s">
        <v>280</v>
      </c>
      <c r="I2620" s="591" t="s">
        <v>280</v>
      </c>
    </row>
    <row r="2621" spans="1:10" ht="12.75">
      <c r="A2621" s="580" t="s">
        <v>17</v>
      </c>
      <c r="B2621" s="63">
        <v>2819</v>
      </c>
      <c r="C2621" s="63" t="s">
        <v>281</v>
      </c>
      <c r="D2621" s="63"/>
      <c r="E2621" s="62"/>
      <c r="F2621" s="596"/>
      <c r="G2621" s="65">
        <v>0</v>
      </c>
      <c r="H2621" s="591" t="s">
        <v>280</v>
      </c>
      <c r="I2621" s="591" t="s">
        <v>280</v>
      </c>
    </row>
    <row r="2622" spans="1:10" ht="12.75">
      <c r="A2622" s="580" t="s">
        <v>17</v>
      </c>
      <c r="B2622" s="63">
        <v>2820</v>
      </c>
      <c r="C2622" s="63" t="s">
        <v>281</v>
      </c>
      <c r="D2622" s="63"/>
      <c r="E2622" s="62"/>
      <c r="F2622" s="596"/>
      <c r="G2622" s="65">
        <v>0</v>
      </c>
      <c r="H2622" s="591" t="s">
        <v>280</v>
      </c>
      <c r="I2622" s="591" t="s">
        <v>280</v>
      </c>
    </row>
    <row r="2623" spans="1:10" ht="12.75">
      <c r="A2623" s="580" t="s">
        <v>17</v>
      </c>
      <c r="B2623" s="63">
        <v>2821</v>
      </c>
      <c r="C2623" s="63" t="s">
        <v>281</v>
      </c>
      <c r="D2623" s="63"/>
      <c r="E2623" s="62"/>
      <c r="F2623" s="596"/>
      <c r="G2623" s="65">
        <v>0</v>
      </c>
      <c r="H2623" s="591" t="s">
        <v>280</v>
      </c>
      <c r="I2623" s="591" t="s">
        <v>280</v>
      </c>
    </row>
    <row r="2624" spans="1:10" ht="12.75">
      <c r="A2624" s="580" t="s">
        <v>17</v>
      </c>
      <c r="B2624" s="63">
        <v>2822</v>
      </c>
      <c r="C2624" s="63" t="s">
        <v>281</v>
      </c>
      <c r="D2624" s="63"/>
      <c r="E2624" s="62"/>
      <c r="F2624" s="596"/>
      <c r="G2624" s="65">
        <v>0</v>
      </c>
      <c r="H2624" s="591" t="s">
        <v>280</v>
      </c>
      <c r="I2624" s="591" t="s">
        <v>280</v>
      </c>
    </row>
    <row r="2625" spans="1:9" ht="12.75">
      <c r="A2625" s="580" t="s">
        <v>17</v>
      </c>
      <c r="B2625" s="63">
        <v>2823</v>
      </c>
      <c r="C2625" s="63" t="s">
        <v>281</v>
      </c>
      <c r="D2625" s="63"/>
      <c r="E2625" s="62"/>
      <c r="F2625" s="596"/>
      <c r="G2625" s="65">
        <v>0</v>
      </c>
      <c r="H2625" s="591" t="s">
        <v>280</v>
      </c>
      <c r="I2625" s="591" t="s">
        <v>280</v>
      </c>
    </row>
    <row r="2626" spans="1:9" ht="12.75">
      <c r="A2626" s="580" t="s">
        <v>17</v>
      </c>
      <c r="B2626" s="63">
        <v>2824</v>
      </c>
      <c r="C2626" s="63" t="s">
        <v>281</v>
      </c>
      <c r="D2626" s="63"/>
      <c r="E2626" s="62"/>
      <c r="F2626" s="596"/>
      <c r="G2626" s="65">
        <v>0</v>
      </c>
      <c r="H2626" s="591" t="s">
        <v>280</v>
      </c>
      <c r="I2626" s="591" t="s">
        <v>280</v>
      </c>
    </row>
    <row r="2627" spans="1:9" ht="12.75">
      <c r="A2627" s="580" t="s">
        <v>17</v>
      </c>
      <c r="B2627" s="63">
        <v>2825</v>
      </c>
      <c r="C2627" s="63" t="s">
        <v>281</v>
      </c>
      <c r="D2627" s="63"/>
      <c r="E2627" s="62"/>
      <c r="F2627" s="596"/>
      <c r="G2627" s="65">
        <v>0</v>
      </c>
      <c r="H2627" s="591" t="s">
        <v>280</v>
      </c>
      <c r="I2627" s="591" t="s">
        <v>280</v>
      </c>
    </row>
    <row r="2628" spans="1:9" ht="12.75">
      <c r="A2628" s="580" t="s">
        <v>17</v>
      </c>
      <c r="B2628" s="63">
        <v>2826</v>
      </c>
      <c r="C2628" s="63" t="s">
        <v>281</v>
      </c>
      <c r="D2628" s="63"/>
      <c r="E2628" s="62"/>
      <c r="F2628" s="596"/>
      <c r="G2628" s="65">
        <v>0</v>
      </c>
      <c r="H2628" s="591" t="s">
        <v>280</v>
      </c>
      <c r="I2628" s="591" t="s">
        <v>280</v>
      </c>
    </row>
    <row r="2629" spans="1:9" ht="12.75">
      <c r="A2629" s="580" t="s">
        <v>17</v>
      </c>
      <c r="B2629" s="63">
        <v>2827</v>
      </c>
      <c r="C2629" s="63" t="s">
        <v>281</v>
      </c>
      <c r="D2629" s="63"/>
      <c r="E2629" s="62"/>
      <c r="F2629" s="596"/>
      <c r="G2629" s="65">
        <v>0</v>
      </c>
      <c r="H2629" s="591" t="s">
        <v>280</v>
      </c>
      <c r="I2629" s="591" t="s">
        <v>280</v>
      </c>
    </row>
    <row r="2630" spans="1:9" ht="12.75">
      <c r="A2630" s="580" t="s">
        <v>17</v>
      </c>
      <c r="B2630" s="63">
        <v>2828</v>
      </c>
      <c r="C2630" s="63" t="s">
        <v>281</v>
      </c>
      <c r="D2630" s="63"/>
      <c r="E2630" s="62"/>
      <c r="F2630" s="596"/>
      <c r="G2630" s="65">
        <v>0</v>
      </c>
      <c r="H2630" s="591" t="s">
        <v>280</v>
      </c>
      <c r="I2630" s="591" t="s">
        <v>280</v>
      </c>
    </row>
    <row r="2631" spans="1:9" ht="12.75">
      <c r="A2631" s="580" t="s">
        <v>17</v>
      </c>
      <c r="B2631" s="63">
        <v>2829</v>
      </c>
      <c r="C2631" s="63" t="s">
        <v>281</v>
      </c>
      <c r="D2631" s="63"/>
      <c r="E2631" s="62"/>
      <c r="F2631" s="596"/>
      <c r="G2631" s="65">
        <v>0</v>
      </c>
      <c r="H2631" s="591" t="s">
        <v>280</v>
      </c>
      <c r="I2631" s="591" t="s">
        <v>280</v>
      </c>
    </row>
    <row r="2632" spans="1:9" ht="12.75">
      <c r="A2632" s="580" t="s">
        <v>17</v>
      </c>
      <c r="B2632" s="63">
        <v>2830</v>
      </c>
      <c r="C2632" s="63" t="s">
        <v>281</v>
      </c>
      <c r="D2632" s="63"/>
      <c r="E2632" s="62"/>
      <c r="F2632" s="596"/>
      <c r="G2632" s="65">
        <v>0</v>
      </c>
      <c r="H2632" s="591" t="s">
        <v>280</v>
      </c>
      <c r="I2632" s="591" t="s">
        <v>280</v>
      </c>
    </row>
    <row r="2633" spans="1:9" ht="12.75">
      <c r="A2633" s="580" t="s">
        <v>17</v>
      </c>
      <c r="B2633" s="63">
        <v>2831</v>
      </c>
      <c r="C2633" s="63" t="s">
        <v>281</v>
      </c>
      <c r="D2633" s="63"/>
      <c r="E2633" s="62"/>
      <c r="F2633" s="596"/>
      <c r="G2633" s="65">
        <v>0</v>
      </c>
      <c r="H2633" s="591" t="s">
        <v>280</v>
      </c>
      <c r="I2633" s="591" t="s">
        <v>280</v>
      </c>
    </row>
    <row r="2634" spans="1:9" ht="12.75">
      <c r="A2634" s="580" t="s">
        <v>17</v>
      </c>
      <c r="B2634" s="63">
        <v>2832</v>
      </c>
      <c r="C2634" s="63" t="s">
        <v>539</v>
      </c>
      <c r="D2634" s="579">
        <v>10043</v>
      </c>
      <c r="E2634" s="62"/>
      <c r="F2634" s="585">
        <v>45535</v>
      </c>
      <c r="G2634" s="65">
        <v>1</v>
      </c>
      <c r="H2634" s="591" t="s">
        <v>280</v>
      </c>
      <c r="I2634" s="591" t="s">
        <v>280</v>
      </c>
    </row>
    <row r="2635" spans="1:9" ht="12.75">
      <c r="A2635" s="580" t="s">
        <v>17</v>
      </c>
      <c r="B2635" s="63">
        <v>2833</v>
      </c>
      <c r="C2635" s="63" t="s">
        <v>281</v>
      </c>
      <c r="D2635" s="63"/>
      <c r="E2635" s="62"/>
      <c r="F2635" s="596"/>
      <c r="G2635" s="65">
        <v>0</v>
      </c>
      <c r="H2635" s="591" t="s">
        <v>280</v>
      </c>
      <c r="I2635" s="591" t="s">
        <v>280</v>
      </c>
    </row>
    <row r="2636" spans="1:9" ht="12.75">
      <c r="A2636" s="580" t="s">
        <v>17</v>
      </c>
      <c r="B2636" s="63">
        <v>2834</v>
      </c>
      <c r="C2636" s="63" t="s">
        <v>281</v>
      </c>
      <c r="D2636" s="63"/>
      <c r="E2636" s="62"/>
      <c r="F2636" s="596"/>
      <c r="G2636" s="65">
        <v>0</v>
      </c>
      <c r="H2636" s="591" t="s">
        <v>280</v>
      </c>
      <c r="I2636" s="591" t="s">
        <v>280</v>
      </c>
    </row>
    <row r="2637" spans="1:9" ht="12.75">
      <c r="A2637" s="580" t="s">
        <v>17</v>
      </c>
      <c r="B2637" s="63">
        <v>2835</v>
      </c>
      <c r="C2637" s="63" t="s">
        <v>281</v>
      </c>
      <c r="D2637" s="63"/>
      <c r="E2637" s="62"/>
      <c r="F2637" s="596"/>
      <c r="G2637" s="65">
        <v>0</v>
      </c>
      <c r="H2637" s="591" t="s">
        <v>280</v>
      </c>
      <c r="I2637" s="591" t="s">
        <v>280</v>
      </c>
    </row>
    <row r="2638" spans="1:9" ht="12.75">
      <c r="A2638" s="580" t="s">
        <v>17</v>
      </c>
      <c r="B2638" s="63">
        <v>2836</v>
      </c>
      <c r="C2638" s="63" t="s">
        <v>281</v>
      </c>
      <c r="D2638" s="63"/>
      <c r="E2638" s="62"/>
      <c r="F2638" s="596"/>
      <c r="G2638" s="65">
        <v>0</v>
      </c>
      <c r="H2638" s="591" t="s">
        <v>280</v>
      </c>
      <c r="I2638" s="591" t="s">
        <v>280</v>
      </c>
    </row>
    <row r="2639" spans="1:9" ht="14.25">
      <c r="A2639" s="580" t="s">
        <v>17</v>
      </c>
      <c r="B2639" s="63">
        <v>2837</v>
      </c>
      <c r="C2639" s="65" t="s">
        <v>2023</v>
      </c>
      <c r="D2639" s="63">
        <v>10099</v>
      </c>
      <c r="E2639" s="587"/>
      <c r="F2639" s="600">
        <v>45612</v>
      </c>
      <c r="G2639" s="65">
        <v>1</v>
      </c>
      <c r="H2639" s="591" t="s">
        <v>9</v>
      </c>
      <c r="I2639" s="591" t="s">
        <v>17</v>
      </c>
    </row>
    <row r="2640" spans="1:9" ht="12.75">
      <c r="A2640" s="580" t="s">
        <v>17</v>
      </c>
      <c r="B2640" s="63">
        <v>2838</v>
      </c>
      <c r="C2640" s="63" t="s">
        <v>1777</v>
      </c>
      <c r="D2640" s="579">
        <v>10313</v>
      </c>
      <c r="E2640" s="62"/>
      <c r="F2640" s="585">
        <v>45535</v>
      </c>
      <c r="G2640" s="65">
        <v>1</v>
      </c>
      <c r="H2640" s="591" t="s">
        <v>280</v>
      </c>
      <c r="I2640" s="591" t="s">
        <v>280</v>
      </c>
    </row>
    <row r="2641" spans="1:9" ht="12.75">
      <c r="A2641" s="580" t="s">
        <v>17</v>
      </c>
      <c r="B2641" s="63">
        <v>2839</v>
      </c>
      <c r="C2641" s="63" t="s">
        <v>281</v>
      </c>
      <c r="D2641" s="63"/>
      <c r="E2641" s="62"/>
      <c r="F2641" s="596"/>
      <c r="G2641" s="65">
        <v>0</v>
      </c>
      <c r="H2641" s="591" t="s">
        <v>280</v>
      </c>
      <c r="I2641" s="591" t="s">
        <v>280</v>
      </c>
    </row>
    <row r="2642" spans="1:9" ht="12.75">
      <c r="A2642" s="580" t="s">
        <v>17</v>
      </c>
      <c r="B2642" s="63">
        <v>2840</v>
      </c>
      <c r="C2642" s="70" t="s">
        <v>281</v>
      </c>
      <c r="D2642" s="65"/>
      <c r="E2642" s="62"/>
      <c r="F2642" s="596"/>
      <c r="G2642" s="65">
        <v>0</v>
      </c>
      <c r="H2642" s="591" t="s">
        <v>280</v>
      </c>
      <c r="I2642" s="591" t="s">
        <v>280</v>
      </c>
    </row>
    <row r="2643" spans="1:9" ht="12.75">
      <c r="A2643" s="580" t="s">
        <v>17</v>
      </c>
      <c r="B2643" s="63">
        <v>2841</v>
      </c>
      <c r="C2643" s="63" t="s">
        <v>281</v>
      </c>
      <c r="D2643" s="63"/>
      <c r="E2643" s="62"/>
      <c r="F2643" s="596"/>
      <c r="G2643" s="65">
        <v>0</v>
      </c>
      <c r="H2643" s="591" t="s">
        <v>280</v>
      </c>
      <c r="I2643" s="591" t="s">
        <v>280</v>
      </c>
    </row>
    <row r="2644" spans="1:9" ht="12.75">
      <c r="A2644" s="580" t="s">
        <v>17</v>
      </c>
      <c r="B2644" s="63">
        <v>2842</v>
      </c>
      <c r="C2644" s="63" t="s">
        <v>281</v>
      </c>
      <c r="D2644" s="63"/>
      <c r="E2644" s="62"/>
      <c r="F2644" s="596"/>
      <c r="G2644" s="65">
        <v>0</v>
      </c>
      <c r="H2644" s="591" t="s">
        <v>280</v>
      </c>
      <c r="I2644" s="591" t="s">
        <v>280</v>
      </c>
    </row>
    <row r="2645" spans="1:9" ht="12.75">
      <c r="A2645" s="580" t="s">
        <v>17</v>
      </c>
      <c r="B2645" s="63">
        <v>2843</v>
      </c>
      <c r="C2645" s="63" t="s">
        <v>281</v>
      </c>
      <c r="D2645" s="63"/>
      <c r="E2645" s="62"/>
      <c r="F2645" s="596"/>
      <c r="G2645" s="65">
        <v>0</v>
      </c>
      <c r="H2645" s="591" t="s">
        <v>280</v>
      </c>
      <c r="I2645" s="591" t="s">
        <v>280</v>
      </c>
    </row>
    <row r="2646" spans="1:9" ht="12.75">
      <c r="A2646" s="580" t="s">
        <v>17</v>
      </c>
      <c r="B2646" s="63">
        <v>2844</v>
      </c>
      <c r="C2646" s="63" t="s">
        <v>541</v>
      </c>
      <c r="D2646" s="63">
        <v>10311</v>
      </c>
      <c r="E2646" s="62"/>
      <c r="F2646" s="585">
        <v>45535</v>
      </c>
      <c r="G2646" s="65">
        <v>1</v>
      </c>
      <c r="H2646" s="591" t="s">
        <v>9</v>
      </c>
      <c r="I2646" s="591" t="s">
        <v>17</v>
      </c>
    </row>
    <row r="2647" spans="1:9" ht="12.75">
      <c r="A2647" s="580" t="s">
        <v>17</v>
      </c>
      <c r="B2647" s="63">
        <v>2845</v>
      </c>
      <c r="C2647" s="63" t="s">
        <v>281</v>
      </c>
      <c r="D2647" s="579"/>
      <c r="E2647" s="62"/>
      <c r="F2647" s="596"/>
      <c r="G2647" s="65">
        <v>0</v>
      </c>
      <c r="H2647" s="591" t="s">
        <v>280</v>
      </c>
      <c r="I2647" s="591" t="s">
        <v>280</v>
      </c>
    </row>
    <row r="2648" spans="1:9">
      <c r="A2648" s="580" t="s">
        <v>17</v>
      </c>
      <c r="B2648" s="65">
        <v>2846</v>
      </c>
      <c r="C2648" s="579" t="s">
        <v>542</v>
      </c>
      <c r="D2648" s="579">
        <v>10376</v>
      </c>
      <c r="E2648" s="583"/>
      <c r="F2648" s="585">
        <v>45535</v>
      </c>
      <c r="G2648" s="65">
        <v>1</v>
      </c>
      <c r="H2648" s="591" t="s">
        <v>9</v>
      </c>
      <c r="I2648" s="591" t="s">
        <v>17</v>
      </c>
    </row>
    <row r="2649" spans="1:9">
      <c r="A2649" s="580" t="s">
        <v>17</v>
      </c>
      <c r="B2649" s="65">
        <v>2847</v>
      </c>
      <c r="C2649" s="579" t="s">
        <v>281</v>
      </c>
      <c r="D2649" s="65"/>
      <c r="E2649" s="583"/>
      <c r="F2649" s="596"/>
      <c r="G2649" s="65">
        <v>0</v>
      </c>
      <c r="H2649" s="591" t="s">
        <v>280</v>
      </c>
      <c r="I2649" s="591" t="s">
        <v>280</v>
      </c>
    </row>
    <row r="2650" spans="1:9">
      <c r="A2650" s="580" t="s">
        <v>17</v>
      </c>
      <c r="B2650" s="65">
        <v>2848</v>
      </c>
      <c r="C2650" s="579" t="s">
        <v>281</v>
      </c>
      <c r="D2650" s="579"/>
      <c r="E2650" s="583"/>
      <c r="F2650" s="596"/>
      <c r="G2650" s="65">
        <v>0</v>
      </c>
      <c r="H2650" s="591" t="s">
        <v>280</v>
      </c>
      <c r="I2650" s="591" t="s">
        <v>280</v>
      </c>
    </row>
    <row r="2651" spans="1:9">
      <c r="A2651" s="580" t="s">
        <v>17</v>
      </c>
      <c r="B2651" s="65">
        <v>2849</v>
      </c>
      <c r="C2651" s="579" t="s">
        <v>319</v>
      </c>
      <c r="D2651" s="63">
        <v>10330</v>
      </c>
      <c r="E2651" s="583"/>
      <c r="F2651" s="585">
        <v>45535</v>
      </c>
      <c r="G2651" s="65">
        <v>1</v>
      </c>
      <c r="H2651" s="591" t="s">
        <v>280</v>
      </c>
      <c r="I2651" s="591" t="s">
        <v>280</v>
      </c>
    </row>
    <row r="2652" spans="1:9">
      <c r="A2652" s="580" t="s">
        <v>17</v>
      </c>
      <c r="B2652" s="65">
        <v>2850</v>
      </c>
      <c r="C2652" s="65" t="s">
        <v>281</v>
      </c>
      <c r="D2652" s="65"/>
      <c r="E2652" s="583"/>
      <c r="F2652" s="596"/>
      <c r="G2652" s="65">
        <v>0</v>
      </c>
      <c r="H2652" s="591" t="s">
        <v>280</v>
      </c>
      <c r="I2652" s="591" t="s">
        <v>280</v>
      </c>
    </row>
    <row r="2653" spans="1:9">
      <c r="A2653" s="580" t="s">
        <v>17</v>
      </c>
      <c r="B2653" s="65">
        <v>2851</v>
      </c>
      <c r="C2653" s="65" t="s">
        <v>1778</v>
      </c>
      <c r="D2653" s="65">
        <v>10820</v>
      </c>
      <c r="E2653" s="583"/>
      <c r="F2653" s="585">
        <v>45535</v>
      </c>
      <c r="G2653" s="65">
        <v>1</v>
      </c>
      <c r="H2653" s="591" t="s">
        <v>9</v>
      </c>
      <c r="I2653" s="591" t="s">
        <v>17</v>
      </c>
    </row>
    <row r="2654" spans="1:9">
      <c r="A2654" s="580" t="s">
        <v>17</v>
      </c>
      <c r="B2654" s="65">
        <v>2852</v>
      </c>
      <c r="C2654" s="65" t="s">
        <v>1779</v>
      </c>
      <c r="D2654" s="65">
        <v>10917</v>
      </c>
      <c r="E2654" s="583"/>
      <c r="F2654" s="585">
        <v>45535</v>
      </c>
      <c r="G2654" s="65">
        <v>1</v>
      </c>
      <c r="H2654" s="591" t="s">
        <v>9</v>
      </c>
      <c r="I2654" s="591" t="s">
        <v>17</v>
      </c>
    </row>
    <row r="2655" spans="1:9">
      <c r="A2655" s="580" t="s">
        <v>17</v>
      </c>
      <c r="B2655" s="65">
        <v>2853</v>
      </c>
      <c r="C2655" s="65" t="s">
        <v>1780</v>
      </c>
      <c r="D2655" s="65">
        <v>10973</v>
      </c>
      <c r="E2655" s="583"/>
      <c r="F2655" s="585">
        <v>45535</v>
      </c>
      <c r="G2655" s="65">
        <v>1</v>
      </c>
      <c r="H2655" s="591" t="s">
        <v>9</v>
      </c>
      <c r="I2655" s="591" t="s">
        <v>17</v>
      </c>
    </row>
    <row r="2656" spans="1:9">
      <c r="A2656" s="580" t="s">
        <v>17</v>
      </c>
      <c r="B2656" s="65">
        <v>2854</v>
      </c>
      <c r="C2656" s="65" t="s">
        <v>569</v>
      </c>
      <c r="D2656" s="579">
        <v>10492</v>
      </c>
      <c r="E2656" s="583"/>
      <c r="F2656" s="585">
        <v>45535</v>
      </c>
      <c r="G2656" s="65">
        <v>1</v>
      </c>
      <c r="H2656" s="591" t="s">
        <v>9</v>
      </c>
      <c r="I2656" s="591" t="s">
        <v>17</v>
      </c>
    </row>
    <row r="2657" spans="1:9">
      <c r="A2657" s="580" t="s">
        <v>17</v>
      </c>
      <c r="B2657" s="65">
        <v>2855</v>
      </c>
      <c r="C2657" s="65" t="s">
        <v>1781</v>
      </c>
      <c r="D2657" s="65">
        <v>11040</v>
      </c>
      <c r="E2657" s="583"/>
      <c r="F2657" s="585">
        <v>45535</v>
      </c>
      <c r="G2657" s="65">
        <v>1</v>
      </c>
      <c r="H2657" s="591" t="s">
        <v>9</v>
      </c>
      <c r="I2657" s="591" t="s">
        <v>17</v>
      </c>
    </row>
    <row r="2658" spans="1:9" ht="14.25">
      <c r="A2658" s="580" t="s">
        <v>17</v>
      </c>
      <c r="B2658" s="65">
        <v>2856</v>
      </c>
      <c r="C2658" s="65" t="s">
        <v>2048</v>
      </c>
      <c r="D2658" s="65">
        <v>11080</v>
      </c>
      <c r="E2658" s="587"/>
      <c r="F2658" s="600">
        <v>45682</v>
      </c>
      <c r="G2658" s="65">
        <v>1</v>
      </c>
      <c r="H2658" s="591" t="s">
        <v>280</v>
      </c>
      <c r="I2658" s="591" t="s">
        <v>280</v>
      </c>
    </row>
    <row r="2659" spans="1:9" ht="14.25">
      <c r="A2659" s="580" t="s">
        <v>17</v>
      </c>
      <c r="B2659" s="65">
        <v>2857</v>
      </c>
      <c r="C2659" s="65" t="s">
        <v>2049</v>
      </c>
      <c r="D2659" s="65">
        <v>11081</v>
      </c>
      <c r="E2659" s="587"/>
      <c r="F2659" s="600">
        <v>45682</v>
      </c>
      <c r="G2659" s="65">
        <v>1</v>
      </c>
      <c r="H2659" s="591" t="s">
        <v>280</v>
      </c>
      <c r="I2659" s="591" t="s">
        <v>280</v>
      </c>
    </row>
    <row r="2660" spans="1:9">
      <c r="A2660" s="580" t="s">
        <v>17</v>
      </c>
      <c r="B2660" s="65">
        <v>2858</v>
      </c>
      <c r="C2660" s="579" t="s">
        <v>281</v>
      </c>
      <c r="D2660" s="579"/>
      <c r="E2660" s="583"/>
      <c r="F2660" s="596"/>
      <c r="G2660" s="65">
        <v>0</v>
      </c>
      <c r="H2660" s="591" t="s">
        <v>280</v>
      </c>
      <c r="I2660" s="591" t="s">
        <v>280</v>
      </c>
    </row>
    <row r="2661" spans="1:9">
      <c r="A2661" s="580" t="s">
        <v>17</v>
      </c>
      <c r="B2661" s="65">
        <v>2859</v>
      </c>
      <c r="C2661" s="579" t="s">
        <v>281</v>
      </c>
      <c r="D2661" s="579"/>
      <c r="E2661" s="583"/>
      <c r="F2661" s="596"/>
      <c r="G2661" s="65">
        <v>0</v>
      </c>
      <c r="H2661" s="591" t="s">
        <v>280</v>
      </c>
      <c r="I2661" s="591" t="s">
        <v>280</v>
      </c>
    </row>
    <row r="2662" spans="1:9">
      <c r="A2662" s="580" t="s">
        <v>17</v>
      </c>
      <c r="B2662" s="65">
        <v>2860</v>
      </c>
      <c r="C2662" s="579" t="s">
        <v>281</v>
      </c>
      <c r="D2662" s="579"/>
      <c r="E2662" s="583"/>
      <c r="F2662" s="596"/>
      <c r="G2662" s="65">
        <v>0</v>
      </c>
      <c r="H2662" s="591" t="s">
        <v>280</v>
      </c>
      <c r="I2662" s="591" t="s">
        <v>280</v>
      </c>
    </row>
    <row r="2663" spans="1:9">
      <c r="A2663" s="580" t="s">
        <v>17</v>
      </c>
      <c r="B2663" s="65">
        <v>2861</v>
      </c>
      <c r="C2663" s="579" t="s">
        <v>281</v>
      </c>
      <c r="D2663" s="579"/>
      <c r="E2663" s="583"/>
      <c r="F2663" s="596"/>
      <c r="G2663" s="65">
        <v>0</v>
      </c>
      <c r="H2663" s="591" t="s">
        <v>280</v>
      </c>
      <c r="I2663" s="591" t="s">
        <v>280</v>
      </c>
    </row>
    <row r="2664" spans="1:9">
      <c r="A2664" s="580" t="s">
        <v>17</v>
      </c>
      <c r="B2664" s="65">
        <v>2862</v>
      </c>
      <c r="C2664" s="579" t="s">
        <v>281</v>
      </c>
      <c r="D2664" s="579"/>
      <c r="E2664" s="583"/>
      <c r="F2664" s="596"/>
      <c r="G2664" s="65">
        <v>0</v>
      </c>
      <c r="H2664" s="591" t="s">
        <v>280</v>
      </c>
      <c r="I2664" s="591" t="s">
        <v>280</v>
      </c>
    </row>
    <row r="2665" spans="1:9">
      <c r="A2665" s="580" t="s">
        <v>17</v>
      </c>
      <c r="B2665" s="65">
        <v>2863</v>
      </c>
      <c r="C2665" s="579" t="s">
        <v>281</v>
      </c>
      <c r="D2665" s="579"/>
      <c r="E2665" s="583"/>
      <c r="F2665" s="596"/>
      <c r="G2665" s="65">
        <v>0</v>
      </c>
      <c r="H2665" s="591" t="s">
        <v>280</v>
      </c>
      <c r="I2665" s="591" t="s">
        <v>280</v>
      </c>
    </row>
    <row r="2666" spans="1:9">
      <c r="A2666" s="580" t="s">
        <v>17</v>
      </c>
      <c r="B2666" s="65">
        <v>2864</v>
      </c>
      <c r="C2666" s="579" t="s">
        <v>281</v>
      </c>
      <c r="D2666" s="579"/>
      <c r="E2666" s="583"/>
      <c r="F2666" s="596"/>
      <c r="G2666" s="65">
        <v>0</v>
      </c>
      <c r="H2666" s="591" t="s">
        <v>280</v>
      </c>
      <c r="I2666" s="591" t="s">
        <v>280</v>
      </c>
    </row>
    <row r="2667" spans="1:9">
      <c r="A2667" s="580" t="s">
        <v>17</v>
      </c>
      <c r="B2667" s="65">
        <v>2865</v>
      </c>
      <c r="C2667" s="579" t="s">
        <v>281</v>
      </c>
      <c r="D2667" s="579"/>
      <c r="E2667" s="583"/>
      <c r="F2667" s="596"/>
      <c r="G2667" s="65">
        <v>0</v>
      </c>
      <c r="H2667" s="591" t="s">
        <v>280</v>
      </c>
      <c r="I2667" s="591" t="s">
        <v>280</v>
      </c>
    </row>
    <row r="2668" spans="1:9">
      <c r="A2668" s="580" t="s">
        <v>17</v>
      </c>
      <c r="B2668" s="65">
        <v>2866</v>
      </c>
      <c r="C2668" s="579" t="s">
        <v>281</v>
      </c>
      <c r="D2668" s="579"/>
      <c r="E2668" s="583"/>
      <c r="F2668" s="596"/>
      <c r="G2668" s="65">
        <v>0</v>
      </c>
      <c r="H2668" s="591" t="s">
        <v>280</v>
      </c>
      <c r="I2668" s="591" t="s">
        <v>280</v>
      </c>
    </row>
    <row r="2669" spans="1:9">
      <c r="A2669" s="580" t="s">
        <v>17</v>
      </c>
      <c r="B2669" s="65">
        <v>2867</v>
      </c>
      <c r="C2669" s="579" t="s">
        <v>281</v>
      </c>
      <c r="D2669" s="579"/>
      <c r="E2669" s="583"/>
      <c r="F2669" s="596"/>
      <c r="G2669" s="65">
        <v>0</v>
      </c>
      <c r="H2669" s="591" t="s">
        <v>280</v>
      </c>
      <c r="I2669" s="591" t="s">
        <v>280</v>
      </c>
    </row>
    <row r="2670" spans="1:9">
      <c r="A2670" s="580" t="s">
        <v>17</v>
      </c>
      <c r="B2670" s="65">
        <v>2868</v>
      </c>
      <c r="C2670" s="579" t="s">
        <v>281</v>
      </c>
      <c r="D2670" s="579"/>
      <c r="E2670" s="583"/>
      <c r="F2670" s="596"/>
      <c r="G2670" s="65">
        <v>0</v>
      </c>
      <c r="H2670" s="591" t="s">
        <v>280</v>
      </c>
      <c r="I2670" s="591" t="s">
        <v>280</v>
      </c>
    </row>
    <row r="2671" spans="1:9">
      <c r="A2671" s="580" t="s">
        <v>17</v>
      </c>
      <c r="B2671" s="65">
        <v>2869</v>
      </c>
      <c r="C2671" s="579" t="s">
        <v>281</v>
      </c>
      <c r="D2671" s="579"/>
      <c r="E2671" s="583"/>
      <c r="F2671" s="596"/>
      <c r="G2671" s="65">
        <v>0</v>
      </c>
      <c r="H2671" s="591" t="s">
        <v>280</v>
      </c>
      <c r="I2671" s="591" t="s">
        <v>280</v>
      </c>
    </row>
    <row r="2672" spans="1:9">
      <c r="A2672" s="580" t="s">
        <v>17</v>
      </c>
      <c r="B2672" s="65">
        <v>2870</v>
      </c>
      <c r="C2672" s="579" t="s">
        <v>281</v>
      </c>
      <c r="D2672" s="579"/>
      <c r="E2672" s="583"/>
      <c r="F2672" s="596"/>
      <c r="G2672" s="65">
        <v>0</v>
      </c>
      <c r="H2672" s="591" t="s">
        <v>280</v>
      </c>
      <c r="I2672" s="591" t="s">
        <v>280</v>
      </c>
    </row>
    <row r="2673" spans="1:9">
      <c r="A2673" s="580" t="s">
        <v>17</v>
      </c>
      <c r="B2673" s="65">
        <v>2871</v>
      </c>
      <c r="C2673" s="579" t="s">
        <v>281</v>
      </c>
      <c r="D2673" s="579"/>
      <c r="E2673" s="583"/>
      <c r="F2673" s="596"/>
      <c r="G2673" s="65">
        <v>0</v>
      </c>
      <c r="H2673" s="591" t="s">
        <v>280</v>
      </c>
      <c r="I2673" s="591" t="s">
        <v>280</v>
      </c>
    </row>
    <row r="2674" spans="1:9">
      <c r="A2674" s="580" t="s">
        <v>17</v>
      </c>
      <c r="B2674" s="65">
        <v>2872</v>
      </c>
      <c r="C2674" s="579" t="s">
        <v>281</v>
      </c>
      <c r="D2674" s="579"/>
      <c r="E2674" s="583"/>
      <c r="F2674" s="596"/>
      <c r="G2674" s="65">
        <v>0</v>
      </c>
      <c r="H2674" s="591" t="s">
        <v>280</v>
      </c>
      <c r="I2674" s="591" t="s">
        <v>280</v>
      </c>
    </row>
    <row r="2675" spans="1:9">
      <c r="A2675" s="580" t="s">
        <v>17</v>
      </c>
      <c r="B2675" s="65">
        <v>2873</v>
      </c>
      <c r="C2675" s="579" t="s">
        <v>281</v>
      </c>
      <c r="D2675" s="579"/>
      <c r="E2675" s="583"/>
      <c r="F2675" s="596"/>
      <c r="G2675" s="65">
        <v>0</v>
      </c>
      <c r="H2675" s="591" t="s">
        <v>280</v>
      </c>
      <c r="I2675" s="591" t="s">
        <v>280</v>
      </c>
    </row>
    <row r="2676" spans="1:9">
      <c r="A2676" s="580" t="s">
        <v>17</v>
      </c>
      <c r="B2676" s="65">
        <v>2874</v>
      </c>
      <c r="C2676" s="579" t="s">
        <v>281</v>
      </c>
      <c r="D2676" s="579"/>
      <c r="E2676" s="583"/>
      <c r="F2676" s="596"/>
      <c r="G2676" s="65">
        <v>0</v>
      </c>
      <c r="H2676" s="591" t="s">
        <v>280</v>
      </c>
      <c r="I2676" s="591" t="s">
        <v>280</v>
      </c>
    </row>
    <row r="2677" spans="1:9">
      <c r="A2677" s="580" t="s">
        <v>17</v>
      </c>
      <c r="B2677" s="65">
        <v>2875</v>
      </c>
      <c r="C2677" s="579" t="s">
        <v>281</v>
      </c>
      <c r="D2677" s="579"/>
      <c r="E2677" s="583"/>
      <c r="F2677" s="596"/>
      <c r="G2677" s="65">
        <v>0</v>
      </c>
      <c r="H2677" s="591" t="s">
        <v>280</v>
      </c>
      <c r="I2677" s="591" t="s">
        <v>280</v>
      </c>
    </row>
    <row r="2678" spans="1:9">
      <c r="A2678" s="580" t="s">
        <v>17</v>
      </c>
      <c r="B2678" s="65">
        <v>2876</v>
      </c>
      <c r="C2678" s="579" t="s">
        <v>281</v>
      </c>
      <c r="D2678" s="579"/>
      <c r="E2678" s="583"/>
      <c r="F2678" s="596"/>
      <c r="G2678" s="65">
        <v>0</v>
      </c>
      <c r="H2678" s="591" t="s">
        <v>280</v>
      </c>
      <c r="I2678" s="591" t="s">
        <v>280</v>
      </c>
    </row>
    <row r="2679" spans="1:9">
      <c r="A2679" s="580" t="s">
        <v>17</v>
      </c>
      <c r="B2679" s="65">
        <v>2877</v>
      </c>
      <c r="C2679" s="579" t="s">
        <v>281</v>
      </c>
      <c r="D2679" s="579"/>
      <c r="E2679" s="583"/>
      <c r="F2679" s="596"/>
      <c r="G2679" s="65">
        <v>0</v>
      </c>
      <c r="H2679" s="591" t="s">
        <v>280</v>
      </c>
      <c r="I2679" s="591" t="s">
        <v>280</v>
      </c>
    </row>
    <row r="2680" spans="1:9">
      <c r="A2680" s="580" t="s">
        <v>17</v>
      </c>
      <c r="B2680" s="65">
        <v>2878</v>
      </c>
      <c r="C2680" s="579" t="s">
        <v>281</v>
      </c>
      <c r="D2680" s="579"/>
      <c r="E2680" s="583"/>
      <c r="F2680" s="596"/>
      <c r="G2680" s="65">
        <v>0</v>
      </c>
      <c r="H2680" s="591" t="s">
        <v>280</v>
      </c>
      <c r="I2680" s="591" t="s">
        <v>280</v>
      </c>
    </row>
    <row r="2681" spans="1:9">
      <c r="A2681" s="580" t="s">
        <v>17</v>
      </c>
      <c r="B2681" s="65">
        <v>2879</v>
      </c>
      <c r="C2681" s="579" t="s">
        <v>281</v>
      </c>
      <c r="D2681" s="579"/>
      <c r="E2681" s="583"/>
      <c r="F2681" s="596"/>
      <c r="G2681" s="65">
        <v>0</v>
      </c>
      <c r="H2681" s="591" t="s">
        <v>280</v>
      </c>
      <c r="I2681" s="591" t="s">
        <v>280</v>
      </c>
    </row>
    <row r="2682" spans="1:9">
      <c r="A2682" s="580" t="s">
        <v>17</v>
      </c>
      <c r="B2682" s="65">
        <v>2880</v>
      </c>
      <c r="C2682" s="579" t="s">
        <v>281</v>
      </c>
      <c r="D2682" s="579"/>
      <c r="E2682" s="583"/>
      <c r="F2682" s="596"/>
      <c r="G2682" s="65">
        <v>0</v>
      </c>
      <c r="H2682" s="591" t="s">
        <v>280</v>
      </c>
      <c r="I2682" s="591" t="s">
        <v>280</v>
      </c>
    </row>
    <row r="2683" spans="1:9">
      <c r="A2683" s="580" t="s">
        <v>17</v>
      </c>
      <c r="B2683" s="65">
        <v>2881</v>
      </c>
      <c r="C2683" s="579" t="s">
        <v>281</v>
      </c>
      <c r="D2683" s="579"/>
      <c r="E2683" s="583"/>
      <c r="F2683" s="596"/>
      <c r="G2683" s="65">
        <v>0</v>
      </c>
      <c r="H2683" s="591" t="s">
        <v>280</v>
      </c>
      <c r="I2683" s="591" t="s">
        <v>280</v>
      </c>
    </row>
    <row r="2684" spans="1:9">
      <c r="A2684" s="580" t="s">
        <v>17</v>
      </c>
      <c r="B2684" s="65">
        <v>2882</v>
      </c>
      <c r="C2684" s="579" t="s">
        <v>281</v>
      </c>
      <c r="D2684" s="579"/>
      <c r="E2684" s="583"/>
      <c r="F2684" s="596"/>
      <c r="G2684" s="65">
        <v>0</v>
      </c>
      <c r="H2684" s="591" t="s">
        <v>280</v>
      </c>
      <c r="I2684" s="591" t="s">
        <v>280</v>
      </c>
    </row>
    <row r="2685" spans="1:9">
      <c r="A2685" s="580" t="s">
        <v>17</v>
      </c>
      <c r="B2685" s="65">
        <v>2883</v>
      </c>
      <c r="C2685" s="579" t="s">
        <v>281</v>
      </c>
      <c r="D2685" s="579"/>
      <c r="E2685" s="583"/>
      <c r="F2685" s="596"/>
      <c r="G2685" s="65">
        <v>0</v>
      </c>
      <c r="H2685" s="591" t="s">
        <v>280</v>
      </c>
      <c r="I2685" s="591" t="s">
        <v>280</v>
      </c>
    </row>
    <row r="2686" spans="1:9">
      <c r="A2686" s="580" t="s">
        <v>17</v>
      </c>
      <c r="B2686" s="65">
        <v>2884</v>
      </c>
      <c r="C2686" s="579" t="s">
        <v>281</v>
      </c>
      <c r="D2686" s="579"/>
      <c r="E2686" s="583"/>
      <c r="F2686" s="596"/>
      <c r="G2686" s="65">
        <v>0</v>
      </c>
      <c r="H2686" s="591" t="s">
        <v>280</v>
      </c>
      <c r="I2686" s="591" t="s">
        <v>280</v>
      </c>
    </row>
    <row r="2687" spans="1:9">
      <c r="A2687" s="580" t="s">
        <v>17</v>
      </c>
      <c r="B2687" s="65">
        <v>2885</v>
      </c>
      <c r="C2687" s="579" t="s">
        <v>281</v>
      </c>
      <c r="D2687" s="579"/>
      <c r="E2687" s="583"/>
      <c r="F2687" s="596"/>
      <c r="G2687" s="65">
        <v>0</v>
      </c>
      <c r="H2687" s="591" t="s">
        <v>280</v>
      </c>
      <c r="I2687" s="591" t="s">
        <v>280</v>
      </c>
    </row>
    <row r="2688" spans="1:9">
      <c r="A2688" s="580" t="s">
        <v>17</v>
      </c>
      <c r="B2688" s="65">
        <v>2886</v>
      </c>
      <c r="C2688" s="579" t="s">
        <v>281</v>
      </c>
      <c r="D2688" s="579"/>
      <c r="E2688" s="583"/>
      <c r="F2688" s="596"/>
      <c r="G2688" s="65">
        <v>0</v>
      </c>
      <c r="H2688" s="591" t="s">
        <v>280</v>
      </c>
      <c r="I2688" s="591" t="s">
        <v>280</v>
      </c>
    </row>
    <row r="2689" spans="1:10">
      <c r="A2689" s="580" t="s">
        <v>17</v>
      </c>
      <c r="B2689" s="65">
        <v>2887</v>
      </c>
      <c r="C2689" s="579" t="s">
        <v>281</v>
      </c>
      <c r="D2689" s="579"/>
      <c r="E2689" s="583"/>
      <c r="F2689" s="596"/>
      <c r="G2689" s="65">
        <v>0</v>
      </c>
      <c r="H2689" s="591" t="s">
        <v>280</v>
      </c>
      <c r="I2689" s="591" t="s">
        <v>280</v>
      </c>
    </row>
    <row r="2690" spans="1:10">
      <c r="A2690" s="580" t="s">
        <v>17</v>
      </c>
      <c r="B2690" s="65">
        <v>2888</v>
      </c>
      <c r="C2690" s="579" t="s">
        <v>281</v>
      </c>
      <c r="D2690" s="579"/>
      <c r="E2690" s="583"/>
      <c r="F2690" s="596"/>
      <c r="G2690" s="65">
        <v>0</v>
      </c>
      <c r="H2690" s="591" t="s">
        <v>280</v>
      </c>
      <c r="I2690" s="591" t="s">
        <v>280</v>
      </c>
    </row>
    <row r="2691" spans="1:10">
      <c r="A2691" s="580" t="s">
        <v>17</v>
      </c>
      <c r="B2691" s="65">
        <v>2889</v>
      </c>
      <c r="C2691" s="579" t="s">
        <v>281</v>
      </c>
      <c r="D2691" s="579"/>
      <c r="E2691" s="583"/>
      <c r="F2691" s="596"/>
      <c r="G2691" s="65">
        <v>0</v>
      </c>
      <c r="H2691" s="591" t="s">
        <v>280</v>
      </c>
      <c r="I2691" s="591" t="s">
        <v>280</v>
      </c>
    </row>
    <row r="2692" spans="1:10">
      <c r="A2692" s="580" t="s">
        <v>17</v>
      </c>
      <c r="B2692" s="65">
        <v>2890</v>
      </c>
      <c r="C2692" s="579" t="s">
        <v>281</v>
      </c>
      <c r="D2692" s="579"/>
      <c r="E2692" s="583"/>
      <c r="F2692" s="596"/>
      <c r="G2692" s="65">
        <v>0</v>
      </c>
      <c r="H2692" s="591" t="s">
        <v>280</v>
      </c>
      <c r="I2692" s="591" t="s">
        <v>280</v>
      </c>
    </row>
    <row r="2693" spans="1:10">
      <c r="A2693" s="580" t="s">
        <v>17</v>
      </c>
      <c r="B2693" s="65">
        <v>2891</v>
      </c>
      <c r="C2693" s="579" t="s">
        <v>281</v>
      </c>
      <c r="D2693" s="579"/>
      <c r="E2693" s="583"/>
      <c r="F2693" s="596"/>
      <c r="G2693" s="65">
        <v>0</v>
      </c>
      <c r="H2693" s="591" t="s">
        <v>280</v>
      </c>
      <c r="I2693" s="591" t="s">
        <v>280</v>
      </c>
    </row>
    <row r="2694" spans="1:10">
      <c r="A2694" s="580" t="s">
        <v>17</v>
      </c>
      <c r="B2694" s="65">
        <v>2892</v>
      </c>
      <c r="C2694" s="579" t="s">
        <v>281</v>
      </c>
      <c r="D2694" s="579"/>
      <c r="E2694" s="583"/>
      <c r="F2694" s="596"/>
      <c r="G2694" s="65">
        <v>0</v>
      </c>
      <c r="H2694" s="591" t="s">
        <v>280</v>
      </c>
      <c r="I2694" s="591" t="s">
        <v>280</v>
      </c>
    </row>
    <row r="2695" spans="1:10">
      <c r="A2695" s="580" t="s">
        <v>17</v>
      </c>
      <c r="B2695" s="65">
        <v>2893</v>
      </c>
      <c r="C2695" s="579" t="s">
        <v>281</v>
      </c>
      <c r="D2695" s="579"/>
      <c r="E2695" s="583"/>
      <c r="F2695" s="596"/>
      <c r="G2695" s="65">
        <v>0</v>
      </c>
      <c r="H2695" s="591" t="s">
        <v>280</v>
      </c>
      <c r="I2695" s="591" t="s">
        <v>280</v>
      </c>
    </row>
    <row r="2696" spans="1:10">
      <c r="A2696" s="580" t="s">
        <v>17</v>
      </c>
      <c r="B2696" s="65">
        <v>2894</v>
      </c>
      <c r="C2696" s="579" t="s">
        <v>281</v>
      </c>
      <c r="D2696" s="579"/>
      <c r="E2696" s="583"/>
      <c r="F2696" s="596"/>
      <c r="G2696" s="65">
        <v>0</v>
      </c>
      <c r="H2696" s="591" t="s">
        <v>280</v>
      </c>
      <c r="I2696" s="591" t="s">
        <v>280</v>
      </c>
    </row>
    <row r="2697" spans="1:10">
      <c r="A2697" s="580" t="s">
        <v>17</v>
      </c>
      <c r="B2697" s="65">
        <v>2895</v>
      </c>
      <c r="C2697" s="579" t="s">
        <v>281</v>
      </c>
      <c r="D2697" s="579"/>
      <c r="E2697" s="583"/>
      <c r="F2697" s="596"/>
      <c r="G2697" s="65">
        <v>0</v>
      </c>
      <c r="H2697" s="591" t="s">
        <v>280</v>
      </c>
      <c r="I2697" s="591" t="s">
        <v>280</v>
      </c>
    </row>
    <row r="2698" spans="1:10">
      <c r="A2698" s="580" t="s">
        <v>17</v>
      </c>
      <c r="B2698" s="65">
        <v>2896</v>
      </c>
      <c r="C2698" s="579" t="s">
        <v>281</v>
      </c>
      <c r="D2698" s="579"/>
      <c r="E2698" s="583"/>
      <c r="F2698" s="596"/>
      <c r="G2698" s="65">
        <v>0</v>
      </c>
      <c r="H2698" s="591" t="s">
        <v>280</v>
      </c>
      <c r="I2698" s="591" t="s">
        <v>280</v>
      </c>
    </row>
    <row r="2699" spans="1:10">
      <c r="A2699" s="580" t="s">
        <v>17</v>
      </c>
      <c r="B2699" s="65">
        <v>2897</v>
      </c>
      <c r="C2699" s="579" t="s">
        <v>281</v>
      </c>
      <c r="D2699" s="579"/>
      <c r="E2699" s="583"/>
      <c r="F2699" s="596"/>
      <c r="G2699" s="65">
        <v>0</v>
      </c>
      <c r="H2699" s="591" t="s">
        <v>280</v>
      </c>
      <c r="I2699" s="591" t="s">
        <v>280</v>
      </c>
    </row>
    <row r="2700" spans="1:10">
      <c r="A2700" s="580" t="s">
        <v>17</v>
      </c>
      <c r="B2700" s="65">
        <v>2898</v>
      </c>
      <c r="C2700" s="579" t="s">
        <v>281</v>
      </c>
      <c r="D2700" s="579"/>
      <c r="E2700" s="583"/>
      <c r="F2700" s="596"/>
      <c r="G2700" s="65">
        <v>0</v>
      </c>
      <c r="H2700" s="591" t="s">
        <v>280</v>
      </c>
      <c r="I2700" s="591" t="s">
        <v>280</v>
      </c>
    </row>
    <row r="2701" spans="1:10">
      <c r="A2701" s="580" t="s">
        <v>17</v>
      </c>
      <c r="B2701" s="65">
        <v>2899</v>
      </c>
      <c r="C2701" s="579" t="s">
        <v>281</v>
      </c>
      <c r="D2701" s="579"/>
      <c r="E2701" s="583"/>
      <c r="F2701" s="596"/>
      <c r="G2701" s="65">
        <v>0</v>
      </c>
      <c r="H2701" s="591" t="s">
        <v>280</v>
      </c>
      <c r="I2701" s="591" t="s">
        <v>280</v>
      </c>
    </row>
    <row r="2702" spans="1:10">
      <c r="A2702" s="580" t="s">
        <v>1782</v>
      </c>
      <c r="B2702" s="65">
        <v>2900</v>
      </c>
      <c r="C2702" s="579" t="s">
        <v>279</v>
      </c>
      <c r="D2702" s="579"/>
      <c r="E2702" s="583"/>
      <c r="F2702" s="585">
        <v>45535</v>
      </c>
      <c r="G2702" s="65">
        <v>1</v>
      </c>
      <c r="H2702" s="591" t="s">
        <v>280</v>
      </c>
      <c r="I2702" s="591" t="s">
        <v>280</v>
      </c>
      <c r="J2702" s="57"/>
    </row>
    <row r="2703" spans="1:10">
      <c r="A2703" s="580" t="s">
        <v>1782</v>
      </c>
      <c r="B2703" s="65">
        <v>2901</v>
      </c>
      <c r="C2703" s="579" t="s">
        <v>1783</v>
      </c>
      <c r="D2703" s="579">
        <v>10735</v>
      </c>
      <c r="E2703" s="583"/>
      <c r="F2703" s="585">
        <v>45535</v>
      </c>
      <c r="G2703" s="65">
        <v>1</v>
      </c>
      <c r="H2703" s="591" t="s">
        <v>1975</v>
      </c>
      <c r="I2703" s="591" t="s">
        <v>1222</v>
      </c>
      <c r="J2703" s="57"/>
    </row>
    <row r="2704" spans="1:10">
      <c r="A2704" s="580" t="s">
        <v>1782</v>
      </c>
      <c r="B2704" s="65">
        <v>2902</v>
      </c>
      <c r="C2704" s="579" t="s">
        <v>1784</v>
      </c>
      <c r="D2704" s="579">
        <v>10736</v>
      </c>
      <c r="E2704" s="583"/>
      <c r="F2704" s="585">
        <v>45535</v>
      </c>
      <c r="G2704" s="65">
        <v>1</v>
      </c>
      <c r="H2704" s="591" t="s">
        <v>1975</v>
      </c>
      <c r="I2704" s="591" t="s">
        <v>1222</v>
      </c>
      <c r="J2704" s="57"/>
    </row>
    <row r="2705" spans="1:10">
      <c r="A2705" s="580" t="s">
        <v>1782</v>
      </c>
      <c r="B2705" s="65">
        <v>2903</v>
      </c>
      <c r="C2705" s="579" t="s">
        <v>1785</v>
      </c>
      <c r="D2705" s="579">
        <v>10737</v>
      </c>
      <c r="E2705" s="583"/>
      <c r="F2705" s="585">
        <v>45535</v>
      </c>
      <c r="G2705" s="65">
        <v>1</v>
      </c>
      <c r="H2705" s="591" t="s">
        <v>1975</v>
      </c>
      <c r="I2705" s="591" t="s">
        <v>1222</v>
      </c>
      <c r="J2705" s="57"/>
    </row>
    <row r="2706" spans="1:10">
      <c r="A2706" s="580" t="s">
        <v>1782</v>
      </c>
      <c r="B2706" s="65">
        <v>2904</v>
      </c>
      <c r="C2706" s="579" t="s">
        <v>1786</v>
      </c>
      <c r="D2706" s="579">
        <v>10738</v>
      </c>
      <c r="E2706" s="583"/>
      <c r="F2706" s="585">
        <v>45535</v>
      </c>
      <c r="G2706" s="65">
        <v>1</v>
      </c>
      <c r="H2706" s="591" t="s">
        <v>280</v>
      </c>
      <c r="I2706" s="591" t="s">
        <v>280</v>
      </c>
      <c r="J2706" s="57"/>
    </row>
    <row r="2707" spans="1:10">
      <c r="A2707" s="580" t="s">
        <v>1782</v>
      </c>
      <c r="B2707" s="65">
        <v>2905</v>
      </c>
      <c r="C2707" s="579" t="s">
        <v>1787</v>
      </c>
      <c r="D2707" s="579">
        <v>10739</v>
      </c>
      <c r="E2707" s="583"/>
      <c r="F2707" s="585">
        <v>45535</v>
      </c>
      <c r="G2707" s="65">
        <v>1</v>
      </c>
      <c r="H2707" s="591" t="s">
        <v>1975</v>
      </c>
      <c r="I2707" s="591" t="s">
        <v>1222</v>
      </c>
      <c r="J2707" s="57"/>
    </row>
    <row r="2708" spans="1:10">
      <c r="A2708" s="580" t="s">
        <v>1782</v>
      </c>
      <c r="B2708" s="65">
        <v>2906</v>
      </c>
      <c r="C2708" s="579" t="s">
        <v>1788</v>
      </c>
      <c r="D2708" s="579">
        <v>10740</v>
      </c>
      <c r="E2708" s="583"/>
      <c r="F2708" s="585">
        <v>45535</v>
      </c>
      <c r="G2708" s="65">
        <v>1</v>
      </c>
      <c r="H2708" s="591" t="s">
        <v>1975</v>
      </c>
      <c r="I2708" s="591" t="s">
        <v>1222</v>
      </c>
      <c r="J2708" s="57"/>
    </row>
    <row r="2709" spans="1:10">
      <c r="A2709" s="580" t="s">
        <v>1782</v>
      </c>
      <c r="B2709" s="65">
        <v>2907</v>
      </c>
      <c r="C2709" s="579" t="s">
        <v>281</v>
      </c>
      <c r="D2709" s="579"/>
      <c r="E2709" s="583"/>
      <c r="F2709" s="596"/>
      <c r="G2709" s="65"/>
      <c r="H2709" s="591" t="s">
        <v>280</v>
      </c>
      <c r="I2709" s="591" t="s">
        <v>280</v>
      </c>
      <c r="J2709" s="57"/>
    </row>
    <row r="2710" spans="1:10">
      <c r="A2710" s="580" t="s">
        <v>1782</v>
      </c>
      <c r="B2710" s="65">
        <v>2908</v>
      </c>
      <c r="C2710" s="579" t="s">
        <v>281</v>
      </c>
      <c r="D2710" s="579"/>
      <c r="E2710" s="583"/>
      <c r="F2710" s="596"/>
      <c r="G2710" s="65"/>
      <c r="H2710" s="591" t="s">
        <v>280</v>
      </c>
      <c r="I2710" s="591" t="s">
        <v>280</v>
      </c>
      <c r="J2710" s="57"/>
    </row>
    <row r="2711" spans="1:10">
      <c r="A2711" s="580" t="s">
        <v>1782</v>
      </c>
      <c r="B2711" s="65">
        <v>2909</v>
      </c>
      <c r="C2711" s="579" t="s">
        <v>1789</v>
      </c>
      <c r="D2711" s="579">
        <v>10743</v>
      </c>
      <c r="E2711" s="583"/>
      <c r="F2711" s="585">
        <v>45535</v>
      </c>
      <c r="G2711" s="65">
        <v>1</v>
      </c>
      <c r="H2711" s="591" t="s">
        <v>280</v>
      </c>
      <c r="I2711" s="591" t="s">
        <v>280</v>
      </c>
    </row>
    <row r="2712" spans="1:10">
      <c r="A2712" s="580" t="s">
        <v>1782</v>
      </c>
      <c r="B2712" s="65">
        <v>2910</v>
      </c>
      <c r="C2712" s="579" t="s">
        <v>1790</v>
      </c>
      <c r="D2712" s="579">
        <v>10744</v>
      </c>
      <c r="E2712" s="583"/>
      <c r="F2712" s="585">
        <v>45535</v>
      </c>
      <c r="G2712" s="65">
        <v>1</v>
      </c>
      <c r="H2712" s="591" t="s">
        <v>1975</v>
      </c>
      <c r="I2712" s="591" t="s">
        <v>1222</v>
      </c>
    </row>
    <row r="2713" spans="1:10">
      <c r="A2713" s="580" t="s">
        <v>1782</v>
      </c>
      <c r="B2713" s="65">
        <v>2911</v>
      </c>
      <c r="C2713" s="579" t="s">
        <v>1791</v>
      </c>
      <c r="D2713" s="579">
        <v>10745</v>
      </c>
      <c r="E2713" s="583"/>
      <c r="F2713" s="585">
        <v>45535</v>
      </c>
      <c r="G2713" s="65">
        <v>1</v>
      </c>
      <c r="H2713" s="591" t="s">
        <v>280</v>
      </c>
      <c r="I2713" s="591" t="s">
        <v>280</v>
      </c>
    </row>
    <row r="2714" spans="1:10">
      <c r="A2714" s="580" t="s">
        <v>1782</v>
      </c>
      <c r="B2714" s="65">
        <v>2912</v>
      </c>
      <c r="C2714" s="579" t="s">
        <v>1792</v>
      </c>
      <c r="D2714" s="579">
        <v>10746</v>
      </c>
      <c r="E2714" s="583"/>
      <c r="F2714" s="585">
        <v>45535</v>
      </c>
      <c r="G2714" s="65">
        <v>1</v>
      </c>
      <c r="H2714" s="591" t="s">
        <v>1975</v>
      </c>
      <c r="I2714" s="591" t="s">
        <v>1222</v>
      </c>
    </row>
    <row r="2715" spans="1:10" ht="12.75">
      <c r="A2715" s="580" t="s">
        <v>1782</v>
      </c>
      <c r="B2715" s="65">
        <v>2913</v>
      </c>
      <c r="C2715" s="579" t="s">
        <v>314</v>
      </c>
      <c r="D2715" s="63">
        <v>10203</v>
      </c>
      <c r="E2715" s="63"/>
      <c r="F2715" s="585">
        <v>45535</v>
      </c>
      <c r="G2715" s="65">
        <v>1</v>
      </c>
      <c r="H2715" s="591" t="s">
        <v>280</v>
      </c>
      <c r="I2715" s="591" t="s">
        <v>280</v>
      </c>
    </row>
    <row r="2716" spans="1:10">
      <c r="A2716" s="580" t="s">
        <v>1782</v>
      </c>
      <c r="B2716" s="65">
        <v>2914</v>
      </c>
      <c r="C2716" s="65" t="s">
        <v>1793</v>
      </c>
      <c r="D2716" s="65">
        <v>10944</v>
      </c>
      <c r="E2716" s="583"/>
      <c r="F2716" s="585">
        <v>45535</v>
      </c>
      <c r="G2716" s="65">
        <v>1</v>
      </c>
      <c r="H2716" s="591" t="s">
        <v>1975</v>
      </c>
      <c r="I2716" s="591" t="s">
        <v>1222</v>
      </c>
    </row>
    <row r="2717" spans="1:10">
      <c r="A2717" s="580" t="s">
        <v>1782</v>
      </c>
      <c r="B2717" s="65">
        <v>2915</v>
      </c>
      <c r="C2717" s="65" t="s">
        <v>1794</v>
      </c>
      <c r="D2717" s="65">
        <v>10945</v>
      </c>
      <c r="E2717" s="583"/>
      <c r="F2717" s="585">
        <v>45535</v>
      </c>
      <c r="G2717" s="65">
        <v>1</v>
      </c>
      <c r="H2717" s="591" t="s">
        <v>280</v>
      </c>
      <c r="I2717" s="591" t="s">
        <v>280</v>
      </c>
    </row>
    <row r="2718" spans="1:10">
      <c r="A2718" s="580" t="s">
        <v>1782</v>
      </c>
      <c r="B2718" s="65">
        <v>2916</v>
      </c>
      <c r="C2718" s="65" t="s">
        <v>1795</v>
      </c>
      <c r="D2718" s="65">
        <v>10946</v>
      </c>
      <c r="E2718" s="583"/>
      <c r="F2718" s="585">
        <v>45535</v>
      </c>
      <c r="G2718" s="65">
        <v>1</v>
      </c>
      <c r="H2718" s="591" t="s">
        <v>1975</v>
      </c>
      <c r="I2718" s="591" t="s">
        <v>1222</v>
      </c>
    </row>
    <row r="2719" spans="1:10">
      <c r="A2719" s="580" t="s">
        <v>1782</v>
      </c>
      <c r="B2719" s="65">
        <v>2917</v>
      </c>
      <c r="C2719" s="65" t="s">
        <v>1796</v>
      </c>
      <c r="D2719" s="65">
        <v>10947</v>
      </c>
      <c r="E2719" s="583"/>
      <c r="F2719" s="585">
        <v>45535</v>
      </c>
      <c r="G2719" s="65">
        <v>1</v>
      </c>
      <c r="H2719" s="591" t="s">
        <v>280</v>
      </c>
      <c r="I2719" s="591" t="s">
        <v>280</v>
      </c>
    </row>
    <row r="2720" spans="1:10">
      <c r="A2720" s="580" t="s">
        <v>1782</v>
      </c>
      <c r="B2720" s="65">
        <v>2918</v>
      </c>
      <c r="C2720" s="65" t="s">
        <v>1797</v>
      </c>
      <c r="D2720" s="65">
        <v>10948</v>
      </c>
      <c r="E2720" s="583"/>
      <c r="F2720" s="585">
        <v>45535</v>
      </c>
      <c r="G2720" s="65">
        <v>1</v>
      </c>
      <c r="H2720" s="591" t="s">
        <v>280</v>
      </c>
      <c r="I2720" s="591" t="s">
        <v>280</v>
      </c>
    </row>
    <row r="2721" spans="1:9">
      <c r="A2721" s="580" t="s">
        <v>1782</v>
      </c>
      <c r="B2721" s="65">
        <v>2919</v>
      </c>
      <c r="C2721" s="579" t="s">
        <v>281</v>
      </c>
      <c r="D2721" s="579"/>
      <c r="E2721" s="583"/>
      <c r="F2721" s="596"/>
      <c r="G2721" s="65">
        <v>0</v>
      </c>
      <c r="H2721" s="591" t="s">
        <v>280</v>
      </c>
      <c r="I2721" s="591" t="s">
        <v>280</v>
      </c>
    </row>
    <row r="2722" spans="1:9">
      <c r="A2722" s="580" t="s">
        <v>1782</v>
      </c>
      <c r="B2722" s="65">
        <v>2920</v>
      </c>
      <c r="C2722" s="579" t="s">
        <v>281</v>
      </c>
      <c r="D2722" s="579"/>
      <c r="E2722" s="583"/>
      <c r="F2722" s="596"/>
      <c r="G2722" s="65">
        <v>0</v>
      </c>
      <c r="H2722" s="591" t="s">
        <v>280</v>
      </c>
      <c r="I2722" s="591" t="s">
        <v>280</v>
      </c>
    </row>
    <row r="2723" spans="1:9">
      <c r="A2723" s="580" t="s">
        <v>1782</v>
      </c>
      <c r="B2723" s="65">
        <v>2921</v>
      </c>
      <c r="C2723" s="579" t="s">
        <v>281</v>
      </c>
      <c r="D2723" s="579"/>
      <c r="E2723" s="583"/>
      <c r="F2723" s="596"/>
      <c r="G2723" s="65">
        <v>0</v>
      </c>
      <c r="H2723" s="591" t="s">
        <v>280</v>
      </c>
      <c r="I2723" s="591" t="s">
        <v>280</v>
      </c>
    </row>
    <row r="2724" spans="1:9">
      <c r="A2724" s="580" t="s">
        <v>1782</v>
      </c>
      <c r="B2724" s="65">
        <v>2922</v>
      </c>
      <c r="C2724" s="579" t="s">
        <v>281</v>
      </c>
      <c r="D2724" s="579"/>
      <c r="E2724" s="583"/>
      <c r="F2724" s="596"/>
      <c r="G2724" s="65">
        <v>0</v>
      </c>
      <c r="H2724" s="591" t="s">
        <v>280</v>
      </c>
      <c r="I2724" s="591" t="s">
        <v>280</v>
      </c>
    </row>
    <row r="2725" spans="1:9">
      <c r="A2725" s="580" t="s">
        <v>1782</v>
      </c>
      <c r="B2725" s="65">
        <v>2923</v>
      </c>
      <c r="C2725" s="579" t="s">
        <v>281</v>
      </c>
      <c r="D2725" s="579"/>
      <c r="E2725" s="583"/>
      <c r="F2725" s="596"/>
      <c r="G2725" s="65">
        <v>0</v>
      </c>
      <c r="H2725" s="591" t="s">
        <v>280</v>
      </c>
      <c r="I2725" s="591" t="s">
        <v>280</v>
      </c>
    </row>
    <row r="2726" spans="1:9">
      <c r="A2726" s="580" t="s">
        <v>1782</v>
      </c>
      <c r="B2726" s="65">
        <v>2924</v>
      </c>
      <c r="C2726" s="579" t="s">
        <v>281</v>
      </c>
      <c r="D2726" s="579"/>
      <c r="E2726" s="583"/>
      <c r="F2726" s="596"/>
      <c r="G2726" s="65">
        <v>0</v>
      </c>
      <c r="H2726" s="591" t="s">
        <v>280</v>
      </c>
      <c r="I2726" s="591" t="s">
        <v>280</v>
      </c>
    </row>
    <row r="2727" spans="1:9">
      <c r="A2727" s="580" t="s">
        <v>1782</v>
      </c>
      <c r="B2727" s="65">
        <v>2925</v>
      </c>
      <c r="C2727" s="579" t="s">
        <v>281</v>
      </c>
      <c r="D2727" s="579"/>
      <c r="E2727" s="583"/>
      <c r="F2727" s="596"/>
      <c r="G2727" s="65">
        <v>0</v>
      </c>
      <c r="H2727" s="591" t="s">
        <v>280</v>
      </c>
      <c r="I2727" s="591" t="s">
        <v>280</v>
      </c>
    </row>
    <row r="2728" spans="1:9">
      <c r="A2728" s="580" t="s">
        <v>1782</v>
      </c>
      <c r="B2728" s="65">
        <v>2926</v>
      </c>
      <c r="C2728" s="579" t="s">
        <v>281</v>
      </c>
      <c r="D2728" s="579"/>
      <c r="E2728" s="583"/>
      <c r="F2728" s="596"/>
      <c r="G2728" s="65">
        <v>0</v>
      </c>
      <c r="H2728" s="591" t="s">
        <v>280</v>
      </c>
      <c r="I2728" s="591" t="s">
        <v>280</v>
      </c>
    </row>
    <row r="2729" spans="1:9">
      <c r="A2729" s="580" t="s">
        <v>1782</v>
      </c>
      <c r="B2729" s="65">
        <v>2927</v>
      </c>
      <c r="C2729" s="579" t="s">
        <v>281</v>
      </c>
      <c r="D2729" s="579"/>
      <c r="E2729" s="583"/>
      <c r="F2729" s="596"/>
      <c r="G2729" s="65">
        <v>0</v>
      </c>
      <c r="H2729" s="591" t="s">
        <v>280</v>
      </c>
      <c r="I2729" s="591" t="s">
        <v>280</v>
      </c>
    </row>
    <row r="2730" spans="1:9">
      <c r="A2730" s="580" t="s">
        <v>1782</v>
      </c>
      <c r="B2730" s="65">
        <v>2928</v>
      </c>
      <c r="C2730" s="579" t="s">
        <v>281</v>
      </c>
      <c r="D2730" s="579"/>
      <c r="E2730" s="583"/>
      <c r="F2730" s="596"/>
      <c r="G2730" s="65">
        <v>0</v>
      </c>
      <c r="H2730" s="591" t="s">
        <v>280</v>
      </c>
      <c r="I2730" s="591" t="s">
        <v>280</v>
      </c>
    </row>
    <row r="2731" spans="1:9">
      <c r="A2731" s="580" t="s">
        <v>1782</v>
      </c>
      <c r="B2731" s="65">
        <v>2929</v>
      </c>
      <c r="C2731" s="579" t="s">
        <v>281</v>
      </c>
      <c r="D2731" s="579"/>
      <c r="E2731" s="583"/>
      <c r="F2731" s="596"/>
      <c r="G2731" s="65">
        <v>0</v>
      </c>
      <c r="H2731" s="591" t="s">
        <v>280</v>
      </c>
      <c r="I2731" s="591" t="s">
        <v>280</v>
      </c>
    </row>
    <row r="2732" spans="1:9">
      <c r="A2732" s="580" t="s">
        <v>1782</v>
      </c>
      <c r="B2732" s="65">
        <v>2930</v>
      </c>
      <c r="C2732" s="579" t="s">
        <v>281</v>
      </c>
      <c r="D2732" s="579"/>
      <c r="E2732" s="583"/>
      <c r="F2732" s="596"/>
      <c r="G2732" s="65">
        <v>0</v>
      </c>
      <c r="H2732" s="591" t="s">
        <v>280</v>
      </c>
      <c r="I2732" s="591" t="s">
        <v>280</v>
      </c>
    </row>
    <row r="2733" spans="1:9">
      <c r="A2733" s="580" t="s">
        <v>1782</v>
      </c>
      <c r="B2733" s="65">
        <v>2931</v>
      </c>
      <c r="C2733" s="579" t="s">
        <v>281</v>
      </c>
      <c r="D2733" s="579"/>
      <c r="E2733" s="583"/>
      <c r="F2733" s="596"/>
      <c r="G2733" s="65">
        <v>0</v>
      </c>
      <c r="H2733" s="591" t="s">
        <v>280</v>
      </c>
      <c r="I2733" s="591" t="s">
        <v>280</v>
      </c>
    </row>
    <row r="2734" spans="1:9">
      <c r="A2734" s="580" t="s">
        <v>1782</v>
      </c>
      <c r="B2734" s="65">
        <v>2932</v>
      </c>
      <c r="C2734" s="579" t="s">
        <v>281</v>
      </c>
      <c r="D2734" s="579"/>
      <c r="E2734" s="583"/>
      <c r="F2734" s="596"/>
      <c r="G2734" s="65">
        <v>0</v>
      </c>
      <c r="H2734" s="591" t="s">
        <v>280</v>
      </c>
      <c r="I2734" s="591" t="s">
        <v>280</v>
      </c>
    </row>
    <row r="2735" spans="1:9">
      <c r="A2735" s="580" t="s">
        <v>1782</v>
      </c>
      <c r="B2735" s="65">
        <v>2933</v>
      </c>
      <c r="C2735" s="579" t="s">
        <v>281</v>
      </c>
      <c r="D2735" s="579"/>
      <c r="E2735" s="583"/>
      <c r="F2735" s="596"/>
      <c r="G2735" s="65">
        <v>0</v>
      </c>
      <c r="H2735" s="591" t="s">
        <v>280</v>
      </c>
      <c r="I2735" s="591" t="s">
        <v>280</v>
      </c>
    </row>
    <row r="2736" spans="1:9">
      <c r="A2736" s="580" t="s">
        <v>1782</v>
      </c>
      <c r="B2736" s="65">
        <v>2934</v>
      </c>
      <c r="C2736" s="579" t="s">
        <v>281</v>
      </c>
      <c r="D2736" s="579"/>
      <c r="E2736" s="583"/>
      <c r="F2736" s="596"/>
      <c r="G2736" s="65">
        <v>0</v>
      </c>
      <c r="H2736" s="591" t="s">
        <v>280</v>
      </c>
      <c r="I2736" s="591" t="s">
        <v>280</v>
      </c>
    </row>
    <row r="2737" spans="1:9">
      <c r="A2737" s="580" t="s">
        <v>1782</v>
      </c>
      <c r="B2737" s="65">
        <v>2935</v>
      </c>
      <c r="C2737" s="579" t="s">
        <v>281</v>
      </c>
      <c r="D2737" s="579"/>
      <c r="E2737" s="583"/>
      <c r="F2737" s="596"/>
      <c r="G2737" s="65">
        <v>0</v>
      </c>
      <c r="H2737" s="591" t="s">
        <v>280</v>
      </c>
      <c r="I2737" s="591" t="s">
        <v>280</v>
      </c>
    </row>
    <row r="2738" spans="1:9">
      <c r="A2738" s="580" t="s">
        <v>1782</v>
      </c>
      <c r="B2738" s="65">
        <v>2936</v>
      </c>
      <c r="C2738" s="579" t="s">
        <v>281</v>
      </c>
      <c r="D2738" s="579"/>
      <c r="E2738" s="583"/>
      <c r="F2738" s="596"/>
      <c r="G2738" s="65">
        <v>0</v>
      </c>
      <c r="H2738" s="591" t="s">
        <v>280</v>
      </c>
      <c r="I2738" s="591" t="s">
        <v>280</v>
      </c>
    </row>
    <row r="2739" spans="1:9">
      <c r="A2739" s="580" t="s">
        <v>1782</v>
      </c>
      <c r="B2739" s="65">
        <v>2937</v>
      </c>
      <c r="C2739" s="579" t="s">
        <v>281</v>
      </c>
      <c r="D2739" s="579"/>
      <c r="E2739" s="583"/>
      <c r="F2739" s="596"/>
      <c r="G2739" s="65">
        <v>0</v>
      </c>
      <c r="H2739" s="591" t="s">
        <v>280</v>
      </c>
      <c r="I2739" s="591" t="s">
        <v>280</v>
      </c>
    </row>
    <row r="2740" spans="1:9">
      <c r="A2740" s="580" t="s">
        <v>1782</v>
      </c>
      <c r="B2740" s="65">
        <v>2938</v>
      </c>
      <c r="C2740" s="579" t="s">
        <v>281</v>
      </c>
      <c r="D2740" s="579"/>
      <c r="E2740" s="583"/>
      <c r="F2740" s="596"/>
      <c r="G2740" s="65">
        <v>0</v>
      </c>
      <c r="H2740" s="591" t="s">
        <v>280</v>
      </c>
      <c r="I2740" s="591" t="s">
        <v>280</v>
      </c>
    </row>
    <row r="2741" spans="1:9">
      <c r="A2741" s="580" t="s">
        <v>1782</v>
      </c>
      <c r="B2741" s="65">
        <v>2939</v>
      </c>
      <c r="C2741" s="579" t="s">
        <v>281</v>
      </c>
      <c r="D2741" s="579"/>
      <c r="E2741" s="583"/>
      <c r="F2741" s="596"/>
      <c r="G2741" s="65">
        <v>0</v>
      </c>
      <c r="H2741" s="591" t="s">
        <v>280</v>
      </c>
      <c r="I2741" s="591" t="s">
        <v>280</v>
      </c>
    </row>
    <row r="2742" spans="1:9">
      <c r="A2742" s="580" t="s">
        <v>1782</v>
      </c>
      <c r="B2742" s="65">
        <v>2940</v>
      </c>
      <c r="C2742" s="579" t="s">
        <v>281</v>
      </c>
      <c r="D2742" s="579"/>
      <c r="E2742" s="583"/>
      <c r="F2742" s="596"/>
      <c r="G2742" s="65">
        <v>0</v>
      </c>
      <c r="H2742" s="591" t="s">
        <v>280</v>
      </c>
      <c r="I2742" s="591" t="s">
        <v>280</v>
      </c>
    </row>
    <row r="2743" spans="1:9">
      <c r="A2743" s="580" t="s">
        <v>1782</v>
      </c>
      <c r="B2743" s="65">
        <v>2941</v>
      </c>
      <c r="C2743" s="579" t="s">
        <v>281</v>
      </c>
      <c r="D2743" s="579"/>
      <c r="E2743" s="583"/>
      <c r="F2743" s="596"/>
      <c r="G2743" s="65">
        <v>0</v>
      </c>
      <c r="H2743" s="591" t="s">
        <v>280</v>
      </c>
      <c r="I2743" s="591" t="s">
        <v>280</v>
      </c>
    </row>
    <row r="2744" spans="1:9">
      <c r="A2744" s="580" t="s">
        <v>1782</v>
      </c>
      <c r="B2744" s="65">
        <v>2942</v>
      </c>
      <c r="C2744" s="579" t="s">
        <v>281</v>
      </c>
      <c r="D2744" s="579"/>
      <c r="E2744" s="583"/>
      <c r="F2744" s="596"/>
      <c r="G2744" s="65">
        <v>0</v>
      </c>
      <c r="H2744" s="591" t="s">
        <v>280</v>
      </c>
      <c r="I2744" s="591" t="s">
        <v>280</v>
      </c>
    </row>
    <row r="2745" spans="1:9">
      <c r="A2745" s="580" t="s">
        <v>1782</v>
      </c>
      <c r="B2745" s="65">
        <v>2943</v>
      </c>
      <c r="C2745" s="579" t="s">
        <v>281</v>
      </c>
      <c r="D2745" s="579"/>
      <c r="E2745" s="583"/>
      <c r="F2745" s="596"/>
      <c r="G2745" s="65">
        <v>0</v>
      </c>
      <c r="H2745" s="591" t="s">
        <v>280</v>
      </c>
      <c r="I2745" s="591" t="s">
        <v>280</v>
      </c>
    </row>
    <row r="2746" spans="1:9">
      <c r="A2746" s="580" t="s">
        <v>1782</v>
      </c>
      <c r="B2746" s="65">
        <v>2944</v>
      </c>
      <c r="C2746" s="579" t="s">
        <v>281</v>
      </c>
      <c r="D2746" s="579"/>
      <c r="E2746" s="583"/>
      <c r="F2746" s="596"/>
      <c r="G2746" s="65">
        <v>0</v>
      </c>
      <c r="H2746" s="591" t="s">
        <v>280</v>
      </c>
      <c r="I2746" s="591" t="s">
        <v>280</v>
      </c>
    </row>
    <row r="2747" spans="1:9">
      <c r="A2747" s="580" t="s">
        <v>1782</v>
      </c>
      <c r="B2747" s="65">
        <v>2945</v>
      </c>
      <c r="C2747" s="579" t="s">
        <v>281</v>
      </c>
      <c r="D2747" s="579"/>
      <c r="E2747" s="583"/>
      <c r="F2747" s="596"/>
      <c r="G2747" s="65">
        <v>0</v>
      </c>
      <c r="H2747" s="591" t="s">
        <v>280</v>
      </c>
      <c r="I2747" s="591" t="s">
        <v>280</v>
      </c>
    </row>
    <row r="2748" spans="1:9">
      <c r="A2748" s="580" t="s">
        <v>1782</v>
      </c>
      <c r="B2748" s="65">
        <v>2946</v>
      </c>
      <c r="C2748" s="579" t="s">
        <v>281</v>
      </c>
      <c r="D2748" s="579"/>
      <c r="E2748" s="583"/>
      <c r="F2748" s="596"/>
      <c r="G2748" s="65">
        <v>0</v>
      </c>
      <c r="H2748" s="591" t="s">
        <v>280</v>
      </c>
      <c r="I2748" s="591" t="s">
        <v>280</v>
      </c>
    </row>
    <row r="2749" spans="1:9">
      <c r="A2749" s="580" t="s">
        <v>1782</v>
      </c>
      <c r="B2749" s="65">
        <v>2947</v>
      </c>
      <c r="C2749" s="579" t="s">
        <v>281</v>
      </c>
      <c r="D2749" s="579"/>
      <c r="E2749" s="583"/>
      <c r="F2749" s="596"/>
      <c r="G2749" s="65">
        <v>0</v>
      </c>
      <c r="H2749" s="591" t="s">
        <v>280</v>
      </c>
      <c r="I2749" s="591" t="s">
        <v>280</v>
      </c>
    </row>
    <row r="2750" spans="1:9">
      <c r="A2750" s="580" t="s">
        <v>1782</v>
      </c>
      <c r="B2750" s="65">
        <v>2948</v>
      </c>
      <c r="C2750" s="579" t="s">
        <v>281</v>
      </c>
      <c r="D2750" s="579"/>
      <c r="E2750" s="583"/>
      <c r="F2750" s="596"/>
      <c r="G2750" s="65">
        <v>0</v>
      </c>
      <c r="H2750" s="591" t="s">
        <v>280</v>
      </c>
      <c r="I2750" s="591" t="s">
        <v>280</v>
      </c>
    </row>
    <row r="2751" spans="1:9">
      <c r="A2751" s="580" t="s">
        <v>1782</v>
      </c>
      <c r="B2751" s="65">
        <v>2949</v>
      </c>
      <c r="C2751" s="579" t="s">
        <v>281</v>
      </c>
      <c r="D2751" s="579"/>
      <c r="E2751" s="583"/>
      <c r="F2751" s="596"/>
      <c r="G2751" s="65">
        <v>0</v>
      </c>
      <c r="H2751" s="591" t="s">
        <v>280</v>
      </c>
      <c r="I2751" s="591" t="s">
        <v>280</v>
      </c>
    </row>
    <row r="2752" spans="1:9">
      <c r="A2752" s="580" t="s">
        <v>1782</v>
      </c>
      <c r="B2752" s="65">
        <v>2950</v>
      </c>
      <c r="C2752" s="579" t="s">
        <v>281</v>
      </c>
      <c r="D2752" s="579"/>
      <c r="E2752" s="583"/>
      <c r="F2752" s="596"/>
      <c r="G2752" s="65">
        <v>0</v>
      </c>
      <c r="H2752" s="591" t="s">
        <v>280</v>
      </c>
      <c r="I2752" s="591" t="s">
        <v>280</v>
      </c>
    </row>
    <row r="2753" spans="1:9">
      <c r="A2753" s="580" t="s">
        <v>1782</v>
      </c>
      <c r="B2753" s="65">
        <v>2951</v>
      </c>
      <c r="C2753" s="579" t="s">
        <v>281</v>
      </c>
      <c r="D2753" s="579"/>
      <c r="E2753" s="583"/>
      <c r="F2753" s="596"/>
      <c r="G2753" s="65">
        <v>0</v>
      </c>
      <c r="H2753" s="591" t="s">
        <v>280</v>
      </c>
      <c r="I2753" s="591" t="s">
        <v>280</v>
      </c>
    </row>
    <row r="2754" spans="1:9">
      <c r="A2754" s="580" t="s">
        <v>1782</v>
      </c>
      <c r="B2754" s="65">
        <v>2952</v>
      </c>
      <c r="C2754" s="579" t="s">
        <v>281</v>
      </c>
      <c r="D2754" s="579"/>
      <c r="E2754" s="583"/>
      <c r="F2754" s="596"/>
      <c r="G2754" s="65">
        <v>0</v>
      </c>
      <c r="H2754" s="591" t="s">
        <v>280</v>
      </c>
      <c r="I2754" s="591" t="s">
        <v>280</v>
      </c>
    </row>
    <row r="2755" spans="1:9">
      <c r="A2755" s="580" t="s">
        <v>1782</v>
      </c>
      <c r="B2755" s="65">
        <v>2953</v>
      </c>
      <c r="C2755" s="579" t="s">
        <v>281</v>
      </c>
      <c r="D2755" s="579"/>
      <c r="E2755" s="583"/>
      <c r="F2755" s="596"/>
      <c r="G2755" s="65">
        <v>0</v>
      </c>
      <c r="H2755" s="591" t="s">
        <v>280</v>
      </c>
      <c r="I2755" s="591" t="s">
        <v>280</v>
      </c>
    </row>
    <row r="2756" spans="1:9">
      <c r="A2756" s="580" t="s">
        <v>1782</v>
      </c>
      <c r="B2756" s="65">
        <v>2954</v>
      </c>
      <c r="C2756" s="579" t="s">
        <v>281</v>
      </c>
      <c r="D2756" s="579"/>
      <c r="E2756" s="583"/>
      <c r="F2756" s="596"/>
      <c r="G2756" s="65">
        <v>0</v>
      </c>
      <c r="H2756" s="591" t="s">
        <v>280</v>
      </c>
      <c r="I2756" s="591" t="s">
        <v>280</v>
      </c>
    </row>
    <row r="2757" spans="1:9">
      <c r="A2757" s="580" t="s">
        <v>1782</v>
      </c>
      <c r="B2757" s="65">
        <v>2955</v>
      </c>
      <c r="C2757" s="579" t="s">
        <v>281</v>
      </c>
      <c r="D2757" s="579"/>
      <c r="E2757" s="583"/>
      <c r="F2757" s="596"/>
      <c r="G2757" s="65">
        <v>0</v>
      </c>
      <c r="H2757" s="591" t="s">
        <v>280</v>
      </c>
      <c r="I2757" s="591" t="s">
        <v>280</v>
      </c>
    </row>
    <row r="2758" spans="1:9">
      <c r="A2758" s="580" t="s">
        <v>1782</v>
      </c>
      <c r="B2758" s="65">
        <v>2956</v>
      </c>
      <c r="C2758" s="579" t="s">
        <v>281</v>
      </c>
      <c r="D2758" s="579"/>
      <c r="E2758" s="583"/>
      <c r="F2758" s="596"/>
      <c r="G2758" s="65">
        <v>0</v>
      </c>
      <c r="H2758" s="591" t="s">
        <v>280</v>
      </c>
      <c r="I2758" s="591" t="s">
        <v>280</v>
      </c>
    </row>
    <row r="2759" spans="1:9">
      <c r="A2759" s="580" t="s">
        <v>1782</v>
      </c>
      <c r="B2759" s="65">
        <v>2957</v>
      </c>
      <c r="C2759" s="579" t="s">
        <v>281</v>
      </c>
      <c r="D2759" s="579"/>
      <c r="E2759" s="583"/>
      <c r="F2759" s="596"/>
      <c r="G2759" s="65">
        <v>0</v>
      </c>
      <c r="H2759" s="591" t="s">
        <v>280</v>
      </c>
      <c r="I2759" s="591" t="s">
        <v>280</v>
      </c>
    </row>
    <row r="2760" spans="1:9">
      <c r="A2760" s="580" t="s">
        <v>1782</v>
      </c>
      <c r="B2760" s="65">
        <v>2958</v>
      </c>
      <c r="C2760" s="579" t="s">
        <v>281</v>
      </c>
      <c r="D2760" s="579"/>
      <c r="E2760" s="583"/>
      <c r="F2760" s="596"/>
      <c r="G2760" s="65">
        <v>0</v>
      </c>
      <c r="H2760" s="591" t="s">
        <v>280</v>
      </c>
      <c r="I2760" s="591" t="s">
        <v>280</v>
      </c>
    </row>
    <row r="2761" spans="1:9">
      <c r="A2761" s="580" t="s">
        <v>1782</v>
      </c>
      <c r="B2761" s="65">
        <v>2959</v>
      </c>
      <c r="C2761" s="579" t="s">
        <v>281</v>
      </c>
      <c r="D2761" s="579"/>
      <c r="E2761" s="583"/>
      <c r="F2761" s="596"/>
      <c r="G2761" s="65">
        <v>0</v>
      </c>
      <c r="H2761" s="591" t="s">
        <v>280</v>
      </c>
      <c r="I2761" s="591" t="s">
        <v>280</v>
      </c>
    </row>
    <row r="2762" spans="1:9">
      <c r="A2762" s="580" t="s">
        <v>1782</v>
      </c>
      <c r="B2762" s="65">
        <v>2960</v>
      </c>
      <c r="C2762" s="579" t="s">
        <v>281</v>
      </c>
      <c r="D2762" s="579"/>
      <c r="E2762" s="583"/>
      <c r="F2762" s="596"/>
      <c r="G2762" s="65">
        <v>0</v>
      </c>
      <c r="H2762" s="591" t="s">
        <v>280</v>
      </c>
      <c r="I2762" s="591" t="s">
        <v>280</v>
      </c>
    </row>
    <row r="2763" spans="1:9">
      <c r="A2763" s="580" t="s">
        <v>1782</v>
      </c>
      <c r="B2763" s="65">
        <v>2961</v>
      </c>
      <c r="C2763" s="579" t="s">
        <v>281</v>
      </c>
      <c r="D2763" s="579"/>
      <c r="E2763" s="583"/>
      <c r="F2763" s="596"/>
      <c r="G2763" s="65">
        <v>0</v>
      </c>
      <c r="H2763" s="591" t="s">
        <v>280</v>
      </c>
      <c r="I2763" s="591" t="s">
        <v>280</v>
      </c>
    </row>
    <row r="2764" spans="1:9">
      <c r="A2764" s="580" t="s">
        <v>1782</v>
      </c>
      <c r="B2764" s="65">
        <v>2962</v>
      </c>
      <c r="C2764" s="579" t="s">
        <v>281</v>
      </c>
      <c r="D2764" s="579"/>
      <c r="E2764" s="583"/>
      <c r="F2764" s="596"/>
      <c r="G2764" s="65">
        <v>0</v>
      </c>
      <c r="H2764" s="591" t="s">
        <v>280</v>
      </c>
      <c r="I2764" s="591" t="s">
        <v>280</v>
      </c>
    </row>
    <row r="2765" spans="1:9">
      <c r="A2765" s="580" t="s">
        <v>1782</v>
      </c>
      <c r="B2765" s="65">
        <v>2963</v>
      </c>
      <c r="C2765" s="579" t="s">
        <v>281</v>
      </c>
      <c r="D2765" s="579"/>
      <c r="E2765" s="583"/>
      <c r="F2765" s="596"/>
      <c r="G2765" s="65">
        <v>0</v>
      </c>
      <c r="H2765" s="591" t="s">
        <v>280</v>
      </c>
      <c r="I2765" s="591" t="s">
        <v>280</v>
      </c>
    </row>
    <row r="2766" spans="1:9">
      <c r="A2766" s="580" t="s">
        <v>1782</v>
      </c>
      <c r="B2766" s="65">
        <v>2964</v>
      </c>
      <c r="C2766" s="579" t="s">
        <v>281</v>
      </c>
      <c r="D2766" s="579"/>
      <c r="E2766" s="583"/>
      <c r="F2766" s="596"/>
      <c r="G2766" s="65">
        <v>0</v>
      </c>
      <c r="H2766" s="591" t="s">
        <v>280</v>
      </c>
      <c r="I2766" s="591" t="s">
        <v>280</v>
      </c>
    </row>
    <row r="2767" spans="1:9">
      <c r="A2767" s="580" t="s">
        <v>1782</v>
      </c>
      <c r="B2767" s="65">
        <v>2965</v>
      </c>
      <c r="C2767" s="579" t="s">
        <v>281</v>
      </c>
      <c r="D2767" s="579"/>
      <c r="E2767" s="583"/>
      <c r="F2767" s="596"/>
      <c r="G2767" s="65">
        <v>0</v>
      </c>
      <c r="H2767" s="591" t="s">
        <v>280</v>
      </c>
      <c r="I2767" s="591" t="s">
        <v>280</v>
      </c>
    </row>
    <row r="2768" spans="1:9">
      <c r="A2768" s="580" t="s">
        <v>1782</v>
      </c>
      <c r="B2768" s="65">
        <v>2966</v>
      </c>
      <c r="C2768" s="579" t="s">
        <v>281</v>
      </c>
      <c r="D2768" s="579"/>
      <c r="E2768" s="583"/>
      <c r="F2768" s="596"/>
      <c r="G2768" s="65">
        <v>0</v>
      </c>
      <c r="H2768" s="591" t="s">
        <v>280</v>
      </c>
      <c r="I2768" s="591" t="s">
        <v>280</v>
      </c>
    </row>
    <row r="2769" spans="1:9">
      <c r="A2769" s="580" t="s">
        <v>1782</v>
      </c>
      <c r="B2769" s="65">
        <v>2967</v>
      </c>
      <c r="C2769" s="579" t="s">
        <v>281</v>
      </c>
      <c r="D2769" s="579"/>
      <c r="E2769" s="583"/>
      <c r="F2769" s="596"/>
      <c r="G2769" s="65">
        <v>0</v>
      </c>
      <c r="H2769" s="591" t="s">
        <v>280</v>
      </c>
      <c r="I2769" s="591" t="s">
        <v>280</v>
      </c>
    </row>
    <row r="2770" spans="1:9">
      <c r="A2770" s="580" t="s">
        <v>1782</v>
      </c>
      <c r="B2770" s="65">
        <v>2968</v>
      </c>
      <c r="C2770" s="579" t="s">
        <v>281</v>
      </c>
      <c r="D2770" s="579"/>
      <c r="E2770" s="583"/>
      <c r="F2770" s="596"/>
      <c r="G2770" s="65">
        <v>0</v>
      </c>
      <c r="H2770" s="591" t="s">
        <v>280</v>
      </c>
      <c r="I2770" s="591" t="s">
        <v>280</v>
      </c>
    </row>
    <row r="2771" spans="1:9">
      <c r="A2771" s="580" t="s">
        <v>1782</v>
      </c>
      <c r="B2771" s="65">
        <v>2969</v>
      </c>
      <c r="C2771" s="579" t="s">
        <v>281</v>
      </c>
      <c r="D2771" s="579"/>
      <c r="E2771" s="583"/>
      <c r="F2771" s="596"/>
      <c r="G2771" s="65">
        <v>0</v>
      </c>
      <c r="H2771" s="591" t="s">
        <v>280</v>
      </c>
      <c r="I2771" s="591" t="s">
        <v>280</v>
      </c>
    </row>
    <row r="2772" spans="1:9">
      <c r="A2772" s="580" t="s">
        <v>1782</v>
      </c>
      <c r="B2772" s="65">
        <v>2970</v>
      </c>
      <c r="C2772" s="579" t="s">
        <v>281</v>
      </c>
      <c r="D2772" s="579"/>
      <c r="E2772" s="583"/>
      <c r="F2772" s="596"/>
      <c r="G2772" s="65">
        <v>0</v>
      </c>
      <c r="H2772" s="591" t="s">
        <v>280</v>
      </c>
      <c r="I2772" s="591" t="s">
        <v>280</v>
      </c>
    </row>
    <row r="2773" spans="1:9">
      <c r="A2773" s="580" t="s">
        <v>1782</v>
      </c>
      <c r="B2773" s="65">
        <v>2971</v>
      </c>
      <c r="C2773" s="579" t="s">
        <v>281</v>
      </c>
      <c r="D2773" s="579"/>
      <c r="E2773" s="583"/>
      <c r="F2773" s="596"/>
      <c r="G2773" s="65">
        <v>0</v>
      </c>
      <c r="H2773" s="591" t="s">
        <v>280</v>
      </c>
      <c r="I2773" s="591" t="s">
        <v>280</v>
      </c>
    </row>
    <row r="2774" spans="1:9">
      <c r="A2774" s="580" t="s">
        <v>1782</v>
      </c>
      <c r="B2774" s="65">
        <v>2972</v>
      </c>
      <c r="C2774" s="579" t="s">
        <v>281</v>
      </c>
      <c r="D2774" s="579"/>
      <c r="E2774" s="583"/>
      <c r="F2774" s="596"/>
      <c r="G2774" s="65">
        <v>0</v>
      </c>
      <c r="H2774" s="591" t="s">
        <v>280</v>
      </c>
      <c r="I2774" s="591" t="s">
        <v>280</v>
      </c>
    </row>
    <row r="2775" spans="1:9">
      <c r="A2775" s="580" t="s">
        <v>1782</v>
      </c>
      <c r="B2775" s="65">
        <v>2973</v>
      </c>
      <c r="C2775" s="579" t="s">
        <v>281</v>
      </c>
      <c r="D2775" s="579"/>
      <c r="E2775" s="583"/>
      <c r="F2775" s="596"/>
      <c r="G2775" s="65">
        <v>0</v>
      </c>
      <c r="H2775" s="591" t="s">
        <v>280</v>
      </c>
      <c r="I2775" s="591" t="s">
        <v>280</v>
      </c>
    </row>
    <row r="2776" spans="1:9">
      <c r="A2776" s="580" t="s">
        <v>1782</v>
      </c>
      <c r="B2776" s="65">
        <v>2974</v>
      </c>
      <c r="C2776" s="579" t="s">
        <v>281</v>
      </c>
      <c r="D2776" s="579"/>
      <c r="E2776" s="583"/>
      <c r="F2776" s="596"/>
      <c r="G2776" s="65">
        <v>0</v>
      </c>
      <c r="H2776" s="591" t="s">
        <v>280</v>
      </c>
      <c r="I2776" s="591" t="s">
        <v>280</v>
      </c>
    </row>
    <row r="2777" spans="1:9">
      <c r="A2777" s="580" t="s">
        <v>1782</v>
      </c>
      <c r="B2777" s="65">
        <v>2975</v>
      </c>
      <c r="C2777" s="579" t="s">
        <v>281</v>
      </c>
      <c r="D2777" s="579"/>
      <c r="E2777" s="583"/>
      <c r="F2777" s="596"/>
      <c r="G2777" s="65">
        <v>0</v>
      </c>
      <c r="H2777" s="591" t="s">
        <v>280</v>
      </c>
      <c r="I2777" s="591" t="s">
        <v>280</v>
      </c>
    </row>
    <row r="2778" spans="1:9">
      <c r="A2778" s="580" t="s">
        <v>1782</v>
      </c>
      <c r="B2778" s="65">
        <v>2976</v>
      </c>
      <c r="C2778" s="579" t="s">
        <v>281</v>
      </c>
      <c r="D2778" s="579"/>
      <c r="E2778" s="583"/>
      <c r="F2778" s="596"/>
      <c r="G2778" s="65">
        <v>0</v>
      </c>
      <c r="H2778" s="591" t="s">
        <v>280</v>
      </c>
      <c r="I2778" s="591" t="s">
        <v>280</v>
      </c>
    </row>
    <row r="2779" spans="1:9">
      <c r="A2779" s="580" t="s">
        <v>1782</v>
      </c>
      <c r="B2779" s="65">
        <v>2977</v>
      </c>
      <c r="C2779" s="579" t="s">
        <v>281</v>
      </c>
      <c r="D2779" s="579"/>
      <c r="E2779" s="583"/>
      <c r="F2779" s="596"/>
      <c r="G2779" s="65">
        <v>0</v>
      </c>
      <c r="H2779" s="591" t="s">
        <v>280</v>
      </c>
      <c r="I2779" s="591" t="s">
        <v>280</v>
      </c>
    </row>
    <row r="2780" spans="1:9">
      <c r="A2780" s="580" t="s">
        <v>1782</v>
      </c>
      <c r="B2780" s="65">
        <v>2978</v>
      </c>
      <c r="C2780" s="579" t="s">
        <v>281</v>
      </c>
      <c r="D2780" s="579"/>
      <c r="E2780" s="583"/>
      <c r="F2780" s="596"/>
      <c r="G2780" s="65">
        <v>0</v>
      </c>
      <c r="H2780" s="591" t="s">
        <v>280</v>
      </c>
      <c r="I2780" s="591" t="s">
        <v>280</v>
      </c>
    </row>
    <row r="2781" spans="1:9">
      <c r="A2781" s="580" t="s">
        <v>1782</v>
      </c>
      <c r="B2781" s="65">
        <v>2979</v>
      </c>
      <c r="C2781" s="579" t="s">
        <v>281</v>
      </c>
      <c r="D2781" s="579"/>
      <c r="E2781" s="583"/>
      <c r="F2781" s="596"/>
      <c r="G2781" s="65">
        <v>0</v>
      </c>
      <c r="H2781" s="591" t="s">
        <v>280</v>
      </c>
      <c r="I2781" s="591" t="s">
        <v>280</v>
      </c>
    </row>
    <row r="2782" spans="1:9">
      <c r="A2782" s="580" t="s">
        <v>1782</v>
      </c>
      <c r="B2782" s="65">
        <v>2980</v>
      </c>
      <c r="C2782" s="579" t="s">
        <v>281</v>
      </c>
      <c r="D2782" s="579"/>
      <c r="E2782" s="583"/>
      <c r="F2782" s="596"/>
      <c r="G2782" s="65">
        <v>0</v>
      </c>
      <c r="H2782" s="591" t="s">
        <v>280</v>
      </c>
      <c r="I2782" s="591" t="s">
        <v>280</v>
      </c>
    </row>
    <row r="2783" spans="1:9">
      <c r="A2783" s="580" t="s">
        <v>1782</v>
      </c>
      <c r="B2783" s="65">
        <v>2981</v>
      </c>
      <c r="C2783" s="579" t="s">
        <v>281</v>
      </c>
      <c r="D2783" s="579"/>
      <c r="E2783" s="583"/>
      <c r="F2783" s="596"/>
      <c r="G2783" s="65">
        <v>0</v>
      </c>
      <c r="H2783" s="591" t="s">
        <v>280</v>
      </c>
      <c r="I2783" s="591" t="s">
        <v>280</v>
      </c>
    </row>
    <row r="2784" spans="1:9">
      <c r="A2784" s="580" t="s">
        <v>1782</v>
      </c>
      <c r="B2784" s="65">
        <v>2982</v>
      </c>
      <c r="C2784" s="579" t="s">
        <v>281</v>
      </c>
      <c r="D2784" s="579"/>
      <c r="E2784" s="583"/>
      <c r="F2784" s="596"/>
      <c r="G2784" s="65">
        <v>0</v>
      </c>
      <c r="H2784" s="591" t="s">
        <v>280</v>
      </c>
      <c r="I2784" s="591" t="s">
        <v>280</v>
      </c>
    </row>
    <row r="2785" spans="1:9">
      <c r="A2785" s="580" t="s">
        <v>1782</v>
      </c>
      <c r="B2785" s="65">
        <v>2983</v>
      </c>
      <c r="C2785" s="579" t="s">
        <v>281</v>
      </c>
      <c r="D2785" s="579"/>
      <c r="E2785" s="583"/>
      <c r="F2785" s="596"/>
      <c r="G2785" s="65">
        <v>0</v>
      </c>
      <c r="H2785" s="591" t="s">
        <v>280</v>
      </c>
      <c r="I2785" s="591" t="s">
        <v>280</v>
      </c>
    </row>
    <row r="2786" spans="1:9">
      <c r="A2786" s="580" t="s">
        <v>1782</v>
      </c>
      <c r="B2786" s="65">
        <v>2984</v>
      </c>
      <c r="C2786" s="579" t="s">
        <v>281</v>
      </c>
      <c r="D2786" s="579"/>
      <c r="E2786" s="583"/>
      <c r="F2786" s="596"/>
      <c r="G2786" s="65">
        <v>0</v>
      </c>
      <c r="H2786" s="591" t="s">
        <v>280</v>
      </c>
      <c r="I2786" s="591" t="s">
        <v>280</v>
      </c>
    </row>
    <row r="2787" spans="1:9">
      <c r="A2787" s="580" t="s">
        <v>1782</v>
      </c>
      <c r="B2787" s="65">
        <v>2985</v>
      </c>
      <c r="C2787" s="579" t="s">
        <v>281</v>
      </c>
      <c r="D2787" s="579"/>
      <c r="E2787" s="583"/>
      <c r="F2787" s="596"/>
      <c r="G2787" s="65">
        <v>0</v>
      </c>
      <c r="H2787" s="591" t="s">
        <v>280</v>
      </c>
      <c r="I2787" s="591" t="s">
        <v>280</v>
      </c>
    </row>
    <row r="2788" spans="1:9">
      <c r="A2788" s="580" t="s">
        <v>1782</v>
      </c>
      <c r="B2788" s="65">
        <v>2986</v>
      </c>
      <c r="C2788" s="579" t="s">
        <v>281</v>
      </c>
      <c r="D2788" s="579"/>
      <c r="E2788" s="583"/>
      <c r="F2788" s="596"/>
      <c r="G2788" s="65">
        <v>0</v>
      </c>
      <c r="H2788" s="591" t="s">
        <v>280</v>
      </c>
      <c r="I2788" s="591" t="s">
        <v>280</v>
      </c>
    </row>
    <row r="2789" spans="1:9">
      <c r="A2789" s="580" t="s">
        <v>1782</v>
      </c>
      <c r="B2789" s="65">
        <v>2987</v>
      </c>
      <c r="C2789" s="579" t="s">
        <v>281</v>
      </c>
      <c r="D2789" s="579"/>
      <c r="E2789" s="583"/>
      <c r="F2789" s="596"/>
      <c r="G2789" s="65">
        <v>0</v>
      </c>
      <c r="H2789" s="591" t="s">
        <v>280</v>
      </c>
      <c r="I2789" s="591" t="s">
        <v>280</v>
      </c>
    </row>
    <row r="2790" spans="1:9">
      <c r="A2790" s="580" t="s">
        <v>1782</v>
      </c>
      <c r="B2790" s="65">
        <v>2988</v>
      </c>
      <c r="C2790" s="579" t="s">
        <v>281</v>
      </c>
      <c r="D2790" s="579"/>
      <c r="E2790" s="583"/>
      <c r="F2790" s="596"/>
      <c r="G2790" s="65">
        <v>0</v>
      </c>
      <c r="H2790" s="591" t="s">
        <v>280</v>
      </c>
      <c r="I2790" s="591" t="s">
        <v>280</v>
      </c>
    </row>
    <row r="2791" spans="1:9">
      <c r="A2791" s="580" t="s">
        <v>1782</v>
      </c>
      <c r="B2791" s="65">
        <v>2989</v>
      </c>
      <c r="C2791" s="579" t="s">
        <v>281</v>
      </c>
      <c r="D2791" s="579"/>
      <c r="E2791" s="583"/>
      <c r="F2791" s="596"/>
      <c r="G2791" s="65">
        <v>0</v>
      </c>
      <c r="H2791" s="591" t="s">
        <v>280</v>
      </c>
      <c r="I2791" s="591" t="s">
        <v>280</v>
      </c>
    </row>
    <row r="2792" spans="1:9">
      <c r="A2792" s="580" t="s">
        <v>1782</v>
      </c>
      <c r="B2792" s="65">
        <v>2990</v>
      </c>
      <c r="C2792" s="579" t="s">
        <v>281</v>
      </c>
      <c r="D2792" s="579"/>
      <c r="E2792" s="583"/>
      <c r="F2792" s="596"/>
      <c r="G2792" s="65">
        <v>0</v>
      </c>
      <c r="H2792" s="591" t="s">
        <v>280</v>
      </c>
      <c r="I2792" s="591" t="s">
        <v>280</v>
      </c>
    </row>
    <row r="2793" spans="1:9">
      <c r="A2793" s="580" t="s">
        <v>1782</v>
      </c>
      <c r="B2793" s="65">
        <v>2991</v>
      </c>
      <c r="C2793" s="579" t="s">
        <v>281</v>
      </c>
      <c r="D2793" s="579"/>
      <c r="E2793" s="583"/>
      <c r="F2793" s="596"/>
      <c r="G2793" s="65">
        <v>0</v>
      </c>
      <c r="H2793" s="591" t="s">
        <v>280</v>
      </c>
      <c r="I2793" s="591" t="s">
        <v>280</v>
      </c>
    </row>
    <row r="2794" spans="1:9">
      <c r="A2794" s="580" t="s">
        <v>1782</v>
      </c>
      <c r="B2794" s="65">
        <v>2992</v>
      </c>
      <c r="C2794" s="579" t="s">
        <v>281</v>
      </c>
      <c r="D2794" s="579"/>
      <c r="E2794" s="583"/>
      <c r="F2794" s="596"/>
      <c r="G2794" s="65">
        <v>0</v>
      </c>
      <c r="H2794" s="591" t="s">
        <v>280</v>
      </c>
      <c r="I2794" s="591" t="s">
        <v>280</v>
      </c>
    </row>
    <row r="2795" spans="1:9">
      <c r="A2795" s="580" t="s">
        <v>1782</v>
      </c>
      <c r="B2795" s="65">
        <v>2993</v>
      </c>
      <c r="C2795" s="579" t="s">
        <v>281</v>
      </c>
      <c r="D2795" s="579"/>
      <c r="E2795" s="583"/>
      <c r="F2795" s="596"/>
      <c r="G2795" s="65">
        <v>0</v>
      </c>
      <c r="H2795" s="591" t="s">
        <v>280</v>
      </c>
      <c r="I2795" s="591" t="s">
        <v>280</v>
      </c>
    </row>
    <row r="2796" spans="1:9">
      <c r="A2796" s="580" t="s">
        <v>1782</v>
      </c>
      <c r="B2796" s="65">
        <v>2994</v>
      </c>
      <c r="C2796" s="579" t="s">
        <v>281</v>
      </c>
      <c r="D2796" s="579"/>
      <c r="E2796" s="583"/>
      <c r="F2796" s="596"/>
      <c r="G2796" s="65">
        <v>0</v>
      </c>
      <c r="H2796" s="591" t="s">
        <v>280</v>
      </c>
      <c r="I2796" s="591" t="s">
        <v>280</v>
      </c>
    </row>
    <row r="2797" spans="1:9">
      <c r="A2797" s="580" t="s">
        <v>1782</v>
      </c>
      <c r="B2797" s="65">
        <v>2995</v>
      </c>
      <c r="C2797" s="579" t="s">
        <v>281</v>
      </c>
      <c r="D2797" s="579"/>
      <c r="E2797" s="583"/>
      <c r="F2797" s="596"/>
      <c r="G2797" s="65">
        <v>0</v>
      </c>
      <c r="H2797" s="591" t="s">
        <v>280</v>
      </c>
      <c r="I2797" s="591" t="s">
        <v>280</v>
      </c>
    </row>
    <row r="2798" spans="1:9">
      <c r="A2798" s="580" t="s">
        <v>1782</v>
      </c>
      <c r="B2798" s="65">
        <v>2996</v>
      </c>
      <c r="C2798" s="579" t="s">
        <v>281</v>
      </c>
      <c r="D2798" s="579"/>
      <c r="E2798" s="583"/>
      <c r="F2798" s="596"/>
      <c r="G2798" s="65">
        <v>0</v>
      </c>
      <c r="H2798" s="591" t="s">
        <v>280</v>
      </c>
      <c r="I2798" s="591" t="s">
        <v>280</v>
      </c>
    </row>
    <row r="2799" spans="1:9">
      <c r="A2799" s="580" t="s">
        <v>1782</v>
      </c>
      <c r="B2799" s="65">
        <v>2997</v>
      </c>
      <c r="C2799" s="579" t="s">
        <v>281</v>
      </c>
      <c r="D2799" s="579"/>
      <c r="E2799" s="583"/>
      <c r="F2799" s="596"/>
      <c r="G2799" s="65">
        <v>0</v>
      </c>
      <c r="H2799" s="591" t="s">
        <v>280</v>
      </c>
      <c r="I2799" s="591" t="s">
        <v>280</v>
      </c>
    </row>
    <row r="2800" spans="1:9">
      <c r="A2800" s="580" t="s">
        <v>1782</v>
      </c>
      <c r="B2800" s="65">
        <v>2998</v>
      </c>
      <c r="C2800" s="579" t="s">
        <v>281</v>
      </c>
      <c r="D2800" s="579"/>
      <c r="E2800" s="583"/>
      <c r="F2800" s="596"/>
      <c r="G2800" s="65">
        <v>0</v>
      </c>
      <c r="H2800" s="591" t="s">
        <v>280</v>
      </c>
      <c r="I2800" s="591" t="s">
        <v>280</v>
      </c>
    </row>
    <row r="2801" spans="1:9">
      <c r="A2801" s="580" t="s">
        <v>1782</v>
      </c>
      <c r="B2801" s="65">
        <v>2999</v>
      </c>
      <c r="C2801" s="579" t="s">
        <v>281</v>
      </c>
      <c r="D2801" s="579"/>
      <c r="E2801" s="583"/>
      <c r="F2801" s="596"/>
      <c r="G2801" s="65">
        <v>0</v>
      </c>
      <c r="H2801" s="591" t="s">
        <v>280</v>
      </c>
      <c r="I2801" s="591" t="s">
        <v>280</v>
      </c>
    </row>
    <row r="2802" spans="1:9">
      <c r="A2802" s="582" t="s">
        <v>544</v>
      </c>
      <c r="B2802" s="65">
        <v>3000</v>
      </c>
      <c r="C2802" s="579" t="s">
        <v>279</v>
      </c>
      <c r="D2802" s="579"/>
      <c r="E2802" s="583"/>
      <c r="F2802" s="585">
        <v>45535</v>
      </c>
      <c r="G2802" s="65">
        <v>1</v>
      </c>
      <c r="H2802" s="591" t="s">
        <v>280</v>
      </c>
      <c r="I2802" s="591" t="s">
        <v>280</v>
      </c>
    </row>
    <row r="2803" spans="1:9">
      <c r="A2803" s="582" t="s">
        <v>544</v>
      </c>
      <c r="B2803" s="65">
        <v>3001</v>
      </c>
      <c r="C2803" s="579" t="s">
        <v>545</v>
      </c>
      <c r="D2803" s="579">
        <v>10130</v>
      </c>
      <c r="E2803" s="583"/>
      <c r="F2803" s="585">
        <v>45535</v>
      </c>
      <c r="G2803" s="65">
        <v>1</v>
      </c>
      <c r="H2803" s="591" t="s">
        <v>1977</v>
      </c>
      <c r="I2803" s="591" t="s">
        <v>71</v>
      </c>
    </row>
    <row r="2804" spans="1:9">
      <c r="A2804" s="582" t="s">
        <v>544</v>
      </c>
      <c r="B2804" s="65">
        <v>3002</v>
      </c>
      <c r="C2804" s="579" t="s">
        <v>546</v>
      </c>
      <c r="D2804" s="63">
        <v>10129</v>
      </c>
      <c r="E2804" s="583"/>
      <c r="F2804" s="585">
        <v>45535</v>
      </c>
      <c r="G2804" s="65">
        <v>1</v>
      </c>
      <c r="H2804" s="591" t="s">
        <v>280</v>
      </c>
      <c r="I2804" s="591" t="s">
        <v>280</v>
      </c>
    </row>
    <row r="2805" spans="1:9">
      <c r="A2805" s="582" t="s">
        <v>544</v>
      </c>
      <c r="B2805" s="65">
        <v>3003</v>
      </c>
      <c r="C2805" s="579" t="s">
        <v>281</v>
      </c>
      <c r="D2805" s="579"/>
      <c r="E2805" s="583"/>
      <c r="F2805" s="596"/>
      <c r="G2805" s="65">
        <v>0</v>
      </c>
      <c r="H2805" s="591" t="s">
        <v>280</v>
      </c>
      <c r="I2805" s="591" t="s">
        <v>280</v>
      </c>
    </row>
    <row r="2806" spans="1:9">
      <c r="A2806" s="582" t="s">
        <v>544</v>
      </c>
      <c r="B2806" s="65">
        <v>3004</v>
      </c>
      <c r="C2806" s="579" t="s">
        <v>281</v>
      </c>
      <c r="D2806" s="579"/>
      <c r="E2806" s="583"/>
      <c r="F2806" s="596"/>
      <c r="G2806" s="65">
        <v>0</v>
      </c>
      <c r="H2806" s="591" t="s">
        <v>280</v>
      </c>
      <c r="I2806" s="591" t="s">
        <v>280</v>
      </c>
    </row>
    <row r="2807" spans="1:9">
      <c r="A2807" s="582" t="s">
        <v>544</v>
      </c>
      <c r="B2807" s="65">
        <v>3005</v>
      </c>
      <c r="C2807" s="579" t="s">
        <v>281</v>
      </c>
      <c r="D2807" s="579"/>
      <c r="E2807" s="583"/>
      <c r="F2807" s="596"/>
      <c r="G2807" s="65">
        <v>0</v>
      </c>
      <c r="H2807" s="591" t="s">
        <v>280</v>
      </c>
      <c r="I2807" s="591" t="s">
        <v>280</v>
      </c>
    </row>
    <row r="2808" spans="1:9">
      <c r="A2808" s="580" t="s">
        <v>544</v>
      </c>
      <c r="B2808" s="65">
        <v>3006</v>
      </c>
      <c r="C2808" s="65" t="s">
        <v>548</v>
      </c>
      <c r="D2808" s="65">
        <v>10509</v>
      </c>
      <c r="E2808" s="583"/>
      <c r="F2808" s="585">
        <v>45535</v>
      </c>
      <c r="G2808" s="65">
        <v>1</v>
      </c>
      <c r="H2808" s="591" t="s">
        <v>1977</v>
      </c>
      <c r="I2808" s="591" t="s">
        <v>71</v>
      </c>
    </row>
    <row r="2809" spans="1:9">
      <c r="A2809" s="582" t="s">
        <v>544</v>
      </c>
      <c r="B2809" s="63">
        <v>3007</v>
      </c>
      <c r="C2809" s="579" t="s">
        <v>549</v>
      </c>
      <c r="D2809" s="65">
        <v>10586</v>
      </c>
      <c r="E2809" s="583"/>
      <c r="F2809" s="585">
        <v>45535</v>
      </c>
      <c r="G2809" s="65">
        <v>1</v>
      </c>
      <c r="H2809" s="591" t="s">
        <v>1977</v>
      </c>
      <c r="I2809" s="591" t="s">
        <v>71</v>
      </c>
    </row>
    <row r="2810" spans="1:9">
      <c r="A2810" s="582" t="s">
        <v>544</v>
      </c>
      <c r="B2810" s="65">
        <v>3008</v>
      </c>
      <c r="C2810" s="579" t="s">
        <v>281</v>
      </c>
      <c r="D2810" s="579"/>
      <c r="E2810" s="583"/>
      <c r="F2810" s="596"/>
      <c r="G2810" s="65">
        <v>0</v>
      </c>
      <c r="H2810" s="591" t="s">
        <v>280</v>
      </c>
      <c r="I2810" s="591" t="s">
        <v>280</v>
      </c>
    </row>
    <row r="2811" spans="1:9">
      <c r="A2811" s="582" t="s">
        <v>544</v>
      </c>
      <c r="B2811" s="65">
        <v>3009</v>
      </c>
      <c r="C2811" s="579" t="s">
        <v>281</v>
      </c>
      <c r="D2811" s="579"/>
      <c r="E2811" s="583"/>
      <c r="F2811" s="596"/>
      <c r="G2811" s="65">
        <v>0</v>
      </c>
      <c r="H2811" s="591" t="s">
        <v>280</v>
      </c>
      <c r="I2811" s="591" t="s">
        <v>280</v>
      </c>
    </row>
    <row r="2812" spans="1:9">
      <c r="A2812" s="582" t="s">
        <v>544</v>
      </c>
      <c r="B2812" s="65">
        <v>3010</v>
      </c>
      <c r="C2812" s="579" t="s">
        <v>281</v>
      </c>
      <c r="D2812" s="579"/>
      <c r="E2812" s="583"/>
      <c r="F2812" s="596"/>
      <c r="G2812" s="65">
        <v>0</v>
      </c>
      <c r="H2812" s="591" t="s">
        <v>280</v>
      </c>
      <c r="I2812" s="591" t="s">
        <v>280</v>
      </c>
    </row>
    <row r="2813" spans="1:9">
      <c r="A2813" s="582" t="s">
        <v>544</v>
      </c>
      <c r="B2813" s="65">
        <v>3011</v>
      </c>
      <c r="C2813" s="579" t="s">
        <v>281</v>
      </c>
      <c r="D2813" s="579"/>
      <c r="E2813" s="583"/>
      <c r="F2813" s="596"/>
      <c r="G2813" s="65">
        <v>0</v>
      </c>
      <c r="H2813" s="591" t="s">
        <v>280</v>
      </c>
      <c r="I2813" s="591" t="s">
        <v>280</v>
      </c>
    </row>
    <row r="2814" spans="1:9">
      <c r="A2814" s="582" t="s">
        <v>544</v>
      </c>
      <c r="B2814" s="65">
        <v>3012</v>
      </c>
      <c r="C2814" s="579" t="s">
        <v>550</v>
      </c>
      <c r="D2814" s="579">
        <v>10372</v>
      </c>
      <c r="E2814" s="583"/>
      <c r="F2814" s="585">
        <v>45535</v>
      </c>
      <c r="G2814" s="65">
        <v>1</v>
      </c>
      <c r="H2814" s="591" t="s">
        <v>1977</v>
      </c>
      <c r="I2814" s="591" t="s">
        <v>71</v>
      </c>
    </row>
    <row r="2815" spans="1:9">
      <c r="A2815" s="582" t="s">
        <v>544</v>
      </c>
      <c r="B2815" s="65">
        <v>3013</v>
      </c>
      <c r="C2815" s="579" t="s">
        <v>281</v>
      </c>
      <c r="D2815" s="579"/>
      <c r="E2815" s="583"/>
      <c r="F2815" s="596"/>
      <c r="G2815" s="65">
        <v>0</v>
      </c>
      <c r="H2815" s="591" t="s">
        <v>280</v>
      </c>
      <c r="I2815" s="591" t="s">
        <v>280</v>
      </c>
    </row>
    <row r="2816" spans="1:9">
      <c r="A2816" s="582" t="s">
        <v>544</v>
      </c>
      <c r="B2816" s="65">
        <v>3014</v>
      </c>
      <c r="C2816" s="579" t="s">
        <v>281</v>
      </c>
      <c r="D2816" s="579"/>
      <c r="E2816" s="583"/>
      <c r="F2816" s="596"/>
      <c r="G2816" s="65">
        <v>0</v>
      </c>
      <c r="H2816" s="591" t="s">
        <v>280</v>
      </c>
      <c r="I2816" s="591" t="s">
        <v>280</v>
      </c>
    </row>
    <row r="2817" spans="1:9">
      <c r="A2817" s="582" t="s">
        <v>544</v>
      </c>
      <c r="B2817" s="65">
        <v>3015</v>
      </c>
      <c r="C2817" s="579" t="s">
        <v>281</v>
      </c>
      <c r="D2817" s="579"/>
      <c r="E2817" s="583"/>
      <c r="F2817" s="596"/>
      <c r="G2817" s="65">
        <v>0</v>
      </c>
      <c r="H2817" s="591" t="s">
        <v>280</v>
      </c>
      <c r="I2817" s="591" t="s">
        <v>280</v>
      </c>
    </row>
    <row r="2818" spans="1:9">
      <c r="A2818" s="582" t="s">
        <v>544</v>
      </c>
      <c r="B2818" s="65">
        <v>3016</v>
      </c>
      <c r="C2818" s="579" t="s">
        <v>551</v>
      </c>
      <c r="D2818" s="579">
        <v>10157</v>
      </c>
      <c r="E2818" s="583"/>
      <c r="F2818" s="585">
        <v>45535</v>
      </c>
      <c r="G2818" s="65">
        <v>1</v>
      </c>
      <c r="H2818" s="591" t="s">
        <v>1977</v>
      </c>
      <c r="I2818" s="591" t="s">
        <v>71</v>
      </c>
    </row>
    <row r="2819" spans="1:9">
      <c r="A2819" s="582" t="s">
        <v>544</v>
      </c>
      <c r="B2819" s="65">
        <v>3017</v>
      </c>
      <c r="C2819" s="579" t="s">
        <v>552</v>
      </c>
      <c r="D2819" s="63">
        <v>10371</v>
      </c>
      <c r="E2819" s="583"/>
      <c r="F2819" s="585">
        <v>45535</v>
      </c>
      <c r="G2819" s="65">
        <v>1</v>
      </c>
      <c r="H2819" s="591" t="s">
        <v>1977</v>
      </c>
      <c r="I2819" s="591" t="s">
        <v>71</v>
      </c>
    </row>
    <row r="2820" spans="1:9">
      <c r="A2820" s="580" t="s">
        <v>544</v>
      </c>
      <c r="B2820" s="65">
        <v>3018</v>
      </c>
      <c r="C2820" s="65" t="s">
        <v>1798</v>
      </c>
      <c r="D2820" s="65">
        <v>10822</v>
      </c>
      <c r="E2820" s="583"/>
      <c r="F2820" s="585">
        <v>45535</v>
      </c>
      <c r="G2820" s="65">
        <v>1</v>
      </c>
      <c r="H2820" s="591" t="s">
        <v>1977</v>
      </c>
      <c r="I2820" s="591" t="s">
        <v>71</v>
      </c>
    </row>
    <row r="2821" spans="1:9">
      <c r="A2821" s="580" t="s">
        <v>544</v>
      </c>
      <c r="B2821" s="65">
        <v>3019</v>
      </c>
      <c r="C2821" s="65" t="s">
        <v>281</v>
      </c>
      <c r="D2821" s="65"/>
      <c r="E2821" s="583"/>
      <c r="F2821" s="596"/>
      <c r="G2821" s="65">
        <v>0</v>
      </c>
      <c r="H2821" s="591" t="s">
        <v>280</v>
      </c>
      <c r="I2821" s="591" t="s">
        <v>280</v>
      </c>
    </row>
    <row r="2822" spans="1:9">
      <c r="A2822" s="580" t="s">
        <v>544</v>
      </c>
      <c r="B2822" s="65">
        <v>3020</v>
      </c>
      <c r="C2822" s="65" t="s">
        <v>1799</v>
      </c>
      <c r="D2822" s="65">
        <v>10897</v>
      </c>
      <c r="E2822" s="583"/>
      <c r="F2822" s="585">
        <v>45535</v>
      </c>
      <c r="G2822" s="65">
        <v>1</v>
      </c>
      <c r="H2822" s="591" t="s">
        <v>280</v>
      </c>
      <c r="I2822" s="591" t="s">
        <v>280</v>
      </c>
    </row>
    <row r="2823" spans="1:9">
      <c r="A2823" s="580" t="s">
        <v>544</v>
      </c>
      <c r="B2823" s="65">
        <v>3021</v>
      </c>
      <c r="C2823" s="65" t="s">
        <v>1800</v>
      </c>
      <c r="D2823" s="65">
        <v>10905</v>
      </c>
      <c r="E2823" s="583"/>
      <c r="F2823" s="585">
        <v>45535</v>
      </c>
      <c r="G2823" s="65">
        <v>1</v>
      </c>
      <c r="H2823" s="591" t="s">
        <v>1977</v>
      </c>
      <c r="I2823" s="591" t="s">
        <v>71</v>
      </c>
    </row>
    <row r="2824" spans="1:9">
      <c r="A2824" s="582" t="s">
        <v>544</v>
      </c>
      <c r="B2824" s="65">
        <v>3022</v>
      </c>
      <c r="C2824" s="65" t="s">
        <v>1801</v>
      </c>
      <c r="D2824" s="65">
        <v>10993</v>
      </c>
      <c r="E2824" s="583"/>
      <c r="F2824" s="585">
        <v>45535</v>
      </c>
      <c r="G2824" s="65">
        <v>1</v>
      </c>
      <c r="H2824" s="591" t="s">
        <v>1977</v>
      </c>
      <c r="I2824" s="591" t="s">
        <v>71</v>
      </c>
    </row>
    <row r="2825" spans="1:9">
      <c r="A2825" s="582" t="s">
        <v>544</v>
      </c>
      <c r="B2825" s="65">
        <v>3023</v>
      </c>
      <c r="C2825" s="579" t="s">
        <v>281</v>
      </c>
      <c r="D2825" s="579"/>
      <c r="E2825" s="583"/>
      <c r="F2825" s="596"/>
      <c r="G2825" s="65">
        <v>0</v>
      </c>
      <c r="H2825" s="591" t="s">
        <v>280</v>
      </c>
      <c r="I2825" s="591" t="s">
        <v>280</v>
      </c>
    </row>
    <row r="2826" spans="1:9">
      <c r="A2826" s="582" t="s">
        <v>544</v>
      </c>
      <c r="B2826" s="65">
        <v>3024</v>
      </c>
      <c r="C2826" s="579" t="s">
        <v>281</v>
      </c>
      <c r="D2826" s="579"/>
      <c r="E2826" s="583"/>
      <c r="F2826" s="596"/>
      <c r="G2826" s="65">
        <v>0</v>
      </c>
      <c r="H2826" s="591" t="s">
        <v>280</v>
      </c>
      <c r="I2826" s="591" t="s">
        <v>280</v>
      </c>
    </row>
    <row r="2827" spans="1:9">
      <c r="A2827" s="582" t="s">
        <v>544</v>
      </c>
      <c r="B2827" s="65">
        <v>3025</v>
      </c>
      <c r="C2827" s="579" t="s">
        <v>281</v>
      </c>
      <c r="D2827" s="579"/>
      <c r="E2827" s="583"/>
      <c r="F2827" s="596"/>
      <c r="G2827" s="65">
        <v>0</v>
      </c>
      <c r="H2827" s="591" t="s">
        <v>280</v>
      </c>
      <c r="I2827" s="591" t="s">
        <v>280</v>
      </c>
    </row>
    <row r="2828" spans="1:9">
      <c r="A2828" s="582" t="s">
        <v>544</v>
      </c>
      <c r="B2828" s="65">
        <v>3026</v>
      </c>
      <c r="C2828" s="579" t="s">
        <v>281</v>
      </c>
      <c r="D2828" s="579"/>
      <c r="E2828" s="583"/>
      <c r="F2828" s="596"/>
      <c r="G2828" s="65">
        <v>0</v>
      </c>
      <c r="H2828" s="591" t="s">
        <v>280</v>
      </c>
      <c r="I2828" s="591" t="s">
        <v>280</v>
      </c>
    </row>
    <row r="2829" spans="1:9">
      <c r="A2829" s="582" t="s">
        <v>544</v>
      </c>
      <c r="B2829" s="65">
        <v>3027</v>
      </c>
      <c r="C2829" s="579" t="s">
        <v>281</v>
      </c>
      <c r="D2829" s="579"/>
      <c r="E2829" s="583"/>
      <c r="F2829" s="596"/>
      <c r="G2829" s="65">
        <v>0</v>
      </c>
      <c r="H2829" s="591" t="s">
        <v>280</v>
      </c>
      <c r="I2829" s="591" t="s">
        <v>280</v>
      </c>
    </row>
    <row r="2830" spans="1:9">
      <c r="A2830" s="582" t="s">
        <v>544</v>
      </c>
      <c r="B2830" s="65">
        <v>3028</v>
      </c>
      <c r="C2830" s="579" t="s">
        <v>281</v>
      </c>
      <c r="D2830" s="579"/>
      <c r="E2830" s="583"/>
      <c r="F2830" s="596"/>
      <c r="G2830" s="65">
        <v>0</v>
      </c>
      <c r="H2830" s="591" t="s">
        <v>280</v>
      </c>
      <c r="I2830" s="591" t="s">
        <v>280</v>
      </c>
    </row>
    <row r="2831" spans="1:9">
      <c r="A2831" s="582" t="s">
        <v>544</v>
      </c>
      <c r="B2831" s="65">
        <v>3029</v>
      </c>
      <c r="C2831" s="579" t="s">
        <v>281</v>
      </c>
      <c r="D2831" s="579"/>
      <c r="E2831" s="583"/>
      <c r="F2831" s="596"/>
      <c r="G2831" s="65">
        <v>0</v>
      </c>
      <c r="H2831" s="591" t="s">
        <v>280</v>
      </c>
      <c r="I2831" s="591" t="s">
        <v>280</v>
      </c>
    </row>
    <row r="2832" spans="1:9">
      <c r="A2832" s="582" t="s">
        <v>544</v>
      </c>
      <c r="B2832" s="65">
        <v>3030</v>
      </c>
      <c r="C2832" s="579" t="s">
        <v>281</v>
      </c>
      <c r="D2832" s="579"/>
      <c r="E2832" s="583"/>
      <c r="F2832" s="596"/>
      <c r="G2832" s="65">
        <v>0</v>
      </c>
      <c r="H2832" s="591" t="s">
        <v>280</v>
      </c>
      <c r="I2832" s="591" t="s">
        <v>280</v>
      </c>
    </row>
    <row r="2833" spans="1:9">
      <c r="A2833" s="582" t="s">
        <v>544</v>
      </c>
      <c r="B2833" s="65">
        <v>3031</v>
      </c>
      <c r="C2833" s="579" t="s">
        <v>281</v>
      </c>
      <c r="D2833" s="579"/>
      <c r="E2833" s="583"/>
      <c r="F2833" s="596"/>
      <c r="G2833" s="65">
        <v>0</v>
      </c>
      <c r="H2833" s="591" t="s">
        <v>280</v>
      </c>
      <c r="I2833" s="591" t="s">
        <v>280</v>
      </c>
    </row>
    <row r="2834" spans="1:9">
      <c r="A2834" s="582" t="s">
        <v>544</v>
      </c>
      <c r="B2834" s="65">
        <v>3032</v>
      </c>
      <c r="C2834" s="579" t="s">
        <v>281</v>
      </c>
      <c r="D2834" s="579"/>
      <c r="E2834" s="583"/>
      <c r="F2834" s="596"/>
      <c r="G2834" s="65">
        <v>0</v>
      </c>
      <c r="H2834" s="591" t="s">
        <v>280</v>
      </c>
      <c r="I2834" s="591" t="s">
        <v>280</v>
      </c>
    </row>
    <row r="2835" spans="1:9">
      <c r="A2835" s="582" t="s">
        <v>544</v>
      </c>
      <c r="B2835" s="65">
        <v>3033</v>
      </c>
      <c r="C2835" s="579" t="s">
        <v>281</v>
      </c>
      <c r="D2835" s="579"/>
      <c r="E2835" s="583"/>
      <c r="F2835" s="596"/>
      <c r="G2835" s="65">
        <v>0</v>
      </c>
      <c r="H2835" s="591" t="s">
        <v>280</v>
      </c>
      <c r="I2835" s="591" t="s">
        <v>280</v>
      </c>
    </row>
    <row r="2836" spans="1:9">
      <c r="A2836" s="582" t="s">
        <v>544</v>
      </c>
      <c r="B2836" s="65">
        <v>3034</v>
      </c>
      <c r="C2836" s="579" t="s">
        <v>281</v>
      </c>
      <c r="D2836" s="579"/>
      <c r="E2836" s="583"/>
      <c r="F2836" s="596"/>
      <c r="G2836" s="65">
        <v>0</v>
      </c>
      <c r="H2836" s="591" t="s">
        <v>280</v>
      </c>
      <c r="I2836" s="591" t="s">
        <v>280</v>
      </c>
    </row>
    <row r="2837" spans="1:9">
      <c r="A2837" s="582" t="s">
        <v>544</v>
      </c>
      <c r="B2837" s="65">
        <v>3035</v>
      </c>
      <c r="C2837" s="579" t="s">
        <v>281</v>
      </c>
      <c r="D2837" s="579"/>
      <c r="E2837" s="583"/>
      <c r="F2837" s="596"/>
      <c r="G2837" s="65">
        <v>0</v>
      </c>
      <c r="H2837" s="591" t="s">
        <v>280</v>
      </c>
      <c r="I2837" s="591" t="s">
        <v>280</v>
      </c>
    </row>
    <row r="2838" spans="1:9">
      <c r="A2838" s="582" t="s">
        <v>544</v>
      </c>
      <c r="B2838" s="65">
        <v>3036</v>
      </c>
      <c r="C2838" s="579" t="s">
        <v>281</v>
      </c>
      <c r="D2838" s="579"/>
      <c r="E2838" s="583"/>
      <c r="F2838" s="596"/>
      <c r="G2838" s="65">
        <v>0</v>
      </c>
      <c r="H2838" s="591" t="s">
        <v>280</v>
      </c>
      <c r="I2838" s="591" t="s">
        <v>280</v>
      </c>
    </row>
    <row r="2839" spans="1:9">
      <c r="A2839" s="582" t="s">
        <v>544</v>
      </c>
      <c r="B2839" s="65">
        <v>3037</v>
      </c>
      <c r="C2839" s="579" t="s">
        <v>281</v>
      </c>
      <c r="D2839" s="579"/>
      <c r="E2839" s="583"/>
      <c r="F2839" s="596"/>
      <c r="G2839" s="65">
        <v>0</v>
      </c>
      <c r="H2839" s="591" t="s">
        <v>280</v>
      </c>
      <c r="I2839" s="591" t="s">
        <v>280</v>
      </c>
    </row>
    <row r="2840" spans="1:9">
      <c r="A2840" s="582" t="s">
        <v>544</v>
      </c>
      <c r="B2840" s="65">
        <v>3038</v>
      </c>
      <c r="C2840" s="579" t="s">
        <v>281</v>
      </c>
      <c r="D2840" s="579"/>
      <c r="E2840" s="583"/>
      <c r="F2840" s="596"/>
      <c r="G2840" s="65">
        <v>0</v>
      </c>
      <c r="H2840" s="591" t="s">
        <v>280</v>
      </c>
      <c r="I2840" s="591" t="s">
        <v>280</v>
      </c>
    </row>
    <row r="2841" spans="1:9">
      <c r="A2841" s="582" t="s">
        <v>544</v>
      </c>
      <c r="B2841" s="65">
        <v>3039</v>
      </c>
      <c r="C2841" s="579" t="s">
        <v>281</v>
      </c>
      <c r="D2841" s="579"/>
      <c r="E2841" s="583"/>
      <c r="F2841" s="596"/>
      <c r="G2841" s="65">
        <v>0</v>
      </c>
      <c r="H2841" s="591" t="s">
        <v>280</v>
      </c>
      <c r="I2841" s="591" t="s">
        <v>280</v>
      </c>
    </row>
    <row r="2842" spans="1:9">
      <c r="A2842" s="582" t="s">
        <v>544</v>
      </c>
      <c r="B2842" s="65">
        <v>3040</v>
      </c>
      <c r="C2842" s="579" t="s">
        <v>281</v>
      </c>
      <c r="D2842" s="579"/>
      <c r="E2842" s="583"/>
      <c r="F2842" s="596"/>
      <c r="G2842" s="65">
        <v>0</v>
      </c>
      <c r="H2842" s="591" t="s">
        <v>280</v>
      </c>
      <c r="I2842" s="591" t="s">
        <v>280</v>
      </c>
    </row>
    <row r="2843" spans="1:9">
      <c r="A2843" s="582" t="s">
        <v>544</v>
      </c>
      <c r="B2843" s="65">
        <v>3041</v>
      </c>
      <c r="C2843" s="579" t="s">
        <v>281</v>
      </c>
      <c r="D2843" s="579"/>
      <c r="E2843" s="583"/>
      <c r="F2843" s="596"/>
      <c r="G2843" s="65">
        <v>0</v>
      </c>
      <c r="H2843" s="591" t="s">
        <v>280</v>
      </c>
      <c r="I2843" s="591" t="s">
        <v>280</v>
      </c>
    </row>
    <row r="2844" spans="1:9">
      <c r="A2844" s="582" t="s">
        <v>544</v>
      </c>
      <c r="B2844" s="65">
        <v>3042</v>
      </c>
      <c r="C2844" s="579" t="s">
        <v>281</v>
      </c>
      <c r="D2844" s="579"/>
      <c r="E2844" s="583"/>
      <c r="F2844" s="596"/>
      <c r="G2844" s="65">
        <v>0</v>
      </c>
      <c r="H2844" s="591" t="s">
        <v>280</v>
      </c>
      <c r="I2844" s="591" t="s">
        <v>280</v>
      </c>
    </row>
    <row r="2845" spans="1:9">
      <c r="A2845" s="582" t="s">
        <v>544</v>
      </c>
      <c r="B2845" s="65">
        <v>3043</v>
      </c>
      <c r="C2845" s="579" t="s">
        <v>281</v>
      </c>
      <c r="D2845" s="579"/>
      <c r="E2845" s="583"/>
      <c r="F2845" s="596"/>
      <c r="G2845" s="65">
        <v>0</v>
      </c>
      <c r="H2845" s="591" t="s">
        <v>280</v>
      </c>
      <c r="I2845" s="591" t="s">
        <v>280</v>
      </c>
    </row>
    <row r="2846" spans="1:9">
      <c r="A2846" s="582" t="s">
        <v>544</v>
      </c>
      <c r="B2846" s="65">
        <v>3044</v>
      </c>
      <c r="C2846" s="579" t="s">
        <v>281</v>
      </c>
      <c r="D2846" s="579"/>
      <c r="E2846" s="583"/>
      <c r="F2846" s="596"/>
      <c r="G2846" s="65">
        <v>0</v>
      </c>
      <c r="H2846" s="591" t="s">
        <v>280</v>
      </c>
      <c r="I2846" s="591" t="s">
        <v>280</v>
      </c>
    </row>
    <row r="2847" spans="1:9">
      <c r="A2847" s="582" t="s">
        <v>544</v>
      </c>
      <c r="B2847" s="65">
        <v>3045</v>
      </c>
      <c r="C2847" s="579" t="s">
        <v>281</v>
      </c>
      <c r="D2847" s="579"/>
      <c r="E2847" s="583"/>
      <c r="F2847" s="596"/>
      <c r="G2847" s="65">
        <v>0</v>
      </c>
      <c r="H2847" s="591" t="s">
        <v>280</v>
      </c>
      <c r="I2847" s="591" t="s">
        <v>280</v>
      </c>
    </row>
    <row r="2848" spans="1:9">
      <c r="A2848" s="582" t="s">
        <v>544</v>
      </c>
      <c r="B2848" s="65">
        <v>3046</v>
      </c>
      <c r="C2848" s="579" t="s">
        <v>281</v>
      </c>
      <c r="D2848" s="579"/>
      <c r="E2848" s="583"/>
      <c r="F2848" s="596"/>
      <c r="G2848" s="65">
        <v>0</v>
      </c>
      <c r="H2848" s="591" t="s">
        <v>280</v>
      </c>
      <c r="I2848" s="591" t="s">
        <v>280</v>
      </c>
    </row>
    <row r="2849" spans="1:9">
      <c r="A2849" s="582" t="s">
        <v>544</v>
      </c>
      <c r="B2849" s="65">
        <v>3047</v>
      </c>
      <c r="C2849" s="579" t="s">
        <v>281</v>
      </c>
      <c r="D2849" s="579"/>
      <c r="E2849" s="583"/>
      <c r="F2849" s="596"/>
      <c r="G2849" s="65">
        <v>0</v>
      </c>
      <c r="H2849" s="591" t="s">
        <v>280</v>
      </c>
      <c r="I2849" s="591" t="s">
        <v>280</v>
      </c>
    </row>
    <row r="2850" spans="1:9">
      <c r="A2850" s="582" t="s">
        <v>544</v>
      </c>
      <c r="B2850" s="65">
        <v>3048</v>
      </c>
      <c r="C2850" s="579" t="s">
        <v>281</v>
      </c>
      <c r="D2850" s="579"/>
      <c r="E2850" s="583"/>
      <c r="F2850" s="596"/>
      <c r="G2850" s="65">
        <v>0</v>
      </c>
      <c r="H2850" s="591" t="s">
        <v>280</v>
      </c>
      <c r="I2850" s="591" t="s">
        <v>280</v>
      </c>
    </row>
    <row r="2851" spans="1:9">
      <c r="A2851" s="582" t="s">
        <v>544</v>
      </c>
      <c r="B2851" s="65">
        <v>3049</v>
      </c>
      <c r="C2851" s="579" t="s">
        <v>281</v>
      </c>
      <c r="D2851" s="579"/>
      <c r="E2851" s="583"/>
      <c r="F2851" s="596"/>
      <c r="G2851" s="65">
        <v>0</v>
      </c>
      <c r="H2851" s="591" t="s">
        <v>280</v>
      </c>
      <c r="I2851" s="591" t="s">
        <v>280</v>
      </c>
    </row>
    <row r="2852" spans="1:9">
      <c r="A2852" s="582" t="s">
        <v>544</v>
      </c>
      <c r="B2852" s="65">
        <v>3050</v>
      </c>
      <c r="C2852" s="579" t="s">
        <v>281</v>
      </c>
      <c r="D2852" s="579"/>
      <c r="E2852" s="583"/>
      <c r="F2852" s="596"/>
      <c r="G2852" s="65">
        <v>0</v>
      </c>
      <c r="H2852" s="591" t="s">
        <v>280</v>
      </c>
      <c r="I2852" s="591" t="s">
        <v>280</v>
      </c>
    </row>
    <row r="2853" spans="1:9">
      <c r="A2853" s="582" t="s">
        <v>544</v>
      </c>
      <c r="B2853" s="65">
        <v>3051</v>
      </c>
      <c r="C2853" s="579" t="s">
        <v>281</v>
      </c>
      <c r="D2853" s="579"/>
      <c r="E2853" s="583"/>
      <c r="F2853" s="596"/>
      <c r="G2853" s="65">
        <v>0</v>
      </c>
      <c r="H2853" s="591" t="s">
        <v>280</v>
      </c>
      <c r="I2853" s="591" t="s">
        <v>280</v>
      </c>
    </row>
    <row r="2854" spans="1:9">
      <c r="A2854" s="582" t="s">
        <v>544</v>
      </c>
      <c r="B2854" s="65">
        <v>3052</v>
      </c>
      <c r="C2854" s="579" t="s">
        <v>281</v>
      </c>
      <c r="D2854" s="579"/>
      <c r="E2854" s="583"/>
      <c r="F2854" s="596"/>
      <c r="G2854" s="65">
        <v>0</v>
      </c>
      <c r="H2854" s="591" t="s">
        <v>280</v>
      </c>
      <c r="I2854" s="591" t="s">
        <v>280</v>
      </c>
    </row>
    <row r="2855" spans="1:9">
      <c r="A2855" s="582" t="s">
        <v>544</v>
      </c>
      <c r="B2855" s="65">
        <v>3053</v>
      </c>
      <c r="C2855" s="579" t="s">
        <v>281</v>
      </c>
      <c r="D2855" s="579"/>
      <c r="E2855" s="583"/>
      <c r="F2855" s="596"/>
      <c r="G2855" s="65">
        <v>0</v>
      </c>
      <c r="H2855" s="591" t="s">
        <v>280</v>
      </c>
      <c r="I2855" s="591" t="s">
        <v>280</v>
      </c>
    </row>
    <row r="2856" spans="1:9">
      <c r="A2856" s="582" t="s">
        <v>544</v>
      </c>
      <c r="B2856" s="65">
        <v>3054</v>
      </c>
      <c r="C2856" s="579" t="s">
        <v>281</v>
      </c>
      <c r="D2856" s="579"/>
      <c r="E2856" s="583"/>
      <c r="F2856" s="596"/>
      <c r="G2856" s="65">
        <v>0</v>
      </c>
      <c r="H2856" s="591" t="s">
        <v>280</v>
      </c>
      <c r="I2856" s="591" t="s">
        <v>280</v>
      </c>
    </row>
    <row r="2857" spans="1:9">
      <c r="A2857" s="582" t="s">
        <v>544</v>
      </c>
      <c r="B2857" s="65">
        <v>3055</v>
      </c>
      <c r="C2857" s="579" t="s">
        <v>281</v>
      </c>
      <c r="D2857" s="579"/>
      <c r="E2857" s="583"/>
      <c r="F2857" s="596"/>
      <c r="G2857" s="65">
        <v>0</v>
      </c>
      <c r="H2857" s="591" t="s">
        <v>280</v>
      </c>
      <c r="I2857" s="591" t="s">
        <v>280</v>
      </c>
    </row>
    <row r="2858" spans="1:9">
      <c r="A2858" s="582" t="s">
        <v>544</v>
      </c>
      <c r="B2858" s="65">
        <v>3056</v>
      </c>
      <c r="C2858" s="579" t="s">
        <v>281</v>
      </c>
      <c r="D2858" s="579"/>
      <c r="E2858" s="583"/>
      <c r="F2858" s="596"/>
      <c r="G2858" s="65">
        <v>0</v>
      </c>
      <c r="H2858" s="591" t="s">
        <v>280</v>
      </c>
      <c r="I2858" s="591" t="s">
        <v>280</v>
      </c>
    </row>
    <row r="2859" spans="1:9">
      <c r="A2859" s="582" t="s">
        <v>544</v>
      </c>
      <c r="B2859" s="65">
        <v>3057</v>
      </c>
      <c r="C2859" s="579" t="s">
        <v>281</v>
      </c>
      <c r="D2859" s="579"/>
      <c r="E2859" s="583"/>
      <c r="F2859" s="596"/>
      <c r="G2859" s="65">
        <v>0</v>
      </c>
      <c r="H2859" s="591" t="s">
        <v>280</v>
      </c>
      <c r="I2859" s="591" t="s">
        <v>280</v>
      </c>
    </row>
    <row r="2860" spans="1:9">
      <c r="A2860" s="582" t="s">
        <v>544</v>
      </c>
      <c r="B2860" s="65">
        <v>3058</v>
      </c>
      <c r="C2860" s="579" t="s">
        <v>281</v>
      </c>
      <c r="D2860" s="579"/>
      <c r="E2860" s="583"/>
      <c r="F2860" s="596"/>
      <c r="G2860" s="65">
        <v>0</v>
      </c>
      <c r="H2860" s="591" t="s">
        <v>280</v>
      </c>
      <c r="I2860" s="591" t="s">
        <v>280</v>
      </c>
    </row>
    <row r="2861" spans="1:9">
      <c r="A2861" s="582" t="s">
        <v>544</v>
      </c>
      <c r="B2861" s="65">
        <v>3059</v>
      </c>
      <c r="C2861" s="579" t="s">
        <v>281</v>
      </c>
      <c r="D2861" s="579"/>
      <c r="E2861" s="583"/>
      <c r="F2861" s="596"/>
      <c r="G2861" s="65">
        <v>0</v>
      </c>
      <c r="H2861" s="591" t="s">
        <v>280</v>
      </c>
      <c r="I2861" s="591" t="s">
        <v>280</v>
      </c>
    </row>
    <row r="2862" spans="1:9">
      <c r="A2862" s="582" t="s">
        <v>544</v>
      </c>
      <c r="B2862" s="65">
        <v>3060</v>
      </c>
      <c r="C2862" s="579" t="s">
        <v>281</v>
      </c>
      <c r="D2862" s="579"/>
      <c r="E2862" s="583"/>
      <c r="F2862" s="596"/>
      <c r="G2862" s="65">
        <v>0</v>
      </c>
      <c r="H2862" s="591" t="s">
        <v>280</v>
      </c>
      <c r="I2862" s="591" t="s">
        <v>280</v>
      </c>
    </row>
    <row r="2863" spans="1:9">
      <c r="A2863" s="582" t="s">
        <v>544</v>
      </c>
      <c r="B2863" s="65">
        <v>3061</v>
      </c>
      <c r="C2863" s="579" t="s">
        <v>281</v>
      </c>
      <c r="D2863" s="579"/>
      <c r="E2863" s="583"/>
      <c r="F2863" s="596"/>
      <c r="G2863" s="65">
        <v>0</v>
      </c>
      <c r="H2863" s="591" t="s">
        <v>280</v>
      </c>
      <c r="I2863" s="591" t="s">
        <v>280</v>
      </c>
    </row>
    <row r="2864" spans="1:9">
      <c r="A2864" s="582" t="s">
        <v>544</v>
      </c>
      <c r="B2864" s="65">
        <v>3062</v>
      </c>
      <c r="C2864" s="579" t="s">
        <v>281</v>
      </c>
      <c r="D2864" s="579"/>
      <c r="E2864" s="583"/>
      <c r="F2864" s="596"/>
      <c r="G2864" s="65">
        <v>0</v>
      </c>
      <c r="H2864" s="591" t="s">
        <v>280</v>
      </c>
      <c r="I2864" s="591" t="s">
        <v>280</v>
      </c>
    </row>
    <row r="2865" spans="1:9">
      <c r="A2865" s="582" t="s">
        <v>544</v>
      </c>
      <c r="B2865" s="65">
        <v>3063</v>
      </c>
      <c r="C2865" s="579" t="s">
        <v>281</v>
      </c>
      <c r="D2865" s="579"/>
      <c r="E2865" s="583"/>
      <c r="F2865" s="596"/>
      <c r="G2865" s="65">
        <v>0</v>
      </c>
      <c r="H2865" s="591" t="s">
        <v>280</v>
      </c>
      <c r="I2865" s="591" t="s">
        <v>280</v>
      </c>
    </row>
    <row r="2866" spans="1:9">
      <c r="A2866" s="582" t="s">
        <v>544</v>
      </c>
      <c r="B2866" s="65">
        <v>3064</v>
      </c>
      <c r="C2866" s="579" t="s">
        <v>281</v>
      </c>
      <c r="D2866" s="579"/>
      <c r="E2866" s="583"/>
      <c r="F2866" s="596"/>
      <c r="G2866" s="65">
        <v>0</v>
      </c>
      <c r="H2866" s="591" t="s">
        <v>280</v>
      </c>
      <c r="I2866" s="591" t="s">
        <v>280</v>
      </c>
    </row>
    <row r="2867" spans="1:9">
      <c r="A2867" s="582" t="s">
        <v>544</v>
      </c>
      <c r="B2867" s="65">
        <v>3065</v>
      </c>
      <c r="C2867" s="579" t="s">
        <v>281</v>
      </c>
      <c r="D2867" s="579"/>
      <c r="E2867" s="583"/>
      <c r="F2867" s="596"/>
      <c r="G2867" s="65">
        <v>0</v>
      </c>
      <c r="H2867" s="591" t="s">
        <v>280</v>
      </c>
      <c r="I2867" s="591" t="s">
        <v>280</v>
      </c>
    </row>
    <row r="2868" spans="1:9">
      <c r="A2868" s="582" t="s">
        <v>544</v>
      </c>
      <c r="B2868" s="65">
        <v>3066</v>
      </c>
      <c r="C2868" s="579" t="s">
        <v>281</v>
      </c>
      <c r="D2868" s="579"/>
      <c r="E2868" s="583"/>
      <c r="F2868" s="596"/>
      <c r="G2868" s="65">
        <v>0</v>
      </c>
      <c r="H2868" s="591" t="s">
        <v>280</v>
      </c>
      <c r="I2868" s="591" t="s">
        <v>280</v>
      </c>
    </row>
    <row r="2869" spans="1:9">
      <c r="A2869" s="582" t="s">
        <v>544</v>
      </c>
      <c r="B2869" s="65">
        <v>3067</v>
      </c>
      <c r="C2869" s="579" t="s">
        <v>281</v>
      </c>
      <c r="D2869" s="579"/>
      <c r="E2869" s="583"/>
      <c r="F2869" s="596"/>
      <c r="G2869" s="65">
        <v>0</v>
      </c>
      <c r="H2869" s="591" t="s">
        <v>280</v>
      </c>
      <c r="I2869" s="591" t="s">
        <v>280</v>
      </c>
    </row>
    <row r="2870" spans="1:9">
      <c r="A2870" s="582" t="s">
        <v>544</v>
      </c>
      <c r="B2870" s="65">
        <v>3068</v>
      </c>
      <c r="C2870" s="579" t="s">
        <v>281</v>
      </c>
      <c r="D2870" s="579"/>
      <c r="E2870" s="583"/>
      <c r="F2870" s="596"/>
      <c r="G2870" s="65">
        <v>0</v>
      </c>
      <c r="H2870" s="591" t="s">
        <v>280</v>
      </c>
      <c r="I2870" s="591" t="s">
        <v>280</v>
      </c>
    </row>
    <row r="2871" spans="1:9">
      <c r="A2871" s="582" t="s">
        <v>544</v>
      </c>
      <c r="B2871" s="65">
        <v>3069</v>
      </c>
      <c r="C2871" s="579" t="s">
        <v>281</v>
      </c>
      <c r="D2871" s="579"/>
      <c r="E2871" s="583"/>
      <c r="F2871" s="596"/>
      <c r="G2871" s="65">
        <v>0</v>
      </c>
      <c r="H2871" s="591" t="s">
        <v>280</v>
      </c>
      <c r="I2871" s="591" t="s">
        <v>280</v>
      </c>
    </row>
    <row r="2872" spans="1:9">
      <c r="A2872" s="582" t="s">
        <v>544</v>
      </c>
      <c r="B2872" s="65">
        <v>3070</v>
      </c>
      <c r="C2872" s="579" t="s">
        <v>281</v>
      </c>
      <c r="D2872" s="579"/>
      <c r="E2872" s="583"/>
      <c r="F2872" s="596"/>
      <c r="G2872" s="65">
        <v>0</v>
      </c>
      <c r="H2872" s="591" t="s">
        <v>280</v>
      </c>
      <c r="I2872" s="591" t="s">
        <v>280</v>
      </c>
    </row>
    <row r="2873" spans="1:9">
      <c r="A2873" s="582" t="s">
        <v>544</v>
      </c>
      <c r="B2873" s="65">
        <v>3071</v>
      </c>
      <c r="C2873" s="579" t="s">
        <v>281</v>
      </c>
      <c r="D2873" s="579"/>
      <c r="E2873" s="583"/>
      <c r="F2873" s="596"/>
      <c r="G2873" s="65">
        <v>0</v>
      </c>
      <c r="H2873" s="591" t="s">
        <v>280</v>
      </c>
      <c r="I2873" s="591" t="s">
        <v>280</v>
      </c>
    </row>
    <row r="2874" spans="1:9">
      <c r="A2874" s="582" t="s">
        <v>544</v>
      </c>
      <c r="B2874" s="65">
        <v>3072</v>
      </c>
      <c r="C2874" s="579" t="s">
        <v>281</v>
      </c>
      <c r="D2874" s="579"/>
      <c r="E2874" s="583"/>
      <c r="F2874" s="596"/>
      <c r="G2874" s="65">
        <v>0</v>
      </c>
      <c r="H2874" s="591" t="s">
        <v>280</v>
      </c>
      <c r="I2874" s="591" t="s">
        <v>280</v>
      </c>
    </row>
    <row r="2875" spans="1:9">
      <c r="A2875" s="582" t="s">
        <v>544</v>
      </c>
      <c r="B2875" s="65">
        <v>3073</v>
      </c>
      <c r="C2875" s="579" t="s">
        <v>281</v>
      </c>
      <c r="D2875" s="579"/>
      <c r="E2875" s="583"/>
      <c r="F2875" s="596"/>
      <c r="G2875" s="65">
        <v>0</v>
      </c>
      <c r="H2875" s="591" t="s">
        <v>280</v>
      </c>
      <c r="I2875" s="591" t="s">
        <v>280</v>
      </c>
    </row>
    <row r="2876" spans="1:9">
      <c r="A2876" s="582" t="s">
        <v>544</v>
      </c>
      <c r="B2876" s="65">
        <v>3074</v>
      </c>
      <c r="C2876" s="579" t="s">
        <v>281</v>
      </c>
      <c r="D2876" s="579"/>
      <c r="E2876" s="583"/>
      <c r="F2876" s="596"/>
      <c r="G2876" s="65">
        <v>0</v>
      </c>
      <c r="H2876" s="591" t="s">
        <v>280</v>
      </c>
      <c r="I2876" s="591" t="s">
        <v>280</v>
      </c>
    </row>
    <row r="2877" spans="1:9">
      <c r="A2877" s="582" t="s">
        <v>544</v>
      </c>
      <c r="B2877" s="65">
        <v>3075</v>
      </c>
      <c r="C2877" s="579" t="s">
        <v>281</v>
      </c>
      <c r="D2877" s="579"/>
      <c r="E2877" s="583"/>
      <c r="F2877" s="596"/>
      <c r="G2877" s="65">
        <v>0</v>
      </c>
      <c r="H2877" s="591" t="s">
        <v>280</v>
      </c>
      <c r="I2877" s="591" t="s">
        <v>280</v>
      </c>
    </row>
    <row r="2878" spans="1:9">
      <c r="A2878" s="582" t="s">
        <v>544</v>
      </c>
      <c r="B2878" s="65">
        <v>3076</v>
      </c>
      <c r="C2878" s="579" t="s">
        <v>281</v>
      </c>
      <c r="D2878" s="579"/>
      <c r="E2878" s="583"/>
      <c r="F2878" s="596"/>
      <c r="G2878" s="65">
        <v>0</v>
      </c>
      <c r="H2878" s="591" t="s">
        <v>280</v>
      </c>
      <c r="I2878" s="591" t="s">
        <v>280</v>
      </c>
    </row>
    <row r="2879" spans="1:9">
      <c r="A2879" s="582" t="s">
        <v>544</v>
      </c>
      <c r="B2879" s="65">
        <v>3077</v>
      </c>
      <c r="C2879" s="579" t="s">
        <v>281</v>
      </c>
      <c r="D2879" s="579"/>
      <c r="E2879" s="583"/>
      <c r="F2879" s="596"/>
      <c r="G2879" s="65">
        <v>0</v>
      </c>
      <c r="H2879" s="591" t="s">
        <v>280</v>
      </c>
      <c r="I2879" s="591" t="s">
        <v>280</v>
      </c>
    </row>
    <row r="2880" spans="1:9">
      <c r="A2880" s="582" t="s">
        <v>544</v>
      </c>
      <c r="B2880" s="65">
        <v>3078</v>
      </c>
      <c r="C2880" s="579" t="s">
        <v>281</v>
      </c>
      <c r="D2880" s="579"/>
      <c r="E2880" s="583"/>
      <c r="F2880" s="596"/>
      <c r="G2880" s="65">
        <v>0</v>
      </c>
      <c r="H2880" s="591" t="s">
        <v>280</v>
      </c>
      <c r="I2880" s="591" t="s">
        <v>280</v>
      </c>
    </row>
    <row r="2881" spans="1:9">
      <c r="A2881" s="582" t="s">
        <v>544</v>
      </c>
      <c r="B2881" s="65">
        <v>3079</v>
      </c>
      <c r="C2881" s="579" t="s">
        <v>281</v>
      </c>
      <c r="D2881" s="579"/>
      <c r="E2881" s="583"/>
      <c r="F2881" s="596"/>
      <c r="G2881" s="65">
        <v>0</v>
      </c>
      <c r="H2881" s="591" t="s">
        <v>280</v>
      </c>
      <c r="I2881" s="591" t="s">
        <v>280</v>
      </c>
    </row>
    <row r="2882" spans="1:9">
      <c r="A2882" s="582" t="s">
        <v>544</v>
      </c>
      <c r="B2882" s="65">
        <v>3080</v>
      </c>
      <c r="C2882" s="579" t="s">
        <v>281</v>
      </c>
      <c r="D2882" s="579"/>
      <c r="E2882" s="583"/>
      <c r="F2882" s="596"/>
      <c r="G2882" s="65">
        <v>0</v>
      </c>
      <c r="H2882" s="591" t="s">
        <v>280</v>
      </c>
      <c r="I2882" s="591" t="s">
        <v>280</v>
      </c>
    </row>
    <row r="2883" spans="1:9">
      <c r="A2883" s="582" t="s">
        <v>544</v>
      </c>
      <c r="B2883" s="65">
        <v>3081</v>
      </c>
      <c r="C2883" s="579" t="s">
        <v>281</v>
      </c>
      <c r="D2883" s="579"/>
      <c r="E2883" s="583"/>
      <c r="F2883" s="596"/>
      <c r="G2883" s="65">
        <v>0</v>
      </c>
      <c r="H2883" s="591" t="s">
        <v>280</v>
      </c>
      <c r="I2883" s="591" t="s">
        <v>280</v>
      </c>
    </row>
    <row r="2884" spans="1:9">
      <c r="A2884" s="582" t="s">
        <v>544</v>
      </c>
      <c r="B2884" s="65">
        <v>3082</v>
      </c>
      <c r="C2884" s="579" t="s">
        <v>281</v>
      </c>
      <c r="D2884" s="579"/>
      <c r="E2884" s="583"/>
      <c r="F2884" s="596"/>
      <c r="G2884" s="65">
        <v>0</v>
      </c>
      <c r="H2884" s="591" t="s">
        <v>280</v>
      </c>
      <c r="I2884" s="591" t="s">
        <v>280</v>
      </c>
    </row>
    <row r="2885" spans="1:9">
      <c r="A2885" s="582" t="s">
        <v>544</v>
      </c>
      <c r="B2885" s="65">
        <v>3083</v>
      </c>
      <c r="C2885" s="579" t="s">
        <v>281</v>
      </c>
      <c r="D2885" s="579"/>
      <c r="E2885" s="583"/>
      <c r="F2885" s="596"/>
      <c r="G2885" s="65">
        <v>0</v>
      </c>
      <c r="H2885" s="591" t="s">
        <v>280</v>
      </c>
      <c r="I2885" s="591" t="s">
        <v>280</v>
      </c>
    </row>
    <row r="2886" spans="1:9">
      <c r="A2886" s="582" t="s">
        <v>544</v>
      </c>
      <c r="B2886" s="65">
        <v>3084</v>
      </c>
      <c r="C2886" s="579" t="s">
        <v>281</v>
      </c>
      <c r="D2886" s="579"/>
      <c r="E2886" s="583"/>
      <c r="F2886" s="596"/>
      <c r="G2886" s="65">
        <v>0</v>
      </c>
      <c r="H2886" s="591" t="s">
        <v>280</v>
      </c>
      <c r="I2886" s="591" t="s">
        <v>280</v>
      </c>
    </row>
    <row r="2887" spans="1:9">
      <c r="A2887" s="582" t="s">
        <v>544</v>
      </c>
      <c r="B2887" s="65">
        <v>3085</v>
      </c>
      <c r="C2887" s="579" t="s">
        <v>281</v>
      </c>
      <c r="D2887" s="579"/>
      <c r="E2887" s="583"/>
      <c r="F2887" s="596"/>
      <c r="G2887" s="65">
        <v>0</v>
      </c>
      <c r="H2887" s="591" t="s">
        <v>280</v>
      </c>
      <c r="I2887" s="591" t="s">
        <v>280</v>
      </c>
    </row>
    <row r="2888" spans="1:9">
      <c r="A2888" s="582" t="s">
        <v>544</v>
      </c>
      <c r="B2888" s="65">
        <v>3086</v>
      </c>
      <c r="C2888" s="579" t="s">
        <v>281</v>
      </c>
      <c r="D2888" s="579"/>
      <c r="E2888" s="583"/>
      <c r="F2888" s="596"/>
      <c r="G2888" s="65">
        <v>0</v>
      </c>
      <c r="H2888" s="591" t="s">
        <v>280</v>
      </c>
      <c r="I2888" s="591" t="s">
        <v>280</v>
      </c>
    </row>
    <row r="2889" spans="1:9">
      <c r="A2889" s="582" t="s">
        <v>544</v>
      </c>
      <c r="B2889" s="65">
        <v>3087</v>
      </c>
      <c r="C2889" s="579" t="s">
        <v>281</v>
      </c>
      <c r="D2889" s="579"/>
      <c r="E2889" s="583"/>
      <c r="F2889" s="596"/>
      <c r="G2889" s="65">
        <v>0</v>
      </c>
      <c r="H2889" s="591" t="s">
        <v>280</v>
      </c>
      <c r="I2889" s="591" t="s">
        <v>280</v>
      </c>
    </row>
    <row r="2890" spans="1:9">
      <c r="A2890" s="582" t="s">
        <v>544</v>
      </c>
      <c r="B2890" s="65">
        <v>3088</v>
      </c>
      <c r="C2890" s="579" t="s">
        <v>281</v>
      </c>
      <c r="D2890" s="579"/>
      <c r="E2890" s="583"/>
      <c r="F2890" s="596"/>
      <c r="G2890" s="65">
        <v>0</v>
      </c>
      <c r="H2890" s="591" t="s">
        <v>280</v>
      </c>
      <c r="I2890" s="591" t="s">
        <v>280</v>
      </c>
    </row>
    <row r="2891" spans="1:9">
      <c r="A2891" s="582" t="s">
        <v>544</v>
      </c>
      <c r="B2891" s="65">
        <v>3089</v>
      </c>
      <c r="C2891" s="579" t="s">
        <v>281</v>
      </c>
      <c r="D2891" s="579"/>
      <c r="E2891" s="583"/>
      <c r="F2891" s="596"/>
      <c r="G2891" s="65">
        <v>0</v>
      </c>
      <c r="H2891" s="591" t="s">
        <v>280</v>
      </c>
      <c r="I2891" s="591" t="s">
        <v>280</v>
      </c>
    </row>
    <row r="2892" spans="1:9">
      <c r="A2892" s="582" t="s">
        <v>544</v>
      </c>
      <c r="B2892" s="65">
        <v>3090</v>
      </c>
      <c r="C2892" s="579" t="s">
        <v>281</v>
      </c>
      <c r="D2892" s="579"/>
      <c r="E2892" s="583"/>
      <c r="F2892" s="596"/>
      <c r="G2892" s="65">
        <v>0</v>
      </c>
      <c r="H2892" s="591" t="s">
        <v>280</v>
      </c>
      <c r="I2892" s="591" t="s">
        <v>280</v>
      </c>
    </row>
    <row r="2893" spans="1:9">
      <c r="A2893" s="582" t="s">
        <v>544</v>
      </c>
      <c r="B2893" s="65">
        <v>3091</v>
      </c>
      <c r="C2893" s="579" t="s">
        <v>281</v>
      </c>
      <c r="D2893" s="579"/>
      <c r="E2893" s="583"/>
      <c r="F2893" s="596"/>
      <c r="G2893" s="65">
        <v>0</v>
      </c>
      <c r="H2893" s="591" t="s">
        <v>280</v>
      </c>
      <c r="I2893" s="591" t="s">
        <v>280</v>
      </c>
    </row>
    <row r="2894" spans="1:9">
      <c r="A2894" s="582" t="s">
        <v>544</v>
      </c>
      <c r="B2894" s="65">
        <v>3092</v>
      </c>
      <c r="C2894" s="579" t="s">
        <v>281</v>
      </c>
      <c r="D2894" s="579"/>
      <c r="E2894" s="583"/>
      <c r="F2894" s="596"/>
      <c r="G2894" s="65">
        <v>0</v>
      </c>
      <c r="H2894" s="591" t="s">
        <v>280</v>
      </c>
      <c r="I2894" s="591" t="s">
        <v>280</v>
      </c>
    </row>
    <row r="2895" spans="1:9">
      <c r="A2895" s="582" t="s">
        <v>544</v>
      </c>
      <c r="B2895" s="65">
        <v>3093</v>
      </c>
      <c r="C2895" s="579" t="s">
        <v>281</v>
      </c>
      <c r="D2895" s="579"/>
      <c r="E2895" s="583"/>
      <c r="F2895" s="596"/>
      <c r="G2895" s="65">
        <v>0</v>
      </c>
      <c r="H2895" s="591" t="s">
        <v>280</v>
      </c>
      <c r="I2895" s="591" t="s">
        <v>280</v>
      </c>
    </row>
    <row r="2896" spans="1:9">
      <c r="A2896" s="582" t="s">
        <v>544</v>
      </c>
      <c r="B2896" s="65">
        <v>3094</v>
      </c>
      <c r="C2896" s="579" t="s">
        <v>281</v>
      </c>
      <c r="D2896" s="579"/>
      <c r="E2896" s="583"/>
      <c r="F2896" s="596"/>
      <c r="G2896" s="65">
        <v>0</v>
      </c>
      <c r="H2896" s="591" t="s">
        <v>280</v>
      </c>
      <c r="I2896" s="591" t="s">
        <v>280</v>
      </c>
    </row>
    <row r="2897" spans="1:10">
      <c r="A2897" s="582" t="s">
        <v>544</v>
      </c>
      <c r="B2897" s="65">
        <v>3095</v>
      </c>
      <c r="C2897" s="579" t="s">
        <v>281</v>
      </c>
      <c r="D2897" s="579"/>
      <c r="E2897" s="583"/>
      <c r="F2897" s="596"/>
      <c r="G2897" s="65">
        <v>0</v>
      </c>
      <c r="H2897" s="591" t="s">
        <v>280</v>
      </c>
      <c r="I2897" s="591" t="s">
        <v>280</v>
      </c>
    </row>
    <row r="2898" spans="1:10">
      <c r="A2898" s="582" t="s">
        <v>544</v>
      </c>
      <c r="B2898" s="65">
        <v>3096</v>
      </c>
      <c r="C2898" s="579" t="s">
        <v>281</v>
      </c>
      <c r="D2898" s="579"/>
      <c r="E2898" s="583"/>
      <c r="F2898" s="596"/>
      <c r="G2898" s="65">
        <v>0</v>
      </c>
      <c r="H2898" s="591" t="s">
        <v>280</v>
      </c>
      <c r="I2898" s="591" t="s">
        <v>280</v>
      </c>
    </row>
    <row r="2899" spans="1:10">
      <c r="A2899" s="582" t="s">
        <v>544</v>
      </c>
      <c r="B2899" s="65">
        <v>3097</v>
      </c>
      <c r="C2899" s="579" t="s">
        <v>281</v>
      </c>
      <c r="D2899" s="579"/>
      <c r="E2899" s="583"/>
      <c r="F2899" s="596"/>
      <c r="G2899" s="65">
        <v>0</v>
      </c>
      <c r="H2899" s="591" t="s">
        <v>280</v>
      </c>
      <c r="I2899" s="591" t="s">
        <v>280</v>
      </c>
    </row>
    <row r="2900" spans="1:10">
      <c r="A2900" s="582" t="s">
        <v>544</v>
      </c>
      <c r="B2900" s="65">
        <v>3098</v>
      </c>
      <c r="C2900" s="579" t="s">
        <v>281</v>
      </c>
      <c r="D2900" s="579"/>
      <c r="E2900" s="583"/>
      <c r="F2900" s="596"/>
      <c r="G2900" s="65">
        <v>0</v>
      </c>
      <c r="H2900" s="591" t="s">
        <v>280</v>
      </c>
      <c r="I2900" s="591" t="s">
        <v>280</v>
      </c>
    </row>
    <row r="2901" spans="1:10">
      <c r="A2901" s="582" t="s">
        <v>544</v>
      </c>
      <c r="B2901" s="65">
        <v>3099</v>
      </c>
      <c r="C2901" s="579" t="s">
        <v>281</v>
      </c>
      <c r="D2901" s="579"/>
      <c r="E2901" s="583"/>
      <c r="F2901" s="596"/>
      <c r="G2901" s="65">
        <v>0</v>
      </c>
      <c r="H2901" s="591" t="s">
        <v>280</v>
      </c>
      <c r="I2901" s="591" t="s">
        <v>280</v>
      </c>
    </row>
    <row r="2902" spans="1:10" ht="13.5">
      <c r="A2902" s="580" t="s">
        <v>553</v>
      </c>
      <c r="B2902" s="65">
        <v>3100</v>
      </c>
      <c r="C2902" s="63" t="s">
        <v>279</v>
      </c>
      <c r="D2902" s="63"/>
      <c r="E2902" s="586"/>
      <c r="F2902" s="585">
        <v>45535</v>
      </c>
      <c r="G2902" s="65">
        <v>1</v>
      </c>
      <c r="H2902" s="591" t="s">
        <v>280</v>
      </c>
      <c r="I2902" s="591" t="s">
        <v>280</v>
      </c>
      <c r="J2902" s="57"/>
    </row>
    <row r="2903" spans="1:10" ht="13.5">
      <c r="A2903" s="580" t="s">
        <v>553</v>
      </c>
      <c r="B2903" s="65">
        <v>3101</v>
      </c>
      <c r="C2903" s="63" t="s">
        <v>281</v>
      </c>
      <c r="D2903" s="63"/>
      <c r="E2903" s="586"/>
      <c r="F2903" s="599"/>
      <c r="G2903" s="65">
        <v>0</v>
      </c>
      <c r="H2903" s="591" t="s">
        <v>280</v>
      </c>
      <c r="I2903" s="591" t="s">
        <v>280</v>
      </c>
      <c r="J2903" s="57"/>
    </row>
    <row r="2904" spans="1:10" ht="13.5">
      <c r="A2904" s="580" t="s">
        <v>553</v>
      </c>
      <c r="B2904" s="65">
        <v>3102</v>
      </c>
      <c r="C2904" s="63" t="s">
        <v>281</v>
      </c>
      <c r="D2904" s="63"/>
      <c r="E2904" s="586"/>
      <c r="F2904" s="596"/>
      <c r="G2904" s="65">
        <v>0</v>
      </c>
      <c r="H2904" s="591" t="s">
        <v>280</v>
      </c>
      <c r="I2904" s="591" t="s">
        <v>280</v>
      </c>
      <c r="J2904" s="57"/>
    </row>
    <row r="2905" spans="1:10" ht="13.5">
      <c r="A2905" s="580" t="s">
        <v>553</v>
      </c>
      <c r="B2905" s="65">
        <v>3103</v>
      </c>
      <c r="C2905" s="63" t="s">
        <v>554</v>
      </c>
      <c r="D2905" s="65">
        <v>10661</v>
      </c>
      <c r="E2905" s="586"/>
      <c r="F2905" s="585">
        <v>45535</v>
      </c>
      <c r="G2905" s="65">
        <v>1</v>
      </c>
      <c r="H2905" s="591" t="s">
        <v>35</v>
      </c>
      <c r="I2905" s="591" t="s">
        <v>1655</v>
      </c>
      <c r="J2905" s="57"/>
    </row>
    <row r="2906" spans="1:10" ht="13.5">
      <c r="A2906" s="580" t="s">
        <v>553</v>
      </c>
      <c r="B2906" s="65">
        <v>3104</v>
      </c>
      <c r="C2906" s="63" t="s">
        <v>281</v>
      </c>
      <c r="D2906" s="63"/>
      <c r="E2906" s="586"/>
      <c r="F2906" s="599"/>
      <c r="G2906" s="65">
        <v>0</v>
      </c>
      <c r="H2906" s="591" t="s">
        <v>280</v>
      </c>
      <c r="I2906" s="591" t="s">
        <v>280</v>
      </c>
      <c r="J2906" s="57"/>
    </row>
    <row r="2907" spans="1:10" ht="13.5">
      <c r="A2907" s="580" t="s">
        <v>553</v>
      </c>
      <c r="B2907" s="65">
        <v>3105</v>
      </c>
      <c r="C2907" s="63" t="s">
        <v>281</v>
      </c>
      <c r="D2907" s="63"/>
      <c r="E2907" s="586"/>
      <c r="F2907" s="599"/>
      <c r="G2907" s="65">
        <v>0</v>
      </c>
      <c r="H2907" s="591" t="s">
        <v>280</v>
      </c>
      <c r="I2907" s="591" t="s">
        <v>280</v>
      </c>
      <c r="J2907" s="57"/>
    </row>
    <row r="2908" spans="1:10" ht="13.5">
      <c r="A2908" s="580" t="s">
        <v>553</v>
      </c>
      <c r="B2908" s="65">
        <v>3106</v>
      </c>
      <c r="C2908" s="63" t="s">
        <v>281</v>
      </c>
      <c r="D2908" s="579"/>
      <c r="E2908" s="62"/>
      <c r="F2908" s="596"/>
      <c r="G2908" s="65">
        <v>0</v>
      </c>
      <c r="H2908" s="591" t="s">
        <v>280</v>
      </c>
      <c r="I2908" s="591" t="s">
        <v>280</v>
      </c>
      <c r="J2908" s="57"/>
    </row>
    <row r="2909" spans="1:10" ht="13.5">
      <c r="A2909" s="580" t="s">
        <v>553</v>
      </c>
      <c r="B2909" s="65">
        <v>3107</v>
      </c>
      <c r="C2909" s="63" t="s">
        <v>281</v>
      </c>
      <c r="D2909" s="579"/>
      <c r="E2909" s="586"/>
      <c r="F2909" s="599"/>
      <c r="G2909" s="65">
        <v>0</v>
      </c>
      <c r="H2909" s="591" t="s">
        <v>280</v>
      </c>
      <c r="I2909" s="591" t="s">
        <v>280</v>
      </c>
      <c r="J2909" s="57"/>
    </row>
    <row r="2910" spans="1:10" ht="13.5">
      <c r="A2910" s="580" t="s">
        <v>553</v>
      </c>
      <c r="B2910" s="65">
        <v>3108</v>
      </c>
      <c r="C2910" s="63" t="s">
        <v>555</v>
      </c>
      <c r="D2910" s="63">
        <v>10068</v>
      </c>
      <c r="E2910" s="586"/>
      <c r="F2910" s="585">
        <v>45535</v>
      </c>
      <c r="G2910" s="65">
        <v>1</v>
      </c>
      <c r="H2910" s="591" t="s">
        <v>35</v>
      </c>
      <c r="I2910" s="591" t="s">
        <v>1655</v>
      </c>
      <c r="J2910" s="57"/>
    </row>
    <row r="2911" spans="1:10" ht="13.5">
      <c r="A2911" s="580" t="s">
        <v>553</v>
      </c>
      <c r="B2911" s="65">
        <v>3109</v>
      </c>
      <c r="C2911" s="63" t="s">
        <v>281</v>
      </c>
      <c r="D2911" s="63"/>
      <c r="E2911" s="586"/>
      <c r="F2911" s="599"/>
      <c r="G2911" s="65">
        <v>0</v>
      </c>
      <c r="H2911" s="591" t="s">
        <v>280</v>
      </c>
      <c r="I2911" s="591" t="s">
        <v>280</v>
      </c>
      <c r="J2911" s="57"/>
    </row>
    <row r="2912" spans="1:10" ht="13.5">
      <c r="A2912" s="580" t="s">
        <v>553</v>
      </c>
      <c r="B2912" s="65">
        <v>3110</v>
      </c>
      <c r="C2912" s="63" t="s">
        <v>281</v>
      </c>
      <c r="D2912" s="63"/>
      <c r="E2912" s="586"/>
      <c r="F2912" s="596"/>
      <c r="G2912" s="65">
        <v>0</v>
      </c>
      <c r="H2912" s="591" t="s">
        <v>280</v>
      </c>
      <c r="I2912" s="591" t="s">
        <v>280</v>
      </c>
      <c r="J2912" s="57"/>
    </row>
    <row r="2913" spans="1:10" ht="13.5">
      <c r="A2913" s="580" t="s">
        <v>553</v>
      </c>
      <c r="B2913" s="65">
        <v>3111</v>
      </c>
      <c r="C2913" s="63" t="s">
        <v>281</v>
      </c>
      <c r="D2913" s="63"/>
      <c r="E2913" s="586"/>
      <c r="F2913" s="596"/>
      <c r="G2913" s="65">
        <v>0</v>
      </c>
      <c r="H2913" s="591" t="s">
        <v>280</v>
      </c>
      <c r="I2913" s="591" t="s">
        <v>280</v>
      </c>
      <c r="J2913" s="57"/>
    </row>
    <row r="2914" spans="1:10" ht="13.5">
      <c r="A2914" s="580" t="s">
        <v>553</v>
      </c>
      <c r="B2914" s="65">
        <v>3112</v>
      </c>
      <c r="C2914" s="63" t="s">
        <v>281</v>
      </c>
      <c r="D2914" s="63"/>
      <c r="E2914" s="586"/>
      <c r="F2914" s="599"/>
      <c r="G2914" s="65">
        <v>0</v>
      </c>
      <c r="H2914" s="591" t="s">
        <v>280</v>
      </c>
      <c r="I2914" s="591" t="s">
        <v>280</v>
      </c>
      <c r="J2914" s="57"/>
    </row>
    <row r="2915" spans="1:10" ht="13.5">
      <c r="A2915" s="580" t="s">
        <v>553</v>
      </c>
      <c r="B2915" s="65">
        <v>3113</v>
      </c>
      <c r="C2915" s="63" t="s">
        <v>281</v>
      </c>
      <c r="D2915" s="63"/>
      <c r="E2915" s="586"/>
      <c r="F2915" s="596"/>
      <c r="G2915" s="65">
        <v>0</v>
      </c>
      <c r="H2915" s="591" t="s">
        <v>280</v>
      </c>
      <c r="I2915" s="591" t="s">
        <v>280</v>
      </c>
      <c r="J2915" s="57"/>
    </row>
    <row r="2916" spans="1:10" ht="13.5">
      <c r="A2916" s="580" t="s">
        <v>553</v>
      </c>
      <c r="B2916" s="65">
        <v>3114</v>
      </c>
      <c r="C2916" s="63" t="s">
        <v>281</v>
      </c>
      <c r="D2916" s="579"/>
      <c r="E2916" s="586"/>
      <c r="F2916" s="596"/>
      <c r="G2916" s="65">
        <v>0</v>
      </c>
      <c r="H2916" s="591" t="s">
        <v>280</v>
      </c>
      <c r="I2916" s="591" t="s">
        <v>280</v>
      </c>
      <c r="J2916" s="57"/>
    </row>
    <row r="2917" spans="1:10" ht="13.5">
      <c r="A2917" s="580" t="s">
        <v>553</v>
      </c>
      <c r="B2917" s="65">
        <v>3115</v>
      </c>
      <c r="C2917" s="63" t="s">
        <v>281</v>
      </c>
      <c r="D2917" s="63"/>
      <c r="E2917" s="586"/>
      <c r="F2917" s="599"/>
      <c r="G2917" s="65">
        <v>0</v>
      </c>
      <c r="H2917" s="591" t="s">
        <v>280</v>
      </c>
      <c r="I2917" s="591" t="s">
        <v>280</v>
      </c>
      <c r="J2917" s="57"/>
    </row>
    <row r="2918" spans="1:10" ht="13.5">
      <c r="A2918" s="580" t="s">
        <v>553</v>
      </c>
      <c r="B2918" s="65">
        <v>3116</v>
      </c>
      <c r="C2918" s="63" t="s">
        <v>281</v>
      </c>
      <c r="D2918" s="63"/>
      <c r="E2918" s="586"/>
      <c r="F2918" s="599"/>
      <c r="G2918" s="65">
        <v>0</v>
      </c>
      <c r="H2918" s="591" t="s">
        <v>280</v>
      </c>
      <c r="I2918" s="591" t="s">
        <v>280</v>
      </c>
      <c r="J2918" s="57"/>
    </row>
    <row r="2919" spans="1:10" ht="13.5">
      <c r="A2919" s="580" t="s">
        <v>553</v>
      </c>
      <c r="B2919" s="65">
        <v>3117</v>
      </c>
      <c r="C2919" s="63" t="s">
        <v>557</v>
      </c>
      <c r="D2919" s="579">
        <v>10213</v>
      </c>
      <c r="E2919" s="586"/>
      <c r="F2919" s="585">
        <v>45535</v>
      </c>
      <c r="G2919" s="65">
        <v>1</v>
      </c>
      <c r="H2919" s="591" t="s">
        <v>35</v>
      </c>
      <c r="I2919" s="591" t="s">
        <v>1655</v>
      </c>
      <c r="J2919" s="57"/>
    </row>
    <row r="2920" spans="1:10" ht="13.5">
      <c r="A2920" s="580" t="s">
        <v>553</v>
      </c>
      <c r="B2920" s="65">
        <v>3118</v>
      </c>
      <c r="C2920" s="63" t="s">
        <v>281</v>
      </c>
      <c r="D2920" s="63"/>
      <c r="E2920" s="586"/>
      <c r="F2920" s="599"/>
      <c r="G2920" s="65">
        <v>0</v>
      </c>
      <c r="H2920" s="591" t="s">
        <v>280</v>
      </c>
      <c r="I2920" s="591" t="s">
        <v>280</v>
      </c>
      <c r="J2920" s="57"/>
    </row>
    <row r="2921" spans="1:10" ht="13.5">
      <c r="A2921" s="580" t="s">
        <v>553</v>
      </c>
      <c r="B2921" s="65">
        <v>3119</v>
      </c>
      <c r="C2921" s="63" t="s">
        <v>281</v>
      </c>
      <c r="D2921" s="63"/>
      <c r="E2921" s="586"/>
      <c r="F2921" s="599"/>
      <c r="G2921" s="65">
        <v>0</v>
      </c>
      <c r="H2921" s="591" t="s">
        <v>280</v>
      </c>
      <c r="I2921" s="591" t="s">
        <v>280</v>
      </c>
      <c r="J2921" s="57"/>
    </row>
    <row r="2922" spans="1:10" ht="13.5">
      <c r="A2922" s="580" t="s">
        <v>553</v>
      </c>
      <c r="B2922" s="65">
        <v>3120</v>
      </c>
      <c r="C2922" s="63" t="s">
        <v>558</v>
      </c>
      <c r="D2922" s="63">
        <v>10236</v>
      </c>
      <c r="E2922" s="586"/>
      <c r="F2922" s="585">
        <v>45535</v>
      </c>
      <c r="G2922" s="65">
        <v>1</v>
      </c>
      <c r="H2922" s="591" t="s">
        <v>280</v>
      </c>
      <c r="I2922" s="591" t="s">
        <v>280</v>
      </c>
      <c r="J2922" s="57"/>
    </row>
    <row r="2923" spans="1:10" ht="13.5">
      <c r="A2923" s="580" t="s">
        <v>553</v>
      </c>
      <c r="B2923" s="65">
        <v>3121</v>
      </c>
      <c r="C2923" s="63" t="s">
        <v>281</v>
      </c>
      <c r="D2923" s="63"/>
      <c r="E2923" s="62"/>
      <c r="F2923" s="596"/>
      <c r="G2923" s="65">
        <v>0</v>
      </c>
      <c r="H2923" s="591" t="s">
        <v>280</v>
      </c>
      <c r="I2923" s="591" t="s">
        <v>280</v>
      </c>
      <c r="J2923" s="57"/>
    </row>
    <row r="2924" spans="1:10" ht="13.5">
      <c r="A2924" s="580" t="s">
        <v>553</v>
      </c>
      <c r="B2924" s="65">
        <v>3122</v>
      </c>
      <c r="C2924" s="63" t="s">
        <v>281</v>
      </c>
      <c r="D2924" s="63"/>
      <c r="E2924" s="62"/>
      <c r="F2924" s="596"/>
      <c r="G2924" s="65">
        <v>0</v>
      </c>
      <c r="H2924" s="591" t="s">
        <v>280</v>
      </c>
      <c r="I2924" s="591" t="s">
        <v>280</v>
      </c>
      <c r="J2924" s="57"/>
    </row>
    <row r="2925" spans="1:10" ht="13.5">
      <c r="A2925" s="580" t="s">
        <v>553</v>
      </c>
      <c r="B2925" s="65">
        <v>3123</v>
      </c>
      <c r="C2925" s="63" t="s">
        <v>281</v>
      </c>
      <c r="D2925" s="63"/>
      <c r="E2925" s="62"/>
      <c r="F2925" s="599"/>
      <c r="G2925" s="65">
        <v>0</v>
      </c>
      <c r="H2925" s="591" t="s">
        <v>280</v>
      </c>
      <c r="I2925" s="591" t="s">
        <v>280</v>
      </c>
      <c r="J2925" s="57"/>
    </row>
    <row r="2926" spans="1:10" ht="13.5">
      <c r="A2926" s="580" t="s">
        <v>553</v>
      </c>
      <c r="B2926" s="65">
        <v>3124</v>
      </c>
      <c r="C2926" s="63" t="s">
        <v>281</v>
      </c>
      <c r="D2926" s="63"/>
      <c r="E2926" s="62"/>
      <c r="F2926" s="599"/>
      <c r="G2926" s="65">
        <v>0</v>
      </c>
      <c r="H2926" s="591" t="s">
        <v>280</v>
      </c>
      <c r="I2926" s="591" t="s">
        <v>280</v>
      </c>
      <c r="J2926" s="57"/>
    </row>
    <row r="2927" spans="1:10" ht="13.5">
      <c r="A2927" s="580" t="s">
        <v>553</v>
      </c>
      <c r="B2927" s="65">
        <v>3125</v>
      </c>
      <c r="C2927" s="63" t="s">
        <v>281</v>
      </c>
      <c r="D2927" s="63"/>
      <c r="E2927" s="62"/>
      <c r="F2927" s="599"/>
      <c r="G2927" s="65">
        <v>0</v>
      </c>
      <c r="H2927" s="591" t="s">
        <v>280</v>
      </c>
      <c r="I2927" s="591" t="s">
        <v>280</v>
      </c>
      <c r="J2927" s="57"/>
    </row>
    <row r="2928" spans="1:10" ht="12.75">
      <c r="A2928" s="580" t="s">
        <v>553</v>
      </c>
      <c r="B2928" s="65">
        <v>3126</v>
      </c>
      <c r="C2928" s="63" t="s">
        <v>281</v>
      </c>
      <c r="D2928" s="63"/>
      <c r="E2928" s="62"/>
      <c r="F2928" s="599"/>
      <c r="G2928" s="65">
        <v>0</v>
      </c>
      <c r="H2928" s="591" t="s">
        <v>280</v>
      </c>
      <c r="I2928" s="591" t="s">
        <v>280</v>
      </c>
    </row>
    <row r="2929" spans="1:9" ht="12.75">
      <c r="A2929" s="580" t="s">
        <v>553</v>
      </c>
      <c r="B2929" s="65">
        <v>3127</v>
      </c>
      <c r="C2929" s="63" t="s">
        <v>281</v>
      </c>
      <c r="D2929" s="63"/>
      <c r="E2929" s="62"/>
      <c r="F2929" s="599"/>
      <c r="G2929" s="65">
        <v>0</v>
      </c>
      <c r="H2929" s="591" t="s">
        <v>280</v>
      </c>
      <c r="I2929" s="591" t="s">
        <v>280</v>
      </c>
    </row>
    <row r="2930" spans="1:9" ht="12.75">
      <c r="A2930" s="580" t="s">
        <v>553</v>
      </c>
      <c r="B2930" s="65">
        <v>3128</v>
      </c>
      <c r="C2930" s="63" t="s">
        <v>281</v>
      </c>
      <c r="D2930" s="63"/>
      <c r="E2930" s="62"/>
      <c r="F2930" s="599"/>
      <c r="G2930" s="65">
        <v>0</v>
      </c>
      <c r="H2930" s="591" t="s">
        <v>280</v>
      </c>
      <c r="I2930" s="591" t="s">
        <v>280</v>
      </c>
    </row>
    <row r="2931" spans="1:9" ht="12.75">
      <c r="A2931" s="580" t="s">
        <v>553</v>
      </c>
      <c r="B2931" s="65">
        <v>3129</v>
      </c>
      <c r="C2931" s="63" t="s">
        <v>281</v>
      </c>
      <c r="D2931" s="63"/>
      <c r="E2931" s="62"/>
      <c r="F2931" s="599"/>
      <c r="G2931" s="65">
        <v>0</v>
      </c>
      <c r="H2931" s="591" t="s">
        <v>280</v>
      </c>
      <c r="I2931" s="591" t="s">
        <v>280</v>
      </c>
    </row>
    <row r="2932" spans="1:9" ht="12.75">
      <c r="A2932" s="580" t="s">
        <v>553</v>
      </c>
      <c r="B2932" s="65">
        <v>3130</v>
      </c>
      <c r="C2932" s="63" t="s">
        <v>281</v>
      </c>
      <c r="D2932" s="63"/>
      <c r="E2932" s="62"/>
      <c r="F2932" s="599"/>
      <c r="G2932" s="65">
        <v>0</v>
      </c>
      <c r="H2932" s="591" t="s">
        <v>280</v>
      </c>
      <c r="I2932" s="591" t="s">
        <v>280</v>
      </c>
    </row>
    <row r="2933" spans="1:9" ht="12.75">
      <c r="A2933" s="580" t="s">
        <v>553</v>
      </c>
      <c r="B2933" s="65">
        <v>3131</v>
      </c>
      <c r="C2933" s="63" t="s">
        <v>281</v>
      </c>
      <c r="D2933" s="63"/>
      <c r="E2933" s="62"/>
      <c r="F2933" s="599"/>
      <c r="G2933" s="65">
        <v>0</v>
      </c>
      <c r="H2933" s="591" t="s">
        <v>280</v>
      </c>
      <c r="I2933" s="591" t="s">
        <v>280</v>
      </c>
    </row>
    <row r="2934" spans="1:9" ht="12.75">
      <c r="A2934" s="580" t="s">
        <v>553</v>
      </c>
      <c r="B2934" s="65">
        <v>3132</v>
      </c>
      <c r="C2934" s="63" t="s">
        <v>281</v>
      </c>
      <c r="D2934" s="63"/>
      <c r="E2934" s="62"/>
      <c r="F2934" s="599"/>
      <c r="G2934" s="65">
        <v>0</v>
      </c>
      <c r="H2934" s="591" t="s">
        <v>280</v>
      </c>
      <c r="I2934" s="591" t="s">
        <v>280</v>
      </c>
    </row>
    <row r="2935" spans="1:9" ht="12.75">
      <c r="A2935" s="580" t="s">
        <v>553</v>
      </c>
      <c r="B2935" s="65">
        <v>3133</v>
      </c>
      <c r="C2935" s="63" t="s">
        <v>281</v>
      </c>
      <c r="D2935" s="63"/>
      <c r="E2935" s="62"/>
      <c r="F2935" s="599"/>
      <c r="G2935" s="65">
        <v>0</v>
      </c>
      <c r="H2935" s="591" t="s">
        <v>280</v>
      </c>
      <c r="I2935" s="591" t="s">
        <v>280</v>
      </c>
    </row>
    <row r="2936" spans="1:9" ht="12.75">
      <c r="A2936" s="580" t="s">
        <v>553</v>
      </c>
      <c r="B2936" s="65">
        <v>3134</v>
      </c>
      <c r="C2936" s="63" t="s">
        <v>559</v>
      </c>
      <c r="D2936" s="65">
        <v>10697</v>
      </c>
      <c r="E2936" s="62"/>
      <c r="F2936" s="585">
        <v>45535</v>
      </c>
      <c r="G2936" s="65">
        <v>1</v>
      </c>
      <c r="H2936" s="591" t="s">
        <v>35</v>
      </c>
      <c r="I2936" s="591" t="s">
        <v>1655</v>
      </c>
    </row>
    <row r="2937" spans="1:9" ht="12.75">
      <c r="A2937" s="580" t="s">
        <v>553</v>
      </c>
      <c r="B2937" s="65">
        <v>3135</v>
      </c>
      <c r="C2937" s="63" t="s">
        <v>281</v>
      </c>
      <c r="D2937" s="63"/>
      <c r="E2937" s="62"/>
      <c r="F2937" s="599"/>
      <c r="G2937" s="65">
        <v>0</v>
      </c>
      <c r="H2937" s="591" t="s">
        <v>280</v>
      </c>
      <c r="I2937" s="591" t="s">
        <v>280</v>
      </c>
    </row>
    <row r="2938" spans="1:9" ht="12.75">
      <c r="A2938" s="580" t="s">
        <v>553</v>
      </c>
      <c r="B2938" s="65">
        <v>3136</v>
      </c>
      <c r="C2938" s="63" t="s">
        <v>281</v>
      </c>
      <c r="D2938" s="63"/>
      <c r="E2938" s="62"/>
      <c r="F2938" s="599"/>
      <c r="G2938" s="65">
        <v>0</v>
      </c>
      <c r="H2938" s="591" t="s">
        <v>280</v>
      </c>
      <c r="I2938" s="591" t="s">
        <v>280</v>
      </c>
    </row>
    <row r="2939" spans="1:9" ht="12.75">
      <c r="A2939" s="580" t="s">
        <v>553</v>
      </c>
      <c r="B2939" s="65">
        <v>3137</v>
      </c>
      <c r="C2939" s="63" t="s">
        <v>281</v>
      </c>
      <c r="D2939" s="63"/>
      <c r="E2939" s="62"/>
      <c r="F2939" s="599"/>
      <c r="G2939" s="65">
        <v>0</v>
      </c>
      <c r="H2939" s="591" t="s">
        <v>280</v>
      </c>
      <c r="I2939" s="591" t="s">
        <v>280</v>
      </c>
    </row>
    <row r="2940" spans="1:9" ht="12.75">
      <c r="A2940" s="580" t="s">
        <v>553</v>
      </c>
      <c r="B2940" s="65">
        <v>3138</v>
      </c>
      <c r="C2940" s="63" t="s">
        <v>281</v>
      </c>
      <c r="D2940" s="63"/>
      <c r="E2940" s="62"/>
      <c r="F2940" s="599"/>
      <c r="G2940" s="65">
        <v>0</v>
      </c>
      <c r="H2940" s="591" t="s">
        <v>280</v>
      </c>
      <c r="I2940" s="591" t="s">
        <v>280</v>
      </c>
    </row>
    <row r="2941" spans="1:9" ht="12.75">
      <c r="A2941" s="580" t="s">
        <v>553</v>
      </c>
      <c r="B2941" s="65">
        <v>3139</v>
      </c>
      <c r="C2941" s="63" t="s">
        <v>281</v>
      </c>
      <c r="D2941" s="63"/>
      <c r="E2941" s="62"/>
      <c r="F2941" s="599"/>
      <c r="G2941" s="65">
        <v>0</v>
      </c>
      <c r="H2941" s="591" t="s">
        <v>280</v>
      </c>
      <c r="I2941" s="591" t="s">
        <v>280</v>
      </c>
    </row>
    <row r="2942" spans="1:9" ht="12.75">
      <c r="A2942" s="580" t="s">
        <v>553</v>
      </c>
      <c r="B2942" s="65">
        <v>3140</v>
      </c>
      <c r="C2942" s="63" t="s">
        <v>560</v>
      </c>
      <c r="D2942" s="63">
        <v>10102</v>
      </c>
      <c r="E2942" s="62"/>
      <c r="F2942" s="585">
        <v>45535</v>
      </c>
      <c r="G2942" s="65">
        <v>1</v>
      </c>
      <c r="H2942" s="591" t="s">
        <v>280</v>
      </c>
      <c r="I2942" s="591" t="s">
        <v>280</v>
      </c>
    </row>
    <row r="2943" spans="1:9" ht="12.75">
      <c r="A2943" s="580" t="s">
        <v>553</v>
      </c>
      <c r="B2943" s="65">
        <v>3141</v>
      </c>
      <c r="C2943" s="63" t="s">
        <v>281</v>
      </c>
      <c r="D2943" s="63"/>
      <c r="E2943" s="62"/>
      <c r="F2943" s="599"/>
      <c r="G2943" s="65">
        <v>0</v>
      </c>
      <c r="H2943" s="591" t="s">
        <v>280</v>
      </c>
      <c r="I2943" s="591" t="s">
        <v>280</v>
      </c>
    </row>
    <row r="2944" spans="1:9" ht="12.75">
      <c r="A2944" s="580" t="s">
        <v>553</v>
      </c>
      <c r="B2944" s="65">
        <v>3142</v>
      </c>
      <c r="C2944" s="63" t="s">
        <v>281</v>
      </c>
      <c r="D2944" s="63"/>
      <c r="E2944" s="62"/>
      <c r="F2944" s="599"/>
      <c r="G2944" s="65">
        <v>0</v>
      </c>
      <c r="H2944" s="591" t="s">
        <v>280</v>
      </c>
      <c r="I2944" s="591" t="s">
        <v>280</v>
      </c>
    </row>
    <row r="2945" spans="1:9" ht="12.75">
      <c r="A2945" s="580" t="s">
        <v>553</v>
      </c>
      <c r="B2945" s="65">
        <v>3143</v>
      </c>
      <c r="C2945" s="63" t="s">
        <v>281</v>
      </c>
      <c r="D2945" s="63"/>
      <c r="E2945" s="62"/>
      <c r="F2945" s="599"/>
      <c r="G2945" s="65">
        <v>0</v>
      </c>
      <c r="H2945" s="591" t="s">
        <v>280</v>
      </c>
      <c r="I2945" s="591" t="s">
        <v>280</v>
      </c>
    </row>
    <row r="2946" spans="1:9" ht="12.75">
      <c r="A2946" s="580" t="s">
        <v>553</v>
      </c>
      <c r="B2946" s="65">
        <v>3144</v>
      </c>
      <c r="C2946" s="63" t="s">
        <v>281</v>
      </c>
      <c r="D2946" s="63"/>
      <c r="E2946" s="62"/>
      <c r="F2946" s="599"/>
      <c r="G2946" s="65">
        <v>0</v>
      </c>
      <c r="H2946" s="591" t="s">
        <v>280</v>
      </c>
      <c r="I2946" s="591" t="s">
        <v>280</v>
      </c>
    </row>
    <row r="2947" spans="1:9" ht="12.75">
      <c r="A2947" s="580" t="s">
        <v>553</v>
      </c>
      <c r="B2947" s="65">
        <v>3145</v>
      </c>
      <c r="C2947" s="63" t="s">
        <v>281</v>
      </c>
      <c r="D2947" s="63"/>
      <c r="E2947" s="62"/>
      <c r="F2947" s="596"/>
      <c r="G2947" s="65">
        <v>0</v>
      </c>
      <c r="H2947" s="591" t="s">
        <v>280</v>
      </c>
      <c r="I2947" s="591" t="s">
        <v>280</v>
      </c>
    </row>
    <row r="2948" spans="1:9" ht="12.75">
      <c r="A2948" s="580" t="s">
        <v>553</v>
      </c>
      <c r="B2948" s="65">
        <v>3146</v>
      </c>
      <c r="C2948" s="63" t="s">
        <v>281</v>
      </c>
      <c r="D2948" s="63"/>
      <c r="E2948" s="62"/>
      <c r="F2948" s="599"/>
      <c r="G2948" s="65">
        <v>0</v>
      </c>
      <c r="H2948" s="591" t="s">
        <v>280</v>
      </c>
      <c r="I2948" s="591" t="s">
        <v>280</v>
      </c>
    </row>
    <row r="2949" spans="1:9" ht="12.75">
      <c r="A2949" s="580" t="s">
        <v>553</v>
      </c>
      <c r="B2949" s="65">
        <v>3147</v>
      </c>
      <c r="C2949" s="63" t="s">
        <v>281</v>
      </c>
      <c r="D2949" s="63"/>
      <c r="E2949" s="62"/>
      <c r="F2949" s="599"/>
      <c r="G2949" s="65">
        <v>0</v>
      </c>
      <c r="H2949" s="591" t="s">
        <v>280</v>
      </c>
      <c r="I2949" s="591" t="s">
        <v>280</v>
      </c>
    </row>
    <row r="2950" spans="1:9" ht="12.75">
      <c r="A2950" s="580" t="s">
        <v>553</v>
      </c>
      <c r="B2950" s="65">
        <v>3148</v>
      </c>
      <c r="C2950" s="63" t="s">
        <v>281</v>
      </c>
      <c r="D2950" s="63"/>
      <c r="E2950" s="62"/>
      <c r="F2950" s="599"/>
      <c r="G2950" s="65">
        <v>0</v>
      </c>
      <c r="H2950" s="591" t="s">
        <v>280</v>
      </c>
      <c r="I2950" s="591" t="s">
        <v>280</v>
      </c>
    </row>
    <row r="2951" spans="1:9" ht="12.75">
      <c r="A2951" s="580" t="s">
        <v>553</v>
      </c>
      <c r="B2951" s="65">
        <v>3149</v>
      </c>
      <c r="C2951" s="63" t="s">
        <v>281</v>
      </c>
      <c r="D2951" s="63"/>
      <c r="E2951" s="62"/>
      <c r="F2951" s="599"/>
      <c r="G2951" s="65">
        <v>0</v>
      </c>
      <c r="H2951" s="591" t="s">
        <v>280</v>
      </c>
      <c r="I2951" s="591" t="s">
        <v>280</v>
      </c>
    </row>
    <row r="2952" spans="1:9" ht="12.75">
      <c r="A2952" s="580" t="s">
        <v>553</v>
      </c>
      <c r="B2952" s="65">
        <v>3150</v>
      </c>
      <c r="C2952" s="63" t="s">
        <v>281</v>
      </c>
      <c r="D2952" s="63"/>
      <c r="E2952" s="62"/>
      <c r="F2952" s="599"/>
      <c r="G2952" s="65">
        <v>0</v>
      </c>
      <c r="H2952" s="591" t="s">
        <v>280</v>
      </c>
      <c r="I2952" s="591" t="s">
        <v>280</v>
      </c>
    </row>
    <row r="2953" spans="1:9" ht="12.75">
      <c r="A2953" s="580" t="s">
        <v>553</v>
      </c>
      <c r="B2953" s="65">
        <v>3151</v>
      </c>
      <c r="C2953" s="63" t="s">
        <v>281</v>
      </c>
      <c r="D2953" s="63"/>
      <c r="E2953" s="62"/>
      <c r="F2953" s="599"/>
      <c r="G2953" s="65">
        <v>0</v>
      </c>
      <c r="H2953" s="591" t="s">
        <v>280</v>
      </c>
      <c r="I2953" s="591" t="s">
        <v>280</v>
      </c>
    </row>
    <row r="2954" spans="1:9" ht="12.75">
      <c r="A2954" s="580" t="s">
        <v>553</v>
      </c>
      <c r="B2954" s="65">
        <v>3152</v>
      </c>
      <c r="C2954" s="63" t="s">
        <v>561</v>
      </c>
      <c r="D2954" s="65">
        <v>10487</v>
      </c>
      <c r="E2954" s="62"/>
      <c r="F2954" s="585">
        <v>45535</v>
      </c>
      <c r="G2954" s="65">
        <v>1</v>
      </c>
      <c r="H2954" s="591" t="s">
        <v>35</v>
      </c>
      <c r="I2954" s="591" t="s">
        <v>1655</v>
      </c>
    </row>
    <row r="2955" spans="1:9">
      <c r="A2955" s="580" t="s">
        <v>553</v>
      </c>
      <c r="B2955" s="65">
        <v>3153</v>
      </c>
      <c r="C2955" s="63" t="s">
        <v>281</v>
      </c>
      <c r="D2955" s="63"/>
      <c r="E2955" s="583"/>
      <c r="F2955" s="599"/>
      <c r="G2955" s="65">
        <v>0</v>
      </c>
      <c r="H2955" s="591" t="s">
        <v>280</v>
      </c>
      <c r="I2955" s="591" t="s">
        <v>280</v>
      </c>
    </row>
    <row r="2956" spans="1:9">
      <c r="A2956" s="580" t="s">
        <v>553</v>
      </c>
      <c r="B2956" s="65">
        <v>3154</v>
      </c>
      <c r="C2956" s="63" t="s">
        <v>562</v>
      </c>
      <c r="D2956" s="63">
        <v>10609</v>
      </c>
      <c r="E2956" s="583"/>
      <c r="F2956" s="585">
        <v>45535</v>
      </c>
      <c r="G2956" s="65">
        <v>1</v>
      </c>
      <c r="H2956" s="591" t="s">
        <v>35</v>
      </c>
      <c r="I2956" s="591" t="s">
        <v>1655</v>
      </c>
    </row>
    <row r="2957" spans="1:9">
      <c r="A2957" s="580" t="s">
        <v>553</v>
      </c>
      <c r="B2957" s="65">
        <v>3155</v>
      </c>
      <c r="C2957" s="63" t="s">
        <v>281</v>
      </c>
      <c r="D2957" s="63"/>
      <c r="E2957" s="583"/>
      <c r="F2957" s="599"/>
      <c r="G2957" s="65">
        <v>0</v>
      </c>
      <c r="H2957" s="591" t="s">
        <v>280</v>
      </c>
      <c r="I2957" s="591" t="s">
        <v>280</v>
      </c>
    </row>
    <row r="2958" spans="1:9">
      <c r="A2958" s="580" t="s">
        <v>553</v>
      </c>
      <c r="B2958" s="65">
        <v>3156</v>
      </c>
      <c r="C2958" s="63" t="s">
        <v>281</v>
      </c>
      <c r="D2958" s="579"/>
      <c r="E2958" s="583"/>
      <c r="F2958" s="599"/>
      <c r="G2958" s="65">
        <v>0</v>
      </c>
      <c r="H2958" s="591" t="s">
        <v>280</v>
      </c>
      <c r="I2958" s="591" t="s">
        <v>280</v>
      </c>
    </row>
    <row r="2959" spans="1:9">
      <c r="A2959" s="580" t="s">
        <v>553</v>
      </c>
      <c r="B2959" s="65">
        <v>3157</v>
      </c>
      <c r="C2959" s="63" t="s">
        <v>281</v>
      </c>
      <c r="D2959" s="579"/>
      <c r="E2959" s="583"/>
      <c r="F2959" s="596"/>
      <c r="G2959" s="65">
        <v>0</v>
      </c>
      <c r="H2959" s="591" t="s">
        <v>280</v>
      </c>
      <c r="I2959" s="591" t="s">
        <v>280</v>
      </c>
    </row>
    <row r="2960" spans="1:9">
      <c r="A2960" s="580" t="s">
        <v>553</v>
      </c>
      <c r="B2960" s="65">
        <v>3158</v>
      </c>
      <c r="C2960" s="63" t="s">
        <v>563</v>
      </c>
      <c r="D2960" s="65">
        <v>10550</v>
      </c>
      <c r="E2960" s="583"/>
      <c r="F2960" s="585">
        <v>45535</v>
      </c>
      <c r="G2960" s="65">
        <v>1</v>
      </c>
      <c r="H2960" s="591" t="s">
        <v>35</v>
      </c>
      <c r="I2960" s="591" t="s">
        <v>1655</v>
      </c>
    </row>
    <row r="2961" spans="1:9">
      <c r="A2961" s="580" t="s">
        <v>553</v>
      </c>
      <c r="B2961" s="65">
        <v>3159</v>
      </c>
      <c r="C2961" s="579" t="s">
        <v>564</v>
      </c>
      <c r="D2961" s="65">
        <v>10484</v>
      </c>
      <c r="E2961" s="583"/>
      <c r="F2961" s="585">
        <v>45535</v>
      </c>
      <c r="G2961" s="65">
        <v>1</v>
      </c>
      <c r="H2961" s="591" t="s">
        <v>280</v>
      </c>
      <c r="I2961" s="591" t="s">
        <v>280</v>
      </c>
    </row>
    <row r="2962" spans="1:9">
      <c r="A2962" s="580" t="s">
        <v>553</v>
      </c>
      <c r="B2962" s="65">
        <v>3160</v>
      </c>
      <c r="C2962" s="579" t="s">
        <v>565</v>
      </c>
      <c r="D2962" s="63">
        <v>10498</v>
      </c>
      <c r="E2962" s="583"/>
      <c r="F2962" s="585">
        <v>45535</v>
      </c>
      <c r="G2962" s="65">
        <v>1</v>
      </c>
      <c r="H2962" s="591" t="s">
        <v>35</v>
      </c>
      <c r="I2962" s="591" t="s">
        <v>1655</v>
      </c>
    </row>
    <row r="2963" spans="1:9">
      <c r="A2963" s="580" t="s">
        <v>553</v>
      </c>
      <c r="B2963" s="65">
        <v>3161</v>
      </c>
      <c r="C2963" s="65" t="s">
        <v>281</v>
      </c>
      <c r="D2963" s="65"/>
      <c r="E2963" s="583"/>
      <c r="F2963" s="596"/>
      <c r="G2963" s="65">
        <v>0</v>
      </c>
      <c r="H2963" s="591" t="s">
        <v>280</v>
      </c>
      <c r="I2963" s="591" t="s">
        <v>280</v>
      </c>
    </row>
    <row r="2964" spans="1:9">
      <c r="A2964" s="580" t="s">
        <v>553</v>
      </c>
      <c r="B2964" s="65">
        <v>3162</v>
      </c>
      <c r="C2964" s="65" t="s">
        <v>409</v>
      </c>
      <c r="D2964" s="65">
        <v>10868</v>
      </c>
      <c r="E2964" s="583"/>
      <c r="F2964" s="585">
        <v>45535</v>
      </c>
      <c r="G2964" s="65">
        <v>1</v>
      </c>
      <c r="H2964" s="591" t="s">
        <v>35</v>
      </c>
      <c r="I2964" s="591" t="s">
        <v>1655</v>
      </c>
    </row>
    <row r="2965" spans="1:9">
      <c r="A2965" s="580" t="s">
        <v>553</v>
      </c>
      <c r="B2965" s="65">
        <v>3163</v>
      </c>
      <c r="C2965" s="65" t="s">
        <v>1802</v>
      </c>
      <c r="D2965" s="65">
        <v>10869</v>
      </c>
      <c r="E2965" s="583"/>
      <c r="F2965" s="585">
        <v>45535</v>
      </c>
      <c r="G2965" s="65">
        <v>1</v>
      </c>
      <c r="H2965" s="591" t="s">
        <v>280</v>
      </c>
      <c r="I2965" s="591" t="s">
        <v>280</v>
      </c>
    </row>
    <row r="2966" spans="1:9">
      <c r="A2966" s="580" t="s">
        <v>553</v>
      </c>
      <c r="B2966" s="65">
        <v>3164</v>
      </c>
      <c r="C2966" s="65" t="s">
        <v>1803</v>
      </c>
      <c r="D2966" s="65">
        <v>10902</v>
      </c>
      <c r="E2966" s="583"/>
      <c r="F2966" s="585">
        <v>45535</v>
      </c>
      <c r="G2966" s="65">
        <v>1</v>
      </c>
      <c r="H2966" s="591" t="s">
        <v>35</v>
      </c>
      <c r="I2966" s="591" t="s">
        <v>1655</v>
      </c>
    </row>
    <row r="2967" spans="1:9">
      <c r="A2967" s="580" t="s">
        <v>553</v>
      </c>
      <c r="B2967" s="65">
        <v>3165</v>
      </c>
      <c r="C2967" s="65" t="s">
        <v>1804</v>
      </c>
      <c r="D2967" s="65">
        <v>10904</v>
      </c>
      <c r="E2967" s="583"/>
      <c r="F2967" s="585">
        <v>45535</v>
      </c>
      <c r="G2967" s="65">
        <v>1</v>
      </c>
      <c r="H2967" s="591" t="s">
        <v>35</v>
      </c>
      <c r="I2967" s="591" t="s">
        <v>1655</v>
      </c>
    </row>
    <row r="2968" spans="1:9">
      <c r="A2968" s="580" t="s">
        <v>553</v>
      </c>
      <c r="B2968" s="65">
        <v>3166</v>
      </c>
      <c r="C2968" s="65" t="s">
        <v>1805</v>
      </c>
      <c r="D2968" s="65">
        <v>10910</v>
      </c>
      <c r="E2968" s="583"/>
      <c r="F2968" s="585">
        <v>45535</v>
      </c>
      <c r="G2968" s="65">
        <v>1</v>
      </c>
      <c r="H2968" s="591" t="s">
        <v>35</v>
      </c>
      <c r="I2968" s="591" t="s">
        <v>1655</v>
      </c>
    </row>
    <row r="2969" spans="1:9">
      <c r="A2969" s="580" t="s">
        <v>553</v>
      </c>
      <c r="B2969" s="65">
        <v>3167</v>
      </c>
      <c r="C2969" s="579" t="s">
        <v>281</v>
      </c>
      <c r="D2969" s="579"/>
      <c r="E2969" s="583"/>
      <c r="F2969" s="596"/>
      <c r="G2969" s="65">
        <v>0</v>
      </c>
      <c r="H2969" s="591" t="s">
        <v>280</v>
      </c>
      <c r="I2969" s="591" t="s">
        <v>280</v>
      </c>
    </row>
    <row r="2970" spans="1:9">
      <c r="A2970" s="580" t="s">
        <v>553</v>
      </c>
      <c r="B2970" s="65">
        <v>3168</v>
      </c>
      <c r="C2970" s="65" t="s">
        <v>1806</v>
      </c>
      <c r="D2970" s="65">
        <v>10922</v>
      </c>
      <c r="E2970" s="583"/>
      <c r="F2970" s="585">
        <v>45535</v>
      </c>
      <c r="G2970" s="65">
        <v>1</v>
      </c>
      <c r="H2970" s="591" t="s">
        <v>35</v>
      </c>
      <c r="I2970" s="591" t="s">
        <v>1655</v>
      </c>
    </row>
    <row r="2971" spans="1:9" ht="14.25">
      <c r="A2971" s="580" t="s">
        <v>553</v>
      </c>
      <c r="B2971" s="65">
        <v>3169</v>
      </c>
      <c r="C2971" s="65" t="s">
        <v>2042</v>
      </c>
      <c r="D2971" s="65">
        <v>11074</v>
      </c>
      <c r="E2971" s="587"/>
      <c r="F2971" s="600">
        <v>45675</v>
      </c>
      <c r="G2971" s="65">
        <v>1</v>
      </c>
      <c r="H2971" s="591" t="s">
        <v>280</v>
      </c>
      <c r="I2971" s="591" t="s">
        <v>280</v>
      </c>
    </row>
    <row r="2972" spans="1:9">
      <c r="A2972" s="580" t="s">
        <v>553</v>
      </c>
      <c r="B2972" s="65">
        <v>3170</v>
      </c>
      <c r="C2972" s="579" t="s">
        <v>281</v>
      </c>
      <c r="D2972" s="579"/>
      <c r="E2972" s="583"/>
      <c r="F2972" s="596"/>
      <c r="G2972" s="65">
        <v>0</v>
      </c>
      <c r="H2972" s="591" t="s">
        <v>280</v>
      </c>
      <c r="I2972" s="591" t="s">
        <v>280</v>
      </c>
    </row>
    <row r="2973" spans="1:9">
      <c r="A2973" s="580" t="s">
        <v>553</v>
      </c>
      <c r="B2973" s="65">
        <v>3171</v>
      </c>
      <c r="C2973" s="579" t="s">
        <v>281</v>
      </c>
      <c r="D2973" s="579"/>
      <c r="E2973" s="583"/>
      <c r="F2973" s="596"/>
      <c r="G2973" s="65">
        <v>0</v>
      </c>
      <c r="H2973" s="591" t="s">
        <v>280</v>
      </c>
      <c r="I2973" s="591" t="s">
        <v>280</v>
      </c>
    </row>
    <row r="2974" spans="1:9">
      <c r="A2974" s="580" t="s">
        <v>553</v>
      </c>
      <c r="B2974" s="65">
        <v>3172</v>
      </c>
      <c r="C2974" s="579" t="s">
        <v>281</v>
      </c>
      <c r="D2974" s="579"/>
      <c r="E2974" s="583"/>
      <c r="F2974" s="596"/>
      <c r="G2974" s="65">
        <v>0</v>
      </c>
      <c r="H2974" s="591" t="s">
        <v>280</v>
      </c>
      <c r="I2974" s="591" t="s">
        <v>280</v>
      </c>
    </row>
    <row r="2975" spans="1:9">
      <c r="A2975" s="580" t="s">
        <v>553</v>
      </c>
      <c r="B2975" s="65">
        <v>3173</v>
      </c>
      <c r="C2975" s="579" t="s">
        <v>281</v>
      </c>
      <c r="D2975" s="579"/>
      <c r="E2975" s="583"/>
      <c r="F2975" s="596"/>
      <c r="G2975" s="65">
        <v>0</v>
      </c>
      <c r="H2975" s="591" t="s">
        <v>280</v>
      </c>
      <c r="I2975" s="591" t="s">
        <v>280</v>
      </c>
    </row>
    <row r="2976" spans="1:9">
      <c r="A2976" s="580" t="s">
        <v>553</v>
      </c>
      <c r="B2976" s="65">
        <v>3174</v>
      </c>
      <c r="C2976" s="579" t="s">
        <v>281</v>
      </c>
      <c r="D2976" s="579"/>
      <c r="E2976" s="583"/>
      <c r="F2976" s="596"/>
      <c r="G2976" s="65">
        <v>0</v>
      </c>
      <c r="H2976" s="591" t="s">
        <v>280</v>
      </c>
      <c r="I2976" s="591" t="s">
        <v>280</v>
      </c>
    </row>
    <row r="2977" spans="1:9">
      <c r="A2977" s="580" t="s">
        <v>553</v>
      </c>
      <c r="B2977" s="65">
        <v>3175</v>
      </c>
      <c r="C2977" s="579" t="s">
        <v>281</v>
      </c>
      <c r="D2977" s="579"/>
      <c r="E2977" s="583"/>
      <c r="F2977" s="596"/>
      <c r="G2977" s="65">
        <v>0</v>
      </c>
      <c r="H2977" s="591" t="s">
        <v>280</v>
      </c>
      <c r="I2977" s="591" t="s">
        <v>280</v>
      </c>
    </row>
    <row r="2978" spans="1:9">
      <c r="A2978" s="580" t="s">
        <v>553</v>
      </c>
      <c r="B2978" s="65">
        <v>3176</v>
      </c>
      <c r="C2978" s="579" t="s">
        <v>281</v>
      </c>
      <c r="D2978" s="579"/>
      <c r="E2978" s="583"/>
      <c r="F2978" s="596"/>
      <c r="G2978" s="65">
        <v>0</v>
      </c>
      <c r="H2978" s="591" t="s">
        <v>280</v>
      </c>
      <c r="I2978" s="591" t="s">
        <v>280</v>
      </c>
    </row>
    <row r="2979" spans="1:9">
      <c r="A2979" s="580" t="s">
        <v>553</v>
      </c>
      <c r="B2979" s="65">
        <v>3177</v>
      </c>
      <c r="C2979" s="579" t="s">
        <v>281</v>
      </c>
      <c r="D2979" s="579"/>
      <c r="E2979" s="583"/>
      <c r="F2979" s="596"/>
      <c r="G2979" s="65">
        <v>0</v>
      </c>
      <c r="H2979" s="591" t="s">
        <v>280</v>
      </c>
      <c r="I2979" s="591" t="s">
        <v>280</v>
      </c>
    </row>
    <row r="2980" spans="1:9">
      <c r="A2980" s="580" t="s">
        <v>553</v>
      </c>
      <c r="B2980" s="65">
        <v>3178</v>
      </c>
      <c r="C2980" s="579" t="s">
        <v>281</v>
      </c>
      <c r="D2980" s="579"/>
      <c r="E2980" s="583"/>
      <c r="F2980" s="596"/>
      <c r="G2980" s="65">
        <v>0</v>
      </c>
      <c r="H2980" s="591" t="s">
        <v>280</v>
      </c>
      <c r="I2980" s="591" t="s">
        <v>280</v>
      </c>
    </row>
    <row r="2981" spans="1:9">
      <c r="A2981" s="580" t="s">
        <v>553</v>
      </c>
      <c r="B2981" s="65">
        <v>3179</v>
      </c>
      <c r="C2981" s="579" t="s">
        <v>281</v>
      </c>
      <c r="D2981" s="579"/>
      <c r="E2981" s="583"/>
      <c r="F2981" s="596"/>
      <c r="G2981" s="65">
        <v>0</v>
      </c>
      <c r="H2981" s="591" t="s">
        <v>280</v>
      </c>
      <c r="I2981" s="591" t="s">
        <v>280</v>
      </c>
    </row>
    <row r="2982" spans="1:9">
      <c r="A2982" s="580" t="s">
        <v>553</v>
      </c>
      <c r="B2982" s="65">
        <v>3180</v>
      </c>
      <c r="C2982" s="579" t="s">
        <v>281</v>
      </c>
      <c r="D2982" s="579"/>
      <c r="E2982" s="583"/>
      <c r="F2982" s="596"/>
      <c r="G2982" s="65">
        <v>0</v>
      </c>
      <c r="H2982" s="591" t="s">
        <v>280</v>
      </c>
      <c r="I2982" s="591" t="s">
        <v>280</v>
      </c>
    </row>
    <row r="2983" spans="1:9">
      <c r="A2983" s="580" t="s">
        <v>553</v>
      </c>
      <c r="B2983" s="65">
        <v>3181</v>
      </c>
      <c r="C2983" s="579" t="s">
        <v>281</v>
      </c>
      <c r="D2983" s="579"/>
      <c r="E2983" s="583"/>
      <c r="F2983" s="596"/>
      <c r="G2983" s="65">
        <v>0</v>
      </c>
      <c r="H2983" s="591" t="s">
        <v>280</v>
      </c>
      <c r="I2983" s="591" t="s">
        <v>280</v>
      </c>
    </row>
    <row r="2984" spans="1:9">
      <c r="A2984" s="580" t="s">
        <v>553</v>
      </c>
      <c r="B2984" s="65">
        <v>3182</v>
      </c>
      <c r="C2984" s="579" t="s">
        <v>281</v>
      </c>
      <c r="D2984" s="579"/>
      <c r="E2984" s="583"/>
      <c r="F2984" s="596"/>
      <c r="G2984" s="65">
        <v>0</v>
      </c>
      <c r="H2984" s="591" t="s">
        <v>280</v>
      </c>
      <c r="I2984" s="591" t="s">
        <v>280</v>
      </c>
    </row>
    <row r="2985" spans="1:9">
      <c r="A2985" s="580" t="s">
        <v>553</v>
      </c>
      <c r="B2985" s="65">
        <v>3183</v>
      </c>
      <c r="C2985" s="579" t="s">
        <v>281</v>
      </c>
      <c r="D2985" s="579"/>
      <c r="E2985" s="583"/>
      <c r="F2985" s="596"/>
      <c r="G2985" s="65">
        <v>0</v>
      </c>
      <c r="H2985" s="591" t="s">
        <v>280</v>
      </c>
      <c r="I2985" s="591" t="s">
        <v>280</v>
      </c>
    </row>
    <row r="2986" spans="1:9">
      <c r="A2986" s="580" t="s">
        <v>553</v>
      </c>
      <c r="B2986" s="65">
        <v>3184</v>
      </c>
      <c r="C2986" s="579" t="s">
        <v>281</v>
      </c>
      <c r="D2986" s="579"/>
      <c r="E2986" s="583"/>
      <c r="F2986" s="596"/>
      <c r="G2986" s="65">
        <v>0</v>
      </c>
      <c r="H2986" s="591" t="s">
        <v>280</v>
      </c>
      <c r="I2986" s="591" t="s">
        <v>280</v>
      </c>
    </row>
    <row r="2987" spans="1:9">
      <c r="A2987" s="580" t="s">
        <v>553</v>
      </c>
      <c r="B2987" s="65">
        <v>3185</v>
      </c>
      <c r="C2987" s="579" t="s">
        <v>281</v>
      </c>
      <c r="D2987" s="579"/>
      <c r="E2987" s="583"/>
      <c r="F2987" s="596"/>
      <c r="G2987" s="65">
        <v>0</v>
      </c>
      <c r="H2987" s="591" t="s">
        <v>280</v>
      </c>
      <c r="I2987" s="591" t="s">
        <v>280</v>
      </c>
    </row>
    <row r="2988" spans="1:9">
      <c r="A2988" s="580" t="s">
        <v>553</v>
      </c>
      <c r="B2988" s="65">
        <v>3186</v>
      </c>
      <c r="C2988" s="579" t="s">
        <v>281</v>
      </c>
      <c r="D2988" s="579"/>
      <c r="E2988" s="583"/>
      <c r="F2988" s="596"/>
      <c r="G2988" s="65">
        <v>0</v>
      </c>
      <c r="H2988" s="591" t="s">
        <v>280</v>
      </c>
      <c r="I2988" s="591" t="s">
        <v>280</v>
      </c>
    </row>
    <row r="2989" spans="1:9">
      <c r="A2989" s="580" t="s">
        <v>553</v>
      </c>
      <c r="B2989" s="65">
        <v>3187</v>
      </c>
      <c r="C2989" s="579" t="s">
        <v>281</v>
      </c>
      <c r="D2989" s="579"/>
      <c r="E2989" s="583"/>
      <c r="F2989" s="596"/>
      <c r="G2989" s="65">
        <v>0</v>
      </c>
      <c r="H2989" s="591" t="s">
        <v>280</v>
      </c>
      <c r="I2989" s="591" t="s">
        <v>280</v>
      </c>
    </row>
    <row r="2990" spans="1:9">
      <c r="A2990" s="580" t="s">
        <v>553</v>
      </c>
      <c r="B2990" s="65">
        <v>3188</v>
      </c>
      <c r="C2990" s="579" t="s">
        <v>281</v>
      </c>
      <c r="D2990" s="579"/>
      <c r="E2990" s="583"/>
      <c r="F2990" s="596"/>
      <c r="G2990" s="65">
        <v>0</v>
      </c>
      <c r="H2990" s="591" t="s">
        <v>280</v>
      </c>
      <c r="I2990" s="591" t="s">
        <v>280</v>
      </c>
    </row>
    <row r="2991" spans="1:9">
      <c r="A2991" s="580" t="s">
        <v>553</v>
      </c>
      <c r="B2991" s="65">
        <v>3189</v>
      </c>
      <c r="C2991" s="579" t="s">
        <v>281</v>
      </c>
      <c r="D2991" s="579"/>
      <c r="E2991" s="583"/>
      <c r="F2991" s="596"/>
      <c r="G2991" s="65">
        <v>0</v>
      </c>
      <c r="H2991" s="591" t="s">
        <v>280</v>
      </c>
      <c r="I2991" s="591" t="s">
        <v>280</v>
      </c>
    </row>
    <row r="2992" spans="1:9">
      <c r="A2992" s="580" t="s">
        <v>553</v>
      </c>
      <c r="B2992" s="65">
        <v>3190</v>
      </c>
      <c r="C2992" s="579" t="s">
        <v>281</v>
      </c>
      <c r="D2992" s="579"/>
      <c r="E2992" s="583"/>
      <c r="F2992" s="596"/>
      <c r="G2992" s="65">
        <v>0</v>
      </c>
      <c r="H2992" s="591" t="s">
        <v>280</v>
      </c>
      <c r="I2992" s="591" t="s">
        <v>280</v>
      </c>
    </row>
    <row r="2993" spans="1:10">
      <c r="A2993" s="580" t="s">
        <v>553</v>
      </c>
      <c r="B2993" s="65">
        <v>3191</v>
      </c>
      <c r="C2993" s="579" t="s">
        <v>281</v>
      </c>
      <c r="D2993" s="579"/>
      <c r="E2993" s="583"/>
      <c r="F2993" s="596"/>
      <c r="G2993" s="65">
        <v>0</v>
      </c>
      <c r="H2993" s="591" t="s">
        <v>280</v>
      </c>
      <c r="I2993" s="591" t="s">
        <v>280</v>
      </c>
    </row>
    <row r="2994" spans="1:10">
      <c r="A2994" s="580" t="s">
        <v>553</v>
      </c>
      <c r="B2994" s="65">
        <v>3192</v>
      </c>
      <c r="C2994" s="579" t="s">
        <v>281</v>
      </c>
      <c r="D2994" s="579"/>
      <c r="E2994" s="583"/>
      <c r="F2994" s="596"/>
      <c r="G2994" s="65">
        <v>0</v>
      </c>
      <c r="H2994" s="591" t="s">
        <v>280</v>
      </c>
      <c r="I2994" s="591" t="s">
        <v>280</v>
      </c>
    </row>
    <row r="2995" spans="1:10">
      <c r="A2995" s="580" t="s">
        <v>553</v>
      </c>
      <c r="B2995" s="65">
        <v>3193</v>
      </c>
      <c r="C2995" s="579" t="s">
        <v>281</v>
      </c>
      <c r="D2995" s="579"/>
      <c r="E2995" s="583"/>
      <c r="F2995" s="596"/>
      <c r="G2995" s="65">
        <v>0</v>
      </c>
      <c r="H2995" s="591" t="s">
        <v>280</v>
      </c>
      <c r="I2995" s="591" t="s">
        <v>280</v>
      </c>
    </row>
    <row r="2996" spans="1:10">
      <c r="A2996" s="580" t="s">
        <v>553</v>
      </c>
      <c r="B2996" s="65">
        <v>3194</v>
      </c>
      <c r="C2996" s="579" t="s">
        <v>281</v>
      </c>
      <c r="D2996" s="579"/>
      <c r="E2996" s="583"/>
      <c r="F2996" s="596"/>
      <c r="G2996" s="65">
        <v>0</v>
      </c>
      <c r="H2996" s="591" t="s">
        <v>280</v>
      </c>
      <c r="I2996" s="591" t="s">
        <v>280</v>
      </c>
    </row>
    <row r="2997" spans="1:10">
      <c r="A2997" s="580" t="s">
        <v>553</v>
      </c>
      <c r="B2997" s="65">
        <v>3195</v>
      </c>
      <c r="C2997" s="579" t="s">
        <v>281</v>
      </c>
      <c r="D2997" s="579"/>
      <c r="E2997" s="583"/>
      <c r="F2997" s="596"/>
      <c r="G2997" s="65">
        <v>0</v>
      </c>
      <c r="H2997" s="591" t="s">
        <v>280</v>
      </c>
      <c r="I2997" s="591" t="s">
        <v>280</v>
      </c>
    </row>
    <row r="2998" spans="1:10">
      <c r="A2998" s="580" t="s">
        <v>553</v>
      </c>
      <c r="B2998" s="65">
        <v>3196</v>
      </c>
      <c r="C2998" s="579" t="s">
        <v>281</v>
      </c>
      <c r="D2998" s="579"/>
      <c r="E2998" s="583"/>
      <c r="F2998" s="596"/>
      <c r="G2998" s="65">
        <v>0</v>
      </c>
      <c r="H2998" s="591" t="s">
        <v>280</v>
      </c>
      <c r="I2998" s="591" t="s">
        <v>280</v>
      </c>
    </row>
    <row r="2999" spans="1:10">
      <c r="A2999" s="580" t="s">
        <v>553</v>
      </c>
      <c r="B2999" s="65">
        <v>3197</v>
      </c>
      <c r="C2999" s="579" t="s">
        <v>281</v>
      </c>
      <c r="D2999" s="579"/>
      <c r="E2999" s="583"/>
      <c r="F2999" s="596"/>
      <c r="G2999" s="65">
        <v>0</v>
      </c>
      <c r="H2999" s="591" t="s">
        <v>280</v>
      </c>
      <c r="I2999" s="591" t="s">
        <v>280</v>
      </c>
    </row>
    <row r="3000" spans="1:10">
      <c r="A3000" s="580" t="s">
        <v>553</v>
      </c>
      <c r="B3000" s="65">
        <v>3198</v>
      </c>
      <c r="C3000" s="579" t="s">
        <v>281</v>
      </c>
      <c r="D3000" s="579"/>
      <c r="E3000" s="583"/>
      <c r="F3000" s="596"/>
      <c r="G3000" s="65">
        <v>0</v>
      </c>
      <c r="H3000" s="591" t="s">
        <v>280</v>
      </c>
      <c r="I3000" s="591" t="s">
        <v>280</v>
      </c>
    </row>
    <row r="3001" spans="1:10">
      <c r="A3001" s="580" t="s">
        <v>553</v>
      </c>
      <c r="B3001" s="65">
        <v>3199</v>
      </c>
      <c r="C3001" s="579" t="s">
        <v>281</v>
      </c>
      <c r="D3001" s="579"/>
      <c r="E3001" s="583"/>
      <c r="F3001" s="596"/>
      <c r="G3001" s="65">
        <v>0</v>
      </c>
      <c r="H3001" s="591" t="s">
        <v>280</v>
      </c>
      <c r="I3001" s="591" t="s">
        <v>280</v>
      </c>
    </row>
    <row r="3002" spans="1:10">
      <c r="A3002" s="582" t="s">
        <v>566</v>
      </c>
      <c r="B3002" s="65">
        <v>3200</v>
      </c>
      <c r="C3002" s="579" t="s">
        <v>279</v>
      </c>
      <c r="D3002" s="579"/>
      <c r="E3002" s="583"/>
      <c r="F3002" s="585">
        <v>45535</v>
      </c>
      <c r="G3002" s="65">
        <v>1</v>
      </c>
      <c r="H3002" s="591" t="s">
        <v>280</v>
      </c>
      <c r="I3002" s="591" t="s">
        <v>280</v>
      </c>
      <c r="J3002" s="57"/>
    </row>
    <row r="3003" spans="1:10">
      <c r="A3003" s="580" t="s">
        <v>566</v>
      </c>
      <c r="B3003" s="65">
        <v>3201</v>
      </c>
      <c r="C3003" s="579" t="s">
        <v>567</v>
      </c>
      <c r="D3003" s="579">
        <v>10649</v>
      </c>
      <c r="E3003" s="583"/>
      <c r="F3003" s="585">
        <v>45535</v>
      </c>
      <c r="G3003" s="65">
        <v>1</v>
      </c>
      <c r="H3003" s="591" t="s">
        <v>9</v>
      </c>
      <c r="I3003" s="591" t="s">
        <v>37</v>
      </c>
      <c r="J3003" s="57"/>
    </row>
    <row r="3004" spans="1:10">
      <c r="A3004" s="582" t="s">
        <v>566</v>
      </c>
      <c r="B3004" s="65">
        <v>3202</v>
      </c>
      <c r="C3004" s="579" t="s">
        <v>281</v>
      </c>
      <c r="D3004" s="579"/>
      <c r="E3004" s="583"/>
      <c r="F3004" s="596"/>
      <c r="G3004" s="65">
        <v>0</v>
      </c>
      <c r="H3004" s="591" t="s">
        <v>280</v>
      </c>
      <c r="I3004" s="591" t="s">
        <v>280</v>
      </c>
      <c r="J3004" s="57"/>
    </row>
    <row r="3005" spans="1:10">
      <c r="A3005" s="582" t="s">
        <v>566</v>
      </c>
      <c r="B3005" s="65">
        <v>3203</v>
      </c>
      <c r="C3005" s="579" t="s">
        <v>281</v>
      </c>
      <c r="D3005" s="579"/>
      <c r="E3005" s="583"/>
      <c r="F3005" s="596"/>
      <c r="G3005" s="65">
        <v>0</v>
      </c>
      <c r="H3005" s="591" t="s">
        <v>280</v>
      </c>
      <c r="I3005" s="591" t="s">
        <v>280</v>
      </c>
      <c r="J3005" s="57"/>
    </row>
    <row r="3006" spans="1:10">
      <c r="A3006" s="582" t="s">
        <v>566</v>
      </c>
      <c r="B3006" s="65">
        <v>3204</v>
      </c>
      <c r="C3006" s="579" t="s">
        <v>1807</v>
      </c>
      <c r="D3006" s="65">
        <v>10532</v>
      </c>
      <c r="E3006" s="583"/>
      <c r="F3006" s="585">
        <v>45535</v>
      </c>
      <c r="G3006" s="65">
        <v>1</v>
      </c>
      <c r="H3006" s="591" t="s">
        <v>9</v>
      </c>
      <c r="I3006" s="591" t="s">
        <v>37</v>
      </c>
      <c r="J3006" s="57"/>
    </row>
    <row r="3007" spans="1:10">
      <c r="A3007" s="582" t="s">
        <v>566</v>
      </c>
      <c r="B3007" s="65">
        <v>3205</v>
      </c>
      <c r="C3007" s="579" t="s">
        <v>281</v>
      </c>
      <c r="D3007" s="579"/>
      <c r="E3007" s="583"/>
      <c r="F3007" s="596"/>
      <c r="G3007" s="65">
        <v>0</v>
      </c>
      <c r="H3007" s="591" t="s">
        <v>280</v>
      </c>
      <c r="I3007" s="591" t="s">
        <v>280</v>
      </c>
      <c r="J3007" s="57"/>
    </row>
    <row r="3008" spans="1:10">
      <c r="A3008" s="582" t="s">
        <v>566</v>
      </c>
      <c r="B3008" s="65">
        <v>3206</v>
      </c>
      <c r="C3008" s="65" t="s">
        <v>568</v>
      </c>
      <c r="D3008" s="65">
        <v>10607</v>
      </c>
      <c r="E3008" s="583"/>
      <c r="F3008" s="585">
        <v>45535</v>
      </c>
      <c r="G3008" s="65">
        <v>1</v>
      </c>
      <c r="H3008" s="591" t="s">
        <v>280</v>
      </c>
      <c r="I3008" s="591" t="s">
        <v>280</v>
      </c>
      <c r="J3008" s="61"/>
    </row>
    <row r="3009" spans="1:10">
      <c r="A3009" s="582" t="s">
        <v>566</v>
      </c>
      <c r="B3009" s="65">
        <v>3207</v>
      </c>
      <c r="C3009" s="65" t="s">
        <v>281</v>
      </c>
      <c r="D3009" s="579"/>
      <c r="E3009" s="583"/>
      <c r="F3009" s="596"/>
      <c r="G3009" s="65">
        <v>0</v>
      </c>
      <c r="H3009" s="591" t="s">
        <v>280</v>
      </c>
      <c r="I3009" s="591" t="s">
        <v>280</v>
      </c>
      <c r="J3009" s="61"/>
    </row>
    <row r="3010" spans="1:10">
      <c r="A3010" s="582" t="s">
        <v>566</v>
      </c>
      <c r="B3010" s="65">
        <v>3208</v>
      </c>
      <c r="C3010" s="579" t="s">
        <v>281</v>
      </c>
      <c r="D3010" s="579"/>
      <c r="E3010" s="583"/>
      <c r="F3010" s="596"/>
      <c r="G3010" s="65">
        <v>0</v>
      </c>
      <c r="H3010" s="591" t="s">
        <v>280</v>
      </c>
      <c r="I3010" s="591" t="s">
        <v>280</v>
      </c>
      <c r="J3010" s="61"/>
    </row>
    <row r="3011" spans="1:10">
      <c r="A3011" s="582" t="s">
        <v>566</v>
      </c>
      <c r="B3011" s="65">
        <v>3209</v>
      </c>
      <c r="C3011" s="65" t="s">
        <v>281</v>
      </c>
      <c r="D3011" s="63"/>
      <c r="E3011" s="583"/>
      <c r="F3011" s="596"/>
      <c r="G3011" s="65">
        <v>0</v>
      </c>
      <c r="H3011" s="591" t="s">
        <v>280</v>
      </c>
      <c r="I3011" s="591" t="s">
        <v>280</v>
      </c>
      <c r="J3011" s="57"/>
    </row>
    <row r="3012" spans="1:10">
      <c r="A3012" s="582" t="s">
        <v>566</v>
      </c>
      <c r="B3012" s="65">
        <v>3210</v>
      </c>
      <c r="C3012" s="579" t="s">
        <v>570</v>
      </c>
      <c r="D3012" s="63">
        <v>10651</v>
      </c>
      <c r="E3012" s="583"/>
      <c r="F3012" s="585">
        <v>45535</v>
      </c>
      <c r="G3012" s="65">
        <v>1</v>
      </c>
      <c r="H3012" s="591" t="s">
        <v>1978</v>
      </c>
      <c r="I3012" s="591" t="s">
        <v>88</v>
      </c>
      <c r="J3012" s="61"/>
    </row>
    <row r="3013" spans="1:10">
      <c r="A3013" s="582" t="s">
        <v>566</v>
      </c>
      <c r="B3013" s="65">
        <v>3211</v>
      </c>
      <c r="C3013" s="579" t="s">
        <v>281</v>
      </c>
      <c r="D3013" s="579"/>
      <c r="E3013" s="583"/>
      <c r="F3013" s="596"/>
      <c r="G3013" s="65">
        <v>0</v>
      </c>
      <c r="H3013" s="591" t="s">
        <v>280</v>
      </c>
      <c r="I3013" s="591" t="s">
        <v>280</v>
      </c>
      <c r="J3013" s="57"/>
    </row>
    <row r="3014" spans="1:10">
      <c r="A3014" s="582" t="s">
        <v>566</v>
      </c>
      <c r="B3014" s="65">
        <v>3212</v>
      </c>
      <c r="C3014" s="579" t="s">
        <v>572</v>
      </c>
      <c r="D3014" s="65">
        <v>10457</v>
      </c>
      <c r="E3014" s="583"/>
      <c r="F3014" s="585">
        <v>45535</v>
      </c>
      <c r="G3014" s="65">
        <v>1</v>
      </c>
      <c r="H3014" s="591" t="s">
        <v>280</v>
      </c>
      <c r="I3014" s="591" t="s">
        <v>280</v>
      </c>
      <c r="J3014" s="61"/>
    </row>
    <row r="3015" spans="1:10">
      <c r="A3015" s="582" t="s">
        <v>566</v>
      </c>
      <c r="B3015" s="65">
        <v>3213</v>
      </c>
      <c r="C3015" s="579" t="s">
        <v>281</v>
      </c>
      <c r="D3015" s="579"/>
      <c r="E3015" s="583"/>
      <c r="F3015" s="596"/>
      <c r="G3015" s="65">
        <v>0</v>
      </c>
      <c r="H3015" s="591" t="s">
        <v>280</v>
      </c>
      <c r="I3015" s="591" t="s">
        <v>280</v>
      </c>
      <c r="J3015" s="61"/>
    </row>
    <row r="3016" spans="1:10">
      <c r="A3016" s="582" t="s">
        <v>566</v>
      </c>
      <c r="B3016" s="65">
        <v>3214</v>
      </c>
      <c r="C3016" s="579" t="s">
        <v>573</v>
      </c>
      <c r="D3016" s="579">
        <v>10097</v>
      </c>
      <c r="E3016" s="583"/>
      <c r="F3016" s="585">
        <v>45535</v>
      </c>
      <c r="G3016" s="65">
        <v>1</v>
      </c>
      <c r="H3016" s="591" t="s">
        <v>1978</v>
      </c>
      <c r="I3016" s="591" t="s">
        <v>88</v>
      </c>
      <c r="J3016" s="57"/>
    </row>
    <row r="3017" spans="1:10">
      <c r="A3017" s="582" t="s">
        <v>566</v>
      </c>
      <c r="B3017" s="65">
        <v>3215</v>
      </c>
      <c r="C3017" s="579" t="s">
        <v>281</v>
      </c>
      <c r="D3017" s="579"/>
      <c r="E3017" s="583"/>
      <c r="F3017" s="596"/>
      <c r="G3017" s="65">
        <v>0</v>
      </c>
      <c r="H3017" s="591" t="s">
        <v>280</v>
      </c>
      <c r="I3017" s="591" t="s">
        <v>280</v>
      </c>
      <c r="J3017" s="61"/>
    </row>
    <row r="3018" spans="1:10">
      <c r="A3018" s="582" t="s">
        <v>566</v>
      </c>
      <c r="B3018" s="65">
        <v>3216</v>
      </c>
      <c r="C3018" s="579" t="s">
        <v>281</v>
      </c>
      <c r="D3018" s="579"/>
      <c r="E3018" s="583"/>
      <c r="F3018" s="596"/>
      <c r="G3018" s="65">
        <v>0</v>
      </c>
      <c r="H3018" s="591" t="s">
        <v>280</v>
      </c>
      <c r="I3018" s="591" t="s">
        <v>280</v>
      </c>
      <c r="J3018" s="57"/>
    </row>
    <row r="3019" spans="1:10">
      <c r="A3019" s="582" t="s">
        <v>566</v>
      </c>
      <c r="B3019" s="65">
        <v>3217</v>
      </c>
      <c r="C3019" s="579" t="s">
        <v>281</v>
      </c>
      <c r="D3019" s="579"/>
      <c r="E3019" s="583"/>
      <c r="F3019" s="596"/>
      <c r="G3019" s="65">
        <v>0</v>
      </c>
      <c r="H3019" s="591" t="s">
        <v>280</v>
      </c>
      <c r="I3019" s="591" t="s">
        <v>280</v>
      </c>
      <c r="J3019" s="57"/>
    </row>
    <row r="3020" spans="1:10">
      <c r="A3020" s="582" t="s">
        <v>566</v>
      </c>
      <c r="B3020" s="65">
        <v>3218</v>
      </c>
      <c r="C3020" s="579" t="s">
        <v>281</v>
      </c>
      <c r="D3020" s="579"/>
      <c r="E3020" s="583"/>
      <c r="F3020" s="596"/>
      <c r="G3020" s="65">
        <v>0</v>
      </c>
      <c r="H3020" s="591" t="s">
        <v>280</v>
      </c>
      <c r="I3020" s="591" t="s">
        <v>280</v>
      </c>
      <c r="J3020" s="57"/>
    </row>
    <row r="3021" spans="1:10">
      <c r="A3021" s="582" t="s">
        <v>566</v>
      </c>
      <c r="B3021" s="65">
        <v>3219</v>
      </c>
      <c r="C3021" s="579" t="s">
        <v>574</v>
      </c>
      <c r="D3021" s="63">
        <v>10347</v>
      </c>
      <c r="E3021" s="583"/>
      <c r="F3021" s="585">
        <v>45535</v>
      </c>
      <c r="G3021" s="65">
        <v>1</v>
      </c>
      <c r="H3021" s="591" t="s">
        <v>9</v>
      </c>
      <c r="I3021" s="591" t="s">
        <v>37</v>
      </c>
      <c r="J3021" s="57"/>
    </row>
    <row r="3022" spans="1:10">
      <c r="A3022" s="582" t="s">
        <v>566</v>
      </c>
      <c r="B3022" s="65">
        <v>3220</v>
      </c>
      <c r="C3022" s="65" t="s">
        <v>575</v>
      </c>
      <c r="D3022" s="579">
        <v>10207</v>
      </c>
      <c r="E3022" s="583"/>
      <c r="F3022" s="585">
        <v>45535</v>
      </c>
      <c r="G3022" s="65">
        <v>1</v>
      </c>
      <c r="H3022" s="591" t="s">
        <v>9</v>
      </c>
      <c r="I3022" s="591" t="s">
        <v>37</v>
      </c>
      <c r="J3022" s="57"/>
    </row>
    <row r="3023" spans="1:10">
      <c r="A3023" s="582" t="s">
        <v>566</v>
      </c>
      <c r="B3023" s="65">
        <v>3221</v>
      </c>
      <c r="C3023" s="579" t="s">
        <v>281</v>
      </c>
      <c r="D3023" s="579"/>
      <c r="E3023" s="583"/>
      <c r="F3023" s="596"/>
      <c r="G3023" s="65">
        <v>0</v>
      </c>
      <c r="H3023" s="591" t="s">
        <v>280</v>
      </c>
      <c r="I3023" s="591" t="s">
        <v>280</v>
      </c>
      <c r="J3023" s="57"/>
    </row>
    <row r="3024" spans="1:10">
      <c r="A3024" s="582" t="s">
        <v>566</v>
      </c>
      <c r="B3024" s="65">
        <v>3222</v>
      </c>
      <c r="C3024" s="579" t="s">
        <v>281</v>
      </c>
      <c r="D3024" s="579"/>
      <c r="E3024" s="583"/>
      <c r="F3024" s="596"/>
      <c r="G3024" s="65">
        <v>0</v>
      </c>
      <c r="H3024" s="591" t="s">
        <v>280</v>
      </c>
      <c r="I3024" s="591" t="s">
        <v>280</v>
      </c>
      <c r="J3024" s="57"/>
    </row>
    <row r="3025" spans="1:9">
      <c r="A3025" s="582" t="s">
        <v>566</v>
      </c>
      <c r="B3025" s="65">
        <v>3223</v>
      </c>
      <c r="C3025" s="579" t="s">
        <v>543</v>
      </c>
      <c r="D3025" s="63">
        <v>10080</v>
      </c>
      <c r="E3025" s="583"/>
      <c r="F3025" s="585">
        <v>45535</v>
      </c>
      <c r="G3025" s="65">
        <v>1</v>
      </c>
      <c r="H3025" s="591" t="s">
        <v>1978</v>
      </c>
      <c r="I3025" s="591" t="s">
        <v>88</v>
      </c>
    </row>
    <row r="3026" spans="1:9">
      <c r="A3026" s="582" t="s">
        <v>566</v>
      </c>
      <c r="B3026" s="65">
        <v>3224</v>
      </c>
      <c r="C3026" s="579" t="s">
        <v>281</v>
      </c>
      <c r="D3026" s="579"/>
      <c r="E3026" s="583"/>
      <c r="F3026" s="596"/>
      <c r="G3026" s="65">
        <v>0</v>
      </c>
      <c r="H3026" s="591" t="s">
        <v>280</v>
      </c>
      <c r="I3026" s="591" t="s">
        <v>280</v>
      </c>
    </row>
    <row r="3027" spans="1:9">
      <c r="A3027" s="582" t="s">
        <v>566</v>
      </c>
      <c r="B3027" s="65">
        <v>3225</v>
      </c>
      <c r="C3027" s="579" t="s">
        <v>1808</v>
      </c>
      <c r="D3027" s="579">
        <v>10871</v>
      </c>
      <c r="E3027" s="583"/>
      <c r="F3027" s="585">
        <v>45535</v>
      </c>
      <c r="G3027" s="65">
        <v>1</v>
      </c>
      <c r="H3027" s="591" t="s">
        <v>9</v>
      </c>
      <c r="I3027" s="591" t="s">
        <v>37</v>
      </c>
    </row>
    <row r="3028" spans="1:9">
      <c r="A3028" s="582" t="s">
        <v>566</v>
      </c>
      <c r="B3028" s="65">
        <v>3226</v>
      </c>
      <c r="C3028" s="579" t="s">
        <v>576</v>
      </c>
      <c r="D3028" s="65">
        <v>10469</v>
      </c>
      <c r="E3028" s="583"/>
      <c r="F3028" s="585">
        <v>45535</v>
      </c>
      <c r="G3028" s="65">
        <v>1</v>
      </c>
      <c r="H3028" s="591" t="s">
        <v>1978</v>
      </c>
      <c r="I3028" s="591" t="s">
        <v>88</v>
      </c>
    </row>
    <row r="3029" spans="1:9">
      <c r="A3029" s="582" t="s">
        <v>566</v>
      </c>
      <c r="B3029" s="65">
        <v>3227</v>
      </c>
      <c r="C3029" s="579" t="s">
        <v>281</v>
      </c>
      <c r="D3029" s="579"/>
      <c r="E3029" s="583"/>
      <c r="F3029" s="596"/>
      <c r="G3029" s="65">
        <v>0</v>
      </c>
      <c r="H3029" s="591" t="s">
        <v>280</v>
      </c>
      <c r="I3029" s="591" t="s">
        <v>280</v>
      </c>
    </row>
    <row r="3030" spans="1:9">
      <c r="A3030" s="582" t="s">
        <v>566</v>
      </c>
      <c r="B3030" s="65">
        <v>3228</v>
      </c>
      <c r="C3030" s="65" t="s">
        <v>281</v>
      </c>
      <c r="D3030" s="579"/>
      <c r="E3030" s="583"/>
      <c r="F3030" s="596"/>
      <c r="G3030" s="65">
        <v>0</v>
      </c>
      <c r="H3030" s="591" t="s">
        <v>280</v>
      </c>
      <c r="I3030" s="591" t="s">
        <v>280</v>
      </c>
    </row>
    <row r="3031" spans="1:9">
      <c r="A3031" s="582" t="s">
        <v>566</v>
      </c>
      <c r="B3031" s="65">
        <v>3229</v>
      </c>
      <c r="C3031" s="65" t="s">
        <v>1809</v>
      </c>
      <c r="D3031" s="579">
        <v>11020</v>
      </c>
      <c r="E3031" s="583"/>
      <c r="F3031" s="585">
        <v>45535</v>
      </c>
      <c r="G3031" s="65">
        <v>1</v>
      </c>
      <c r="H3031" s="591" t="s">
        <v>1978</v>
      </c>
      <c r="I3031" s="591" t="s">
        <v>88</v>
      </c>
    </row>
    <row r="3032" spans="1:9">
      <c r="A3032" s="582" t="s">
        <v>566</v>
      </c>
      <c r="B3032" s="65">
        <v>3230</v>
      </c>
      <c r="C3032" s="579" t="s">
        <v>281</v>
      </c>
      <c r="D3032" s="65">
        <v>10520</v>
      </c>
      <c r="E3032" s="583"/>
      <c r="F3032" s="585">
        <v>45535</v>
      </c>
      <c r="G3032" s="65">
        <v>1</v>
      </c>
      <c r="H3032" s="591" t="s">
        <v>280</v>
      </c>
      <c r="I3032" s="591" t="s">
        <v>280</v>
      </c>
    </row>
    <row r="3033" spans="1:9">
      <c r="A3033" s="582" t="s">
        <v>566</v>
      </c>
      <c r="B3033" s="65">
        <v>3231</v>
      </c>
      <c r="C3033" s="579" t="s">
        <v>577</v>
      </c>
      <c r="D3033" s="579">
        <v>10560</v>
      </c>
      <c r="E3033" s="583"/>
      <c r="F3033" s="585">
        <v>45535</v>
      </c>
      <c r="G3033" s="65">
        <v>1</v>
      </c>
      <c r="H3033" s="591" t="s">
        <v>280</v>
      </c>
      <c r="I3033" s="591" t="s">
        <v>280</v>
      </c>
    </row>
    <row r="3034" spans="1:9">
      <c r="A3034" s="582" t="s">
        <v>566</v>
      </c>
      <c r="B3034" s="65">
        <v>3232</v>
      </c>
      <c r="C3034" s="579" t="s">
        <v>281</v>
      </c>
      <c r="D3034" s="579"/>
      <c r="E3034" s="583"/>
      <c r="F3034" s="596"/>
      <c r="G3034" s="65">
        <v>0</v>
      </c>
      <c r="H3034" s="591" t="s">
        <v>280</v>
      </c>
      <c r="I3034" s="591" t="s">
        <v>280</v>
      </c>
    </row>
    <row r="3035" spans="1:9">
      <c r="A3035" s="582" t="s">
        <v>566</v>
      </c>
      <c r="B3035" s="65">
        <v>3233</v>
      </c>
      <c r="C3035" s="65" t="s">
        <v>578</v>
      </c>
      <c r="D3035" s="579">
        <v>10458</v>
      </c>
      <c r="E3035" s="583"/>
      <c r="F3035" s="585">
        <v>45535</v>
      </c>
      <c r="G3035" s="65">
        <v>1</v>
      </c>
      <c r="H3035" s="591" t="s">
        <v>280</v>
      </c>
      <c r="I3035" s="591" t="s">
        <v>280</v>
      </c>
    </row>
    <row r="3036" spans="1:9">
      <c r="A3036" s="580" t="s">
        <v>566</v>
      </c>
      <c r="B3036" s="65">
        <v>3234</v>
      </c>
      <c r="C3036" s="65" t="s">
        <v>1967</v>
      </c>
      <c r="D3036" s="63">
        <v>10511</v>
      </c>
      <c r="E3036" s="583"/>
      <c r="F3036" s="585">
        <v>45584</v>
      </c>
      <c r="G3036" s="65">
        <v>1</v>
      </c>
      <c r="H3036" s="591" t="s">
        <v>9</v>
      </c>
      <c r="I3036" s="591" t="s">
        <v>37</v>
      </c>
    </row>
    <row r="3037" spans="1:9">
      <c r="A3037" s="582" t="s">
        <v>566</v>
      </c>
      <c r="B3037" s="65">
        <v>3235</v>
      </c>
      <c r="C3037" s="579" t="s">
        <v>281</v>
      </c>
      <c r="D3037" s="579"/>
      <c r="E3037" s="583"/>
      <c r="F3037" s="596"/>
      <c r="G3037" s="65">
        <v>0</v>
      </c>
      <c r="H3037" s="591" t="s">
        <v>280</v>
      </c>
      <c r="I3037" s="591" t="s">
        <v>280</v>
      </c>
    </row>
    <row r="3038" spans="1:9">
      <c r="A3038" s="582" t="s">
        <v>566</v>
      </c>
      <c r="B3038" s="65">
        <v>3236</v>
      </c>
      <c r="C3038" s="65" t="s">
        <v>1810</v>
      </c>
      <c r="D3038" s="579">
        <v>10872</v>
      </c>
      <c r="E3038" s="583"/>
      <c r="F3038" s="585">
        <v>45535</v>
      </c>
      <c r="G3038" s="65">
        <v>1</v>
      </c>
      <c r="H3038" s="591" t="s">
        <v>1978</v>
      </c>
      <c r="I3038" s="591" t="s">
        <v>88</v>
      </c>
    </row>
    <row r="3039" spans="1:9" ht="12.75">
      <c r="A3039" s="582" t="s">
        <v>566</v>
      </c>
      <c r="B3039" s="65">
        <v>3237</v>
      </c>
      <c r="C3039" s="579" t="s">
        <v>281</v>
      </c>
      <c r="D3039" s="579"/>
      <c r="E3039" s="582"/>
      <c r="F3039" s="596"/>
      <c r="G3039" s="65">
        <v>0</v>
      </c>
      <c r="H3039" s="591" t="s">
        <v>280</v>
      </c>
      <c r="I3039" s="591" t="s">
        <v>280</v>
      </c>
    </row>
    <row r="3040" spans="1:9">
      <c r="A3040" s="582" t="s">
        <v>566</v>
      </c>
      <c r="B3040" s="65">
        <v>3238</v>
      </c>
      <c r="C3040" s="579" t="s">
        <v>281</v>
      </c>
      <c r="D3040" s="582"/>
      <c r="E3040" s="583"/>
      <c r="F3040" s="596"/>
      <c r="G3040" s="65">
        <v>0</v>
      </c>
      <c r="H3040" s="591" t="s">
        <v>280</v>
      </c>
      <c r="I3040" s="591" t="s">
        <v>280</v>
      </c>
    </row>
    <row r="3041" spans="1:9">
      <c r="A3041" s="582" t="s">
        <v>566</v>
      </c>
      <c r="B3041" s="65">
        <v>3239</v>
      </c>
      <c r="C3041" s="65" t="s">
        <v>579</v>
      </c>
      <c r="D3041" s="63">
        <v>10017</v>
      </c>
      <c r="E3041" s="583"/>
      <c r="F3041" s="585">
        <v>45535</v>
      </c>
      <c r="G3041" s="65">
        <v>1</v>
      </c>
      <c r="H3041" s="591" t="s">
        <v>9</v>
      </c>
      <c r="I3041" s="591" t="s">
        <v>37</v>
      </c>
    </row>
    <row r="3042" spans="1:9">
      <c r="A3042" s="582" t="s">
        <v>566</v>
      </c>
      <c r="B3042" s="65">
        <v>3240</v>
      </c>
      <c r="C3042" s="65" t="s">
        <v>580</v>
      </c>
      <c r="D3042" s="579">
        <v>10367</v>
      </c>
      <c r="E3042" s="583"/>
      <c r="F3042" s="585">
        <v>45535</v>
      </c>
      <c r="G3042" s="65">
        <v>1</v>
      </c>
      <c r="H3042" s="591" t="s">
        <v>280</v>
      </c>
      <c r="I3042" s="591" t="s">
        <v>280</v>
      </c>
    </row>
    <row r="3043" spans="1:9">
      <c r="A3043" s="582" t="s">
        <v>566</v>
      </c>
      <c r="B3043" s="65">
        <v>3241</v>
      </c>
      <c r="C3043" s="579" t="s">
        <v>281</v>
      </c>
      <c r="D3043" s="582"/>
      <c r="E3043" s="583"/>
      <c r="F3043" s="596"/>
      <c r="G3043" s="65">
        <v>0</v>
      </c>
      <c r="H3043" s="591" t="s">
        <v>280</v>
      </c>
      <c r="I3043" s="591" t="s">
        <v>280</v>
      </c>
    </row>
    <row r="3044" spans="1:9">
      <c r="A3044" s="582" t="s">
        <v>566</v>
      </c>
      <c r="B3044" s="65">
        <v>3242</v>
      </c>
      <c r="C3044" s="65" t="s">
        <v>281</v>
      </c>
      <c r="D3044" s="63"/>
      <c r="E3044" s="583"/>
      <c r="F3044" s="596"/>
      <c r="G3044" s="65">
        <v>0</v>
      </c>
      <c r="H3044" s="591" t="s">
        <v>280</v>
      </c>
      <c r="I3044" s="591" t="s">
        <v>280</v>
      </c>
    </row>
    <row r="3045" spans="1:9">
      <c r="A3045" s="582" t="s">
        <v>566</v>
      </c>
      <c r="B3045" s="65">
        <v>3243</v>
      </c>
      <c r="C3045" s="65" t="s">
        <v>281</v>
      </c>
      <c r="D3045" s="582"/>
      <c r="E3045" s="583"/>
      <c r="F3045" s="596"/>
      <c r="G3045" s="65">
        <v>0</v>
      </c>
      <c r="H3045" s="591" t="s">
        <v>280</v>
      </c>
      <c r="I3045" s="591" t="s">
        <v>280</v>
      </c>
    </row>
    <row r="3046" spans="1:9">
      <c r="A3046" s="582" t="s">
        <v>566</v>
      </c>
      <c r="B3046" s="65">
        <v>3244</v>
      </c>
      <c r="C3046" s="579" t="s">
        <v>281</v>
      </c>
      <c r="D3046" s="579"/>
      <c r="E3046" s="583"/>
      <c r="F3046" s="596"/>
      <c r="G3046" s="65">
        <v>0</v>
      </c>
      <c r="H3046" s="591" t="s">
        <v>280</v>
      </c>
      <c r="I3046" s="591" t="s">
        <v>280</v>
      </c>
    </row>
    <row r="3047" spans="1:9">
      <c r="A3047" s="582" t="s">
        <v>566</v>
      </c>
      <c r="B3047" s="65">
        <v>3245</v>
      </c>
      <c r="C3047" s="579" t="s">
        <v>581</v>
      </c>
      <c r="D3047" s="63">
        <v>10585</v>
      </c>
      <c r="E3047" s="583"/>
      <c r="F3047" s="585">
        <v>45535</v>
      </c>
      <c r="G3047" s="65">
        <v>1</v>
      </c>
      <c r="H3047" s="591" t="s">
        <v>9</v>
      </c>
      <c r="I3047" s="591" t="s">
        <v>37</v>
      </c>
    </row>
    <row r="3048" spans="1:9">
      <c r="A3048" s="582" t="s">
        <v>566</v>
      </c>
      <c r="B3048" s="65">
        <v>3246</v>
      </c>
      <c r="C3048" s="579" t="s">
        <v>281</v>
      </c>
      <c r="D3048" s="65"/>
      <c r="E3048" s="583"/>
      <c r="F3048" s="596"/>
      <c r="G3048" s="65">
        <v>0</v>
      </c>
      <c r="H3048" s="591" t="s">
        <v>280</v>
      </c>
      <c r="I3048" s="591" t="s">
        <v>280</v>
      </c>
    </row>
    <row r="3049" spans="1:9">
      <c r="A3049" s="582" t="s">
        <v>566</v>
      </c>
      <c r="B3049" s="65">
        <v>3247</v>
      </c>
      <c r="C3049" s="579" t="s">
        <v>281</v>
      </c>
      <c r="D3049" s="63"/>
      <c r="E3049" s="583"/>
      <c r="F3049" s="596"/>
      <c r="G3049" s="65">
        <v>0</v>
      </c>
      <c r="H3049" s="591" t="s">
        <v>280</v>
      </c>
      <c r="I3049" s="591" t="s">
        <v>280</v>
      </c>
    </row>
    <row r="3050" spans="1:9">
      <c r="A3050" s="582" t="s">
        <v>566</v>
      </c>
      <c r="B3050" s="65">
        <v>3248</v>
      </c>
      <c r="C3050" s="579" t="s">
        <v>281</v>
      </c>
      <c r="D3050" s="63"/>
      <c r="E3050" s="583"/>
      <c r="F3050" s="596"/>
      <c r="G3050" s="65">
        <v>0</v>
      </c>
      <c r="H3050" s="591" t="s">
        <v>280</v>
      </c>
      <c r="I3050" s="591" t="s">
        <v>280</v>
      </c>
    </row>
    <row r="3051" spans="1:9">
      <c r="A3051" s="580" t="s">
        <v>566</v>
      </c>
      <c r="B3051" s="63">
        <v>3249</v>
      </c>
      <c r="C3051" s="63" t="s">
        <v>281</v>
      </c>
      <c r="D3051" s="63"/>
      <c r="E3051" s="583"/>
      <c r="F3051" s="596"/>
      <c r="G3051" s="65">
        <v>0</v>
      </c>
      <c r="H3051" s="591" t="s">
        <v>280</v>
      </c>
      <c r="I3051" s="591" t="s">
        <v>280</v>
      </c>
    </row>
    <row r="3052" spans="1:9">
      <c r="A3052" s="582" t="s">
        <v>566</v>
      </c>
      <c r="B3052" s="65">
        <v>3250</v>
      </c>
      <c r="C3052" s="579" t="s">
        <v>582</v>
      </c>
      <c r="D3052" s="63">
        <v>10020</v>
      </c>
      <c r="E3052" s="583"/>
      <c r="F3052" s="585">
        <v>45535</v>
      </c>
      <c r="G3052" s="65">
        <v>1</v>
      </c>
      <c r="H3052" s="591" t="s">
        <v>9</v>
      </c>
      <c r="I3052" s="591" t="s">
        <v>37</v>
      </c>
    </row>
    <row r="3053" spans="1:9">
      <c r="A3053" s="582" t="s">
        <v>566</v>
      </c>
      <c r="B3053" s="65">
        <v>3251</v>
      </c>
      <c r="C3053" s="579" t="s">
        <v>281</v>
      </c>
      <c r="D3053" s="63"/>
      <c r="E3053" s="583"/>
      <c r="F3053" s="596"/>
      <c r="G3053" s="65">
        <v>0</v>
      </c>
      <c r="H3053" s="591" t="s">
        <v>280</v>
      </c>
      <c r="I3053" s="591" t="s">
        <v>280</v>
      </c>
    </row>
    <row r="3054" spans="1:9">
      <c r="A3054" s="582" t="s">
        <v>566</v>
      </c>
      <c r="B3054" s="65">
        <v>3252</v>
      </c>
      <c r="C3054" s="579" t="s">
        <v>281</v>
      </c>
      <c r="D3054" s="579"/>
      <c r="E3054" s="583"/>
      <c r="F3054" s="596"/>
      <c r="G3054" s="65">
        <v>0</v>
      </c>
      <c r="H3054" s="591" t="s">
        <v>280</v>
      </c>
      <c r="I3054" s="591" t="s">
        <v>280</v>
      </c>
    </row>
    <row r="3055" spans="1:9">
      <c r="A3055" s="582" t="s">
        <v>566</v>
      </c>
      <c r="B3055" s="65">
        <v>3253</v>
      </c>
      <c r="C3055" s="579" t="s">
        <v>281</v>
      </c>
      <c r="D3055" s="579"/>
      <c r="E3055" s="583"/>
      <c r="F3055" s="596"/>
      <c r="G3055" s="65">
        <v>0</v>
      </c>
      <c r="H3055" s="591" t="s">
        <v>280</v>
      </c>
      <c r="I3055" s="591" t="s">
        <v>280</v>
      </c>
    </row>
    <row r="3056" spans="1:9">
      <c r="A3056" s="580" t="s">
        <v>566</v>
      </c>
      <c r="B3056" s="65">
        <v>3254</v>
      </c>
      <c r="C3056" s="65" t="s">
        <v>281</v>
      </c>
      <c r="D3056" s="65"/>
      <c r="E3056" s="583"/>
      <c r="F3056" s="596"/>
      <c r="G3056" s="65">
        <v>0</v>
      </c>
      <c r="H3056" s="591" t="s">
        <v>280</v>
      </c>
      <c r="I3056" s="591" t="s">
        <v>280</v>
      </c>
    </row>
    <row r="3057" spans="1:9">
      <c r="A3057" s="580" t="s">
        <v>566</v>
      </c>
      <c r="B3057" s="65">
        <v>3255</v>
      </c>
      <c r="C3057" s="65" t="s">
        <v>281</v>
      </c>
      <c r="D3057" s="65"/>
      <c r="E3057" s="583"/>
      <c r="F3057" s="596"/>
      <c r="G3057" s="65">
        <v>0</v>
      </c>
      <c r="H3057" s="591" t="s">
        <v>280</v>
      </c>
      <c r="I3057" s="591" t="s">
        <v>280</v>
      </c>
    </row>
    <row r="3058" spans="1:9">
      <c r="A3058" s="580" t="s">
        <v>566</v>
      </c>
      <c r="B3058" s="65">
        <v>3256</v>
      </c>
      <c r="C3058" s="65" t="s">
        <v>281</v>
      </c>
      <c r="D3058" s="65"/>
      <c r="E3058" s="583"/>
      <c r="F3058" s="596"/>
      <c r="G3058" s="65">
        <v>0</v>
      </c>
      <c r="H3058" s="591" t="s">
        <v>280</v>
      </c>
      <c r="I3058" s="591" t="s">
        <v>280</v>
      </c>
    </row>
    <row r="3059" spans="1:9">
      <c r="A3059" s="580" t="s">
        <v>566</v>
      </c>
      <c r="B3059" s="65">
        <v>3257</v>
      </c>
      <c r="C3059" s="65" t="s">
        <v>1811</v>
      </c>
      <c r="D3059" s="65">
        <v>10857</v>
      </c>
      <c r="E3059" s="583"/>
      <c r="F3059" s="585">
        <v>45535</v>
      </c>
      <c r="G3059" s="65">
        <v>1</v>
      </c>
      <c r="H3059" s="591" t="s">
        <v>280</v>
      </c>
      <c r="I3059" s="591" t="s">
        <v>280</v>
      </c>
    </row>
    <row r="3060" spans="1:9">
      <c r="A3060" s="580" t="s">
        <v>566</v>
      </c>
      <c r="B3060" s="65">
        <v>3258</v>
      </c>
      <c r="C3060" s="65" t="s">
        <v>1812</v>
      </c>
      <c r="D3060" s="65">
        <v>10903</v>
      </c>
      <c r="E3060" s="583"/>
      <c r="F3060" s="585">
        <v>45535</v>
      </c>
      <c r="G3060" s="65">
        <v>1</v>
      </c>
      <c r="H3060" s="591" t="s">
        <v>280</v>
      </c>
      <c r="I3060" s="591" t="s">
        <v>280</v>
      </c>
    </row>
    <row r="3061" spans="1:9">
      <c r="A3061" s="580" t="s">
        <v>566</v>
      </c>
      <c r="B3061" s="65">
        <v>3259</v>
      </c>
      <c r="C3061" s="65" t="s">
        <v>1813</v>
      </c>
      <c r="D3061" s="65">
        <v>10906</v>
      </c>
      <c r="E3061" s="583"/>
      <c r="F3061" s="585">
        <v>45535</v>
      </c>
      <c r="G3061" s="65">
        <v>1</v>
      </c>
      <c r="H3061" s="591" t="s">
        <v>1978</v>
      </c>
      <c r="I3061" s="591" t="s">
        <v>88</v>
      </c>
    </row>
    <row r="3062" spans="1:9">
      <c r="A3062" s="582" t="s">
        <v>566</v>
      </c>
      <c r="B3062" s="65">
        <v>3260</v>
      </c>
      <c r="C3062" s="65" t="s">
        <v>1814</v>
      </c>
      <c r="D3062" s="65">
        <v>10916</v>
      </c>
      <c r="E3062" s="583"/>
      <c r="F3062" s="585">
        <v>45535</v>
      </c>
      <c r="G3062" s="65">
        <v>1</v>
      </c>
      <c r="H3062" s="591" t="s">
        <v>1978</v>
      </c>
      <c r="I3062" s="591" t="s">
        <v>88</v>
      </c>
    </row>
    <row r="3063" spans="1:9">
      <c r="A3063" s="582" t="s">
        <v>566</v>
      </c>
      <c r="B3063" s="65">
        <v>3261</v>
      </c>
      <c r="C3063" s="65" t="s">
        <v>1815</v>
      </c>
      <c r="D3063" s="65">
        <v>11006</v>
      </c>
      <c r="E3063" s="583"/>
      <c r="F3063" s="585">
        <v>45535</v>
      </c>
      <c r="G3063" s="65">
        <v>1</v>
      </c>
      <c r="H3063" s="591" t="s">
        <v>9</v>
      </c>
      <c r="I3063" s="591" t="s">
        <v>37</v>
      </c>
    </row>
    <row r="3064" spans="1:9">
      <c r="A3064" s="582" t="s">
        <v>566</v>
      </c>
      <c r="B3064" s="65">
        <v>3262</v>
      </c>
      <c r="C3064" s="65" t="s">
        <v>304</v>
      </c>
      <c r="D3064" s="65">
        <v>10513</v>
      </c>
      <c r="E3064" s="583"/>
      <c r="F3064" s="585">
        <v>45535</v>
      </c>
      <c r="G3064" s="65">
        <v>1</v>
      </c>
      <c r="H3064" s="591" t="s">
        <v>9</v>
      </c>
      <c r="I3064" s="591" t="s">
        <v>37</v>
      </c>
    </row>
    <row r="3065" spans="1:9">
      <c r="A3065" s="582" t="s">
        <v>566</v>
      </c>
      <c r="B3065" s="65">
        <v>3263</v>
      </c>
      <c r="C3065" s="65" t="s">
        <v>1816</v>
      </c>
      <c r="D3065" s="65">
        <v>11007</v>
      </c>
      <c r="E3065" s="583"/>
      <c r="F3065" s="585">
        <v>45535</v>
      </c>
      <c r="G3065" s="65">
        <v>1</v>
      </c>
      <c r="H3065" s="591" t="s">
        <v>9</v>
      </c>
      <c r="I3065" s="591" t="s">
        <v>37</v>
      </c>
    </row>
    <row r="3066" spans="1:9">
      <c r="A3066" s="582" t="s">
        <v>566</v>
      </c>
      <c r="B3066" s="65">
        <v>3264</v>
      </c>
      <c r="C3066" s="65" t="s">
        <v>1817</v>
      </c>
      <c r="D3066" s="65">
        <v>10095</v>
      </c>
      <c r="E3066" s="583"/>
      <c r="F3066" s="585">
        <v>45535</v>
      </c>
      <c r="G3066" s="65">
        <v>1</v>
      </c>
      <c r="H3066" s="591" t="s">
        <v>9</v>
      </c>
      <c r="I3066" s="591" t="s">
        <v>37</v>
      </c>
    </row>
    <row r="3067" spans="1:9">
      <c r="A3067" s="582" t="s">
        <v>566</v>
      </c>
      <c r="B3067" s="65">
        <v>3265</v>
      </c>
      <c r="C3067" s="65" t="s">
        <v>1818</v>
      </c>
      <c r="D3067" s="65">
        <v>11009</v>
      </c>
      <c r="E3067" s="583"/>
      <c r="F3067" s="585">
        <v>45535</v>
      </c>
      <c r="G3067" s="65">
        <v>1</v>
      </c>
      <c r="H3067" s="591" t="s">
        <v>280</v>
      </c>
      <c r="I3067" s="591" t="s">
        <v>280</v>
      </c>
    </row>
    <row r="3068" spans="1:9" ht="14.25">
      <c r="A3068" s="582" t="s">
        <v>566</v>
      </c>
      <c r="B3068" s="65">
        <v>3266</v>
      </c>
      <c r="C3068" s="65" t="s">
        <v>2024</v>
      </c>
      <c r="D3068" s="65">
        <v>11062</v>
      </c>
      <c r="E3068" s="587"/>
      <c r="F3068" s="585">
        <v>45612</v>
      </c>
      <c r="G3068" s="65">
        <v>1</v>
      </c>
      <c r="H3068" s="591" t="s">
        <v>280</v>
      </c>
      <c r="I3068" s="591" t="s">
        <v>280</v>
      </c>
    </row>
    <row r="3069" spans="1:9" ht="14.25">
      <c r="A3069" s="582" t="s">
        <v>566</v>
      </c>
      <c r="B3069" s="65">
        <v>3267</v>
      </c>
      <c r="C3069" s="65" t="s">
        <v>2025</v>
      </c>
      <c r="D3069" s="65">
        <v>11063</v>
      </c>
      <c r="E3069" s="587"/>
      <c r="F3069" s="585">
        <v>45612</v>
      </c>
      <c r="G3069" s="65">
        <v>1</v>
      </c>
      <c r="H3069" s="591" t="s">
        <v>280</v>
      </c>
      <c r="I3069" s="591" t="s">
        <v>280</v>
      </c>
    </row>
    <row r="3070" spans="1:9">
      <c r="A3070" s="582" t="s">
        <v>566</v>
      </c>
      <c r="B3070" s="65">
        <v>3268</v>
      </c>
      <c r="C3070" s="65" t="s">
        <v>2030</v>
      </c>
      <c r="D3070" s="65">
        <v>11066</v>
      </c>
      <c r="E3070" s="583"/>
      <c r="F3070" s="585">
        <v>45640</v>
      </c>
      <c r="G3070" s="65">
        <v>1</v>
      </c>
      <c r="H3070" s="591" t="s">
        <v>9</v>
      </c>
      <c r="I3070" s="591" t="s">
        <v>37</v>
      </c>
    </row>
    <row r="3071" spans="1:9">
      <c r="A3071" s="582" t="s">
        <v>566</v>
      </c>
      <c r="B3071" s="65">
        <v>3269</v>
      </c>
      <c r="C3071" s="65" t="s">
        <v>2031</v>
      </c>
      <c r="D3071" s="65">
        <v>11067</v>
      </c>
      <c r="E3071" s="583"/>
      <c r="F3071" s="585">
        <v>45640</v>
      </c>
      <c r="G3071" s="65">
        <v>1</v>
      </c>
      <c r="H3071" s="591" t="s">
        <v>280</v>
      </c>
      <c r="I3071" s="591" t="s">
        <v>280</v>
      </c>
    </row>
    <row r="3072" spans="1:9">
      <c r="A3072" s="582" t="s">
        <v>566</v>
      </c>
      <c r="B3072" s="65">
        <v>3270</v>
      </c>
      <c r="C3072" s="579" t="s">
        <v>281</v>
      </c>
      <c r="D3072" s="579"/>
      <c r="E3072" s="583"/>
      <c r="F3072" s="596"/>
      <c r="G3072" s="65">
        <v>0</v>
      </c>
      <c r="H3072" s="591" t="s">
        <v>280</v>
      </c>
      <c r="I3072" s="591" t="s">
        <v>280</v>
      </c>
    </row>
    <row r="3073" spans="1:9">
      <c r="A3073" s="582" t="s">
        <v>566</v>
      </c>
      <c r="B3073" s="65">
        <v>3271</v>
      </c>
      <c r="C3073" s="579" t="s">
        <v>281</v>
      </c>
      <c r="D3073" s="579"/>
      <c r="E3073" s="583"/>
      <c r="F3073" s="596"/>
      <c r="G3073" s="65">
        <v>0</v>
      </c>
      <c r="H3073" s="591" t="s">
        <v>280</v>
      </c>
      <c r="I3073" s="591" t="s">
        <v>280</v>
      </c>
    </row>
    <row r="3074" spans="1:9">
      <c r="A3074" s="582" t="s">
        <v>566</v>
      </c>
      <c r="B3074" s="65">
        <v>3272</v>
      </c>
      <c r="C3074" s="579" t="s">
        <v>281</v>
      </c>
      <c r="D3074" s="579"/>
      <c r="E3074" s="583"/>
      <c r="F3074" s="596"/>
      <c r="G3074" s="65">
        <v>0</v>
      </c>
      <c r="H3074" s="591" t="s">
        <v>280</v>
      </c>
      <c r="I3074" s="591" t="s">
        <v>280</v>
      </c>
    </row>
    <row r="3075" spans="1:9">
      <c r="A3075" s="582" t="s">
        <v>566</v>
      </c>
      <c r="B3075" s="65">
        <v>3273</v>
      </c>
      <c r="C3075" s="579" t="s">
        <v>281</v>
      </c>
      <c r="D3075" s="579"/>
      <c r="E3075" s="583"/>
      <c r="F3075" s="596"/>
      <c r="G3075" s="65">
        <v>0</v>
      </c>
      <c r="H3075" s="591" t="s">
        <v>280</v>
      </c>
      <c r="I3075" s="591" t="s">
        <v>280</v>
      </c>
    </row>
    <row r="3076" spans="1:9">
      <c r="A3076" s="582" t="s">
        <v>566</v>
      </c>
      <c r="B3076" s="65">
        <v>3274</v>
      </c>
      <c r="C3076" s="579" t="s">
        <v>281</v>
      </c>
      <c r="D3076" s="579"/>
      <c r="E3076" s="583"/>
      <c r="F3076" s="596"/>
      <c r="G3076" s="65">
        <v>0</v>
      </c>
      <c r="H3076" s="591" t="s">
        <v>280</v>
      </c>
      <c r="I3076" s="591" t="s">
        <v>280</v>
      </c>
    </row>
    <row r="3077" spans="1:9">
      <c r="A3077" s="582" t="s">
        <v>566</v>
      </c>
      <c r="B3077" s="65">
        <v>3275</v>
      </c>
      <c r="C3077" s="579" t="s">
        <v>281</v>
      </c>
      <c r="D3077" s="579"/>
      <c r="E3077" s="583"/>
      <c r="F3077" s="596"/>
      <c r="G3077" s="65">
        <v>0</v>
      </c>
      <c r="H3077" s="591" t="s">
        <v>280</v>
      </c>
      <c r="I3077" s="591" t="s">
        <v>280</v>
      </c>
    </row>
    <row r="3078" spans="1:9">
      <c r="A3078" s="582" t="s">
        <v>566</v>
      </c>
      <c r="B3078" s="65">
        <v>3276</v>
      </c>
      <c r="C3078" s="579" t="s">
        <v>281</v>
      </c>
      <c r="D3078" s="579"/>
      <c r="E3078" s="583"/>
      <c r="F3078" s="596"/>
      <c r="G3078" s="65">
        <v>0</v>
      </c>
      <c r="H3078" s="591" t="s">
        <v>280</v>
      </c>
      <c r="I3078" s="591" t="s">
        <v>280</v>
      </c>
    </row>
    <row r="3079" spans="1:9">
      <c r="A3079" s="582" t="s">
        <v>566</v>
      </c>
      <c r="B3079" s="65">
        <v>3277</v>
      </c>
      <c r="C3079" s="579" t="s">
        <v>281</v>
      </c>
      <c r="D3079" s="579"/>
      <c r="E3079" s="583"/>
      <c r="F3079" s="596"/>
      <c r="G3079" s="65">
        <v>0</v>
      </c>
      <c r="H3079" s="591" t="s">
        <v>280</v>
      </c>
      <c r="I3079" s="591" t="s">
        <v>280</v>
      </c>
    </row>
    <row r="3080" spans="1:9">
      <c r="A3080" s="582" t="s">
        <v>566</v>
      </c>
      <c r="B3080" s="65">
        <v>3278</v>
      </c>
      <c r="C3080" s="579" t="s">
        <v>281</v>
      </c>
      <c r="D3080" s="579"/>
      <c r="E3080" s="583"/>
      <c r="F3080" s="596"/>
      <c r="G3080" s="65">
        <v>0</v>
      </c>
      <c r="H3080" s="591" t="s">
        <v>280</v>
      </c>
      <c r="I3080" s="591" t="s">
        <v>280</v>
      </c>
    </row>
    <row r="3081" spans="1:9">
      <c r="A3081" s="582" t="s">
        <v>566</v>
      </c>
      <c r="B3081" s="65">
        <v>3279</v>
      </c>
      <c r="C3081" s="579" t="s">
        <v>281</v>
      </c>
      <c r="D3081" s="579"/>
      <c r="E3081" s="583"/>
      <c r="F3081" s="596"/>
      <c r="G3081" s="65">
        <v>0</v>
      </c>
      <c r="H3081" s="591" t="s">
        <v>280</v>
      </c>
      <c r="I3081" s="591" t="s">
        <v>280</v>
      </c>
    </row>
    <row r="3082" spans="1:9">
      <c r="A3082" s="582" t="s">
        <v>566</v>
      </c>
      <c r="B3082" s="65">
        <v>3280</v>
      </c>
      <c r="C3082" s="579" t="s">
        <v>281</v>
      </c>
      <c r="D3082" s="579"/>
      <c r="E3082" s="583"/>
      <c r="F3082" s="596"/>
      <c r="G3082" s="65">
        <v>0</v>
      </c>
      <c r="H3082" s="591" t="s">
        <v>280</v>
      </c>
      <c r="I3082" s="591" t="s">
        <v>280</v>
      </c>
    </row>
    <row r="3083" spans="1:9">
      <c r="A3083" s="582" t="s">
        <v>566</v>
      </c>
      <c r="B3083" s="65">
        <v>3281</v>
      </c>
      <c r="C3083" s="579" t="s">
        <v>281</v>
      </c>
      <c r="D3083" s="579"/>
      <c r="E3083" s="583"/>
      <c r="F3083" s="596"/>
      <c r="G3083" s="65">
        <v>0</v>
      </c>
      <c r="H3083" s="591" t="s">
        <v>280</v>
      </c>
      <c r="I3083" s="591" t="s">
        <v>280</v>
      </c>
    </row>
    <row r="3084" spans="1:9">
      <c r="A3084" s="582" t="s">
        <v>566</v>
      </c>
      <c r="B3084" s="65">
        <v>3282</v>
      </c>
      <c r="C3084" s="579" t="s">
        <v>281</v>
      </c>
      <c r="D3084" s="579"/>
      <c r="E3084" s="583"/>
      <c r="F3084" s="596"/>
      <c r="G3084" s="65">
        <v>0</v>
      </c>
      <c r="H3084" s="591" t="s">
        <v>280</v>
      </c>
      <c r="I3084" s="591" t="s">
        <v>280</v>
      </c>
    </row>
    <row r="3085" spans="1:9">
      <c r="A3085" s="582" t="s">
        <v>566</v>
      </c>
      <c r="B3085" s="65">
        <v>3283</v>
      </c>
      <c r="C3085" s="579" t="s">
        <v>281</v>
      </c>
      <c r="D3085" s="579"/>
      <c r="E3085" s="583"/>
      <c r="F3085" s="596"/>
      <c r="G3085" s="65">
        <v>0</v>
      </c>
      <c r="H3085" s="591" t="s">
        <v>280</v>
      </c>
      <c r="I3085" s="591" t="s">
        <v>280</v>
      </c>
    </row>
    <row r="3086" spans="1:9">
      <c r="A3086" s="582" t="s">
        <v>566</v>
      </c>
      <c r="B3086" s="65">
        <v>3284</v>
      </c>
      <c r="C3086" s="579" t="s">
        <v>281</v>
      </c>
      <c r="D3086" s="579"/>
      <c r="E3086" s="583"/>
      <c r="F3086" s="596"/>
      <c r="G3086" s="65">
        <v>0</v>
      </c>
      <c r="H3086" s="591" t="s">
        <v>280</v>
      </c>
      <c r="I3086" s="591" t="s">
        <v>280</v>
      </c>
    </row>
    <row r="3087" spans="1:9">
      <c r="A3087" s="582" t="s">
        <v>566</v>
      </c>
      <c r="B3087" s="65">
        <v>3285</v>
      </c>
      <c r="C3087" s="579" t="s">
        <v>281</v>
      </c>
      <c r="D3087" s="579"/>
      <c r="E3087" s="583"/>
      <c r="F3087" s="596"/>
      <c r="G3087" s="65">
        <v>0</v>
      </c>
      <c r="H3087" s="591" t="s">
        <v>280</v>
      </c>
      <c r="I3087" s="591" t="s">
        <v>280</v>
      </c>
    </row>
    <row r="3088" spans="1:9">
      <c r="A3088" s="582" t="s">
        <v>566</v>
      </c>
      <c r="B3088" s="65">
        <v>3286</v>
      </c>
      <c r="C3088" s="579" t="s">
        <v>281</v>
      </c>
      <c r="D3088" s="579"/>
      <c r="E3088" s="583"/>
      <c r="F3088" s="596"/>
      <c r="G3088" s="65">
        <v>0</v>
      </c>
      <c r="H3088" s="591" t="s">
        <v>280</v>
      </c>
      <c r="I3088" s="591" t="s">
        <v>280</v>
      </c>
    </row>
    <row r="3089" spans="1:10">
      <c r="A3089" s="582" t="s">
        <v>566</v>
      </c>
      <c r="B3089" s="65">
        <v>3287</v>
      </c>
      <c r="C3089" s="579" t="s">
        <v>281</v>
      </c>
      <c r="D3089" s="579"/>
      <c r="E3089" s="583"/>
      <c r="F3089" s="596"/>
      <c r="G3089" s="65">
        <v>0</v>
      </c>
      <c r="H3089" s="591" t="s">
        <v>280</v>
      </c>
      <c r="I3089" s="591" t="s">
        <v>280</v>
      </c>
    </row>
    <row r="3090" spans="1:10">
      <c r="A3090" s="582" t="s">
        <v>566</v>
      </c>
      <c r="B3090" s="65">
        <v>3288</v>
      </c>
      <c r="C3090" s="579" t="s">
        <v>281</v>
      </c>
      <c r="D3090" s="579"/>
      <c r="E3090" s="583"/>
      <c r="F3090" s="596"/>
      <c r="G3090" s="65">
        <v>0</v>
      </c>
      <c r="H3090" s="591" t="s">
        <v>280</v>
      </c>
      <c r="I3090" s="591" t="s">
        <v>280</v>
      </c>
    </row>
    <row r="3091" spans="1:10">
      <c r="A3091" s="582" t="s">
        <v>566</v>
      </c>
      <c r="B3091" s="65">
        <v>3289</v>
      </c>
      <c r="C3091" s="579" t="s">
        <v>281</v>
      </c>
      <c r="D3091" s="579"/>
      <c r="E3091" s="583"/>
      <c r="F3091" s="596"/>
      <c r="G3091" s="65">
        <v>0</v>
      </c>
      <c r="H3091" s="591" t="s">
        <v>280</v>
      </c>
      <c r="I3091" s="591" t="s">
        <v>280</v>
      </c>
    </row>
    <row r="3092" spans="1:10">
      <c r="A3092" s="582" t="s">
        <v>566</v>
      </c>
      <c r="B3092" s="65">
        <v>3290</v>
      </c>
      <c r="C3092" s="579" t="s">
        <v>281</v>
      </c>
      <c r="D3092" s="579"/>
      <c r="E3092" s="583"/>
      <c r="F3092" s="596"/>
      <c r="G3092" s="65">
        <v>0</v>
      </c>
      <c r="H3092" s="591" t="s">
        <v>280</v>
      </c>
      <c r="I3092" s="591" t="s">
        <v>280</v>
      </c>
    </row>
    <row r="3093" spans="1:10">
      <c r="A3093" s="582" t="s">
        <v>566</v>
      </c>
      <c r="B3093" s="65">
        <v>3291</v>
      </c>
      <c r="C3093" s="579" t="s">
        <v>281</v>
      </c>
      <c r="D3093" s="579"/>
      <c r="E3093" s="583"/>
      <c r="F3093" s="596"/>
      <c r="G3093" s="65">
        <v>0</v>
      </c>
      <c r="H3093" s="591" t="s">
        <v>280</v>
      </c>
      <c r="I3093" s="591" t="s">
        <v>280</v>
      </c>
    </row>
    <row r="3094" spans="1:10">
      <c r="A3094" s="582" t="s">
        <v>566</v>
      </c>
      <c r="B3094" s="65">
        <v>3292</v>
      </c>
      <c r="C3094" s="579" t="s">
        <v>281</v>
      </c>
      <c r="D3094" s="579"/>
      <c r="E3094" s="583"/>
      <c r="F3094" s="596"/>
      <c r="G3094" s="65">
        <v>0</v>
      </c>
      <c r="H3094" s="591" t="s">
        <v>280</v>
      </c>
      <c r="I3094" s="591" t="s">
        <v>280</v>
      </c>
    </row>
    <row r="3095" spans="1:10">
      <c r="A3095" s="582" t="s">
        <v>566</v>
      </c>
      <c r="B3095" s="65">
        <v>3293</v>
      </c>
      <c r="C3095" s="579" t="s">
        <v>281</v>
      </c>
      <c r="D3095" s="579"/>
      <c r="E3095" s="583"/>
      <c r="F3095" s="596"/>
      <c r="G3095" s="65">
        <v>0</v>
      </c>
      <c r="H3095" s="591" t="s">
        <v>280</v>
      </c>
      <c r="I3095" s="591" t="s">
        <v>280</v>
      </c>
    </row>
    <row r="3096" spans="1:10">
      <c r="A3096" s="582" t="s">
        <v>566</v>
      </c>
      <c r="B3096" s="65">
        <v>3294</v>
      </c>
      <c r="C3096" s="579" t="s">
        <v>281</v>
      </c>
      <c r="D3096" s="579"/>
      <c r="E3096" s="583"/>
      <c r="F3096" s="596"/>
      <c r="G3096" s="65">
        <v>0</v>
      </c>
      <c r="H3096" s="591" t="s">
        <v>280</v>
      </c>
      <c r="I3096" s="591" t="s">
        <v>280</v>
      </c>
    </row>
    <row r="3097" spans="1:10">
      <c r="A3097" s="582" t="s">
        <v>566</v>
      </c>
      <c r="B3097" s="65">
        <v>3295</v>
      </c>
      <c r="C3097" s="579" t="s">
        <v>281</v>
      </c>
      <c r="D3097" s="579"/>
      <c r="E3097" s="583"/>
      <c r="F3097" s="596"/>
      <c r="G3097" s="65">
        <v>0</v>
      </c>
      <c r="H3097" s="591" t="s">
        <v>280</v>
      </c>
      <c r="I3097" s="591" t="s">
        <v>280</v>
      </c>
    </row>
    <row r="3098" spans="1:10">
      <c r="A3098" s="582" t="s">
        <v>566</v>
      </c>
      <c r="B3098" s="65">
        <v>3296</v>
      </c>
      <c r="C3098" s="579" t="s">
        <v>281</v>
      </c>
      <c r="D3098" s="579"/>
      <c r="E3098" s="583"/>
      <c r="F3098" s="596"/>
      <c r="G3098" s="65">
        <v>0</v>
      </c>
      <c r="H3098" s="591" t="s">
        <v>280</v>
      </c>
      <c r="I3098" s="591" t="s">
        <v>280</v>
      </c>
    </row>
    <row r="3099" spans="1:10">
      <c r="A3099" s="582" t="s">
        <v>566</v>
      </c>
      <c r="B3099" s="65">
        <v>3297</v>
      </c>
      <c r="C3099" s="579" t="s">
        <v>281</v>
      </c>
      <c r="D3099" s="579"/>
      <c r="E3099" s="583"/>
      <c r="F3099" s="596"/>
      <c r="G3099" s="65">
        <v>0</v>
      </c>
      <c r="H3099" s="591" t="s">
        <v>280</v>
      </c>
      <c r="I3099" s="591" t="s">
        <v>280</v>
      </c>
    </row>
    <row r="3100" spans="1:10">
      <c r="A3100" s="582" t="s">
        <v>566</v>
      </c>
      <c r="B3100" s="65">
        <v>3298</v>
      </c>
      <c r="C3100" s="579" t="s">
        <v>281</v>
      </c>
      <c r="D3100" s="579"/>
      <c r="E3100" s="583"/>
      <c r="F3100" s="596"/>
      <c r="G3100" s="65">
        <v>0</v>
      </c>
      <c r="H3100" s="591" t="s">
        <v>280</v>
      </c>
      <c r="I3100" s="591" t="s">
        <v>280</v>
      </c>
    </row>
    <row r="3101" spans="1:10">
      <c r="A3101" s="582" t="s">
        <v>566</v>
      </c>
      <c r="B3101" s="65">
        <v>3299</v>
      </c>
      <c r="C3101" s="579" t="s">
        <v>281</v>
      </c>
      <c r="D3101" s="579"/>
      <c r="E3101" s="583"/>
      <c r="F3101" s="596"/>
      <c r="G3101" s="65">
        <v>0</v>
      </c>
      <c r="H3101" s="591" t="s">
        <v>280</v>
      </c>
      <c r="I3101" s="591" t="s">
        <v>280</v>
      </c>
    </row>
    <row r="3102" spans="1:10" ht="13.5">
      <c r="A3102" s="582" t="s">
        <v>583</v>
      </c>
      <c r="B3102" s="63">
        <v>3300</v>
      </c>
      <c r="C3102" s="63" t="s">
        <v>279</v>
      </c>
      <c r="D3102" s="63"/>
      <c r="E3102" s="62"/>
      <c r="F3102" s="585">
        <v>45535</v>
      </c>
      <c r="G3102" s="65">
        <v>1</v>
      </c>
      <c r="H3102" s="591" t="s">
        <v>280</v>
      </c>
      <c r="I3102" s="591" t="s">
        <v>280</v>
      </c>
      <c r="J3102" s="57"/>
    </row>
    <row r="3103" spans="1:10" ht="13.5">
      <c r="A3103" s="582" t="s">
        <v>583</v>
      </c>
      <c r="B3103" s="63">
        <v>3301</v>
      </c>
      <c r="C3103" s="63" t="s">
        <v>584</v>
      </c>
      <c r="D3103" s="63">
        <v>10224</v>
      </c>
      <c r="E3103" s="62"/>
      <c r="F3103" s="585">
        <v>45535</v>
      </c>
      <c r="G3103" s="65">
        <v>1</v>
      </c>
      <c r="H3103" s="591" t="s">
        <v>9</v>
      </c>
      <c r="I3103" s="591" t="s">
        <v>39</v>
      </c>
      <c r="J3103" s="57"/>
    </row>
    <row r="3104" spans="1:10" ht="13.5">
      <c r="A3104" s="582" t="s">
        <v>583</v>
      </c>
      <c r="B3104" s="63">
        <v>3302</v>
      </c>
      <c r="C3104" s="63" t="s">
        <v>281</v>
      </c>
      <c r="D3104" s="63"/>
      <c r="E3104" s="62"/>
      <c r="F3104" s="596"/>
      <c r="G3104" s="65">
        <v>0</v>
      </c>
      <c r="H3104" s="591" t="s">
        <v>280</v>
      </c>
      <c r="I3104" s="591" t="s">
        <v>280</v>
      </c>
      <c r="J3104" s="57"/>
    </row>
    <row r="3105" spans="1:10" ht="13.5">
      <c r="A3105" s="582" t="s">
        <v>583</v>
      </c>
      <c r="B3105" s="63">
        <v>3303</v>
      </c>
      <c r="C3105" s="63" t="s">
        <v>585</v>
      </c>
      <c r="D3105" s="579">
        <v>10271</v>
      </c>
      <c r="E3105" s="62"/>
      <c r="F3105" s="585">
        <v>45535</v>
      </c>
      <c r="G3105" s="65">
        <v>1</v>
      </c>
      <c r="H3105" s="591" t="s">
        <v>9</v>
      </c>
      <c r="I3105" s="591" t="s">
        <v>39</v>
      </c>
      <c r="J3105" s="57"/>
    </row>
    <row r="3106" spans="1:10" ht="13.5">
      <c r="A3106" s="582" t="s">
        <v>583</v>
      </c>
      <c r="B3106" s="63">
        <v>3304</v>
      </c>
      <c r="C3106" s="63" t="s">
        <v>586</v>
      </c>
      <c r="D3106" s="579">
        <v>10587</v>
      </c>
      <c r="E3106" s="62"/>
      <c r="F3106" s="585">
        <v>45535</v>
      </c>
      <c r="G3106" s="65">
        <v>1</v>
      </c>
      <c r="H3106" s="591" t="s">
        <v>9</v>
      </c>
      <c r="I3106" s="591" t="s">
        <v>39</v>
      </c>
      <c r="J3106" s="57"/>
    </row>
    <row r="3107" spans="1:10">
      <c r="A3107" s="582" t="s">
        <v>583</v>
      </c>
      <c r="B3107" s="63">
        <v>3305</v>
      </c>
      <c r="C3107" s="65" t="s">
        <v>1819</v>
      </c>
      <c r="D3107" s="65">
        <v>10925</v>
      </c>
      <c r="E3107" s="583"/>
      <c r="F3107" s="585">
        <v>45535</v>
      </c>
      <c r="G3107" s="65">
        <v>1</v>
      </c>
      <c r="H3107" s="591" t="s">
        <v>9</v>
      </c>
      <c r="I3107" s="591" t="s">
        <v>39</v>
      </c>
      <c r="J3107" s="57"/>
    </row>
    <row r="3108" spans="1:10" ht="13.5">
      <c r="A3108" s="582" t="s">
        <v>583</v>
      </c>
      <c r="B3108" s="63">
        <v>3306</v>
      </c>
      <c r="C3108" s="63" t="s">
        <v>587</v>
      </c>
      <c r="D3108" s="579">
        <v>10393</v>
      </c>
      <c r="E3108" s="62"/>
      <c r="F3108" s="585">
        <v>45535</v>
      </c>
      <c r="G3108" s="65">
        <v>1</v>
      </c>
      <c r="H3108" s="591" t="s">
        <v>9</v>
      </c>
      <c r="I3108" s="591" t="s">
        <v>39</v>
      </c>
      <c r="J3108" s="57"/>
    </row>
    <row r="3109" spans="1:10" ht="13.5">
      <c r="A3109" s="582" t="s">
        <v>583</v>
      </c>
      <c r="B3109" s="63">
        <v>3307</v>
      </c>
      <c r="C3109" s="63" t="s">
        <v>281</v>
      </c>
      <c r="D3109" s="63"/>
      <c r="E3109" s="62"/>
      <c r="F3109" s="596"/>
      <c r="G3109" s="65">
        <v>0</v>
      </c>
      <c r="H3109" s="591" t="s">
        <v>280</v>
      </c>
      <c r="I3109" s="591" t="s">
        <v>280</v>
      </c>
      <c r="J3109" s="57"/>
    </row>
    <row r="3110" spans="1:10" ht="13.5">
      <c r="A3110" s="582" t="s">
        <v>583</v>
      </c>
      <c r="B3110" s="63">
        <v>3308</v>
      </c>
      <c r="C3110" s="63" t="s">
        <v>588</v>
      </c>
      <c r="D3110" s="579">
        <v>10250</v>
      </c>
      <c r="E3110" s="62"/>
      <c r="F3110" s="585">
        <v>45535</v>
      </c>
      <c r="G3110" s="65">
        <v>1</v>
      </c>
      <c r="H3110" s="591" t="s">
        <v>9</v>
      </c>
      <c r="I3110" s="591" t="s">
        <v>39</v>
      </c>
      <c r="J3110" s="57"/>
    </row>
    <row r="3111" spans="1:10" ht="13.5">
      <c r="A3111" s="582" t="s">
        <v>583</v>
      </c>
      <c r="B3111" s="63">
        <v>3309</v>
      </c>
      <c r="C3111" s="63" t="s">
        <v>281</v>
      </c>
      <c r="D3111" s="63"/>
      <c r="E3111" s="62"/>
      <c r="F3111" s="596"/>
      <c r="G3111" s="65">
        <v>0</v>
      </c>
      <c r="H3111" s="591" t="s">
        <v>280</v>
      </c>
      <c r="I3111" s="591" t="s">
        <v>280</v>
      </c>
      <c r="J3111" s="57"/>
    </row>
    <row r="3112" spans="1:10" ht="13.5">
      <c r="A3112" s="582" t="s">
        <v>583</v>
      </c>
      <c r="B3112" s="63">
        <v>3310</v>
      </c>
      <c r="C3112" s="63" t="s">
        <v>281</v>
      </c>
      <c r="D3112" s="63"/>
      <c r="E3112" s="62"/>
      <c r="F3112" s="596"/>
      <c r="G3112" s="65">
        <v>0</v>
      </c>
      <c r="H3112" s="591" t="s">
        <v>280</v>
      </c>
      <c r="I3112" s="591" t="s">
        <v>280</v>
      </c>
      <c r="J3112" s="57"/>
    </row>
    <row r="3113" spans="1:10" ht="13.5">
      <c r="A3113" s="582" t="s">
        <v>583</v>
      </c>
      <c r="B3113" s="63">
        <v>3311</v>
      </c>
      <c r="C3113" s="63" t="s">
        <v>281</v>
      </c>
      <c r="D3113" s="63"/>
      <c r="E3113" s="62"/>
      <c r="F3113" s="596"/>
      <c r="G3113" s="65">
        <v>0</v>
      </c>
      <c r="H3113" s="591" t="s">
        <v>280</v>
      </c>
      <c r="I3113" s="591" t="s">
        <v>280</v>
      </c>
      <c r="J3113" s="57"/>
    </row>
    <row r="3114" spans="1:10" ht="13.5">
      <c r="A3114" s="582" t="s">
        <v>583</v>
      </c>
      <c r="B3114" s="63">
        <v>3312</v>
      </c>
      <c r="C3114" s="63" t="s">
        <v>281</v>
      </c>
      <c r="D3114" s="63"/>
      <c r="E3114" s="62"/>
      <c r="F3114" s="596"/>
      <c r="G3114" s="65">
        <v>0</v>
      </c>
      <c r="H3114" s="591" t="s">
        <v>280</v>
      </c>
      <c r="I3114" s="591" t="s">
        <v>280</v>
      </c>
      <c r="J3114" s="57"/>
    </row>
    <row r="3115" spans="1:10" ht="13.5">
      <c r="A3115" s="582" t="s">
        <v>583</v>
      </c>
      <c r="B3115" s="63">
        <v>3313</v>
      </c>
      <c r="C3115" s="63" t="s">
        <v>281</v>
      </c>
      <c r="D3115" s="63"/>
      <c r="E3115" s="62"/>
      <c r="F3115" s="596"/>
      <c r="G3115" s="65">
        <v>0</v>
      </c>
      <c r="H3115" s="591" t="s">
        <v>280</v>
      </c>
      <c r="I3115" s="591" t="s">
        <v>280</v>
      </c>
      <c r="J3115" s="57"/>
    </row>
    <row r="3116" spans="1:10" ht="12.75">
      <c r="A3116" s="582" t="s">
        <v>583</v>
      </c>
      <c r="B3116" s="63">
        <v>3314</v>
      </c>
      <c r="C3116" s="63" t="s">
        <v>281</v>
      </c>
      <c r="D3116" s="63"/>
      <c r="E3116" s="62"/>
      <c r="F3116" s="596"/>
      <c r="G3116" s="65">
        <v>0</v>
      </c>
      <c r="H3116" s="591" t="s">
        <v>280</v>
      </c>
      <c r="I3116" s="591" t="s">
        <v>280</v>
      </c>
    </row>
    <row r="3117" spans="1:10" ht="12.75">
      <c r="A3117" s="582" t="s">
        <v>583</v>
      </c>
      <c r="B3117" s="63">
        <v>3315</v>
      </c>
      <c r="C3117" s="63" t="s">
        <v>589</v>
      </c>
      <c r="D3117" s="579">
        <v>10361</v>
      </c>
      <c r="E3117" s="62"/>
      <c r="F3117" s="585">
        <v>45535</v>
      </c>
      <c r="G3117" s="65">
        <v>1</v>
      </c>
      <c r="H3117" s="591" t="s">
        <v>9</v>
      </c>
      <c r="I3117" s="591" t="s">
        <v>39</v>
      </c>
    </row>
    <row r="3118" spans="1:10" ht="12.75">
      <c r="A3118" s="582" t="s">
        <v>583</v>
      </c>
      <c r="B3118" s="63">
        <v>3316</v>
      </c>
      <c r="C3118" s="63" t="s">
        <v>1820</v>
      </c>
      <c r="D3118" s="63">
        <v>10844</v>
      </c>
      <c r="E3118" s="62"/>
      <c r="F3118" s="585">
        <v>45535</v>
      </c>
      <c r="G3118" s="65">
        <v>1</v>
      </c>
      <c r="H3118" s="591" t="s">
        <v>280</v>
      </c>
      <c r="I3118" s="591" t="s">
        <v>280</v>
      </c>
    </row>
    <row r="3119" spans="1:10" ht="12.75">
      <c r="A3119" s="582" t="s">
        <v>583</v>
      </c>
      <c r="B3119" s="63">
        <v>3317</v>
      </c>
      <c r="C3119" s="63" t="s">
        <v>590</v>
      </c>
      <c r="D3119" s="63">
        <v>10176</v>
      </c>
      <c r="E3119" s="62"/>
      <c r="F3119" s="585">
        <v>45535</v>
      </c>
      <c r="G3119" s="65">
        <v>1</v>
      </c>
      <c r="H3119" s="591" t="s">
        <v>280</v>
      </c>
      <c r="I3119" s="591" t="s">
        <v>280</v>
      </c>
    </row>
    <row r="3120" spans="1:10" ht="12.75">
      <c r="A3120" s="582" t="s">
        <v>583</v>
      </c>
      <c r="B3120" s="63">
        <v>3318</v>
      </c>
      <c r="C3120" s="63" t="s">
        <v>281</v>
      </c>
      <c r="D3120" s="63"/>
      <c r="E3120" s="62"/>
      <c r="F3120" s="596"/>
      <c r="G3120" s="65">
        <v>0</v>
      </c>
      <c r="H3120" s="591" t="s">
        <v>280</v>
      </c>
      <c r="I3120" s="591" t="s">
        <v>280</v>
      </c>
    </row>
    <row r="3121" spans="1:9" ht="12.75">
      <c r="A3121" s="582" t="s">
        <v>583</v>
      </c>
      <c r="B3121" s="63">
        <v>3319</v>
      </c>
      <c r="C3121" s="63" t="s">
        <v>281</v>
      </c>
      <c r="D3121" s="63"/>
      <c r="E3121" s="62"/>
      <c r="F3121" s="596"/>
      <c r="G3121" s="65">
        <v>0</v>
      </c>
      <c r="H3121" s="591" t="s">
        <v>280</v>
      </c>
      <c r="I3121" s="591" t="s">
        <v>280</v>
      </c>
    </row>
    <row r="3122" spans="1:9" ht="12.75">
      <c r="A3122" s="582" t="s">
        <v>583</v>
      </c>
      <c r="B3122" s="63">
        <v>3320</v>
      </c>
      <c r="C3122" s="63" t="s">
        <v>281</v>
      </c>
      <c r="D3122" s="579"/>
      <c r="E3122" s="62"/>
      <c r="F3122" s="596"/>
      <c r="G3122" s="65">
        <v>0</v>
      </c>
      <c r="H3122" s="591" t="s">
        <v>280</v>
      </c>
      <c r="I3122" s="591" t="s">
        <v>280</v>
      </c>
    </row>
    <row r="3123" spans="1:9" ht="12.75">
      <c r="A3123" s="582" t="s">
        <v>583</v>
      </c>
      <c r="B3123" s="63">
        <v>3321</v>
      </c>
      <c r="C3123" s="63" t="s">
        <v>281</v>
      </c>
      <c r="D3123" s="579"/>
      <c r="E3123" s="62"/>
      <c r="F3123" s="596"/>
      <c r="G3123" s="65">
        <v>0</v>
      </c>
      <c r="H3123" s="591" t="s">
        <v>280</v>
      </c>
      <c r="I3123" s="591" t="s">
        <v>280</v>
      </c>
    </row>
    <row r="3124" spans="1:9" ht="12.75">
      <c r="A3124" s="582" t="s">
        <v>583</v>
      </c>
      <c r="B3124" s="63">
        <v>3322</v>
      </c>
      <c r="C3124" s="63" t="s">
        <v>591</v>
      </c>
      <c r="D3124" s="63">
        <v>10368</v>
      </c>
      <c r="E3124" s="62"/>
      <c r="F3124" s="585">
        <v>45535</v>
      </c>
      <c r="G3124" s="65">
        <v>1</v>
      </c>
      <c r="H3124" s="591" t="s">
        <v>9</v>
      </c>
      <c r="I3124" s="591" t="s">
        <v>39</v>
      </c>
    </row>
    <row r="3125" spans="1:9">
      <c r="A3125" s="582" t="s">
        <v>583</v>
      </c>
      <c r="B3125" s="65">
        <v>3323</v>
      </c>
      <c r="C3125" s="63" t="s">
        <v>592</v>
      </c>
      <c r="D3125" s="63">
        <v>10030</v>
      </c>
      <c r="E3125" s="583"/>
      <c r="F3125" s="585">
        <v>45535</v>
      </c>
      <c r="G3125" s="65">
        <v>1</v>
      </c>
      <c r="H3125" s="591" t="s">
        <v>9</v>
      </c>
      <c r="I3125" s="591" t="s">
        <v>39</v>
      </c>
    </row>
    <row r="3126" spans="1:9">
      <c r="A3126" s="582" t="s">
        <v>583</v>
      </c>
      <c r="B3126" s="65">
        <v>3324</v>
      </c>
      <c r="C3126" s="63" t="s">
        <v>680</v>
      </c>
      <c r="D3126" s="63">
        <v>10194</v>
      </c>
      <c r="E3126" s="583"/>
      <c r="F3126" s="585">
        <v>45535</v>
      </c>
      <c r="G3126" s="65">
        <v>1</v>
      </c>
      <c r="H3126" s="591" t="s">
        <v>9</v>
      </c>
      <c r="I3126" s="591" t="s">
        <v>39</v>
      </c>
    </row>
    <row r="3127" spans="1:9">
      <c r="A3127" s="582" t="s">
        <v>583</v>
      </c>
      <c r="B3127" s="65">
        <v>3325</v>
      </c>
      <c r="C3127" s="63" t="s">
        <v>324</v>
      </c>
      <c r="D3127" s="63">
        <v>10173</v>
      </c>
      <c r="E3127" s="583"/>
      <c r="F3127" s="585">
        <v>45535</v>
      </c>
      <c r="G3127" s="65">
        <v>1</v>
      </c>
      <c r="H3127" s="591" t="s">
        <v>9</v>
      </c>
      <c r="I3127" s="591" t="s">
        <v>39</v>
      </c>
    </row>
    <row r="3128" spans="1:9">
      <c r="A3128" s="582" t="s">
        <v>583</v>
      </c>
      <c r="B3128" s="65">
        <v>3326</v>
      </c>
      <c r="C3128" s="63" t="s">
        <v>661</v>
      </c>
      <c r="D3128" s="63">
        <v>10394</v>
      </c>
      <c r="E3128" s="583"/>
      <c r="F3128" s="585">
        <v>45535</v>
      </c>
      <c r="G3128" s="65">
        <v>1</v>
      </c>
      <c r="H3128" s="591" t="s">
        <v>9</v>
      </c>
      <c r="I3128" s="591" t="s">
        <v>39</v>
      </c>
    </row>
    <row r="3129" spans="1:9">
      <c r="A3129" s="582" t="s">
        <v>583</v>
      </c>
      <c r="B3129" s="65">
        <v>3327</v>
      </c>
      <c r="C3129" s="63" t="s">
        <v>1821</v>
      </c>
      <c r="D3129" s="63">
        <v>10818</v>
      </c>
      <c r="E3129" s="583"/>
      <c r="F3129" s="585">
        <v>45535</v>
      </c>
      <c r="G3129" s="65">
        <v>1</v>
      </c>
      <c r="H3129" s="591" t="s">
        <v>280</v>
      </c>
      <c r="I3129" s="591" t="s">
        <v>280</v>
      </c>
    </row>
    <row r="3130" spans="1:9">
      <c r="A3130" s="582" t="s">
        <v>583</v>
      </c>
      <c r="B3130" s="65">
        <v>3328</v>
      </c>
      <c r="C3130" s="70" t="s">
        <v>540</v>
      </c>
      <c r="D3130" s="63">
        <v>10523</v>
      </c>
      <c r="E3130" s="583"/>
      <c r="F3130" s="585">
        <v>45535</v>
      </c>
      <c r="G3130" s="65">
        <v>1</v>
      </c>
      <c r="H3130" s="591" t="s">
        <v>9</v>
      </c>
      <c r="I3130" s="591" t="s">
        <v>39</v>
      </c>
    </row>
    <row r="3131" spans="1:9">
      <c r="A3131" s="582" t="s">
        <v>583</v>
      </c>
      <c r="B3131" s="65">
        <v>3329</v>
      </c>
      <c r="C3131" s="63" t="s">
        <v>462</v>
      </c>
      <c r="D3131" s="63">
        <v>10289</v>
      </c>
      <c r="E3131" s="583"/>
      <c r="F3131" s="585">
        <v>45535</v>
      </c>
      <c r="G3131" s="65">
        <v>1</v>
      </c>
      <c r="H3131" s="591" t="s">
        <v>9</v>
      </c>
      <c r="I3131" s="591" t="s">
        <v>39</v>
      </c>
    </row>
    <row r="3132" spans="1:9">
      <c r="A3132" s="582" t="s">
        <v>583</v>
      </c>
      <c r="B3132" s="65">
        <v>3330</v>
      </c>
      <c r="C3132" s="579" t="s">
        <v>281</v>
      </c>
      <c r="D3132" s="579"/>
      <c r="E3132" s="583"/>
      <c r="F3132" s="596"/>
      <c r="G3132" s="65">
        <v>0</v>
      </c>
      <c r="H3132" s="591" t="s">
        <v>280</v>
      </c>
      <c r="I3132" s="591" t="s">
        <v>280</v>
      </c>
    </row>
    <row r="3133" spans="1:9">
      <c r="A3133" s="582" t="s">
        <v>583</v>
      </c>
      <c r="B3133" s="65">
        <v>3331</v>
      </c>
      <c r="C3133" s="579" t="s">
        <v>281</v>
      </c>
      <c r="D3133" s="579"/>
      <c r="E3133" s="583"/>
      <c r="F3133" s="596"/>
      <c r="G3133" s="65">
        <v>0</v>
      </c>
      <c r="H3133" s="591" t="s">
        <v>280</v>
      </c>
      <c r="I3133" s="591" t="s">
        <v>280</v>
      </c>
    </row>
    <row r="3134" spans="1:9">
      <c r="A3134" s="582" t="s">
        <v>583</v>
      </c>
      <c r="B3134" s="65">
        <v>3332</v>
      </c>
      <c r="C3134" s="579" t="s">
        <v>281</v>
      </c>
      <c r="D3134" s="579"/>
      <c r="E3134" s="583"/>
      <c r="F3134" s="596"/>
      <c r="G3134" s="65">
        <v>0</v>
      </c>
      <c r="H3134" s="591" t="s">
        <v>280</v>
      </c>
      <c r="I3134" s="591" t="s">
        <v>280</v>
      </c>
    </row>
    <row r="3135" spans="1:9">
      <c r="A3135" s="582" t="s">
        <v>583</v>
      </c>
      <c r="B3135" s="65">
        <v>3333</v>
      </c>
      <c r="C3135" s="579" t="s">
        <v>281</v>
      </c>
      <c r="D3135" s="579"/>
      <c r="E3135" s="583"/>
      <c r="F3135" s="596"/>
      <c r="G3135" s="65">
        <v>0</v>
      </c>
      <c r="H3135" s="591" t="s">
        <v>280</v>
      </c>
      <c r="I3135" s="591" t="s">
        <v>280</v>
      </c>
    </row>
    <row r="3136" spans="1:9">
      <c r="A3136" s="582" t="s">
        <v>583</v>
      </c>
      <c r="B3136" s="65">
        <v>3334</v>
      </c>
      <c r="C3136" s="579" t="s">
        <v>281</v>
      </c>
      <c r="D3136" s="579"/>
      <c r="E3136" s="583"/>
      <c r="F3136" s="596"/>
      <c r="G3136" s="65">
        <v>0</v>
      </c>
      <c r="H3136" s="591" t="s">
        <v>280</v>
      </c>
      <c r="I3136" s="591" t="s">
        <v>280</v>
      </c>
    </row>
    <row r="3137" spans="1:9">
      <c r="A3137" s="582" t="s">
        <v>583</v>
      </c>
      <c r="B3137" s="65">
        <v>3335</v>
      </c>
      <c r="C3137" s="579" t="s">
        <v>281</v>
      </c>
      <c r="D3137" s="579"/>
      <c r="E3137" s="583"/>
      <c r="F3137" s="596"/>
      <c r="G3137" s="65">
        <v>0</v>
      </c>
      <c r="H3137" s="591" t="s">
        <v>280</v>
      </c>
      <c r="I3137" s="591" t="s">
        <v>280</v>
      </c>
    </row>
    <row r="3138" spans="1:9">
      <c r="A3138" s="582" t="s">
        <v>583</v>
      </c>
      <c r="B3138" s="65">
        <v>3336</v>
      </c>
      <c r="C3138" s="579" t="s">
        <v>281</v>
      </c>
      <c r="D3138" s="579"/>
      <c r="E3138" s="583"/>
      <c r="F3138" s="596"/>
      <c r="G3138" s="65">
        <v>0</v>
      </c>
      <c r="H3138" s="591" t="s">
        <v>280</v>
      </c>
      <c r="I3138" s="591" t="s">
        <v>280</v>
      </c>
    </row>
    <row r="3139" spans="1:9">
      <c r="A3139" s="582" t="s">
        <v>583</v>
      </c>
      <c r="B3139" s="65">
        <v>3337</v>
      </c>
      <c r="C3139" s="579" t="s">
        <v>281</v>
      </c>
      <c r="D3139" s="579"/>
      <c r="E3139" s="583"/>
      <c r="F3139" s="596"/>
      <c r="G3139" s="65">
        <v>0</v>
      </c>
      <c r="H3139" s="591" t="s">
        <v>280</v>
      </c>
      <c r="I3139" s="591" t="s">
        <v>280</v>
      </c>
    </row>
    <row r="3140" spans="1:9">
      <c r="A3140" s="582" t="s">
        <v>583</v>
      </c>
      <c r="B3140" s="65">
        <v>3338</v>
      </c>
      <c r="C3140" s="579" t="s">
        <v>281</v>
      </c>
      <c r="D3140" s="579"/>
      <c r="E3140" s="583"/>
      <c r="F3140" s="596"/>
      <c r="G3140" s="65">
        <v>0</v>
      </c>
      <c r="H3140" s="591" t="s">
        <v>280</v>
      </c>
      <c r="I3140" s="591" t="s">
        <v>280</v>
      </c>
    </row>
    <row r="3141" spans="1:9">
      <c r="A3141" s="582" t="s">
        <v>583</v>
      </c>
      <c r="B3141" s="65">
        <v>3339</v>
      </c>
      <c r="C3141" s="579" t="s">
        <v>281</v>
      </c>
      <c r="D3141" s="579"/>
      <c r="E3141" s="583"/>
      <c r="F3141" s="596"/>
      <c r="G3141" s="65">
        <v>0</v>
      </c>
      <c r="H3141" s="591" t="s">
        <v>280</v>
      </c>
      <c r="I3141" s="591" t="s">
        <v>280</v>
      </c>
    </row>
    <row r="3142" spans="1:9">
      <c r="A3142" s="582" t="s">
        <v>583</v>
      </c>
      <c r="B3142" s="65">
        <v>3340</v>
      </c>
      <c r="C3142" s="579" t="s">
        <v>281</v>
      </c>
      <c r="D3142" s="579"/>
      <c r="E3142" s="583"/>
      <c r="F3142" s="596"/>
      <c r="G3142" s="65">
        <v>0</v>
      </c>
      <c r="H3142" s="591" t="s">
        <v>280</v>
      </c>
      <c r="I3142" s="591" t="s">
        <v>280</v>
      </c>
    </row>
    <row r="3143" spans="1:9">
      <c r="A3143" s="582" t="s">
        <v>583</v>
      </c>
      <c r="B3143" s="65">
        <v>3341</v>
      </c>
      <c r="C3143" s="579" t="s">
        <v>281</v>
      </c>
      <c r="D3143" s="579"/>
      <c r="E3143" s="583"/>
      <c r="F3143" s="596"/>
      <c r="G3143" s="65">
        <v>0</v>
      </c>
      <c r="H3143" s="591" t="s">
        <v>280</v>
      </c>
      <c r="I3143" s="591" t="s">
        <v>280</v>
      </c>
    </row>
    <row r="3144" spans="1:9">
      <c r="A3144" s="582" t="s">
        <v>583</v>
      </c>
      <c r="B3144" s="65">
        <v>3342</v>
      </c>
      <c r="C3144" s="579" t="s">
        <v>281</v>
      </c>
      <c r="D3144" s="579"/>
      <c r="E3144" s="583"/>
      <c r="F3144" s="596"/>
      <c r="G3144" s="65">
        <v>0</v>
      </c>
      <c r="H3144" s="591" t="s">
        <v>280</v>
      </c>
      <c r="I3144" s="591" t="s">
        <v>280</v>
      </c>
    </row>
    <row r="3145" spans="1:9">
      <c r="A3145" s="582" t="s">
        <v>583</v>
      </c>
      <c r="B3145" s="65">
        <v>3343</v>
      </c>
      <c r="C3145" s="579" t="s">
        <v>281</v>
      </c>
      <c r="D3145" s="579"/>
      <c r="E3145" s="583"/>
      <c r="F3145" s="596"/>
      <c r="G3145" s="65">
        <v>0</v>
      </c>
      <c r="H3145" s="591" t="s">
        <v>280</v>
      </c>
      <c r="I3145" s="591" t="s">
        <v>280</v>
      </c>
    </row>
    <row r="3146" spans="1:9">
      <c r="A3146" s="582" t="s">
        <v>583</v>
      </c>
      <c r="B3146" s="65">
        <v>3344</v>
      </c>
      <c r="C3146" s="579" t="s">
        <v>281</v>
      </c>
      <c r="D3146" s="579"/>
      <c r="E3146" s="583"/>
      <c r="F3146" s="596"/>
      <c r="G3146" s="65">
        <v>0</v>
      </c>
      <c r="H3146" s="591" t="s">
        <v>280</v>
      </c>
      <c r="I3146" s="591" t="s">
        <v>280</v>
      </c>
    </row>
    <row r="3147" spans="1:9">
      <c r="A3147" s="582" t="s">
        <v>583</v>
      </c>
      <c r="B3147" s="65">
        <v>3345</v>
      </c>
      <c r="C3147" s="579" t="s">
        <v>281</v>
      </c>
      <c r="D3147" s="579"/>
      <c r="E3147" s="583"/>
      <c r="F3147" s="596"/>
      <c r="G3147" s="65">
        <v>0</v>
      </c>
      <c r="H3147" s="591" t="s">
        <v>280</v>
      </c>
      <c r="I3147" s="591" t="s">
        <v>280</v>
      </c>
    </row>
    <row r="3148" spans="1:9">
      <c r="A3148" s="582" t="s">
        <v>583</v>
      </c>
      <c r="B3148" s="65">
        <v>3346</v>
      </c>
      <c r="C3148" s="579" t="s">
        <v>281</v>
      </c>
      <c r="D3148" s="579"/>
      <c r="E3148" s="583"/>
      <c r="F3148" s="596"/>
      <c r="G3148" s="65">
        <v>0</v>
      </c>
      <c r="H3148" s="591" t="s">
        <v>280</v>
      </c>
      <c r="I3148" s="591" t="s">
        <v>280</v>
      </c>
    </row>
    <row r="3149" spans="1:9">
      <c r="A3149" s="582" t="s">
        <v>583</v>
      </c>
      <c r="B3149" s="65">
        <v>3347</v>
      </c>
      <c r="C3149" s="579" t="s">
        <v>281</v>
      </c>
      <c r="D3149" s="579"/>
      <c r="E3149" s="583"/>
      <c r="F3149" s="596"/>
      <c r="G3149" s="65">
        <v>0</v>
      </c>
      <c r="H3149" s="591" t="s">
        <v>280</v>
      </c>
      <c r="I3149" s="591" t="s">
        <v>280</v>
      </c>
    </row>
    <row r="3150" spans="1:9">
      <c r="A3150" s="582" t="s">
        <v>583</v>
      </c>
      <c r="B3150" s="65">
        <v>3348</v>
      </c>
      <c r="C3150" s="579" t="s">
        <v>281</v>
      </c>
      <c r="D3150" s="579"/>
      <c r="E3150" s="583"/>
      <c r="F3150" s="596"/>
      <c r="G3150" s="65">
        <v>0</v>
      </c>
      <c r="H3150" s="591" t="s">
        <v>280</v>
      </c>
      <c r="I3150" s="591" t="s">
        <v>280</v>
      </c>
    </row>
    <row r="3151" spans="1:9">
      <c r="A3151" s="582" t="s">
        <v>583</v>
      </c>
      <c r="B3151" s="65">
        <v>3349</v>
      </c>
      <c r="C3151" s="579" t="s">
        <v>281</v>
      </c>
      <c r="D3151" s="579"/>
      <c r="E3151" s="583"/>
      <c r="F3151" s="596"/>
      <c r="G3151" s="65">
        <v>0</v>
      </c>
      <c r="H3151" s="591" t="s">
        <v>280</v>
      </c>
      <c r="I3151" s="591" t="s">
        <v>280</v>
      </c>
    </row>
    <row r="3152" spans="1:9">
      <c r="A3152" s="582" t="s">
        <v>583</v>
      </c>
      <c r="B3152" s="65">
        <v>3350</v>
      </c>
      <c r="C3152" s="579" t="s">
        <v>281</v>
      </c>
      <c r="D3152" s="579"/>
      <c r="E3152" s="583"/>
      <c r="F3152" s="596"/>
      <c r="G3152" s="65">
        <v>0</v>
      </c>
      <c r="H3152" s="591" t="s">
        <v>280</v>
      </c>
      <c r="I3152" s="591" t="s">
        <v>280</v>
      </c>
    </row>
    <row r="3153" spans="1:9">
      <c r="A3153" s="582" t="s">
        <v>583</v>
      </c>
      <c r="B3153" s="65">
        <v>3351</v>
      </c>
      <c r="C3153" s="579" t="s">
        <v>281</v>
      </c>
      <c r="D3153" s="579"/>
      <c r="E3153" s="583"/>
      <c r="F3153" s="596"/>
      <c r="G3153" s="65">
        <v>0</v>
      </c>
      <c r="H3153" s="591" t="s">
        <v>280</v>
      </c>
      <c r="I3153" s="591" t="s">
        <v>280</v>
      </c>
    </row>
    <row r="3154" spans="1:9">
      <c r="A3154" s="582" t="s">
        <v>583</v>
      </c>
      <c r="B3154" s="65">
        <v>3352</v>
      </c>
      <c r="C3154" s="579" t="s">
        <v>281</v>
      </c>
      <c r="D3154" s="579"/>
      <c r="E3154" s="583"/>
      <c r="F3154" s="596"/>
      <c r="G3154" s="65">
        <v>0</v>
      </c>
      <c r="H3154" s="591" t="s">
        <v>280</v>
      </c>
      <c r="I3154" s="591" t="s">
        <v>280</v>
      </c>
    </row>
    <row r="3155" spans="1:9">
      <c r="A3155" s="582" t="s">
        <v>583</v>
      </c>
      <c r="B3155" s="65">
        <v>3353</v>
      </c>
      <c r="C3155" s="579" t="s">
        <v>281</v>
      </c>
      <c r="D3155" s="579"/>
      <c r="E3155" s="583"/>
      <c r="F3155" s="596"/>
      <c r="G3155" s="65">
        <v>0</v>
      </c>
      <c r="H3155" s="591" t="s">
        <v>280</v>
      </c>
      <c r="I3155" s="591" t="s">
        <v>280</v>
      </c>
    </row>
    <row r="3156" spans="1:9">
      <c r="A3156" s="582" t="s">
        <v>583</v>
      </c>
      <c r="B3156" s="65">
        <v>3354</v>
      </c>
      <c r="C3156" s="579" t="s">
        <v>281</v>
      </c>
      <c r="D3156" s="579"/>
      <c r="E3156" s="583"/>
      <c r="F3156" s="596"/>
      <c r="G3156" s="65">
        <v>0</v>
      </c>
      <c r="H3156" s="591" t="s">
        <v>280</v>
      </c>
      <c r="I3156" s="591" t="s">
        <v>280</v>
      </c>
    </row>
    <row r="3157" spans="1:9">
      <c r="A3157" s="582" t="s">
        <v>583</v>
      </c>
      <c r="B3157" s="65">
        <v>3355</v>
      </c>
      <c r="C3157" s="579" t="s">
        <v>281</v>
      </c>
      <c r="D3157" s="579"/>
      <c r="E3157" s="583"/>
      <c r="F3157" s="596"/>
      <c r="G3157" s="65">
        <v>0</v>
      </c>
      <c r="H3157" s="591" t="s">
        <v>280</v>
      </c>
      <c r="I3157" s="591" t="s">
        <v>280</v>
      </c>
    </row>
    <row r="3158" spans="1:9">
      <c r="A3158" s="582" t="s">
        <v>583</v>
      </c>
      <c r="B3158" s="65">
        <v>3356</v>
      </c>
      <c r="C3158" s="579" t="s">
        <v>281</v>
      </c>
      <c r="D3158" s="579"/>
      <c r="E3158" s="583"/>
      <c r="F3158" s="596"/>
      <c r="G3158" s="65">
        <v>0</v>
      </c>
      <c r="H3158" s="591" t="s">
        <v>280</v>
      </c>
      <c r="I3158" s="591" t="s">
        <v>280</v>
      </c>
    </row>
    <row r="3159" spans="1:9">
      <c r="A3159" s="582" t="s">
        <v>583</v>
      </c>
      <c r="B3159" s="65">
        <v>3357</v>
      </c>
      <c r="C3159" s="579" t="s">
        <v>281</v>
      </c>
      <c r="D3159" s="579"/>
      <c r="E3159" s="583"/>
      <c r="F3159" s="596"/>
      <c r="G3159" s="65">
        <v>0</v>
      </c>
      <c r="H3159" s="591" t="s">
        <v>280</v>
      </c>
      <c r="I3159" s="591" t="s">
        <v>280</v>
      </c>
    </row>
    <row r="3160" spans="1:9">
      <c r="A3160" s="582" t="s">
        <v>583</v>
      </c>
      <c r="B3160" s="65">
        <v>3358</v>
      </c>
      <c r="C3160" s="579" t="s">
        <v>281</v>
      </c>
      <c r="D3160" s="579"/>
      <c r="E3160" s="583"/>
      <c r="F3160" s="596"/>
      <c r="G3160" s="65">
        <v>0</v>
      </c>
      <c r="H3160" s="591" t="s">
        <v>280</v>
      </c>
      <c r="I3160" s="591" t="s">
        <v>280</v>
      </c>
    </row>
    <row r="3161" spans="1:9">
      <c r="A3161" s="582" t="s">
        <v>583</v>
      </c>
      <c r="B3161" s="65">
        <v>3359</v>
      </c>
      <c r="C3161" s="579" t="s">
        <v>281</v>
      </c>
      <c r="D3161" s="579"/>
      <c r="E3161" s="583"/>
      <c r="F3161" s="596"/>
      <c r="G3161" s="65">
        <v>0</v>
      </c>
      <c r="H3161" s="591" t="s">
        <v>280</v>
      </c>
      <c r="I3161" s="591" t="s">
        <v>280</v>
      </c>
    </row>
    <row r="3162" spans="1:9">
      <c r="A3162" s="582" t="s">
        <v>583</v>
      </c>
      <c r="B3162" s="65">
        <v>3360</v>
      </c>
      <c r="C3162" s="579" t="s">
        <v>281</v>
      </c>
      <c r="D3162" s="579"/>
      <c r="E3162" s="583"/>
      <c r="F3162" s="596"/>
      <c r="G3162" s="65">
        <v>0</v>
      </c>
      <c r="H3162" s="591" t="s">
        <v>280</v>
      </c>
      <c r="I3162" s="591" t="s">
        <v>280</v>
      </c>
    </row>
    <row r="3163" spans="1:9">
      <c r="A3163" s="582" t="s">
        <v>583</v>
      </c>
      <c r="B3163" s="65">
        <v>3361</v>
      </c>
      <c r="C3163" s="579" t="s">
        <v>281</v>
      </c>
      <c r="D3163" s="579"/>
      <c r="E3163" s="583"/>
      <c r="F3163" s="596"/>
      <c r="G3163" s="65">
        <v>0</v>
      </c>
      <c r="H3163" s="591" t="s">
        <v>280</v>
      </c>
      <c r="I3163" s="591" t="s">
        <v>280</v>
      </c>
    </row>
    <row r="3164" spans="1:9">
      <c r="A3164" s="582" t="s">
        <v>583</v>
      </c>
      <c r="B3164" s="65">
        <v>3362</v>
      </c>
      <c r="C3164" s="579" t="s">
        <v>281</v>
      </c>
      <c r="D3164" s="579"/>
      <c r="E3164" s="583"/>
      <c r="F3164" s="596"/>
      <c r="G3164" s="65">
        <v>0</v>
      </c>
      <c r="H3164" s="591" t="s">
        <v>280</v>
      </c>
      <c r="I3164" s="591" t="s">
        <v>280</v>
      </c>
    </row>
    <row r="3165" spans="1:9">
      <c r="A3165" s="582" t="s">
        <v>583</v>
      </c>
      <c r="B3165" s="65">
        <v>3363</v>
      </c>
      <c r="C3165" s="579" t="s">
        <v>281</v>
      </c>
      <c r="D3165" s="579"/>
      <c r="E3165" s="583"/>
      <c r="F3165" s="596"/>
      <c r="G3165" s="65">
        <v>0</v>
      </c>
      <c r="H3165" s="591" t="s">
        <v>280</v>
      </c>
      <c r="I3165" s="591" t="s">
        <v>280</v>
      </c>
    </row>
    <row r="3166" spans="1:9">
      <c r="A3166" s="582" t="s">
        <v>583</v>
      </c>
      <c r="B3166" s="65">
        <v>3364</v>
      </c>
      <c r="C3166" s="579" t="s">
        <v>281</v>
      </c>
      <c r="D3166" s="579"/>
      <c r="E3166" s="583"/>
      <c r="F3166" s="596"/>
      <c r="G3166" s="65">
        <v>0</v>
      </c>
      <c r="H3166" s="591" t="s">
        <v>280</v>
      </c>
      <c r="I3166" s="591" t="s">
        <v>280</v>
      </c>
    </row>
    <row r="3167" spans="1:9">
      <c r="A3167" s="582" t="s">
        <v>583</v>
      </c>
      <c r="B3167" s="65">
        <v>3365</v>
      </c>
      <c r="C3167" s="579" t="s">
        <v>281</v>
      </c>
      <c r="D3167" s="579"/>
      <c r="E3167" s="583"/>
      <c r="F3167" s="596"/>
      <c r="G3167" s="65">
        <v>0</v>
      </c>
      <c r="H3167" s="591" t="s">
        <v>280</v>
      </c>
      <c r="I3167" s="591" t="s">
        <v>280</v>
      </c>
    </row>
    <row r="3168" spans="1:9">
      <c r="A3168" s="582" t="s">
        <v>583</v>
      </c>
      <c r="B3168" s="65">
        <v>3366</v>
      </c>
      <c r="C3168" s="579" t="s">
        <v>281</v>
      </c>
      <c r="D3168" s="579"/>
      <c r="E3168" s="583"/>
      <c r="F3168" s="596"/>
      <c r="G3168" s="65">
        <v>0</v>
      </c>
      <c r="H3168" s="591" t="s">
        <v>280</v>
      </c>
      <c r="I3168" s="591" t="s">
        <v>280</v>
      </c>
    </row>
    <row r="3169" spans="1:9">
      <c r="A3169" s="582" t="s">
        <v>583</v>
      </c>
      <c r="B3169" s="65">
        <v>3367</v>
      </c>
      <c r="C3169" s="579" t="s">
        <v>281</v>
      </c>
      <c r="D3169" s="579"/>
      <c r="E3169" s="583"/>
      <c r="F3169" s="596"/>
      <c r="G3169" s="65">
        <v>0</v>
      </c>
      <c r="H3169" s="591" t="s">
        <v>280</v>
      </c>
      <c r="I3169" s="591" t="s">
        <v>280</v>
      </c>
    </row>
    <row r="3170" spans="1:9">
      <c r="A3170" s="582" t="s">
        <v>583</v>
      </c>
      <c r="B3170" s="65">
        <v>3368</v>
      </c>
      <c r="C3170" s="579" t="s">
        <v>281</v>
      </c>
      <c r="D3170" s="579"/>
      <c r="E3170" s="583"/>
      <c r="F3170" s="596"/>
      <c r="G3170" s="65">
        <v>0</v>
      </c>
      <c r="H3170" s="591" t="s">
        <v>280</v>
      </c>
      <c r="I3170" s="591" t="s">
        <v>280</v>
      </c>
    </row>
    <row r="3171" spans="1:9">
      <c r="A3171" s="582" t="s">
        <v>583</v>
      </c>
      <c r="B3171" s="65">
        <v>3369</v>
      </c>
      <c r="C3171" s="579" t="s">
        <v>281</v>
      </c>
      <c r="D3171" s="579"/>
      <c r="E3171" s="583"/>
      <c r="F3171" s="596"/>
      <c r="G3171" s="65">
        <v>0</v>
      </c>
      <c r="H3171" s="591" t="s">
        <v>280</v>
      </c>
      <c r="I3171" s="591" t="s">
        <v>280</v>
      </c>
    </row>
    <row r="3172" spans="1:9">
      <c r="A3172" s="582" t="s">
        <v>583</v>
      </c>
      <c r="B3172" s="65">
        <v>3370</v>
      </c>
      <c r="C3172" s="579" t="s">
        <v>281</v>
      </c>
      <c r="D3172" s="579"/>
      <c r="E3172" s="583"/>
      <c r="F3172" s="596"/>
      <c r="G3172" s="65">
        <v>0</v>
      </c>
      <c r="H3172" s="591" t="s">
        <v>280</v>
      </c>
      <c r="I3172" s="591" t="s">
        <v>280</v>
      </c>
    </row>
    <row r="3173" spans="1:9">
      <c r="A3173" s="582" t="s">
        <v>583</v>
      </c>
      <c r="B3173" s="65">
        <v>3371</v>
      </c>
      <c r="C3173" s="579" t="s">
        <v>281</v>
      </c>
      <c r="D3173" s="579"/>
      <c r="E3173" s="583"/>
      <c r="F3173" s="596"/>
      <c r="G3173" s="65">
        <v>0</v>
      </c>
      <c r="H3173" s="591" t="s">
        <v>280</v>
      </c>
      <c r="I3173" s="591" t="s">
        <v>280</v>
      </c>
    </row>
    <row r="3174" spans="1:9">
      <c r="A3174" s="582" t="s">
        <v>583</v>
      </c>
      <c r="B3174" s="65">
        <v>3372</v>
      </c>
      <c r="C3174" s="579" t="s">
        <v>281</v>
      </c>
      <c r="D3174" s="579"/>
      <c r="E3174" s="583"/>
      <c r="F3174" s="596"/>
      <c r="G3174" s="65">
        <v>0</v>
      </c>
      <c r="H3174" s="591" t="s">
        <v>280</v>
      </c>
      <c r="I3174" s="591" t="s">
        <v>280</v>
      </c>
    </row>
    <row r="3175" spans="1:9">
      <c r="A3175" s="582" t="s">
        <v>583</v>
      </c>
      <c r="B3175" s="65">
        <v>3373</v>
      </c>
      <c r="C3175" s="579" t="s">
        <v>281</v>
      </c>
      <c r="D3175" s="579"/>
      <c r="E3175" s="583"/>
      <c r="F3175" s="596"/>
      <c r="G3175" s="65">
        <v>0</v>
      </c>
      <c r="H3175" s="591" t="s">
        <v>280</v>
      </c>
      <c r="I3175" s="591" t="s">
        <v>280</v>
      </c>
    </row>
    <row r="3176" spans="1:9">
      <c r="A3176" s="582" t="s">
        <v>583</v>
      </c>
      <c r="B3176" s="65">
        <v>3374</v>
      </c>
      <c r="C3176" s="579" t="s">
        <v>281</v>
      </c>
      <c r="D3176" s="579"/>
      <c r="E3176" s="583"/>
      <c r="F3176" s="596"/>
      <c r="G3176" s="65">
        <v>0</v>
      </c>
      <c r="H3176" s="591" t="s">
        <v>280</v>
      </c>
      <c r="I3176" s="591" t="s">
        <v>280</v>
      </c>
    </row>
    <row r="3177" spans="1:9">
      <c r="A3177" s="582" t="s">
        <v>583</v>
      </c>
      <c r="B3177" s="65">
        <v>3375</v>
      </c>
      <c r="C3177" s="579" t="s">
        <v>281</v>
      </c>
      <c r="D3177" s="579"/>
      <c r="E3177" s="583"/>
      <c r="F3177" s="596"/>
      <c r="G3177" s="65">
        <v>0</v>
      </c>
      <c r="H3177" s="591" t="s">
        <v>280</v>
      </c>
      <c r="I3177" s="591" t="s">
        <v>280</v>
      </c>
    </row>
    <row r="3178" spans="1:9">
      <c r="A3178" s="582" t="s">
        <v>583</v>
      </c>
      <c r="B3178" s="65">
        <v>3376</v>
      </c>
      <c r="C3178" s="579" t="s">
        <v>281</v>
      </c>
      <c r="D3178" s="579"/>
      <c r="E3178" s="583"/>
      <c r="F3178" s="596"/>
      <c r="G3178" s="65">
        <v>0</v>
      </c>
      <c r="H3178" s="591" t="s">
        <v>280</v>
      </c>
      <c r="I3178" s="591" t="s">
        <v>280</v>
      </c>
    </row>
    <row r="3179" spans="1:9">
      <c r="A3179" s="582" t="s">
        <v>583</v>
      </c>
      <c r="B3179" s="65">
        <v>3377</v>
      </c>
      <c r="C3179" s="579" t="s">
        <v>281</v>
      </c>
      <c r="D3179" s="579"/>
      <c r="E3179" s="583"/>
      <c r="F3179" s="596"/>
      <c r="G3179" s="65">
        <v>0</v>
      </c>
      <c r="H3179" s="591" t="s">
        <v>280</v>
      </c>
      <c r="I3179" s="591" t="s">
        <v>280</v>
      </c>
    </row>
    <row r="3180" spans="1:9">
      <c r="A3180" s="582" t="s">
        <v>583</v>
      </c>
      <c r="B3180" s="65">
        <v>3378</v>
      </c>
      <c r="C3180" s="579" t="s">
        <v>281</v>
      </c>
      <c r="D3180" s="579"/>
      <c r="E3180" s="583"/>
      <c r="F3180" s="596"/>
      <c r="G3180" s="65">
        <v>0</v>
      </c>
      <c r="H3180" s="591" t="s">
        <v>280</v>
      </c>
      <c r="I3180" s="591" t="s">
        <v>280</v>
      </c>
    </row>
    <row r="3181" spans="1:9">
      <c r="A3181" s="582" t="s">
        <v>583</v>
      </c>
      <c r="B3181" s="65">
        <v>3379</v>
      </c>
      <c r="C3181" s="579" t="s">
        <v>281</v>
      </c>
      <c r="D3181" s="579"/>
      <c r="E3181" s="583"/>
      <c r="F3181" s="596"/>
      <c r="G3181" s="65">
        <v>0</v>
      </c>
      <c r="H3181" s="591" t="s">
        <v>280</v>
      </c>
      <c r="I3181" s="591" t="s">
        <v>280</v>
      </c>
    </row>
    <row r="3182" spans="1:9">
      <c r="A3182" s="582" t="s">
        <v>583</v>
      </c>
      <c r="B3182" s="65">
        <v>3380</v>
      </c>
      <c r="C3182" s="579" t="s">
        <v>281</v>
      </c>
      <c r="D3182" s="579"/>
      <c r="E3182" s="583"/>
      <c r="F3182" s="596"/>
      <c r="G3182" s="65">
        <v>0</v>
      </c>
      <c r="H3182" s="591" t="s">
        <v>280</v>
      </c>
      <c r="I3182" s="591" t="s">
        <v>280</v>
      </c>
    </row>
    <row r="3183" spans="1:9">
      <c r="A3183" s="582" t="s">
        <v>583</v>
      </c>
      <c r="B3183" s="65">
        <v>3381</v>
      </c>
      <c r="C3183" s="579" t="s">
        <v>281</v>
      </c>
      <c r="D3183" s="579"/>
      <c r="E3183" s="583"/>
      <c r="F3183" s="596"/>
      <c r="G3183" s="65">
        <v>0</v>
      </c>
      <c r="H3183" s="591" t="s">
        <v>280</v>
      </c>
      <c r="I3183" s="591" t="s">
        <v>280</v>
      </c>
    </row>
    <row r="3184" spans="1:9">
      <c r="A3184" s="582" t="s">
        <v>583</v>
      </c>
      <c r="B3184" s="65">
        <v>3382</v>
      </c>
      <c r="C3184" s="579" t="s">
        <v>281</v>
      </c>
      <c r="D3184" s="579"/>
      <c r="E3184" s="583"/>
      <c r="F3184" s="596"/>
      <c r="G3184" s="65">
        <v>0</v>
      </c>
      <c r="H3184" s="591" t="s">
        <v>280</v>
      </c>
      <c r="I3184" s="591" t="s">
        <v>280</v>
      </c>
    </row>
    <row r="3185" spans="1:9">
      <c r="A3185" s="582" t="s">
        <v>583</v>
      </c>
      <c r="B3185" s="65">
        <v>3383</v>
      </c>
      <c r="C3185" s="579" t="s">
        <v>281</v>
      </c>
      <c r="D3185" s="579"/>
      <c r="E3185" s="583"/>
      <c r="F3185" s="596"/>
      <c r="G3185" s="65">
        <v>0</v>
      </c>
      <c r="H3185" s="591" t="s">
        <v>280</v>
      </c>
      <c r="I3185" s="591" t="s">
        <v>280</v>
      </c>
    </row>
    <row r="3186" spans="1:9">
      <c r="A3186" s="582" t="s">
        <v>583</v>
      </c>
      <c r="B3186" s="65">
        <v>3384</v>
      </c>
      <c r="C3186" s="579" t="s">
        <v>281</v>
      </c>
      <c r="D3186" s="579"/>
      <c r="E3186" s="583"/>
      <c r="F3186" s="596"/>
      <c r="G3186" s="65">
        <v>0</v>
      </c>
      <c r="H3186" s="591" t="s">
        <v>280</v>
      </c>
      <c r="I3186" s="591" t="s">
        <v>280</v>
      </c>
    </row>
    <row r="3187" spans="1:9">
      <c r="A3187" s="582" t="s">
        <v>583</v>
      </c>
      <c r="B3187" s="65">
        <v>3385</v>
      </c>
      <c r="C3187" s="579" t="s">
        <v>281</v>
      </c>
      <c r="D3187" s="579"/>
      <c r="E3187" s="583"/>
      <c r="F3187" s="596"/>
      <c r="G3187" s="65">
        <v>0</v>
      </c>
      <c r="H3187" s="591" t="s">
        <v>280</v>
      </c>
      <c r="I3187" s="591" t="s">
        <v>280</v>
      </c>
    </row>
    <row r="3188" spans="1:9">
      <c r="A3188" s="582" t="s">
        <v>583</v>
      </c>
      <c r="B3188" s="65">
        <v>3386</v>
      </c>
      <c r="C3188" s="579" t="s">
        <v>281</v>
      </c>
      <c r="D3188" s="579"/>
      <c r="E3188" s="583"/>
      <c r="F3188" s="596"/>
      <c r="G3188" s="65">
        <v>0</v>
      </c>
      <c r="H3188" s="591" t="s">
        <v>280</v>
      </c>
      <c r="I3188" s="591" t="s">
        <v>280</v>
      </c>
    </row>
    <row r="3189" spans="1:9">
      <c r="A3189" s="582" t="s">
        <v>583</v>
      </c>
      <c r="B3189" s="65">
        <v>3387</v>
      </c>
      <c r="C3189" s="579" t="s">
        <v>281</v>
      </c>
      <c r="D3189" s="579"/>
      <c r="E3189" s="583"/>
      <c r="F3189" s="596"/>
      <c r="G3189" s="65">
        <v>0</v>
      </c>
      <c r="H3189" s="591" t="s">
        <v>280</v>
      </c>
      <c r="I3189" s="591" t="s">
        <v>280</v>
      </c>
    </row>
    <row r="3190" spans="1:9">
      <c r="A3190" s="582" t="s">
        <v>583</v>
      </c>
      <c r="B3190" s="65">
        <v>3388</v>
      </c>
      <c r="C3190" s="579" t="s">
        <v>281</v>
      </c>
      <c r="D3190" s="579"/>
      <c r="E3190" s="583"/>
      <c r="F3190" s="596"/>
      <c r="G3190" s="65">
        <v>0</v>
      </c>
      <c r="H3190" s="591" t="s">
        <v>280</v>
      </c>
      <c r="I3190" s="591" t="s">
        <v>280</v>
      </c>
    </row>
    <row r="3191" spans="1:9">
      <c r="A3191" s="582" t="s">
        <v>583</v>
      </c>
      <c r="B3191" s="65">
        <v>3389</v>
      </c>
      <c r="C3191" s="579" t="s">
        <v>281</v>
      </c>
      <c r="D3191" s="579"/>
      <c r="E3191" s="583"/>
      <c r="F3191" s="596"/>
      <c r="G3191" s="65">
        <v>0</v>
      </c>
      <c r="H3191" s="591" t="s">
        <v>280</v>
      </c>
      <c r="I3191" s="591" t="s">
        <v>280</v>
      </c>
    </row>
    <row r="3192" spans="1:9">
      <c r="A3192" s="582" t="s">
        <v>583</v>
      </c>
      <c r="B3192" s="65">
        <v>3390</v>
      </c>
      <c r="C3192" s="579" t="s">
        <v>281</v>
      </c>
      <c r="D3192" s="579"/>
      <c r="E3192" s="583"/>
      <c r="F3192" s="596"/>
      <c r="G3192" s="65">
        <v>0</v>
      </c>
      <c r="H3192" s="591" t="s">
        <v>280</v>
      </c>
      <c r="I3192" s="591" t="s">
        <v>280</v>
      </c>
    </row>
    <row r="3193" spans="1:9">
      <c r="A3193" s="582" t="s">
        <v>583</v>
      </c>
      <c r="B3193" s="65">
        <v>3391</v>
      </c>
      <c r="C3193" s="579" t="s">
        <v>281</v>
      </c>
      <c r="D3193" s="579"/>
      <c r="E3193" s="583"/>
      <c r="F3193" s="596"/>
      <c r="G3193" s="65">
        <v>0</v>
      </c>
      <c r="H3193" s="591" t="s">
        <v>280</v>
      </c>
      <c r="I3193" s="591" t="s">
        <v>280</v>
      </c>
    </row>
    <row r="3194" spans="1:9">
      <c r="A3194" s="582" t="s">
        <v>583</v>
      </c>
      <c r="B3194" s="65">
        <v>3392</v>
      </c>
      <c r="C3194" s="579" t="s">
        <v>281</v>
      </c>
      <c r="D3194" s="579"/>
      <c r="E3194" s="583"/>
      <c r="F3194" s="596"/>
      <c r="G3194" s="65">
        <v>0</v>
      </c>
      <c r="H3194" s="591" t="s">
        <v>280</v>
      </c>
      <c r="I3194" s="591" t="s">
        <v>280</v>
      </c>
    </row>
    <row r="3195" spans="1:9">
      <c r="A3195" s="582" t="s">
        <v>583</v>
      </c>
      <c r="B3195" s="65">
        <v>3393</v>
      </c>
      <c r="C3195" s="579" t="s">
        <v>281</v>
      </c>
      <c r="D3195" s="579"/>
      <c r="E3195" s="583"/>
      <c r="F3195" s="596"/>
      <c r="G3195" s="65">
        <v>0</v>
      </c>
      <c r="H3195" s="591" t="s">
        <v>280</v>
      </c>
      <c r="I3195" s="591" t="s">
        <v>280</v>
      </c>
    </row>
    <row r="3196" spans="1:9">
      <c r="A3196" s="582" t="s">
        <v>583</v>
      </c>
      <c r="B3196" s="65">
        <v>3394</v>
      </c>
      <c r="C3196" s="579" t="s">
        <v>281</v>
      </c>
      <c r="D3196" s="579"/>
      <c r="E3196" s="583"/>
      <c r="F3196" s="596"/>
      <c r="G3196" s="65">
        <v>0</v>
      </c>
      <c r="H3196" s="591" t="s">
        <v>280</v>
      </c>
      <c r="I3196" s="591" t="s">
        <v>280</v>
      </c>
    </row>
    <row r="3197" spans="1:9">
      <c r="A3197" s="582" t="s">
        <v>583</v>
      </c>
      <c r="B3197" s="65">
        <v>3395</v>
      </c>
      <c r="C3197" s="579" t="s">
        <v>281</v>
      </c>
      <c r="D3197" s="579"/>
      <c r="E3197" s="583"/>
      <c r="F3197" s="596"/>
      <c r="G3197" s="65">
        <v>0</v>
      </c>
      <c r="H3197" s="591" t="s">
        <v>280</v>
      </c>
      <c r="I3197" s="591" t="s">
        <v>280</v>
      </c>
    </row>
    <row r="3198" spans="1:9">
      <c r="A3198" s="582" t="s">
        <v>583</v>
      </c>
      <c r="B3198" s="65">
        <v>3396</v>
      </c>
      <c r="C3198" s="579" t="s">
        <v>281</v>
      </c>
      <c r="D3198" s="579"/>
      <c r="E3198" s="583"/>
      <c r="F3198" s="596"/>
      <c r="G3198" s="65">
        <v>0</v>
      </c>
      <c r="H3198" s="591" t="s">
        <v>280</v>
      </c>
      <c r="I3198" s="591" t="s">
        <v>280</v>
      </c>
    </row>
    <row r="3199" spans="1:9">
      <c r="A3199" s="582" t="s">
        <v>583</v>
      </c>
      <c r="B3199" s="65">
        <v>3397</v>
      </c>
      <c r="C3199" s="579" t="s">
        <v>281</v>
      </c>
      <c r="D3199" s="579"/>
      <c r="E3199" s="583"/>
      <c r="F3199" s="596"/>
      <c r="G3199" s="65">
        <v>0</v>
      </c>
      <c r="H3199" s="591" t="s">
        <v>280</v>
      </c>
      <c r="I3199" s="591" t="s">
        <v>280</v>
      </c>
    </row>
    <row r="3200" spans="1:9">
      <c r="A3200" s="582" t="s">
        <v>583</v>
      </c>
      <c r="B3200" s="65">
        <v>3398</v>
      </c>
      <c r="C3200" s="579" t="s">
        <v>281</v>
      </c>
      <c r="D3200" s="579"/>
      <c r="E3200" s="583"/>
      <c r="F3200" s="596"/>
      <c r="G3200" s="65">
        <v>0</v>
      </c>
      <c r="H3200" s="591" t="s">
        <v>280</v>
      </c>
      <c r="I3200" s="591" t="s">
        <v>280</v>
      </c>
    </row>
    <row r="3201" spans="1:10">
      <c r="A3201" s="582" t="s">
        <v>583</v>
      </c>
      <c r="B3201" s="65">
        <v>3399</v>
      </c>
      <c r="C3201" s="579" t="s">
        <v>281</v>
      </c>
      <c r="D3201" s="579"/>
      <c r="E3201" s="583"/>
      <c r="F3201" s="596"/>
      <c r="G3201" s="65">
        <v>0</v>
      </c>
      <c r="H3201" s="591" t="s">
        <v>280</v>
      </c>
      <c r="I3201" s="591" t="s">
        <v>280</v>
      </c>
    </row>
    <row r="3202" spans="1:10">
      <c r="A3202" s="580" t="s">
        <v>1822</v>
      </c>
      <c r="B3202" s="65">
        <v>3400</v>
      </c>
      <c r="C3202" s="579" t="s">
        <v>279</v>
      </c>
      <c r="D3202" s="579"/>
      <c r="E3202" s="583"/>
      <c r="F3202" s="585">
        <v>45535</v>
      </c>
      <c r="G3202" s="65">
        <v>1</v>
      </c>
      <c r="H3202" s="591" t="s">
        <v>280</v>
      </c>
      <c r="I3202" s="591" t="s">
        <v>280</v>
      </c>
      <c r="J3202" s="57"/>
    </row>
    <row r="3203" spans="1:10">
      <c r="A3203" s="580" t="s">
        <v>1822</v>
      </c>
      <c r="B3203" s="65">
        <v>3401</v>
      </c>
      <c r="C3203" s="579" t="s">
        <v>489</v>
      </c>
      <c r="D3203" s="579">
        <v>10748</v>
      </c>
      <c r="E3203" s="583"/>
      <c r="F3203" s="585">
        <v>45535</v>
      </c>
      <c r="G3203" s="65">
        <v>1</v>
      </c>
      <c r="H3203" s="591" t="s">
        <v>1977</v>
      </c>
      <c r="I3203" s="591" t="s">
        <v>1226</v>
      </c>
      <c r="J3203" s="57"/>
    </row>
    <row r="3204" spans="1:10">
      <c r="A3204" s="580" t="s">
        <v>1822</v>
      </c>
      <c r="B3204" s="65">
        <v>3402</v>
      </c>
      <c r="C3204" s="579" t="s">
        <v>1823</v>
      </c>
      <c r="D3204" s="579">
        <v>10749</v>
      </c>
      <c r="E3204" s="583"/>
      <c r="F3204" s="585">
        <v>45535</v>
      </c>
      <c r="G3204" s="65">
        <v>1</v>
      </c>
      <c r="H3204" s="591" t="s">
        <v>1977</v>
      </c>
      <c r="I3204" s="591" t="s">
        <v>1226</v>
      </c>
      <c r="J3204" s="57"/>
    </row>
    <row r="3205" spans="1:10">
      <c r="A3205" s="580" t="s">
        <v>1822</v>
      </c>
      <c r="B3205" s="65">
        <v>3403</v>
      </c>
      <c r="C3205" s="579" t="s">
        <v>1824</v>
      </c>
      <c r="D3205" s="579">
        <v>10750</v>
      </c>
      <c r="E3205" s="583"/>
      <c r="F3205" s="585">
        <v>45535</v>
      </c>
      <c r="G3205" s="65">
        <v>1</v>
      </c>
      <c r="H3205" s="591" t="s">
        <v>1977</v>
      </c>
      <c r="I3205" s="591" t="s">
        <v>1226</v>
      </c>
      <c r="J3205" s="57"/>
    </row>
    <row r="3206" spans="1:10">
      <c r="A3206" s="580" t="s">
        <v>1822</v>
      </c>
      <c r="B3206" s="65">
        <v>3404</v>
      </c>
      <c r="C3206" s="579" t="s">
        <v>1825</v>
      </c>
      <c r="D3206" s="579">
        <v>10751</v>
      </c>
      <c r="E3206" s="583"/>
      <c r="F3206" s="585">
        <v>45535</v>
      </c>
      <c r="G3206" s="65">
        <v>1</v>
      </c>
      <c r="H3206" s="591" t="s">
        <v>1977</v>
      </c>
      <c r="I3206" s="591" t="s">
        <v>1226</v>
      </c>
      <c r="J3206" s="57"/>
    </row>
    <row r="3207" spans="1:10">
      <c r="A3207" s="580" t="s">
        <v>1822</v>
      </c>
      <c r="B3207" s="65">
        <v>3405</v>
      </c>
      <c r="C3207" s="579" t="s">
        <v>281</v>
      </c>
      <c r="D3207" s="579"/>
      <c r="E3207" s="583"/>
      <c r="F3207" s="596"/>
      <c r="G3207" s="65">
        <v>0</v>
      </c>
      <c r="H3207" s="591" t="s">
        <v>280</v>
      </c>
      <c r="I3207" s="591" t="s">
        <v>280</v>
      </c>
      <c r="J3207" s="57"/>
    </row>
    <row r="3208" spans="1:10">
      <c r="A3208" s="580" t="s">
        <v>1822</v>
      </c>
      <c r="B3208" s="65">
        <v>3406</v>
      </c>
      <c r="C3208" s="579" t="s">
        <v>281</v>
      </c>
      <c r="D3208" s="579"/>
      <c r="E3208" s="583"/>
      <c r="F3208" s="596"/>
      <c r="G3208" s="65">
        <v>0</v>
      </c>
      <c r="H3208" s="591" t="s">
        <v>280</v>
      </c>
      <c r="I3208" s="591" t="s">
        <v>280</v>
      </c>
      <c r="J3208" s="57"/>
    </row>
    <row r="3209" spans="1:10">
      <c r="A3209" s="580" t="s">
        <v>1822</v>
      </c>
      <c r="B3209" s="65">
        <v>3407</v>
      </c>
      <c r="C3209" s="579" t="s">
        <v>1826</v>
      </c>
      <c r="D3209" s="579">
        <v>10754</v>
      </c>
      <c r="E3209" s="583"/>
      <c r="F3209" s="585">
        <v>45535</v>
      </c>
      <c r="G3209" s="65">
        <v>1</v>
      </c>
      <c r="H3209" s="591" t="s">
        <v>1977</v>
      </c>
      <c r="I3209" s="591" t="s">
        <v>1226</v>
      </c>
      <c r="J3209" s="71"/>
    </row>
    <row r="3210" spans="1:10">
      <c r="A3210" s="580" t="s">
        <v>1822</v>
      </c>
      <c r="B3210" s="65">
        <v>3408</v>
      </c>
      <c r="C3210" s="579" t="s">
        <v>1827</v>
      </c>
      <c r="D3210" s="579">
        <v>10755</v>
      </c>
      <c r="E3210" s="583"/>
      <c r="F3210" s="585">
        <v>45535</v>
      </c>
      <c r="G3210" s="65">
        <v>1</v>
      </c>
      <c r="H3210" s="591" t="s">
        <v>1977</v>
      </c>
      <c r="I3210" s="591" t="s">
        <v>1226</v>
      </c>
      <c r="J3210" s="72"/>
    </row>
    <row r="3211" spans="1:10">
      <c r="A3211" s="580" t="s">
        <v>1822</v>
      </c>
      <c r="B3211" s="65">
        <v>3409</v>
      </c>
      <c r="C3211" s="579" t="s">
        <v>281</v>
      </c>
      <c r="D3211" s="63"/>
      <c r="E3211" s="583"/>
      <c r="F3211" s="596"/>
      <c r="G3211" s="65">
        <v>0</v>
      </c>
      <c r="H3211" s="591" t="s">
        <v>280</v>
      </c>
      <c r="I3211" s="591" t="s">
        <v>280</v>
      </c>
      <c r="J3211" s="57"/>
    </row>
    <row r="3212" spans="1:10">
      <c r="A3212" s="580" t="s">
        <v>1822</v>
      </c>
      <c r="B3212" s="65">
        <v>3410</v>
      </c>
      <c r="C3212" s="65" t="s">
        <v>281</v>
      </c>
      <c r="D3212" s="65"/>
      <c r="E3212" s="583"/>
      <c r="F3212" s="596"/>
      <c r="G3212" s="65">
        <v>0</v>
      </c>
      <c r="H3212" s="591" t="s">
        <v>280</v>
      </c>
      <c r="I3212" s="591" t="s">
        <v>280</v>
      </c>
      <c r="J3212" s="57"/>
    </row>
    <row r="3213" spans="1:10">
      <c r="A3213" s="580" t="s">
        <v>1822</v>
      </c>
      <c r="B3213" s="65">
        <v>3411</v>
      </c>
      <c r="C3213" s="65" t="s">
        <v>1828</v>
      </c>
      <c r="D3213" s="65">
        <v>10890</v>
      </c>
      <c r="E3213" s="583"/>
      <c r="F3213" s="585">
        <v>45535</v>
      </c>
      <c r="G3213" s="65">
        <v>1</v>
      </c>
      <c r="H3213" s="591" t="s">
        <v>280</v>
      </c>
      <c r="I3213" s="591" t="s">
        <v>280</v>
      </c>
    </row>
    <row r="3214" spans="1:10">
      <c r="A3214" s="580" t="s">
        <v>1822</v>
      </c>
      <c r="B3214" s="65">
        <v>3412</v>
      </c>
      <c r="C3214" s="65" t="s">
        <v>281</v>
      </c>
      <c r="D3214" s="65"/>
      <c r="E3214" s="583"/>
      <c r="F3214" s="596"/>
      <c r="G3214" s="65">
        <v>0</v>
      </c>
      <c r="H3214" s="591" t="s">
        <v>280</v>
      </c>
      <c r="I3214" s="591" t="s">
        <v>280</v>
      </c>
    </row>
    <row r="3215" spans="1:10">
      <c r="A3215" s="580" t="s">
        <v>1822</v>
      </c>
      <c r="B3215" s="65">
        <v>3413</v>
      </c>
      <c r="C3215" s="65" t="s">
        <v>1829</v>
      </c>
      <c r="D3215" s="65">
        <v>10918</v>
      </c>
      <c r="E3215" s="583"/>
      <c r="F3215" s="585">
        <v>45535</v>
      </c>
      <c r="G3215" s="65">
        <v>1</v>
      </c>
      <c r="H3215" s="591" t="s">
        <v>280</v>
      </c>
      <c r="I3215" s="591" t="s">
        <v>280</v>
      </c>
    </row>
    <row r="3216" spans="1:10">
      <c r="A3216" s="580" t="s">
        <v>1822</v>
      </c>
      <c r="B3216" s="65">
        <v>3414</v>
      </c>
      <c r="C3216" s="65" t="s">
        <v>1830</v>
      </c>
      <c r="D3216" s="65">
        <v>10952</v>
      </c>
      <c r="E3216" s="583"/>
      <c r="F3216" s="585">
        <v>45535</v>
      </c>
      <c r="G3216" s="65">
        <v>1</v>
      </c>
      <c r="H3216" s="591" t="s">
        <v>1977</v>
      </c>
      <c r="I3216" s="591" t="s">
        <v>1226</v>
      </c>
    </row>
    <row r="3217" spans="1:9" ht="14.25">
      <c r="A3217" s="580" t="s">
        <v>1822</v>
      </c>
      <c r="B3217" s="65">
        <v>3415</v>
      </c>
      <c r="C3217" s="65" t="s">
        <v>2018</v>
      </c>
      <c r="D3217" s="65">
        <v>11060</v>
      </c>
      <c r="E3217" s="587"/>
      <c r="F3217" s="585">
        <v>45591</v>
      </c>
      <c r="G3217" s="65">
        <v>1</v>
      </c>
      <c r="H3217" s="591" t="s">
        <v>1977</v>
      </c>
      <c r="I3217" s="591" t="s">
        <v>1226</v>
      </c>
    </row>
    <row r="3218" spans="1:9">
      <c r="A3218" s="580" t="s">
        <v>1822</v>
      </c>
      <c r="B3218" s="65">
        <v>3416</v>
      </c>
      <c r="C3218" s="579" t="s">
        <v>281</v>
      </c>
      <c r="D3218" s="579"/>
      <c r="E3218" s="583"/>
      <c r="F3218" s="596"/>
      <c r="G3218" s="65">
        <v>0</v>
      </c>
      <c r="H3218" s="591" t="s">
        <v>280</v>
      </c>
      <c r="I3218" s="591" t="s">
        <v>280</v>
      </c>
    </row>
    <row r="3219" spans="1:9">
      <c r="A3219" s="580" t="s">
        <v>1822</v>
      </c>
      <c r="B3219" s="65">
        <v>3417</v>
      </c>
      <c r="C3219" s="579" t="s">
        <v>281</v>
      </c>
      <c r="D3219" s="579"/>
      <c r="E3219" s="583"/>
      <c r="F3219" s="596"/>
      <c r="G3219" s="65">
        <v>0</v>
      </c>
      <c r="H3219" s="591" t="s">
        <v>280</v>
      </c>
      <c r="I3219" s="591" t="s">
        <v>280</v>
      </c>
    </row>
    <row r="3220" spans="1:9">
      <c r="A3220" s="580" t="s">
        <v>1822</v>
      </c>
      <c r="B3220" s="65">
        <v>3418</v>
      </c>
      <c r="C3220" s="579" t="s">
        <v>281</v>
      </c>
      <c r="D3220" s="579"/>
      <c r="E3220" s="583"/>
      <c r="F3220" s="596"/>
      <c r="G3220" s="65">
        <v>0</v>
      </c>
      <c r="H3220" s="591" t="s">
        <v>280</v>
      </c>
      <c r="I3220" s="591" t="s">
        <v>280</v>
      </c>
    </row>
    <row r="3221" spans="1:9">
      <c r="A3221" s="580" t="s">
        <v>1822</v>
      </c>
      <c r="B3221" s="65">
        <v>3419</v>
      </c>
      <c r="C3221" s="579" t="s">
        <v>281</v>
      </c>
      <c r="D3221" s="579"/>
      <c r="E3221" s="583"/>
      <c r="F3221" s="596"/>
      <c r="G3221" s="65">
        <v>0</v>
      </c>
      <c r="H3221" s="591" t="s">
        <v>280</v>
      </c>
      <c r="I3221" s="591" t="s">
        <v>280</v>
      </c>
    </row>
    <row r="3222" spans="1:9">
      <c r="A3222" s="580" t="s">
        <v>1822</v>
      </c>
      <c r="B3222" s="65">
        <v>3420</v>
      </c>
      <c r="C3222" s="579" t="s">
        <v>281</v>
      </c>
      <c r="D3222" s="579"/>
      <c r="E3222" s="583"/>
      <c r="F3222" s="596"/>
      <c r="G3222" s="65">
        <v>0</v>
      </c>
      <c r="H3222" s="591" t="s">
        <v>280</v>
      </c>
      <c r="I3222" s="591" t="s">
        <v>280</v>
      </c>
    </row>
    <row r="3223" spans="1:9">
      <c r="A3223" s="580" t="s">
        <v>1822</v>
      </c>
      <c r="B3223" s="65">
        <v>3421</v>
      </c>
      <c r="C3223" s="579" t="s">
        <v>281</v>
      </c>
      <c r="D3223" s="579"/>
      <c r="E3223" s="583"/>
      <c r="F3223" s="596"/>
      <c r="G3223" s="65">
        <v>0</v>
      </c>
      <c r="H3223" s="591" t="s">
        <v>280</v>
      </c>
      <c r="I3223" s="591" t="s">
        <v>280</v>
      </c>
    </row>
    <row r="3224" spans="1:9">
      <c r="A3224" s="580" t="s">
        <v>1822</v>
      </c>
      <c r="B3224" s="65">
        <v>3422</v>
      </c>
      <c r="C3224" s="579" t="s">
        <v>281</v>
      </c>
      <c r="D3224" s="579"/>
      <c r="E3224" s="583"/>
      <c r="F3224" s="596"/>
      <c r="G3224" s="65">
        <v>0</v>
      </c>
      <c r="H3224" s="591" t="s">
        <v>280</v>
      </c>
      <c r="I3224" s="591" t="s">
        <v>280</v>
      </c>
    </row>
    <row r="3225" spans="1:9">
      <c r="A3225" s="580" t="s">
        <v>1822</v>
      </c>
      <c r="B3225" s="65">
        <v>3423</v>
      </c>
      <c r="C3225" s="579" t="s">
        <v>281</v>
      </c>
      <c r="D3225" s="579"/>
      <c r="E3225" s="583"/>
      <c r="F3225" s="596"/>
      <c r="G3225" s="65">
        <v>0</v>
      </c>
      <c r="H3225" s="591" t="s">
        <v>280</v>
      </c>
      <c r="I3225" s="591" t="s">
        <v>280</v>
      </c>
    </row>
    <row r="3226" spans="1:9">
      <c r="A3226" s="580" t="s">
        <v>1822</v>
      </c>
      <c r="B3226" s="65">
        <v>3424</v>
      </c>
      <c r="C3226" s="579" t="s">
        <v>281</v>
      </c>
      <c r="D3226" s="579"/>
      <c r="E3226" s="583"/>
      <c r="F3226" s="596"/>
      <c r="G3226" s="65">
        <v>0</v>
      </c>
      <c r="H3226" s="591" t="s">
        <v>280</v>
      </c>
      <c r="I3226" s="591" t="s">
        <v>280</v>
      </c>
    </row>
    <row r="3227" spans="1:9">
      <c r="A3227" s="580" t="s">
        <v>1822</v>
      </c>
      <c r="B3227" s="65">
        <v>3425</v>
      </c>
      <c r="C3227" s="579" t="s">
        <v>281</v>
      </c>
      <c r="D3227" s="579"/>
      <c r="E3227" s="583"/>
      <c r="F3227" s="596"/>
      <c r="G3227" s="65">
        <v>0</v>
      </c>
      <c r="H3227" s="591" t="s">
        <v>280</v>
      </c>
      <c r="I3227" s="591" t="s">
        <v>280</v>
      </c>
    </row>
    <row r="3228" spans="1:9">
      <c r="A3228" s="580" t="s">
        <v>1822</v>
      </c>
      <c r="B3228" s="65">
        <v>3426</v>
      </c>
      <c r="C3228" s="579" t="s">
        <v>281</v>
      </c>
      <c r="D3228" s="579"/>
      <c r="E3228" s="583"/>
      <c r="F3228" s="596"/>
      <c r="G3228" s="65">
        <v>0</v>
      </c>
      <c r="H3228" s="591" t="s">
        <v>280</v>
      </c>
      <c r="I3228" s="591" t="s">
        <v>280</v>
      </c>
    </row>
    <row r="3229" spans="1:9">
      <c r="A3229" s="580" t="s">
        <v>1822</v>
      </c>
      <c r="B3229" s="65">
        <v>3427</v>
      </c>
      <c r="C3229" s="579" t="s">
        <v>281</v>
      </c>
      <c r="D3229" s="579"/>
      <c r="E3229" s="583"/>
      <c r="F3229" s="596"/>
      <c r="G3229" s="65">
        <v>0</v>
      </c>
      <c r="H3229" s="591" t="s">
        <v>280</v>
      </c>
      <c r="I3229" s="591" t="s">
        <v>280</v>
      </c>
    </row>
    <row r="3230" spans="1:9">
      <c r="A3230" s="580" t="s">
        <v>1822</v>
      </c>
      <c r="B3230" s="65">
        <v>3428</v>
      </c>
      <c r="C3230" s="579" t="s">
        <v>281</v>
      </c>
      <c r="D3230" s="579"/>
      <c r="E3230" s="583"/>
      <c r="F3230" s="596"/>
      <c r="G3230" s="65">
        <v>0</v>
      </c>
      <c r="H3230" s="591" t="s">
        <v>280</v>
      </c>
      <c r="I3230" s="591" t="s">
        <v>280</v>
      </c>
    </row>
    <row r="3231" spans="1:9">
      <c r="A3231" s="580" t="s">
        <v>1822</v>
      </c>
      <c r="B3231" s="65">
        <v>3429</v>
      </c>
      <c r="C3231" s="579" t="s">
        <v>281</v>
      </c>
      <c r="D3231" s="579"/>
      <c r="E3231" s="583"/>
      <c r="F3231" s="596"/>
      <c r="G3231" s="65">
        <v>0</v>
      </c>
      <c r="H3231" s="591" t="s">
        <v>280</v>
      </c>
      <c r="I3231" s="591" t="s">
        <v>280</v>
      </c>
    </row>
    <row r="3232" spans="1:9">
      <c r="A3232" s="580" t="s">
        <v>1822</v>
      </c>
      <c r="B3232" s="65">
        <v>3430</v>
      </c>
      <c r="C3232" s="579" t="s">
        <v>281</v>
      </c>
      <c r="D3232" s="579"/>
      <c r="E3232" s="583"/>
      <c r="F3232" s="596"/>
      <c r="G3232" s="65">
        <v>0</v>
      </c>
      <c r="H3232" s="591" t="s">
        <v>280</v>
      </c>
      <c r="I3232" s="591" t="s">
        <v>280</v>
      </c>
    </row>
    <row r="3233" spans="1:9">
      <c r="A3233" s="580" t="s">
        <v>1822</v>
      </c>
      <c r="B3233" s="65">
        <v>3431</v>
      </c>
      <c r="C3233" s="579" t="s">
        <v>281</v>
      </c>
      <c r="D3233" s="579"/>
      <c r="E3233" s="583"/>
      <c r="F3233" s="596"/>
      <c r="G3233" s="65">
        <v>0</v>
      </c>
      <c r="H3233" s="591" t="s">
        <v>280</v>
      </c>
      <c r="I3233" s="591" t="s">
        <v>280</v>
      </c>
    </row>
    <row r="3234" spans="1:9">
      <c r="A3234" s="580" t="s">
        <v>1822</v>
      </c>
      <c r="B3234" s="65">
        <v>3432</v>
      </c>
      <c r="C3234" s="579" t="s">
        <v>281</v>
      </c>
      <c r="D3234" s="579"/>
      <c r="E3234" s="583"/>
      <c r="F3234" s="596"/>
      <c r="G3234" s="65">
        <v>0</v>
      </c>
      <c r="H3234" s="591" t="s">
        <v>280</v>
      </c>
      <c r="I3234" s="591" t="s">
        <v>280</v>
      </c>
    </row>
    <row r="3235" spans="1:9">
      <c r="A3235" s="580" t="s">
        <v>1822</v>
      </c>
      <c r="B3235" s="65">
        <v>3433</v>
      </c>
      <c r="C3235" s="579" t="s">
        <v>281</v>
      </c>
      <c r="D3235" s="579"/>
      <c r="E3235" s="583"/>
      <c r="F3235" s="596"/>
      <c r="G3235" s="65">
        <v>0</v>
      </c>
      <c r="H3235" s="591" t="s">
        <v>280</v>
      </c>
      <c r="I3235" s="591" t="s">
        <v>280</v>
      </c>
    </row>
    <row r="3236" spans="1:9">
      <c r="A3236" s="580" t="s">
        <v>1822</v>
      </c>
      <c r="B3236" s="65">
        <v>3434</v>
      </c>
      <c r="C3236" s="579" t="s">
        <v>281</v>
      </c>
      <c r="D3236" s="579"/>
      <c r="E3236" s="583"/>
      <c r="F3236" s="596"/>
      <c r="G3236" s="65">
        <v>0</v>
      </c>
      <c r="H3236" s="591" t="s">
        <v>280</v>
      </c>
      <c r="I3236" s="591" t="s">
        <v>280</v>
      </c>
    </row>
    <row r="3237" spans="1:9">
      <c r="A3237" s="580" t="s">
        <v>1822</v>
      </c>
      <c r="B3237" s="65">
        <v>3435</v>
      </c>
      <c r="C3237" s="579" t="s">
        <v>281</v>
      </c>
      <c r="D3237" s="579"/>
      <c r="E3237" s="583"/>
      <c r="F3237" s="596"/>
      <c r="G3237" s="65">
        <v>0</v>
      </c>
      <c r="H3237" s="591" t="s">
        <v>280</v>
      </c>
      <c r="I3237" s="591" t="s">
        <v>280</v>
      </c>
    </row>
    <row r="3238" spans="1:9">
      <c r="A3238" s="580" t="s">
        <v>1822</v>
      </c>
      <c r="B3238" s="65">
        <v>3436</v>
      </c>
      <c r="C3238" s="579" t="s">
        <v>281</v>
      </c>
      <c r="D3238" s="579"/>
      <c r="E3238" s="583"/>
      <c r="F3238" s="596"/>
      <c r="G3238" s="65">
        <v>0</v>
      </c>
      <c r="H3238" s="591" t="s">
        <v>280</v>
      </c>
      <c r="I3238" s="591" t="s">
        <v>280</v>
      </c>
    </row>
    <row r="3239" spans="1:9">
      <c r="A3239" s="580" t="s">
        <v>1822</v>
      </c>
      <c r="B3239" s="65">
        <v>3437</v>
      </c>
      <c r="C3239" s="579" t="s">
        <v>281</v>
      </c>
      <c r="D3239" s="579"/>
      <c r="E3239" s="583"/>
      <c r="F3239" s="596"/>
      <c r="G3239" s="65">
        <v>0</v>
      </c>
      <c r="H3239" s="591" t="s">
        <v>280</v>
      </c>
      <c r="I3239" s="591" t="s">
        <v>280</v>
      </c>
    </row>
    <row r="3240" spans="1:9">
      <c r="A3240" s="580" t="s">
        <v>1822</v>
      </c>
      <c r="B3240" s="65">
        <v>3438</v>
      </c>
      <c r="C3240" s="579" t="s">
        <v>281</v>
      </c>
      <c r="D3240" s="579"/>
      <c r="E3240" s="583"/>
      <c r="F3240" s="596"/>
      <c r="G3240" s="65">
        <v>0</v>
      </c>
      <c r="H3240" s="591" t="s">
        <v>280</v>
      </c>
      <c r="I3240" s="591" t="s">
        <v>280</v>
      </c>
    </row>
    <row r="3241" spans="1:9">
      <c r="A3241" s="580" t="s">
        <v>1822</v>
      </c>
      <c r="B3241" s="65">
        <v>3439</v>
      </c>
      <c r="C3241" s="579" t="s">
        <v>281</v>
      </c>
      <c r="D3241" s="579"/>
      <c r="E3241" s="583"/>
      <c r="F3241" s="596"/>
      <c r="G3241" s="65">
        <v>0</v>
      </c>
      <c r="H3241" s="591" t="s">
        <v>280</v>
      </c>
      <c r="I3241" s="591" t="s">
        <v>280</v>
      </c>
    </row>
    <row r="3242" spans="1:9">
      <c r="A3242" s="580" t="s">
        <v>1822</v>
      </c>
      <c r="B3242" s="65">
        <v>3440</v>
      </c>
      <c r="C3242" s="579" t="s">
        <v>281</v>
      </c>
      <c r="D3242" s="579"/>
      <c r="E3242" s="583"/>
      <c r="F3242" s="596"/>
      <c r="G3242" s="65">
        <v>0</v>
      </c>
      <c r="H3242" s="591" t="s">
        <v>280</v>
      </c>
      <c r="I3242" s="591" t="s">
        <v>280</v>
      </c>
    </row>
    <row r="3243" spans="1:9">
      <c r="A3243" s="580" t="s">
        <v>1822</v>
      </c>
      <c r="B3243" s="65">
        <v>3441</v>
      </c>
      <c r="C3243" s="579" t="s">
        <v>281</v>
      </c>
      <c r="D3243" s="579"/>
      <c r="E3243" s="583"/>
      <c r="F3243" s="596"/>
      <c r="G3243" s="65">
        <v>0</v>
      </c>
      <c r="H3243" s="591" t="s">
        <v>280</v>
      </c>
      <c r="I3243" s="591" t="s">
        <v>280</v>
      </c>
    </row>
    <row r="3244" spans="1:9">
      <c r="A3244" s="580" t="s">
        <v>1822</v>
      </c>
      <c r="B3244" s="65">
        <v>3442</v>
      </c>
      <c r="C3244" s="579" t="s">
        <v>281</v>
      </c>
      <c r="D3244" s="579"/>
      <c r="E3244" s="583"/>
      <c r="F3244" s="596"/>
      <c r="G3244" s="65">
        <v>0</v>
      </c>
      <c r="H3244" s="591" t="s">
        <v>280</v>
      </c>
      <c r="I3244" s="591" t="s">
        <v>280</v>
      </c>
    </row>
    <row r="3245" spans="1:9">
      <c r="A3245" s="580" t="s">
        <v>1822</v>
      </c>
      <c r="B3245" s="65">
        <v>3443</v>
      </c>
      <c r="C3245" s="579" t="s">
        <v>281</v>
      </c>
      <c r="D3245" s="579"/>
      <c r="E3245" s="583"/>
      <c r="F3245" s="596"/>
      <c r="G3245" s="65">
        <v>0</v>
      </c>
      <c r="H3245" s="591" t="s">
        <v>280</v>
      </c>
      <c r="I3245" s="591" t="s">
        <v>280</v>
      </c>
    </row>
    <row r="3246" spans="1:9">
      <c r="A3246" s="580" t="s">
        <v>1822</v>
      </c>
      <c r="B3246" s="65">
        <v>3444</v>
      </c>
      <c r="C3246" s="579" t="s">
        <v>281</v>
      </c>
      <c r="D3246" s="579"/>
      <c r="E3246" s="583"/>
      <c r="F3246" s="596"/>
      <c r="G3246" s="65">
        <v>0</v>
      </c>
      <c r="H3246" s="591" t="s">
        <v>280</v>
      </c>
      <c r="I3246" s="591" t="s">
        <v>280</v>
      </c>
    </row>
    <row r="3247" spans="1:9">
      <c r="A3247" s="580" t="s">
        <v>1822</v>
      </c>
      <c r="B3247" s="65">
        <v>3445</v>
      </c>
      <c r="C3247" s="579" t="s">
        <v>281</v>
      </c>
      <c r="D3247" s="579"/>
      <c r="E3247" s="583"/>
      <c r="F3247" s="596"/>
      <c r="G3247" s="65">
        <v>0</v>
      </c>
      <c r="H3247" s="591" t="s">
        <v>280</v>
      </c>
      <c r="I3247" s="591" t="s">
        <v>280</v>
      </c>
    </row>
    <row r="3248" spans="1:9">
      <c r="A3248" s="580" t="s">
        <v>1822</v>
      </c>
      <c r="B3248" s="65">
        <v>3446</v>
      </c>
      <c r="C3248" s="579" t="s">
        <v>281</v>
      </c>
      <c r="D3248" s="579"/>
      <c r="E3248" s="583"/>
      <c r="F3248" s="596"/>
      <c r="G3248" s="65">
        <v>0</v>
      </c>
      <c r="H3248" s="591" t="s">
        <v>280</v>
      </c>
      <c r="I3248" s="591" t="s">
        <v>280</v>
      </c>
    </row>
    <row r="3249" spans="1:9">
      <c r="A3249" s="580" t="s">
        <v>1822</v>
      </c>
      <c r="B3249" s="65">
        <v>3447</v>
      </c>
      <c r="C3249" s="579" t="s">
        <v>281</v>
      </c>
      <c r="D3249" s="579"/>
      <c r="E3249" s="583"/>
      <c r="F3249" s="596"/>
      <c r="G3249" s="65">
        <v>0</v>
      </c>
      <c r="H3249" s="591" t="s">
        <v>280</v>
      </c>
      <c r="I3249" s="591" t="s">
        <v>280</v>
      </c>
    </row>
    <row r="3250" spans="1:9">
      <c r="A3250" s="580" t="s">
        <v>1822</v>
      </c>
      <c r="B3250" s="65">
        <v>3448</v>
      </c>
      <c r="C3250" s="579" t="s">
        <v>281</v>
      </c>
      <c r="D3250" s="579"/>
      <c r="E3250" s="583"/>
      <c r="F3250" s="596"/>
      <c r="G3250" s="65">
        <v>0</v>
      </c>
      <c r="H3250" s="591" t="s">
        <v>280</v>
      </c>
      <c r="I3250" s="591" t="s">
        <v>280</v>
      </c>
    </row>
    <row r="3251" spans="1:9">
      <c r="A3251" s="580" t="s">
        <v>1822</v>
      </c>
      <c r="B3251" s="65">
        <v>3449</v>
      </c>
      <c r="C3251" s="579" t="s">
        <v>281</v>
      </c>
      <c r="D3251" s="579"/>
      <c r="E3251" s="583"/>
      <c r="F3251" s="596"/>
      <c r="G3251" s="65">
        <v>0</v>
      </c>
      <c r="H3251" s="591" t="s">
        <v>280</v>
      </c>
      <c r="I3251" s="591" t="s">
        <v>280</v>
      </c>
    </row>
    <row r="3252" spans="1:9">
      <c r="A3252" s="580" t="s">
        <v>1822</v>
      </c>
      <c r="B3252" s="65">
        <v>3450</v>
      </c>
      <c r="C3252" s="579" t="s">
        <v>281</v>
      </c>
      <c r="D3252" s="579"/>
      <c r="E3252" s="583"/>
      <c r="F3252" s="596"/>
      <c r="G3252" s="65">
        <v>0</v>
      </c>
      <c r="H3252" s="591" t="s">
        <v>280</v>
      </c>
      <c r="I3252" s="591" t="s">
        <v>280</v>
      </c>
    </row>
    <row r="3253" spans="1:9">
      <c r="A3253" s="580" t="s">
        <v>1822</v>
      </c>
      <c r="B3253" s="65">
        <v>3451</v>
      </c>
      <c r="C3253" s="579" t="s">
        <v>281</v>
      </c>
      <c r="D3253" s="579"/>
      <c r="E3253" s="583"/>
      <c r="F3253" s="596"/>
      <c r="G3253" s="65">
        <v>0</v>
      </c>
      <c r="H3253" s="591" t="s">
        <v>280</v>
      </c>
      <c r="I3253" s="591" t="s">
        <v>280</v>
      </c>
    </row>
    <row r="3254" spans="1:9">
      <c r="A3254" s="580" t="s">
        <v>1822</v>
      </c>
      <c r="B3254" s="65">
        <v>3452</v>
      </c>
      <c r="C3254" s="579" t="s">
        <v>281</v>
      </c>
      <c r="D3254" s="579"/>
      <c r="E3254" s="583"/>
      <c r="F3254" s="596"/>
      <c r="G3254" s="65">
        <v>0</v>
      </c>
      <c r="H3254" s="591" t="s">
        <v>280</v>
      </c>
      <c r="I3254" s="591" t="s">
        <v>280</v>
      </c>
    </row>
    <row r="3255" spans="1:9">
      <c r="A3255" s="580" t="s">
        <v>1822</v>
      </c>
      <c r="B3255" s="65">
        <v>3453</v>
      </c>
      <c r="C3255" s="579" t="s">
        <v>281</v>
      </c>
      <c r="D3255" s="579"/>
      <c r="E3255" s="583"/>
      <c r="F3255" s="596"/>
      <c r="G3255" s="65">
        <v>0</v>
      </c>
      <c r="H3255" s="591" t="s">
        <v>280</v>
      </c>
      <c r="I3255" s="591" t="s">
        <v>280</v>
      </c>
    </row>
    <row r="3256" spans="1:9">
      <c r="A3256" s="580" t="s">
        <v>1822</v>
      </c>
      <c r="B3256" s="65">
        <v>3454</v>
      </c>
      <c r="C3256" s="579" t="s">
        <v>281</v>
      </c>
      <c r="D3256" s="579"/>
      <c r="E3256" s="583"/>
      <c r="F3256" s="596"/>
      <c r="G3256" s="65">
        <v>0</v>
      </c>
      <c r="H3256" s="591" t="s">
        <v>280</v>
      </c>
      <c r="I3256" s="591" t="s">
        <v>280</v>
      </c>
    </row>
    <row r="3257" spans="1:9">
      <c r="A3257" s="580" t="s">
        <v>1822</v>
      </c>
      <c r="B3257" s="65">
        <v>3455</v>
      </c>
      <c r="C3257" s="579" t="s">
        <v>281</v>
      </c>
      <c r="D3257" s="579"/>
      <c r="E3257" s="583"/>
      <c r="F3257" s="596"/>
      <c r="G3257" s="65">
        <v>0</v>
      </c>
      <c r="H3257" s="591" t="s">
        <v>280</v>
      </c>
      <c r="I3257" s="591" t="s">
        <v>280</v>
      </c>
    </row>
    <row r="3258" spans="1:9">
      <c r="A3258" s="580" t="s">
        <v>1822</v>
      </c>
      <c r="B3258" s="65">
        <v>3456</v>
      </c>
      <c r="C3258" s="579" t="s">
        <v>281</v>
      </c>
      <c r="D3258" s="579"/>
      <c r="E3258" s="583"/>
      <c r="F3258" s="596"/>
      <c r="G3258" s="65">
        <v>0</v>
      </c>
      <c r="H3258" s="591" t="s">
        <v>280</v>
      </c>
      <c r="I3258" s="591" t="s">
        <v>280</v>
      </c>
    </row>
    <row r="3259" spans="1:9">
      <c r="A3259" s="580" t="s">
        <v>1822</v>
      </c>
      <c r="B3259" s="65">
        <v>3457</v>
      </c>
      <c r="C3259" s="579" t="s">
        <v>281</v>
      </c>
      <c r="D3259" s="579"/>
      <c r="E3259" s="583"/>
      <c r="F3259" s="596"/>
      <c r="G3259" s="65">
        <v>0</v>
      </c>
      <c r="H3259" s="591" t="s">
        <v>280</v>
      </c>
      <c r="I3259" s="591" t="s">
        <v>280</v>
      </c>
    </row>
    <row r="3260" spans="1:9">
      <c r="A3260" s="580" t="s">
        <v>1822</v>
      </c>
      <c r="B3260" s="65">
        <v>3458</v>
      </c>
      <c r="C3260" s="579" t="s">
        <v>281</v>
      </c>
      <c r="D3260" s="579"/>
      <c r="E3260" s="583"/>
      <c r="F3260" s="596"/>
      <c r="G3260" s="65">
        <v>0</v>
      </c>
      <c r="H3260" s="591" t="s">
        <v>280</v>
      </c>
      <c r="I3260" s="591" t="s">
        <v>280</v>
      </c>
    </row>
    <row r="3261" spans="1:9">
      <c r="A3261" s="580" t="s">
        <v>1822</v>
      </c>
      <c r="B3261" s="65">
        <v>3459</v>
      </c>
      <c r="C3261" s="579" t="s">
        <v>281</v>
      </c>
      <c r="D3261" s="579"/>
      <c r="E3261" s="583"/>
      <c r="F3261" s="596"/>
      <c r="G3261" s="65">
        <v>0</v>
      </c>
      <c r="H3261" s="591" t="s">
        <v>280</v>
      </c>
      <c r="I3261" s="591" t="s">
        <v>280</v>
      </c>
    </row>
    <row r="3262" spans="1:9">
      <c r="A3262" s="580" t="s">
        <v>1822</v>
      </c>
      <c r="B3262" s="65">
        <v>3460</v>
      </c>
      <c r="C3262" s="579" t="s">
        <v>281</v>
      </c>
      <c r="D3262" s="579"/>
      <c r="E3262" s="583"/>
      <c r="F3262" s="596"/>
      <c r="G3262" s="65">
        <v>0</v>
      </c>
      <c r="H3262" s="591" t="s">
        <v>280</v>
      </c>
      <c r="I3262" s="591" t="s">
        <v>280</v>
      </c>
    </row>
    <row r="3263" spans="1:9">
      <c r="A3263" s="580" t="s">
        <v>1822</v>
      </c>
      <c r="B3263" s="65">
        <v>3461</v>
      </c>
      <c r="C3263" s="579" t="s">
        <v>281</v>
      </c>
      <c r="D3263" s="579"/>
      <c r="E3263" s="583"/>
      <c r="F3263" s="596"/>
      <c r="G3263" s="65">
        <v>0</v>
      </c>
      <c r="H3263" s="591" t="s">
        <v>280</v>
      </c>
      <c r="I3263" s="591" t="s">
        <v>280</v>
      </c>
    </row>
    <row r="3264" spans="1:9">
      <c r="A3264" s="580" t="s">
        <v>1822</v>
      </c>
      <c r="B3264" s="65">
        <v>3462</v>
      </c>
      <c r="C3264" s="579" t="s">
        <v>281</v>
      </c>
      <c r="D3264" s="579"/>
      <c r="E3264" s="583"/>
      <c r="F3264" s="596"/>
      <c r="G3264" s="65">
        <v>0</v>
      </c>
      <c r="H3264" s="591" t="s">
        <v>280</v>
      </c>
      <c r="I3264" s="591" t="s">
        <v>280</v>
      </c>
    </row>
    <row r="3265" spans="1:9">
      <c r="A3265" s="580" t="s">
        <v>1822</v>
      </c>
      <c r="B3265" s="65">
        <v>3463</v>
      </c>
      <c r="C3265" s="579" t="s">
        <v>281</v>
      </c>
      <c r="D3265" s="579"/>
      <c r="E3265" s="583"/>
      <c r="F3265" s="596"/>
      <c r="G3265" s="65">
        <v>0</v>
      </c>
      <c r="H3265" s="591" t="s">
        <v>280</v>
      </c>
      <c r="I3265" s="591" t="s">
        <v>280</v>
      </c>
    </row>
    <row r="3266" spans="1:9">
      <c r="A3266" s="580" t="s">
        <v>1822</v>
      </c>
      <c r="B3266" s="65">
        <v>3464</v>
      </c>
      <c r="C3266" s="579" t="s">
        <v>281</v>
      </c>
      <c r="D3266" s="579"/>
      <c r="E3266" s="583"/>
      <c r="F3266" s="596"/>
      <c r="G3266" s="65">
        <v>0</v>
      </c>
      <c r="H3266" s="591" t="s">
        <v>280</v>
      </c>
      <c r="I3266" s="591" t="s">
        <v>280</v>
      </c>
    </row>
    <row r="3267" spans="1:9">
      <c r="A3267" s="580" t="s">
        <v>1822</v>
      </c>
      <c r="B3267" s="65">
        <v>3465</v>
      </c>
      <c r="C3267" s="579" t="s">
        <v>281</v>
      </c>
      <c r="D3267" s="579"/>
      <c r="E3267" s="583"/>
      <c r="F3267" s="596"/>
      <c r="G3267" s="65">
        <v>0</v>
      </c>
      <c r="H3267" s="591" t="s">
        <v>280</v>
      </c>
      <c r="I3267" s="591" t="s">
        <v>280</v>
      </c>
    </row>
    <row r="3268" spans="1:9">
      <c r="A3268" s="580" t="s">
        <v>1822</v>
      </c>
      <c r="B3268" s="65">
        <v>3466</v>
      </c>
      <c r="C3268" s="579" t="s">
        <v>281</v>
      </c>
      <c r="D3268" s="579"/>
      <c r="E3268" s="583"/>
      <c r="F3268" s="596"/>
      <c r="G3268" s="65">
        <v>0</v>
      </c>
      <c r="H3268" s="591" t="s">
        <v>280</v>
      </c>
      <c r="I3268" s="591" t="s">
        <v>280</v>
      </c>
    </row>
    <row r="3269" spans="1:9">
      <c r="A3269" s="580" t="s">
        <v>1822</v>
      </c>
      <c r="B3269" s="65">
        <v>3467</v>
      </c>
      <c r="C3269" s="579" t="s">
        <v>281</v>
      </c>
      <c r="D3269" s="579"/>
      <c r="E3269" s="583"/>
      <c r="F3269" s="596"/>
      <c r="G3269" s="65">
        <v>0</v>
      </c>
      <c r="H3269" s="591" t="s">
        <v>280</v>
      </c>
      <c r="I3269" s="591" t="s">
        <v>280</v>
      </c>
    </row>
    <row r="3270" spans="1:9">
      <c r="A3270" s="580" t="s">
        <v>1822</v>
      </c>
      <c r="B3270" s="65">
        <v>3468</v>
      </c>
      <c r="C3270" s="579" t="s">
        <v>281</v>
      </c>
      <c r="D3270" s="579"/>
      <c r="E3270" s="583"/>
      <c r="F3270" s="596"/>
      <c r="G3270" s="65">
        <v>0</v>
      </c>
      <c r="H3270" s="591" t="s">
        <v>280</v>
      </c>
      <c r="I3270" s="591" t="s">
        <v>280</v>
      </c>
    </row>
    <row r="3271" spans="1:9">
      <c r="A3271" s="580" t="s">
        <v>1822</v>
      </c>
      <c r="B3271" s="65">
        <v>3469</v>
      </c>
      <c r="C3271" s="579" t="s">
        <v>281</v>
      </c>
      <c r="D3271" s="579"/>
      <c r="E3271" s="583"/>
      <c r="F3271" s="596"/>
      <c r="G3271" s="65">
        <v>0</v>
      </c>
      <c r="H3271" s="591" t="s">
        <v>280</v>
      </c>
      <c r="I3271" s="591" t="s">
        <v>280</v>
      </c>
    </row>
    <row r="3272" spans="1:9">
      <c r="A3272" s="580" t="s">
        <v>1822</v>
      </c>
      <c r="B3272" s="65">
        <v>3470</v>
      </c>
      <c r="C3272" s="579" t="s">
        <v>281</v>
      </c>
      <c r="D3272" s="579"/>
      <c r="E3272" s="583"/>
      <c r="F3272" s="596"/>
      <c r="G3272" s="65">
        <v>0</v>
      </c>
      <c r="H3272" s="591" t="s">
        <v>280</v>
      </c>
      <c r="I3272" s="591" t="s">
        <v>280</v>
      </c>
    </row>
    <row r="3273" spans="1:9">
      <c r="A3273" s="580" t="s">
        <v>1822</v>
      </c>
      <c r="B3273" s="65">
        <v>3471</v>
      </c>
      <c r="C3273" s="579" t="s">
        <v>281</v>
      </c>
      <c r="D3273" s="579"/>
      <c r="E3273" s="583"/>
      <c r="F3273" s="596"/>
      <c r="G3273" s="65">
        <v>0</v>
      </c>
      <c r="H3273" s="591" t="s">
        <v>280</v>
      </c>
      <c r="I3273" s="591" t="s">
        <v>280</v>
      </c>
    </row>
    <row r="3274" spans="1:9">
      <c r="A3274" s="580" t="s">
        <v>1822</v>
      </c>
      <c r="B3274" s="65">
        <v>3472</v>
      </c>
      <c r="C3274" s="579" t="s">
        <v>281</v>
      </c>
      <c r="D3274" s="579"/>
      <c r="E3274" s="583"/>
      <c r="F3274" s="596"/>
      <c r="G3274" s="65">
        <v>0</v>
      </c>
      <c r="H3274" s="591" t="s">
        <v>280</v>
      </c>
      <c r="I3274" s="591" t="s">
        <v>280</v>
      </c>
    </row>
    <row r="3275" spans="1:9">
      <c r="A3275" s="580" t="s">
        <v>1822</v>
      </c>
      <c r="B3275" s="65">
        <v>3473</v>
      </c>
      <c r="C3275" s="579" t="s">
        <v>281</v>
      </c>
      <c r="D3275" s="579"/>
      <c r="E3275" s="583"/>
      <c r="F3275" s="596"/>
      <c r="G3275" s="65">
        <v>0</v>
      </c>
      <c r="H3275" s="591" t="s">
        <v>280</v>
      </c>
      <c r="I3275" s="591" t="s">
        <v>280</v>
      </c>
    </row>
    <row r="3276" spans="1:9">
      <c r="A3276" s="580" t="s">
        <v>1822</v>
      </c>
      <c r="B3276" s="65">
        <v>3474</v>
      </c>
      <c r="C3276" s="579" t="s">
        <v>281</v>
      </c>
      <c r="D3276" s="579"/>
      <c r="E3276" s="583"/>
      <c r="F3276" s="596"/>
      <c r="G3276" s="65">
        <v>0</v>
      </c>
      <c r="H3276" s="591" t="s">
        <v>280</v>
      </c>
      <c r="I3276" s="591" t="s">
        <v>280</v>
      </c>
    </row>
    <row r="3277" spans="1:9">
      <c r="A3277" s="580" t="s">
        <v>1822</v>
      </c>
      <c r="B3277" s="65">
        <v>3475</v>
      </c>
      <c r="C3277" s="579" t="s">
        <v>281</v>
      </c>
      <c r="D3277" s="579"/>
      <c r="E3277" s="583"/>
      <c r="F3277" s="596"/>
      <c r="G3277" s="65">
        <v>0</v>
      </c>
      <c r="H3277" s="591" t="s">
        <v>280</v>
      </c>
      <c r="I3277" s="591" t="s">
        <v>280</v>
      </c>
    </row>
    <row r="3278" spans="1:9">
      <c r="A3278" s="580" t="s">
        <v>1822</v>
      </c>
      <c r="B3278" s="65">
        <v>3476</v>
      </c>
      <c r="C3278" s="579" t="s">
        <v>281</v>
      </c>
      <c r="D3278" s="579"/>
      <c r="E3278" s="583"/>
      <c r="F3278" s="596"/>
      <c r="G3278" s="65">
        <v>0</v>
      </c>
      <c r="H3278" s="591" t="s">
        <v>280</v>
      </c>
      <c r="I3278" s="591" t="s">
        <v>280</v>
      </c>
    </row>
    <row r="3279" spans="1:9">
      <c r="A3279" s="580" t="s">
        <v>1822</v>
      </c>
      <c r="B3279" s="65">
        <v>3477</v>
      </c>
      <c r="C3279" s="579" t="s">
        <v>281</v>
      </c>
      <c r="D3279" s="579"/>
      <c r="E3279" s="583"/>
      <c r="F3279" s="596"/>
      <c r="G3279" s="65">
        <v>0</v>
      </c>
      <c r="H3279" s="591" t="s">
        <v>280</v>
      </c>
      <c r="I3279" s="591" t="s">
        <v>280</v>
      </c>
    </row>
    <row r="3280" spans="1:9">
      <c r="A3280" s="580" t="s">
        <v>1822</v>
      </c>
      <c r="B3280" s="65">
        <v>3478</v>
      </c>
      <c r="C3280" s="579" t="s">
        <v>281</v>
      </c>
      <c r="D3280" s="579"/>
      <c r="E3280" s="583"/>
      <c r="F3280" s="596"/>
      <c r="G3280" s="65">
        <v>0</v>
      </c>
      <c r="H3280" s="591" t="s">
        <v>280</v>
      </c>
      <c r="I3280" s="591" t="s">
        <v>280</v>
      </c>
    </row>
    <row r="3281" spans="1:9">
      <c r="A3281" s="580" t="s">
        <v>1822</v>
      </c>
      <c r="B3281" s="65">
        <v>3479</v>
      </c>
      <c r="C3281" s="579" t="s">
        <v>281</v>
      </c>
      <c r="D3281" s="579"/>
      <c r="E3281" s="583"/>
      <c r="F3281" s="596"/>
      <c r="G3281" s="65">
        <v>0</v>
      </c>
      <c r="H3281" s="591" t="s">
        <v>280</v>
      </c>
      <c r="I3281" s="591" t="s">
        <v>280</v>
      </c>
    </row>
    <row r="3282" spans="1:9">
      <c r="A3282" s="580" t="s">
        <v>1822</v>
      </c>
      <c r="B3282" s="65">
        <v>3480</v>
      </c>
      <c r="C3282" s="579" t="s">
        <v>281</v>
      </c>
      <c r="D3282" s="579"/>
      <c r="E3282" s="583"/>
      <c r="F3282" s="596"/>
      <c r="G3282" s="65">
        <v>0</v>
      </c>
      <c r="H3282" s="591" t="s">
        <v>280</v>
      </c>
      <c r="I3282" s="591" t="s">
        <v>280</v>
      </c>
    </row>
    <row r="3283" spans="1:9">
      <c r="A3283" s="580" t="s">
        <v>1822</v>
      </c>
      <c r="B3283" s="65">
        <v>3481</v>
      </c>
      <c r="C3283" s="579" t="s">
        <v>281</v>
      </c>
      <c r="D3283" s="579"/>
      <c r="E3283" s="583"/>
      <c r="F3283" s="596"/>
      <c r="G3283" s="65">
        <v>0</v>
      </c>
      <c r="H3283" s="591" t="s">
        <v>280</v>
      </c>
      <c r="I3283" s="591" t="s">
        <v>280</v>
      </c>
    </row>
    <row r="3284" spans="1:9">
      <c r="A3284" s="580" t="s">
        <v>1822</v>
      </c>
      <c r="B3284" s="65">
        <v>3482</v>
      </c>
      <c r="C3284" s="579" t="s">
        <v>281</v>
      </c>
      <c r="D3284" s="579"/>
      <c r="E3284" s="583"/>
      <c r="F3284" s="596"/>
      <c r="G3284" s="65">
        <v>0</v>
      </c>
      <c r="H3284" s="591" t="s">
        <v>280</v>
      </c>
      <c r="I3284" s="591" t="s">
        <v>280</v>
      </c>
    </row>
    <row r="3285" spans="1:9">
      <c r="A3285" s="580" t="s">
        <v>1822</v>
      </c>
      <c r="B3285" s="65">
        <v>3483</v>
      </c>
      <c r="C3285" s="579" t="s">
        <v>281</v>
      </c>
      <c r="D3285" s="579"/>
      <c r="E3285" s="583"/>
      <c r="F3285" s="596"/>
      <c r="G3285" s="65">
        <v>0</v>
      </c>
      <c r="H3285" s="591" t="s">
        <v>280</v>
      </c>
      <c r="I3285" s="591" t="s">
        <v>280</v>
      </c>
    </row>
    <row r="3286" spans="1:9">
      <c r="A3286" s="580" t="s">
        <v>1822</v>
      </c>
      <c r="B3286" s="65">
        <v>3484</v>
      </c>
      <c r="C3286" s="579" t="s">
        <v>281</v>
      </c>
      <c r="D3286" s="579"/>
      <c r="E3286" s="583"/>
      <c r="F3286" s="596"/>
      <c r="G3286" s="65">
        <v>0</v>
      </c>
      <c r="H3286" s="591" t="s">
        <v>280</v>
      </c>
      <c r="I3286" s="591" t="s">
        <v>280</v>
      </c>
    </row>
    <row r="3287" spans="1:9">
      <c r="A3287" s="580" t="s">
        <v>1822</v>
      </c>
      <c r="B3287" s="65">
        <v>3485</v>
      </c>
      <c r="C3287" s="579" t="s">
        <v>281</v>
      </c>
      <c r="D3287" s="579"/>
      <c r="E3287" s="583"/>
      <c r="F3287" s="596"/>
      <c r="G3287" s="65">
        <v>0</v>
      </c>
      <c r="H3287" s="591" t="s">
        <v>280</v>
      </c>
      <c r="I3287" s="591" t="s">
        <v>280</v>
      </c>
    </row>
    <row r="3288" spans="1:9">
      <c r="A3288" s="580" t="s">
        <v>1822</v>
      </c>
      <c r="B3288" s="65">
        <v>3486</v>
      </c>
      <c r="C3288" s="579" t="s">
        <v>281</v>
      </c>
      <c r="D3288" s="579"/>
      <c r="E3288" s="583"/>
      <c r="F3288" s="596"/>
      <c r="G3288" s="65">
        <v>0</v>
      </c>
      <c r="H3288" s="591" t="s">
        <v>280</v>
      </c>
      <c r="I3288" s="591" t="s">
        <v>280</v>
      </c>
    </row>
    <row r="3289" spans="1:9">
      <c r="A3289" s="580" t="s">
        <v>1822</v>
      </c>
      <c r="B3289" s="65">
        <v>3487</v>
      </c>
      <c r="C3289" s="579" t="s">
        <v>281</v>
      </c>
      <c r="D3289" s="579"/>
      <c r="E3289" s="583"/>
      <c r="F3289" s="596"/>
      <c r="G3289" s="65">
        <v>0</v>
      </c>
      <c r="H3289" s="591" t="s">
        <v>280</v>
      </c>
      <c r="I3289" s="591" t="s">
        <v>280</v>
      </c>
    </row>
    <row r="3290" spans="1:9">
      <c r="A3290" s="580" t="s">
        <v>1822</v>
      </c>
      <c r="B3290" s="65">
        <v>3488</v>
      </c>
      <c r="C3290" s="579" t="s">
        <v>281</v>
      </c>
      <c r="D3290" s="579"/>
      <c r="E3290" s="583"/>
      <c r="F3290" s="596"/>
      <c r="G3290" s="65">
        <v>0</v>
      </c>
      <c r="H3290" s="591" t="s">
        <v>280</v>
      </c>
      <c r="I3290" s="591" t="s">
        <v>280</v>
      </c>
    </row>
    <row r="3291" spans="1:9">
      <c r="A3291" s="580" t="s">
        <v>1822</v>
      </c>
      <c r="B3291" s="65">
        <v>3489</v>
      </c>
      <c r="C3291" s="579" t="s">
        <v>281</v>
      </c>
      <c r="D3291" s="579"/>
      <c r="E3291" s="583"/>
      <c r="F3291" s="596"/>
      <c r="G3291" s="65">
        <v>0</v>
      </c>
      <c r="H3291" s="591" t="s">
        <v>280</v>
      </c>
      <c r="I3291" s="591" t="s">
        <v>280</v>
      </c>
    </row>
    <row r="3292" spans="1:9">
      <c r="A3292" s="580" t="s">
        <v>1822</v>
      </c>
      <c r="B3292" s="65">
        <v>3490</v>
      </c>
      <c r="C3292" s="579" t="s">
        <v>281</v>
      </c>
      <c r="D3292" s="579"/>
      <c r="E3292" s="583"/>
      <c r="F3292" s="596"/>
      <c r="G3292" s="65">
        <v>0</v>
      </c>
      <c r="H3292" s="591" t="s">
        <v>280</v>
      </c>
      <c r="I3292" s="591" t="s">
        <v>280</v>
      </c>
    </row>
    <row r="3293" spans="1:9">
      <c r="A3293" s="580" t="s">
        <v>1822</v>
      </c>
      <c r="B3293" s="65">
        <v>3491</v>
      </c>
      <c r="C3293" s="579" t="s">
        <v>281</v>
      </c>
      <c r="D3293" s="579"/>
      <c r="E3293" s="583"/>
      <c r="F3293" s="596"/>
      <c r="G3293" s="65">
        <v>0</v>
      </c>
      <c r="H3293" s="591" t="s">
        <v>280</v>
      </c>
      <c r="I3293" s="591" t="s">
        <v>280</v>
      </c>
    </row>
    <row r="3294" spans="1:9">
      <c r="A3294" s="580" t="s">
        <v>1822</v>
      </c>
      <c r="B3294" s="65">
        <v>3492</v>
      </c>
      <c r="C3294" s="579" t="s">
        <v>281</v>
      </c>
      <c r="D3294" s="579"/>
      <c r="E3294" s="583"/>
      <c r="F3294" s="596"/>
      <c r="G3294" s="65">
        <v>0</v>
      </c>
      <c r="H3294" s="591" t="s">
        <v>280</v>
      </c>
      <c r="I3294" s="591" t="s">
        <v>280</v>
      </c>
    </row>
    <row r="3295" spans="1:9">
      <c r="A3295" s="580" t="s">
        <v>1822</v>
      </c>
      <c r="B3295" s="65">
        <v>3493</v>
      </c>
      <c r="C3295" s="579" t="s">
        <v>281</v>
      </c>
      <c r="D3295" s="579"/>
      <c r="E3295" s="583"/>
      <c r="F3295" s="596"/>
      <c r="G3295" s="65">
        <v>0</v>
      </c>
      <c r="H3295" s="591" t="s">
        <v>280</v>
      </c>
      <c r="I3295" s="591" t="s">
        <v>280</v>
      </c>
    </row>
    <row r="3296" spans="1:9">
      <c r="A3296" s="580" t="s">
        <v>1822</v>
      </c>
      <c r="B3296" s="65">
        <v>3494</v>
      </c>
      <c r="C3296" s="579" t="s">
        <v>281</v>
      </c>
      <c r="D3296" s="579"/>
      <c r="E3296" s="583"/>
      <c r="F3296" s="596"/>
      <c r="G3296" s="65">
        <v>0</v>
      </c>
      <c r="H3296" s="591" t="s">
        <v>280</v>
      </c>
      <c r="I3296" s="591" t="s">
        <v>280</v>
      </c>
    </row>
    <row r="3297" spans="1:9">
      <c r="A3297" s="580" t="s">
        <v>1822</v>
      </c>
      <c r="B3297" s="65">
        <v>3495</v>
      </c>
      <c r="C3297" s="579" t="s">
        <v>281</v>
      </c>
      <c r="D3297" s="579"/>
      <c r="E3297" s="583"/>
      <c r="F3297" s="596"/>
      <c r="G3297" s="65">
        <v>0</v>
      </c>
      <c r="H3297" s="591" t="s">
        <v>280</v>
      </c>
      <c r="I3297" s="591" t="s">
        <v>280</v>
      </c>
    </row>
    <row r="3298" spans="1:9">
      <c r="A3298" s="580" t="s">
        <v>1822</v>
      </c>
      <c r="B3298" s="65">
        <v>3496</v>
      </c>
      <c r="C3298" s="579" t="s">
        <v>281</v>
      </c>
      <c r="D3298" s="579"/>
      <c r="E3298" s="583"/>
      <c r="F3298" s="596"/>
      <c r="G3298" s="65">
        <v>0</v>
      </c>
      <c r="H3298" s="591" t="s">
        <v>280</v>
      </c>
      <c r="I3298" s="591" t="s">
        <v>280</v>
      </c>
    </row>
    <row r="3299" spans="1:9">
      <c r="A3299" s="580" t="s">
        <v>1822</v>
      </c>
      <c r="B3299" s="65">
        <v>3497</v>
      </c>
      <c r="C3299" s="579" t="s">
        <v>281</v>
      </c>
      <c r="D3299" s="579"/>
      <c r="E3299" s="583"/>
      <c r="F3299" s="596"/>
      <c r="G3299" s="65">
        <v>0</v>
      </c>
      <c r="H3299" s="591" t="s">
        <v>280</v>
      </c>
      <c r="I3299" s="591" t="s">
        <v>280</v>
      </c>
    </row>
    <row r="3300" spans="1:9">
      <c r="A3300" s="580" t="s">
        <v>1822</v>
      </c>
      <c r="B3300" s="65">
        <v>3498</v>
      </c>
      <c r="C3300" s="579" t="s">
        <v>281</v>
      </c>
      <c r="D3300" s="579"/>
      <c r="E3300" s="583"/>
      <c r="F3300" s="596"/>
      <c r="G3300" s="65">
        <v>0</v>
      </c>
      <c r="H3300" s="591" t="s">
        <v>280</v>
      </c>
      <c r="I3300" s="591" t="s">
        <v>280</v>
      </c>
    </row>
    <row r="3301" spans="1:9">
      <c r="A3301" s="580" t="s">
        <v>1822</v>
      </c>
      <c r="B3301" s="65">
        <v>3499</v>
      </c>
      <c r="C3301" s="579" t="s">
        <v>281</v>
      </c>
      <c r="D3301" s="579"/>
      <c r="E3301" s="583"/>
      <c r="F3301" s="596"/>
      <c r="G3301" s="65">
        <v>0</v>
      </c>
      <c r="H3301" s="591" t="s">
        <v>280</v>
      </c>
      <c r="I3301" s="591" t="s">
        <v>280</v>
      </c>
    </row>
    <row r="3302" spans="1:9" ht="12.75">
      <c r="A3302" s="582" t="s">
        <v>1831</v>
      </c>
      <c r="B3302" s="63">
        <v>3500</v>
      </c>
      <c r="C3302" s="63" t="s">
        <v>279</v>
      </c>
      <c r="D3302" s="63"/>
      <c r="E3302" s="62"/>
      <c r="F3302" s="585">
        <v>45535</v>
      </c>
      <c r="G3302" s="65">
        <v>1</v>
      </c>
      <c r="H3302" s="591" t="s">
        <v>280</v>
      </c>
      <c r="I3302" s="591" t="s">
        <v>280</v>
      </c>
    </row>
    <row r="3303" spans="1:9" ht="12.75">
      <c r="A3303" s="582" t="s">
        <v>1831</v>
      </c>
      <c r="B3303" s="63">
        <v>3501</v>
      </c>
      <c r="C3303" s="63" t="s">
        <v>593</v>
      </c>
      <c r="D3303" s="579">
        <v>10397</v>
      </c>
      <c r="E3303" s="62"/>
      <c r="F3303" s="585">
        <v>45535</v>
      </c>
      <c r="G3303" s="65">
        <v>1</v>
      </c>
      <c r="H3303" s="591" t="s">
        <v>1979</v>
      </c>
      <c r="I3303" s="591" t="s">
        <v>1231</v>
      </c>
    </row>
    <row r="3304" spans="1:9" ht="12.75">
      <c r="A3304" s="582" t="s">
        <v>1831</v>
      </c>
      <c r="B3304" s="63">
        <v>3502</v>
      </c>
      <c r="C3304" s="63" t="s">
        <v>281</v>
      </c>
      <c r="D3304" s="63"/>
      <c r="E3304" s="62"/>
      <c r="F3304" s="596"/>
      <c r="G3304" s="65">
        <v>0</v>
      </c>
      <c r="H3304" s="591" t="s">
        <v>280</v>
      </c>
      <c r="I3304" s="591" t="s">
        <v>280</v>
      </c>
    </row>
    <row r="3305" spans="1:9" ht="12.75">
      <c r="A3305" s="582" t="s">
        <v>1831</v>
      </c>
      <c r="B3305" s="63">
        <v>3503</v>
      </c>
      <c r="C3305" s="63" t="s">
        <v>594</v>
      </c>
      <c r="D3305" s="579">
        <v>10530</v>
      </c>
      <c r="E3305" s="62"/>
      <c r="F3305" s="585">
        <v>45535</v>
      </c>
      <c r="G3305" s="65">
        <v>1</v>
      </c>
      <c r="H3305" s="591" t="s">
        <v>1979</v>
      </c>
      <c r="I3305" s="591" t="s">
        <v>1231</v>
      </c>
    </row>
    <row r="3306" spans="1:9" ht="12.75">
      <c r="A3306" s="582" t="s">
        <v>1831</v>
      </c>
      <c r="B3306" s="63">
        <v>3504</v>
      </c>
      <c r="C3306" s="63" t="s">
        <v>595</v>
      </c>
      <c r="D3306" s="63">
        <v>10531</v>
      </c>
      <c r="E3306" s="62"/>
      <c r="F3306" s="585">
        <v>45535</v>
      </c>
      <c r="G3306" s="65">
        <v>1</v>
      </c>
      <c r="H3306" s="591" t="s">
        <v>1979</v>
      </c>
      <c r="I3306" s="591" t="s">
        <v>1231</v>
      </c>
    </row>
    <row r="3307" spans="1:9" ht="12.75">
      <c r="A3307" s="582" t="s">
        <v>1831</v>
      </c>
      <c r="B3307" s="63">
        <v>3505</v>
      </c>
      <c r="C3307" s="63" t="s">
        <v>281</v>
      </c>
      <c r="D3307" s="63"/>
      <c r="E3307" s="62"/>
      <c r="F3307" s="596"/>
      <c r="G3307" s="65">
        <v>0</v>
      </c>
      <c r="H3307" s="591" t="s">
        <v>280</v>
      </c>
      <c r="I3307" s="591" t="s">
        <v>280</v>
      </c>
    </row>
    <row r="3308" spans="1:9" ht="12.75">
      <c r="A3308" s="582" t="s">
        <v>1831</v>
      </c>
      <c r="B3308" s="63">
        <v>3506</v>
      </c>
      <c r="C3308" s="63" t="s">
        <v>281</v>
      </c>
      <c r="D3308" s="63"/>
      <c r="E3308" s="62"/>
      <c r="F3308" s="596"/>
      <c r="G3308" s="65">
        <v>0</v>
      </c>
      <c r="H3308" s="591" t="s">
        <v>280</v>
      </c>
      <c r="I3308" s="591" t="s">
        <v>280</v>
      </c>
    </row>
    <row r="3309" spans="1:9" ht="12.75">
      <c r="A3309" s="582" t="s">
        <v>1831</v>
      </c>
      <c r="B3309" s="63">
        <v>3507</v>
      </c>
      <c r="C3309" s="63" t="s">
        <v>596</v>
      </c>
      <c r="D3309" s="63">
        <v>10134</v>
      </c>
      <c r="E3309" s="62"/>
      <c r="F3309" s="585">
        <v>45535</v>
      </c>
      <c r="G3309" s="65">
        <v>1</v>
      </c>
      <c r="H3309" s="591" t="s">
        <v>1979</v>
      </c>
      <c r="I3309" s="591" t="s">
        <v>1231</v>
      </c>
    </row>
    <row r="3310" spans="1:9" ht="12.75">
      <c r="A3310" s="582" t="s">
        <v>1831</v>
      </c>
      <c r="B3310" s="63">
        <v>3508</v>
      </c>
      <c r="C3310" s="63" t="s">
        <v>281</v>
      </c>
      <c r="D3310" s="63"/>
      <c r="E3310" s="62"/>
      <c r="F3310" s="596"/>
      <c r="G3310" s="65">
        <v>0</v>
      </c>
      <c r="H3310" s="591" t="s">
        <v>280</v>
      </c>
      <c r="I3310" s="591" t="s">
        <v>280</v>
      </c>
    </row>
    <row r="3311" spans="1:9" ht="12.75">
      <c r="A3311" s="582" t="s">
        <v>1831</v>
      </c>
      <c r="B3311" s="63">
        <v>3509</v>
      </c>
      <c r="C3311" s="63" t="s">
        <v>281</v>
      </c>
      <c r="D3311" s="63"/>
      <c r="E3311" s="62"/>
      <c r="F3311" s="596"/>
      <c r="G3311" s="65">
        <v>0</v>
      </c>
      <c r="H3311" s="591" t="s">
        <v>280</v>
      </c>
      <c r="I3311" s="591" t="s">
        <v>280</v>
      </c>
    </row>
    <row r="3312" spans="1:9" ht="12.75">
      <c r="A3312" s="582" t="s">
        <v>1831</v>
      </c>
      <c r="B3312" s="63">
        <v>3510</v>
      </c>
      <c r="C3312" s="63" t="s">
        <v>281</v>
      </c>
      <c r="D3312" s="63"/>
      <c r="E3312" s="62"/>
      <c r="F3312" s="596"/>
      <c r="G3312" s="65">
        <v>0</v>
      </c>
      <c r="H3312" s="591" t="s">
        <v>280</v>
      </c>
      <c r="I3312" s="591" t="s">
        <v>280</v>
      </c>
    </row>
    <row r="3313" spans="1:9" ht="12.75">
      <c r="A3313" s="582" t="s">
        <v>1831</v>
      </c>
      <c r="B3313" s="63">
        <v>3511</v>
      </c>
      <c r="C3313" s="63" t="s">
        <v>281</v>
      </c>
      <c r="D3313" s="63"/>
      <c r="E3313" s="62"/>
      <c r="F3313" s="596"/>
      <c r="G3313" s="65">
        <v>0</v>
      </c>
      <c r="H3313" s="591" t="s">
        <v>280</v>
      </c>
      <c r="I3313" s="591" t="s">
        <v>280</v>
      </c>
    </row>
    <row r="3314" spans="1:9" ht="12.75">
      <c r="A3314" s="582" t="s">
        <v>1831</v>
      </c>
      <c r="B3314" s="63">
        <v>3512</v>
      </c>
      <c r="C3314" s="63" t="s">
        <v>597</v>
      </c>
      <c r="D3314" s="579">
        <v>10563</v>
      </c>
      <c r="E3314" s="62"/>
      <c r="F3314" s="585">
        <v>45535</v>
      </c>
      <c r="G3314" s="65">
        <v>1</v>
      </c>
      <c r="H3314" s="591" t="s">
        <v>1979</v>
      </c>
      <c r="I3314" s="591" t="s">
        <v>1231</v>
      </c>
    </row>
    <row r="3315" spans="1:9" ht="12.75">
      <c r="A3315" s="582" t="s">
        <v>1831</v>
      </c>
      <c r="B3315" s="63">
        <v>3513</v>
      </c>
      <c r="C3315" s="63" t="s">
        <v>281</v>
      </c>
      <c r="D3315" s="63"/>
      <c r="E3315" s="62"/>
      <c r="F3315" s="596"/>
      <c r="G3315" s="65">
        <v>0</v>
      </c>
      <c r="H3315" s="591" t="s">
        <v>280</v>
      </c>
      <c r="I3315" s="591" t="s">
        <v>280</v>
      </c>
    </row>
    <row r="3316" spans="1:9" ht="12.75">
      <c r="A3316" s="582" t="s">
        <v>1831</v>
      </c>
      <c r="B3316" s="63">
        <v>3514</v>
      </c>
      <c r="C3316" s="63" t="s">
        <v>281</v>
      </c>
      <c r="D3316" s="65"/>
      <c r="E3316" s="62"/>
      <c r="F3316" s="596"/>
      <c r="G3316" s="65">
        <v>0</v>
      </c>
      <c r="H3316" s="591" t="s">
        <v>280</v>
      </c>
      <c r="I3316" s="591" t="s">
        <v>280</v>
      </c>
    </row>
    <row r="3317" spans="1:9" ht="12.75">
      <c r="A3317" s="582" t="s">
        <v>1831</v>
      </c>
      <c r="B3317" s="63">
        <v>3515</v>
      </c>
      <c r="C3317" s="63" t="s">
        <v>598</v>
      </c>
      <c r="D3317" s="579">
        <v>10396</v>
      </c>
      <c r="E3317" s="62"/>
      <c r="F3317" s="585">
        <v>45535</v>
      </c>
      <c r="G3317" s="65">
        <v>1</v>
      </c>
      <c r="H3317" s="591" t="s">
        <v>280</v>
      </c>
      <c r="I3317" s="591" t="s">
        <v>280</v>
      </c>
    </row>
    <row r="3318" spans="1:9" ht="12.75">
      <c r="A3318" s="582" t="s">
        <v>1831</v>
      </c>
      <c r="B3318" s="63">
        <v>3516</v>
      </c>
      <c r="C3318" s="63" t="s">
        <v>281</v>
      </c>
      <c r="D3318" s="63"/>
      <c r="E3318" s="62"/>
      <c r="F3318" s="596"/>
      <c r="G3318" s="65">
        <v>0</v>
      </c>
      <c r="H3318" s="591" t="s">
        <v>280</v>
      </c>
      <c r="I3318" s="591" t="s">
        <v>280</v>
      </c>
    </row>
    <row r="3319" spans="1:9" ht="12.75">
      <c r="A3319" s="582" t="s">
        <v>1831</v>
      </c>
      <c r="B3319" s="63">
        <v>3517</v>
      </c>
      <c r="C3319" s="63" t="s">
        <v>281</v>
      </c>
      <c r="D3319" s="63"/>
      <c r="E3319" s="62"/>
      <c r="F3319" s="596"/>
      <c r="G3319" s="65">
        <v>0</v>
      </c>
      <c r="H3319" s="591" t="s">
        <v>280</v>
      </c>
      <c r="I3319" s="591" t="s">
        <v>280</v>
      </c>
    </row>
    <row r="3320" spans="1:9" ht="12.75">
      <c r="A3320" s="582" t="s">
        <v>1831</v>
      </c>
      <c r="B3320" s="63">
        <v>3518</v>
      </c>
      <c r="C3320" s="63" t="s">
        <v>281</v>
      </c>
      <c r="D3320" s="63"/>
      <c r="E3320" s="62"/>
      <c r="F3320" s="596"/>
      <c r="G3320" s="65">
        <v>0</v>
      </c>
      <c r="H3320" s="591" t="s">
        <v>280</v>
      </c>
      <c r="I3320" s="591" t="s">
        <v>280</v>
      </c>
    </row>
    <row r="3321" spans="1:9" ht="12.75">
      <c r="A3321" s="582" t="s">
        <v>1831</v>
      </c>
      <c r="B3321" s="63">
        <v>3519</v>
      </c>
      <c r="C3321" s="63" t="s">
        <v>281</v>
      </c>
      <c r="D3321" s="579"/>
      <c r="E3321" s="62"/>
      <c r="F3321" s="596"/>
      <c r="G3321" s="65">
        <v>0</v>
      </c>
      <c r="H3321" s="591" t="s">
        <v>280</v>
      </c>
      <c r="I3321" s="591" t="s">
        <v>280</v>
      </c>
    </row>
    <row r="3322" spans="1:9">
      <c r="A3322" s="582" t="s">
        <v>1831</v>
      </c>
      <c r="B3322" s="65">
        <v>3520</v>
      </c>
      <c r="C3322" s="579" t="s">
        <v>281</v>
      </c>
      <c r="D3322" s="579"/>
      <c r="E3322" s="583"/>
      <c r="F3322" s="596"/>
      <c r="G3322" s="65">
        <v>0</v>
      </c>
      <c r="H3322" s="591" t="s">
        <v>280</v>
      </c>
      <c r="I3322" s="591" t="s">
        <v>280</v>
      </c>
    </row>
    <row r="3323" spans="1:9">
      <c r="A3323" s="582" t="s">
        <v>1831</v>
      </c>
      <c r="B3323" s="65">
        <v>3521</v>
      </c>
      <c r="C3323" s="579" t="s">
        <v>600</v>
      </c>
      <c r="D3323" s="63">
        <v>10618</v>
      </c>
      <c r="E3323" s="583"/>
      <c r="F3323" s="585">
        <v>45535</v>
      </c>
      <c r="G3323" s="65">
        <v>1</v>
      </c>
      <c r="H3323" s="591" t="s">
        <v>1979</v>
      </c>
      <c r="I3323" s="591" t="s">
        <v>1231</v>
      </c>
    </row>
    <row r="3324" spans="1:9">
      <c r="A3324" s="582" t="s">
        <v>1831</v>
      </c>
      <c r="B3324" s="65">
        <v>3522</v>
      </c>
      <c r="C3324" s="579" t="s">
        <v>281</v>
      </c>
      <c r="D3324" s="579"/>
      <c r="E3324" s="583"/>
      <c r="F3324" s="596"/>
      <c r="G3324" s="65">
        <v>0</v>
      </c>
      <c r="H3324" s="591" t="s">
        <v>280</v>
      </c>
      <c r="I3324" s="591" t="s">
        <v>280</v>
      </c>
    </row>
    <row r="3325" spans="1:9">
      <c r="A3325" s="582" t="s">
        <v>1831</v>
      </c>
      <c r="B3325" s="65">
        <v>3523</v>
      </c>
      <c r="C3325" s="579" t="s">
        <v>1832</v>
      </c>
      <c r="D3325" s="579">
        <v>10720</v>
      </c>
      <c r="E3325" s="583"/>
      <c r="F3325" s="585">
        <v>45535</v>
      </c>
      <c r="G3325" s="65">
        <v>1</v>
      </c>
      <c r="H3325" s="591" t="s">
        <v>1979</v>
      </c>
      <c r="I3325" s="591" t="s">
        <v>1231</v>
      </c>
    </row>
    <row r="3326" spans="1:9">
      <c r="A3326" s="582" t="s">
        <v>1831</v>
      </c>
      <c r="B3326" s="65">
        <v>3524</v>
      </c>
      <c r="C3326" s="579" t="s">
        <v>1833</v>
      </c>
      <c r="D3326" s="579">
        <v>10721</v>
      </c>
      <c r="E3326" s="583"/>
      <c r="F3326" s="585">
        <v>45535</v>
      </c>
      <c r="G3326" s="65">
        <v>1</v>
      </c>
      <c r="H3326" s="591" t="s">
        <v>280</v>
      </c>
      <c r="I3326" s="591" t="s">
        <v>280</v>
      </c>
    </row>
    <row r="3327" spans="1:9">
      <c r="A3327" s="580" t="s">
        <v>1831</v>
      </c>
      <c r="B3327" s="65">
        <v>3525</v>
      </c>
      <c r="C3327" s="65" t="s">
        <v>281</v>
      </c>
      <c r="D3327" s="65"/>
      <c r="E3327" s="583"/>
      <c r="F3327" s="596"/>
      <c r="G3327" s="65">
        <v>0</v>
      </c>
      <c r="H3327" s="591" t="s">
        <v>280</v>
      </c>
      <c r="I3327" s="591" t="s">
        <v>280</v>
      </c>
    </row>
    <row r="3328" spans="1:9">
      <c r="A3328" s="582" t="s">
        <v>1831</v>
      </c>
      <c r="B3328" s="65">
        <v>3526</v>
      </c>
      <c r="C3328" s="65" t="s">
        <v>1834</v>
      </c>
      <c r="D3328" s="65">
        <v>10939</v>
      </c>
      <c r="E3328" s="583"/>
      <c r="F3328" s="585">
        <v>45535</v>
      </c>
      <c r="G3328" s="65">
        <v>1</v>
      </c>
      <c r="H3328" s="591" t="s">
        <v>1979</v>
      </c>
      <c r="I3328" s="591" t="s">
        <v>1231</v>
      </c>
    </row>
    <row r="3329" spans="1:9">
      <c r="A3329" s="582" t="s">
        <v>1831</v>
      </c>
      <c r="B3329" s="65">
        <v>3527</v>
      </c>
      <c r="C3329" s="65" t="s">
        <v>1835</v>
      </c>
      <c r="D3329" s="65">
        <v>10953</v>
      </c>
      <c r="E3329" s="583"/>
      <c r="F3329" s="585">
        <v>45535</v>
      </c>
      <c r="G3329" s="65">
        <v>1</v>
      </c>
      <c r="H3329" s="591" t="s">
        <v>1979</v>
      </c>
      <c r="I3329" s="591" t="s">
        <v>1231</v>
      </c>
    </row>
    <row r="3330" spans="1:9">
      <c r="A3330" s="582" t="s">
        <v>1831</v>
      </c>
      <c r="B3330" s="65">
        <v>3528</v>
      </c>
      <c r="C3330" s="65" t="s">
        <v>1836</v>
      </c>
      <c r="D3330" s="65">
        <v>10954</v>
      </c>
      <c r="E3330" s="583"/>
      <c r="F3330" s="585">
        <v>45535</v>
      </c>
      <c r="G3330" s="65">
        <v>1</v>
      </c>
      <c r="H3330" s="591" t="s">
        <v>1979</v>
      </c>
      <c r="I3330" s="591" t="s">
        <v>1231</v>
      </c>
    </row>
    <row r="3331" spans="1:9">
      <c r="A3331" s="582" t="s">
        <v>1831</v>
      </c>
      <c r="B3331" s="65">
        <v>3529</v>
      </c>
      <c r="C3331" s="65" t="s">
        <v>1957</v>
      </c>
      <c r="D3331" s="65">
        <v>11054</v>
      </c>
      <c r="E3331" s="583"/>
      <c r="F3331" s="585">
        <v>45549</v>
      </c>
      <c r="G3331" s="65">
        <v>1</v>
      </c>
      <c r="H3331" s="591" t="s">
        <v>1979</v>
      </c>
      <c r="I3331" s="591" t="s">
        <v>1231</v>
      </c>
    </row>
    <row r="3332" spans="1:9" ht="14.25">
      <c r="A3332" s="582" t="s">
        <v>1831</v>
      </c>
      <c r="B3332" s="65">
        <v>3530</v>
      </c>
      <c r="C3332" s="65" t="s">
        <v>2019</v>
      </c>
      <c r="D3332" s="65">
        <v>11059</v>
      </c>
      <c r="E3332" s="587"/>
      <c r="F3332" s="585">
        <v>45591</v>
      </c>
      <c r="G3332" s="65">
        <v>1</v>
      </c>
      <c r="H3332" s="591" t="s">
        <v>280</v>
      </c>
      <c r="I3332" s="591" t="s">
        <v>280</v>
      </c>
    </row>
    <row r="3333" spans="1:9">
      <c r="A3333" s="582" t="s">
        <v>1831</v>
      </c>
      <c r="B3333" s="65">
        <v>3531</v>
      </c>
      <c r="C3333" s="579" t="s">
        <v>281</v>
      </c>
      <c r="D3333" s="579"/>
      <c r="E3333" s="583"/>
      <c r="F3333" s="596"/>
      <c r="G3333" s="65">
        <v>0</v>
      </c>
      <c r="H3333" s="591" t="s">
        <v>280</v>
      </c>
      <c r="I3333" s="591" t="s">
        <v>280</v>
      </c>
    </row>
    <row r="3334" spans="1:9">
      <c r="A3334" s="582" t="s">
        <v>1831</v>
      </c>
      <c r="B3334" s="65">
        <v>3532</v>
      </c>
      <c r="C3334" s="579" t="s">
        <v>281</v>
      </c>
      <c r="D3334" s="579"/>
      <c r="E3334" s="583"/>
      <c r="F3334" s="596"/>
      <c r="G3334" s="65">
        <v>0</v>
      </c>
      <c r="H3334" s="591" t="s">
        <v>280</v>
      </c>
      <c r="I3334" s="591" t="s">
        <v>280</v>
      </c>
    </row>
    <row r="3335" spans="1:9">
      <c r="A3335" s="582" t="s">
        <v>1831</v>
      </c>
      <c r="B3335" s="65">
        <v>3533</v>
      </c>
      <c r="C3335" s="579" t="s">
        <v>281</v>
      </c>
      <c r="D3335" s="579"/>
      <c r="E3335" s="583"/>
      <c r="F3335" s="596"/>
      <c r="G3335" s="65">
        <v>0</v>
      </c>
      <c r="H3335" s="591" t="s">
        <v>280</v>
      </c>
      <c r="I3335" s="591" t="s">
        <v>280</v>
      </c>
    </row>
    <row r="3336" spans="1:9">
      <c r="A3336" s="582" t="s">
        <v>1831</v>
      </c>
      <c r="B3336" s="65">
        <v>3534</v>
      </c>
      <c r="C3336" s="579" t="s">
        <v>281</v>
      </c>
      <c r="D3336" s="579"/>
      <c r="E3336" s="583"/>
      <c r="F3336" s="596"/>
      <c r="G3336" s="65">
        <v>0</v>
      </c>
      <c r="H3336" s="591" t="s">
        <v>280</v>
      </c>
      <c r="I3336" s="591" t="s">
        <v>280</v>
      </c>
    </row>
    <row r="3337" spans="1:9">
      <c r="A3337" s="582" t="s">
        <v>1831</v>
      </c>
      <c r="B3337" s="65">
        <v>3535</v>
      </c>
      <c r="C3337" s="579" t="s">
        <v>281</v>
      </c>
      <c r="D3337" s="579"/>
      <c r="E3337" s="583"/>
      <c r="F3337" s="596"/>
      <c r="G3337" s="65">
        <v>0</v>
      </c>
      <c r="H3337" s="591" t="s">
        <v>280</v>
      </c>
      <c r="I3337" s="591" t="s">
        <v>280</v>
      </c>
    </row>
    <row r="3338" spans="1:9">
      <c r="A3338" s="582" t="s">
        <v>1831</v>
      </c>
      <c r="B3338" s="65">
        <v>3536</v>
      </c>
      <c r="C3338" s="579" t="s">
        <v>281</v>
      </c>
      <c r="D3338" s="579"/>
      <c r="E3338" s="583"/>
      <c r="F3338" s="596"/>
      <c r="G3338" s="65">
        <v>0</v>
      </c>
      <c r="H3338" s="591" t="s">
        <v>280</v>
      </c>
      <c r="I3338" s="591" t="s">
        <v>280</v>
      </c>
    </row>
    <row r="3339" spans="1:9">
      <c r="A3339" s="582" t="s">
        <v>1831</v>
      </c>
      <c r="B3339" s="65">
        <v>3537</v>
      </c>
      <c r="C3339" s="579" t="s">
        <v>281</v>
      </c>
      <c r="D3339" s="579"/>
      <c r="E3339" s="583"/>
      <c r="F3339" s="596"/>
      <c r="G3339" s="65">
        <v>0</v>
      </c>
      <c r="H3339" s="591" t="s">
        <v>280</v>
      </c>
      <c r="I3339" s="591" t="s">
        <v>280</v>
      </c>
    </row>
    <row r="3340" spans="1:9">
      <c r="A3340" s="582" t="s">
        <v>1831</v>
      </c>
      <c r="B3340" s="65">
        <v>3538</v>
      </c>
      <c r="C3340" s="579" t="s">
        <v>281</v>
      </c>
      <c r="D3340" s="579"/>
      <c r="E3340" s="583"/>
      <c r="F3340" s="596"/>
      <c r="G3340" s="65">
        <v>0</v>
      </c>
      <c r="H3340" s="591" t="s">
        <v>280</v>
      </c>
      <c r="I3340" s="591" t="s">
        <v>280</v>
      </c>
    </row>
    <row r="3341" spans="1:9">
      <c r="A3341" s="582" t="s">
        <v>1831</v>
      </c>
      <c r="B3341" s="65">
        <v>3539</v>
      </c>
      <c r="C3341" s="579" t="s">
        <v>281</v>
      </c>
      <c r="D3341" s="579"/>
      <c r="E3341" s="583"/>
      <c r="F3341" s="596"/>
      <c r="G3341" s="65">
        <v>0</v>
      </c>
      <c r="H3341" s="591" t="s">
        <v>280</v>
      </c>
      <c r="I3341" s="591" t="s">
        <v>280</v>
      </c>
    </row>
    <row r="3342" spans="1:9">
      <c r="A3342" s="582" t="s">
        <v>1831</v>
      </c>
      <c r="B3342" s="65">
        <v>3540</v>
      </c>
      <c r="C3342" s="579" t="s">
        <v>281</v>
      </c>
      <c r="D3342" s="579"/>
      <c r="E3342" s="583"/>
      <c r="F3342" s="596"/>
      <c r="G3342" s="65">
        <v>0</v>
      </c>
      <c r="H3342" s="591" t="s">
        <v>280</v>
      </c>
      <c r="I3342" s="591" t="s">
        <v>280</v>
      </c>
    </row>
    <row r="3343" spans="1:9">
      <c r="A3343" s="582" t="s">
        <v>1831</v>
      </c>
      <c r="B3343" s="65">
        <v>3541</v>
      </c>
      <c r="C3343" s="579" t="s">
        <v>281</v>
      </c>
      <c r="D3343" s="579"/>
      <c r="E3343" s="583"/>
      <c r="F3343" s="596"/>
      <c r="G3343" s="65">
        <v>0</v>
      </c>
      <c r="H3343" s="591" t="s">
        <v>280</v>
      </c>
      <c r="I3343" s="591" t="s">
        <v>280</v>
      </c>
    </row>
    <row r="3344" spans="1:9">
      <c r="A3344" s="582" t="s">
        <v>1831</v>
      </c>
      <c r="B3344" s="65">
        <v>3542</v>
      </c>
      <c r="C3344" s="579" t="s">
        <v>281</v>
      </c>
      <c r="D3344" s="579"/>
      <c r="E3344" s="583"/>
      <c r="F3344" s="596"/>
      <c r="G3344" s="65">
        <v>0</v>
      </c>
      <c r="H3344" s="591" t="s">
        <v>280</v>
      </c>
      <c r="I3344" s="591" t="s">
        <v>280</v>
      </c>
    </row>
    <row r="3345" spans="1:9">
      <c r="A3345" s="582" t="s">
        <v>1831</v>
      </c>
      <c r="B3345" s="65">
        <v>3543</v>
      </c>
      <c r="C3345" s="579" t="s">
        <v>281</v>
      </c>
      <c r="D3345" s="579"/>
      <c r="E3345" s="583"/>
      <c r="F3345" s="596"/>
      <c r="G3345" s="65">
        <v>0</v>
      </c>
      <c r="H3345" s="591" t="s">
        <v>280</v>
      </c>
      <c r="I3345" s="591" t="s">
        <v>280</v>
      </c>
    </row>
    <row r="3346" spans="1:9">
      <c r="A3346" s="582" t="s">
        <v>1831</v>
      </c>
      <c r="B3346" s="65">
        <v>3544</v>
      </c>
      <c r="C3346" s="579" t="s">
        <v>281</v>
      </c>
      <c r="D3346" s="579"/>
      <c r="E3346" s="583"/>
      <c r="F3346" s="596"/>
      <c r="G3346" s="65">
        <v>0</v>
      </c>
      <c r="H3346" s="591" t="s">
        <v>280</v>
      </c>
      <c r="I3346" s="591" t="s">
        <v>280</v>
      </c>
    </row>
    <row r="3347" spans="1:9">
      <c r="A3347" s="582" t="s">
        <v>1831</v>
      </c>
      <c r="B3347" s="65">
        <v>3545</v>
      </c>
      <c r="C3347" s="579" t="s">
        <v>281</v>
      </c>
      <c r="D3347" s="579"/>
      <c r="E3347" s="583"/>
      <c r="F3347" s="596"/>
      <c r="G3347" s="65">
        <v>0</v>
      </c>
      <c r="H3347" s="591" t="s">
        <v>280</v>
      </c>
      <c r="I3347" s="591" t="s">
        <v>280</v>
      </c>
    </row>
    <row r="3348" spans="1:9">
      <c r="A3348" s="582" t="s">
        <v>1831</v>
      </c>
      <c r="B3348" s="65">
        <v>3546</v>
      </c>
      <c r="C3348" s="579" t="s">
        <v>281</v>
      </c>
      <c r="D3348" s="579"/>
      <c r="E3348" s="583"/>
      <c r="F3348" s="596"/>
      <c r="G3348" s="65">
        <v>0</v>
      </c>
      <c r="H3348" s="591" t="s">
        <v>280</v>
      </c>
      <c r="I3348" s="591" t="s">
        <v>280</v>
      </c>
    </row>
    <row r="3349" spans="1:9">
      <c r="A3349" s="582" t="s">
        <v>1831</v>
      </c>
      <c r="B3349" s="65">
        <v>3547</v>
      </c>
      <c r="C3349" s="579" t="s">
        <v>281</v>
      </c>
      <c r="D3349" s="579"/>
      <c r="E3349" s="583"/>
      <c r="F3349" s="596"/>
      <c r="G3349" s="65">
        <v>0</v>
      </c>
      <c r="H3349" s="591" t="s">
        <v>280</v>
      </c>
      <c r="I3349" s="591" t="s">
        <v>280</v>
      </c>
    </row>
    <row r="3350" spans="1:9">
      <c r="A3350" s="582" t="s">
        <v>1831</v>
      </c>
      <c r="B3350" s="65">
        <v>3548</v>
      </c>
      <c r="C3350" s="579" t="s">
        <v>281</v>
      </c>
      <c r="D3350" s="579"/>
      <c r="E3350" s="583"/>
      <c r="F3350" s="596"/>
      <c r="G3350" s="65">
        <v>0</v>
      </c>
      <c r="H3350" s="591" t="s">
        <v>280</v>
      </c>
      <c r="I3350" s="591" t="s">
        <v>280</v>
      </c>
    </row>
    <row r="3351" spans="1:9">
      <c r="A3351" s="582" t="s">
        <v>1831</v>
      </c>
      <c r="B3351" s="65">
        <v>3549</v>
      </c>
      <c r="C3351" s="579" t="s">
        <v>281</v>
      </c>
      <c r="D3351" s="579"/>
      <c r="E3351" s="583"/>
      <c r="F3351" s="596"/>
      <c r="G3351" s="65">
        <v>0</v>
      </c>
      <c r="H3351" s="591" t="s">
        <v>280</v>
      </c>
      <c r="I3351" s="591" t="s">
        <v>280</v>
      </c>
    </row>
    <row r="3352" spans="1:9">
      <c r="A3352" s="582" t="s">
        <v>1831</v>
      </c>
      <c r="B3352" s="65">
        <v>3550</v>
      </c>
      <c r="C3352" s="579" t="s">
        <v>281</v>
      </c>
      <c r="D3352" s="579"/>
      <c r="E3352" s="583"/>
      <c r="F3352" s="596"/>
      <c r="G3352" s="65">
        <v>0</v>
      </c>
      <c r="H3352" s="591" t="s">
        <v>280</v>
      </c>
      <c r="I3352" s="591" t="s">
        <v>280</v>
      </c>
    </row>
    <row r="3353" spans="1:9">
      <c r="A3353" s="582" t="s">
        <v>1831</v>
      </c>
      <c r="B3353" s="65">
        <v>3551</v>
      </c>
      <c r="C3353" s="579" t="s">
        <v>281</v>
      </c>
      <c r="D3353" s="579"/>
      <c r="E3353" s="583"/>
      <c r="F3353" s="596"/>
      <c r="G3353" s="65">
        <v>0</v>
      </c>
      <c r="H3353" s="591" t="s">
        <v>280</v>
      </c>
      <c r="I3353" s="591" t="s">
        <v>280</v>
      </c>
    </row>
    <row r="3354" spans="1:9">
      <c r="A3354" s="582" t="s">
        <v>1831</v>
      </c>
      <c r="B3354" s="65">
        <v>3552</v>
      </c>
      <c r="C3354" s="579" t="s">
        <v>281</v>
      </c>
      <c r="D3354" s="579"/>
      <c r="E3354" s="583"/>
      <c r="F3354" s="596"/>
      <c r="G3354" s="65">
        <v>0</v>
      </c>
      <c r="H3354" s="591" t="s">
        <v>280</v>
      </c>
      <c r="I3354" s="591" t="s">
        <v>280</v>
      </c>
    </row>
    <row r="3355" spans="1:9">
      <c r="A3355" s="582" t="s">
        <v>1831</v>
      </c>
      <c r="B3355" s="65">
        <v>3553</v>
      </c>
      <c r="C3355" s="579" t="s">
        <v>281</v>
      </c>
      <c r="D3355" s="579"/>
      <c r="E3355" s="583"/>
      <c r="F3355" s="596"/>
      <c r="G3355" s="65">
        <v>0</v>
      </c>
      <c r="H3355" s="591" t="s">
        <v>280</v>
      </c>
      <c r="I3355" s="591" t="s">
        <v>280</v>
      </c>
    </row>
    <row r="3356" spans="1:9">
      <c r="A3356" s="582" t="s">
        <v>1831</v>
      </c>
      <c r="B3356" s="65">
        <v>3554</v>
      </c>
      <c r="C3356" s="579" t="s">
        <v>281</v>
      </c>
      <c r="D3356" s="579"/>
      <c r="E3356" s="583"/>
      <c r="F3356" s="596"/>
      <c r="G3356" s="65">
        <v>0</v>
      </c>
      <c r="H3356" s="591" t="s">
        <v>280</v>
      </c>
      <c r="I3356" s="591" t="s">
        <v>280</v>
      </c>
    </row>
    <row r="3357" spans="1:9">
      <c r="A3357" s="582" t="s">
        <v>1831</v>
      </c>
      <c r="B3357" s="65">
        <v>3555</v>
      </c>
      <c r="C3357" s="579" t="s">
        <v>281</v>
      </c>
      <c r="D3357" s="579"/>
      <c r="E3357" s="583"/>
      <c r="F3357" s="596"/>
      <c r="G3357" s="65">
        <v>0</v>
      </c>
      <c r="H3357" s="591" t="s">
        <v>280</v>
      </c>
      <c r="I3357" s="591" t="s">
        <v>280</v>
      </c>
    </row>
    <row r="3358" spans="1:9">
      <c r="A3358" s="582" t="s">
        <v>1831</v>
      </c>
      <c r="B3358" s="65">
        <v>3556</v>
      </c>
      <c r="C3358" s="579" t="s">
        <v>281</v>
      </c>
      <c r="D3358" s="579"/>
      <c r="E3358" s="583"/>
      <c r="F3358" s="596"/>
      <c r="G3358" s="65">
        <v>0</v>
      </c>
      <c r="H3358" s="591" t="s">
        <v>280</v>
      </c>
      <c r="I3358" s="591" t="s">
        <v>280</v>
      </c>
    </row>
    <row r="3359" spans="1:9">
      <c r="A3359" s="582" t="s">
        <v>1831</v>
      </c>
      <c r="B3359" s="65">
        <v>3557</v>
      </c>
      <c r="C3359" s="579" t="s">
        <v>281</v>
      </c>
      <c r="D3359" s="579"/>
      <c r="E3359" s="583"/>
      <c r="F3359" s="596"/>
      <c r="G3359" s="65">
        <v>0</v>
      </c>
      <c r="H3359" s="591" t="s">
        <v>280</v>
      </c>
      <c r="I3359" s="591" t="s">
        <v>280</v>
      </c>
    </row>
    <row r="3360" spans="1:9">
      <c r="A3360" s="582" t="s">
        <v>1831</v>
      </c>
      <c r="B3360" s="65">
        <v>3558</v>
      </c>
      <c r="C3360" s="579" t="s">
        <v>281</v>
      </c>
      <c r="D3360" s="579"/>
      <c r="E3360" s="583"/>
      <c r="F3360" s="596"/>
      <c r="G3360" s="65">
        <v>0</v>
      </c>
      <c r="H3360" s="591" t="s">
        <v>280</v>
      </c>
      <c r="I3360" s="591" t="s">
        <v>280</v>
      </c>
    </row>
    <row r="3361" spans="1:9">
      <c r="A3361" s="582" t="s">
        <v>1831</v>
      </c>
      <c r="B3361" s="65">
        <v>3559</v>
      </c>
      <c r="C3361" s="579" t="s">
        <v>281</v>
      </c>
      <c r="D3361" s="579"/>
      <c r="E3361" s="583"/>
      <c r="F3361" s="596"/>
      <c r="G3361" s="65">
        <v>0</v>
      </c>
      <c r="H3361" s="591" t="s">
        <v>280</v>
      </c>
      <c r="I3361" s="591" t="s">
        <v>280</v>
      </c>
    </row>
    <row r="3362" spans="1:9">
      <c r="A3362" s="582" t="s">
        <v>1831</v>
      </c>
      <c r="B3362" s="65">
        <v>3560</v>
      </c>
      <c r="C3362" s="579" t="s">
        <v>281</v>
      </c>
      <c r="D3362" s="579"/>
      <c r="E3362" s="583"/>
      <c r="F3362" s="596"/>
      <c r="G3362" s="65">
        <v>0</v>
      </c>
      <c r="H3362" s="591" t="s">
        <v>280</v>
      </c>
      <c r="I3362" s="591" t="s">
        <v>280</v>
      </c>
    </row>
    <row r="3363" spans="1:9">
      <c r="A3363" s="582" t="s">
        <v>1831</v>
      </c>
      <c r="B3363" s="65">
        <v>3561</v>
      </c>
      <c r="C3363" s="579" t="s">
        <v>281</v>
      </c>
      <c r="D3363" s="579"/>
      <c r="E3363" s="583"/>
      <c r="F3363" s="596"/>
      <c r="G3363" s="65">
        <v>0</v>
      </c>
      <c r="H3363" s="591" t="s">
        <v>280</v>
      </c>
      <c r="I3363" s="591" t="s">
        <v>280</v>
      </c>
    </row>
    <row r="3364" spans="1:9">
      <c r="A3364" s="582" t="s">
        <v>1831</v>
      </c>
      <c r="B3364" s="65">
        <v>3562</v>
      </c>
      <c r="C3364" s="579" t="s">
        <v>281</v>
      </c>
      <c r="D3364" s="579"/>
      <c r="E3364" s="583"/>
      <c r="F3364" s="596"/>
      <c r="G3364" s="65">
        <v>0</v>
      </c>
      <c r="H3364" s="591" t="s">
        <v>280</v>
      </c>
      <c r="I3364" s="591" t="s">
        <v>280</v>
      </c>
    </row>
    <row r="3365" spans="1:9">
      <c r="A3365" s="582" t="s">
        <v>1831</v>
      </c>
      <c r="B3365" s="65">
        <v>3563</v>
      </c>
      <c r="C3365" s="579" t="s">
        <v>281</v>
      </c>
      <c r="D3365" s="579"/>
      <c r="E3365" s="583"/>
      <c r="F3365" s="596"/>
      <c r="G3365" s="65">
        <v>0</v>
      </c>
      <c r="H3365" s="591" t="s">
        <v>280</v>
      </c>
      <c r="I3365" s="591" t="s">
        <v>280</v>
      </c>
    </row>
    <row r="3366" spans="1:9">
      <c r="A3366" s="582" t="s">
        <v>1831</v>
      </c>
      <c r="B3366" s="65">
        <v>3564</v>
      </c>
      <c r="C3366" s="579" t="s">
        <v>281</v>
      </c>
      <c r="D3366" s="579"/>
      <c r="E3366" s="583"/>
      <c r="F3366" s="596"/>
      <c r="G3366" s="65">
        <v>0</v>
      </c>
      <c r="H3366" s="591" t="s">
        <v>280</v>
      </c>
      <c r="I3366" s="591" t="s">
        <v>280</v>
      </c>
    </row>
    <row r="3367" spans="1:9">
      <c r="A3367" s="582" t="s">
        <v>1831</v>
      </c>
      <c r="B3367" s="65">
        <v>3565</v>
      </c>
      <c r="C3367" s="579" t="s">
        <v>281</v>
      </c>
      <c r="D3367" s="579"/>
      <c r="E3367" s="583"/>
      <c r="F3367" s="596"/>
      <c r="G3367" s="65">
        <v>0</v>
      </c>
      <c r="H3367" s="591" t="s">
        <v>280</v>
      </c>
      <c r="I3367" s="591" t="s">
        <v>280</v>
      </c>
    </row>
    <row r="3368" spans="1:9">
      <c r="A3368" s="582" t="s">
        <v>1831</v>
      </c>
      <c r="B3368" s="65">
        <v>3566</v>
      </c>
      <c r="C3368" s="579" t="s">
        <v>281</v>
      </c>
      <c r="D3368" s="579"/>
      <c r="E3368" s="583"/>
      <c r="F3368" s="596"/>
      <c r="G3368" s="65">
        <v>0</v>
      </c>
      <c r="H3368" s="591" t="s">
        <v>280</v>
      </c>
      <c r="I3368" s="591" t="s">
        <v>280</v>
      </c>
    </row>
    <row r="3369" spans="1:9">
      <c r="A3369" s="582" t="s">
        <v>1831</v>
      </c>
      <c r="B3369" s="65">
        <v>3567</v>
      </c>
      <c r="C3369" s="579" t="s">
        <v>281</v>
      </c>
      <c r="D3369" s="579"/>
      <c r="E3369" s="583"/>
      <c r="F3369" s="596"/>
      <c r="G3369" s="65">
        <v>0</v>
      </c>
      <c r="H3369" s="591" t="s">
        <v>280</v>
      </c>
      <c r="I3369" s="591" t="s">
        <v>280</v>
      </c>
    </row>
    <row r="3370" spans="1:9">
      <c r="A3370" s="582" t="s">
        <v>1831</v>
      </c>
      <c r="B3370" s="65">
        <v>3568</v>
      </c>
      <c r="C3370" s="579" t="s">
        <v>281</v>
      </c>
      <c r="D3370" s="579"/>
      <c r="E3370" s="583"/>
      <c r="F3370" s="596"/>
      <c r="G3370" s="65">
        <v>0</v>
      </c>
      <c r="H3370" s="591" t="s">
        <v>280</v>
      </c>
      <c r="I3370" s="591" t="s">
        <v>280</v>
      </c>
    </row>
    <row r="3371" spans="1:9">
      <c r="A3371" s="582" t="s">
        <v>1831</v>
      </c>
      <c r="B3371" s="65">
        <v>3569</v>
      </c>
      <c r="C3371" s="579" t="s">
        <v>281</v>
      </c>
      <c r="D3371" s="579"/>
      <c r="E3371" s="583"/>
      <c r="F3371" s="596"/>
      <c r="G3371" s="65">
        <v>0</v>
      </c>
      <c r="H3371" s="591" t="s">
        <v>280</v>
      </c>
      <c r="I3371" s="591" t="s">
        <v>280</v>
      </c>
    </row>
    <row r="3372" spans="1:9">
      <c r="A3372" s="582" t="s">
        <v>1831</v>
      </c>
      <c r="B3372" s="65">
        <v>3570</v>
      </c>
      <c r="C3372" s="579" t="s">
        <v>281</v>
      </c>
      <c r="D3372" s="579"/>
      <c r="E3372" s="583"/>
      <c r="F3372" s="596"/>
      <c r="G3372" s="65">
        <v>0</v>
      </c>
      <c r="H3372" s="591" t="s">
        <v>280</v>
      </c>
      <c r="I3372" s="591" t="s">
        <v>280</v>
      </c>
    </row>
    <row r="3373" spans="1:9">
      <c r="A3373" s="582" t="s">
        <v>1831</v>
      </c>
      <c r="B3373" s="65">
        <v>3571</v>
      </c>
      <c r="C3373" s="579" t="s">
        <v>281</v>
      </c>
      <c r="D3373" s="579"/>
      <c r="E3373" s="583"/>
      <c r="F3373" s="596"/>
      <c r="G3373" s="65">
        <v>0</v>
      </c>
      <c r="H3373" s="591" t="s">
        <v>280</v>
      </c>
      <c r="I3373" s="591" t="s">
        <v>280</v>
      </c>
    </row>
    <row r="3374" spans="1:9">
      <c r="A3374" s="582" t="s">
        <v>1831</v>
      </c>
      <c r="B3374" s="65">
        <v>3572</v>
      </c>
      <c r="C3374" s="579" t="s">
        <v>281</v>
      </c>
      <c r="D3374" s="579"/>
      <c r="E3374" s="583"/>
      <c r="F3374" s="596"/>
      <c r="G3374" s="65">
        <v>0</v>
      </c>
      <c r="H3374" s="591" t="s">
        <v>280</v>
      </c>
      <c r="I3374" s="591" t="s">
        <v>280</v>
      </c>
    </row>
    <row r="3375" spans="1:9">
      <c r="A3375" s="582" t="s">
        <v>1831</v>
      </c>
      <c r="B3375" s="65">
        <v>3573</v>
      </c>
      <c r="C3375" s="579" t="s">
        <v>281</v>
      </c>
      <c r="D3375" s="579"/>
      <c r="E3375" s="583"/>
      <c r="F3375" s="596"/>
      <c r="G3375" s="65">
        <v>0</v>
      </c>
      <c r="H3375" s="591" t="s">
        <v>280</v>
      </c>
      <c r="I3375" s="591" t="s">
        <v>280</v>
      </c>
    </row>
    <row r="3376" spans="1:9">
      <c r="A3376" s="582" t="s">
        <v>1831</v>
      </c>
      <c r="B3376" s="65">
        <v>3574</v>
      </c>
      <c r="C3376" s="579" t="s">
        <v>281</v>
      </c>
      <c r="D3376" s="579"/>
      <c r="E3376" s="583"/>
      <c r="F3376" s="596"/>
      <c r="G3376" s="65">
        <v>0</v>
      </c>
      <c r="H3376" s="591" t="s">
        <v>280</v>
      </c>
      <c r="I3376" s="591" t="s">
        <v>280</v>
      </c>
    </row>
    <row r="3377" spans="1:9">
      <c r="A3377" s="582" t="s">
        <v>1831</v>
      </c>
      <c r="B3377" s="65">
        <v>3575</v>
      </c>
      <c r="C3377" s="579" t="s">
        <v>281</v>
      </c>
      <c r="D3377" s="579"/>
      <c r="E3377" s="583"/>
      <c r="F3377" s="596"/>
      <c r="G3377" s="65">
        <v>0</v>
      </c>
      <c r="H3377" s="591" t="s">
        <v>280</v>
      </c>
      <c r="I3377" s="591" t="s">
        <v>280</v>
      </c>
    </row>
    <row r="3378" spans="1:9">
      <c r="A3378" s="582" t="s">
        <v>1831</v>
      </c>
      <c r="B3378" s="65">
        <v>3576</v>
      </c>
      <c r="C3378" s="579" t="s">
        <v>281</v>
      </c>
      <c r="D3378" s="579"/>
      <c r="E3378" s="583"/>
      <c r="F3378" s="596"/>
      <c r="G3378" s="65">
        <v>0</v>
      </c>
      <c r="H3378" s="591" t="s">
        <v>280</v>
      </c>
      <c r="I3378" s="591" t="s">
        <v>280</v>
      </c>
    </row>
    <row r="3379" spans="1:9">
      <c r="A3379" s="582" t="s">
        <v>1831</v>
      </c>
      <c r="B3379" s="65">
        <v>3577</v>
      </c>
      <c r="C3379" s="579" t="s">
        <v>281</v>
      </c>
      <c r="D3379" s="579"/>
      <c r="E3379" s="583"/>
      <c r="F3379" s="596"/>
      <c r="G3379" s="65">
        <v>0</v>
      </c>
      <c r="H3379" s="591" t="s">
        <v>280</v>
      </c>
      <c r="I3379" s="591" t="s">
        <v>280</v>
      </c>
    </row>
    <row r="3380" spans="1:9">
      <c r="A3380" s="582" t="s">
        <v>1831</v>
      </c>
      <c r="B3380" s="65">
        <v>3578</v>
      </c>
      <c r="C3380" s="579" t="s">
        <v>281</v>
      </c>
      <c r="D3380" s="579"/>
      <c r="E3380" s="583"/>
      <c r="F3380" s="596"/>
      <c r="G3380" s="65">
        <v>0</v>
      </c>
      <c r="H3380" s="591" t="s">
        <v>280</v>
      </c>
      <c r="I3380" s="591" t="s">
        <v>280</v>
      </c>
    </row>
    <row r="3381" spans="1:9">
      <c r="A3381" s="582" t="s">
        <v>1831</v>
      </c>
      <c r="B3381" s="65">
        <v>3579</v>
      </c>
      <c r="C3381" s="579" t="s">
        <v>281</v>
      </c>
      <c r="D3381" s="579"/>
      <c r="E3381" s="583"/>
      <c r="F3381" s="596"/>
      <c r="G3381" s="65">
        <v>0</v>
      </c>
      <c r="H3381" s="591" t="s">
        <v>280</v>
      </c>
      <c r="I3381" s="591" t="s">
        <v>280</v>
      </c>
    </row>
    <row r="3382" spans="1:9">
      <c r="A3382" s="582" t="s">
        <v>1831</v>
      </c>
      <c r="B3382" s="65">
        <v>3580</v>
      </c>
      <c r="C3382" s="579" t="s">
        <v>281</v>
      </c>
      <c r="D3382" s="579"/>
      <c r="E3382" s="583"/>
      <c r="F3382" s="596"/>
      <c r="G3382" s="65">
        <v>0</v>
      </c>
      <c r="H3382" s="591" t="s">
        <v>280</v>
      </c>
      <c r="I3382" s="591" t="s">
        <v>280</v>
      </c>
    </row>
    <row r="3383" spans="1:9">
      <c r="A3383" s="582" t="s">
        <v>1831</v>
      </c>
      <c r="B3383" s="65">
        <v>3581</v>
      </c>
      <c r="C3383" s="579" t="s">
        <v>281</v>
      </c>
      <c r="D3383" s="579"/>
      <c r="E3383" s="583"/>
      <c r="F3383" s="596"/>
      <c r="G3383" s="65">
        <v>0</v>
      </c>
      <c r="H3383" s="591" t="s">
        <v>280</v>
      </c>
      <c r="I3383" s="591" t="s">
        <v>280</v>
      </c>
    </row>
    <row r="3384" spans="1:9">
      <c r="A3384" s="582" t="s">
        <v>1831</v>
      </c>
      <c r="B3384" s="65">
        <v>3582</v>
      </c>
      <c r="C3384" s="579" t="s">
        <v>281</v>
      </c>
      <c r="D3384" s="579"/>
      <c r="E3384" s="583"/>
      <c r="F3384" s="596"/>
      <c r="G3384" s="65">
        <v>0</v>
      </c>
      <c r="H3384" s="591" t="s">
        <v>280</v>
      </c>
      <c r="I3384" s="591" t="s">
        <v>280</v>
      </c>
    </row>
    <row r="3385" spans="1:9">
      <c r="A3385" s="582" t="s">
        <v>1831</v>
      </c>
      <c r="B3385" s="65">
        <v>3583</v>
      </c>
      <c r="C3385" s="579" t="s">
        <v>281</v>
      </c>
      <c r="D3385" s="579"/>
      <c r="E3385" s="583"/>
      <c r="F3385" s="596"/>
      <c r="G3385" s="65">
        <v>0</v>
      </c>
      <c r="H3385" s="591" t="s">
        <v>280</v>
      </c>
      <c r="I3385" s="591" t="s">
        <v>280</v>
      </c>
    </row>
    <row r="3386" spans="1:9">
      <c r="A3386" s="582" t="s">
        <v>1831</v>
      </c>
      <c r="B3386" s="65">
        <v>3584</v>
      </c>
      <c r="C3386" s="579" t="s">
        <v>281</v>
      </c>
      <c r="D3386" s="579"/>
      <c r="E3386" s="583"/>
      <c r="F3386" s="596"/>
      <c r="G3386" s="65">
        <v>0</v>
      </c>
      <c r="H3386" s="591" t="s">
        <v>280</v>
      </c>
      <c r="I3386" s="591" t="s">
        <v>280</v>
      </c>
    </row>
    <row r="3387" spans="1:9">
      <c r="A3387" s="582" t="s">
        <v>1831</v>
      </c>
      <c r="B3387" s="65">
        <v>3585</v>
      </c>
      <c r="C3387" s="579" t="s">
        <v>281</v>
      </c>
      <c r="D3387" s="579"/>
      <c r="E3387" s="583"/>
      <c r="F3387" s="596"/>
      <c r="G3387" s="65">
        <v>0</v>
      </c>
      <c r="H3387" s="591" t="s">
        <v>280</v>
      </c>
      <c r="I3387" s="591" t="s">
        <v>280</v>
      </c>
    </row>
    <row r="3388" spans="1:9">
      <c r="A3388" s="582" t="s">
        <v>1831</v>
      </c>
      <c r="B3388" s="65">
        <v>3586</v>
      </c>
      <c r="C3388" s="579" t="s">
        <v>281</v>
      </c>
      <c r="D3388" s="579"/>
      <c r="E3388" s="583"/>
      <c r="F3388" s="596"/>
      <c r="G3388" s="65">
        <v>0</v>
      </c>
      <c r="H3388" s="591" t="s">
        <v>280</v>
      </c>
      <c r="I3388" s="591" t="s">
        <v>280</v>
      </c>
    </row>
    <row r="3389" spans="1:9">
      <c r="A3389" s="582" t="s">
        <v>1831</v>
      </c>
      <c r="B3389" s="65">
        <v>3587</v>
      </c>
      <c r="C3389" s="579" t="s">
        <v>281</v>
      </c>
      <c r="D3389" s="579"/>
      <c r="E3389" s="583"/>
      <c r="F3389" s="596"/>
      <c r="G3389" s="65">
        <v>0</v>
      </c>
      <c r="H3389" s="591" t="s">
        <v>280</v>
      </c>
      <c r="I3389" s="591" t="s">
        <v>280</v>
      </c>
    </row>
    <row r="3390" spans="1:9">
      <c r="A3390" s="582" t="s">
        <v>1831</v>
      </c>
      <c r="B3390" s="65">
        <v>3588</v>
      </c>
      <c r="C3390" s="579" t="s">
        <v>281</v>
      </c>
      <c r="D3390" s="579"/>
      <c r="E3390" s="583"/>
      <c r="F3390" s="596"/>
      <c r="G3390" s="65">
        <v>0</v>
      </c>
      <c r="H3390" s="591" t="s">
        <v>280</v>
      </c>
      <c r="I3390" s="591" t="s">
        <v>280</v>
      </c>
    </row>
    <row r="3391" spans="1:9">
      <c r="A3391" s="582" t="s">
        <v>1831</v>
      </c>
      <c r="B3391" s="65">
        <v>3589</v>
      </c>
      <c r="C3391" s="579" t="s">
        <v>281</v>
      </c>
      <c r="D3391" s="579"/>
      <c r="E3391" s="583"/>
      <c r="F3391" s="596"/>
      <c r="G3391" s="65">
        <v>0</v>
      </c>
      <c r="H3391" s="591" t="s">
        <v>280</v>
      </c>
      <c r="I3391" s="591" t="s">
        <v>280</v>
      </c>
    </row>
    <row r="3392" spans="1:9">
      <c r="A3392" s="582" t="s">
        <v>1831</v>
      </c>
      <c r="B3392" s="65">
        <v>3590</v>
      </c>
      <c r="C3392" s="579" t="s">
        <v>281</v>
      </c>
      <c r="D3392" s="579"/>
      <c r="E3392" s="583"/>
      <c r="F3392" s="596"/>
      <c r="G3392" s="65">
        <v>0</v>
      </c>
      <c r="H3392" s="591" t="s">
        <v>280</v>
      </c>
      <c r="I3392" s="591" t="s">
        <v>280</v>
      </c>
    </row>
    <row r="3393" spans="1:9">
      <c r="A3393" s="582" t="s">
        <v>1831</v>
      </c>
      <c r="B3393" s="65">
        <v>3591</v>
      </c>
      <c r="C3393" s="579" t="s">
        <v>281</v>
      </c>
      <c r="D3393" s="579"/>
      <c r="E3393" s="583"/>
      <c r="F3393" s="596"/>
      <c r="G3393" s="65">
        <v>0</v>
      </c>
      <c r="H3393" s="591" t="s">
        <v>280</v>
      </c>
      <c r="I3393" s="591" t="s">
        <v>280</v>
      </c>
    </row>
    <row r="3394" spans="1:9">
      <c r="A3394" s="582" t="s">
        <v>1831</v>
      </c>
      <c r="B3394" s="65">
        <v>3592</v>
      </c>
      <c r="C3394" s="579" t="s">
        <v>281</v>
      </c>
      <c r="D3394" s="579"/>
      <c r="E3394" s="583"/>
      <c r="F3394" s="596"/>
      <c r="G3394" s="65">
        <v>0</v>
      </c>
      <c r="H3394" s="591" t="s">
        <v>280</v>
      </c>
      <c r="I3394" s="591" t="s">
        <v>280</v>
      </c>
    </row>
    <row r="3395" spans="1:9">
      <c r="A3395" s="582" t="s">
        <v>1831</v>
      </c>
      <c r="B3395" s="65">
        <v>3593</v>
      </c>
      <c r="C3395" s="579" t="s">
        <v>281</v>
      </c>
      <c r="D3395" s="579"/>
      <c r="E3395" s="583"/>
      <c r="F3395" s="596"/>
      <c r="G3395" s="65">
        <v>0</v>
      </c>
      <c r="H3395" s="591" t="s">
        <v>280</v>
      </c>
      <c r="I3395" s="591" t="s">
        <v>280</v>
      </c>
    </row>
    <row r="3396" spans="1:9">
      <c r="A3396" s="582" t="s">
        <v>1831</v>
      </c>
      <c r="B3396" s="65">
        <v>3594</v>
      </c>
      <c r="C3396" s="579" t="s">
        <v>281</v>
      </c>
      <c r="D3396" s="579"/>
      <c r="E3396" s="583"/>
      <c r="F3396" s="596"/>
      <c r="G3396" s="65">
        <v>0</v>
      </c>
      <c r="H3396" s="591" t="s">
        <v>280</v>
      </c>
      <c r="I3396" s="591" t="s">
        <v>280</v>
      </c>
    </row>
    <row r="3397" spans="1:9">
      <c r="A3397" s="582" t="s">
        <v>1831</v>
      </c>
      <c r="B3397" s="65">
        <v>3595</v>
      </c>
      <c r="C3397" s="579" t="s">
        <v>281</v>
      </c>
      <c r="D3397" s="579"/>
      <c r="E3397" s="583"/>
      <c r="F3397" s="596"/>
      <c r="G3397" s="65">
        <v>0</v>
      </c>
      <c r="H3397" s="591" t="s">
        <v>280</v>
      </c>
      <c r="I3397" s="591" t="s">
        <v>280</v>
      </c>
    </row>
    <row r="3398" spans="1:9">
      <c r="A3398" s="582" t="s">
        <v>1831</v>
      </c>
      <c r="B3398" s="65">
        <v>3596</v>
      </c>
      <c r="C3398" s="579" t="s">
        <v>281</v>
      </c>
      <c r="D3398" s="579"/>
      <c r="E3398" s="583"/>
      <c r="F3398" s="596"/>
      <c r="G3398" s="65">
        <v>0</v>
      </c>
      <c r="H3398" s="591" t="s">
        <v>280</v>
      </c>
      <c r="I3398" s="591" t="s">
        <v>280</v>
      </c>
    </row>
    <row r="3399" spans="1:9">
      <c r="A3399" s="582" t="s">
        <v>1831</v>
      </c>
      <c r="B3399" s="65">
        <v>3597</v>
      </c>
      <c r="C3399" s="579" t="s">
        <v>281</v>
      </c>
      <c r="D3399" s="579"/>
      <c r="E3399" s="583"/>
      <c r="F3399" s="596"/>
      <c r="G3399" s="65">
        <v>0</v>
      </c>
      <c r="H3399" s="591" t="s">
        <v>280</v>
      </c>
      <c r="I3399" s="591" t="s">
        <v>280</v>
      </c>
    </row>
    <row r="3400" spans="1:9">
      <c r="A3400" s="582" t="s">
        <v>1831</v>
      </c>
      <c r="B3400" s="65">
        <v>3598</v>
      </c>
      <c r="C3400" s="579" t="s">
        <v>281</v>
      </c>
      <c r="D3400" s="579"/>
      <c r="E3400" s="583"/>
      <c r="F3400" s="596"/>
      <c r="G3400" s="65">
        <v>0</v>
      </c>
      <c r="H3400" s="591" t="s">
        <v>280</v>
      </c>
      <c r="I3400" s="591" t="s">
        <v>280</v>
      </c>
    </row>
    <row r="3401" spans="1:9">
      <c r="A3401" s="582" t="s">
        <v>1831</v>
      </c>
      <c r="B3401" s="65">
        <v>3599</v>
      </c>
      <c r="C3401" s="579" t="s">
        <v>281</v>
      </c>
      <c r="D3401" s="579"/>
      <c r="E3401" s="583"/>
      <c r="F3401" s="596"/>
      <c r="G3401" s="65">
        <v>0</v>
      </c>
      <c r="H3401" s="591" t="s">
        <v>280</v>
      </c>
      <c r="I3401" s="591" t="s">
        <v>280</v>
      </c>
    </row>
    <row r="3402" spans="1:9" ht="12.75">
      <c r="A3402" s="582" t="s">
        <v>601</v>
      </c>
      <c r="B3402" s="63">
        <v>3600</v>
      </c>
      <c r="C3402" s="63" t="s">
        <v>279</v>
      </c>
      <c r="D3402" s="63"/>
      <c r="E3402" s="62"/>
      <c r="F3402" s="585">
        <v>45535</v>
      </c>
      <c r="G3402" s="65">
        <v>1</v>
      </c>
      <c r="H3402" s="591" t="s">
        <v>280</v>
      </c>
      <c r="I3402" s="591" t="s">
        <v>280</v>
      </c>
    </row>
    <row r="3403" spans="1:9" ht="12.75">
      <c r="A3403" s="582" t="s">
        <v>601</v>
      </c>
      <c r="B3403" s="63">
        <v>3601</v>
      </c>
      <c r="C3403" s="63" t="s">
        <v>602</v>
      </c>
      <c r="D3403" s="65">
        <v>10631</v>
      </c>
      <c r="E3403" s="62"/>
      <c r="F3403" s="585">
        <v>45535</v>
      </c>
      <c r="G3403" s="65">
        <v>1</v>
      </c>
      <c r="H3403" s="591" t="s">
        <v>35</v>
      </c>
      <c r="I3403" s="591" t="s">
        <v>34</v>
      </c>
    </row>
    <row r="3404" spans="1:9" ht="12.75">
      <c r="A3404" s="582" t="s">
        <v>601</v>
      </c>
      <c r="B3404" s="63">
        <v>3602</v>
      </c>
      <c r="C3404" s="63" t="s">
        <v>603</v>
      </c>
      <c r="D3404" s="579">
        <v>10409</v>
      </c>
      <c r="E3404" s="62"/>
      <c r="F3404" s="585">
        <v>45535</v>
      </c>
      <c r="G3404" s="65">
        <v>1</v>
      </c>
      <c r="H3404" s="591" t="s">
        <v>35</v>
      </c>
      <c r="I3404" s="591" t="s">
        <v>34</v>
      </c>
    </row>
    <row r="3405" spans="1:9" ht="12.75">
      <c r="A3405" s="582" t="s">
        <v>601</v>
      </c>
      <c r="B3405" s="63">
        <v>3603</v>
      </c>
      <c r="C3405" s="63" t="s">
        <v>281</v>
      </c>
      <c r="D3405" s="63"/>
      <c r="E3405" s="62"/>
      <c r="F3405" s="596"/>
      <c r="G3405" s="65">
        <v>0</v>
      </c>
      <c r="H3405" s="591" t="s">
        <v>280</v>
      </c>
      <c r="I3405" s="591" t="s">
        <v>280</v>
      </c>
    </row>
    <row r="3406" spans="1:9" ht="12.75">
      <c r="A3406" s="582" t="s">
        <v>601</v>
      </c>
      <c r="B3406" s="63">
        <v>3604</v>
      </c>
      <c r="C3406" s="63" t="s">
        <v>604</v>
      </c>
      <c r="D3406" s="579">
        <v>10252</v>
      </c>
      <c r="E3406" s="62"/>
      <c r="F3406" s="585">
        <v>45535</v>
      </c>
      <c r="G3406" s="65">
        <v>1</v>
      </c>
      <c r="H3406" s="591" t="s">
        <v>280</v>
      </c>
      <c r="I3406" s="591" t="s">
        <v>280</v>
      </c>
    </row>
    <row r="3407" spans="1:9" ht="12.75">
      <c r="A3407" s="582" t="s">
        <v>601</v>
      </c>
      <c r="B3407" s="63">
        <v>3605</v>
      </c>
      <c r="C3407" s="63" t="s">
        <v>605</v>
      </c>
      <c r="D3407" s="579">
        <v>10253</v>
      </c>
      <c r="E3407" s="62"/>
      <c r="F3407" s="585">
        <v>45535</v>
      </c>
      <c r="G3407" s="65">
        <v>1</v>
      </c>
      <c r="H3407" s="591" t="s">
        <v>35</v>
      </c>
      <c r="I3407" s="591" t="s">
        <v>34</v>
      </c>
    </row>
    <row r="3408" spans="1:9" ht="12.75">
      <c r="A3408" s="582" t="s">
        <v>601</v>
      </c>
      <c r="B3408" s="63">
        <v>3606</v>
      </c>
      <c r="C3408" s="63" t="s">
        <v>281</v>
      </c>
      <c r="D3408" s="63"/>
      <c r="E3408" s="62"/>
      <c r="F3408" s="596"/>
      <c r="G3408" s="65">
        <v>0</v>
      </c>
      <c r="H3408" s="591" t="s">
        <v>280</v>
      </c>
      <c r="I3408" s="591" t="s">
        <v>280</v>
      </c>
    </row>
    <row r="3409" spans="1:9" ht="12.75">
      <c r="A3409" s="582" t="s">
        <v>601</v>
      </c>
      <c r="B3409" s="63">
        <v>3607</v>
      </c>
      <c r="C3409" s="63" t="s">
        <v>281</v>
      </c>
      <c r="D3409" s="63"/>
      <c r="E3409" s="62"/>
      <c r="F3409" s="596"/>
      <c r="G3409" s="65">
        <v>0</v>
      </c>
      <c r="H3409" s="591" t="s">
        <v>280</v>
      </c>
      <c r="I3409" s="591" t="s">
        <v>280</v>
      </c>
    </row>
    <row r="3410" spans="1:9" ht="12.75">
      <c r="A3410" s="582" t="s">
        <v>601</v>
      </c>
      <c r="B3410" s="63">
        <v>3608</v>
      </c>
      <c r="C3410" s="63" t="s">
        <v>281</v>
      </c>
      <c r="D3410" s="63"/>
      <c r="E3410" s="62"/>
      <c r="F3410" s="596"/>
      <c r="G3410" s="65">
        <v>0</v>
      </c>
      <c r="H3410" s="591" t="s">
        <v>280</v>
      </c>
      <c r="I3410" s="591" t="s">
        <v>280</v>
      </c>
    </row>
    <row r="3411" spans="1:9" ht="12.75">
      <c r="A3411" s="582" t="s">
        <v>601</v>
      </c>
      <c r="B3411" s="63">
        <v>3609</v>
      </c>
      <c r="C3411" s="63" t="s">
        <v>606</v>
      </c>
      <c r="D3411" s="579">
        <v>10623</v>
      </c>
      <c r="E3411" s="62"/>
      <c r="F3411" s="585">
        <v>45535</v>
      </c>
      <c r="G3411" s="65">
        <v>1</v>
      </c>
      <c r="H3411" s="591" t="s">
        <v>1976</v>
      </c>
      <c r="I3411" s="591" t="s">
        <v>100</v>
      </c>
    </row>
    <row r="3412" spans="1:9" ht="12.75">
      <c r="A3412" s="582" t="s">
        <v>601</v>
      </c>
      <c r="B3412" s="63">
        <v>3610</v>
      </c>
      <c r="C3412" s="63" t="s">
        <v>281</v>
      </c>
      <c r="D3412" s="63"/>
      <c r="E3412" s="62"/>
      <c r="F3412" s="596"/>
      <c r="G3412" s="65">
        <v>0</v>
      </c>
      <c r="H3412" s="591" t="s">
        <v>280</v>
      </c>
      <c r="I3412" s="591" t="s">
        <v>280</v>
      </c>
    </row>
    <row r="3413" spans="1:9" ht="12.75">
      <c r="A3413" s="582" t="s">
        <v>601</v>
      </c>
      <c r="B3413" s="63">
        <v>3611</v>
      </c>
      <c r="C3413" s="63" t="s">
        <v>281</v>
      </c>
      <c r="D3413" s="63"/>
      <c r="E3413" s="62"/>
      <c r="F3413" s="596"/>
      <c r="G3413" s="65">
        <v>0</v>
      </c>
      <c r="H3413" s="591" t="s">
        <v>280</v>
      </c>
      <c r="I3413" s="591" t="s">
        <v>280</v>
      </c>
    </row>
    <row r="3414" spans="1:9" ht="12.75">
      <c r="A3414" s="582" t="s">
        <v>601</v>
      </c>
      <c r="B3414" s="63">
        <v>3612</v>
      </c>
      <c r="C3414" s="63" t="s">
        <v>607</v>
      </c>
      <c r="D3414" s="63">
        <v>10552</v>
      </c>
      <c r="E3414" s="62"/>
      <c r="F3414" s="585">
        <v>45535</v>
      </c>
      <c r="G3414" s="65">
        <v>1</v>
      </c>
      <c r="H3414" s="591" t="s">
        <v>280</v>
      </c>
      <c r="I3414" s="591" t="s">
        <v>280</v>
      </c>
    </row>
    <row r="3415" spans="1:9" ht="12.75">
      <c r="A3415" s="582" t="s">
        <v>601</v>
      </c>
      <c r="B3415" s="63">
        <v>3613</v>
      </c>
      <c r="C3415" s="63" t="s">
        <v>281</v>
      </c>
      <c r="D3415" s="579"/>
      <c r="E3415" s="62"/>
      <c r="F3415" s="596"/>
      <c r="G3415" s="65">
        <v>0</v>
      </c>
      <c r="H3415" s="591" t="s">
        <v>280</v>
      </c>
      <c r="I3415" s="591" t="s">
        <v>280</v>
      </c>
    </row>
    <row r="3416" spans="1:9" ht="12.75">
      <c r="A3416" s="582" t="s">
        <v>601</v>
      </c>
      <c r="B3416" s="63">
        <v>3614</v>
      </c>
      <c r="C3416" s="63" t="s">
        <v>281</v>
      </c>
      <c r="D3416" s="65"/>
      <c r="E3416" s="62"/>
      <c r="F3416" s="596"/>
      <c r="G3416" s="65">
        <v>0</v>
      </c>
      <c r="H3416" s="591" t="s">
        <v>280</v>
      </c>
      <c r="I3416" s="591" t="s">
        <v>280</v>
      </c>
    </row>
    <row r="3417" spans="1:9" ht="12.75">
      <c r="A3417" s="582" t="s">
        <v>601</v>
      </c>
      <c r="B3417" s="63">
        <v>3615</v>
      </c>
      <c r="C3417" s="63" t="s">
        <v>281</v>
      </c>
      <c r="D3417" s="63"/>
      <c r="E3417" s="62"/>
      <c r="F3417" s="596"/>
      <c r="G3417" s="65">
        <v>0</v>
      </c>
      <c r="H3417" s="591" t="s">
        <v>280</v>
      </c>
      <c r="I3417" s="591" t="s">
        <v>280</v>
      </c>
    </row>
    <row r="3418" spans="1:9" ht="12.75">
      <c r="A3418" s="582" t="s">
        <v>601</v>
      </c>
      <c r="B3418" s="63">
        <v>3616</v>
      </c>
      <c r="C3418" s="63" t="s">
        <v>608</v>
      </c>
      <c r="D3418" s="63">
        <v>10657</v>
      </c>
      <c r="E3418" s="62"/>
      <c r="F3418" s="585">
        <v>45535</v>
      </c>
      <c r="G3418" s="65">
        <v>1</v>
      </c>
      <c r="H3418" s="591" t="s">
        <v>35</v>
      </c>
      <c r="I3418" s="591" t="s">
        <v>34</v>
      </c>
    </row>
    <row r="3419" spans="1:9" ht="12.75">
      <c r="A3419" s="582" t="s">
        <v>601</v>
      </c>
      <c r="B3419" s="63">
        <v>3617</v>
      </c>
      <c r="C3419" s="63" t="s">
        <v>609</v>
      </c>
      <c r="D3419" s="63">
        <v>10122</v>
      </c>
      <c r="E3419" s="62"/>
      <c r="F3419" s="585">
        <v>45535</v>
      </c>
      <c r="G3419" s="65">
        <v>1</v>
      </c>
      <c r="H3419" s="591" t="s">
        <v>35</v>
      </c>
      <c r="I3419" s="591" t="s">
        <v>34</v>
      </c>
    </row>
    <row r="3420" spans="1:9" ht="12.75">
      <c r="A3420" s="582" t="s">
        <v>601</v>
      </c>
      <c r="B3420" s="63">
        <v>3618</v>
      </c>
      <c r="C3420" s="63" t="s">
        <v>281</v>
      </c>
      <c r="D3420" s="63"/>
      <c r="E3420" s="62"/>
      <c r="F3420" s="596"/>
      <c r="G3420" s="65">
        <v>0</v>
      </c>
      <c r="H3420" s="591" t="s">
        <v>280</v>
      </c>
      <c r="I3420" s="591" t="s">
        <v>280</v>
      </c>
    </row>
    <row r="3421" spans="1:9" ht="12.75">
      <c r="A3421" s="582" t="s">
        <v>601</v>
      </c>
      <c r="B3421" s="63">
        <v>3619</v>
      </c>
      <c r="C3421" s="63" t="s">
        <v>281</v>
      </c>
      <c r="D3421" s="63"/>
      <c r="E3421" s="62"/>
      <c r="F3421" s="596"/>
      <c r="G3421" s="65">
        <v>0</v>
      </c>
      <c r="H3421" s="591" t="s">
        <v>280</v>
      </c>
      <c r="I3421" s="591" t="s">
        <v>280</v>
      </c>
    </row>
    <row r="3422" spans="1:9" ht="12.75">
      <c r="A3422" s="582" t="s">
        <v>601</v>
      </c>
      <c r="B3422" s="63">
        <v>3620</v>
      </c>
      <c r="C3422" s="63" t="s">
        <v>281</v>
      </c>
      <c r="D3422" s="63"/>
      <c r="E3422" s="62"/>
      <c r="F3422" s="596"/>
      <c r="G3422" s="65">
        <v>0</v>
      </c>
      <c r="H3422" s="591" t="s">
        <v>280</v>
      </c>
      <c r="I3422" s="591" t="s">
        <v>280</v>
      </c>
    </row>
    <row r="3423" spans="1:9" ht="12.75">
      <c r="A3423" s="582" t="s">
        <v>601</v>
      </c>
      <c r="B3423" s="63">
        <v>3621</v>
      </c>
      <c r="C3423" s="63" t="s">
        <v>610</v>
      </c>
      <c r="D3423" s="65">
        <v>10625</v>
      </c>
      <c r="E3423" s="62"/>
      <c r="F3423" s="585">
        <v>45535</v>
      </c>
      <c r="G3423" s="65">
        <v>1</v>
      </c>
      <c r="H3423" s="591" t="s">
        <v>1976</v>
      </c>
      <c r="I3423" s="591" t="s">
        <v>100</v>
      </c>
    </row>
    <row r="3424" spans="1:9" ht="12.75">
      <c r="A3424" s="582" t="s">
        <v>601</v>
      </c>
      <c r="B3424" s="63">
        <v>3622</v>
      </c>
      <c r="C3424" s="63" t="s">
        <v>611</v>
      </c>
      <c r="D3424" s="579">
        <v>10187</v>
      </c>
      <c r="E3424" s="62"/>
      <c r="F3424" s="585">
        <v>45535</v>
      </c>
      <c r="G3424" s="65">
        <v>1</v>
      </c>
      <c r="H3424" s="591" t="s">
        <v>35</v>
      </c>
      <c r="I3424" s="591" t="s">
        <v>34</v>
      </c>
    </row>
    <row r="3425" spans="1:9" ht="12.75">
      <c r="A3425" s="582" t="s">
        <v>601</v>
      </c>
      <c r="B3425" s="63">
        <v>3623</v>
      </c>
      <c r="C3425" s="63" t="s">
        <v>612</v>
      </c>
      <c r="D3425" s="65">
        <v>10502</v>
      </c>
      <c r="E3425" s="62"/>
      <c r="F3425" s="585">
        <v>45535</v>
      </c>
      <c r="G3425" s="65">
        <v>1</v>
      </c>
      <c r="H3425" s="591" t="s">
        <v>1976</v>
      </c>
      <c r="I3425" s="591" t="s">
        <v>100</v>
      </c>
    </row>
    <row r="3426" spans="1:9" ht="12.75">
      <c r="A3426" s="582" t="s">
        <v>601</v>
      </c>
      <c r="B3426" s="63">
        <v>3624</v>
      </c>
      <c r="C3426" s="63" t="s">
        <v>281</v>
      </c>
      <c r="D3426" s="63"/>
      <c r="E3426" s="62"/>
      <c r="F3426" s="596"/>
      <c r="G3426" s="65">
        <v>0</v>
      </c>
      <c r="H3426" s="591" t="s">
        <v>280</v>
      </c>
      <c r="I3426" s="591" t="s">
        <v>280</v>
      </c>
    </row>
    <row r="3427" spans="1:9" ht="12.75">
      <c r="A3427" s="582" t="s">
        <v>601</v>
      </c>
      <c r="B3427" s="63">
        <v>3625</v>
      </c>
      <c r="C3427" s="63" t="s">
        <v>613</v>
      </c>
      <c r="D3427" s="579">
        <v>10282</v>
      </c>
      <c r="E3427" s="62"/>
      <c r="F3427" s="585">
        <v>45535</v>
      </c>
      <c r="G3427" s="65">
        <v>1</v>
      </c>
      <c r="H3427" s="591" t="s">
        <v>280</v>
      </c>
      <c r="I3427" s="591" t="s">
        <v>280</v>
      </c>
    </row>
    <row r="3428" spans="1:9" ht="12.75">
      <c r="A3428" s="582" t="s">
        <v>601</v>
      </c>
      <c r="B3428" s="63">
        <v>3626</v>
      </c>
      <c r="C3428" s="63" t="s">
        <v>614</v>
      </c>
      <c r="D3428" s="579">
        <v>10217</v>
      </c>
      <c r="E3428" s="62"/>
      <c r="F3428" s="585">
        <v>45535</v>
      </c>
      <c r="G3428" s="65">
        <v>1</v>
      </c>
      <c r="H3428" s="591" t="s">
        <v>1976</v>
      </c>
      <c r="I3428" s="591" t="s">
        <v>100</v>
      </c>
    </row>
    <row r="3429" spans="1:9" ht="12.75">
      <c r="A3429" s="582" t="s">
        <v>601</v>
      </c>
      <c r="B3429" s="63">
        <v>3627</v>
      </c>
      <c r="C3429" s="63" t="s">
        <v>281</v>
      </c>
      <c r="D3429" s="63"/>
      <c r="E3429" s="62"/>
      <c r="F3429" s="596"/>
      <c r="G3429" s="65">
        <v>0</v>
      </c>
      <c r="H3429" s="591" t="s">
        <v>280</v>
      </c>
      <c r="I3429" s="591" t="s">
        <v>280</v>
      </c>
    </row>
    <row r="3430" spans="1:9">
      <c r="A3430" s="582" t="s">
        <v>601</v>
      </c>
      <c r="B3430" s="65">
        <v>3628</v>
      </c>
      <c r="C3430" s="579" t="s">
        <v>281</v>
      </c>
      <c r="D3430" s="579"/>
      <c r="E3430" s="583"/>
      <c r="F3430" s="596"/>
      <c r="G3430" s="65">
        <v>0</v>
      </c>
      <c r="H3430" s="591" t="s">
        <v>280</v>
      </c>
      <c r="I3430" s="591" t="s">
        <v>280</v>
      </c>
    </row>
    <row r="3431" spans="1:9">
      <c r="A3431" s="582" t="s">
        <v>601</v>
      </c>
      <c r="B3431" s="65">
        <v>3629</v>
      </c>
      <c r="C3431" s="579" t="s">
        <v>281</v>
      </c>
      <c r="D3431" s="579"/>
      <c r="E3431" s="583"/>
      <c r="F3431" s="596"/>
      <c r="G3431" s="65">
        <v>0</v>
      </c>
      <c r="H3431" s="591" t="s">
        <v>280</v>
      </c>
      <c r="I3431" s="591" t="s">
        <v>280</v>
      </c>
    </row>
    <row r="3432" spans="1:9">
      <c r="A3432" s="582" t="s">
        <v>601</v>
      </c>
      <c r="B3432" s="65">
        <v>3630</v>
      </c>
      <c r="C3432" s="63" t="s">
        <v>615</v>
      </c>
      <c r="D3432" s="63">
        <v>10558</v>
      </c>
      <c r="E3432" s="583"/>
      <c r="F3432" s="585">
        <v>45535</v>
      </c>
      <c r="G3432" s="65">
        <v>1</v>
      </c>
      <c r="H3432" s="591" t="s">
        <v>1976</v>
      </c>
      <c r="I3432" s="591" t="s">
        <v>100</v>
      </c>
    </row>
    <row r="3433" spans="1:9">
      <c r="A3433" s="582" t="s">
        <v>601</v>
      </c>
      <c r="B3433" s="65">
        <v>3631</v>
      </c>
      <c r="C3433" s="63" t="s">
        <v>281</v>
      </c>
      <c r="D3433" s="579"/>
      <c r="E3433" s="583"/>
      <c r="F3433" s="596"/>
      <c r="G3433" s="65">
        <v>0</v>
      </c>
      <c r="H3433" s="591" t="s">
        <v>280</v>
      </c>
      <c r="I3433" s="591" t="s">
        <v>280</v>
      </c>
    </row>
    <row r="3434" spans="1:9">
      <c r="A3434" s="582" t="s">
        <v>601</v>
      </c>
      <c r="B3434" s="65">
        <v>3632</v>
      </c>
      <c r="C3434" s="63" t="s">
        <v>616</v>
      </c>
      <c r="D3434" s="579">
        <v>10382</v>
      </c>
      <c r="E3434" s="583"/>
      <c r="F3434" s="585">
        <v>45535</v>
      </c>
      <c r="G3434" s="65">
        <v>1</v>
      </c>
      <c r="H3434" s="591" t="s">
        <v>1976</v>
      </c>
      <c r="I3434" s="591" t="s">
        <v>100</v>
      </c>
    </row>
    <row r="3435" spans="1:9">
      <c r="A3435" s="582" t="s">
        <v>601</v>
      </c>
      <c r="B3435" s="65">
        <v>3633</v>
      </c>
      <c r="C3435" s="63" t="s">
        <v>281</v>
      </c>
      <c r="D3435" s="63"/>
      <c r="E3435" s="583"/>
      <c r="F3435" s="596"/>
      <c r="G3435" s="65">
        <v>0</v>
      </c>
      <c r="H3435" s="591" t="s">
        <v>280</v>
      </c>
      <c r="I3435" s="591" t="s">
        <v>280</v>
      </c>
    </row>
    <row r="3436" spans="1:9">
      <c r="A3436" s="582" t="s">
        <v>601</v>
      </c>
      <c r="B3436" s="65">
        <v>3634</v>
      </c>
      <c r="C3436" s="579" t="s">
        <v>1837</v>
      </c>
      <c r="D3436" s="579">
        <v>10799</v>
      </c>
      <c r="E3436" s="583"/>
      <c r="F3436" s="585">
        <v>45535</v>
      </c>
      <c r="G3436" s="65">
        <v>1</v>
      </c>
      <c r="H3436" s="591" t="s">
        <v>1976</v>
      </c>
      <c r="I3436" s="591" t="s">
        <v>100</v>
      </c>
    </row>
    <row r="3437" spans="1:9">
      <c r="A3437" s="582" t="s">
        <v>601</v>
      </c>
      <c r="B3437" s="65">
        <v>3635</v>
      </c>
      <c r="C3437" s="579" t="s">
        <v>1838</v>
      </c>
      <c r="D3437" s="579">
        <v>10800</v>
      </c>
      <c r="E3437" s="583"/>
      <c r="F3437" s="585">
        <v>45535</v>
      </c>
      <c r="G3437" s="65">
        <v>1</v>
      </c>
      <c r="H3437" s="591" t="s">
        <v>35</v>
      </c>
      <c r="I3437" s="591" t="s">
        <v>34</v>
      </c>
    </row>
    <row r="3438" spans="1:9">
      <c r="A3438" s="582" t="s">
        <v>601</v>
      </c>
      <c r="B3438" s="65">
        <v>3636</v>
      </c>
      <c r="C3438" s="579" t="s">
        <v>1839</v>
      </c>
      <c r="D3438" s="579">
        <v>10801</v>
      </c>
      <c r="E3438" s="583"/>
      <c r="F3438" s="585">
        <v>45535</v>
      </c>
      <c r="G3438" s="65">
        <v>1</v>
      </c>
      <c r="H3438" s="591" t="s">
        <v>35</v>
      </c>
      <c r="I3438" s="591" t="s">
        <v>34</v>
      </c>
    </row>
    <row r="3439" spans="1:9">
      <c r="A3439" s="582" t="s">
        <v>601</v>
      </c>
      <c r="B3439" s="65">
        <v>3637</v>
      </c>
      <c r="C3439" s="65" t="s">
        <v>1840</v>
      </c>
      <c r="D3439" s="65">
        <v>10838</v>
      </c>
      <c r="E3439" s="583"/>
      <c r="F3439" s="585">
        <v>45535</v>
      </c>
      <c r="G3439" s="65">
        <v>1</v>
      </c>
      <c r="H3439" s="591" t="s">
        <v>35</v>
      </c>
      <c r="I3439" s="591" t="s">
        <v>34</v>
      </c>
    </row>
    <row r="3440" spans="1:9">
      <c r="A3440" s="580" t="s">
        <v>601</v>
      </c>
      <c r="B3440" s="65">
        <v>3638</v>
      </c>
      <c r="C3440" s="65" t="s">
        <v>1841</v>
      </c>
      <c r="D3440" s="65">
        <v>10987</v>
      </c>
      <c r="E3440" s="583"/>
      <c r="F3440" s="585">
        <v>45535</v>
      </c>
      <c r="G3440" s="65">
        <v>1</v>
      </c>
      <c r="H3440" s="591" t="s">
        <v>35</v>
      </c>
      <c r="I3440" s="591" t="s">
        <v>34</v>
      </c>
    </row>
    <row r="3441" spans="1:9">
      <c r="A3441" s="582" t="s">
        <v>601</v>
      </c>
      <c r="B3441" s="65">
        <v>3639</v>
      </c>
      <c r="C3441" s="65" t="s">
        <v>1842</v>
      </c>
      <c r="D3441" s="63">
        <v>10988</v>
      </c>
      <c r="E3441" s="583"/>
      <c r="F3441" s="585">
        <v>45535</v>
      </c>
      <c r="G3441" s="65">
        <v>1</v>
      </c>
      <c r="H3441" s="591" t="s">
        <v>35</v>
      </c>
      <c r="I3441" s="591" t="s">
        <v>34</v>
      </c>
    </row>
    <row r="3442" spans="1:9">
      <c r="A3442" s="582" t="s">
        <v>601</v>
      </c>
      <c r="B3442" s="65">
        <v>3640</v>
      </c>
      <c r="C3442" s="65" t="s">
        <v>1843</v>
      </c>
      <c r="D3442" s="65">
        <v>10989</v>
      </c>
      <c r="E3442" s="583"/>
      <c r="F3442" s="585">
        <v>45535</v>
      </c>
      <c r="G3442" s="65">
        <v>1</v>
      </c>
      <c r="H3442" s="591" t="s">
        <v>1976</v>
      </c>
      <c r="I3442" s="591" t="s">
        <v>100</v>
      </c>
    </row>
    <row r="3443" spans="1:9">
      <c r="A3443" s="582" t="s">
        <v>601</v>
      </c>
      <c r="B3443" s="65">
        <v>3641</v>
      </c>
      <c r="C3443" s="65" t="s">
        <v>1844</v>
      </c>
      <c r="D3443" s="65">
        <v>10990</v>
      </c>
      <c r="E3443" s="583"/>
      <c r="F3443" s="585">
        <v>45535</v>
      </c>
      <c r="G3443" s="65">
        <v>1</v>
      </c>
      <c r="H3443" s="591" t="s">
        <v>1976</v>
      </c>
      <c r="I3443" s="591" t="s">
        <v>100</v>
      </c>
    </row>
    <row r="3444" spans="1:9">
      <c r="A3444" s="582" t="s">
        <v>601</v>
      </c>
      <c r="B3444" s="65">
        <v>3642</v>
      </c>
      <c r="C3444" s="65" t="s">
        <v>1845</v>
      </c>
      <c r="D3444" s="63">
        <v>10991</v>
      </c>
      <c r="E3444" s="583"/>
      <c r="F3444" s="585">
        <v>45535</v>
      </c>
      <c r="G3444" s="65">
        <v>1</v>
      </c>
      <c r="H3444" s="591" t="s">
        <v>1976</v>
      </c>
      <c r="I3444" s="591" t="s">
        <v>100</v>
      </c>
    </row>
    <row r="3445" spans="1:9">
      <c r="A3445" s="582" t="s">
        <v>601</v>
      </c>
      <c r="B3445" s="65">
        <v>3643</v>
      </c>
      <c r="C3445" s="65" t="s">
        <v>1846</v>
      </c>
      <c r="D3445" s="65">
        <v>10992</v>
      </c>
      <c r="E3445" s="583"/>
      <c r="F3445" s="585">
        <v>45535</v>
      </c>
      <c r="G3445" s="65">
        <v>1</v>
      </c>
      <c r="H3445" s="591" t="s">
        <v>280</v>
      </c>
      <c r="I3445" s="591" t="s">
        <v>280</v>
      </c>
    </row>
    <row r="3446" spans="1:9" ht="14.25">
      <c r="A3446" s="580" t="s">
        <v>601</v>
      </c>
      <c r="B3446" s="65">
        <v>3644</v>
      </c>
      <c r="C3446" s="65" t="s">
        <v>2032</v>
      </c>
      <c r="D3446" s="65">
        <v>11065</v>
      </c>
      <c r="E3446" s="587"/>
      <c r="F3446" s="600">
        <v>45612</v>
      </c>
      <c r="G3446" s="65">
        <v>1</v>
      </c>
      <c r="H3446" s="591" t="s">
        <v>280</v>
      </c>
      <c r="I3446" s="591" t="s">
        <v>280</v>
      </c>
    </row>
    <row r="3447" spans="1:9">
      <c r="A3447" s="582" t="s">
        <v>601</v>
      </c>
      <c r="B3447" s="65">
        <v>3645</v>
      </c>
      <c r="C3447" s="579" t="s">
        <v>281</v>
      </c>
      <c r="D3447" s="579"/>
      <c r="E3447" s="583"/>
      <c r="F3447" s="596"/>
      <c r="G3447" s="65">
        <v>0</v>
      </c>
      <c r="H3447" s="591" t="s">
        <v>280</v>
      </c>
      <c r="I3447" s="591" t="s">
        <v>280</v>
      </c>
    </row>
    <row r="3448" spans="1:9">
      <c r="A3448" s="582" t="s">
        <v>601</v>
      </c>
      <c r="B3448" s="65">
        <v>3646</v>
      </c>
      <c r="C3448" s="579" t="s">
        <v>281</v>
      </c>
      <c r="D3448" s="579"/>
      <c r="E3448" s="583"/>
      <c r="F3448" s="596"/>
      <c r="G3448" s="65">
        <v>0</v>
      </c>
      <c r="H3448" s="591" t="s">
        <v>280</v>
      </c>
      <c r="I3448" s="591" t="s">
        <v>280</v>
      </c>
    </row>
    <row r="3449" spans="1:9">
      <c r="A3449" s="582" t="s">
        <v>601</v>
      </c>
      <c r="B3449" s="65">
        <v>3647</v>
      </c>
      <c r="C3449" s="579" t="s">
        <v>281</v>
      </c>
      <c r="D3449" s="579"/>
      <c r="E3449" s="583"/>
      <c r="F3449" s="596"/>
      <c r="G3449" s="65">
        <v>0</v>
      </c>
      <c r="H3449" s="591" t="s">
        <v>280</v>
      </c>
      <c r="I3449" s="591" t="s">
        <v>280</v>
      </c>
    </row>
    <row r="3450" spans="1:9">
      <c r="A3450" s="582" t="s">
        <v>601</v>
      </c>
      <c r="B3450" s="65">
        <v>3648</v>
      </c>
      <c r="C3450" s="579" t="s">
        <v>281</v>
      </c>
      <c r="D3450" s="579"/>
      <c r="E3450" s="583"/>
      <c r="F3450" s="596"/>
      <c r="G3450" s="65">
        <v>0</v>
      </c>
      <c r="H3450" s="591" t="s">
        <v>280</v>
      </c>
      <c r="I3450" s="591" t="s">
        <v>280</v>
      </c>
    </row>
    <row r="3451" spans="1:9">
      <c r="A3451" s="582" t="s">
        <v>601</v>
      </c>
      <c r="B3451" s="65">
        <v>3649</v>
      </c>
      <c r="C3451" s="579" t="s">
        <v>281</v>
      </c>
      <c r="D3451" s="579"/>
      <c r="E3451" s="583"/>
      <c r="F3451" s="596"/>
      <c r="G3451" s="65">
        <v>0</v>
      </c>
      <c r="H3451" s="591" t="s">
        <v>280</v>
      </c>
      <c r="I3451" s="591" t="s">
        <v>280</v>
      </c>
    </row>
    <row r="3452" spans="1:9">
      <c r="A3452" s="582" t="s">
        <v>601</v>
      </c>
      <c r="B3452" s="65">
        <v>3650</v>
      </c>
      <c r="C3452" s="579" t="s">
        <v>281</v>
      </c>
      <c r="D3452" s="579"/>
      <c r="E3452" s="583"/>
      <c r="F3452" s="596"/>
      <c r="G3452" s="65">
        <v>0</v>
      </c>
      <c r="H3452" s="591" t="s">
        <v>280</v>
      </c>
      <c r="I3452" s="591" t="s">
        <v>280</v>
      </c>
    </row>
    <row r="3453" spans="1:9">
      <c r="A3453" s="582" t="s">
        <v>601</v>
      </c>
      <c r="B3453" s="65">
        <v>3651</v>
      </c>
      <c r="C3453" s="579" t="s">
        <v>281</v>
      </c>
      <c r="D3453" s="579"/>
      <c r="E3453" s="583"/>
      <c r="F3453" s="596"/>
      <c r="G3453" s="65">
        <v>0</v>
      </c>
      <c r="H3453" s="591" t="s">
        <v>280</v>
      </c>
      <c r="I3453" s="591" t="s">
        <v>280</v>
      </c>
    </row>
    <row r="3454" spans="1:9">
      <c r="A3454" s="582" t="s">
        <v>601</v>
      </c>
      <c r="B3454" s="65">
        <v>3652</v>
      </c>
      <c r="C3454" s="579" t="s">
        <v>281</v>
      </c>
      <c r="D3454" s="579"/>
      <c r="E3454" s="583"/>
      <c r="F3454" s="596"/>
      <c r="G3454" s="65">
        <v>0</v>
      </c>
      <c r="H3454" s="591" t="s">
        <v>280</v>
      </c>
      <c r="I3454" s="591" t="s">
        <v>280</v>
      </c>
    </row>
    <row r="3455" spans="1:9">
      <c r="A3455" s="582" t="s">
        <v>601</v>
      </c>
      <c r="B3455" s="65">
        <v>3653</v>
      </c>
      <c r="C3455" s="579" t="s">
        <v>281</v>
      </c>
      <c r="D3455" s="579"/>
      <c r="E3455" s="583"/>
      <c r="F3455" s="596"/>
      <c r="G3455" s="65">
        <v>0</v>
      </c>
      <c r="H3455" s="591" t="s">
        <v>280</v>
      </c>
      <c r="I3455" s="591" t="s">
        <v>280</v>
      </c>
    </row>
    <row r="3456" spans="1:9">
      <c r="A3456" s="582" t="s">
        <v>601</v>
      </c>
      <c r="B3456" s="65">
        <v>3654</v>
      </c>
      <c r="C3456" s="579" t="s">
        <v>281</v>
      </c>
      <c r="D3456" s="579"/>
      <c r="E3456" s="583"/>
      <c r="F3456" s="596"/>
      <c r="G3456" s="65">
        <v>0</v>
      </c>
      <c r="H3456" s="591" t="s">
        <v>280</v>
      </c>
      <c r="I3456" s="591" t="s">
        <v>280</v>
      </c>
    </row>
    <row r="3457" spans="1:9">
      <c r="A3457" s="582" t="s">
        <v>601</v>
      </c>
      <c r="B3457" s="65">
        <v>3655</v>
      </c>
      <c r="C3457" s="579" t="s">
        <v>281</v>
      </c>
      <c r="D3457" s="579"/>
      <c r="E3457" s="583"/>
      <c r="F3457" s="596"/>
      <c r="G3457" s="65">
        <v>0</v>
      </c>
      <c r="H3457" s="591" t="s">
        <v>280</v>
      </c>
      <c r="I3457" s="591" t="s">
        <v>280</v>
      </c>
    </row>
    <row r="3458" spans="1:9">
      <c r="A3458" s="582" t="s">
        <v>601</v>
      </c>
      <c r="B3458" s="65">
        <v>3656</v>
      </c>
      <c r="C3458" s="579" t="s">
        <v>281</v>
      </c>
      <c r="D3458" s="579"/>
      <c r="E3458" s="583"/>
      <c r="F3458" s="596"/>
      <c r="G3458" s="65">
        <v>0</v>
      </c>
      <c r="H3458" s="591" t="s">
        <v>280</v>
      </c>
      <c r="I3458" s="591" t="s">
        <v>280</v>
      </c>
    </row>
    <row r="3459" spans="1:9">
      <c r="A3459" s="582" t="s">
        <v>601</v>
      </c>
      <c r="B3459" s="65">
        <v>3657</v>
      </c>
      <c r="C3459" s="579" t="s">
        <v>281</v>
      </c>
      <c r="D3459" s="579"/>
      <c r="E3459" s="583"/>
      <c r="F3459" s="596"/>
      <c r="G3459" s="65">
        <v>0</v>
      </c>
      <c r="H3459" s="591" t="s">
        <v>280</v>
      </c>
      <c r="I3459" s="591" t="s">
        <v>280</v>
      </c>
    </row>
    <row r="3460" spans="1:9">
      <c r="A3460" s="582" t="s">
        <v>601</v>
      </c>
      <c r="B3460" s="65">
        <v>3658</v>
      </c>
      <c r="C3460" s="579" t="s">
        <v>281</v>
      </c>
      <c r="D3460" s="579"/>
      <c r="E3460" s="583"/>
      <c r="F3460" s="596"/>
      <c r="G3460" s="65">
        <v>0</v>
      </c>
      <c r="H3460" s="591" t="s">
        <v>280</v>
      </c>
      <c r="I3460" s="591" t="s">
        <v>280</v>
      </c>
    </row>
    <row r="3461" spans="1:9">
      <c r="A3461" s="582" t="s">
        <v>601</v>
      </c>
      <c r="B3461" s="65">
        <v>3659</v>
      </c>
      <c r="C3461" s="579" t="s">
        <v>281</v>
      </c>
      <c r="D3461" s="579"/>
      <c r="E3461" s="583"/>
      <c r="F3461" s="596"/>
      <c r="G3461" s="65">
        <v>0</v>
      </c>
      <c r="H3461" s="591" t="s">
        <v>280</v>
      </c>
      <c r="I3461" s="591" t="s">
        <v>280</v>
      </c>
    </row>
    <row r="3462" spans="1:9">
      <c r="A3462" s="582" t="s">
        <v>601</v>
      </c>
      <c r="B3462" s="65">
        <v>3660</v>
      </c>
      <c r="C3462" s="579" t="s">
        <v>281</v>
      </c>
      <c r="D3462" s="579"/>
      <c r="E3462" s="583"/>
      <c r="F3462" s="596"/>
      <c r="G3462" s="65">
        <v>0</v>
      </c>
      <c r="H3462" s="591" t="s">
        <v>280</v>
      </c>
      <c r="I3462" s="591" t="s">
        <v>280</v>
      </c>
    </row>
    <row r="3463" spans="1:9">
      <c r="A3463" s="582" t="s">
        <v>601</v>
      </c>
      <c r="B3463" s="65">
        <v>3661</v>
      </c>
      <c r="C3463" s="579" t="s">
        <v>281</v>
      </c>
      <c r="D3463" s="579"/>
      <c r="E3463" s="583"/>
      <c r="F3463" s="596"/>
      <c r="G3463" s="65">
        <v>0</v>
      </c>
      <c r="H3463" s="591" t="s">
        <v>280</v>
      </c>
      <c r="I3463" s="591" t="s">
        <v>280</v>
      </c>
    </row>
    <row r="3464" spans="1:9">
      <c r="A3464" s="582" t="s">
        <v>601</v>
      </c>
      <c r="B3464" s="65">
        <v>3662</v>
      </c>
      <c r="C3464" s="579" t="s">
        <v>281</v>
      </c>
      <c r="D3464" s="579"/>
      <c r="E3464" s="583"/>
      <c r="F3464" s="596"/>
      <c r="G3464" s="65">
        <v>0</v>
      </c>
      <c r="H3464" s="591" t="s">
        <v>280</v>
      </c>
      <c r="I3464" s="591" t="s">
        <v>280</v>
      </c>
    </row>
    <row r="3465" spans="1:9">
      <c r="A3465" s="582" t="s">
        <v>601</v>
      </c>
      <c r="B3465" s="65">
        <v>3663</v>
      </c>
      <c r="C3465" s="579" t="s">
        <v>281</v>
      </c>
      <c r="D3465" s="579"/>
      <c r="E3465" s="583"/>
      <c r="F3465" s="596"/>
      <c r="G3465" s="65">
        <v>0</v>
      </c>
      <c r="H3465" s="591" t="s">
        <v>280</v>
      </c>
      <c r="I3465" s="591" t="s">
        <v>280</v>
      </c>
    </row>
    <row r="3466" spans="1:9">
      <c r="A3466" s="582" t="s">
        <v>601</v>
      </c>
      <c r="B3466" s="65">
        <v>3664</v>
      </c>
      <c r="C3466" s="579" t="s">
        <v>281</v>
      </c>
      <c r="D3466" s="579"/>
      <c r="E3466" s="583"/>
      <c r="F3466" s="596"/>
      <c r="G3466" s="65">
        <v>0</v>
      </c>
      <c r="H3466" s="591" t="s">
        <v>280</v>
      </c>
      <c r="I3466" s="591" t="s">
        <v>280</v>
      </c>
    </row>
    <row r="3467" spans="1:9">
      <c r="A3467" s="582" t="s">
        <v>601</v>
      </c>
      <c r="B3467" s="65">
        <v>3665</v>
      </c>
      <c r="C3467" s="579" t="s">
        <v>281</v>
      </c>
      <c r="D3467" s="579"/>
      <c r="E3467" s="583"/>
      <c r="F3467" s="596"/>
      <c r="G3467" s="65">
        <v>0</v>
      </c>
      <c r="H3467" s="591" t="s">
        <v>280</v>
      </c>
      <c r="I3467" s="591" t="s">
        <v>280</v>
      </c>
    </row>
    <row r="3468" spans="1:9">
      <c r="A3468" s="582" t="s">
        <v>601</v>
      </c>
      <c r="B3468" s="65">
        <v>3666</v>
      </c>
      <c r="C3468" s="579" t="s">
        <v>281</v>
      </c>
      <c r="D3468" s="579"/>
      <c r="E3468" s="583"/>
      <c r="F3468" s="596"/>
      <c r="G3468" s="65">
        <v>0</v>
      </c>
      <c r="H3468" s="591" t="s">
        <v>280</v>
      </c>
      <c r="I3468" s="591" t="s">
        <v>280</v>
      </c>
    </row>
    <row r="3469" spans="1:9">
      <c r="A3469" s="582" t="s">
        <v>601</v>
      </c>
      <c r="B3469" s="65">
        <v>3667</v>
      </c>
      <c r="C3469" s="579" t="s">
        <v>281</v>
      </c>
      <c r="D3469" s="579"/>
      <c r="E3469" s="583"/>
      <c r="F3469" s="596"/>
      <c r="G3469" s="65">
        <v>0</v>
      </c>
      <c r="H3469" s="591" t="s">
        <v>280</v>
      </c>
      <c r="I3469" s="591" t="s">
        <v>280</v>
      </c>
    </row>
    <row r="3470" spans="1:9">
      <c r="A3470" s="582" t="s">
        <v>601</v>
      </c>
      <c r="B3470" s="65">
        <v>3668</v>
      </c>
      <c r="C3470" s="579" t="s">
        <v>281</v>
      </c>
      <c r="D3470" s="579"/>
      <c r="E3470" s="583"/>
      <c r="F3470" s="596"/>
      <c r="G3470" s="65">
        <v>0</v>
      </c>
      <c r="H3470" s="591" t="s">
        <v>280</v>
      </c>
      <c r="I3470" s="591" t="s">
        <v>280</v>
      </c>
    </row>
    <row r="3471" spans="1:9">
      <c r="A3471" s="582" t="s">
        <v>601</v>
      </c>
      <c r="B3471" s="65">
        <v>3669</v>
      </c>
      <c r="C3471" s="579" t="s">
        <v>281</v>
      </c>
      <c r="D3471" s="579"/>
      <c r="E3471" s="583"/>
      <c r="F3471" s="596"/>
      <c r="G3471" s="65">
        <v>0</v>
      </c>
      <c r="H3471" s="591" t="s">
        <v>280</v>
      </c>
      <c r="I3471" s="591" t="s">
        <v>280</v>
      </c>
    </row>
    <row r="3472" spans="1:9">
      <c r="A3472" s="582" t="s">
        <v>601</v>
      </c>
      <c r="B3472" s="65">
        <v>3670</v>
      </c>
      <c r="C3472" s="579" t="s">
        <v>281</v>
      </c>
      <c r="D3472" s="579"/>
      <c r="E3472" s="583"/>
      <c r="F3472" s="596"/>
      <c r="G3472" s="65">
        <v>0</v>
      </c>
      <c r="H3472" s="591" t="s">
        <v>280</v>
      </c>
      <c r="I3472" s="591" t="s">
        <v>280</v>
      </c>
    </row>
    <row r="3473" spans="1:9">
      <c r="A3473" s="582" t="s">
        <v>601</v>
      </c>
      <c r="B3473" s="65">
        <v>3671</v>
      </c>
      <c r="C3473" s="579" t="s">
        <v>281</v>
      </c>
      <c r="D3473" s="579"/>
      <c r="E3473" s="583"/>
      <c r="F3473" s="596"/>
      <c r="G3473" s="65">
        <v>0</v>
      </c>
      <c r="H3473" s="591" t="s">
        <v>280</v>
      </c>
      <c r="I3473" s="591" t="s">
        <v>280</v>
      </c>
    </row>
    <row r="3474" spans="1:9">
      <c r="A3474" s="582" t="s">
        <v>601</v>
      </c>
      <c r="B3474" s="65">
        <v>3672</v>
      </c>
      <c r="C3474" s="579" t="s">
        <v>281</v>
      </c>
      <c r="D3474" s="579"/>
      <c r="E3474" s="583"/>
      <c r="F3474" s="596"/>
      <c r="G3474" s="65">
        <v>0</v>
      </c>
      <c r="H3474" s="591" t="s">
        <v>280</v>
      </c>
      <c r="I3474" s="591" t="s">
        <v>280</v>
      </c>
    </row>
    <row r="3475" spans="1:9">
      <c r="A3475" s="582" t="s">
        <v>601</v>
      </c>
      <c r="B3475" s="65">
        <v>3673</v>
      </c>
      <c r="C3475" s="579" t="s">
        <v>281</v>
      </c>
      <c r="D3475" s="579"/>
      <c r="E3475" s="583"/>
      <c r="F3475" s="596"/>
      <c r="G3475" s="65">
        <v>0</v>
      </c>
      <c r="H3475" s="591" t="s">
        <v>280</v>
      </c>
      <c r="I3475" s="591" t="s">
        <v>280</v>
      </c>
    </row>
    <row r="3476" spans="1:9">
      <c r="A3476" s="582" t="s">
        <v>601</v>
      </c>
      <c r="B3476" s="65">
        <v>3674</v>
      </c>
      <c r="C3476" s="579" t="s">
        <v>281</v>
      </c>
      <c r="D3476" s="579"/>
      <c r="E3476" s="583"/>
      <c r="F3476" s="596"/>
      <c r="G3476" s="65">
        <v>0</v>
      </c>
      <c r="H3476" s="591" t="s">
        <v>280</v>
      </c>
      <c r="I3476" s="591" t="s">
        <v>280</v>
      </c>
    </row>
    <row r="3477" spans="1:9">
      <c r="A3477" s="582" t="s">
        <v>601</v>
      </c>
      <c r="B3477" s="65">
        <v>3675</v>
      </c>
      <c r="C3477" s="579" t="s">
        <v>281</v>
      </c>
      <c r="D3477" s="579"/>
      <c r="E3477" s="583"/>
      <c r="F3477" s="596"/>
      <c r="G3477" s="65">
        <v>0</v>
      </c>
      <c r="H3477" s="591" t="s">
        <v>280</v>
      </c>
      <c r="I3477" s="591" t="s">
        <v>280</v>
      </c>
    </row>
    <row r="3478" spans="1:9">
      <c r="A3478" s="582" t="s">
        <v>601</v>
      </c>
      <c r="B3478" s="65">
        <v>3676</v>
      </c>
      <c r="C3478" s="579" t="s">
        <v>281</v>
      </c>
      <c r="D3478" s="579"/>
      <c r="E3478" s="583"/>
      <c r="F3478" s="596"/>
      <c r="G3478" s="65">
        <v>0</v>
      </c>
      <c r="H3478" s="591" t="s">
        <v>280</v>
      </c>
      <c r="I3478" s="591" t="s">
        <v>280</v>
      </c>
    </row>
    <row r="3479" spans="1:9">
      <c r="A3479" s="582" t="s">
        <v>601</v>
      </c>
      <c r="B3479" s="65">
        <v>3677</v>
      </c>
      <c r="C3479" s="579" t="s">
        <v>281</v>
      </c>
      <c r="D3479" s="579"/>
      <c r="E3479" s="583"/>
      <c r="F3479" s="596"/>
      <c r="G3479" s="65">
        <v>0</v>
      </c>
      <c r="H3479" s="591" t="s">
        <v>280</v>
      </c>
      <c r="I3479" s="591" t="s">
        <v>280</v>
      </c>
    </row>
    <row r="3480" spans="1:9">
      <c r="A3480" s="582" t="s">
        <v>601</v>
      </c>
      <c r="B3480" s="65">
        <v>3678</v>
      </c>
      <c r="C3480" s="579" t="s">
        <v>281</v>
      </c>
      <c r="D3480" s="579"/>
      <c r="E3480" s="583"/>
      <c r="F3480" s="596"/>
      <c r="G3480" s="65">
        <v>0</v>
      </c>
      <c r="H3480" s="591" t="s">
        <v>280</v>
      </c>
      <c r="I3480" s="591" t="s">
        <v>280</v>
      </c>
    </row>
    <row r="3481" spans="1:9">
      <c r="A3481" s="582" t="s">
        <v>601</v>
      </c>
      <c r="B3481" s="65">
        <v>3679</v>
      </c>
      <c r="C3481" s="579" t="s">
        <v>281</v>
      </c>
      <c r="D3481" s="579"/>
      <c r="E3481" s="583"/>
      <c r="F3481" s="596"/>
      <c r="G3481" s="65">
        <v>0</v>
      </c>
      <c r="H3481" s="591" t="s">
        <v>280</v>
      </c>
      <c r="I3481" s="591" t="s">
        <v>280</v>
      </c>
    </row>
    <row r="3482" spans="1:9">
      <c r="A3482" s="582" t="s">
        <v>601</v>
      </c>
      <c r="B3482" s="65">
        <v>3680</v>
      </c>
      <c r="C3482" s="579" t="s">
        <v>281</v>
      </c>
      <c r="D3482" s="579"/>
      <c r="E3482" s="583"/>
      <c r="F3482" s="596"/>
      <c r="G3482" s="65">
        <v>0</v>
      </c>
      <c r="H3482" s="591" t="s">
        <v>280</v>
      </c>
      <c r="I3482" s="591" t="s">
        <v>280</v>
      </c>
    </row>
    <row r="3483" spans="1:9">
      <c r="A3483" s="582" t="s">
        <v>601</v>
      </c>
      <c r="B3483" s="65">
        <v>3681</v>
      </c>
      <c r="C3483" s="579" t="s">
        <v>281</v>
      </c>
      <c r="D3483" s="579"/>
      <c r="E3483" s="583"/>
      <c r="F3483" s="596"/>
      <c r="G3483" s="65">
        <v>0</v>
      </c>
      <c r="H3483" s="591" t="s">
        <v>280</v>
      </c>
      <c r="I3483" s="591" t="s">
        <v>280</v>
      </c>
    </row>
    <row r="3484" spans="1:9">
      <c r="A3484" s="582" t="s">
        <v>601</v>
      </c>
      <c r="B3484" s="65">
        <v>3682</v>
      </c>
      <c r="C3484" s="579" t="s">
        <v>281</v>
      </c>
      <c r="D3484" s="579"/>
      <c r="E3484" s="583"/>
      <c r="F3484" s="596"/>
      <c r="G3484" s="65">
        <v>0</v>
      </c>
      <c r="H3484" s="591" t="s">
        <v>280</v>
      </c>
      <c r="I3484" s="591" t="s">
        <v>280</v>
      </c>
    </row>
    <row r="3485" spans="1:9">
      <c r="A3485" s="582" t="s">
        <v>601</v>
      </c>
      <c r="B3485" s="65">
        <v>3683</v>
      </c>
      <c r="C3485" s="579" t="s">
        <v>281</v>
      </c>
      <c r="D3485" s="579"/>
      <c r="E3485" s="583"/>
      <c r="F3485" s="596"/>
      <c r="G3485" s="65">
        <v>0</v>
      </c>
      <c r="H3485" s="591" t="s">
        <v>280</v>
      </c>
      <c r="I3485" s="591" t="s">
        <v>280</v>
      </c>
    </row>
    <row r="3486" spans="1:9">
      <c r="A3486" s="582" t="s">
        <v>601</v>
      </c>
      <c r="B3486" s="65">
        <v>3684</v>
      </c>
      <c r="C3486" s="579" t="s">
        <v>281</v>
      </c>
      <c r="D3486" s="579"/>
      <c r="E3486" s="583"/>
      <c r="F3486" s="596"/>
      <c r="G3486" s="65">
        <v>0</v>
      </c>
      <c r="H3486" s="591" t="s">
        <v>280</v>
      </c>
      <c r="I3486" s="591" t="s">
        <v>280</v>
      </c>
    </row>
    <row r="3487" spans="1:9">
      <c r="A3487" s="582" t="s">
        <v>601</v>
      </c>
      <c r="B3487" s="65">
        <v>3685</v>
      </c>
      <c r="C3487" s="579" t="s">
        <v>281</v>
      </c>
      <c r="D3487" s="579"/>
      <c r="E3487" s="583"/>
      <c r="F3487" s="596"/>
      <c r="G3487" s="65">
        <v>0</v>
      </c>
      <c r="H3487" s="591" t="s">
        <v>280</v>
      </c>
      <c r="I3487" s="591" t="s">
        <v>280</v>
      </c>
    </row>
    <row r="3488" spans="1:9">
      <c r="A3488" s="582" t="s">
        <v>601</v>
      </c>
      <c r="B3488" s="65">
        <v>3686</v>
      </c>
      <c r="C3488" s="579" t="s">
        <v>281</v>
      </c>
      <c r="D3488" s="579"/>
      <c r="E3488" s="583"/>
      <c r="F3488" s="596"/>
      <c r="G3488" s="65">
        <v>0</v>
      </c>
      <c r="H3488" s="591" t="s">
        <v>280</v>
      </c>
      <c r="I3488" s="591" t="s">
        <v>280</v>
      </c>
    </row>
    <row r="3489" spans="1:9">
      <c r="A3489" s="582" t="s">
        <v>601</v>
      </c>
      <c r="B3489" s="65">
        <v>3687</v>
      </c>
      <c r="C3489" s="579" t="s">
        <v>281</v>
      </c>
      <c r="D3489" s="579"/>
      <c r="E3489" s="583"/>
      <c r="F3489" s="596"/>
      <c r="G3489" s="65">
        <v>0</v>
      </c>
      <c r="H3489" s="591" t="s">
        <v>280</v>
      </c>
      <c r="I3489" s="591" t="s">
        <v>280</v>
      </c>
    </row>
    <row r="3490" spans="1:9">
      <c r="A3490" s="582" t="s">
        <v>601</v>
      </c>
      <c r="B3490" s="65">
        <v>3688</v>
      </c>
      <c r="C3490" s="579" t="s">
        <v>281</v>
      </c>
      <c r="D3490" s="579"/>
      <c r="E3490" s="583"/>
      <c r="F3490" s="596"/>
      <c r="G3490" s="65">
        <v>0</v>
      </c>
      <c r="H3490" s="591" t="s">
        <v>280</v>
      </c>
      <c r="I3490" s="591" t="s">
        <v>280</v>
      </c>
    </row>
    <row r="3491" spans="1:9">
      <c r="A3491" s="582" t="s">
        <v>601</v>
      </c>
      <c r="B3491" s="65">
        <v>3689</v>
      </c>
      <c r="C3491" s="579" t="s">
        <v>281</v>
      </c>
      <c r="D3491" s="579"/>
      <c r="E3491" s="583"/>
      <c r="F3491" s="596"/>
      <c r="G3491" s="65">
        <v>0</v>
      </c>
      <c r="H3491" s="591" t="s">
        <v>280</v>
      </c>
      <c r="I3491" s="591" t="s">
        <v>280</v>
      </c>
    </row>
    <row r="3492" spans="1:9">
      <c r="A3492" s="582" t="s">
        <v>601</v>
      </c>
      <c r="B3492" s="65">
        <v>3690</v>
      </c>
      <c r="C3492" s="579" t="s">
        <v>281</v>
      </c>
      <c r="D3492" s="579"/>
      <c r="E3492" s="583"/>
      <c r="F3492" s="596"/>
      <c r="G3492" s="65">
        <v>0</v>
      </c>
      <c r="H3492" s="591" t="s">
        <v>280</v>
      </c>
      <c r="I3492" s="591" t="s">
        <v>280</v>
      </c>
    </row>
    <row r="3493" spans="1:9">
      <c r="A3493" s="582" t="s">
        <v>601</v>
      </c>
      <c r="B3493" s="65">
        <v>3691</v>
      </c>
      <c r="C3493" s="579" t="s">
        <v>281</v>
      </c>
      <c r="D3493" s="579"/>
      <c r="E3493" s="583"/>
      <c r="F3493" s="596"/>
      <c r="G3493" s="65">
        <v>0</v>
      </c>
      <c r="H3493" s="591" t="s">
        <v>280</v>
      </c>
      <c r="I3493" s="591" t="s">
        <v>280</v>
      </c>
    </row>
    <row r="3494" spans="1:9">
      <c r="A3494" s="582" t="s">
        <v>601</v>
      </c>
      <c r="B3494" s="65">
        <v>3692</v>
      </c>
      <c r="C3494" s="579" t="s">
        <v>281</v>
      </c>
      <c r="D3494" s="579"/>
      <c r="E3494" s="583"/>
      <c r="F3494" s="596"/>
      <c r="G3494" s="65">
        <v>0</v>
      </c>
      <c r="H3494" s="591" t="s">
        <v>280</v>
      </c>
      <c r="I3494" s="591" t="s">
        <v>280</v>
      </c>
    </row>
    <row r="3495" spans="1:9">
      <c r="A3495" s="582" t="s">
        <v>601</v>
      </c>
      <c r="B3495" s="65">
        <v>3693</v>
      </c>
      <c r="C3495" s="579" t="s">
        <v>281</v>
      </c>
      <c r="D3495" s="579"/>
      <c r="E3495" s="583"/>
      <c r="F3495" s="596"/>
      <c r="G3495" s="65">
        <v>0</v>
      </c>
      <c r="H3495" s="591" t="s">
        <v>280</v>
      </c>
      <c r="I3495" s="591" t="s">
        <v>280</v>
      </c>
    </row>
    <row r="3496" spans="1:9">
      <c r="A3496" s="582" t="s">
        <v>601</v>
      </c>
      <c r="B3496" s="65">
        <v>3694</v>
      </c>
      <c r="C3496" s="579" t="s">
        <v>281</v>
      </c>
      <c r="D3496" s="579"/>
      <c r="E3496" s="583"/>
      <c r="F3496" s="596"/>
      <c r="G3496" s="65">
        <v>0</v>
      </c>
      <c r="H3496" s="591" t="s">
        <v>280</v>
      </c>
      <c r="I3496" s="591" t="s">
        <v>280</v>
      </c>
    </row>
    <row r="3497" spans="1:9">
      <c r="A3497" s="582" t="s">
        <v>601</v>
      </c>
      <c r="B3497" s="65">
        <v>3695</v>
      </c>
      <c r="C3497" s="579" t="s">
        <v>281</v>
      </c>
      <c r="D3497" s="579"/>
      <c r="E3497" s="583"/>
      <c r="F3497" s="596"/>
      <c r="G3497" s="65">
        <v>0</v>
      </c>
      <c r="H3497" s="591" t="s">
        <v>280</v>
      </c>
      <c r="I3497" s="591" t="s">
        <v>280</v>
      </c>
    </row>
    <row r="3498" spans="1:9">
      <c r="A3498" s="582" t="s">
        <v>601</v>
      </c>
      <c r="B3498" s="65">
        <v>3696</v>
      </c>
      <c r="C3498" s="579" t="s">
        <v>281</v>
      </c>
      <c r="D3498" s="579"/>
      <c r="E3498" s="583"/>
      <c r="F3498" s="596"/>
      <c r="G3498" s="65">
        <v>0</v>
      </c>
      <c r="H3498" s="591" t="s">
        <v>280</v>
      </c>
      <c r="I3498" s="591" t="s">
        <v>280</v>
      </c>
    </row>
    <row r="3499" spans="1:9">
      <c r="A3499" s="582" t="s">
        <v>601</v>
      </c>
      <c r="B3499" s="65">
        <v>3697</v>
      </c>
      <c r="C3499" s="579" t="s">
        <v>281</v>
      </c>
      <c r="D3499" s="579"/>
      <c r="E3499" s="583"/>
      <c r="F3499" s="596"/>
      <c r="G3499" s="65">
        <v>0</v>
      </c>
      <c r="H3499" s="591" t="s">
        <v>280</v>
      </c>
      <c r="I3499" s="591" t="s">
        <v>280</v>
      </c>
    </row>
    <row r="3500" spans="1:9">
      <c r="A3500" s="582" t="s">
        <v>601</v>
      </c>
      <c r="B3500" s="65">
        <v>3698</v>
      </c>
      <c r="C3500" s="579" t="s">
        <v>281</v>
      </c>
      <c r="D3500" s="579"/>
      <c r="E3500" s="583"/>
      <c r="F3500" s="596"/>
      <c r="G3500" s="65">
        <v>0</v>
      </c>
      <c r="H3500" s="591" t="s">
        <v>280</v>
      </c>
      <c r="I3500" s="591" t="s">
        <v>280</v>
      </c>
    </row>
    <row r="3501" spans="1:9">
      <c r="A3501" s="582" t="s">
        <v>601</v>
      </c>
      <c r="B3501" s="65">
        <v>3699</v>
      </c>
      <c r="C3501" s="579" t="s">
        <v>281</v>
      </c>
      <c r="D3501" s="579"/>
      <c r="E3501" s="583"/>
      <c r="F3501" s="596"/>
      <c r="G3501" s="65">
        <v>0</v>
      </c>
      <c r="H3501" s="591" t="s">
        <v>280</v>
      </c>
      <c r="I3501" s="591" t="s">
        <v>280</v>
      </c>
    </row>
    <row r="3502" spans="1:9" ht="12.75">
      <c r="A3502" s="582" t="s">
        <v>617</v>
      </c>
      <c r="B3502" s="63">
        <v>3700</v>
      </c>
      <c r="C3502" s="63" t="s">
        <v>279</v>
      </c>
      <c r="D3502" s="63"/>
      <c r="E3502" s="62"/>
      <c r="F3502" s="585">
        <v>45535</v>
      </c>
      <c r="G3502" s="65">
        <v>1</v>
      </c>
      <c r="H3502" s="591" t="s">
        <v>280</v>
      </c>
      <c r="I3502" s="591" t="s">
        <v>280</v>
      </c>
    </row>
    <row r="3503" spans="1:9" ht="12.75">
      <c r="A3503" s="582" t="s">
        <v>617</v>
      </c>
      <c r="B3503" s="63">
        <v>3701</v>
      </c>
      <c r="C3503" s="63" t="s">
        <v>281</v>
      </c>
      <c r="D3503" s="63"/>
      <c r="E3503" s="62"/>
      <c r="F3503" s="599"/>
      <c r="G3503" s="65">
        <v>0</v>
      </c>
      <c r="H3503" s="591" t="s">
        <v>280</v>
      </c>
      <c r="I3503" s="591" t="s">
        <v>280</v>
      </c>
    </row>
    <row r="3504" spans="1:9" ht="12.75">
      <c r="A3504" s="582" t="s">
        <v>617</v>
      </c>
      <c r="B3504" s="63">
        <v>3702</v>
      </c>
      <c r="C3504" s="63" t="s">
        <v>618</v>
      </c>
      <c r="D3504" s="65">
        <v>10460</v>
      </c>
      <c r="E3504" s="62"/>
      <c r="F3504" s="585">
        <v>45535</v>
      </c>
      <c r="G3504" s="65">
        <v>1</v>
      </c>
      <c r="H3504" s="591" t="s">
        <v>280</v>
      </c>
      <c r="I3504" s="591" t="s">
        <v>280</v>
      </c>
    </row>
    <row r="3505" spans="1:9" ht="12.75">
      <c r="A3505" s="582" t="s">
        <v>617</v>
      </c>
      <c r="B3505" s="63">
        <v>3703</v>
      </c>
      <c r="C3505" s="63" t="s">
        <v>619</v>
      </c>
      <c r="D3505" s="579">
        <v>10416</v>
      </c>
      <c r="E3505" s="62"/>
      <c r="F3505" s="585">
        <v>45535</v>
      </c>
      <c r="G3505" s="65">
        <v>1</v>
      </c>
      <c r="H3505" s="591" t="s">
        <v>280</v>
      </c>
      <c r="I3505" s="591" t="s">
        <v>280</v>
      </c>
    </row>
    <row r="3506" spans="1:9" ht="12.75">
      <c r="A3506" s="582" t="s">
        <v>617</v>
      </c>
      <c r="B3506" s="63">
        <v>3704</v>
      </c>
      <c r="C3506" s="63" t="s">
        <v>620</v>
      </c>
      <c r="D3506" s="579">
        <v>10608</v>
      </c>
      <c r="E3506" s="62"/>
      <c r="F3506" s="585">
        <v>45535</v>
      </c>
      <c r="G3506" s="65">
        <v>1</v>
      </c>
      <c r="H3506" s="591" t="s">
        <v>1974</v>
      </c>
      <c r="I3506" s="591" t="s">
        <v>84</v>
      </c>
    </row>
    <row r="3507" spans="1:9" ht="12.75">
      <c r="A3507" s="582" t="s">
        <v>617</v>
      </c>
      <c r="B3507" s="63">
        <v>3705</v>
      </c>
      <c r="C3507" s="63" t="s">
        <v>621</v>
      </c>
      <c r="D3507" s="63">
        <v>10335</v>
      </c>
      <c r="E3507" s="62"/>
      <c r="F3507" s="585">
        <v>45535</v>
      </c>
      <c r="G3507" s="65">
        <v>1</v>
      </c>
      <c r="H3507" s="591" t="s">
        <v>1974</v>
      </c>
      <c r="I3507" s="591" t="s">
        <v>84</v>
      </c>
    </row>
    <row r="3508" spans="1:9" ht="12.75">
      <c r="A3508" s="582" t="s">
        <v>617</v>
      </c>
      <c r="B3508" s="63">
        <v>3706</v>
      </c>
      <c r="C3508" s="63" t="s">
        <v>281</v>
      </c>
      <c r="D3508" s="63"/>
      <c r="E3508" s="62"/>
      <c r="F3508" s="599"/>
      <c r="G3508" s="65">
        <v>0</v>
      </c>
      <c r="H3508" s="591" t="s">
        <v>280</v>
      </c>
      <c r="I3508" s="591" t="s">
        <v>280</v>
      </c>
    </row>
    <row r="3509" spans="1:9" ht="12.75">
      <c r="A3509" s="582" t="s">
        <v>617</v>
      </c>
      <c r="B3509" s="63">
        <v>3707</v>
      </c>
      <c r="C3509" s="63" t="s">
        <v>281</v>
      </c>
      <c r="D3509" s="63"/>
      <c r="E3509" s="62"/>
      <c r="F3509" s="599"/>
      <c r="G3509" s="65">
        <v>0</v>
      </c>
      <c r="H3509" s="591" t="s">
        <v>280</v>
      </c>
      <c r="I3509" s="591" t="s">
        <v>280</v>
      </c>
    </row>
    <row r="3510" spans="1:9" ht="12.75">
      <c r="A3510" s="582" t="s">
        <v>617</v>
      </c>
      <c r="B3510" s="63">
        <v>3708</v>
      </c>
      <c r="C3510" s="63" t="s">
        <v>281</v>
      </c>
      <c r="D3510" s="63"/>
      <c r="E3510" s="62"/>
      <c r="F3510" s="599"/>
      <c r="G3510" s="65">
        <v>0</v>
      </c>
      <c r="H3510" s="591" t="s">
        <v>280</v>
      </c>
      <c r="I3510" s="591" t="s">
        <v>280</v>
      </c>
    </row>
    <row r="3511" spans="1:9" ht="12.75">
      <c r="A3511" s="582" t="s">
        <v>617</v>
      </c>
      <c r="B3511" s="63">
        <v>3709</v>
      </c>
      <c r="C3511" s="63" t="s">
        <v>281</v>
      </c>
      <c r="D3511" s="63"/>
      <c r="E3511" s="62"/>
      <c r="F3511" s="596"/>
      <c r="G3511" s="65">
        <v>0</v>
      </c>
      <c r="H3511" s="591" t="s">
        <v>280</v>
      </c>
      <c r="I3511" s="591" t="s">
        <v>280</v>
      </c>
    </row>
    <row r="3512" spans="1:9" ht="12.75">
      <c r="A3512" s="582" t="s">
        <v>617</v>
      </c>
      <c r="B3512" s="63">
        <v>3710</v>
      </c>
      <c r="C3512" s="63" t="s">
        <v>281</v>
      </c>
      <c r="D3512" s="63"/>
      <c r="E3512" s="62"/>
      <c r="F3512" s="599"/>
      <c r="G3512" s="65">
        <v>0</v>
      </c>
      <c r="H3512" s="591" t="s">
        <v>280</v>
      </c>
      <c r="I3512" s="591" t="s">
        <v>280</v>
      </c>
    </row>
    <row r="3513" spans="1:9" ht="12.75">
      <c r="A3513" s="582" t="s">
        <v>617</v>
      </c>
      <c r="B3513" s="63">
        <v>3711</v>
      </c>
      <c r="C3513" s="63" t="s">
        <v>281</v>
      </c>
      <c r="D3513" s="63"/>
      <c r="E3513" s="62"/>
      <c r="F3513" s="599"/>
      <c r="G3513" s="65">
        <v>0</v>
      </c>
      <c r="H3513" s="591" t="s">
        <v>280</v>
      </c>
      <c r="I3513" s="591" t="s">
        <v>280</v>
      </c>
    </row>
    <row r="3514" spans="1:9" ht="12.75">
      <c r="A3514" s="582" t="s">
        <v>617</v>
      </c>
      <c r="B3514" s="63">
        <v>3712</v>
      </c>
      <c r="C3514" s="63" t="s">
        <v>281</v>
      </c>
      <c r="D3514" s="63"/>
      <c r="E3514" s="62"/>
      <c r="F3514" s="599"/>
      <c r="G3514" s="65">
        <v>0</v>
      </c>
      <c r="H3514" s="591" t="s">
        <v>280</v>
      </c>
      <c r="I3514" s="591" t="s">
        <v>280</v>
      </c>
    </row>
    <row r="3515" spans="1:9" ht="12.75">
      <c r="A3515" s="582" t="s">
        <v>617</v>
      </c>
      <c r="B3515" s="63">
        <v>3713</v>
      </c>
      <c r="C3515" s="63" t="s">
        <v>281</v>
      </c>
      <c r="D3515" s="63"/>
      <c r="E3515" s="62"/>
      <c r="F3515" s="599"/>
      <c r="G3515" s="65">
        <v>0</v>
      </c>
      <c r="H3515" s="591" t="s">
        <v>280</v>
      </c>
      <c r="I3515" s="591" t="s">
        <v>280</v>
      </c>
    </row>
    <row r="3516" spans="1:9" ht="12.75">
      <c r="A3516" s="582" t="s">
        <v>617</v>
      </c>
      <c r="B3516" s="63">
        <v>3714</v>
      </c>
      <c r="C3516" s="63" t="s">
        <v>622</v>
      </c>
      <c r="D3516" s="63">
        <v>10144</v>
      </c>
      <c r="E3516" s="62"/>
      <c r="F3516" s="585">
        <v>45535</v>
      </c>
      <c r="G3516" s="65">
        <v>1</v>
      </c>
      <c r="H3516" s="591" t="s">
        <v>1974</v>
      </c>
      <c r="I3516" s="591" t="s">
        <v>84</v>
      </c>
    </row>
    <row r="3517" spans="1:9" ht="12.75">
      <c r="A3517" s="582" t="s">
        <v>617</v>
      </c>
      <c r="B3517" s="63">
        <v>3715</v>
      </c>
      <c r="C3517" s="63" t="s">
        <v>281</v>
      </c>
      <c r="D3517" s="63"/>
      <c r="E3517" s="62"/>
      <c r="F3517" s="599"/>
      <c r="G3517" s="65">
        <v>0</v>
      </c>
      <c r="H3517" s="591" t="s">
        <v>280</v>
      </c>
      <c r="I3517" s="591" t="s">
        <v>280</v>
      </c>
    </row>
    <row r="3518" spans="1:9" ht="12.75">
      <c r="A3518" s="582" t="s">
        <v>617</v>
      </c>
      <c r="B3518" s="63">
        <v>3716</v>
      </c>
      <c r="C3518" s="63" t="s">
        <v>623</v>
      </c>
      <c r="D3518" s="579">
        <v>10312</v>
      </c>
      <c r="E3518" s="62"/>
      <c r="F3518" s="585">
        <v>45535</v>
      </c>
      <c r="G3518" s="65">
        <v>1</v>
      </c>
      <c r="H3518" s="591" t="s">
        <v>1974</v>
      </c>
      <c r="I3518" s="591" t="s">
        <v>84</v>
      </c>
    </row>
    <row r="3519" spans="1:9">
      <c r="A3519" s="582" t="s">
        <v>617</v>
      </c>
      <c r="B3519" s="65">
        <v>3717</v>
      </c>
      <c r="C3519" s="579" t="s">
        <v>281</v>
      </c>
      <c r="D3519" s="65"/>
      <c r="E3519" s="583"/>
      <c r="F3519" s="596"/>
      <c r="G3519" s="65">
        <v>0</v>
      </c>
      <c r="H3519" s="591" t="s">
        <v>280</v>
      </c>
      <c r="I3519" s="591" t="s">
        <v>280</v>
      </c>
    </row>
    <row r="3520" spans="1:9">
      <c r="A3520" s="582" t="s">
        <v>617</v>
      </c>
      <c r="B3520" s="65">
        <v>3718</v>
      </c>
      <c r="C3520" s="579" t="s">
        <v>281</v>
      </c>
      <c r="D3520" s="63"/>
      <c r="E3520" s="583"/>
      <c r="F3520" s="596"/>
      <c r="G3520" s="65">
        <v>0</v>
      </c>
      <c r="H3520" s="591" t="s">
        <v>280</v>
      </c>
      <c r="I3520" s="591" t="s">
        <v>280</v>
      </c>
    </row>
    <row r="3521" spans="1:9">
      <c r="A3521" s="582" t="s">
        <v>617</v>
      </c>
      <c r="B3521" s="65">
        <v>3719</v>
      </c>
      <c r="C3521" s="579" t="s">
        <v>625</v>
      </c>
      <c r="D3521" s="579">
        <v>10707</v>
      </c>
      <c r="E3521" s="583"/>
      <c r="F3521" s="585">
        <v>45535</v>
      </c>
      <c r="G3521" s="65">
        <v>1</v>
      </c>
      <c r="H3521" s="591" t="s">
        <v>1974</v>
      </c>
      <c r="I3521" s="591" t="s">
        <v>84</v>
      </c>
    </row>
    <row r="3522" spans="1:9">
      <c r="A3522" s="582" t="s">
        <v>617</v>
      </c>
      <c r="B3522" s="65">
        <v>3720</v>
      </c>
      <c r="C3522" s="579" t="s">
        <v>1847</v>
      </c>
      <c r="D3522" s="579">
        <v>10808</v>
      </c>
      <c r="E3522" s="583"/>
      <c r="F3522" s="585">
        <v>45535</v>
      </c>
      <c r="G3522" s="65">
        <v>1</v>
      </c>
      <c r="H3522" s="591" t="s">
        <v>1974</v>
      </c>
      <c r="I3522" s="591" t="s">
        <v>84</v>
      </c>
    </row>
    <row r="3523" spans="1:9">
      <c r="A3523" s="582" t="s">
        <v>617</v>
      </c>
      <c r="B3523" s="65">
        <v>3721</v>
      </c>
      <c r="C3523" s="65" t="s">
        <v>1848</v>
      </c>
      <c r="D3523" s="65">
        <v>10919</v>
      </c>
      <c r="E3523" s="583"/>
      <c r="F3523" s="585">
        <v>45535</v>
      </c>
      <c r="G3523" s="65">
        <v>1</v>
      </c>
      <c r="H3523" s="591" t="s">
        <v>1974</v>
      </c>
      <c r="I3523" s="591" t="s">
        <v>84</v>
      </c>
    </row>
    <row r="3524" spans="1:9">
      <c r="A3524" s="582" t="s">
        <v>617</v>
      </c>
      <c r="B3524" s="65">
        <v>3722</v>
      </c>
      <c r="C3524" s="65" t="s">
        <v>1849</v>
      </c>
      <c r="D3524" s="65">
        <v>11023</v>
      </c>
      <c r="E3524" s="583"/>
      <c r="F3524" s="585">
        <v>45535</v>
      </c>
      <c r="G3524" s="65">
        <v>1</v>
      </c>
      <c r="H3524" s="591" t="s">
        <v>1974</v>
      </c>
      <c r="I3524" s="591" t="s">
        <v>84</v>
      </c>
    </row>
    <row r="3525" spans="1:9">
      <c r="A3525" s="582" t="s">
        <v>617</v>
      </c>
      <c r="B3525" s="65">
        <v>3723</v>
      </c>
      <c r="C3525" s="65" t="s">
        <v>1850</v>
      </c>
      <c r="D3525" s="65">
        <v>11035</v>
      </c>
      <c r="E3525" s="583"/>
      <c r="F3525" s="585">
        <v>45535</v>
      </c>
      <c r="G3525" s="65">
        <v>1</v>
      </c>
      <c r="H3525" s="591" t="s">
        <v>1974</v>
      </c>
      <c r="I3525" s="591" t="s">
        <v>84</v>
      </c>
    </row>
    <row r="3526" spans="1:9">
      <c r="A3526" s="582" t="s">
        <v>617</v>
      </c>
      <c r="B3526" s="65">
        <v>3724</v>
      </c>
      <c r="C3526" s="579" t="s">
        <v>1968</v>
      </c>
      <c r="D3526" s="579">
        <v>11057</v>
      </c>
      <c r="E3526" s="583"/>
      <c r="F3526" s="585">
        <v>45584</v>
      </c>
      <c r="G3526" s="65">
        <v>1</v>
      </c>
      <c r="H3526" s="591" t="s">
        <v>1974</v>
      </c>
      <c r="I3526" s="591" t="s">
        <v>84</v>
      </c>
    </row>
    <row r="3527" spans="1:9">
      <c r="A3527" s="582" t="s">
        <v>617</v>
      </c>
      <c r="B3527" s="65">
        <v>3725</v>
      </c>
      <c r="C3527" s="579" t="s">
        <v>281</v>
      </c>
      <c r="D3527" s="579"/>
      <c r="E3527" s="583"/>
      <c r="F3527" s="596"/>
      <c r="G3527" s="65">
        <v>0</v>
      </c>
      <c r="H3527" s="591" t="s">
        <v>280</v>
      </c>
      <c r="I3527" s="591" t="s">
        <v>280</v>
      </c>
    </row>
    <row r="3528" spans="1:9">
      <c r="A3528" s="582" t="s">
        <v>617</v>
      </c>
      <c r="B3528" s="65">
        <v>3726</v>
      </c>
      <c r="C3528" s="579" t="s">
        <v>281</v>
      </c>
      <c r="D3528" s="579"/>
      <c r="E3528" s="583"/>
      <c r="F3528" s="596"/>
      <c r="G3528" s="65">
        <v>0</v>
      </c>
      <c r="H3528" s="591" t="s">
        <v>280</v>
      </c>
      <c r="I3528" s="591" t="s">
        <v>280</v>
      </c>
    </row>
    <row r="3529" spans="1:9">
      <c r="A3529" s="582" t="s">
        <v>617</v>
      </c>
      <c r="B3529" s="65">
        <v>3727</v>
      </c>
      <c r="C3529" s="579" t="s">
        <v>281</v>
      </c>
      <c r="D3529" s="579"/>
      <c r="E3529" s="583"/>
      <c r="F3529" s="596"/>
      <c r="G3529" s="65">
        <v>0</v>
      </c>
      <c r="H3529" s="591" t="s">
        <v>280</v>
      </c>
      <c r="I3529" s="591" t="s">
        <v>280</v>
      </c>
    </row>
    <row r="3530" spans="1:9">
      <c r="A3530" s="582" t="s">
        <v>617</v>
      </c>
      <c r="B3530" s="65">
        <v>3728</v>
      </c>
      <c r="C3530" s="579" t="s">
        <v>281</v>
      </c>
      <c r="D3530" s="579"/>
      <c r="E3530" s="583"/>
      <c r="F3530" s="596"/>
      <c r="G3530" s="65">
        <v>0</v>
      </c>
      <c r="H3530" s="591" t="s">
        <v>280</v>
      </c>
      <c r="I3530" s="591" t="s">
        <v>280</v>
      </c>
    </row>
    <row r="3531" spans="1:9">
      <c r="A3531" s="582" t="s">
        <v>617</v>
      </c>
      <c r="B3531" s="65">
        <v>3729</v>
      </c>
      <c r="C3531" s="579" t="s">
        <v>281</v>
      </c>
      <c r="D3531" s="579"/>
      <c r="E3531" s="583"/>
      <c r="F3531" s="596"/>
      <c r="G3531" s="65">
        <v>0</v>
      </c>
      <c r="H3531" s="591" t="s">
        <v>280</v>
      </c>
      <c r="I3531" s="591" t="s">
        <v>280</v>
      </c>
    </row>
    <row r="3532" spans="1:9">
      <c r="A3532" s="582" t="s">
        <v>617</v>
      </c>
      <c r="B3532" s="65">
        <v>3730</v>
      </c>
      <c r="C3532" s="579" t="s">
        <v>281</v>
      </c>
      <c r="D3532" s="579"/>
      <c r="E3532" s="583"/>
      <c r="F3532" s="596"/>
      <c r="G3532" s="65">
        <v>0</v>
      </c>
      <c r="H3532" s="591" t="s">
        <v>280</v>
      </c>
      <c r="I3532" s="591" t="s">
        <v>280</v>
      </c>
    </row>
    <row r="3533" spans="1:9">
      <c r="A3533" s="582" t="s">
        <v>617</v>
      </c>
      <c r="B3533" s="65">
        <v>3731</v>
      </c>
      <c r="C3533" s="579" t="s">
        <v>281</v>
      </c>
      <c r="D3533" s="579"/>
      <c r="E3533" s="583"/>
      <c r="F3533" s="596"/>
      <c r="G3533" s="65">
        <v>0</v>
      </c>
      <c r="H3533" s="591" t="s">
        <v>280</v>
      </c>
      <c r="I3533" s="591" t="s">
        <v>280</v>
      </c>
    </row>
    <row r="3534" spans="1:9">
      <c r="A3534" s="582" t="s">
        <v>617</v>
      </c>
      <c r="B3534" s="65">
        <v>3732</v>
      </c>
      <c r="C3534" s="579" t="s">
        <v>281</v>
      </c>
      <c r="D3534" s="579"/>
      <c r="E3534" s="583"/>
      <c r="F3534" s="596"/>
      <c r="G3534" s="65">
        <v>0</v>
      </c>
      <c r="H3534" s="591" t="s">
        <v>280</v>
      </c>
      <c r="I3534" s="591" t="s">
        <v>280</v>
      </c>
    </row>
    <row r="3535" spans="1:9">
      <c r="A3535" s="582" t="s">
        <v>617</v>
      </c>
      <c r="B3535" s="65">
        <v>3733</v>
      </c>
      <c r="C3535" s="579" t="s">
        <v>281</v>
      </c>
      <c r="D3535" s="579"/>
      <c r="E3535" s="583"/>
      <c r="F3535" s="596"/>
      <c r="G3535" s="65">
        <v>0</v>
      </c>
      <c r="H3535" s="591" t="s">
        <v>280</v>
      </c>
      <c r="I3535" s="591" t="s">
        <v>280</v>
      </c>
    </row>
    <row r="3536" spans="1:9">
      <c r="A3536" s="582" t="s">
        <v>617</v>
      </c>
      <c r="B3536" s="65">
        <v>3734</v>
      </c>
      <c r="C3536" s="579" t="s">
        <v>281</v>
      </c>
      <c r="D3536" s="579"/>
      <c r="E3536" s="583"/>
      <c r="F3536" s="596"/>
      <c r="G3536" s="65">
        <v>0</v>
      </c>
      <c r="H3536" s="591" t="s">
        <v>280</v>
      </c>
      <c r="I3536" s="591" t="s">
        <v>280</v>
      </c>
    </row>
    <row r="3537" spans="1:9">
      <c r="A3537" s="582" t="s">
        <v>617</v>
      </c>
      <c r="B3537" s="65">
        <v>3735</v>
      </c>
      <c r="C3537" s="579" t="s">
        <v>281</v>
      </c>
      <c r="D3537" s="579"/>
      <c r="E3537" s="583"/>
      <c r="F3537" s="596"/>
      <c r="G3537" s="65">
        <v>0</v>
      </c>
      <c r="H3537" s="591" t="s">
        <v>280</v>
      </c>
      <c r="I3537" s="591" t="s">
        <v>280</v>
      </c>
    </row>
    <row r="3538" spans="1:9">
      <c r="A3538" s="582" t="s">
        <v>617</v>
      </c>
      <c r="B3538" s="65">
        <v>3736</v>
      </c>
      <c r="C3538" s="579" t="s">
        <v>281</v>
      </c>
      <c r="D3538" s="579"/>
      <c r="E3538" s="583"/>
      <c r="F3538" s="596"/>
      <c r="G3538" s="65">
        <v>0</v>
      </c>
      <c r="H3538" s="591" t="s">
        <v>280</v>
      </c>
      <c r="I3538" s="591" t="s">
        <v>280</v>
      </c>
    </row>
    <row r="3539" spans="1:9">
      <c r="A3539" s="582" t="s">
        <v>617</v>
      </c>
      <c r="B3539" s="65">
        <v>3737</v>
      </c>
      <c r="C3539" s="579" t="s">
        <v>281</v>
      </c>
      <c r="D3539" s="579"/>
      <c r="E3539" s="583"/>
      <c r="F3539" s="596"/>
      <c r="G3539" s="65">
        <v>0</v>
      </c>
      <c r="H3539" s="591" t="s">
        <v>280</v>
      </c>
      <c r="I3539" s="591" t="s">
        <v>280</v>
      </c>
    </row>
    <row r="3540" spans="1:9">
      <c r="A3540" s="582" t="s">
        <v>617</v>
      </c>
      <c r="B3540" s="65">
        <v>3738</v>
      </c>
      <c r="C3540" s="579" t="s">
        <v>281</v>
      </c>
      <c r="D3540" s="579"/>
      <c r="E3540" s="583"/>
      <c r="F3540" s="596"/>
      <c r="G3540" s="65">
        <v>0</v>
      </c>
      <c r="H3540" s="591" t="s">
        <v>280</v>
      </c>
      <c r="I3540" s="591" t="s">
        <v>280</v>
      </c>
    </row>
    <row r="3541" spans="1:9">
      <c r="A3541" s="582" t="s">
        <v>617</v>
      </c>
      <c r="B3541" s="65">
        <v>3739</v>
      </c>
      <c r="C3541" s="579" t="s">
        <v>281</v>
      </c>
      <c r="D3541" s="579"/>
      <c r="E3541" s="583"/>
      <c r="F3541" s="596"/>
      <c r="G3541" s="65">
        <v>0</v>
      </c>
      <c r="H3541" s="591" t="s">
        <v>280</v>
      </c>
      <c r="I3541" s="591" t="s">
        <v>280</v>
      </c>
    </row>
    <row r="3542" spans="1:9">
      <c r="A3542" s="582" t="s">
        <v>617</v>
      </c>
      <c r="B3542" s="65">
        <v>3740</v>
      </c>
      <c r="C3542" s="579" t="s">
        <v>281</v>
      </c>
      <c r="D3542" s="579"/>
      <c r="E3542" s="583"/>
      <c r="F3542" s="596"/>
      <c r="G3542" s="65">
        <v>0</v>
      </c>
      <c r="H3542" s="591" t="s">
        <v>280</v>
      </c>
      <c r="I3542" s="591" t="s">
        <v>280</v>
      </c>
    </row>
    <row r="3543" spans="1:9">
      <c r="A3543" s="582" t="s">
        <v>617</v>
      </c>
      <c r="B3543" s="65">
        <v>3741</v>
      </c>
      <c r="C3543" s="579" t="s">
        <v>281</v>
      </c>
      <c r="D3543" s="579"/>
      <c r="E3543" s="583"/>
      <c r="F3543" s="596"/>
      <c r="G3543" s="65">
        <v>0</v>
      </c>
      <c r="H3543" s="591" t="s">
        <v>280</v>
      </c>
      <c r="I3543" s="591" t="s">
        <v>280</v>
      </c>
    </row>
    <row r="3544" spans="1:9">
      <c r="A3544" s="582" t="s">
        <v>617</v>
      </c>
      <c r="B3544" s="65">
        <v>3742</v>
      </c>
      <c r="C3544" s="579" t="s">
        <v>281</v>
      </c>
      <c r="D3544" s="579"/>
      <c r="E3544" s="583"/>
      <c r="F3544" s="596"/>
      <c r="G3544" s="65">
        <v>0</v>
      </c>
      <c r="H3544" s="591" t="s">
        <v>280</v>
      </c>
      <c r="I3544" s="591" t="s">
        <v>280</v>
      </c>
    </row>
    <row r="3545" spans="1:9">
      <c r="A3545" s="582" t="s">
        <v>617</v>
      </c>
      <c r="B3545" s="65">
        <v>3743</v>
      </c>
      <c r="C3545" s="579" t="s">
        <v>281</v>
      </c>
      <c r="D3545" s="579"/>
      <c r="E3545" s="583"/>
      <c r="F3545" s="596"/>
      <c r="G3545" s="65">
        <v>0</v>
      </c>
      <c r="H3545" s="591" t="s">
        <v>280</v>
      </c>
      <c r="I3545" s="591" t="s">
        <v>280</v>
      </c>
    </row>
    <row r="3546" spans="1:9">
      <c r="A3546" s="582" t="s">
        <v>617</v>
      </c>
      <c r="B3546" s="65">
        <v>3744</v>
      </c>
      <c r="C3546" s="579" t="s">
        <v>281</v>
      </c>
      <c r="D3546" s="579"/>
      <c r="E3546" s="583"/>
      <c r="F3546" s="596"/>
      <c r="G3546" s="65">
        <v>0</v>
      </c>
      <c r="H3546" s="591" t="s">
        <v>280</v>
      </c>
      <c r="I3546" s="591" t="s">
        <v>280</v>
      </c>
    </row>
    <row r="3547" spans="1:9">
      <c r="A3547" s="582" t="s">
        <v>617</v>
      </c>
      <c r="B3547" s="65">
        <v>3745</v>
      </c>
      <c r="C3547" s="579" t="s">
        <v>281</v>
      </c>
      <c r="D3547" s="579"/>
      <c r="E3547" s="583"/>
      <c r="F3547" s="596"/>
      <c r="G3547" s="65">
        <v>0</v>
      </c>
      <c r="H3547" s="591" t="s">
        <v>280</v>
      </c>
      <c r="I3547" s="591" t="s">
        <v>280</v>
      </c>
    </row>
    <row r="3548" spans="1:9">
      <c r="A3548" s="582" t="s">
        <v>617</v>
      </c>
      <c r="B3548" s="65">
        <v>3746</v>
      </c>
      <c r="C3548" s="579" t="s">
        <v>281</v>
      </c>
      <c r="D3548" s="579"/>
      <c r="E3548" s="583"/>
      <c r="F3548" s="596"/>
      <c r="G3548" s="65">
        <v>0</v>
      </c>
      <c r="H3548" s="591" t="s">
        <v>280</v>
      </c>
      <c r="I3548" s="591" t="s">
        <v>280</v>
      </c>
    </row>
    <row r="3549" spans="1:9">
      <c r="A3549" s="582" t="s">
        <v>617</v>
      </c>
      <c r="B3549" s="65">
        <v>3747</v>
      </c>
      <c r="C3549" s="579" t="s">
        <v>281</v>
      </c>
      <c r="D3549" s="579"/>
      <c r="E3549" s="583"/>
      <c r="F3549" s="596"/>
      <c r="G3549" s="65">
        <v>0</v>
      </c>
      <c r="H3549" s="591" t="s">
        <v>280</v>
      </c>
      <c r="I3549" s="591" t="s">
        <v>280</v>
      </c>
    </row>
    <row r="3550" spans="1:9">
      <c r="A3550" s="582" t="s">
        <v>617</v>
      </c>
      <c r="B3550" s="65">
        <v>3748</v>
      </c>
      <c r="C3550" s="579" t="s">
        <v>281</v>
      </c>
      <c r="D3550" s="579"/>
      <c r="E3550" s="583"/>
      <c r="F3550" s="596"/>
      <c r="G3550" s="65">
        <v>0</v>
      </c>
      <c r="H3550" s="591" t="s">
        <v>280</v>
      </c>
      <c r="I3550" s="591" t="s">
        <v>280</v>
      </c>
    </row>
    <row r="3551" spans="1:9">
      <c r="A3551" s="582" t="s">
        <v>617</v>
      </c>
      <c r="B3551" s="65">
        <v>3749</v>
      </c>
      <c r="C3551" s="579" t="s">
        <v>281</v>
      </c>
      <c r="D3551" s="579"/>
      <c r="E3551" s="583"/>
      <c r="F3551" s="596"/>
      <c r="G3551" s="65">
        <v>0</v>
      </c>
      <c r="H3551" s="591" t="s">
        <v>280</v>
      </c>
      <c r="I3551" s="591" t="s">
        <v>280</v>
      </c>
    </row>
    <row r="3552" spans="1:9">
      <c r="A3552" s="582" t="s">
        <v>617</v>
      </c>
      <c r="B3552" s="65">
        <v>3750</v>
      </c>
      <c r="C3552" s="579" t="s">
        <v>281</v>
      </c>
      <c r="D3552" s="579"/>
      <c r="E3552" s="583"/>
      <c r="F3552" s="596"/>
      <c r="G3552" s="65">
        <v>0</v>
      </c>
      <c r="H3552" s="591" t="s">
        <v>280</v>
      </c>
      <c r="I3552" s="591" t="s">
        <v>280</v>
      </c>
    </row>
    <row r="3553" spans="1:9">
      <c r="A3553" s="582" t="s">
        <v>617</v>
      </c>
      <c r="B3553" s="65">
        <v>3751</v>
      </c>
      <c r="C3553" s="579" t="s">
        <v>281</v>
      </c>
      <c r="D3553" s="579"/>
      <c r="E3553" s="583"/>
      <c r="F3553" s="596"/>
      <c r="G3553" s="65">
        <v>0</v>
      </c>
      <c r="H3553" s="591" t="s">
        <v>280</v>
      </c>
      <c r="I3553" s="591" t="s">
        <v>280</v>
      </c>
    </row>
    <row r="3554" spans="1:9">
      <c r="A3554" s="582" t="s">
        <v>617</v>
      </c>
      <c r="B3554" s="65">
        <v>3752</v>
      </c>
      <c r="C3554" s="579" t="s">
        <v>281</v>
      </c>
      <c r="D3554" s="579"/>
      <c r="E3554" s="583"/>
      <c r="F3554" s="596"/>
      <c r="G3554" s="65">
        <v>0</v>
      </c>
      <c r="H3554" s="591" t="s">
        <v>280</v>
      </c>
      <c r="I3554" s="591" t="s">
        <v>280</v>
      </c>
    </row>
    <row r="3555" spans="1:9">
      <c r="A3555" s="582" t="s">
        <v>617</v>
      </c>
      <c r="B3555" s="65">
        <v>3753</v>
      </c>
      <c r="C3555" s="579" t="s">
        <v>281</v>
      </c>
      <c r="D3555" s="579"/>
      <c r="E3555" s="583"/>
      <c r="F3555" s="596"/>
      <c r="G3555" s="65">
        <v>0</v>
      </c>
      <c r="H3555" s="591" t="s">
        <v>280</v>
      </c>
      <c r="I3555" s="591" t="s">
        <v>280</v>
      </c>
    </row>
    <row r="3556" spans="1:9">
      <c r="A3556" s="582" t="s">
        <v>617</v>
      </c>
      <c r="B3556" s="65">
        <v>3754</v>
      </c>
      <c r="C3556" s="579" t="s">
        <v>281</v>
      </c>
      <c r="D3556" s="579"/>
      <c r="E3556" s="583"/>
      <c r="F3556" s="596"/>
      <c r="G3556" s="65">
        <v>0</v>
      </c>
      <c r="H3556" s="591" t="s">
        <v>280</v>
      </c>
      <c r="I3556" s="591" t="s">
        <v>280</v>
      </c>
    </row>
    <row r="3557" spans="1:9">
      <c r="A3557" s="582" t="s">
        <v>617</v>
      </c>
      <c r="B3557" s="65">
        <v>3755</v>
      </c>
      <c r="C3557" s="579" t="s">
        <v>281</v>
      </c>
      <c r="D3557" s="579"/>
      <c r="E3557" s="583"/>
      <c r="F3557" s="596"/>
      <c r="G3557" s="65">
        <v>0</v>
      </c>
      <c r="H3557" s="591" t="s">
        <v>280</v>
      </c>
      <c r="I3557" s="591" t="s">
        <v>280</v>
      </c>
    </row>
    <row r="3558" spans="1:9">
      <c r="A3558" s="582" t="s">
        <v>617</v>
      </c>
      <c r="B3558" s="65">
        <v>3756</v>
      </c>
      <c r="C3558" s="579" t="s">
        <v>281</v>
      </c>
      <c r="D3558" s="579"/>
      <c r="E3558" s="583"/>
      <c r="F3558" s="596"/>
      <c r="G3558" s="65">
        <v>0</v>
      </c>
      <c r="H3558" s="591" t="s">
        <v>280</v>
      </c>
      <c r="I3558" s="591" t="s">
        <v>280</v>
      </c>
    </row>
    <row r="3559" spans="1:9">
      <c r="A3559" s="582" t="s">
        <v>617</v>
      </c>
      <c r="B3559" s="65">
        <v>3757</v>
      </c>
      <c r="C3559" s="579" t="s">
        <v>281</v>
      </c>
      <c r="D3559" s="579"/>
      <c r="E3559" s="583"/>
      <c r="F3559" s="596"/>
      <c r="G3559" s="65">
        <v>0</v>
      </c>
      <c r="H3559" s="591" t="s">
        <v>280</v>
      </c>
      <c r="I3559" s="591" t="s">
        <v>280</v>
      </c>
    </row>
    <row r="3560" spans="1:9">
      <c r="A3560" s="582" t="s">
        <v>617</v>
      </c>
      <c r="B3560" s="65">
        <v>3758</v>
      </c>
      <c r="C3560" s="579" t="s">
        <v>281</v>
      </c>
      <c r="D3560" s="579"/>
      <c r="E3560" s="583"/>
      <c r="F3560" s="596"/>
      <c r="G3560" s="65">
        <v>0</v>
      </c>
      <c r="H3560" s="591" t="s">
        <v>280</v>
      </c>
      <c r="I3560" s="591" t="s">
        <v>280</v>
      </c>
    </row>
    <row r="3561" spans="1:9">
      <c r="A3561" s="582" t="s">
        <v>617</v>
      </c>
      <c r="B3561" s="65">
        <v>3759</v>
      </c>
      <c r="C3561" s="579" t="s">
        <v>281</v>
      </c>
      <c r="D3561" s="579"/>
      <c r="E3561" s="583"/>
      <c r="F3561" s="596"/>
      <c r="G3561" s="65">
        <v>0</v>
      </c>
      <c r="H3561" s="591" t="s">
        <v>280</v>
      </c>
      <c r="I3561" s="591" t="s">
        <v>280</v>
      </c>
    </row>
    <row r="3562" spans="1:9">
      <c r="A3562" s="582" t="s">
        <v>617</v>
      </c>
      <c r="B3562" s="65">
        <v>3760</v>
      </c>
      <c r="C3562" s="579" t="s">
        <v>281</v>
      </c>
      <c r="D3562" s="579"/>
      <c r="E3562" s="583"/>
      <c r="F3562" s="596"/>
      <c r="G3562" s="65">
        <v>0</v>
      </c>
      <c r="H3562" s="591" t="s">
        <v>280</v>
      </c>
      <c r="I3562" s="591" t="s">
        <v>280</v>
      </c>
    </row>
    <row r="3563" spans="1:9">
      <c r="A3563" s="582" t="s">
        <v>617</v>
      </c>
      <c r="B3563" s="65">
        <v>3761</v>
      </c>
      <c r="C3563" s="579" t="s">
        <v>281</v>
      </c>
      <c r="D3563" s="579"/>
      <c r="E3563" s="583"/>
      <c r="F3563" s="596"/>
      <c r="G3563" s="65">
        <v>0</v>
      </c>
      <c r="H3563" s="591" t="s">
        <v>280</v>
      </c>
      <c r="I3563" s="591" t="s">
        <v>280</v>
      </c>
    </row>
    <row r="3564" spans="1:9">
      <c r="A3564" s="582" t="s">
        <v>617</v>
      </c>
      <c r="B3564" s="65">
        <v>3762</v>
      </c>
      <c r="C3564" s="579" t="s">
        <v>281</v>
      </c>
      <c r="D3564" s="579"/>
      <c r="E3564" s="583"/>
      <c r="F3564" s="596"/>
      <c r="G3564" s="65">
        <v>0</v>
      </c>
      <c r="H3564" s="591" t="s">
        <v>280</v>
      </c>
      <c r="I3564" s="591" t="s">
        <v>280</v>
      </c>
    </row>
    <row r="3565" spans="1:9">
      <c r="A3565" s="582" t="s">
        <v>617</v>
      </c>
      <c r="B3565" s="65">
        <v>3763</v>
      </c>
      <c r="C3565" s="579" t="s">
        <v>281</v>
      </c>
      <c r="D3565" s="579"/>
      <c r="E3565" s="583"/>
      <c r="F3565" s="596"/>
      <c r="G3565" s="65">
        <v>0</v>
      </c>
      <c r="H3565" s="591" t="s">
        <v>280</v>
      </c>
      <c r="I3565" s="591" t="s">
        <v>280</v>
      </c>
    </row>
    <row r="3566" spans="1:9">
      <c r="A3566" s="582" t="s">
        <v>617</v>
      </c>
      <c r="B3566" s="65">
        <v>3764</v>
      </c>
      <c r="C3566" s="579" t="s">
        <v>281</v>
      </c>
      <c r="D3566" s="579"/>
      <c r="E3566" s="583"/>
      <c r="F3566" s="596"/>
      <c r="G3566" s="65">
        <v>0</v>
      </c>
      <c r="H3566" s="591" t="s">
        <v>280</v>
      </c>
      <c r="I3566" s="591" t="s">
        <v>280</v>
      </c>
    </row>
    <row r="3567" spans="1:9">
      <c r="A3567" s="582" t="s">
        <v>617</v>
      </c>
      <c r="B3567" s="65">
        <v>3765</v>
      </c>
      <c r="C3567" s="579" t="s">
        <v>281</v>
      </c>
      <c r="D3567" s="579"/>
      <c r="E3567" s="583"/>
      <c r="F3567" s="596"/>
      <c r="G3567" s="65">
        <v>0</v>
      </c>
      <c r="H3567" s="591" t="s">
        <v>280</v>
      </c>
      <c r="I3567" s="591" t="s">
        <v>280</v>
      </c>
    </row>
    <row r="3568" spans="1:9">
      <c r="A3568" s="582" t="s">
        <v>617</v>
      </c>
      <c r="B3568" s="65">
        <v>3766</v>
      </c>
      <c r="C3568" s="579" t="s">
        <v>281</v>
      </c>
      <c r="D3568" s="579"/>
      <c r="E3568" s="583"/>
      <c r="F3568" s="596"/>
      <c r="G3568" s="65">
        <v>0</v>
      </c>
      <c r="H3568" s="591" t="s">
        <v>280</v>
      </c>
      <c r="I3568" s="591" t="s">
        <v>280</v>
      </c>
    </row>
    <row r="3569" spans="1:9">
      <c r="A3569" s="582" t="s">
        <v>617</v>
      </c>
      <c r="B3569" s="65">
        <v>3767</v>
      </c>
      <c r="C3569" s="579" t="s">
        <v>281</v>
      </c>
      <c r="D3569" s="579"/>
      <c r="E3569" s="583"/>
      <c r="F3569" s="596"/>
      <c r="G3569" s="65">
        <v>0</v>
      </c>
      <c r="H3569" s="591" t="s">
        <v>280</v>
      </c>
      <c r="I3569" s="591" t="s">
        <v>280</v>
      </c>
    </row>
    <row r="3570" spans="1:9">
      <c r="A3570" s="582" t="s">
        <v>617</v>
      </c>
      <c r="B3570" s="65">
        <v>3768</v>
      </c>
      <c r="C3570" s="579" t="s">
        <v>281</v>
      </c>
      <c r="D3570" s="579"/>
      <c r="E3570" s="583"/>
      <c r="F3570" s="596"/>
      <c r="G3570" s="65">
        <v>0</v>
      </c>
      <c r="H3570" s="591" t="s">
        <v>280</v>
      </c>
      <c r="I3570" s="591" t="s">
        <v>280</v>
      </c>
    </row>
    <row r="3571" spans="1:9">
      <c r="A3571" s="582" t="s">
        <v>617</v>
      </c>
      <c r="B3571" s="65">
        <v>3769</v>
      </c>
      <c r="C3571" s="579" t="s">
        <v>281</v>
      </c>
      <c r="D3571" s="579"/>
      <c r="E3571" s="583"/>
      <c r="F3571" s="596"/>
      <c r="G3571" s="65">
        <v>0</v>
      </c>
      <c r="H3571" s="591" t="s">
        <v>280</v>
      </c>
      <c r="I3571" s="591" t="s">
        <v>280</v>
      </c>
    </row>
    <row r="3572" spans="1:9">
      <c r="A3572" s="582" t="s">
        <v>617</v>
      </c>
      <c r="B3572" s="65">
        <v>3770</v>
      </c>
      <c r="C3572" s="579" t="s">
        <v>281</v>
      </c>
      <c r="D3572" s="579"/>
      <c r="E3572" s="583"/>
      <c r="F3572" s="596"/>
      <c r="G3572" s="65">
        <v>0</v>
      </c>
      <c r="H3572" s="591" t="s">
        <v>280</v>
      </c>
      <c r="I3572" s="591" t="s">
        <v>280</v>
      </c>
    </row>
    <row r="3573" spans="1:9">
      <c r="A3573" s="582" t="s">
        <v>617</v>
      </c>
      <c r="B3573" s="65">
        <v>3771</v>
      </c>
      <c r="C3573" s="579" t="s">
        <v>281</v>
      </c>
      <c r="D3573" s="579"/>
      <c r="E3573" s="583"/>
      <c r="F3573" s="596"/>
      <c r="G3573" s="65">
        <v>0</v>
      </c>
      <c r="H3573" s="591" t="s">
        <v>280</v>
      </c>
      <c r="I3573" s="591" t="s">
        <v>280</v>
      </c>
    </row>
    <row r="3574" spans="1:9">
      <c r="A3574" s="582" t="s">
        <v>617</v>
      </c>
      <c r="B3574" s="65">
        <v>3772</v>
      </c>
      <c r="C3574" s="579" t="s">
        <v>281</v>
      </c>
      <c r="D3574" s="579"/>
      <c r="E3574" s="583"/>
      <c r="F3574" s="596"/>
      <c r="G3574" s="65">
        <v>0</v>
      </c>
      <c r="H3574" s="591" t="s">
        <v>280</v>
      </c>
      <c r="I3574" s="591" t="s">
        <v>280</v>
      </c>
    </row>
    <row r="3575" spans="1:9">
      <c r="A3575" s="582" t="s">
        <v>617</v>
      </c>
      <c r="B3575" s="65">
        <v>3773</v>
      </c>
      <c r="C3575" s="579" t="s">
        <v>281</v>
      </c>
      <c r="D3575" s="579"/>
      <c r="E3575" s="583"/>
      <c r="F3575" s="596"/>
      <c r="G3575" s="65">
        <v>0</v>
      </c>
      <c r="H3575" s="591" t="s">
        <v>280</v>
      </c>
      <c r="I3575" s="591" t="s">
        <v>280</v>
      </c>
    </row>
    <row r="3576" spans="1:9">
      <c r="A3576" s="582" t="s">
        <v>617</v>
      </c>
      <c r="B3576" s="65">
        <v>3774</v>
      </c>
      <c r="C3576" s="579" t="s">
        <v>281</v>
      </c>
      <c r="D3576" s="579"/>
      <c r="E3576" s="583"/>
      <c r="F3576" s="596"/>
      <c r="G3576" s="65">
        <v>0</v>
      </c>
      <c r="H3576" s="591" t="s">
        <v>280</v>
      </c>
      <c r="I3576" s="591" t="s">
        <v>280</v>
      </c>
    </row>
    <row r="3577" spans="1:9">
      <c r="A3577" s="582" t="s">
        <v>617</v>
      </c>
      <c r="B3577" s="65">
        <v>3775</v>
      </c>
      <c r="C3577" s="579" t="s">
        <v>281</v>
      </c>
      <c r="D3577" s="579"/>
      <c r="E3577" s="583"/>
      <c r="F3577" s="596"/>
      <c r="G3577" s="65">
        <v>0</v>
      </c>
      <c r="H3577" s="591" t="s">
        <v>280</v>
      </c>
      <c r="I3577" s="591" t="s">
        <v>280</v>
      </c>
    </row>
    <row r="3578" spans="1:9">
      <c r="A3578" s="582" t="s">
        <v>617</v>
      </c>
      <c r="B3578" s="65">
        <v>3776</v>
      </c>
      <c r="C3578" s="579" t="s">
        <v>281</v>
      </c>
      <c r="D3578" s="579"/>
      <c r="E3578" s="583"/>
      <c r="F3578" s="596"/>
      <c r="G3578" s="65">
        <v>0</v>
      </c>
      <c r="H3578" s="591" t="s">
        <v>280</v>
      </c>
      <c r="I3578" s="591" t="s">
        <v>280</v>
      </c>
    </row>
    <row r="3579" spans="1:9">
      <c r="A3579" s="582" t="s">
        <v>617</v>
      </c>
      <c r="B3579" s="65">
        <v>3777</v>
      </c>
      <c r="C3579" s="579" t="s">
        <v>281</v>
      </c>
      <c r="D3579" s="579"/>
      <c r="E3579" s="583"/>
      <c r="F3579" s="596"/>
      <c r="G3579" s="65">
        <v>0</v>
      </c>
      <c r="H3579" s="591" t="s">
        <v>280</v>
      </c>
      <c r="I3579" s="591" t="s">
        <v>280</v>
      </c>
    </row>
    <row r="3580" spans="1:9">
      <c r="A3580" s="582" t="s">
        <v>617</v>
      </c>
      <c r="B3580" s="65">
        <v>3778</v>
      </c>
      <c r="C3580" s="579" t="s">
        <v>281</v>
      </c>
      <c r="D3580" s="579"/>
      <c r="E3580" s="583"/>
      <c r="F3580" s="596"/>
      <c r="G3580" s="65">
        <v>0</v>
      </c>
      <c r="H3580" s="591" t="s">
        <v>280</v>
      </c>
      <c r="I3580" s="591" t="s">
        <v>280</v>
      </c>
    </row>
    <row r="3581" spans="1:9">
      <c r="A3581" s="582" t="s">
        <v>617</v>
      </c>
      <c r="B3581" s="65">
        <v>3779</v>
      </c>
      <c r="C3581" s="579" t="s">
        <v>281</v>
      </c>
      <c r="D3581" s="579"/>
      <c r="E3581" s="583"/>
      <c r="F3581" s="596"/>
      <c r="G3581" s="65">
        <v>0</v>
      </c>
      <c r="H3581" s="591" t="s">
        <v>280</v>
      </c>
      <c r="I3581" s="591" t="s">
        <v>280</v>
      </c>
    </row>
    <row r="3582" spans="1:9">
      <c r="A3582" s="582" t="s">
        <v>617</v>
      </c>
      <c r="B3582" s="65">
        <v>3780</v>
      </c>
      <c r="C3582" s="579" t="s">
        <v>281</v>
      </c>
      <c r="D3582" s="579"/>
      <c r="E3582" s="583"/>
      <c r="F3582" s="596"/>
      <c r="G3582" s="65">
        <v>0</v>
      </c>
      <c r="H3582" s="591" t="s">
        <v>280</v>
      </c>
      <c r="I3582" s="591" t="s">
        <v>280</v>
      </c>
    </row>
    <row r="3583" spans="1:9">
      <c r="A3583" s="582" t="s">
        <v>617</v>
      </c>
      <c r="B3583" s="65">
        <v>3781</v>
      </c>
      <c r="C3583" s="579" t="s">
        <v>281</v>
      </c>
      <c r="D3583" s="579"/>
      <c r="E3583" s="583"/>
      <c r="F3583" s="596"/>
      <c r="G3583" s="65">
        <v>0</v>
      </c>
      <c r="H3583" s="591" t="s">
        <v>280</v>
      </c>
      <c r="I3583" s="591" t="s">
        <v>280</v>
      </c>
    </row>
    <row r="3584" spans="1:9">
      <c r="A3584" s="582" t="s">
        <v>617</v>
      </c>
      <c r="B3584" s="65">
        <v>3782</v>
      </c>
      <c r="C3584" s="579" t="s">
        <v>281</v>
      </c>
      <c r="D3584" s="579"/>
      <c r="E3584" s="583"/>
      <c r="F3584" s="596"/>
      <c r="G3584" s="65">
        <v>0</v>
      </c>
      <c r="H3584" s="591" t="s">
        <v>280</v>
      </c>
      <c r="I3584" s="591" t="s">
        <v>280</v>
      </c>
    </row>
    <row r="3585" spans="1:9">
      <c r="A3585" s="582" t="s">
        <v>617</v>
      </c>
      <c r="B3585" s="65">
        <v>3783</v>
      </c>
      <c r="C3585" s="579" t="s">
        <v>281</v>
      </c>
      <c r="D3585" s="579"/>
      <c r="E3585" s="583"/>
      <c r="F3585" s="596"/>
      <c r="G3585" s="65">
        <v>0</v>
      </c>
      <c r="H3585" s="591" t="s">
        <v>280</v>
      </c>
      <c r="I3585" s="591" t="s">
        <v>280</v>
      </c>
    </row>
    <row r="3586" spans="1:9">
      <c r="A3586" s="582" t="s">
        <v>617</v>
      </c>
      <c r="B3586" s="65">
        <v>3784</v>
      </c>
      <c r="C3586" s="579" t="s">
        <v>281</v>
      </c>
      <c r="D3586" s="579"/>
      <c r="E3586" s="583"/>
      <c r="F3586" s="596"/>
      <c r="G3586" s="65">
        <v>0</v>
      </c>
      <c r="H3586" s="591" t="s">
        <v>280</v>
      </c>
      <c r="I3586" s="591" t="s">
        <v>280</v>
      </c>
    </row>
    <row r="3587" spans="1:9">
      <c r="A3587" s="582" t="s">
        <v>617</v>
      </c>
      <c r="B3587" s="65">
        <v>3785</v>
      </c>
      <c r="C3587" s="579" t="s">
        <v>281</v>
      </c>
      <c r="D3587" s="579"/>
      <c r="E3587" s="583"/>
      <c r="F3587" s="596"/>
      <c r="G3587" s="65">
        <v>0</v>
      </c>
      <c r="H3587" s="591" t="s">
        <v>280</v>
      </c>
      <c r="I3587" s="591" t="s">
        <v>280</v>
      </c>
    </row>
    <row r="3588" spans="1:9">
      <c r="A3588" s="582" t="s">
        <v>617</v>
      </c>
      <c r="B3588" s="65">
        <v>3786</v>
      </c>
      <c r="C3588" s="579" t="s">
        <v>281</v>
      </c>
      <c r="D3588" s="579"/>
      <c r="E3588" s="583"/>
      <c r="F3588" s="596"/>
      <c r="G3588" s="65">
        <v>0</v>
      </c>
      <c r="H3588" s="591" t="s">
        <v>280</v>
      </c>
      <c r="I3588" s="591" t="s">
        <v>280</v>
      </c>
    </row>
    <row r="3589" spans="1:9">
      <c r="A3589" s="582" t="s">
        <v>617</v>
      </c>
      <c r="B3589" s="65">
        <v>3787</v>
      </c>
      <c r="C3589" s="579" t="s">
        <v>281</v>
      </c>
      <c r="D3589" s="579"/>
      <c r="E3589" s="583"/>
      <c r="F3589" s="596"/>
      <c r="G3589" s="65">
        <v>0</v>
      </c>
      <c r="H3589" s="591" t="s">
        <v>280</v>
      </c>
      <c r="I3589" s="591" t="s">
        <v>280</v>
      </c>
    </row>
    <row r="3590" spans="1:9">
      <c r="A3590" s="582" t="s">
        <v>617</v>
      </c>
      <c r="B3590" s="65">
        <v>3788</v>
      </c>
      <c r="C3590" s="579" t="s">
        <v>281</v>
      </c>
      <c r="D3590" s="579"/>
      <c r="E3590" s="583"/>
      <c r="F3590" s="596"/>
      <c r="G3590" s="65">
        <v>0</v>
      </c>
      <c r="H3590" s="591" t="s">
        <v>280</v>
      </c>
      <c r="I3590" s="591" t="s">
        <v>280</v>
      </c>
    </row>
    <row r="3591" spans="1:9">
      <c r="A3591" s="582" t="s">
        <v>617</v>
      </c>
      <c r="B3591" s="65">
        <v>3789</v>
      </c>
      <c r="C3591" s="579" t="s">
        <v>281</v>
      </c>
      <c r="D3591" s="579"/>
      <c r="E3591" s="583"/>
      <c r="F3591" s="596"/>
      <c r="G3591" s="65">
        <v>0</v>
      </c>
      <c r="H3591" s="591" t="s">
        <v>280</v>
      </c>
      <c r="I3591" s="591" t="s">
        <v>280</v>
      </c>
    </row>
    <row r="3592" spans="1:9">
      <c r="A3592" s="582" t="s">
        <v>617</v>
      </c>
      <c r="B3592" s="65">
        <v>3790</v>
      </c>
      <c r="C3592" s="579" t="s">
        <v>281</v>
      </c>
      <c r="D3592" s="579"/>
      <c r="E3592" s="583"/>
      <c r="F3592" s="596"/>
      <c r="G3592" s="65">
        <v>0</v>
      </c>
      <c r="H3592" s="591" t="s">
        <v>280</v>
      </c>
      <c r="I3592" s="591" t="s">
        <v>280</v>
      </c>
    </row>
    <row r="3593" spans="1:9">
      <c r="A3593" s="582" t="s">
        <v>617</v>
      </c>
      <c r="B3593" s="65">
        <v>3791</v>
      </c>
      <c r="C3593" s="579" t="s">
        <v>281</v>
      </c>
      <c r="D3593" s="579"/>
      <c r="E3593" s="583"/>
      <c r="F3593" s="596"/>
      <c r="G3593" s="65">
        <v>0</v>
      </c>
      <c r="H3593" s="591" t="s">
        <v>280</v>
      </c>
      <c r="I3593" s="591" t="s">
        <v>280</v>
      </c>
    </row>
    <row r="3594" spans="1:9">
      <c r="A3594" s="582" t="s">
        <v>617</v>
      </c>
      <c r="B3594" s="65">
        <v>3792</v>
      </c>
      <c r="C3594" s="579" t="s">
        <v>281</v>
      </c>
      <c r="D3594" s="579"/>
      <c r="E3594" s="583"/>
      <c r="F3594" s="596"/>
      <c r="G3594" s="65">
        <v>0</v>
      </c>
      <c r="H3594" s="591" t="s">
        <v>280</v>
      </c>
      <c r="I3594" s="591" t="s">
        <v>280</v>
      </c>
    </row>
    <row r="3595" spans="1:9">
      <c r="A3595" s="582" t="s">
        <v>617</v>
      </c>
      <c r="B3595" s="65">
        <v>3793</v>
      </c>
      <c r="C3595" s="579" t="s">
        <v>281</v>
      </c>
      <c r="D3595" s="579"/>
      <c r="E3595" s="583"/>
      <c r="F3595" s="596"/>
      <c r="G3595" s="65">
        <v>0</v>
      </c>
      <c r="H3595" s="591" t="s">
        <v>280</v>
      </c>
      <c r="I3595" s="591" t="s">
        <v>280</v>
      </c>
    </row>
    <row r="3596" spans="1:9">
      <c r="A3596" s="582" t="s">
        <v>617</v>
      </c>
      <c r="B3596" s="65">
        <v>3794</v>
      </c>
      <c r="C3596" s="579" t="s">
        <v>281</v>
      </c>
      <c r="D3596" s="579"/>
      <c r="E3596" s="583"/>
      <c r="F3596" s="596"/>
      <c r="G3596" s="65">
        <v>0</v>
      </c>
      <c r="H3596" s="591" t="s">
        <v>280</v>
      </c>
      <c r="I3596" s="591" t="s">
        <v>280</v>
      </c>
    </row>
    <row r="3597" spans="1:9">
      <c r="A3597" s="582" t="s">
        <v>617</v>
      </c>
      <c r="B3597" s="65">
        <v>3795</v>
      </c>
      <c r="C3597" s="579" t="s">
        <v>281</v>
      </c>
      <c r="D3597" s="579"/>
      <c r="E3597" s="583"/>
      <c r="F3597" s="596"/>
      <c r="G3597" s="65">
        <v>0</v>
      </c>
      <c r="H3597" s="591" t="s">
        <v>280</v>
      </c>
      <c r="I3597" s="591" t="s">
        <v>280</v>
      </c>
    </row>
    <row r="3598" spans="1:9">
      <c r="A3598" s="582" t="s">
        <v>617</v>
      </c>
      <c r="B3598" s="65">
        <v>3796</v>
      </c>
      <c r="C3598" s="579" t="s">
        <v>281</v>
      </c>
      <c r="D3598" s="579"/>
      <c r="E3598" s="583"/>
      <c r="F3598" s="596"/>
      <c r="G3598" s="65">
        <v>0</v>
      </c>
      <c r="H3598" s="591" t="s">
        <v>280</v>
      </c>
      <c r="I3598" s="591" t="s">
        <v>280</v>
      </c>
    </row>
    <row r="3599" spans="1:9">
      <c r="A3599" s="582" t="s">
        <v>617</v>
      </c>
      <c r="B3599" s="65">
        <v>3797</v>
      </c>
      <c r="C3599" s="579" t="s">
        <v>281</v>
      </c>
      <c r="D3599" s="579"/>
      <c r="E3599" s="583"/>
      <c r="F3599" s="596"/>
      <c r="G3599" s="65">
        <v>0</v>
      </c>
      <c r="H3599" s="591" t="s">
        <v>280</v>
      </c>
      <c r="I3599" s="591" t="s">
        <v>280</v>
      </c>
    </row>
    <row r="3600" spans="1:9">
      <c r="A3600" s="582" t="s">
        <v>617</v>
      </c>
      <c r="B3600" s="65">
        <v>3798</v>
      </c>
      <c r="C3600" s="579" t="s">
        <v>281</v>
      </c>
      <c r="D3600" s="579"/>
      <c r="E3600" s="583"/>
      <c r="F3600" s="596"/>
      <c r="G3600" s="65">
        <v>0</v>
      </c>
      <c r="H3600" s="591" t="s">
        <v>280</v>
      </c>
      <c r="I3600" s="591" t="s">
        <v>280</v>
      </c>
    </row>
    <row r="3601" spans="1:9">
      <c r="A3601" s="582" t="s">
        <v>617</v>
      </c>
      <c r="B3601" s="65">
        <v>3799</v>
      </c>
      <c r="C3601" s="579" t="s">
        <v>281</v>
      </c>
      <c r="D3601" s="579"/>
      <c r="E3601" s="583"/>
      <c r="F3601" s="596"/>
      <c r="G3601" s="65">
        <v>0</v>
      </c>
      <c r="H3601" s="591" t="s">
        <v>280</v>
      </c>
      <c r="I3601" s="591" t="s">
        <v>280</v>
      </c>
    </row>
    <row r="3602" spans="1:9" ht="12.75">
      <c r="A3602" s="582" t="s">
        <v>626</v>
      </c>
      <c r="B3602" s="63">
        <v>3800</v>
      </c>
      <c r="C3602" s="63" t="s">
        <v>279</v>
      </c>
      <c r="D3602" s="63"/>
      <c r="E3602" s="62"/>
      <c r="F3602" s="585">
        <v>45535</v>
      </c>
      <c r="G3602" s="65">
        <v>1</v>
      </c>
      <c r="H3602" s="591" t="s">
        <v>280</v>
      </c>
      <c r="I3602" s="591" t="s">
        <v>280</v>
      </c>
    </row>
    <row r="3603" spans="1:9" ht="12.75">
      <c r="A3603" s="582" t="s">
        <v>626</v>
      </c>
      <c r="B3603" s="63">
        <v>3801</v>
      </c>
      <c r="C3603" s="63" t="s">
        <v>281</v>
      </c>
      <c r="D3603" s="63"/>
      <c r="E3603" s="62"/>
      <c r="F3603" s="596"/>
      <c r="G3603" s="65">
        <v>0</v>
      </c>
      <c r="H3603" s="591" t="s">
        <v>280</v>
      </c>
      <c r="I3603" s="591" t="s">
        <v>280</v>
      </c>
    </row>
    <row r="3604" spans="1:9" ht="12.75">
      <c r="A3604" s="582" t="s">
        <v>626</v>
      </c>
      <c r="B3604" s="63">
        <v>3802</v>
      </c>
      <c r="C3604" s="63" t="s">
        <v>281</v>
      </c>
      <c r="D3604" s="63"/>
      <c r="E3604" s="62"/>
      <c r="F3604" s="596"/>
      <c r="G3604" s="65">
        <v>0</v>
      </c>
      <c r="H3604" s="591" t="s">
        <v>280</v>
      </c>
      <c r="I3604" s="591" t="s">
        <v>280</v>
      </c>
    </row>
    <row r="3605" spans="1:9" ht="12.75">
      <c r="A3605" s="582" t="s">
        <v>626</v>
      </c>
      <c r="B3605" s="63">
        <v>3803</v>
      </c>
      <c r="C3605" s="63" t="s">
        <v>627</v>
      </c>
      <c r="D3605" s="579">
        <v>10148</v>
      </c>
      <c r="E3605" s="62"/>
      <c r="F3605" s="585">
        <v>45535</v>
      </c>
      <c r="G3605" s="65">
        <v>1</v>
      </c>
      <c r="H3605" s="591" t="s">
        <v>35</v>
      </c>
      <c r="I3605" s="591" t="s">
        <v>57</v>
      </c>
    </row>
    <row r="3606" spans="1:9" ht="12.75">
      <c r="A3606" s="582" t="s">
        <v>626</v>
      </c>
      <c r="B3606" s="63">
        <v>3804</v>
      </c>
      <c r="C3606" s="63" t="s">
        <v>281</v>
      </c>
      <c r="D3606" s="63"/>
      <c r="E3606" s="62"/>
      <c r="F3606" s="596"/>
      <c r="G3606" s="65">
        <v>0</v>
      </c>
      <c r="H3606" s="591" t="s">
        <v>280</v>
      </c>
      <c r="I3606" s="591" t="s">
        <v>280</v>
      </c>
    </row>
    <row r="3607" spans="1:9" ht="12.75">
      <c r="A3607" s="582" t="s">
        <v>626</v>
      </c>
      <c r="B3607" s="63">
        <v>3805</v>
      </c>
      <c r="C3607" s="63" t="s">
        <v>628</v>
      </c>
      <c r="D3607" s="579">
        <v>10261</v>
      </c>
      <c r="E3607" s="62"/>
      <c r="F3607" s="585">
        <v>45535</v>
      </c>
      <c r="G3607" s="65">
        <v>1</v>
      </c>
      <c r="H3607" s="591" t="s">
        <v>1976</v>
      </c>
      <c r="I3607" s="591" t="s">
        <v>1240</v>
      </c>
    </row>
    <row r="3608" spans="1:9" ht="12.75">
      <c r="A3608" s="582" t="s">
        <v>626</v>
      </c>
      <c r="B3608" s="63">
        <v>3806</v>
      </c>
      <c r="C3608" s="63" t="s">
        <v>281</v>
      </c>
      <c r="D3608" s="579"/>
      <c r="E3608" s="62"/>
      <c r="F3608" s="596"/>
      <c r="G3608" s="65">
        <v>0</v>
      </c>
      <c r="H3608" s="591" t="s">
        <v>280</v>
      </c>
      <c r="I3608" s="591" t="s">
        <v>280</v>
      </c>
    </row>
    <row r="3609" spans="1:9" ht="12.75">
      <c r="A3609" s="582" t="s">
        <v>626</v>
      </c>
      <c r="B3609" s="63">
        <v>3807</v>
      </c>
      <c r="C3609" s="63" t="s">
        <v>281</v>
      </c>
      <c r="D3609" s="63"/>
      <c r="E3609" s="62"/>
      <c r="F3609" s="596"/>
      <c r="G3609" s="65">
        <v>0</v>
      </c>
      <c r="H3609" s="591" t="s">
        <v>280</v>
      </c>
      <c r="I3609" s="591" t="s">
        <v>280</v>
      </c>
    </row>
    <row r="3610" spans="1:9" ht="12.75">
      <c r="A3610" s="582" t="s">
        <v>626</v>
      </c>
      <c r="B3610" s="63">
        <v>3808</v>
      </c>
      <c r="C3610" s="63" t="s">
        <v>281</v>
      </c>
      <c r="D3610" s="63"/>
      <c r="E3610" s="62"/>
      <c r="F3610" s="596"/>
      <c r="G3610" s="65">
        <v>0</v>
      </c>
      <c r="H3610" s="591" t="s">
        <v>280</v>
      </c>
      <c r="I3610" s="591" t="s">
        <v>280</v>
      </c>
    </row>
    <row r="3611" spans="1:9" ht="12.75">
      <c r="A3611" s="582" t="s">
        <v>626</v>
      </c>
      <c r="B3611" s="63">
        <v>3809</v>
      </c>
      <c r="C3611" s="63" t="s">
        <v>629</v>
      </c>
      <c r="D3611" s="63">
        <v>10450</v>
      </c>
      <c r="E3611" s="62"/>
      <c r="F3611" s="585">
        <v>45535</v>
      </c>
      <c r="G3611" s="65">
        <v>1</v>
      </c>
      <c r="H3611" s="591" t="s">
        <v>280</v>
      </c>
      <c r="I3611" s="591" t="s">
        <v>280</v>
      </c>
    </row>
    <row r="3612" spans="1:9" ht="12.75">
      <c r="A3612" s="582" t="s">
        <v>626</v>
      </c>
      <c r="B3612" s="63">
        <v>3810</v>
      </c>
      <c r="C3612" s="63" t="s">
        <v>281</v>
      </c>
      <c r="D3612" s="63"/>
      <c r="E3612" s="62"/>
      <c r="F3612" s="596"/>
      <c r="G3612" s="65">
        <v>0</v>
      </c>
      <c r="H3612" s="591" t="s">
        <v>280</v>
      </c>
      <c r="I3612" s="591" t="s">
        <v>280</v>
      </c>
    </row>
    <row r="3613" spans="1:9" ht="12.75">
      <c r="A3613" s="582" t="s">
        <v>626</v>
      </c>
      <c r="B3613" s="63">
        <v>3811</v>
      </c>
      <c r="C3613" s="63" t="s">
        <v>630</v>
      </c>
      <c r="D3613" s="65">
        <v>10496</v>
      </c>
      <c r="E3613" s="62"/>
      <c r="F3613" s="585">
        <v>45535</v>
      </c>
      <c r="G3613" s="65">
        <v>1</v>
      </c>
      <c r="H3613" s="591" t="s">
        <v>1976</v>
      </c>
      <c r="I3613" s="591" t="s">
        <v>81</v>
      </c>
    </row>
    <row r="3614" spans="1:9" ht="12.75">
      <c r="A3614" s="582" t="s">
        <v>626</v>
      </c>
      <c r="B3614" s="63">
        <v>3812</v>
      </c>
      <c r="C3614" s="63" t="s">
        <v>281</v>
      </c>
      <c r="D3614" s="63"/>
      <c r="E3614" s="62"/>
      <c r="F3614" s="596"/>
      <c r="G3614" s="65">
        <v>0</v>
      </c>
      <c r="H3614" s="591" t="s">
        <v>280</v>
      </c>
      <c r="I3614" s="591" t="s">
        <v>280</v>
      </c>
    </row>
    <row r="3615" spans="1:9" ht="12.75">
      <c r="A3615" s="582" t="s">
        <v>626</v>
      </c>
      <c r="B3615" s="63">
        <v>3813</v>
      </c>
      <c r="C3615" s="63" t="s">
        <v>631</v>
      </c>
      <c r="D3615" s="65">
        <v>10565</v>
      </c>
      <c r="E3615" s="62"/>
      <c r="F3615" s="585">
        <v>45535</v>
      </c>
      <c r="G3615" s="65">
        <v>1</v>
      </c>
      <c r="H3615" s="591" t="s">
        <v>1977</v>
      </c>
      <c r="I3615" s="591" t="s">
        <v>86</v>
      </c>
    </row>
    <row r="3616" spans="1:9" ht="12.75">
      <c r="A3616" s="582" t="s">
        <v>626</v>
      </c>
      <c r="B3616" s="63">
        <v>3814</v>
      </c>
      <c r="C3616" s="63" t="s">
        <v>632</v>
      </c>
      <c r="D3616" s="65">
        <v>10580</v>
      </c>
      <c r="E3616" s="62"/>
      <c r="F3616" s="585">
        <v>45535</v>
      </c>
      <c r="G3616" s="65">
        <v>1</v>
      </c>
      <c r="H3616" s="591" t="s">
        <v>1976</v>
      </c>
      <c r="I3616" s="591" t="s">
        <v>81</v>
      </c>
    </row>
    <row r="3617" spans="1:9" ht="12.75">
      <c r="A3617" s="582" t="s">
        <v>626</v>
      </c>
      <c r="B3617" s="63">
        <v>3815</v>
      </c>
      <c r="C3617" s="63" t="s">
        <v>281</v>
      </c>
      <c r="D3617" s="579"/>
      <c r="E3617" s="62"/>
      <c r="F3617" s="596"/>
      <c r="G3617" s="65">
        <v>0</v>
      </c>
      <c r="H3617" s="591" t="s">
        <v>280</v>
      </c>
      <c r="I3617" s="591" t="s">
        <v>280</v>
      </c>
    </row>
    <row r="3618" spans="1:9" ht="12.75">
      <c r="A3618" s="582" t="s">
        <v>626</v>
      </c>
      <c r="B3618" s="63">
        <v>3816</v>
      </c>
      <c r="C3618" s="63" t="s">
        <v>281</v>
      </c>
      <c r="D3618" s="65"/>
      <c r="E3618" s="62"/>
      <c r="F3618" s="596"/>
      <c r="G3618" s="65">
        <v>0</v>
      </c>
      <c r="H3618" s="591" t="s">
        <v>280</v>
      </c>
      <c r="I3618" s="591" t="s">
        <v>280</v>
      </c>
    </row>
    <row r="3619" spans="1:9" ht="12.75">
      <c r="A3619" s="582" t="s">
        <v>626</v>
      </c>
      <c r="B3619" s="63">
        <v>3817</v>
      </c>
      <c r="C3619" s="63" t="s">
        <v>633</v>
      </c>
      <c r="D3619" s="579">
        <v>10662</v>
      </c>
      <c r="E3619" s="62"/>
      <c r="F3619" s="585">
        <v>45535</v>
      </c>
      <c r="G3619" s="65">
        <v>1</v>
      </c>
      <c r="H3619" s="591" t="s">
        <v>35</v>
      </c>
      <c r="I3619" s="591" t="s">
        <v>57</v>
      </c>
    </row>
    <row r="3620" spans="1:9" ht="12.75">
      <c r="A3620" s="582" t="s">
        <v>626</v>
      </c>
      <c r="B3620" s="63">
        <v>3818</v>
      </c>
      <c r="C3620" s="63" t="s">
        <v>281</v>
      </c>
      <c r="D3620" s="65"/>
      <c r="E3620" s="62"/>
      <c r="F3620" s="596"/>
      <c r="G3620" s="65">
        <v>0</v>
      </c>
      <c r="H3620" s="591" t="s">
        <v>280</v>
      </c>
      <c r="I3620" s="591" t="s">
        <v>280</v>
      </c>
    </row>
    <row r="3621" spans="1:9" ht="12.75">
      <c r="A3621" s="582" t="s">
        <v>626</v>
      </c>
      <c r="B3621" s="63">
        <v>3819</v>
      </c>
      <c r="C3621" s="63" t="s">
        <v>634</v>
      </c>
      <c r="D3621" s="65">
        <v>10676</v>
      </c>
      <c r="E3621" s="62"/>
      <c r="F3621" s="585">
        <v>45535</v>
      </c>
      <c r="G3621" s="65">
        <v>1</v>
      </c>
      <c r="H3621" s="591" t="s">
        <v>1976</v>
      </c>
      <c r="I3621" s="591" t="s">
        <v>1240</v>
      </c>
    </row>
    <row r="3622" spans="1:9" ht="12.75">
      <c r="A3622" s="582" t="s">
        <v>626</v>
      </c>
      <c r="B3622" s="63">
        <v>3820</v>
      </c>
      <c r="C3622" s="63" t="s">
        <v>635</v>
      </c>
      <c r="D3622" s="579">
        <v>10677</v>
      </c>
      <c r="E3622" s="62"/>
      <c r="F3622" s="585">
        <v>45535</v>
      </c>
      <c r="G3622" s="65">
        <v>1</v>
      </c>
      <c r="H3622" s="591" t="s">
        <v>1978</v>
      </c>
      <c r="I3622" s="591" t="s">
        <v>1232</v>
      </c>
    </row>
    <row r="3623" spans="1:9" ht="12.75">
      <c r="A3623" s="582" t="s">
        <v>626</v>
      </c>
      <c r="B3623" s="63">
        <v>3821</v>
      </c>
      <c r="C3623" s="63" t="s">
        <v>636</v>
      </c>
      <c r="D3623" s="63">
        <v>10003</v>
      </c>
      <c r="E3623" s="62"/>
      <c r="F3623" s="585">
        <v>45535</v>
      </c>
      <c r="G3623" s="65">
        <v>1</v>
      </c>
      <c r="H3623" s="591" t="s">
        <v>1978</v>
      </c>
      <c r="I3623" s="591" t="s">
        <v>1232</v>
      </c>
    </row>
    <row r="3624" spans="1:9" ht="12.75">
      <c r="A3624" s="582" t="s">
        <v>626</v>
      </c>
      <c r="B3624" s="63">
        <v>3822</v>
      </c>
      <c r="C3624" s="63" t="s">
        <v>281</v>
      </c>
      <c r="D3624" s="63"/>
      <c r="E3624" s="62"/>
      <c r="F3624" s="596"/>
      <c r="G3624" s="65">
        <v>0</v>
      </c>
      <c r="H3624" s="591" t="s">
        <v>280</v>
      </c>
      <c r="I3624" s="591" t="s">
        <v>280</v>
      </c>
    </row>
    <row r="3625" spans="1:9" ht="12.75">
      <c r="A3625" s="582" t="s">
        <v>626</v>
      </c>
      <c r="B3625" s="63">
        <v>3823</v>
      </c>
      <c r="C3625" s="63" t="s">
        <v>637</v>
      </c>
      <c r="D3625" s="63">
        <v>10168</v>
      </c>
      <c r="E3625" s="62"/>
      <c r="F3625" s="585">
        <v>45535</v>
      </c>
      <c r="G3625" s="65">
        <v>1</v>
      </c>
      <c r="H3625" s="591" t="s">
        <v>1976</v>
      </c>
      <c r="I3625" s="591" t="s">
        <v>81</v>
      </c>
    </row>
    <row r="3626" spans="1:9" ht="12.75">
      <c r="A3626" s="582" t="s">
        <v>626</v>
      </c>
      <c r="B3626" s="63">
        <v>3824</v>
      </c>
      <c r="C3626" s="63" t="s">
        <v>281</v>
      </c>
      <c r="D3626" s="63"/>
      <c r="E3626" s="62"/>
      <c r="F3626" s="596"/>
      <c r="G3626" s="65">
        <v>0</v>
      </c>
      <c r="H3626" s="591" t="s">
        <v>280</v>
      </c>
      <c r="I3626" s="591" t="s">
        <v>280</v>
      </c>
    </row>
    <row r="3627" spans="1:9" ht="12.75">
      <c r="A3627" s="582" t="s">
        <v>626</v>
      </c>
      <c r="B3627" s="63">
        <v>3825</v>
      </c>
      <c r="C3627" s="63" t="s">
        <v>638</v>
      </c>
      <c r="D3627" s="579">
        <v>10265</v>
      </c>
      <c r="E3627" s="62"/>
      <c r="F3627" s="585">
        <v>45535</v>
      </c>
      <c r="G3627" s="65">
        <v>1</v>
      </c>
      <c r="H3627" s="591" t="s">
        <v>1978</v>
      </c>
      <c r="I3627" s="591" t="s">
        <v>1232</v>
      </c>
    </row>
    <row r="3628" spans="1:9" ht="12.75">
      <c r="A3628" s="582" t="s">
        <v>626</v>
      </c>
      <c r="B3628" s="63">
        <v>3826</v>
      </c>
      <c r="C3628" s="63" t="s">
        <v>281</v>
      </c>
      <c r="D3628" s="63"/>
      <c r="E3628" s="62"/>
      <c r="F3628" s="596"/>
      <c r="G3628" s="65">
        <v>0</v>
      </c>
      <c r="H3628" s="591" t="s">
        <v>280</v>
      </c>
      <c r="I3628" s="591" t="s">
        <v>280</v>
      </c>
    </row>
    <row r="3629" spans="1:9" ht="12.75">
      <c r="A3629" s="582" t="s">
        <v>626</v>
      </c>
      <c r="B3629" s="63">
        <v>3827</v>
      </c>
      <c r="C3629" s="63" t="s">
        <v>281</v>
      </c>
      <c r="D3629" s="63"/>
      <c r="E3629" s="62"/>
      <c r="F3629" s="596"/>
      <c r="G3629" s="65">
        <v>0</v>
      </c>
      <c r="H3629" s="591" t="s">
        <v>280</v>
      </c>
      <c r="I3629" s="591" t="s">
        <v>280</v>
      </c>
    </row>
    <row r="3630" spans="1:9" ht="12.75">
      <c r="A3630" s="582" t="s">
        <v>626</v>
      </c>
      <c r="B3630" s="63">
        <v>3828</v>
      </c>
      <c r="C3630" s="63" t="s">
        <v>639</v>
      </c>
      <c r="D3630" s="579">
        <v>10494</v>
      </c>
      <c r="E3630" s="62"/>
      <c r="F3630" s="585">
        <v>45535</v>
      </c>
      <c r="G3630" s="65">
        <v>1</v>
      </c>
      <c r="H3630" s="591" t="s">
        <v>35</v>
      </c>
      <c r="I3630" s="591" t="s">
        <v>57</v>
      </c>
    </row>
    <row r="3631" spans="1:9" ht="12.75">
      <c r="A3631" s="582" t="s">
        <v>626</v>
      </c>
      <c r="B3631" s="63">
        <v>3829</v>
      </c>
      <c r="C3631" s="63" t="s">
        <v>640</v>
      </c>
      <c r="D3631" s="579">
        <v>10515</v>
      </c>
      <c r="E3631" s="62"/>
      <c r="F3631" s="585">
        <v>45535</v>
      </c>
      <c r="G3631" s="65">
        <v>1</v>
      </c>
      <c r="H3631" s="591" t="s">
        <v>35</v>
      </c>
      <c r="I3631" s="591" t="s">
        <v>57</v>
      </c>
    </row>
    <row r="3632" spans="1:9" ht="12.75">
      <c r="A3632" s="582" t="s">
        <v>626</v>
      </c>
      <c r="B3632" s="63">
        <v>3830</v>
      </c>
      <c r="C3632" s="63" t="s">
        <v>281</v>
      </c>
      <c r="D3632" s="63"/>
      <c r="E3632" s="62"/>
      <c r="F3632" s="596"/>
      <c r="G3632" s="65">
        <v>0</v>
      </c>
      <c r="H3632" s="591" t="s">
        <v>280</v>
      </c>
      <c r="I3632" s="591" t="s">
        <v>280</v>
      </c>
    </row>
    <row r="3633" spans="1:9" ht="12.75">
      <c r="A3633" s="582" t="s">
        <v>626</v>
      </c>
      <c r="B3633" s="63">
        <v>3831</v>
      </c>
      <c r="C3633" s="63" t="s">
        <v>641</v>
      </c>
      <c r="D3633" s="63">
        <v>10251</v>
      </c>
      <c r="E3633" s="62"/>
      <c r="F3633" s="585">
        <v>45535</v>
      </c>
      <c r="G3633" s="65">
        <v>1</v>
      </c>
      <c r="H3633" s="591" t="s">
        <v>35</v>
      </c>
      <c r="I3633" s="591" t="s">
        <v>57</v>
      </c>
    </row>
    <row r="3634" spans="1:9" ht="12.75">
      <c r="A3634" s="582" t="s">
        <v>626</v>
      </c>
      <c r="B3634" s="63">
        <v>3832</v>
      </c>
      <c r="C3634" s="63" t="s">
        <v>642</v>
      </c>
      <c r="D3634" s="63">
        <v>10162</v>
      </c>
      <c r="E3634" s="62"/>
      <c r="F3634" s="585">
        <v>45535</v>
      </c>
      <c r="G3634" s="65">
        <v>1</v>
      </c>
      <c r="H3634" s="591" t="s">
        <v>35</v>
      </c>
      <c r="I3634" s="591" t="s">
        <v>57</v>
      </c>
    </row>
    <row r="3635" spans="1:9" ht="12.75">
      <c r="A3635" s="582" t="s">
        <v>626</v>
      </c>
      <c r="B3635" s="63">
        <v>3833</v>
      </c>
      <c r="C3635" s="63" t="s">
        <v>281</v>
      </c>
      <c r="D3635" s="63"/>
      <c r="E3635" s="62"/>
      <c r="F3635" s="596"/>
      <c r="G3635" s="65">
        <v>0</v>
      </c>
      <c r="H3635" s="591" t="s">
        <v>280</v>
      </c>
      <c r="I3635" s="591" t="s">
        <v>280</v>
      </c>
    </row>
    <row r="3636" spans="1:9" ht="12.75">
      <c r="A3636" s="582" t="s">
        <v>626</v>
      </c>
      <c r="B3636" s="63">
        <v>3834</v>
      </c>
      <c r="C3636" s="63" t="s">
        <v>643</v>
      </c>
      <c r="D3636" s="579">
        <v>10058</v>
      </c>
      <c r="E3636" s="62"/>
      <c r="F3636" s="585">
        <v>45535</v>
      </c>
      <c r="G3636" s="65">
        <v>1</v>
      </c>
      <c r="H3636" s="591" t="s">
        <v>35</v>
      </c>
      <c r="I3636" s="591" t="s">
        <v>57</v>
      </c>
    </row>
    <row r="3637" spans="1:9" ht="12.75">
      <c r="A3637" s="582" t="s">
        <v>626</v>
      </c>
      <c r="B3637" s="63">
        <v>3835</v>
      </c>
      <c r="C3637" s="63" t="s">
        <v>281</v>
      </c>
      <c r="D3637" s="579"/>
      <c r="E3637" s="62"/>
      <c r="F3637" s="596"/>
      <c r="G3637" s="65">
        <v>0</v>
      </c>
      <c r="H3637" s="591" t="s">
        <v>280</v>
      </c>
      <c r="I3637" s="591" t="s">
        <v>280</v>
      </c>
    </row>
    <row r="3638" spans="1:9" ht="12.75">
      <c r="A3638" s="582" t="s">
        <v>626</v>
      </c>
      <c r="B3638" s="63">
        <v>3836</v>
      </c>
      <c r="C3638" s="63" t="s">
        <v>281</v>
      </c>
      <c r="D3638" s="63"/>
      <c r="E3638" s="62"/>
      <c r="F3638" s="596"/>
      <c r="G3638" s="65">
        <v>0</v>
      </c>
      <c r="H3638" s="591" t="s">
        <v>280</v>
      </c>
      <c r="I3638" s="591" t="s">
        <v>280</v>
      </c>
    </row>
    <row r="3639" spans="1:9" ht="12.75">
      <c r="A3639" s="582" t="s">
        <v>626</v>
      </c>
      <c r="B3639" s="63">
        <v>3837</v>
      </c>
      <c r="C3639" s="63" t="s">
        <v>644</v>
      </c>
      <c r="D3639" s="63">
        <v>10326</v>
      </c>
      <c r="E3639" s="62"/>
      <c r="F3639" s="585">
        <v>45535</v>
      </c>
      <c r="G3639" s="65">
        <v>1</v>
      </c>
      <c r="H3639" s="591" t="s">
        <v>35</v>
      </c>
      <c r="I3639" s="591" t="s">
        <v>57</v>
      </c>
    </row>
    <row r="3640" spans="1:9" ht="12.75">
      <c r="A3640" s="582" t="s">
        <v>626</v>
      </c>
      <c r="B3640" s="63">
        <v>3838</v>
      </c>
      <c r="C3640" s="63" t="s">
        <v>281</v>
      </c>
      <c r="D3640" s="63"/>
      <c r="E3640" s="62"/>
      <c r="F3640" s="596"/>
      <c r="G3640" s="65">
        <v>0</v>
      </c>
      <c r="H3640" s="591" t="s">
        <v>280</v>
      </c>
      <c r="I3640" s="591" t="s">
        <v>280</v>
      </c>
    </row>
    <row r="3641" spans="1:9" ht="12.75">
      <c r="A3641" s="582" t="s">
        <v>626</v>
      </c>
      <c r="B3641" s="63">
        <v>3839</v>
      </c>
      <c r="C3641" s="63" t="s">
        <v>281</v>
      </c>
      <c r="D3641" s="65"/>
      <c r="E3641" s="62"/>
      <c r="F3641" s="596"/>
      <c r="G3641" s="65">
        <v>0</v>
      </c>
      <c r="H3641" s="591" t="s">
        <v>280</v>
      </c>
      <c r="I3641" s="591" t="s">
        <v>280</v>
      </c>
    </row>
    <row r="3642" spans="1:9" ht="12.75">
      <c r="A3642" s="582" t="s">
        <v>626</v>
      </c>
      <c r="B3642" s="63">
        <v>3840</v>
      </c>
      <c r="C3642" s="63" t="s">
        <v>281</v>
      </c>
      <c r="D3642" s="63"/>
      <c r="E3642" s="62"/>
      <c r="F3642" s="596"/>
      <c r="G3642" s="65">
        <v>0</v>
      </c>
      <c r="H3642" s="591" t="s">
        <v>280</v>
      </c>
      <c r="I3642" s="591" t="s">
        <v>280</v>
      </c>
    </row>
    <row r="3643" spans="1:9" ht="12.75">
      <c r="A3643" s="582" t="s">
        <v>626</v>
      </c>
      <c r="B3643" s="63">
        <v>3841</v>
      </c>
      <c r="C3643" s="63" t="s">
        <v>281</v>
      </c>
      <c r="D3643" s="63"/>
      <c r="E3643" s="62"/>
      <c r="F3643" s="596"/>
      <c r="G3643" s="65">
        <v>0</v>
      </c>
      <c r="H3643" s="591" t="s">
        <v>280</v>
      </c>
      <c r="I3643" s="591" t="s">
        <v>280</v>
      </c>
    </row>
    <row r="3644" spans="1:9">
      <c r="A3644" s="582" t="s">
        <v>626</v>
      </c>
      <c r="B3644" s="65">
        <v>3842</v>
      </c>
      <c r="C3644" s="63" t="s">
        <v>645</v>
      </c>
      <c r="D3644" s="65">
        <v>10577</v>
      </c>
      <c r="E3644" s="583"/>
      <c r="F3644" s="585">
        <v>45535</v>
      </c>
      <c r="G3644" s="65">
        <v>1</v>
      </c>
      <c r="H3644" s="591" t="s">
        <v>1976</v>
      </c>
      <c r="I3644" s="591" t="s">
        <v>81</v>
      </c>
    </row>
    <row r="3645" spans="1:9">
      <c r="A3645" s="582" t="s">
        <v>626</v>
      </c>
      <c r="B3645" s="65">
        <v>3843</v>
      </c>
      <c r="C3645" s="63" t="s">
        <v>646</v>
      </c>
      <c r="D3645" s="63">
        <v>10615</v>
      </c>
      <c r="E3645" s="583"/>
      <c r="F3645" s="585">
        <v>45535</v>
      </c>
      <c r="G3645" s="65">
        <v>1</v>
      </c>
      <c r="H3645" s="591" t="s">
        <v>280</v>
      </c>
      <c r="I3645" s="591" t="s">
        <v>280</v>
      </c>
    </row>
    <row r="3646" spans="1:9">
      <c r="A3646" s="582" t="s">
        <v>626</v>
      </c>
      <c r="B3646" s="65">
        <v>3844</v>
      </c>
      <c r="C3646" s="63" t="s">
        <v>2043</v>
      </c>
      <c r="D3646" s="579">
        <v>10680</v>
      </c>
      <c r="E3646" s="583"/>
      <c r="F3646" s="585">
        <v>45535</v>
      </c>
      <c r="G3646" s="65">
        <v>1</v>
      </c>
      <c r="H3646" s="591" t="s">
        <v>1978</v>
      </c>
      <c r="I3646" s="591" t="s">
        <v>1232</v>
      </c>
    </row>
    <row r="3647" spans="1:9">
      <c r="A3647" s="580" t="s">
        <v>626</v>
      </c>
      <c r="B3647" s="65">
        <v>3845</v>
      </c>
      <c r="C3647" s="579" t="s">
        <v>1851</v>
      </c>
      <c r="D3647" s="579">
        <v>10775</v>
      </c>
      <c r="E3647" s="583"/>
      <c r="F3647" s="585">
        <v>45535</v>
      </c>
      <c r="G3647" s="65">
        <v>1</v>
      </c>
      <c r="H3647" s="591" t="s">
        <v>1977</v>
      </c>
      <c r="I3647" s="591" t="s">
        <v>86</v>
      </c>
    </row>
    <row r="3648" spans="1:9">
      <c r="A3648" s="580" t="s">
        <v>626</v>
      </c>
      <c r="B3648" s="65">
        <v>3846</v>
      </c>
      <c r="C3648" s="579" t="s">
        <v>1852</v>
      </c>
      <c r="D3648" s="65">
        <v>10776</v>
      </c>
      <c r="E3648" s="583"/>
      <c r="F3648" s="585">
        <v>45535</v>
      </c>
      <c r="G3648" s="65">
        <v>1</v>
      </c>
      <c r="H3648" s="591" t="s">
        <v>280</v>
      </c>
      <c r="I3648" s="591" t="s">
        <v>280</v>
      </c>
    </row>
    <row r="3649" spans="1:9">
      <c r="A3649" s="580" t="s">
        <v>626</v>
      </c>
      <c r="B3649" s="65">
        <v>3847</v>
      </c>
      <c r="C3649" s="579" t="s">
        <v>1853</v>
      </c>
      <c r="D3649" s="65">
        <v>10777</v>
      </c>
      <c r="E3649" s="583"/>
      <c r="F3649" s="585">
        <v>45535</v>
      </c>
      <c r="G3649" s="65">
        <v>1</v>
      </c>
      <c r="H3649" s="591" t="s">
        <v>1977</v>
      </c>
      <c r="I3649" s="591" t="s">
        <v>86</v>
      </c>
    </row>
    <row r="3650" spans="1:9">
      <c r="A3650" s="580" t="s">
        <v>626</v>
      </c>
      <c r="B3650" s="65">
        <v>3848</v>
      </c>
      <c r="C3650" s="579" t="s">
        <v>1854</v>
      </c>
      <c r="D3650" s="579">
        <v>10778</v>
      </c>
      <c r="E3650" s="583"/>
      <c r="F3650" s="585">
        <v>45535</v>
      </c>
      <c r="G3650" s="65">
        <v>1</v>
      </c>
      <c r="H3650" s="591" t="s">
        <v>280</v>
      </c>
      <c r="I3650" s="591" t="s">
        <v>280</v>
      </c>
    </row>
    <row r="3651" spans="1:9">
      <c r="A3651" s="580" t="s">
        <v>626</v>
      </c>
      <c r="B3651" s="65">
        <v>3849</v>
      </c>
      <c r="C3651" s="579" t="s">
        <v>1855</v>
      </c>
      <c r="D3651" s="65">
        <v>10779</v>
      </c>
      <c r="E3651" s="583"/>
      <c r="F3651" s="585">
        <v>45535</v>
      </c>
      <c r="G3651" s="65">
        <v>1</v>
      </c>
      <c r="H3651" s="591" t="s">
        <v>1976</v>
      </c>
      <c r="I3651" s="591" t="s">
        <v>1240</v>
      </c>
    </row>
    <row r="3652" spans="1:9">
      <c r="A3652" s="580" t="s">
        <v>626</v>
      </c>
      <c r="B3652" s="65">
        <v>3850</v>
      </c>
      <c r="C3652" s="579" t="s">
        <v>1856</v>
      </c>
      <c r="D3652" s="65">
        <v>10780</v>
      </c>
      <c r="E3652" s="583"/>
      <c r="F3652" s="585">
        <v>45535</v>
      </c>
      <c r="G3652" s="65">
        <v>1</v>
      </c>
      <c r="H3652" s="591" t="s">
        <v>35</v>
      </c>
      <c r="I3652" s="591" t="s">
        <v>57</v>
      </c>
    </row>
    <row r="3653" spans="1:9">
      <c r="A3653" s="580" t="s">
        <v>626</v>
      </c>
      <c r="B3653" s="65">
        <v>3851</v>
      </c>
      <c r="C3653" s="579" t="s">
        <v>1857</v>
      </c>
      <c r="D3653" s="579">
        <v>10781</v>
      </c>
      <c r="E3653" s="583"/>
      <c r="F3653" s="585">
        <v>45535</v>
      </c>
      <c r="G3653" s="65">
        <v>1</v>
      </c>
      <c r="H3653" s="591" t="s">
        <v>1976</v>
      </c>
      <c r="I3653" s="591" t="s">
        <v>280</v>
      </c>
    </row>
    <row r="3654" spans="1:9">
      <c r="A3654" s="580" t="s">
        <v>626</v>
      </c>
      <c r="B3654" s="65">
        <v>3852</v>
      </c>
      <c r="C3654" s="579" t="s">
        <v>1858</v>
      </c>
      <c r="D3654" s="65">
        <v>10782</v>
      </c>
      <c r="E3654" s="583"/>
      <c r="F3654" s="585">
        <v>45535</v>
      </c>
      <c r="G3654" s="65">
        <v>1</v>
      </c>
      <c r="H3654" s="591" t="s">
        <v>1977</v>
      </c>
      <c r="I3654" s="591" t="s">
        <v>86</v>
      </c>
    </row>
    <row r="3655" spans="1:9">
      <c r="A3655" s="580" t="s">
        <v>626</v>
      </c>
      <c r="B3655" s="65">
        <v>3853</v>
      </c>
      <c r="C3655" s="579" t="s">
        <v>1859</v>
      </c>
      <c r="D3655" s="65">
        <v>10783</v>
      </c>
      <c r="E3655" s="583"/>
      <c r="F3655" s="585">
        <v>45535</v>
      </c>
      <c r="G3655" s="65">
        <v>1</v>
      </c>
      <c r="H3655" s="591" t="s">
        <v>1976</v>
      </c>
      <c r="I3655" s="591" t="s">
        <v>1240</v>
      </c>
    </row>
    <row r="3656" spans="1:9">
      <c r="A3656" s="580" t="s">
        <v>626</v>
      </c>
      <c r="B3656" s="65">
        <v>3854</v>
      </c>
      <c r="C3656" s="579" t="s">
        <v>281</v>
      </c>
      <c r="D3656" s="579"/>
      <c r="E3656" s="583"/>
      <c r="F3656" s="596"/>
      <c r="G3656" s="65">
        <v>0</v>
      </c>
      <c r="H3656" s="591" t="s">
        <v>280</v>
      </c>
      <c r="I3656" s="591" t="s">
        <v>280</v>
      </c>
    </row>
    <row r="3657" spans="1:9">
      <c r="A3657" s="580" t="s">
        <v>626</v>
      </c>
      <c r="B3657" s="65">
        <v>3855</v>
      </c>
      <c r="C3657" s="579" t="s">
        <v>281</v>
      </c>
      <c r="D3657" s="65"/>
      <c r="E3657" s="583"/>
      <c r="F3657" s="596"/>
      <c r="G3657" s="65">
        <v>0</v>
      </c>
      <c r="H3657" s="591" t="s">
        <v>280</v>
      </c>
      <c r="I3657" s="591" t="s">
        <v>280</v>
      </c>
    </row>
    <row r="3658" spans="1:9">
      <c r="A3658" s="580" t="s">
        <v>626</v>
      </c>
      <c r="B3658" s="65">
        <v>3856</v>
      </c>
      <c r="C3658" s="579" t="s">
        <v>1860</v>
      </c>
      <c r="D3658" s="65">
        <v>10786</v>
      </c>
      <c r="E3658" s="583"/>
      <c r="F3658" s="585">
        <v>45535</v>
      </c>
      <c r="G3658" s="65">
        <v>1</v>
      </c>
      <c r="H3658" s="591" t="s">
        <v>280</v>
      </c>
      <c r="I3658" s="591" t="s">
        <v>280</v>
      </c>
    </row>
    <row r="3659" spans="1:9">
      <c r="A3659" s="580" t="s">
        <v>626</v>
      </c>
      <c r="B3659" s="65">
        <v>3857</v>
      </c>
      <c r="C3659" s="579" t="s">
        <v>1861</v>
      </c>
      <c r="D3659" s="579">
        <v>10787</v>
      </c>
      <c r="E3659" s="583"/>
      <c r="F3659" s="585">
        <v>45535</v>
      </c>
      <c r="G3659" s="65">
        <v>1</v>
      </c>
      <c r="H3659" s="591" t="s">
        <v>280</v>
      </c>
      <c r="I3659" s="591" t="s">
        <v>280</v>
      </c>
    </row>
    <row r="3660" spans="1:9">
      <c r="A3660" s="580" t="s">
        <v>626</v>
      </c>
      <c r="B3660" s="65">
        <v>3858</v>
      </c>
      <c r="C3660" s="65" t="s">
        <v>1862</v>
      </c>
      <c r="D3660" s="65">
        <v>10863</v>
      </c>
      <c r="E3660" s="583"/>
      <c r="F3660" s="585">
        <v>45535</v>
      </c>
      <c r="G3660" s="65">
        <v>1</v>
      </c>
      <c r="H3660" s="591" t="s">
        <v>1976</v>
      </c>
      <c r="I3660" s="591" t="s">
        <v>81</v>
      </c>
    </row>
    <row r="3661" spans="1:9">
      <c r="A3661" s="580" t="s">
        <v>626</v>
      </c>
      <c r="B3661" s="65">
        <v>3859</v>
      </c>
      <c r="C3661" s="65" t="s">
        <v>1863</v>
      </c>
      <c r="D3661" s="65">
        <v>10870</v>
      </c>
      <c r="E3661" s="583"/>
      <c r="F3661" s="585">
        <v>45535</v>
      </c>
      <c r="G3661" s="65">
        <v>1</v>
      </c>
      <c r="H3661" s="591" t="s">
        <v>35</v>
      </c>
      <c r="I3661" s="591" t="s">
        <v>57</v>
      </c>
    </row>
    <row r="3662" spans="1:9">
      <c r="A3662" s="582" t="s">
        <v>626</v>
      </c>
      <c r="B3662" s="65">
        <v>3860</v>
      </c>
      <c r="C3662" s="579" t="s">
        <v>1864</v>
      </c>
      <c r="D3662" s="579">
        <v>10926</v>
      </c>
      <c r="E3662" s="583"/>
      <c r="F3662" s="585">
        <v>45535</v>
      </c>
      <c r="G3662" s="65">
        <v>1</v>
      </c>
      <c r="H3662" s="591" t="s">
        <v>280</v>
      </c>
      <c r="I3662" s="591" t="s">
        <v>280</v>
      </c>
    </row>
    <row r="3663" spans="1:9" ht="12.75">
      <c r="A3663" s="582" t="s">
        <v>626</v>
      </c>
      <c r="B3663" s="65">
        <v>3861</v>
      </c>
      <c r="C3663" s="65" t="s">
        <v>316</v>
      </c>
      <c r="D3663" s="65">
        <v>10314</v>
      </c>
      <c r="E3663" s="65"/>
      <c r="F3663" s="585">
        <v>45535</v>
      </c>
      <c r="G3663" s="65">
        <v>1</v>
      </c>
      <c r="H3663" s="591" t="s">
        <v>1977</v>
      </c>
      <c r="I3663" s="591" t="s">
        <v>86</v>
      </c>
    </row>
    <row r="3664" spans="1:9" ht="12.75">
      <c r="A3664" s="582" t="s">
        <v>626</v>
      </c>
      <c r="B3664" s="65">
        <v>3862</v>
      </c>
      <c r="C3664" s="65" t="s">
        <v>331</v>
      </c>
      <c r="D3664" s="65">
        <v>10489</v>
      </c>
      <c r="E3664" s="65"/>
      <c r="F3664" s="585">
        <v>45535</v>
      </c>
      <c r="G3664" s="65">
        <v>1</v>
      </c>
      <c r="H3664" s="591" t="s">
        <v>1976</v>
      </c>
      <c r="I3664" s="591" t="s">
        <v>81</v>
      </c>
    </row>
    <row r="3665" spans="1:9" ht="12.75">
      <c r="A3665" s="582" t="s">
        <v>626</v>
      </c>
      <c r="B3665" s="65">
        <v>3863</v>
      </c>
      <c r="C3665" s="65" t="s">
        <v>332</v>
      </c>
      <c r="D3665" s="65">
        <v>10567</v>
      </c>
      <c r="E3665" s="65"/>
      <c r="F3665" s="585">
        <v>45535</v>
      </c>
      <c r="G3665" s="65">
        <v>1</v>
      </c>
      <c r="H3665" s="591" t="s">
        <v>1976</v>
      </c>
      <c r="I3665" s="591" t="s">
        <v>81</v>
      </c>
    </row>
    <row r="3666" spans="1:9">
      <c r="A3666" s="582" t="s">
        <v>626</v>
      </c>
      <c r="B3666" s="65">
        <v>3864</v>
      </c>
      <c r="C3666" s="65" t="s">
        <v>1865</v>
      </c>
      <c r="D3666" s="65">
        <v>10927</v>
      </c>
      <c r="E3666" s="583"/>
      <c r="F3666" s="585">
        <v>45535</v>
      </c>
      <c r="G3666" s="65">
        <v>1</v>
      </c>
      <c r="H3666" s="591" t="s">
        <v>1977</v>
      </c>
      <c r="I3666" s="591" t="s">
        <v>86</v>
      </c>
    </row>
    <row r="3667" spans="1:9">
      <c r="A3667" s="582" t="s">
        <v>626</v>
      </c>
      <c r="B3667" s="65">
        <v>3865</v>
      </c>
      <c r="C3667" s="65" t="s">
        <v>1866</v>
      </c>
      <c r="D3667" s="65">
        <v>10928</v>
      </c>
      <c r="E3667" s="583"/>
      <c r="F3667" s="585">
        <v>45535</v>
      </c>
      <c r="G3667" s="65">
        <v>1</v>
      </c>
      <c r="H3667" s="591" t="s">
        <v>1977</v>
      </c>
      <c r="I3667" s="591" t="s">
        <v>86</v>
      </c>
    </row>
    <row r="3668" spans="1:9">
      <c r="A3668" s="582" t="s">
        <v>626</v>
      </c>
      <c r="B3668" s="65">
        <v>3866</v>
      </c>
      <c r="C3668" s="65" t="s">
        <v>1867</v>
      </c>
      <c r="D3668" s="65">
        <v>10929</v>
      </c>
      <c r="E3668" s="583"/>
      <c r="F3668" s="585">
        <v>45535</v>
      </c>
      <c r="G3668" s="65">
        <v>1</v>
      </c>
      <c r="H3668" s="591" t="s">
        <v>1977</v>
      </c>
      <c r="I3668" s="591" t="s">
        <v>86</v>
      </c>
    </row>
    <row r="3669" spans="1:9">
      <c r="A3669" s="582" t="s">
        <v>626</v>
      </c>
      <c r="B3669" s="65">
        <v>3867</v>
      </c>
      <c r="C3669" s="65" t="s">
        <v>1868</v>
      </c>
      <c r="D3669" s="65">
        <v>10930</v>
      </c>
      <c r="E3669" s="583"/>
      <c r="F3669" s="585">
        <v>45535</v>
      </c>
      <c r="G3669" s="65">
        <v>1</v>
      </c>
      <c r="H3669" s="591" t="s">
        <v>1976</v>
      </c>
      <c r="I3669" s="591" t="s">
        <v>1240</v>
      </c>
    </row>
    <row r="3670" spans="1:9">
      <c r="A3670" s="582" t="s">
        <v>626</v>
      </c>
      <c r="B3670" s="65">
        <v>3868</v>
      </c>
      <c r="C3670" s="65" t="s">
        <v>1869</v>
      </c>
      <c r="D3670" s="65">
        <v>10931</v>
      </c>
      <c r="E3670" s="583"/>
      <c r="F3670" s="585">
        <v>45535</v>
      </c>
      <c r="G3670" s="65">
        <v>1</v>
      </c>
      <c r="H3670" s="591" t="s">
        <v>1976</v>
      </c>
      <c r="I3670" s="591" t="s">
        <v>1240</v>
      </c>
    </row>
    <row r="3671" spans="1:9">
      <c r="A3671" s="582" t="s">
        <v>626</v>
      </c>
      <c r="B3671" s="65">
        <v>3869</v>
      </c>
      <c r="C3671" s="65" t="s">
        <v>1870</v>
      </c>
      <c r="D3671" s="65">
        <v>10453</v>
      </c>
      <c r="E3671" s="583"/>
      <c r="F3671" s="585">
        <v>45535</v>
      </c>
      <c r="G3671" s="65">
        <v>1</v>
      </c>
      <c r="H3671" s="591" t="s">
        <v>1978</v>
      </c>
      <c r="I3671" s="591" t="s">
        <v>1232</v>
      </c>
    </row>
    <row r="3672" spans="1:9">
      <c r="A3672" s="582" t="s">
        <v>626</v>
      </c>
      <c r="B3672" s="65">
        <v>3870</v>
      </c>
      <c r="C3672" s="65" t="s">
        <v>1871</v>
      </c>
      <c r="D3672" s="65">
        <v>10932</v>
      </c>
      <c r="E3672" s="583"/>
      <c r="F3672" s="585">
        <v>45535</v>
      </c>
      <c r="G3672" s="65">
        <v>1</v>
      </c>
      <c r="H3672" s="591" t="s">
        <v>1976</v>
      </c>
      <c r="I3672" s="591" t="s">
        <v>1240</v>
      </c>
    </row>
    <row r="3673" spans="1:9">
      <c r="A3673" s="582" t="s">
        <v>626</v>
      </c>
      <c r="B3673" s="65">
        <v>3871</v>
      </c>
      <c r="C3673" s="65" t="s">
        <v>1872</v>
      </c>
      <c r="D3673" s="65">
        <v>10933</v>
      </c>
      <c r="E3673" s="583"/>
      <c r="F3673" s="585">
        <v>45535</v>
      </c>
      <c r="G3673" s="65">
        <v>1</v>
      </c>
      <c r="H3673" s="591" t="s">
        <v>1978</v>
      </c>
      <c r="I3673" s="591" t="s">
        <v>1232</v>
      </c>
    </row>
    <row r="3674" spans="1:9">
      <c r="A3674" s="582" t="s">
        <v>626</v>
      </c>
      <c r="B3674" s="65">
        <v>3872</v>
      </c>
      <c r="C3674" s="65" t="s">
        <v>1873</v>
      </c>
      <c r="D3674" s="65">
        <v>10934</v>
      </c>
      <c r="E3674" s="583"/>
      <c r="F3674" s="585">
        <v>45535</v>
      </c>
      <c r="G3674" s="65">
        <v>1</v>
      </c>
      <c r="H3674" s="591" t="s">
        <v>1978</v>
      </c>
      <c r="I3674" s="591" t="s">
        <v>1232</v>
      </c>
    </row>
    <row r="3675" spans="1:9">
      <c r="A3675" s="582" t="s">
        <v>626</v>
      </c>
      <c r="B3675" s="65">
        <v>3873</v>
      </c>
      <c r="C3675" s="65" t="s">
        <v>1874</v>
      </c>
      <c r="D3675" s="65">
        <v>10935</v>
      </c>
      <c r="E3675" s="583"/>
      <c r="F3675" s="585">
        <v>45535</v>
      </c>
      <c r="G3675" s="65">
        <v>1</v>
      </c>
      <c r="H3675" s="591" t="s">
        <v>1978</v>
      </c>
      <c r="I3675" s="591" t="s">
        <v>1232</v>
      </c>
    </row>
    <row r="3676" spans="1:9">
      <c r="A3676" s="582" t="s">
        <v>626</v>
      </c>
      <c r="B3676" s="65">
        <v>3874</v>
      </c>
      <c r="C3676" s="65" t="s">
        <v>1875</v>
      </c>
      <c r="D3676" s="65">
        <v>10936</v>
      </c>
      <c r="E3676" s="583"/>
      <c r="F3676" s="585">
        <v>45535</v>
      </c>
      <c r="G3676" s="65">
        <v>1</v>
      </c>
      <c r="H3676" s="591" t="s">
        <v>280</v>
      </c>
      <c r="I3676" s="591" t="s">
        <v>280</v>
      </c>
    </row>
    <row r="3677" spans="1:9">
      <c r="A3677" s="582" t="s">
        <v>626</v>
      </c>
      <c r="B3677" s="65">
        <v>3875</v>
      </c>
      <c r="C3677" s="65" t="s">
        <v>1876</v>
      </c>
      <c r="D3677" s="65">
        <v>10937</v>
      </c>
      <c r="E3677" s="583"/>
      <c r="F3677" s="585">
        <v>45535</v>
      </c>
      <c r="G3677" s="65">
        <v>1</v>
      </c>
      <c r="H3677" s="591" t="s">
        <v>280</v>
      </c>
      <c r="I3677" s="591" t="s">
        <v>280</v>
      </c>
    </row>
    <row r="3678" spans="1:9">
      <c r="A3678" s="582" t="s">
        <v>626</v>
      </c>
      <c r="B3678" s="65">
        <v>3876</v>
      </c>
      <c r="C3678" s="65" t="s">
        <v>1877</v>
      </c>
      <c r="D3678" s="65">
        <v>10938</v>
      </c>
      <c r="E3678" s="583"/>
      <c r="F3678" s="585">
        <v>45535</v>
      </c>
      <c r="G3678" s="65">
        <v>1</v>
      </c>
      <c r="H3678" s="591" t="s">
        <v>1976</v>
      </c>
      <c r="I3678" s="591" t="s">
        <v>1240</v>
      </c>
    </row>
    <row r="3679" spans="1:9">
      <c r="A3679" s="582" t="s">
        <v>626</v>
      </c>
      <c r="B3679" s="65">
        <v>3877</v>
      </c>
      <c r="C3679" s="579" t="s">
        <v>281</v>
      </c>
      <c r="D3679" s="579"/>
      <c r="E3679" s="583"/>
      <c r="F3679" s="596"/>
      <c r="G3679" s="65">
        <v>0</v>
      </c>
      <c r="H3679" s="591" t="s">
        <v>280</v>
      </c>
      <c r="I3679" s="591" t="s">
        <v>280</v>
      </c>
    </row>
    <row r="3680" spans="1:9">
      <c r="A3680" s="582" t="s">
        <v>626</v>
      </c>
      <c r="B3680" s="65">
        <v>3878</v>
      </c>
      <c r="C3680" s="579" t="s">
        <v>281</v>
      </c>
      <c r="D3680" s="579"/>
      <c r="E3680" s="583"/>
      <c r="F3680" s="596"/>
      <c r="G3680" s="65">
        <v>0</v>
      </c>
      <c r="H3680" s="591" t="s">
        <v>280</v>
      </c>
      <c r="I3680" s="591" t="s">
        <v>280</v>
      </c>
    </row>
    <row r="3681" spans="1:9">
      <c r="A3681" s="582" t="s">
        <v>626</v>
      </c>
      <c r="B3681" s="65">
        <v>3879</v>
      </c>
      <c r="C3681" s="579" t="s">
        <v>281</v>
      </c>
      <c r="D3681" s="579"/>
      <c r="E3681" s="583"/>
      <c r="F3681" s="596"/>
      <c r="G3681" s="65">
        <v>0</v>
      </c>
      <c r="H3681" s="591" t="s">
        <v>280</v>
      </c>
      <c r="I3681" s="591" t="s">
        <v>280</v>
      </c>
    </row>
    <row r="3682" spans="1:9">
      <c r="A3682" s="582" t="s">
        <v>626</v>
      </c>
      <c r="B3682" s="65">
        <v>3880</v>
      </c>
      <c r="C3682" s="579" t="s">
        <v>281</v>
      </c>
      <c r="D3682" s="579"/>
      <c r="E3682" s="583"/>
      <c r="F3682" s="596"/>
      <c r="G3682" s="65">
        <v>0</v>
      </c>
      <c r="H3682" s="591" t="s">
        <v>280</v>
      </c>
      <c r="I3682" s="591" t="s">
        <v>280</v>
      </c>
    </row>
    <row r="3683" spans="1:9">
      <c r="A3683" s="582" t="s">
        <v>626</v>
      </c>
      <c r="B3683" s="65">
        <v>3881</v>
      </c>
      <c r="C3683" s="579" t="s">
        <v>281</v>
      </c>
      <c r="D3683" s="579"/>
      <c r="E3683" s="583"/>
      <c r="F3683" s="596"/>
      <c r="G3683" s="65">
        <v>0</v>
      </c>
      <c r="H3683" s="591" t="s">
        <v>280</v>
      </c>
      <c r="I3683" s="591" t="s">
        <v>280</v>
      </c>
    </row>
    <row r="3684" spans="1:9">
      <c r="A3684" s="582" t="s">
        <v>626</v>
      </c>
      <c r="B3684" s="65">
        <v>3882</v>
      </c>
      <c r="C3684" s="579" t="s">
        <v>281</v>
      </c>
      <c r="D3684" s="579"/>
      <c r="E3684" s="583"/>
      <c r="F3684" s="596"/>
      <c r="G3684" s="65">
        <v>0</v>
      </c>
      <c r="H3684" s="591" t="s">
        <v>280</v>
      </c>
      <c r="I3684" s="591" t="s">
        <v>280</v>
      </c>
    </row>
    <row r="3685" spans="1:9">
      <c r="A3685" s="582" t="s">
        <v>626</v>
      </c>
      <c r="B3685" s="65">
        <v>3883</v>
      </c>
      <c r="C3685" s="579" t="s">
        <v>281</v>
      </c>
      <c r="D3685" s="579"/>
      <c r="E3685" s="583"/>
      <c r="F3685" s="596"/>
      <c r="G3685" s="65">
        <v>0</v>
      </c>
      <c r="H3685" s="591" t="s">
        <v>280</v>
      </c>
      <c r="I3685" s="591" t="s">
        <v>280</v>
      </c>
    </row>
    <row r="3686" spans="1:9">
      <c r="A3686" s="582" t="s">
        <v>626</v>
      </c>
      <c r="B3686" s="65">
        <v>3884</v>
      </c>
      <c r="C3686" s="579" t="s">
        <v>281</v>
      </c>
      <c r="D3686" s="579"/>
      <c r="E3686" s="583"/>
      <c r="F3686" s="596"/>
      <c r="G3686" s="65">
        <v>0</v>
      </c>
      <c r="H3686" s="591" t="s">
        <v>280</v>
      </c>
      <c r="I3686" s="591" t="s">
        <v>280</v>
      </c>
    </row>
    <row r="3687" spans="1:9">
      <c r="A3687" s="582" t="s">
        <v>626</v>
      </c>
      <c r="B3687" s="65">
        <v>3885</v>
      </c>
      <c r="C3687" s="579" t="s">
        <v>281</v>
      </c>
      <c r="D3687" s="579"/>
      <c r="E3687" s="583"/>
      <c r="F3687" s="596"/>
      <c r="G3687" s="65">
        <v>0</v>
      </c>
      <c r="H3687" s="591" t="s">
        <v>280</v>
      </c>
      <c r="I3687" s="591" t="s">
        <v>280</v>
      </c>
    </row>
    <row r="3688" spans="1:9">
      <c r="A3688" s="582" t="s">
        <v>626</v>
      </c>
      <c r="B3688" s="65">
        <v>3886</v>
      </c>
      <c r="C3688" s="579" t="s">
        <v>281</v>
      </c>
      <c r="D3688" s="579"/>
      <c r="E3688" s="583"/>
      <c r="F3688" s="596"/>
      <c r="G3688" s="65">
        <v>0</v>
      </c>
      <c r="H3688" s="591" t="s">
        <v>280</v>
      </c>
      <c r="I3688" s="591" t="s">
        <v>280</v>
      </c>
    </row>
    <row r="3689" spans="1:9">
      <c r="A3689" s="582" t="s">
        <v>626</v>
      </c>
      <c r="B3689" s="65">
        <v>3887</v>
      </c>
      <c r="C3689" s="579" t="s">
        <v>281</v>
      </c>
      <c r="D3689" s="579"/>
      <c r="E3689" s="583"/>
      <c r="F3689" s="596"/>
      <c r="G3689" s="65">
        <v>0</v>
      </c>
      <c r="H3689" s="591" t="s">
        <v>280</v>
      </c>
      <c r="I3689" s="591" t="s">
        <v>280</v>
      </c>
    </row>
    <row r="3690" spans="1:9">
      <c r="A3690" s="582" t="s">
        <v>626</v>
      </c>
      <c r="B3690" s="65">
        <v>3888</v>
      </c>
      <c r="C3690" s="579" t="s">
        <v>281</v>
      </c>
      <c r="D3690" s="579"/>
      <c r="E3690" s="583"/>
      <c r="F3690" s="596"/>
      <c r="G3690" s="65">
        <v>0</v>
      </c>
      <c r="H3690" s="591" t="s">
        <v>280</v>
      </c>
      <c r="I3690" s="591" t="s">
        <v>280</v>
      </c>
    </row>
    <row r="3691" spans="1:9">
      <c r="A3691" s="582" t="s">
        <v>626</v>
      </c>
      <c r="B3691" s="65">
        <v>3889</v>
      </c>
      <c r="C3691" s="579" t="s">
        <v>281</v>
      </c>
      <c r="D3691" s="579"/>
      <c r="E3691" s="583"/>
      <c r="F3691" s="596"/>
      <c r="G3691" s="65">
        <v>0</v>
      </c>
      <c r="H3691" s="591" t="s">
        <v>280</v>
      </c>
      <c r="I3691" s="591" t="s">
        <v>280</v>
      </c>
    </row>
    <row r="3692" spans="1:9">
      <c r="A3692" s="582" t="s">
        <v>626</v>
      </c>
      <c r="B3692" s="65">
        <v>3890</v>
      </c>
      <c r="C3692" s="579" t="s">
        <v>281</v>
      </c>
      <c r="D3692" s="579"/>
      <c r="E3692" s="583"/>
      <c r="F3692" s="596"/>
      <c r="G3692" s="65">
        <v>0</v>
      </c>
      <c r="H3692" s="591" t="s">
        <v>280</v>
      </c>
      <c r="I3692" s="591" t="s">
        <v>280</v>
      </c>
    </row>
    <row r="3693" spans="1:9">
      <c r="A3693" s="582" t="s">
        <v>626</v>
      </c>
      <c r="B3693" s="65">
        <v>3891</v>
      </c>
      <c r="C3693" s="579" t="s">
        <v>281</v>
      </c>
      <c r="D3693" s="579"/>
      <c r="E3693" s="583"/>
      <c r="F3693" s="596"/>
      <c r="G3693" s="65">
        <v>0</v>
      </c>
      <c r="H3693" s="591" t="s">
        <v>280</v>
      </c>
      <c r="I3693" s="591" t="s">
        <v>280</v>
      </c>
    </row>
    <row r="3694" spans="1:9">
      <c r="A3694" s="582" t="s">
        <v>626</v>
      </c>
      <c r="B3694" s="65">
        <v>3892</v>
      </c>
      <c r="C3694" s="579" t="s">
        <v>281</v>
      </c>
      <c r="D3694" s="579"/>
      <c r="E3694" s="583"/>
      <c r="F3694" s="596"/>
      <c r="G3694" s="65">
        <v>0</v>
      </c>
      <c r="H3694" s="591" t="s">
        <v>280</v>
      </c>
      <c r="I3694" s="591" t="s">
        <v>280</v>
      </c>
    </row>
    <row r="3695" spans="1:9">
      <c r="A3695" s="582" t="s">
        <v>626</v>
      </c>
      <c r="B3695" s="65">
        <v>3893</v>
      </c>
      <c r="C3695" s="579" t="s">
        <v>281</v>
      </c>
      <c r="D3695" s="579"/>
      <c r="E3695" s="583"/>
      <c r="F3695" s="596"/>
      <c r="G3695" s="65">
        <v>0</v>
      </c>
      <c r="H3695" s="591" t="s">
        <v>280</v>
      </c>
      <c r="I3695" s="591" t="s">
        <v>280</v>
      </c>
    </row>
    <row r="3696" spans="1:9">
      <c r="A3696" s="582" t="s">
        <v>626</v>
      </c>
      <c r="B3696" s="65">
        <v>3894</v>
      </c>
      <c r="C3696" s="579" t="s">
        <v>281</v>
      </c>
      <c r="D3696" s="579"/>
      <c r="E3696" s="583"/>
      <c r="F3696" s="596"/>
      <c r="G3696" s="65">
        <v>0</v>
      </c>
      <c r="H3696" s="591" t="s">
        <v>280</v>
      </c>
      <c r="I3696" s="591" t="s">
        <v>280</v>
      </c>
    </row>
    <row r="3697" spans="1:9">
      <c r="A3697" s="582" t="s">
        <v>626</v>
      </c>
      <c r="B3697" s="65">
        <v>3895</v>
      </c>
      <c r="C3697" s="579" t="s">
        <v>281</v>
      </c>
      <c r="D3697" s="579"/>
      <c r="E3697" s="583"/>
      <c r="F3697" s="596"/>
      <c r="G3697" s="65">
        <v>0</v>
      </c>
      <c r="H3697" s="591" t="s">
        <v>280</v>
      </c>
      <c r="I3697" s="591" t="s">
        <v>280</v>
      </c>
    </row>
    <row r="3698" spans="1:9">
      <c r="A3698" s="582" t="s">
        <v>626</v>
      </c>
      <c r="B3698" s="65">
        <v>3896</v>
      </c>
      <c r="C3698" s="579" t="s">
        <v>281</v>
      </c>
      <c r="D3698" s="579"/>
      <c r="E3698" s="583"/>
      <c r="F3698" s="596"/>
      <c r="G3698" s="65">
        <v>0</v>
      </c>
      <c r="H3698" s="591" t="s">
        <v>280</v>
      </c>
      <c r="I3698" s="591" t="s">
        <v>280</v>
      </c>
    </row>
    <row r="3699" spans="1:9">
      <c r="A3699" s="582" t="s">
        <v>626</v>
      </c>
      <c r="B3699" s="65">
        <v>3897</v>
      </c>
      <c r="C3699" s="579" t="s">
        <v>281</v>
      </c>
      <c r="D3699" s="579"/>
      <c r="E3699" s="583"/>
      <c r="F3699" s="596"/>
      <c r="G3699" s="65">
        <v>0</v>
      </c>
      <c r="H3699" s="591" t="s">
        <v>280</v>
      </c>
      <c r="I3699" s="591" t="s">
        <v>280</v>
      </c>
    </row>
    <row r="3700" spans="1:9">
      <c r="A3700" s="582" t="s">
        <v>626</v>
      </c>
      <c r="B3700" s="65">
        <v>3898</v>
      </c>
      <c r="C3700" s="579" t="s">
        <v>281</v>
      </c>
      <c r="D3700" s="579"/>
      <c r="E3700" s="583"/>
      <c r="F3700" s="596"/>
      <c r="G3700" s="65">
        <v>0</v>
      </c>
      <c r="H3700" s="591" t="s">
        <v>280</v>
      </c>
      <c r="I3700" s="591" t="s">
        <v>280</v>
      </c>
    </row>
    <row r="3701" spans="1:9">
      <c r="A3701" s="582" t="s">
        <v>626</v>
      </c>
      <c r="B3701" s="65">
        <v>3899</v>
      </c>
      <c r="C3701" s="579" t="s">
        <v>281</v>
      </c>
      <c r="D3701" s="579"/>
      <c r="E3701" s="583"/>
      <c r="F3701" s="596"/>
      <c r="G3701" s="65">
        <v>0</v>
      </c>
      <c r="H3701" s="591" t="s">
        <v>280</v>
      </c>
      <c r="I3701" s="591" t="s">
        <v>280</v>
      </c>
    </row>
    <row r="3702" spans="1:9">
      <c r="A3702" s="582" t="s">
        <v>647</v>
      </c>
      <c r="B3702" s="65">
        <v>3900</v>
      </c>
      <c r="C3702" s="579" t="s">
        <v>279</v>
      </c>
      <c r="D3702" s="579"/>
      <c r="E3702" s="583"/>
      <c r="F3702" s="585">
        <v>45535</v>
      </c>
      <c r="G3702" s="65">
        <v>1</v>
      </c>
      <c r="H3702" s="591" t="s">
        <v>280</v>
      </c>
      <c r="I3702" s="591" t="s">
        <v>280</v>
      </c>
    </row>
    <row r="3703" spans="1:9">
      <c r="A3703" s="582" t="s">
        <v>647</v>
      </c>
      <c r="B3703" s="65">
        <v>3901</v>
      </c>
      <c r="C3703" s="579" t="s">
        <v>281</v>
      </c>
      <c r="D3703" s="579"/>
      <c r="E3703" s="583"/>
      <c r="F3703" s="596"/>
      <c r="G3703" s="65">
        <v>0</v>
      </c>
      <c r="H3703" s="591" t="s">
        <v>280</v>
      </c>
      <c r="I3703" s="591" t="s">
        <v>280</v>
      </c>
    </row>
    <row r="3704" spans="1:9">
      <c r="A3704" s="582" t="s">
        <v>647</v>
      </c>
      <c r="B3704" s="65">
        <v>3902</v>
      </c>
      <c r="C3704" s="579" t="s">
        <v>281</v>
      </c>
      <c r="D3704" s="579"/>
      <c r="E3704" s="583"/>
      <c r="F3704" s="596"/>
      <c r="G3704" s="65">
        <v>0</v>
      </c>
      <c r="H3704" s="591" t="s">
        <v>280</v>
      </c>
      <c r="I3704" s="591" t="s">
        <v>280</v>
      </c>
    </row>
    <row r="3705" spans="1:9">
      <c r="A3705" s="582" t="s">
        <v>647</v>
      </c>
      <c r="B3705" s="65">
        <v>3903</v>
      </c>
      <c r="C3705" s="579" t="s">
        <v>281</v>
      </c>
      <c r="D3705" s="579"/>
      <c r="E3705" s="583"/>
      <c r="F3705" s="596"/>
      <c r="G3705" s="65">
        <v>0</v>
      </c>
      <c r="H3705" s="591" t="s">
        <v>280</v>
      </c>
      <c r="I3705" s="591" t="s">
        <v>280</v>
      </c>
    </row>
    <row r="3706" spans="1:9">
      <c r="A3706" s="582" t="s">
        <v>647</v>
      </c>
      <c r="B3706" s="65">
        <v>3904</v>
      </c>
      <c r="C3706" s="579" t="s">
        <v>281</v>
      </c>
      <c r="D3706" s="579"/>
      <c r="E3706" s="583"/>
      <c r="F3706" s="596"/>
      <c r="G3706" s="65">
        <v>0</v>
      </c>
      <c r="H3706" s="591" t="s">
        <v>280</v>
      </c>
      <c r="I3706" s="591" t="s">
        <v>280</v>
      </c>
    </row>
    <row r="3707" spans="1:9">
      <c r="A3707" s="582" t="s">
        <v>647</v>
      </c>
      <c r="B3707" s="65">
        <v>3905</v>
      </c>
      <c r="C3707" s="579" t="s">
        <v>281</v>
      </c>
      <c r="D3707" s="579"/>
      <c r="E3707" s="583"/>
      <c r="F3707" s="596"/>
      <c r="G3707" s="65">
        <v>0</v>
      </c>
      <c r="H3707" s="591" t="s">
        <v>280</v>
      </c>
      <c r="I3707" s="591" t="s">
        <v>280</v>
      </c>
    </row>
    <row r="3708" spans="1:9">
      <c r="A3708" s="582" t="s">
        <v>647</v>
      </c>
      <c r="B3708" s="65">
        <v>3906</v>
      </c>
      <c r="C3708" s="579" t="s">
        <v>648</v>
      </c>
      <c r="D3708" s="579">
        <v>10431</v>
      </c>
      <c r="E3708" s="583"/>
      <c r="F3708" s="585">
        <v>45535</v>
      </c>
      <c r="G3708" s="65">
        <v>1</v>
      </c>
      <c r="H3708" s="591" t="s">
        <v>1979</v>
      </c>
      <c r="I3708" s="591" t="s">
        <v>93</v>
      </c>
    </row>
    <row r="3709" spans="1:9">
      <c r="A3709" s="582" t="s">
        <v>647</v>
      </c>
      <c r="B3709" s="65">
        <v>3907</v>
      </c>
      <c r="C3709" s="579" t="s">
        <v>649</v>
      </c>
      <c r="D3709" s="63">
        <v>10429</v>
      </c>
      <c r="E3709" s="583"/>
      <c r="F3709" s="585">
        <v>45535</v>
      </c>
      <c r="G3709" s="65">
        <v>1</v>
      </c>
      <c r="H3709" s="591" t="s">
        <v>1979</v>
      </c>
      <c r="I3709" s="591" t="s">
        <v>93</v>
      </c>
    </row>
    <row r="3710" spans="1:9">
      <c r="A3710" s="582" t="s">
        <v>647</v>
      </c>
      <c r="B3710" s="65">
        <v>3908</v>
      </c>
      <c r="C3710" s="579" t="s">
        <v>281</v>
      </c>
      <c r="D3710" s="579"/>
      <c r="E3710" s="583"/>
      <c r="F3710" s="596"/>
      <c r="G3710" s="65">
        <v>0</v>
      </c>
      <c r="H3710" s="591" t="s">
        <v>280</v>
      </c>
      <c r="I3710" s="591" t="s">
        <v>280</v>
      </c>
    </row>
    <row r="3711" spans="1:9">
      <c r="A3711" s="582" t="s">
        <v>647</v>
      </c>
      <c r="B3711" s="65">
        <v>3909</v>
      </c>
      <c r="C3711" s="579" t="s">
        <v>281</v>
      </c>
      <c r="D3711" s="579"/>
      <c r="E3711" s="583"/>
      <c r="F3711" s="596"/>
      <c r="G3711" s="65">
        <v>0</v>
      </c>
      <c r="H3711" s="591" t="s">
        <v>280</v>
      </c>
      <c r="I3711" s="591" t="s">
        <v>280</v>
      </c>
    </row>
    <row r="3712" spans="1:9">
      <c r="A3712" s="582" t="s">
        <v>647</v>
      </c>
      <c r="B3712" s="65">
        <v>3910</v>
      </c>
      <c r="C3712" s="579" t="s">
        <v>281</v>
      </c>
      <c r="D3712" s="579"/>
      <c r="E3712" s="583"/>
      <c r="F3712" s="596"/>
      <c r="G3712" s="65">
        <v>0</v>
      </c>
      <c r="H3712" s="591" t="s">
        <v>280</v>
      </c>
      <c r="I3712" s="591" t="s">
        <v>280</v>
      </c>
    </row>
    <row r="3713" spans="1:9">
      <c r="A3713" s="582" t="s">
        <v>647</v>
      </c>
      <c r="B3713" s="65">
        <v>3911</v>
      </c>
      <c r="C3713" s="579" t="s">
        <v>650</v>
      </c>
      <c r="D3713" s="65">
        <v>10442</v>
      </c>
      <c r="E3713" s="583"/>
      <c r="F3713" s="585">
        <v>45535</v>
      </c>
      <c r="G3713" s="65">
        <v>1</v>
      </c>
      <c r="H3713" s="591" t="s">
        <v>1979</v>
      </c>
      <c r="I3713" s="591" t="s">
        <v>93</v>
      </c>
    </row>
    <row r="3714" spans="1:9">
      <c r="A3714" s="580" t="s">
        <v>647</v>
      </c>
      <c r="B3714" s="65">
        <v>3912</v>
      </c>
      <c r="C3714" s="579" t="s">
        <v>281</v>
      </c>
      <c r="D3714" s="65"/>
      <c r="E3714" s="583"/>
      <c r="F3714" s="596"/>
      <c r="G3714" s="65">
        <v>0</v>
      </c>
      <c r="H3714" s="591" t="s">
        <v>280</v>
      </c>
      <c r="I3714" s="591" t="s">
        <v>280</v>
      </c>
    </row>
    <row r="3715" spans="1:9">
      <c r="A3715" s="582" t="s">
        <v>647</v>
      </c>
      <c r="B3715" s="65">
        <v>3913</v>
      </c>
      <c r="C3715" s="579" t="s">
        <v>651</v>
      </c>
      <c r="D3715" s="63">
        <v>10438</v>
      </c>
      <c r="E3715" s="583"/>
      <c r="F3715" s="585">
        <v>45535</v>
      </c>
      <c r="G3715" s="65">
        <v>1</v>
      </c>
      <c r="H3715" s="591" t="s">
        <v>1979</v>
      </c>
      <c r="I3715" s="591" t="s">
        <v>93</v>
      </c>
    </row>
    <row r="3716" spans="1:9">
      <c r="A3716" s="582" t="s">
        <v>647</v>
      </c>
      <c r="B3716" s="65">
        <v>3914</v>
      </c>
      <c r="C3716" s="579" t="s">
        <v>281</v>
      </c>
      <c r="D3716" s="579"/>
      <c r="E3716" s="583"/>
      <c r="F3716" s="596"/>
      <c r="G3716" s="65">
        <v>0</v>
      </c>
      <c r="H3716" s="591" t="s">
        <v>280</v>
      </c>
      <c r="I3716" s="591" t="s">
        <v>280</v>
      </c>
    </row>
    <row r="3717" spans="1:9">
      <c r="A3717" s="582" t="s">
        <v>647</v>
      </c>
      <c r="B3717" s="65">
        <v>3915</v>
      </c>
      <c r="C3717" s="579" t="s">
        <v>281</v>
      </c>
      <c r="D3717" s="63"/>
      <c r="E3717" s="583"/>
      <c r="F3717" s="596"/>
      <c r="G3717" s="65">
        <v>0</v>
      </c>
      <c r="H3717" s="591" t="s">
        <v>280</v>
      </c>
      <c r="I3717" s="591" t="s">
        <v>280</v>
      </c>
    </row>
    <row r="3718" spans="1:9">
      <c r="A3718" s="582" t="s">
        <v>647</v>
      </c>
      <c r="B3718" s="65">
        <v>3916</v>
      </c>
      <c r="C3718" s="579" t="s">
        <v>281</v>
      </c>
      <c r="D3718" s="63"/>
      <c r="E3718" s="583"/>
      <c r="F3718" s="596"/>
      <c r="G3718" s="65">
        <v>0</v>
      </c>
      <c r="H3718" s="591" t="s">
        <v>280</v>
      </c>
      <c r="I3718" s="591" t="s">
        <v>280</v>
      </c>
    </row>
    <row r="3719" spans="1:9">
      <c r="A3719" s="582" t="s">
        <v>647</v>
      </c>
      <c r="B3719" s="65">
        <v>3917</v>
      </c>
      <c r="C3719" s="579" t="s">
        <v>281</v>
      </c>
      <c r="D3719" s="65"/>
      <c r="E3719" s="583"/>
      <c r="F3719" s="596"/>
      <c r="G3719" s="65">
        <v>0</v>
      </c>
      <c r="H3719" s="591" t="s">
        <v>280</v>
      </c>
      <c r="I3719" s="591" t="s">
        <v>280</v>
      </c>
    </row>
    <row r="3720" spans="1:9">
      <c r="A3720" s="582" t="s">
        <v>647</v>
      </c>
      <c r="B3720" s="65">
        <v>3918</v>
      </c>
      <c r="C3720" s="579" t="s">
        <v>281</v>
      </c>
      <c r="D3720" s="579"/>
      <c r="E3720" s="583"/>
      <c r="F3720" s="596"/>
      <c r="G3720" s="65">
        <v>0</v>
      </c>
      <c r="H3720" s="591" t="s">
        <v>280</v>
      </c>
      <c r="I3720" s="591" t="s">
        <v>280</v>
      </c>
    </row>
    <row r="3721" spans="1:9">
      <c r="A3721" s="582" t="s">
        <v>647</v>
      </c>
      <c r="B3721" s="65">
        <v>3919</v>
      </c>
      <c r="C3721" s="579" t="s">
        <v>658</v>
      </c>
      <c r="D3721" s="579">
        <v>10184</v>
      </c>
      <c r="E3721" s="583"/>
      <c r="F3721" s="585">
        <v>45535</v>
      </c>
      <c r="G3721" s="65">
        <v>1</v>
      </c>
      <c r="H3721" s="591" t="s">
        <v>1979</v>
      </c>
      <c r="I3721" s="591" t="s">
        <v>93</v>
      </c>
    </row>
    <row r="3722" spans="1:9">
      <c r="A3722" s="582" t="s">
        <v>647</v>
      </c>
      <c r="B3722" s="65">
        <v>3920</v>
      </c>
      <c r="C3722" s="579" t="s">
        <v>1878</v>
      </c>
      <c r="D3722" s="579">
        <v>10220</v>
      </c>
      <c r="E3722" s="583"/>
      <c r="F3722" s="585">
        <v>45535</v>
      </c>
      <c r="G3722" s="65">
        <v>1</v>
      </c>
      <c r="H3722" s="591" t="s">
        <v>280</v>
      </c>
      <c r="I3722" s="591" t="s">
        <v>280</v>
      </c>
    </row>
    <row r="3723" spans="1:9">
      <c r="A3723" s="582" t="s">
        <v>647</v>
      </c>
      <c r="B3723" s="65">
        <v>3921</v>
      </c>
      <c r="C3723" s="65" t="s">
        <v>1879</v>
      </c>
      <c r="D3723" s="65">
        <v>10974</v>
      </c>
      <c r="E3723" s="583"/>
      <c r="F3723" s="585">
        <v>45535</v>
      </c>
      <c r="G3723" s="65">
        <v>1</v>
      </c>
      <c r="H3723" s="591" t="s">
        <v>1979</v>
      </c>
      <c r="I3723" s="591" t="s">
        <v>93</v>
      </c>
    </row>
    <row r="3724" spans="1:9">
      <c r="A3724" s="582" t="s">
        <v>647</v>
      </c>
      <c r="B3724" s="65">
        <v>3922</v>
      </c>
      <c r="C3724" s="65" t="s">
        <v>1880</v>
      </c>
      <c r="D3724" s="65">
        <v>10975</v>
      </c>
      <c r="E3724" s="583"/>
      <c r="F3724" s="585">
        <v>45535</v>
      </c>
      <c r="G3724" s="65">
        <v>1</v>
      </c>
      <c r="H3724" s="591" t="s">
        <v>1979</v>
      </c>
      <c r="I3724" s="591" t="s">
        <v>93</v>
      </c>
    </row>
    <row r="3725" spans="1:9">
      <c r="A3725" s="582" t="s">
        <v>647</v>
      </c>
      <c r="B3725" s="65">
        <v>3923</v>
      </c>
      <c r="C3725" s="65" t="s">
        <v>1881</v>
      </c>
      <c r="D3725" s="65">
        <v>11005</v>
      </c>
      <c r="E3725" s="583"/>
      <c r="F3725" s="585">
        <v>45535</v>
      </c>
      <c r="G3725" s="65">
        <v>1</v>
      </c>
      <c r="H3725" s="591" t="s">
        <v>1979</v>
      </c>
      <c r="I3725" s="591" t="s">
        <v>93</v>
      </c>
    </row>
    <row r="3726" spans="1:9" ht="14.25">
      <c r="A3726" s="580" t="s">
        <v>647</v>
      </c>
      <c r="B3726" s="65">
        <v>3924</v>
      </c>
      <c r="C3726" s="65" t="s">
        <v>2044</v>
      </c>
      <c r="D3726" s="65">
        <v>11077</v>
      </c>
      <c r="E3726" s="587"/>
      <c r="F3726" s="600">
        <v>45675</v>
      </c>
      <c r="G3726" s="65">
        <v>1</v>
      </c>
      <c r="H3726" s="591" t="s">
        <v>280</v>
      </c>
      <c r="I3726" s="591" t="s">
        <v>280</v>
      </c>
    </row>
    <row r="3727" spans="1:9">
      <c r="A3727" s="582" t="s">
        <v>647</v>
      </c>
      <c r="B3727" s="65">
        <v>3925</v>
      </c>
      <c r="C3727" s="579" t="s">
        <v>281</v>
      </c>
      <c r="D3727" s="579"/>
      <c r="E3727" s="583"/>
      <c r="F3727" s="596"/>
      <c r="G3727" s="65">
        <v>0</v>
      </c>
      <c r="H3727" s="591" t="s">
        <v>280</v>
      </c>
      <c r="I3727" s="591" t="s">
        <v>280</v>
      </c>
    </row>
    <row r="3728" spans="1:9">
      <c r="A3728" s="582" t="s">
        <v>647</v>
      </c>
      <c r="B3728" s="65">
        <v>3926</v>
      </c>
      <c r="C3728" s="579" t="s">
        <v>281</v>
      </c>
      <c r="D3728" s="579"/>
      <c r="E3728" s="583"/>
      <c r="F3728" s="596"/>
      <c r="G3728" s="65">
        <v>0</v>
      </c>
      <c r="H3728" s="591" t="s">
        <v>280</v>
      </c>
      <c r="I3728" s="591" t="s">
        <v>280</v>
      </c>
    </row>
    <row r="3729" spans="1:9">
      <c r="A3729" s="582" t="s">
        <v>647</v>
      </c>
      <c r="B3729" s="65">
        <v>3927</v>
      </c>
      <c r="C3729" s="579" t="s">
        <v>281</v>
      </c>
      <c r="D3729" s="579"/>
      <c r="E3729" s="583"/>
      <c r="F3729" s="596"/>
      <c r="G3729" s="65">
        <v>0</v>
      </c>
      <c r="H3729" s="591" t="s">
        <v>280</v>
      </c>
      <c r="I3729" s="591" t="s">
        <v>280</v>
      </c>
    </row>
    <row r="3730" spans="1:9">
      <c r="A3730" s="582" t="s">
        <v>647</v>
      </c>
      <c r="B3730" s="65">
        <v>3928</v>
      </c>
      <c r="C3730" s="579" t="s">
        <v>281</v>
      </c>
      <c r="D3730" s="579"/>
      <c r="E3730" s="583"/>
      <c r="F3730" s="596"/>
      <c r="G3730" s="65">
        <v>0</v>
      </c>
      <c r="H3730" s="591" t="s">
        <v>280</v>
      </c>
      <c r="I3730" s="591" t="s">
        <v>280</v>
      </c>
    </row>
    <row r="3731" spans="1:9">
      <c r="A3731" s="582" t="s">
        <v>647</v>
      </c>
      <c r="B3731" s="65">
        <v>3929</v>
      </c>
      <c r="C3731" s="579" t="s">
        <v>281</v>
      </c>
      <c r="D3731" s="579"/>
      <c r="E3731" s="583"/>
      <c r="F3731" s="596"/>
      <c r="G3731" s="65">
        <v>0</v>
      </c>
      <c r="H3731" s="591" t="s">
        <v>280</v>
      </c>
      <c r="I3731" s="591" t="s">
        <v>280</v>
      </c>
    </row>
    <row r="3732" spans="1:9">
      <c r="A3732" s="582" t="s">
        <v>647</v>
      </c>
      <c r="B3732" s="65">
        <v>3930</v>
      </c>
      <c r="C3732" s="579" t="s">
        <v>281</v>
      </c>
      <c r="D3732" s="579"/>
      <c r="E3732" s="583"/>
      <c r="F3732" s="596"/>
      <c r="G3732" s="65">
        <v>0</v>
      </c>
      <c r="H3732" s="591" t="s">
        <v>280</v>
      </c>
      <c r="I3732" s="591" t="s">
        <v>280</v>
      </c>
    </row>
    <row r="3733" spans="1:9">
      <c r="A3733" s="582" t="s">
        <v>647</v>
      </c>
      <c r="B3733" s="65">
        <v>3931</v>
      </c>
      <c r="C3733" s="579" t="s">
        <v>281</v>
      </c>
      <c r="D3733" s="579"/>
      <c r="E3733" s="583"/>
      <c r="F3733" s="596"/>
      <c r="G3733" s="65">
        <v>0</v>
      </c>
      <c r="H3733" s="591" t="s">
        <v>280</v>
      </c>
      <c r="I3733" s="591" t="s">
        <v>280</v>
      </c>
    </row>
    <row r="3734" spans="1:9">
      <c r="A3734" s="582" t="s">
        <v>647</v>
      </c>
      <c r="B3734" s="65">
        <v>3932</v>
      </c>
      <c r="C3734" s="579" t="s">
        <v>281</v>
      </c>
      <c r="D3734" s="579"/>
      <c r="E3734" s="583"/>
      <c r="F3734" s="596"/>
      <c r="G3734" s="65">
        <v>0</v>
      </c>
      <c r="H3734" s="591" t="s">
        <v>280</v>
      </c>
      <c r="I3734" s="591" t="s">
        <v>280</v>
      </c>
    </row>
    <row r="3735" spans="1:9">
      <c r="A3735" s="582" t="s">
        <v>647</v>
      </c>
      <c r="B3735" s="65">
        <v>3933</v>
      </c>
      <c r="C3735" s="579" t="s">
        <v>281</v>
      </c>
      <c r="D3735" s="579"/>
      <c r="E3735" s="583"/>
      <c r="F3735" s="596"/>
      <c r="G3735" s="65">
        <v>0</v>
      </c>
      <c r="H3735" s="591" t="s">
        <v>280</v>
      </c>
      <c r="I3735" s="591" t="s">
        <v>280</v>
      </c>
    </row>
    <row r="3736" spans="1:9">
      <c r="A3736" s="582" t="s">
        <v>647</v>
      </c>
      <c r="B3736" s="65">
        <v>3934</v>
      </c>
      <c r="C3736" s="579" t="s">
        <v>281</v>
      </c>
      <c r="D3736" s="579"/>
      <c r="E3736" s="583"/>
      <c r="F3736" s="596"/>
      <c r="G3736" s="65">
        <v>0</v>
      </c>
      <c r="H3736" s="591" t="s">
        <v>280</v>
      </c>
      <c r="I3736" s="591" t="s">
        <v>280</v>
      </c>
    </row>
    <row r="3737" spans="1:9">
      <c r="A3737" s="582" t="s">
        <v>647</v>
      </c>
      <c r="B3737" s="65">
        <v>3935</v>
      </c>
      <c r="C3737" s="579" t="s">
        <v>281</v>
      </c>
      <c r="D3737" s="579"/>
      <c r="E3737" s="583"/>
      <c r="F3737" s="596"/>
      <c r="G3737" s="65">
        <v>0</v>
      </c>
      <c r="H3737" s="591" t="s">
        <v>280</v>
      </c>
      <c r="I3737" s="591" t="s">
        <v>280</v>
      </c>
    </row>
    <row r="3738" spans="1:9">
      <c r="A3738" s="582" t="s">
        <v>647</v>
      </c>
      <c r="B3738" s="65">
        <v>3936</v>
      </c>
      <c r="C3738" s="579" t="s">
        <v>281</v>
      </c>
      <c r="D3738" s="579"/>
      <c r="E3738" s="583"/>
      <c r="F3738" s="596"/>
      <c r="G3738" s="65">
        <v>0</v>
      </c>
      <c r="H3738" s="591" t="s">
        <v>280</v>
      </c>
      <c r="I3738" s="591" t="s">
        <v>280</v>
      </c>
    </row>
    <row r="3739" spans="1:9">
      <c r="A3739" s="582" t="s">
        <v>647</v>
      </c>
      <c r="B3739" s="65">
        <v>3937</v>
      </c>
      <c r="C3739" s="579" t="s">
        <v>281</v>
      </c>
      <c r="D3739" s="579"/>
      <c r="E3739" s="583"/>
      <c r="F3739" s="596"/>
      <c r="G3739" s="65">
        <v>0</v>
      </c>
      <c r="H3739" s="591" t="s">
        <v>280</v>
      </c>
      <c r="I3739" s="591" t="s">
        <v>280</v>
      </c>
    </row>
    <row r="3740" spans="1:9">
      <c r="A3740" s="582" t="s">
        <v>647</v>
      </c>
      <c r="B3740" s="65">
        <v>3938</v>
      </c>
      <c r="C3740" s="579" t="s">
        <v>281</v>
      </c>
      <c r="D3740" s="579"/>
      <c r="E3740" s="583"/>
      <c r="F3740" s="596"/>
      <c r="G3740" s="65">
        <v>0</v>
      </c>
      <c r="H3740" s="591" t="s">
        <v>280</v>
      </c>
      <c r="I3740" s="591" t="s">
        <v>280</v>
      </c>
    </row>
    <row r="3741" spans="1:9">
      <c r="A3741" s="582" t="s">
        <v>647</v>
      </c>
      <c r="B3741" s="65">
        <v>3939</v>
      </c>
      <c r="C3741" s="579" t="s">
        <v>281</v>
      </c>
      <c r="D3741" s="579"/>
      <c r="E3741" s="583"/>
      <c r="F3741" s="596"/>
      <c r="G3741" s="65">
        <v>0</v>
      </c>
      <c r="H3741" s="591" t="s">
        <v>280</v>
      </c>
      <c r="I3741" s="591" t="s">
        <v>280</v>
      </c>
    </row>
    <row r="3742" spans="1:9">
      <c r="A3742" s="582" t="s">
        <v>647</v>
      </c>
      <c r="B3742" s="65">
        <v>3940</v>
      </c>
      <c r="C3742" s="579" t="s">
        <v>281</v>
      </c>
      <c r="D3742" s="579"/>
      <c r="E3742" s="583"/>
      <c r="F3742" s="596"/>
      <c r="G3742" s="65">
        <v>0</v>
      </c>
      <c r="H3742" s="591" t="s">
        <v>280</v>
      </c>
      <c r="I3742" s="591" t="s">
        <v>280</v>
      </c>
    </row>
    <row r="3743" spans="1:9">
      <c r="A3743" s="582" t="s">
        <v>647</v>
      </c>
      <c r="B3743" s="65">
        <v>3941</v>
      </c>
      <c r="C3743" s="579" t="s">
        <v>281</v>
      </c>
      <c r="D3743" s="579"/>
      <c r="E3743" s="583"/>
      <c r="F3743" s="596"/>
      <c r="G3743" s="65">
        <v>0</v>
      </c>
      <c r="H3743" s="591" t="s">
        <v>280</v>
      </c>
      <c r="I3743" s="591" t="s">
        <v>280</v>
      </c>
    </row>
    <row r="3744" spans="1:9">
      <c r="A3744" s="582" t="s">
        <v>647</v>
      </c>
      <c r="B3744" s="65">
        <v>3942</v>
      </c>
      <c r="C3744" s="579" t="s">
        <v>281</v>
      </c>
      <c r="D3744" s="579"/>
      <c r="E3744" s="583"/>
      <c r="F3744" s="596"/>
      <c r="G3744" s="65">
        <v>0</v>
      </c>
      <c r="H3744" s="591" t="s">
        <v>280</v>
      </c>
      <c r="I3744" s="591" t="s">
        <v>280</v>
      </c>
    </row>
    <row r="3745" spans="1:9">
      <c r="A3745" s="582" t="s">
        <v>647</v>
      </c>
      <c r="B3745" s="65">
        <v>3943</v>
      </c>
      <c r="C3745" s="579" t="s">
        <v>281</v>
      </c>
      <c r="D3745" s="579"/>
      <c r="E3745" s="583"/>
      <c r="F3745" s="596"/>
      <c r="G3745" s="65">
        <v>0</v>
      </c>
      <c r="H3745" s="591" t="s">
        <v>280</v>
      </c>
      <c r="I3745" s="591" t="s">
        <v>280</v>
      </c>
    </row>
    <row r="3746" spans="1:9">
      <c r="A3746" s="582" t="s">
        <v>647</v>
      </c>
      <c r="B3746" s="65">
        <v>3944</v>
      </c>
      <c r="C3746" s="579" t="s">
        <v>281</v>
      </c>
      <c r="D3746" s="579"/>
      <c r="E3746" s="583"/>
      <c r="F3746" s="596"/>
      <c r="G3746" s="65">
        <v>0</v>
      </c>
      <c r="H3746" s="591" t="s">
        <v>280</v>
      </c>
      <c r="I3746" s="591" t="s">
        <v>280</v>
      </c>
    </row>
    <row r="3747" spans="1:9">
      <c r="A3747" s="582" t="s">
        <v>647</v>
      </c>
      <c r="B3747" s="65">
        <v>3945</v>
      </c>
      <c r="C3747" s="579" t="s">
        <v>281</v>
      </c>
      <c r="D3747" s="579"/>
      <c r="E3747" s="583"/>
      <c r="F3747" s="596"/>
      <c r="G3747" s="65">
        <v>0</v>
      </c>
      <c r="H3747" s="591" t="s">
        <v>280</v>
      </c>
      <c r="I3747" s="591" t="s">
        <v>280</v>
      </c>
    </row>
    <row r="3748" spans="1:9">
      <c r="A3748" s="582" t="s">
        <v>647</v>
      </c>
      <c r="B3748" s="65">
        <v>3946</v>
      </c>
      <c r="C3748" s="579" t="s">
        <v>281</v>
      </c>
      <c r="D3748" s="579"/>
      <c r="E3748" s="583"/>
      <c r="F3748" s="596"/>
      <c r="G3748" s="65">
        <v>0</v>
      </c>
      <c r="H3748" s="591" t="s">
        <v>280</v>
      </c>
      <c r="I3748" s="591" t="s">
        <v>280</v>
      </c>
    </row>
    <row r="3749" spans="1:9">
      <c r="A3749" s="582" t="s">
        <v>647</v>
      </c>
      <c r="B3749" s="65">
        <v>3947</v>
      </c>
      <c r="C3749" s="579" t="s">
        <v>281</v>
      </c>
      <c r="D3749" s="579"/>
      <c r="E3749" s="583"/>
      <c r="F3749" s="596"/>
      <c r="G3749" s="65">
        <v>0</v>
      </c>
      <c r="H3749" s="591" t="s">
        <v>280</v>
      </c>
      <c r="I3749" s="591" t="s">
        <v>280</v>
      </c>
    </row>
    <row r="3750" spans="1:9">
      <c r="A3750" s="582" t="s">
        <v>647</v>
      </c>
      <c r="B3750" s="65">
        <v>3948</v>
      </c>
      <c r="C3750" s="579" t="s">
        <v>281</v>
      </c>
      <c r="D3750" s="579"/>
      <c r="E3750" s="583"/>
      <c r="F3750" s="596"/>
      <c r="G3750" s="65">
        <v>0</v>
      </c>
      <c r="H3750" s="591" t="s">
        <v>280</v>
      </c>
      <c r="I3750" s="591" t="s">
        <v>280</v>
      </c>
    </row>
    <row r="3751" spans="1:9">
      <c r="A3751" s="582" t="s">
        <v>647</v>
      </c>
      <c r="B3751" s="65">
        <v>3949</v>
      </c>
      <c r="C3751" s="579" t="s">
        <v>281</v>
      </c>
      <c r="D3751" s="579"/>
      <c r="E3751" s="583"/>
      <c r="F3751" s="596"/>
      <c r="G3751" s="65">
        <v>0</v>
      </c>
      <c r="H3751" s="591" t="s">
        <v>280</v>
      </c>
      <c r="I3751" s="591" t="s">
        <v>280</v>
      </c>
    </row>
    <row r="3752" spans="1:9">
      <c r="A3752" s="582" t="s">
        <v>647</v>
      </c>
      <c r="B3752" s="65">
        <v>3950</v>
      </c>
      <c r="C3752" s="579" t="s">
        <v>281</v>
      </c>
      <c r="D3752" s="579"/>
      <c r="E3752" s="583"/>
      <c r="F3752" s="596"/>
      <c r="G3752" s="65">
        <v>0</v>
      </c>
      <c r="H3752" s="591" t="s">
        <v>280</v>
      </c>
      <c r="I3752" s="591" t="s">
        <v>280</v>
      </c>
    </row>
    <row r="3753" spans="1:9">
      <c r="A3753" s="582" t="s">
        <v>647</v>
      </c>
      <c r="B3753" s="65">
        <v>3951</v>
      </c>
      <c r="C3753" s="579" t="s">
        <v>281</v>
      </c>
      <c r="D3753" s="579"/>
      <c r="E3753" s="583"/>
      <c r="F3753" s="596"/>
      <c r="G3753" s="65">
        <v>0</v>
      </c>
      <c r="H3753" s="591" t="s">
        <v>280</v>
      </c>
      <c r="I3753" s="591" t="s">
        <v>280</v>
      </c>
    </row>
    <row r="3754" spans="1:9">
      <c r="A3754" s="582" t="s">
        <v>647</v>
      </c>
      <c r="B3754" s="65">
        <v>3952</v>
      </c>
      <c r="C3754" s="579" t="s">
        <v>281</v>
      </c>
      <c r="D3754" s="579"/>
      <c r="E3754" s="583"/>
      <c r="F3754" s="596"/>
      <c r="G3754" s="65">
        <v>0</v>
      </c>
      <c r="H3754" s="591" t="s">
        <v>280</v>
      </c>
      <c r="I3754" s="591" t="s">
        <v>280</v>
      </c>
    </row>
    <row r="3755" spans="1:9">
      <c r="A3755" s="582" t="s">
        <v>647</v>
      </c>
      <c r="B3755" s="65">
        <v>3953</v>
      </c>
      <c r="C3755" s="579" t="s">
        <v>281</v>
      </c>
      <c r="D3755" s="579"/>
      <c r="E3755" s="583"/>
      <c r="F3755" s="596"/>
      <c r="G3755" s="65">
        <v>0</v>
      </c>
      <c r="H3755" s="591" t="s">
        <v>280</v>
      </c>
      <c r="I3755" s="591" t="s">
        <v>280</v>
      </c>
    </row>
    <row r="3756" spans="1:9">
      <c r="A3756" s="582" t="s">
        <v>647</v>
      </c>
      <c r="B3756" s="65">
        <v>3954</v>
      </c>
      <c r="C3756" s="579" t="s">
        <v>281</v>
      </c>
      <c r="D3756" s="579"/>
      <c r="E3756" s="583"/>
      <c r="F3756" s="596"/>
      <c r="G3756" s="65">
        <v>0</v>
      </c>
      <c r="H3756" s="591" t="s">
        <v>280</v>
      </c>
      <c r="I3756" s="591" t="s">
        <v>280</v>
      </c>
    </row>
    <row r="3757" spans="1:9">
      <c r="A3757" s="582" t="s">
        <v>647</v>
      </c>
      <c r="B3757" s="65">
        <v>3955</v>
      </c>
      <c r="C3757" s="579" t="s">
        <v>281</v>
      </c>
      <c r="D3757" s="579"/>
      <c r="E3757" s="583"/>
      <c r="F3757" s="596"/>
      <c r="G3757" s="65">
        <v>0</v>
      </c>
      <c r="H3757" s="591" t="s">
        <v>280</v>
      </c>
      <c r="I3757" s="591" t="s">
        <v>280</v>
      </c>
    </row>
    <row r="3758" spans="1:9">
      <c r="A3758" s="582" t="s">
        <v>647</v>
      </c>
      <c r="B3758" s="65">
        <v>3956</v>
      </c>
      <c r="C3758" s="579" t="s">
        <v>281</v>
      </c>
      <c r="D3758" s="579"/>
      <c r="E3758" s="583"/>
      <c r="F3758" s="596"/>
      <c r="G3758" s="65">
        <v>0</v>
      </c>
      <c r="H3758" s="591" t="s">
        <v>280</v>
      </c>
      <c r="I3758" s="591" t="s">
        <v>280</v>
      </c>
    </row>
    <row r="3759" spans="1:9">
      <c r="A3759" s="582" t="s">
        <v>647</v>
      </c>
      <c r="B3759" s="65">
        <v>3957</v>
      </c>
      <c r="C3759" s="579" t="s">
        <v>281</v>
      </c>
      <c r="D3759" s="579"/>
      <c r="E3759" s="583"/>
      <c r="F3759" s="596"/>
      <c r="G3759" s="65">
        <v>0</v>
      </c>
      <c r="H3759" s="591" t="s">
        <v>280</v>
      </c>
      <c r="I3759" s="591" t="s">
        <v>280</v>
      </c>
    </row>
    <row r="3760" spans="1:9">
      <c r="A3760" s="582" t="s">
        <v>647</v>
      </c>
      <c r="B3760" s="65">
        <v>3958</v>
      </c>
      <c r="C3760" s="579" t="s">
        <v>281</v>
      </c>
      <c r="D3760" s="579"/>
      <c r="E3760" s="583"/>
      <c r="F3760" s="596"/>
      <c r="G3760" s="65">
        <v>0</v>
      </c>
      <c r="H3760" s="591" t="s">
        <v>280</v>
      </c>
      <c r="I3760" s="591" t="s">
        <v>280</v>
      </c>
    </row>
    <row r="3761" spans="1:9">
      <c r="A3761" s="582" t="s">
        <v>647</v>
      </c>
      <c r="B3761" s="65">
        <v>3959</v>
      </c>
      <c r="C3761" s="579" t="s">
        <v>281</v>
      </c>
      <c r="D3761" s="579"/>
      <c r="E3761" s="583"/>
      <c r="F3761" s="596"/>
      <c r="G3761" s="65">
        <v>0</v>
      </c>
      <c r="H3761" s="591" t="s">
        <v>280</v>
      </c>
      <c r="I3761" s="591" t="s">
        <v>280</v>
      </c>
    </row>
    <row r="3762" spans="1:9">
      <c r="A3762" s="582" t="s">
        <v>647</v>
      </c>
      <c r="B3762" s="65">
        <v>3960</v>
      </c>
      <c r="C3762" s="579" t="s">
        <v>281</v>
      </c>
      <c r="D3762" s="579"/>
      <c r="E3762" s="583"/>
      <c r="F3762" s="596"/>
      <c r="G3762" s="65">
        <v>0</v>
      </c>
      <c r="H3762" s="591" t="s">
        <v>280</v>
      </c>
      <c r="I3762" s="591" t="s">
        <v>280</v>
      </c>
    </row>
    <row r="3763" spans="1:9">
      <c r="A3763" s="582" t="s">
        <v>647</v>
      </c>
      <c r="B3763" s="65">
        <v>3961</v>
      </c>
      <c r="C3763" s="579" t="s">
        <v>281</v>
      </c>
      <c r="D3763" s="579"/>
      <c r="E3763" s="583"/>
      <c r="F3763" s="596"/>
      <c r="G3763" s="65">
        <v>0</v>
      </c>
      <c r="H3763" s="591" t="s">
        <v>280</v>
      </c>
      <c r="I3763" s="591" t="s">
        <v>280</v>
      </c>
    </row>
    <row r="3764" spans="1:9">
      <c r="A3764" s="582" t="s">
        <v>647</v>
      </c>
      <c r="B3764" s="65">
        <v>3962</v>
      </c>
      <c r="C3764" s="579" t="s">
        <v>281</v>
      </c>
      <c r="D3764" s="579"/>
      <c r="E3764" s="583"/>
      <c r="F3764" s="596"/>
      <c r="G3764" s="65">
        <v>0</v>
      </c>
      <c r="H3764" s="591" t="s">
        <v>280</v>
      </c>
      <c r="I3764" s="591" t="s">
        <v>280</v>
      </c>
    </row>
    <row r="3765" spans="1:9">
      <c r="A3765" s="582" t="s">
        <v>647</v>
      </c>
      <c r="B3765" s="65">
        <v>3963</v>
      </c>
      <c r="C3765" s="579" t="s">
        <v>281</v>
      </c>
      <c r="D3765" s="579"/>
      <c r="E3765" s="583"/>
      <c r="F3765" s="596"/>
      <c r="G3765" s="65">
        <v>0</v>
      </c>
      <c r="H3765" s="591" t="s">
        <v>280</v>
      </c>
      <c r="I3765" s="591" t="s">
        <v>280</v>
      </c>
    </row>
    <row r="3766" spans="1:9">
      <c r="A3766" s="582" t="s">
        <v>647</v>
      </c>
      <c r="B3766" s="65">
        <v>3964</v>
      </c>
      <c r="C3766" s="579" t="s">
        <v>281</v>
      </c>
      <c r="D3766" s="579"/>
      <c r="E3766" s="583"/>
      <c r="F3766" s="596"/>
      <c r="G3766" s="65">
        <v>0</v>
      </c>
      <c r="H3766" s="591" t="s">
        <v>280</v>
      </c>
      <c r="I3766" s="591" t="s">
        <v>280</v>
      </c>
    </row>
    <row r="3767" spans="1:9">
      <c r="A3767" s="582" t="s">
        <v>647</v>
      </c>
      <c r="B3767" s="65">
        <v>3965</v>
      </c>
      <c r="C3767" s="579" t="s">
        <v>281</v>
      </c>
      <c r="D3767" s="579"/>
      <c r="E3767" s="583"/>
      <c r="F3767" s="596"/>
      <c r="G3767" s="65">
        <v>0</v>
      </c>
      <c r="H3767" s="591" t="s">
        <v>280</v>
      </c>
      <c r="I3767" s="591" t="s">
        <v>280</v>
      </c>
    </row>
    <row r="3768" spans="1:9">
      <c r="A3768" s="582" t="s">
        <v>647</v>
      </c>
      <c r="B3768" s="65">
        <v>3966</v>
      </c>
      <c r="C3768" s="579" t="s">
        <v>281</v>
      </c>
      <c r="D3768" s="579"/>
      <c r="E3768" s="583"/>
      <c r="F3768" s="596"/>
      <c r="G3768" s="65">
        <v>0</v>
      </c>
      <c r="H3768" s="591" t="s">
        <v>280</v>
      </c>
      <c r="I3768" s="591" t="s">
        <v>280</v>
      </c>
    </row>
    <row r="3769" spans="1:9">
      <c r="A3769" s="582" t="s">
        <v>647</v>
      </c>
      <c r="B3769" s="65">
        <v>3967</v>
      </c>
      <c r="C3769" s="579" t="s">
        <v>281</v>
      </c>
      <c r="D3769" s="579"/>
      <c r="E3769" s="583"/>
      <c r="F3769" s="596"/>
      <c r="G3769" s="65">
        <v>0</v>
      </c>
      <c r="H3769" s="591" t="s">
        <v>280</v>
      </c>
      <c r="I3769" s="591" t="s">
        <v>280</v>
      </c>
    </row>
    <row r="3770" spans="1:9">
      <c r="A3770" s="582" t="s">
        <v>647</v>
      </c>
      <c r="B3770" s="65">
        <v>3968</v>
      </c>
      <c r="C3770" s="579" t="s">
        <v>281</v>
      </c>
      <c r="D3770" s="579"/>
      <c r="E3770" s="583"/>
      <c r="F3770" s="596"/>
      <c r="G3770" s="65">
        <v>0</v>
      </c>
      <c r="H3770" s="591" t="s">
        <v>280</v>
      </c>
      <c r="I3770" s="591" t="s">
        <v>280</v>
      </c>
    </row>
    <row r="3771" spans="1:9">
      <c r="A3771" s="582" t="s">
        <v>647</v>
      </c>
      <c r="B3771" s="65">
        <v>3969</v>
      </c>
      <c r="C3771" s="579" t="s">
        <v>281</v>
      </c>
      <c r="D3771" s="579"/>
      <c r="E3771" s="583"/>
      <c r="F3771" s="596"/>
      <c r="G3771" s="65">
        <v>0</v>
      </c>
      <c r="H3771" s="591" t="s">
        <v>280</v>
      </c>
      <c r="I3771" s="591" t="s">
        <v>280</v>
      </c>
    </row>
    <row r="3772" spans="1:9">
      <c r="A3772" s="582" t="s">
        <v>647</v>
      </c>
      <c r="B3772" s="65">
        <v>3970</v>
      </c>
      <c r="C3772" s="579" t="s">
        <v>281</v>
      </c>
      <c r="D3772" s="579"/>
      <c r="E3772" s="583"/>
      <c r="F3772" s="596"/>
      <c r="G3772" s="65">
        <v>0</v>
      </c>
      <c r="H3772" s="591" t="s">
        <v>280</v>
      </c>
      <c r="I3772" s="591" t="s">
        <v>280</v>
      </c>
    </row>
    <row r="3773" spans="1:9">
      <c r="A3773" s="582" t="s">
        <v>647</v>
      </c>
      <c r="B3773" s="65">
        <v>3971</v>
      </c>
      <c r="C3773" s="579" t="s">
        <v>281</v>
      </c>
      <c r="D3773" s="579"/>
      <c r="E3773" s="583"/>
      <c r="F3773" s="596"/>
      <c r="G3773" s="65">
        <v>0</v>
      </c>
      <c r="H3773" s="591" t="s">
        <v>280</v>
      </c>
      <c r="I3773" s="591" t="s">
        <v>280</v>
      </c>
    </row>
    <row r="3774" spans="1:9">
      <c r="A3774" s="582" t="s">
        <v>647</v>
      </c>
      <c r="B3774" s="65">
        <v>3972</v>
      </c>
      <c r="C3774" s="579" t="s">
        <v>281</v>
      </c>
      <c r="D3774" s="579"/>
      <c r="E3774" s="583"/>
      <c r="F3774" s="596"/>
      <c r="G3774" s="65">
        <v>0</v>
      </c>
      <c r="H3774" s="591" t="s">
        <v>280</v>
      </c>
      <c r="I3774" s="591" t="s">
        <v>280</v>
      </c>
    </row>
    <row r="3775" spans="1:9">
      <c r="A3775" s="582" t="s">
        <v>647</v>
      </c>
      <c r="B3775" s="65">
        <v>3973</v>
      </c>
      <c r="C3775" s="579" t="s">
        <v>281</v>
      </c>
      <c r="D3775" s="579"/>
      <c r="E3775" s="583"/>
      <c r="F3775" s="596"/>
      <c r="G3775" s="65">
        <v>0</v>
      </c>
      <c r="H3775" s="591" t="s">
        <v>280</v>
      </c>
      <c r="I3775" s="591" t="s">
        <v>280</v>
      </c>
    </row>
    <row r="3776" spans="1:9">
      <c r="A3776" s="582" t="s">
        <v>647</v>
      </c>
      <c r="B3776" s="65">
        <v>3974</v>
      </c>
      <c r="C3776" s="579" t="s">
        <v>281</v>
      </c>
      <c r="D3776" s="579"/>
      <c r="E3776" s="583"/>
      <c r="F3776" s="596"/>
      <c r="G3776" s="65">
        <v>0</v>
      </c>
      <c r="H3776" s="591" t="s">
        <v>280</v>
      </c>
      <c r="I3776" s="591" t="s">
        <v>280</v>
      </c>
    </row>
    <row r="3777" spans="1:9">
      <c r="A3777" s="582" t="s">
        <v>647</v>
      </c>
      <c r="B3777" s="65">
        <v>3975</v>
      </c>
      <c r="C3777" s="579" t="s">
        <v>281</v>
      </c>
      <c r="D3777" s="579"/>
      <c r="E3777" s="583"/>
      <c r="F3777" s="596"/>
      <c r="G3777" s="65">
        <v>0</v>
      </c>
      <c r="H3777" s="591" t="s">
        <v>280</v>
      </c>
      <c r="I3777" s="591" t="s">
        <v>280</v>
      </c>
    </row>
    <row r="3778" spans="1:9">
      <c r="A3778" s="582" t="s">
        <v>647</v>
      </c>
      <c r="B3778" s="65">
        <v>3976</v>
      </c>
      <c r="C3778" s="579" t="s">
        <v>281</v>
      </c>
      <c r="D3778" s="579"/>
      <c r="E3778" s="583"/>
      <c r="F3778" s="596"/>
      <c r="G3778" s="65">
        <v>0</v>
      </c>
      <c r="H3778" s="591" t="s">
        <v>280</v>
      </c>
      <c r="I3778" s="591" t="s">
        <v>280</v>
      </c>
    </row>
    <row r="3779" spans="1:9">
      <c r="A3779" s="582" t="s">
        <v>647</v>
      </c>
      <c r="B3779" s="65">
        <v>3977</v>
      </c>
      <c r="C3779" s="579" t="s">
        <v>281</v>
      </c>
      <c r="D3779" s="579"/>
      <c r="E3779" s="583"/>
      <c r="F3779" s="596"/>
      <c r="G3779" s="65">
        <v>0</v>
      </c>
      <c r="H3779" s="591" t="s">
        <v>280</v>
      </c>
      <c r="I3779" s="591" t="s">
        <v>280</v>
      </c>
    </row>
    <row r="3780" spans="1:9">
      <c r="A3780" s="582" t="s">
        <v>647</v>
      </c>
      <c r="B3780" s="65">
        <v>3978</v>
      </c>
      <c r="C3780" s="579" t="s">
        <v>281</v>
      </c>
      <c r="D3780" s="579"/>
      <c r="E3780" s="583"/>
      <c r="F3780" s="596"/>
      <c r="G3780" s="65">
        <v>0</v>
      </c>
      <c r="H3780" s="591" t="s">
        <v>280</v>
      </c>
      <c r="I3780" s="591" t="s">
        <v>280</v>
      </c>
    </row>
    <row r="3781" spans="1:9">
      <c r="A3781" s="582" t="s">
        <v>647</v>
      </c>
      <c r="B3781" s="65">
        <v>3979</v>
      </c>
      <c r="C3781" s="579" t="s">
        <v>281</v>
      </c>
      <c r="D3781" s="579"/>
      <c r="E3781" s="583"/>
      <c r="F3781" s="596"/>
      <c r="G3781" s="65">
        <v>0</v>
      </c>
      <c r="H3781" s="591" t="s">
        <v>280</v>
      </c>
      <c r="I3781" s="591" t="s">
        <v>280</v>
      </c>
    </row>
    <row r="3782" spans="1:9">
      <c r="A3782" s="582" t="s">
        <v>647</v>
      </c>
      <c r="B3782" s="65">
        <v>3980</v>
      </c>
      <c r="C3782" s="579" t="s">
        <v>281</v>
      </c>
      <c r="D3782" s="579"/>
      <c r="E3782" s="583"/>
      <c r="F3782" s="596"/>
      <c r="G3782" s="65">
        <v>0</v>
      </c>
      <c r="H3782" s="591" t="s">
        <v>280</v>
      </c>
      <c r="I3782" s="591" t="s">
        <v>280</v>
      </c>
    </row>
    <row r="3783" spans="1:9">
      <c r="A3783" s="582" t="s">
        <v>647</v>
      </c>
      <c r="B3783" s="65">
        <v>3981</v>
      </c>
      <c r="C3783" s="579" t="s">
        <v>281</v>
      </c>
      <c r="D3783" s="579"/>
      <c r="E3783" s="583"/>
      <c r="F3783" s="596"/>
      <c r="G3783" s="65">
        <v>0</v>
      </c>
      <c r="H3783" s="591" t="s">
        <v>280</v>
      </c>
      <c r="I3783" s="591" t="s">
        <v>280</v>
      </c>
    </row>
    <row r="3784" spans="1:9">
      <c r="A3784" s="582" t="s">
        <v>647</v>
      </c>
      <c r="B3784" s="65">
        <v>3982</v>
      </c>
      <c r="C3784" s="579" t="s">
        <v>281</v>
      </c>
      <c r="D3784" s="579"/>
      <c r="E3784" s="583"/>
      <c r="F3784" s="596"/>
      <c r="G3784" s="65">
        <v>0</v>
      </c>
      <c r="H3784" s="591" t="s">
        <v>280</v>
      </c>
      <c r="I3784" s="591" t="s">
        <v>280</v>
      </c>
    </row>
    <row r="3785" spans="1:9">
      <c r="A3785" s="582" t="s">
        <v>647</v>
      </c>
      <c r="B3785" s="65">
        <v>3983</v>
      </c>
      <c r="C3785" s="579" t="s">
        <v>281</v>
      </c>
      <c r="D3785" s="579"/>
      <c r="E3785" s="583"/>
      <c r="F3785" s="596"/>
      <c r="G3785" s="65">
        <v>0</v>
      </c>
      <c r="H3785" s="591" t="s">
        <v>280</v>
      </c>
      <c r="I3785" s="591" t="s">
        <v>280</v>
      </c>
    </row>
    <row r="3786" spans="1:9">
      <c r="A3786" s="582" t="s">
        <v>647</v>
      </c>
      <c r="B3786" s="65">
        <v>3984</v>
      </c>
      <c r="C3786" s="579" t="s">
        <v>281</v>
      </c>
      <c r="D3786" s="579"/>
      <c r="E3786" s="583"/>
      <c r="F3786" s="596"/>
      <c r="G3786" s="65">
        <v>0</v>
      </c>
      <c r="H3786" s="591" t="s">
        <v>280</v>
      </c>
      <c r="I3786" s="591" t="s">
        <v>280</v>
      </c>
    </row>
    <row r="3787" spans="1:9">
      <c r="A3787" s="582" t="s">
        <v>647</v>
      </c>
      <c r="B3787" s="65">
        <v>3985</v>
      </c>
      <c r="C3787" s="579" t="s">
        <v>281</v>
      </c>
      <c r="D3787" s="579"/>
      <c r="E3787" s="583"/>
      <c r="F3787" s="596"/>
      <c r="G3787" s="65">
        <v>0</v>
      </c>
      <c r="H3787" s="591" t="s">
        <v>280</v>
      </c>
      <c r="I3787" s="591" t="s">
        <v>280</v>
      </c>
    </row>
    <row r="3788" spans="1:9">
      <c r="A3788" s="582" t="s">
        <v>647</v>
      </c>
      <c r="B3788" s="65">
        <v>3986</v>
      </c>
      <c r="C3788" s="579" t="s">
        <v>281</v>
      </c>
      <c r="D3788" s="579"/>
      <c r="E3788" s="583"/>
      <c r="F3788" s="596"/>
      <c r="G3788" s="65">
        <v>0</v>
      </c>
      <c r="H3788" s="591" t="s">
        <v>280</v>
      </c>
      <c r="I3788" s="591" t="s">
        <v>280</v>
      </c>
    </row>
    <row r="3789" spans="1:9">
      <c r="A3789" s="582" t="s">
        <v>647</v>
      </c>
      <c r="B3789" s="65">
        <v>3987</v>
      </c>
      <c r="C3789" s="579" t="s">
        <v>281</v>
      </c>
      <c r="D3789" s="579"/>
      <c r="E3789" s="583"/>
      <c r="F3789" s="596"/>
      <c r="G3789" s="65">
        <v>0</v>
      </c>
      <c r="H3789" s="591" t="s">
        <v>280</v>
      </c>
      <c r="I3789" s="591" t="s">
        <v>280</v>
      </c>
    </row>
    <row r="3790" spans="1:9">
      <c r="A3790" s="582" t="s">
        <v>647</v>
      </c>
      <c r="B3790" s="65">
        <v>3988</v>
      </c>
      <c r="C3790" s="579" t="s">
        <v>281</v>
      </c>
      <c r="D3790" s="579"/>
      <c r="E3790" s="583"/>
      <c r="F3790" s="596"/>
      <c r="G3790" s="65">
        <v>0</v>
      </c>
      <c r="H3790" s="591" t="s">
        <v>280</v>
      </c>
      <c r="I3790" s="591" t="s">
        <v>280</v>
      </c>
    </row>
    <row r="3791" spans="1:9">
      <c r="A3791" s="582" t="s">
        <v>647</v>
      </c>
      <c r="B3791" s="65">
        <v>3989</v>
      </c>
      <c r="C3791" s="579" t="s">
        <v>281</v>
      </c>
      <c r="D3791" s="579"/>
      <c r="E3791" s="583"/>
      <c r="F3791" s="596"/>
      <c r="G3791" s="65">
        <v>0</v>
      </c>
      <c r="H3791" s="591" t="s">
        <v>280</v>
      </c>
      <c r="I3791" s="591" t="s">
        <v>280</v>
      </c>
    </row>
    <row r="3792" spans="1:9">
      <c r="A3792" s="582" t="s">
        <v>647</v>
      </c>
      <c r="B3792" s="65">
        <v>3990</v>
      </c>
      <c r="C3792" s="579" t="s">
        <v>281</v>
      </c>
      <c r="D3792" s="579"/>
      <c r="E3792" s="583"/>
      <c r="F3792" s="596"/>
      <c r="G3792" s="65">
        <v>0</v>
      </c>
      <c r="H3792" s="591" t="s">
        <v>280</v>
      </c>
      <c r="I3792" s="591" t="s">
        <v>280</v>
      </c>
    </row>
    <row r="3793" spans="1:9">
      <c r="A3793" s="582" t="s">
        <v>647</v>
      </c>
      <c r="B3793" s="65">
        <v>3991</v>
      </c>
      <c r="C3793" s="579" t="s">
        <v>281</v>
      </c>
      <c r="D3793" s="579"/>
      <c r="E3793" s="583"/>
      <c r="F3793" s="596"/>
      <c r="G3793" s="65">
        <v>0</v>
      </c>
      <c r="H3793" s="591" t="s">
        <v>280</v>
      </c>
      <c r="I3793" s="591" t="s">
        <v>280</v>
      </c>
    </row>
    <row r="3794" spans="1:9">
      <c r="A3794" s="582" t="s">
        <v>647</v>
      </c>
      <c r="B3794" s="65">
        <v>3992</v>
      </c>
      <c r="C3794" s="579" t="s">
        <v>281</v>
      </c>
      <c r="D3794" s="579"/>
      <c r="E3794" s="583"/>
      <c r="F3794" s="596"/>
      <c r="G3794" s="65">
        <v>0</v>
      </c>
      <c r="H3794" s="591" t="s">
        <v>280</v>
      </c>
      <c r="I3794" s="591" t="s">
        <v>280</v>
      </c>
    </row>
    <row r="3795" spans="1:9">
      <c r="A3795" s="582" t="s">
        <v>647</v>
      </c>
      <c r="B3795" s="65">
        <v>3993</v>
      </c>
      <c r="C3795" s="579" t="s">
        <v>281</v>
      </c>
      <c r="D3795" s="579"/>
      <c r="E3795" s="583"/>
      <c r="F3795" s="596"/>
      <c r="G3795" s="65">
        <v>0</v>
      </c>
      <c r="H3795" s="591" t="s">
        <v>280</v>
      </c>
      <c r="I3795" s="591" t="s">
        <v>280</v>
      </c>
    </row>
    <row r="3796" spans="1:9">
      <c r="A3796" s="582" t="s">
        <v>647</v>
      </c>
      <c r="B3796" s="65">
        <v>3994</v>
      </c>
      <c r="C3796" s="579" t="s">
        <v>281</v>
      </c>
      <c r="D3796" s="579"/>
      <c r="E3796" s="583"/>
      <c r="F3796" s="596"/>
      <c r="G3796" s="65">
        <v>0</v>
      </c>
      <c r="H3796" s="591" t="s">
        <v>280</v>
      </c>
      <c r="I3796" s="591" t="s">
        <v>280</v>
      </c>
    </row>
    <row r="3797" spans="1:9">
      <c r="A3797" s="582" t="s">
        <v>647</v>
      </c>
      <c r="B3797" s="65">
        <v>3995</v>
      </c>
      <c r="C3797" s="579" t="s">
        <v>281</v>
      </c>
      <c r="D3797" s="579"/>
      <c r="E3797" s="583"/>
      <c r="F3797" s="596"/>
      <c r="G3797" s="65">
        <v>0</v>
      </c>
      <c r="H3797" s="591" t="s">
        <v>280</v>
      </c>
      <c r="I3797" s="591" t="s">
        <v>280</v>
      </c>
    </row>
    <row r="3798" spans="1:9">
      <c r="A3798" s="582" t="s">
        <v>647</v>
      </c>
      <c r="B3798" s="65">
        <v>3996</v>
      </c>
      <c r="C3798" s="579" t="s">
        <v>281</v>
      </c>
      <c r="D3798" s="579"/>
      <c r="E3798" s="583"/>
      <c r="F3798" s="596"/>
      <c r="G3798" s="65">
        <v>0</v>
      </c>
      <c r="H3798" s="591" t="s">
        <v>280</v>
      </c>
      <c r="I3798" s="591" t="s">
        <v>280</v>
      </c>
    </row>
    <row r="3799" spans="1:9">
      <c r="A3799" s="582" t="s">
        <v>647</v>
      </c>
      <c r="B3799" s="65">
        <v>3997</v>
      </c>
      <c r="C3799" s="579" t="s">
        <v>281</v>
      </c>
      <c r="D3799" s="579"/>
      <c r="E3799" s="583"/>
      <c r="F3799" s="596"/>
      <c r="G3799" s="65">
        <v>0</v>
      </c>
      <c r="H3799" s="591" t="s">
        <v>280</v>
      </c>
      <c r="I3799" s="591" t="s">
        <v>280</v>
      </c>
    </row>
    <row r="3800" spans="1:9">
      <c r="A3800" s="582" t="s">
        <v>647</v>
      </c>
      <c r="B3800" s="65">
        <v>3998</v>
      </c>
      <c r="C3800" s="579" t="s">
        <v>281</v>
      </c>
      <c r="D3800" s="579"/>
      <c r="E3800" s="583"/>
      <c r="F3800" s="596"/>
      <c r="G3800" s="65">
        <v>0</v>
      </c>
      <c r="H3800" s="591" t="s">
        <v>280</v>
      </c>
      <c r="I3800" s="591" t="s">
        <v>280</v>
      </c>
    </row>
    <row r="3801" spans="1:9">
      <c r="A3801" s="582" t="s">
        <v>647</v>
      </c>
      <c r="B3801" s="65">
        <v>3999</v>
      </c>
      <c r="C3801" s="579" t="s">
        <v>281</v>
      </c>
      <c r="D3801" s="579"/>
      <c r="E3801" s="583"/>
      <c r="F3801" s="596"/>
      <c r="G3801" s="65">
        <v>0</v>
      </c>
      <c r="H3801" s="591" t="s">
        <v>280</v>
      </c>
      <c r="I3801" s="591" t="s">
        <v>280</v>
      </c>
    </row>
    <row r="3802" spans="1:9">
      <c r="A3802" s="582" t="s">
        <v>1882</v>
      </c>
      <c r="B3802" s="65">
        <v>4000</v>
      </c>
      <c r="C3802" s="579" t="s">
        <v>279</v>
      </c>
      <c r="D3802" s="579"/>
      <c r="E3802" s="583"/>
      <c r="F3802" s="585">
        <v>45535</v>
      </c>
      <c r="G3802" s="65">
        <v>1</v>
      </c>
      <c r="H3802" s="591" t="s">
        <v>280</v>
      </c>
      <c r="I3802" s="591" t="s">
        <v>280</v>
      </c>
    </row>
    <row r="3803" spans="1:9">
      <c r="A3803" s="582" t="s">
        <v>1882</v>
      </c>
      <c r="B3803" s="65">
        <v>4001</v>
      </c>
      <c r="C3803" s="65" t="s">
        <v>1883</v>
      </c>
      <c r="D3803" s="65">
        <v>10996</v>
      </c>
      <c r="E3803" s="583"/>
      <c r="F3803" s="585">
        <v>45535</v>
      </c>
      <c r="G3803" s="65">
        <v>1</v>
      </c>
      <c r="H3803" s="591" t="s">
        <v>1978</v>
      </c>
      <c r="I3803" s="591" t="s">
        <v>1234</v>
      </c>
    </row>
    <row r="3804" spans="1:9">
      <c r="A3804" s="582" t="s">
        <v>1882</v>
      </c>
      <c r="B3804" s="65">
        <v>4002</v>
      </c>
      <c r="C3804" s="65" t="s">
        <v>1884</v>
      </c>
      <c r="D3804" s="65">
        <v>10997</v>
      </c>
      <c r="E3804" s="583"/>
      <c r="F3804" s="585">
        <v>45535</v>
      </c>
      <c r="G3804" s="65">
        <v>1</v>
      </c>
      <c r="H3804" s="591" t="s">
        <v>1978</v>
      </c>
      <c r="I3804" s="591" t="s">
        <v>1234</v>
      </c>
    </row>
    <row r="3805" spans="1:9">
      <c r="A3805" s="582" t="s">
        <v>1882</v>
      </c>
      <c r="B3805" s="65">
        <v>4003</v>
      </c>
      <c r="C3805" s="579" t="s">
        <v>571</v>
      </c>
      <c r="D3805" s="579">
        <v>10121</v>
      </c>
      <c r="E3805" s="583"/>
      <c r="F3805" s="585">
        <v>45535</v>
      </c>
      <c r="G3805" s="65">
        <v>1</v>
      </c>
      <c r="H3805" s="591" t="s">
        <v>1978</v>
      </c>
      <c r="I3805" s="591" t="s">
        <v>1234</v>
      </c>
    </row>
    <row r="3806" spans="1:9">
      <c r="A3806" s="582" t="s">
        <v>1882</v>
      </c>
      <c r="B3806" s="65">
        <v>4004</v>
      </c>
      <c r="C3806" s="65" t="s">
        <v>1885</v>
      </c>
      <c r="D3806" s="65">
        <v>10998</v>
      </c>
      <c r="E3806" s="583"/>
      <c r="F3806" s="585">
        <v>45535</v>
      </c>
      <c r="G3806" s="65">
        <v>1</v>
      </c>
      <c r="H3806" s="591" t="s">
        <v>1978</v>
      </c>
      <c r="I3806" s="591" t="s">
        <v>1234</v>
      </c>
    </row>
    <row r="3807" spans="1:9">
      <c r="A3807" s="582" t="s">
        <v>1882</v>
      </c>
      <c r="B3807" s="65">
        <v>4005</v>
      </c>
      <c r="C3807" s="65" t="s">
        <v>1886</v>
      </c>
      <c r="D3807" s="65">
        <v>10999</v>
      </c>
      <c r="E3807" s="583"/>
      <c r="F3807" s="585">
        <v>45535</v>
      </c>
      <c r="G3807" s="65">
        <v>1</v>
      </c>
      <c r="H3807" s="591" t="s">
        <v>1978</v>
      </c>
      <c r="I3807" s="591" t="s">
        <v>1234</v>
      </c>
    </row>
    <row r="3808" spans="1:9">
      <c r="A3808" s="582" t="s">
        <v>1882</v>
      </c>
      <c r="B3808" s="65">
        <v>4006</v>
      </c>
      <c r="C3808" s="65" t="s">
        <v>1887</v>
      </c>
      <c r="D3808" s="65">
        <v>11000</v>
      </c>
      <c r="E3808" s="583"/>
      <c r="F3808" s="585">
        <v>45535</v>
      </c>
      <c r="G3808" s="65">
        <v>1</v>
      </c>
      <c r="H3808" s="591" t="s">
        <v>1978</v>
      </c>
      <c r="I3808" s="591" t="s">
        <v>1234</v>
      </c>
    </row>
    <row r="3809" spans="1:9">
      <c r="A3809" s="582" t="s">
        <v>1882</v>
      </c>
      <c r="B3809" s="65">
        <v>4007</v>
      </c>
      <c r="C3809" s="65" t="s">
        <v>1888</v>
      </c>
      <c r="D3809" s="65">
        <v>11001</v>
      </c>
      <c r="E3809" s="583"/>
      <c r="F3809" s="585">
        <v>45535</v>
      </c>
      <c r="G3809" s="65">
        <v>1</v>
      </c>
      <c r="H3809" s="591" t="s">
        <v>1978</v>
      </c>
      <c r="I3809" s="591" t="s">
        <v>1234</v>
      </c>
    </row>
    <row r="3810" spans="1:9">
      <c r="A3810" s="582" t="s">
        <v>1882</v>
      </c>
      <c r="B3810" s="65">
        <v>4008</v>
      </c>
      <c r="C3810" s="65" t="s">
        <v>1889</v>
      </c>
      <c r="D3810" s="65">
        <v>11002</v>
      </c>
      <c r="E3810" s="583"/>
      <c r="F3810" s="585">
        <v>45535</v>
      </c>
      <c r="G3810" s="65">
        <v>1</v>
      </c>
      <c r="H3810" s="591" t="s">
        <v>280</v>
      </c>
      <c r="I3810" s="591" t="s">
        <v>280</v>
      </c>
    </row>
    <row r="3811" spans="1:9">
      <c r="A3811" s="582" t="s">
        <v>1882</v>
      </c>
      <c r="B3811" s="65">
        <v>4009</v>
      </c>
      <c r="C3811" s="65" t="s">
        <v>1890</v>
      </c>
      <c r="D3811" s="65">
        <v>11003</v>
      </c>
      <c r="E3811" s="583"/>
      <c r="F3811" s="585">
        <v>45535</v>
      </c>
      <c r="G3811" s="65">
        <v>1</v>
      </c>
      <c r="H3811" s="591" t="s">
        <v>1978</v>
      </c>
      <c r="I3811" s="591" t="s">
        <v>1234</v>
      </c>
    </row>
    <row r="3812" spans="1:9">
      <c r="A3812" s="582" t="s">
        <v>1882</v>
      </c>
      <c r="B3812" s="65">
        <v>4010</v>
      </c>
      <c r="C3812" s="65" t="s">
        <v>1891</v>
      </c>
      <c r="D3812" s="65">
        <v>10855</v>
      </c>
      <c r="E3812" s="583"/>
      <c r="F3812" s="585">
        <v>45535</v>
      </c>
      <c r="G3812" s="65">
        <v>1</v>
      </c>
      <c r="H3812" s="591" t="s">
        <v>1978</v>
      </c>
      <c r="I3812" s="591" t="s">
        <v>1234</v>
      </c>
    </row>
    <row r="3813" spans="1:9" ht="12.75">
      <c r="A3813" s="582" t="s">
        <v>1882</v>
      </c>
      <c r="B3813" s="65">
        <v>4011</v>
      </c>
      <c r="C3813" s="579" t="s">
        <v>390</v>
      </c>
      <c r="D3813" s="63">
        <v>10646</v>
      </c>
      <c r="E3813" s="63"/>
      <c r="F3813" s="585">
        <v>45535</v>
      </c>
      <c r="G3813" s="65">
        <v>1</v>
      </c>
      <c r="H3813" s="591" t="s">
        <v>280</v>
      </c>
      <c r="I3813" s="591" t="s">
        <v>280</v>
      </c>
    </row>
    <row r="3814" spans="1:9" ht="14.25">
      <c r="A3814" s="582" t="s">
        <v>1882</v>
      </c>
      <c r="B3814" s="65">
        <v>4012</v>
      </c>
      <c r="C3814" s="579" t="s">
        <v>2045</v>
      </c>
      <c r="D3814" s="63">
        <v>11068</v>
      </c>
      <c r="E3814" s="587"/>
      <c r="F3814" s="600">
        <v>45675</v>
      </c>
      <c r="G3814" s="65">
        <v>1</v>
      </c>
      <c r="H3814" s="591" t="s">
        <v>280</v>
      </c>
      <c r="I3814" s="591" t="s">
        <v>280</v>
      </c>
    </row>
    <row r="3815" spans="1:9">
      <c r="A3815" s="582" t="s">
        <v>1882</v>
      </c>
      <c r="B3815" s="65">
        <v>4013</v>
      </c>
      <c r="C3815" s="579" t="s">
        <v>281</v>
      </c>
      <c r="D3815" s="579"/>
      <c r="E3815" s="583"/>
      <c r="F3815" s="596"/>
      <c r="G3815" s="65">
        <v>0</v>
      </c>
      <c r="H3815" s="591" t="s">
        <v>280</v>
      </c>
      <c r="I3815" s="591" t="s">
        <v>280</v>
      </c>
    </row>
    <row r="3816" spans="1:9">
      <c r="A3816" s="582" t="s">
        <v>1882</v>
      </c>
      <c r="B3816" s="65">
        <v>4014</v>
      </c>
      <c r="C3816" s="579" t="s">
        <v>281</v>
      </c>
      <c r="D3816" s="579"/>
      <c r="E3816" s="583"/>
      <c r="F3816" s="596"/>
      <c r="G3816" s="65">
        <v>0</v>
      </c>
      <c r="H3816" s="591" t="s">
        <v>280</v>
      </c>
      <c r="I3816" s="591" t="s">
        <v>280</v>
      </c>
    </row>
    <row r="3817" spans="1:9">
      <c r="A3817" s="582" t="s">
        <v>1882</v>
      </c>
      <c r="B3817" s="65">
        <v>4015</v>
      </c>
      <c r="C3817" s="579" t="s">
        <v>281</v>
      </c>
      <c r="D3817" s="579"/>
      <c r="E3817" s="583"/>
      <c r="F3817" s="596"/>
      <c r="G3817" s="65">
        <v>0</v>
      </c>
      <c r="H3817" s="591" t="s">
        <v>280</v>
      </c>
      <c r="I3817" s="591" t="s">
        <v>280</v>
      </c>
    </row>
    <row r="3818" spans="1:9">
      <c r="A3818" s="582" t="s">
        <v>1882</v>
      </c>
      <c r="B3818" s="65">
        <v>4016</v>
      </c>
      <c r="C3818" s="579" t="s">
        <v>281</v>
      </c>
      <c r="D3818" s="579"/>
      <c r="E3818" s="583"/>
      <c r="F3818" s="596"/>
      <c r="G3818" s="65">
        <v>0</v>
      </c>
      <c r="H3818" s="591" t="s">
        <v>280</v>
      </c>
      <c r="I3818" s="591" t="s">
        <v>280</v>
      </c>
    </row>
    <row r="3819" spans="1:9">
      <c r="A3819" s="582" t="s">
        <v>1882</v>
      </c>
      <c r="B3819" s="65">
        <v>4017</v>
      </c>
      <c r="C3819" s="579" t="s">
        <v>281</v>
      </c>
      <c r="D3819" s="579"/>
      <c r="E3819" s="583"/>
      <c r="F3819" s="596"/>
      <c r="G3819" s="65">
        <v>0</v>
      </c>
      <c r="H3819" s="591" t="s">
        <v>280</v>
      </c>
      <c r="I3819" s="591" t="s">
        <v>280</v>
      </c>
    </row>
    <row r="3820" spans="1:9">
      <c r="A3820" s="582" t="s">
        <v>1882</v>
      </c>
      <c r="B3820" s="65">
        <v>4018</v>
      </c>
      <c r="C3820" s="579" t="s">
        <v>281</v>
      </c>
      <c r="D3820" s="579"/>
      <c r="E3820" s="583"/>
      <c r="F3820" s="596"/>
      <c r="G3820" s="65">
        <v>0</v>
      </c>
      <c r="H3820" s="591" t="s">
        <v>280</v>
      </c>
      <c r="I3820" s="591" t="s">
        <v>280</v>
      </c>
    </row>
    <row r="3821" spans="1:9">
      <c r="A3821" s="582" t="s">
        <v>1882</v>
      </c>
      <c r="B3821" s="65">
        <v>4019</v>
      </c>
      <c r="C3821" s="579" t="s">
        <v>281</v>
      </c>
      <c r="D3821" s="579"/>
      <c r="E3821" s="583"/>
      <c r="F3821" s="596"/>
      <c r="G3821" s="65">
        <v>0</v>
      </c>
      <c r="H3821" s="591" t="s">
        <v>280</v>
      </c>
      <c r="I3821" s="591" t="s">
        <v>280</v>
      </c>
    </row>
    <row r="3822" spans="1:9">
      <c r="A3822" s="582" t="s">
        <v>1882</v>
      </c>
      <c r="B3822" s="65">
        <v>4020</v>
      </c>
      <c r="C3822" s="579" t="s">
        <v>281</v>
      </c>
      <c r="D3822" s="579"/>
      <c r="E3822" s="583"/>
      <c r="F3822" s="596"/>
      <c r="G3822" s="65">
        <v>0</v>
      </c>
      <c r="H3822" s="591" t="s">
        <v>280</v>
      </c>
      <c r="I3822" s="591" t="s">
        <v>280</v>
      </c>
    </row>
    <row r="3823" spans="1:9">
      <c r="A3823" s="582" t="s">
        <v>1882</v>
      </c>
      <c r="B3823" s="65">
        <v>4021</v>
      </c>
      <c r="C3823" s="579" t="s">
        <v>281</v>
      </c>
      <c r="D3823" s="579"/>
      <c r="E3823" s="583"/>
      <c r="F3823" s="596"/>
      <c r="G3823" s="65">
        <v>0</v>
      </c>
      <c r="H3823" s="591" t="s">
        <v>280</v>
      </c>
      <c r="I3823" s="591" t="s">
        <v>280</v>
      </c>
    </row>
    <row r="3824" spans="1:9">
      <c r="A3824" s="582" t="s">
        <v>1882</v>
      </c>
      <c r="B3824" s="65">
        <v>4022</v>
      </c>
      <c r="C3824" s="579" t="s">
        <v>281</v>
      </c>
      <c r="D3824" s="579"/>
      <c r="E3824" s="583"/>
      <c r="F3824" s="596"/>
      <c r="G3824" s="65">
        <v>0</v>
      </c>
      <c r="H3824" s="591" t="s">
        <v>280</v>
      </c>
      <c r="I3824" s="591" t="s">
        <v>280</v>
      </c>
    </row>
    <row r="3825" spans="1:9">
      <c r="A3825" s="582" t="s">
        <v>1882</v>
      </c>
      <c r="B3825" s="65">
        <v>4023</v>
      </c>
      <c r="C3825" s="579" t="s">
        <v>281</v>
      </c>
      <c r="D3825" s="579"/>
      <c r="E3825" s="583"/>
      <c r="F3825" s="596"/>
      <c r="G3825" s="65">
        <v>0</v>
      </c>
      <c r="H3825" s="591" t="s">
        <v>280</v>
      </c>
      <c r="I3825" s="591" t="s">
        <v>280</v>
      </c>
    </row>
    <row r="3826" spans="1:9">
      <c r="A3826" s="582" t="s">
        <v>1882</v>
      </c>
      <c r="B3826" s="65">
        <v>4024</v>
      </c>
      <c r="C3826" s="579" t="s">
        <v>281</v>
      </c>
      <c r="D3826" s="579"/>
      <c r="E3826" s="583"/>
      <c r="F3826" s="596"/>
      <c r="G3826" s="65">
        <v>0</v>
      </c>
      <c r="H3826" s="591" t="s">
        <v>280</v>
      </c>
      <c r="I3826" s="591" t="s">
        <v>280</v>
      </c>
    </row>
    <row r="3827" spans="1:9">
      <c r="A3827" s="582" t="s">
        <v>1882</v>
      </c>
      <c r="B3827" s="65">
        <v>4025</v>
      </c>
      <c r="C3827" s="579" t="s">
        <v>281</v>
      </c>
      <c r="D3827" s="579"/>
      <c r="E3827" s="583"/>
      <c r="F3827" s="596"/>
      <c r="G3827" s="65">
        <v>0</v>
      </c>
      <c r="H3827" s="591" t="s">
        <v>280</v>
      </c>
      <c r="I3827" s="591" t="s">
        <v>280</v>
      </c>
    </row>
    <row r="3828" spans="1:9">
      <c r="A3828" s="582" t="s">
        <v>1882</v>
      </c>
      <c r="B3828" s="65">
        <v>4026</v>
      </c>
      <c r="C3828" s="579" t="s">
        <v>281</v>
      </c>
      <c r="D3828" s="579"/>
      <c r="E3828" s="583"/>
      <c r="F3828" s="596"/>
      <c r="G3828" s="65">
        <v>0</v>
      </c>
      <c r="H3828" s="591" t="s">
        <v>280</v>
      </c>
      <c r="I3828" s="591" t="s">
        <v>280</v>
      </c>
    </row>
    <row r="3829" spans="1:9">
      <c r="A3829" s="582" t="s">
        <v>1882</v>
      </c>
      <c r="B3829" s="65">
        <v>4027</v>
      </c>
      <c r="C3829" s="579" t="s">
        <v>281</v>
      </c>
      <c r="D3829" s="579"/>
      <c r="E3829" s="583"/>
      <c r="F3829" s="596"/>
      <c r="G3829" s="65">
        <v>0</v>
      </c>
      <c r="H3829" s="591" t="s">
        <v>280</v>
      </c>
      <c r="I3829" s="591" t="s">
        <v>280</v>
      </c>
    </row>
    <row r="3830" spans="1:9">
      <c r="A3830" s="582" t="s">
        <v>1882</v>
      </c>
      <c r="B3830" s="65">
        <v>4028</v>
      </c>
      <c r="C3830" s="579" t="s">
        <v>281</v>
      </c>
      <c r="D3830" s="579"/>
      <c r="E3830" s="583"/>
      <c r="F3830" s="596"/>
      <c r="G3830" s="65">
        <v>0</v>
      </c>
      <c r="H3830" s="591" t="s">
        <v>280</v>
      </c>
      <c r="I3830" s="591" t="s">
        <v>280</v>
      </c>
    </row>
    <row r="3831" spans="1:9">
      <c r="A3831" s="582" t="s">
        <v>1882</v>
      </c>
      <c r="B3831" s="65">
        <v>4029</v>
      </c>
      <c r="C3831" s="579" t="s">
        <v>281</v>
      </c>
      <c r="D3831" s="579"/>
      <c r="E3831" s="583"/>
      <c r="F3831" s="596"/>
      <c r="G3831" s="65">
        <v>0</v>
      </c>
      <c r="H3831" s="591" t="s">
        <v>280</v>
      </c>
      <c r="I3831" s="591" t="s">
        <v>280</v>
      </c>
    </row>
    <row r="3832" spans="1:9">
      <c r="A3832" s="582" t="s">
        <v>1882</v>
      </c>
      <c r="B3832" s="65">
        <v>4030</v>
      </c>
      <c r="C3832" s="579" t="s">
        <v>281</v>
      </c>
      <c r="D3832" s="579"/>
      <c r="E3832" s="583"/>
      <c r="F3832" s="596"/>
      <c r="G3832" s="65">
        <v>0</v>
      </c>
      <c r="H3832" s="591" t="s">
        <v>280</v>
      </c>
      <c r="I3832" s="591" t="s">
        <v>280</v>
      </c>
    </row>
    <row r="3833" spans="1:9">
      <c r="A3833" s="582" t="s">
        <v>1882</v>
      </c>
      <c r="B3833" s="65">
        <v>4031</v>
      </c>
      <c r="C3833" s="579" t="s">
        <v>281</v>
      </c>
      <c r="D3833" s="579"/>
      <c r="E3833" s="583"/>
      <c r="F3833" s="596"/>
      <c r="G3833" s="65">
        <v>0</v>
      </c>
      <c r="H3833" s="591" t="s">
        <v>280</v>
      </c>
      <c r="I3833" s="591" t="s">
        <v>280</v>
      </c>
    </row>
    <row r="3834" spans="1:9">
      <c r="A3834" s="582" t="s">
        <v>1882</v>
      </c>
      <c r="B3834" s="65">
        <v>4032</v>
      </c>
      <c r="C3834" s="579" t="s">
        <v>281</v>
      </c>
      <c r="D3834" s="579"/>
      <c r="E3834" s="583"/>
      <c r="F3834" s="596"/>
      <c r="G3834" s="65">
        <v>0</v>
      </c>
      <c r="H3834" s="591" t="s">
        <v>280</v>
      </c>
      <c r="I3834" s="591" t="s">
        <v>280</v>
      </c>
    </row>
    <row r="3835" spans="1:9">
      <c r="A3835" s="582" t="s">
        <v>1882</v>
      </c>
      <c r="B3835" s="65">
        <v>4033</v>
      </c>
      <c r="C3835" s="579" t="s">
        <v>281</v>
      </c>
      <c r="D3835" s="579"/>
      <c r="E3835" s="583"/>
      <c r="F3835" s="596"/>
      <c r="G3835" s="65">
        <v>0</v>
      </c>
      <c r="H3835" s="591" t="s">
        <v>280</v>
      </c>
      <c r="I3835" s="591" t="s">
        <v>280</v>
      </c>
    </row>
    <row r="3836" spans="1:9">
      <c r="A3836" s="582" t="s">
        <v>1882</v>
      </c>
      <c r="B3836" s="65">
        <v>4034</v>
      </c>
      <c r="C3836" s="579" t="s">
        <v>281</v>
      </c>
      <c r="D3836" s="579"/>
      <c r="E3836" s="583"/>
      <c r="F3836" s="596"/>
      <c r="G3836" s="65">
        <v>0</v>
      </c>
      <c r="H3836" s="591" t="s">
        <v>280</v>
      </c>
      <c r="I3836" s="591" t="s">
        <v>280</v>
      </c>
    </row>
    <row r="3837" spans="1:9">
      <c r="A3837" s="582" t="s">
        <v>1882</v>
      </c>
      <c r="B3837" s="65">
        <v>4035</v>
      </c>
      <c r="C3837" s="579" t="s">
        <v>281</v>
      </c>
      <c r="D3837" s="579"/>
      <c r="E3837" s="583"/>
      <c r="F3837" s="596"/>
      <c r="G3837" s="65">
        <v>0</v>
      </c>
      <c r="H3837" s="591" t="s">
        <v>280</v>
      </c>
      <c r="I3837" s="591" t="s">
        <v>280</v>
      </c>
    </row>
    <row r="3838" spans="1:9">
      <c r="A3838" s="582" t="s">
        <v>1882</v>
      </c>
      <c r="B3838" s="65">
        <v>4036</v>
      </c>
      <c r="C3838" s="579" t="s">
        <v>281</v>
      </c>
      <c r="D3838" s="579"/>
      <c r="E3838" s="583"/>
      <c r="F3838" s="596"/>
      <c r="G3838" s="65">
        <v>0</v>
      </c>
      <c r="H3838" s="591" t="s">
        <v>280</v>
      </c>
      <c r="I3838" s="591" t="s">
        <v>280</v>
      </c>
    </row>
    <row r="3839" spans="1:9">
      <c r="A3839" s="582" t="s">
        <v>1882</v>
      </c>
      <c r="B3839" s="65">
        <v>4037</v>
      </c>
      <c r="C3839" s="579" t="s">
        <v>281</v>
      </c>
      <c r="D3839" s="579"/>
      <c r="E3839" s="583"/>
      <c r="F3839" s="596"/>
      <c r="G3839" s="65">
        <v>0</v>
      </c>
      <c r="H3839" s="591" t="s">
        <v>280</v>
      </c>
      <c r="I3839" s="591" t="s">
        <v>280</v>
      </c>
    </row>
    <row r="3840" spans="1:9">
      <c r="A3840" s="582" t="s">
        <v>1882</v>
      </c>
      <c r="B3840" s="65">
        <v>4038</v>
      </c>
      <c r="C3840" s="579" t="s">
        <v>281</v>
      </c>
      <c r="D3840" s="579"/>
      <c r="E3840" s="583"/>
      <c r="F3840" s="596"/>
      <c r="G3840" s="65">
        <v>0</v>
      </c>
      <c r="H3840" s="591" t="s">
        <v>280</v>
      </c>
      <c r="I3840" s="591" t="s">
        <v>280</v>
      </c>
    </row>
    <row r="3841" spans="1:9">
      <c r="A3841" s="582" t="s">
        <v>1882</v>
      </c>
      <c r="B3841" s="65">
        <v>4039</v>
      </c>
      <c r="C3841" s="579" t="s">
        <v>281</v>
      </c>
      <c r="D3841" s="579"/>
      <c r="E3841" s="583"/>
      <c r="F3841" s="596"/>
      <c r="G3841" s="65">
        <v>0</v>
      </c>
      <c r="H3841" s="591" t="s">
        <v>280</v>
      </c>
      <c r="I3841" s="591" t="s">
        <v>280</v>
      </c>
    </row>
    <row r="3842" spans="1:9">
      <c r="A3842" s="582" t="s">
        <v>1882</v>
      </c>
      <c r="B3842" s="65">
        <v>4040</v>
      </c>
      <c r="C3842" s="579" t="s">
        <v>281</v>
      </c>
      <c r="D3842" s="579"/>
      <c r="E3842" s="583"/>
      <c r="F3842" s="596"/>
      <c r="G3842" s="65">
        <v>0</v>
      </c>
      <c r="H3842" s="591" t="s">
        <v>280</v>
      </c>
      <c r="I3842" s="591" t="s">
        <v>280</v>
      </c>
    </row>
    <row r="3843" spans="1:9">
      <c r="A3843" s="582" t="s">
        <v>1882</v>
      </c>
      <c r="B3843" s="65">
        <v>4041</v>
      </c>
      <c r="C3843" s="579" t="s">
        <v>281</v>
      </c>
      <c r="D3843" s="579"/>
      <c r="E3843" s="583"/>
      <c r="F3843" s="596"/>
      <c r="G3843" s="65">
        <v>0</v>
      </c>
      <c r="H3843" s="591" t="s">
        <v>280</v>
      </c>
      <c r="I3843" s="591" t="s">
        <v>280</v>
      </c>
    </row>
    <row r="3844" spans="1:9">
      <c r="A3844" s="582" t="s">
        <v>1882</v>
      </c>
      <c r="B3844" s="65">
        <v>4042</v>
      </c>
      <c r="C3844" s="579" t="s">
        <v>281</v>
      </c>
      <c r="D3844" s="579"/>
      <c r="E3844" s="583"/>
      <c r="F3844" s="596"/>
      <c r="G3844" s="65">
        <v>0</v>
      </c>
      <c r="H3844" s="591" t="s">
        <v>280</v>
      </c>
      <c r="I3844" s="591" t="s">
        <v>280</v>
      </c>
    </row>
    <row r="3845" spans="1:9">
      <c r="A3845" s="582" t="s">
        <v>1882</v>
      </c>
      <c r="B3845" s="65">
        <v>4043</v>
      </c>
      <c r="C3845" s="579" t="s">
        <v>281</v>
      </c>
      <c r="D3845" s="579"/>
      <c r="E3845" s="583"/>
      <c r="F3845" s="596"/>
      <c r="G3845" s="65">
        <v>0</v>
      </c>
      <c r="H3845" s="591" t="s">
        <v>280</v>
      </c>
      <c r="I3845" s="591" t="s">
        <v>280</v>
      </c>
    </row>
    <row r="3846" spans="1:9">
      <c r="A3846" s="582" t="s">
        <v>1882</v>
      </c>
      <c r="B3846" s="65">
        <v>4044</v>
      </c>
      <c r="C3846" s="579" t="s">
        <v>281</v>
      </c>
      <c r="D3846" s="579"/>
      <c r="E3846" s="583"/>
      <c r="F3846" s="596"/>
      <c r="G3846" s="65">
        <v>0</v>
      </c>
      <c r="H3846" s="591" t="s">
        <v>280</v>
      </c>
      <c r="I3846" s="591" t="s">
        <v>280</v>
      </c>
    </row>
    <row r="3847" spans="1:9">
      <c r="A3847" s="582" t="s">
        <v>1882</v>
      </c>
      <c r="B3847" s="65">
        <v>4045</v>
      </c>
      <c r="C3847" s="579" t="s">
        <v>281</v>
      </c>
      <c r="D3847" s="579"/>
      <c r="E3847" s="583"/>
      <c r="F3847" s="596"/>
      <c r="G3847" s="65">
        <v>0</v>
      </c>
      <c r="H3847" s="591" t="s">
        <v>280</v>
      </c>
      <c r="I3847" s="591" t="s">
        <v>280</v>
      </c>
    </row>
    <row r="3848" spans="1:9">
      <c r="A3848" s="582" t="s">
        <v>1882</v>
      </c>
      <c r="B3848" s="65">
        <v>4046</v>
      </c>
      <c r="C3848" s="579" t="s">
        <v>281</v>
      </c>
      <c r="D3848" s="579"/>
      <c r="E3848" s="583"/>
      <c r="F3848" s="596"/>
      <c r="G3848" s="65">
        <v>0</v>
      </c>
      <c r="H3848" s="591" t="s">
        <v>280</v>
      </c>
      <c r="I3848" s="591" t="s">
        <v>280</v>
      </c>
    </row>
    <row r="3849" spans="1:9">
      <c r="A3849" s="582" t="s">
        <v>1882</v>
      </c>
      <c r="B3849" s="65">
        <v>4047</v>
      </c>
      <c r="C3849" s="579" t="s">
        <v>281</v>
      </c>
      <c r="D3849" s="579"/>
      <c r="E3849" s="583"/>
      <c r="F3849" s="596"/>
      <c r="G3849" s="65">
        <v>0</v>
      </c>
      <c r="H3849" s="591" t="s">
        <v>280</v>
      </c>
      <c r="I3849" s="591" t="s">
        <v>280</v>
      </c>
    </row>
    <row r="3850" spans="1:9">
      <c r="A3850" s="582" t="s">
        <v>1882</v>
      </c>
      <c r="B3850" s="65">
        <v>4048</v>
      </c>
      <c r="C3850" s="579" t="s">
        <v>281</v>
      </c>
      <c r="D3850" s="579"/>
      <c r="E3850" s="583"/>
      <c r="F3850" s="596"/>
      <c r="G3850" s="65">
        <v>0</v>
      </c>
      <c r="H3850" s="591" t="s">
        <v>280</v>
      </c>
      <c r="I3850" s="591" t="s">
        <v>280</v>
      </c>
    </row>
    <row r="3851" spans="1:9">
      <c r="A3851" s="582" t="s">
        <v>1882</v>
      </c>
      <c r="B3851" s="65">
        <v>4049</v>
      </c>
      <c r="C3851" s="579" t="s">
        <v>281</v>
      </c>
      <c r="D3851" s="579"/>
      <c r="E3851" s="583"/>
      <c r="F3851" s="596"/>
      <c r="G3851" s="65">
        <v>0</v>
      </c>
      <c r="H3851" s="591" t="s">
        <v>280</v>
      </c>
      <c r="I3851" s="591" t="s">
        <v>280</v>
      </c>
    </row>
    <row r="3852" spans="1:9">
      <c r="A3852" s="582" t="s">
        <v>1882</v>
      </c>
      <c r="B3852" s="65">
        <v>4050</v>
      </c>
      <c r="C3852" s="579" t="s">
        <v>281</v>
      </c>
      <c r="D3852" s="579"/>
      <c r="E3852" s="583"/>
      <c r="F3852" s="596"/>
      <c r="G3852" s="65">
        <v>0</v>
      </c>
      <c r="H3852" s="591" t="s">
        <v>280</v>
      </c>
      <c r="I3852" s="591" t="s">
        <v>280</v>
      </c>
    </row>
    <row r="3853" spans="1:9">
      <c r="A3853" s="582" t="s">
        <v>1882</v>
      </c>
      <c r="B3853" s="65">
        <v>4051</v>
      </c>
      <c r="C3853" s="579" t="s">
        <v>281</v>
      </c>
      <c r="D3853" s="579"/>
      <c r="E3853" s="583"/>
      <c r="F3853" s="596"/>
      <c r="G3853" s="65">
        <v>0</v>
      </c>
      <c r="H3853" s="591" t="s">
        <v>280</v>
      </c>
      <c r="I3853" s="591" t="s">
        <v>280</v>
      </c>
    </row>
    <row r="3854" spans="1:9">
      <c r="A3854" s="582" t="s">
        <v>1882</v>
      </c>
      <c r="B3854" s="65">
        <v>4052</v>
      </c>
      <c r="C3854" s="579" t="s">
        <v>281</v>
      </c>
      <c r="D3854" s="579"/>
      <c r="E3854" s="583"/>
      <c r="F3854" s="596"/>
      <c r="G3854" s="65">
        <v>0</v>
      </c>
      <c r="H3854" s="591" t="s">
        <v>280</v>
      </c>
      <c r="I3854" s="591" t="s">
        <v>280</v>
      </c>
    </row>
    <row r="3855" spans="1:9">
      <c r="A3855" s="582" t="s">
        <v>1882</v>
      </c>
      <c r="B3855" s="65">
        <v>4053</v>
      </c>
      <c r="C3855" s="579" t="s">
        <v>281</v>
      </c>
      <c r="D3855" s="579"/>
      <c r="E3855" s="583"/>
      <c r="F3855" s="596"/>
      <c r="G3855" s="65">
        <v>0</v>
      </c>
      <c r="H3855" s="591" t="s">
        <v>280</v>
      </c>
      <c r="I3855" s="591" t="s">
        <v>280</v>
      </c>
    </row>
    <row r="3856" spans="1:9">
      <c r="A3856" s="582" t="s">
        <v>1882</v>
      </c>
      <c r="B3856" s="65">
        <v>4054</v>
      </c>
      <c r="C3856" s="579" t="s">
        <v>281</v>
      </c>
      <c r="D3856" s="579"/>
      <c r="E3856" s="583"/>
      <c r="F3856" s="596"/>
      <c r="G3856" s="65">
        <v>0</v>
      </c>
      <c r="H3856" s="591" t="s">
        <v>280</v>
      </c>
      <c r="I3856" s="591" t="s">
        <v>280</v>
      </c>
    </row>
    <row r="3857" spans="1:9">
      <c r="A3857" s="582" t="s">
        <v>1882</v>
      </c>
      <c r="B3857" s="65">
        <v>4055</v>
      </c>
      <c r="C3857" s="579" t="s">
        <v>281</v>
      </c>
      <c r="D3857" s="579"/>
      <c r="E3857" s="583"/>
      <c r="F3857" s="596"/>
      <c r="G3857" s="65">
        <v>0</v>
      </c>
      <c r="H3857" s="591" t="s">
        <v>280</v>
      </c>
      <c r="I3857" s="591" t="s">
        <v>280</v>
      </c>
    </row>
    <row r="3858" spans="1:9">
      <c r="A3858" s="582" t="s">
        <v>1882</v>
      </c>
      <c r="B3858" s="65">
        <v>4056</v>
      </c>
      <c r="C3858" s="579" t="s">
        <v>281</v>
      </c>
      <c r="D3858" s="579"/>
      <c r="E3858" s="583"/>
      <c r="F3858" s="596"/>
      <c r="G3858" s="65">
        <v>0</v>
      </c>
      <c r="H3858" s="591" t="s">
        <v>280</v>
      </c>
      <c r="I3858" s="591" t="s">
        <v>280</v>
      </c>
    </row>
    <row r="3859" spans="1:9">
      <c r="A3859" s="582" t="s">
        <v>1882</v>
      </c>
      <c r="B3859" s="65">
        <v>4057</v>
      </c>
      <c r="C3859" s="579" t="s">
        <v>281</v>
      </c>
      <c r="D3859" s="579"/>
      <c r="E3859" s="583"/>
      <c r="F3859" s="596"/>
      <c r="G3859" s="65">
        <v>0</v>
      </c>
      <c r="H3859" s="591" t="s">
        <v>280</v>
      </c>
      <c r="I3859" s="591" t="s">
        <v>280</v>
      </c>
    </row>
    <row r="3860" spans="1:9">
      <c r="A3860" s="582" t="s">
        <v>1882</v>
      </c>
      <c r="B3860" s="65">
        <v>4058</v>
      </c>
      <c r="C3860" s="579" t="s">
        <v>281</v>
      </c>
      <c r="D3860" s="579"/>
      <c r="E3860" s="583"/>
      <c r="F3860" s="596"/>
      <c r="G3860" s="65">
        <v>0</v>
      </c>
      <c r="H3860" s="591" t="s">
        <v>280</v>
      </c>
      <c r="I3860" s="591" t="s">
        <v>280</v>
      </c>
    </row>
    <row r="3861" spans="1:9">
      <c r="A3861" s="582" t="s">
        <v>1882</v>
      </c>
      <c r="B3861" s="65">
        <v>4059</v>
      </c>
      <c r="C3861" s="579" t="s">
        <v>281</v>
      </c>
      <c r="D3861" s="579"/>
      <c r="E3861" s="583"/>
      <c r="F3861" s="596"/>
      <c r="G3861" s="65">
        <v>0</v>
      </c>
      <c r="H3861" s="591" t="s">
        <v>280</v>
      </c>
      <c r="I3861" s="591" t="s">
        <v>280</v>
      </c>
    </row>
    <row r="3862" spans="1:9">
      <c r="A3862" s="582" t="s">
        <v>1882</v>
      </c>
      <c r="B3862" s="65">
        <v>4060</v>
      </c>
      <c r="C3862" s="579" t="s">
        <v>281</v>
      </c>
      <c r="D3862" s="579"/>
      <c r="E3862" s="583"/>
      <c r="F3862" s="596"/>
      <c r="G3862" s="65">
        <v>0</v>
      </c>
      <c r="H3862" s="591" t="s">
        <v>280</v>
      </c>
      <c r="I3862" s="591" t="s">
        <v>280</v>
      </c>
    </row>
    <row r="3863" spans="1:9">
      <c r="A3863" s="582" t="s">
        <v>1882</v>
      </c>
      <c r="B3863" s="65">
        <v>4061</v>
      </c>
      <c r="C3863" s="579" t="s">
        <v>281</v>
      </c>
      <c r="D3863" s="579"/>
      <c r="E3863" s="583"/>
      <c r="F3863" s="596"/>
      <c r="G3863" s="65">
        <v>0</v>
      </c>
      <c r="H3863" s="591" t="s">
        <v>280</v>
      </c>
      <c r="I3863" s="591" t="s">
        <v>280</v>
      </c>
    </row>
    <row r="3864" spans="1:9">
      <c r="A3864" s="582" t="s">
        <v>1882</v>
      </c>
      <c r="B3864" s="65">
        <v>4062</v>
      </c>
      <c r="C3864" s="579" t="s">
        <v>281</v>
      </c>
      <c r="D3864" s="579"/>
      <c r="E3864" s="583"/>
      <c r="F3864" s="596"/>
      <c r="G3864" s="65">
        <v>0</v>
      </c>
      <c r="H3864" s="591" t="s">
        <v>280</v>
      </c>
      <c r="I3864" s="591" t="s">
        <v>280</v>
      </c>
    </row>
    <row r="3865" spans="1:9">
      <c r="A3865" s="582" t="s">
        <v>1882</v>
      </c>
      <c r="B3865" s="65">
        <v>4063</v>
      </c>
      <c r="C3865" s="579" t="s">
        <v>281</v>
      </c>
      <c r="D3865" s="579"/>
      <c r="E3865" s="583"/>
      <c r="F3865" s="596"/>
      <c r="G3865" s="65">
        <v>0</v>
      </c>
      <c r="H3865" s="591" t="s">
        <v>280</v>
      </c>
      <c r="I3865" s="591" t="s">
        <v>280</v>
      </c>
    </row>
    <row r="3866" spans="1:9">
      <c r="A3866" s="582" t="s">
        <v>1882</v>
      </c>
      <c r="B3866" s="65">
        <v>4064</v>
      </c>
      <c r="C3866" s="579" t="s">
        <v>281</v>
      </c>
      <c r="D3866" s="579"/>
      <c r="E3866" s="583"/>
      <c r="F3866" s="596"/>
      <c r="G3866" s="65">
        <v>0</v>
      </c>
      <c r="H3866" s="591" t="s">
        <v>280</v>
      </c>
      <c r="I3866" s="591" t="s">
        <v>280</v>
      </c>
    </row>
    <row r="3867" spans="1:9">
      <c r="A3867" s="582" t="s">
        <v>1882</v>
      </c>
      <c r="B3867" s="65">
        <v>4065</v>
      </c>
      <c r="C3867" s="579" t="s">
        <v>281</v>
      </c>
      <c r="D3867" s="579"/>
      <c r="E3867" s="583"/>
      <c r="F3867" s="596"/>
      <c r="G3867" s="65">
        <v>0</v>
      </c>
      <c r="H3867" s="591" t="s">
        <v>280</v>
      </c>
      <c r="I3867" s="591" t="s">
        <v>280</v>
      </c>
    </row>
    <row r="3868" spans="1:9">
      <c r="A3868" s="582" t="s">
        <v>1882</v>
      </c>
      <c r="B3868" s="65">
        <v>4066</v>
      </c>
      <c r="C3868" s="579" t="s">
        <v>281</v>
      </c>
      <c r="D3868" s="579"/>
      <c r="E3868" s="583"/>
      <c r="F3868" s="596"/>
      <c r="G3868" s="65">
        <v>0</v>
      </c>
      <c r="H3868" s="591" t="s">
        <v>280</v>
      </c>
      <c r="I3868" s="591" t="s">
        <v>280</v>
      </c>
    </row>
    <row r="3869" spans="1:9">
      <c r="A3869" s="582" t="s">
        <v>1882</v>
      </c>
      <c r="B3869" s="65">
        <v>4067</v>
      </c>
      <c r="C3869" s="579" t="s">
        <v>281</v>
      </c>
      <c r="D3869" s="579"/>
      <c r="E3869" s="583"/>
      <c r="F3869" s="596"/>
      <c r="G3869" s="65">
        <v>0</v>
      </c>
      <c r="H3869" s="591" t="s">
        <v>280</v>
      </c>
      <c r="I3869" s="591" t="s">
        <v>280</v>
      </c>
    </row>
    <row r="3870" spans="1:9">
      <c r="A3870" s="582" t="s">
        <v>1882</v>
      </c>
      <c r="B3870" s="65">
        <v>4068</v>
      </c>
      <c r="C3870" s="579" t="s">
        <v>281</v>
      </c>
      <c r="D3870" s="579"/>
      <c r="E3870" s="583"/>
      <c r="F3870" s="596"/>
      <c r="G3870" s="65">
        <v>0</v>
      </c>
      <c r="H3870" s="591" t="s">
        <v>280</v>
      </c>
      <c r="I3870" s="591" t="s">
        <v>280</v>
      </c>
    </row>
    <row r="3871" spans="1:9">
      <c r="A3871" s="582" t="s">
        <v>1882</v>
      </c>
      <c r="B3871" s="65">
        <v>4069</v>
      </c>
      <c r="C3871" s="579" t="s">
        <v>281</v>
      </c>
      <c r="D3871" s="579"/>
      <c r="E3871" s="583"/>
      <c r="F3871" s="596"/>
      <c r="G3871" s="65">
        <v>0</v>
      </c>
      <c r="H3871" s="591" t="s">
        <v>280</v>
      </c>
      <c r="I3871" s="591" t="s">
        <v>280</v>
      </c>
    </row>
    <row r="3872" spans="1:9">
      <c r="A3872" s="582" t="s">
        <v>1882</v>
      </c>
      <c r="B3872" s="65">
        <v>4070</v>
      </c>
      <c r="C3872" s="579" t="s">
        <v>281</v>
      </c>
      <c r="D3872" s="579"/>
      <c r="E3872" s="583"/>
      <c r="F3872" s="596"/>
      <c r="G3872" s="65">
        <v>0</v>
      </c>
      <c r="H3872" s="591" t="s">
        <v>280</v>
      </c>
      <c r="I3872" s="591" t="s">
        <v>280</v>
      </c>
    </row>
    <row r="3873" spans="1:9">
      <c r="A3873" s="582" t="s">
        <v>1882</v>
      </c>
      <c r="B3873" s="65">
        <v>4071</v>
      </c>
      <c r="C3873" s="579" t="s">
        <v>281</v>
      </c>
      <c r="D3873" s="579"/>
      <c r="E3873" s="583"/>
      <c r="F3873" s="596"/>
      <c r="G3873" s="65">
        <v>0</v>
      </c>
      <c r="H3873" s="591" t="s">
        <v>280</v>
      </c>
      <c r="I3873" s="591" t="s">
        <v>280</v>
      </c>
    </row>
    <row r="3874" spans="1:9">
      <c r="A3874" s="582" t="s">
        <v>1882</v>
      </c>
      <c r="B3874" s="65">
        <v>4072</v>
      </c>
      <c r="C3874" s="579" t="s">
        <v>281</v>
      </c>
      <c r="D3874" s="579"/>
      <c r="E3874" s="583"/>
      <c r="F3874" s="596"/>
      <c r="G3874" s="65">
        <v>0</v>
      </c>
      <c r="H3874" s="591" t="s">
        <v>280</v>
      </c>
      <c r="I3874" s="591" t="s">
        <v>280</v>
      </c>
    </row>
    <row r="3875" spans="1:9">
      <c r="A3875" s="582" t="s">
        <v>1882</v>
      </c>
      <c r="B3875" s="65">
        <v>4073</v>
      </c>
      <c r="C3875" s="579" t="s">
        <v>281</v>
      </c>
      <c r="D3875" s="579"/>
      <c r="E3875" s="583"/>
      <c r="F3875" s="596"/>
      <c r="G3875" s="65">
        <v>0</v>
      </c>
      <c r="H3875" s="591" t="s">
        <v>280</v>
      </c>
      <c r="I3875" s="591" t="s">
        <v>280</v>
      </c>
    </row>
    <row r="3876" spans="1:9">
      <c r="A3876" s="582" t="s">
        <v>1882</v>
      </c>
      <c r="B3876" s="65">
        <v>4074</v>
      </c>
      <c r="C3876" s="579" t="s">
        <v>281</v>
      </c>
      <c r="D3876" s="579"/>
      <c r="E3876" s="583"/>
      <c r="F3876" s="596"/>
      <c r="G3876" s="65">
        <v>0</v>
      </c>
      <c r="H3876" s="591" t="s">
        <v>280</v>
      </c>
      <c r="I3876" s="591" t="s">
        <v>280</v>
      </c>
    </row>
    <row r="3877" spans="1:9">
      <c r="A3877" s="582" t="s">
        <v>1882</v>
      </c>
      <c r="B3877" s="65">
        <v>4075</v>
      </c>
      <c r="C3877" s="579" t="s">
        <v>281</v>
      </c>
      <c r="D3877" s="579"/>
      <c r="E3877" s="583"/>
      <c r="F3877" s="596"/>
      <c r="G3877" s="65">
        <v>0</v>
      </c>
      <c r="H3877" s="591" t="s">
        <v>280</v>
      </c>
      <c r="I3877" s="591" t="s">
        <v>280</v>
      </c>
    </row>
    <row r="3878" spans="1:9">
      <c r="A3878" s="582" t="s">
        <v>1882</v>
      </c>
      <c r="B3878" s="65">
        <v>4076</v>
      </c>
      <c r="C3878" s="579" t="s">
        <v>281</v>
      </c>
      <c r="D3878" s="579"/>
      <c r="E3878" s="583"/>
      <c r="F3878" s="596"/>
      <c r="G3878" s="65">
        <v>0</v>
      </c>
      <c r="H3878" s="591" t="s">
        <v>280</v>
      </c>
      <c r="I3878" s="591" t="s">
        <v>280</v>
      </c>
    </row>
    <row r="3879" spans="1:9">
      <c r="A3879" s="582" t="s">
        <v>1882</v>
      </c>
      <c r="B3879" s="65">
        <v>4077</v>
      </c>
      <c r="C3879" s="579" t="s">
        <v>281</v>
      </c>
      <c r="D3879" s="579"/>
      <c r="E3879" s="583"/>
      <c r="F3879" s="596"/>
      <c r="G3879" s="65">
        <v>0</v>
      </c>
      <c r="H3879" s="591" t="s">
        <v>280</v>
      </c>
      <c r="I3879" s="591" t="s">
        <v>280</v>
      </c>
    </row>
    <row r="3880" spans="1:9">
      <c r="A3880" s="582" t="s">
        <v>1882</v>
      </c>
      <c r="B3880" s="65">
        <v>4078</v>
      </c>
      <c r="C3880" s="579" t="s">
        <v>281</v>
      </c>
      <c r="D3880" s="579"/>
      <c r="E3880" s="583"/>
      <c r="F3880" s="596"/>
      <c r="G3880" s="65">
        <v>0</v>
      </c>
      <c r="H3880" s="591" t="s">
        <v>280</v>
      </c>
      <c r="I3880" s="591" t="s">
        <v>280</v>
      </c>
    </row>
    <row r="3881" spans="1:9">
      <c r="A3881" s="582" t="s">
        <v>1882</v>
      </c>
      <c r="B3881" s="65">
        <v>4079</v>
      </c>
      <c r="C3881" s="579" t="s">
        <v>281</v>
      </c>
      <c r="D3881" s="579"/>
      <c r="E3881" s="583"/>
      <c r="F3881" s="596"/>
      <c r="G3881" s="65">
        <v>0</v>
      </c>
      <c r="H3881" s="591" t="s">
        <v>280</v>
      </c>
      <c r="I3881" s="591" t="s">
        <v>280</v>
      </c>
    </row>
    <row r="3882" spans="1:9">
      <c r="A3882" s="582" t="s">
        <v>1882</v>
      </c>
      <c r="B3882" s="65">
        <v>4080</v>
      </c>
      <c r="C3882" s="579" t="s">
        <v>281</v>
      </c>
      <c r="D3882" s="579"/>
      <c r="E3882" s="583"/>
      <c r="F3882" s="596"/>
      <c r="G3882" s="65">
        <v>0</v>
      </c>
      <c r="H3882" s="591" t="s">
        <v>280</v>
      </c>
      <c r="I3882" s="591" t="s">
        <v>280</v>
      </c>
    </row>
    <row r="3883" spans="1:9">
      <c r="A3883" s="582" t="s">
        <v>1882</v>
      </c>
      <c r="B3883" s="65">
        <v>4081</v>
      </c>
      <c r="C3883" s="579" t="s">
        <v>281</v>
      </c>
      <c r="D3883" s="579"/>
      <c r="E3883" s="583"/>
      <c r="F3883" s="596"/>
      <c r="G3883" s="65">
        <v>0</v>
      </c>
      <c r="H3883" s="591" t="s">
        <v>280</v>
      </c>
      <c r="I3883" s="591" t="s">
        <v>280</v>
      </c>
    </row>
    <row r="3884" spans="1:9">
      <c r="A3884" s="582" t="s">
        <v>1882</v>
      </c>
      <c r="B3884" s="65">
        <v>4082</v>
      </c>
      <c r="C3884" s="579" t="s">
        <v>281</v>
      </c>
      <c r="D3884" s="579"/>
      <c r="E3884" s="583"/>
      <c r="F3884" s="596"/>
      <c r="G3884" s="65">
        <v>0</v>
      </c>
      <c r="H3884" s="591" t="s">
        <v>280</v>
      </c>
      <c r="I3884" s="591" t="s">
        <v>280</v>
      </c>
    </row>
    <row r="3885" spans="1:9">
      <c r="A3885" s="582" t="s">
        <v>1882</v>
      </c>
      <c r="B3885" s="65">
        <v>4083</v>
      </c>
      <c r="C3885" s="579" t="s">
        <v>281</v>
      </c>
      <c r="D3885" s="579"/>
      <c r="E3885" s="583"/>
      <c r="F3885" s="596"/>
      <c r="G3885" s="65">
        <v>0</v>
      </c>
      <c r="H3885" s="591" t="s">
        <v>280</v>
      </c>
      <c r="I3885" s="591" t="s">
        <v>280</v>
      </c>
    </row>
    <row r="3886" spans="1:9">
      <c r="A3886" s="582" t="s">
        <v>1882</v>
      </c>
      <c r="B3886" s="65">
        <v>4084</v>
      </c>
      <c r="C3886" s="579" t="s">
        <v>281</v>
      </c>
      <c r="D3886" s="579"/>
      <c r="E3886" s="583"/>
      <c r="F3886" s="596"/>
      <c r="G3886" s="65">
        <v>0</v>
      </c>
      <c r="H3886" s="591" t="s">
        <v>280</v>
      </c>
      <c r="I3886" s="591" t="s">
        <v>280</v>
      </c>
    </row>
    <row r="3887" spans="1:9">
      <c r="A3887" s="582" t="s">
        <v>1882</v>
      </c>
      <c r="B3887" s="65">
        <v>4085</v>
      </c>
      <c r="C3887" s="579" t="s">
        <v>281</v>
      </c>
      <c r="D3887" s="579"/>
      <c r="E3887" s="583"/>
      <c r="F3887" s="596"/>
      <c r="G3887" s="65">
        <v>0</v>
      </c>
      <c r="H3887" s="591" t="s">
        <v>280</v>
      </c>
      <c r="I3887" s="591" t="s">
        <v>280</v>
      </c>
    </row>
    <row r="3888" spans="1:9">
      <c r="A3888" s="582" t="s">
        <v>1882</v>
      </c>
      <c r="B3888" s="65">
        <v>4086</v>
      </c>
      <c r="C3888" s="579" t="s">
        <v>281</v>
      </c>
      <c r="D3888" s="579"/>
      <c r="E3888" s="583"/>
      <c r="F3888" s="596"/>
      <c r="G3888" s="65">
        <v>0</v>
      </c>
      <c r="H3888" s="591" t="s">
        <v>280</v>
      </c>
      <c r="I3888" s="591" t="s">
        <v>280</v>
      </c>
    </row>
    <row r="3889" spans="1:9">
      <c r="A3889" s="582" t="s">
        <v>1882</v>
      </c>
      <c r="B3889" s="65">
        <v>4087</v>
      </c>
      <c r="C3889" s="579" t="s">
        <v>281</v>
      </c>
      <c r="D3889" s="579"/>
      <c r="E3889" s="583"/>
      <c r="F3889" s="596"/>
      <c r="G3889" s="65">
        <v>0</v>
      </c>
      <c r="H3889" s="591" t="s">
        <v>280</v>
      </c>
      <c r="I3889" s="591" t="s">
        <v>280</v>
      </c>
    </row>
    <row r="3890" spans="1:9">
      <c r="A3890" s="582" t="s">
        <v>1882</v>
      </c>
      <c r="B3890" s="65">
        <v>4088</v>
      </c>
      <c r="C3890" s="579" t="s">
        <v>281</v>
      </c>
      <c r="D3890" s="579"/>
      <c r="E3890" s="583"/>
      <c r="F3890" s="596"/>
      <c r="G3890" s="65">
        <v>0</v>
      </c>
      <c r="H3890" s="591" t="s">
        <v>280</v>
      </c>
      <c r="I3890" s="591" t="s">
        <v>280</v>
      </c>
    </row>
    <row r="3891" spans="1:9">
      <c r="A3891" s="582" t="s">
        <v>1882</v>
      </c>
      <c r="B3891" s="65">
        <v>4089</v>
      </c>
      <c r="C3891" s="579" t="s">
        <v>281</v>
      </c>
      <c r="D3891" s="579"/>
      <c r="E3891" s="583"/>
      <c r="F3891" s="596"/>
      <c r="G3891" s="65">
        <v>0</v>
      </c>
      <c r="H3891" s="591" t="s">
        <v>280</v>
      </c>
      <c r="I3891" s="591" t="s">
        <v>280</v>
      </c>
    </row>
    <row r="3892" spans="1:9">
      <c r="A3892" s="582" t="s">
        <v>1882</v>
      </c>
      <c r="B3892" s="65">
        <v>4090</v>
      </c>
      <c r="C3892" s="579" t="s">
        <v>281</v>
      </c>
      <c r="D3892" s="579"/>
      <c r="E3892" s="583"/>
      <c r="F3892" s="596"/>
      <c r="G3892" s="65">
        <v>0</v>
      </c>
      <c r="H3892" s="591" t="s">
        <v>280</v>
      </c>
      <c r="I3892" s="591" t="s">
        <v>280</v>
      </c>
    </row>
    <row r="3893" spans="1:9">
      <c r="A3893" s="582" t="s">
        <v>1882</v>
      </c>
      <c r="B3893" s="65">
        <v>4091</v>
      </c>
      <c r="C3893" s="579" t="s">
        <v>281</v>
      </c>
      <c r="D3893" s="579"/>
      <c r="E3893" s="583"/>
      <c r="F3893" s="596"/>
      <c r="G3893" s="65">
        <v>0</v>
      </c>
      <c r="H3893" s="591" t="s">
        <v>280</v>
      </c>
      <c r="I3893" s="591" t="s">
        <v>280</v>
      </c>
    </row>
    <row r="3894" spans="1:9">
      <c r="A3894" s="582" t="s">
        <v>1882</v>
      </c>
      <c r="B3894" s="65">
        <v>4092</v>
      </c>
      <c r="C3894" s="579" t="s">
        <v>281</v>
      </c>
      <c r="D3894" s="579"/>
      <c r="E3894" s="583"/>
      <c r="F3894" s="596"/>
      <c r="G3894" s="65">
        <v>0</v>
      </c>
      <c r="H3894" s="591" t="s">
        <v>280</v>
      </c>
      <c r="I3894" s="591" t="s">
        <v>280</v>
      </c>
    </row>
    <row r="3895" spans="1:9">
      <c r="A3895" s="582" t="s">
        <v>1882</v>
      </c>
      <c r="B3895" s="65">
        <v>4093</v>
      </c>
      <c r="C3895" s="579" t="s">
        <v>281</v>
      </c>
      <c r="D3895" s="579"/>
      <c r="E3895" s="583"/>
      <c r="F3895" s="596"/>
      <c r="G3895" s="65">
        <v>0</v>
      </c>
      <c r="H3895" s="591" t="s">
        <v>280</v>
      </c>
      <c r="I3895" s="591" t="s">
        <v>280</v>
      </c>
    </row>
    <row r="3896" spans="1:9">
      <c r="A3896" s="582" t="s">
        <v>1882</v>
      </c>
      <c r="B3896" s="65">
        <v>4094</v>
      </c>
      <c r="C3896" s="579" t="s">
        <v>281</v>
      </c>
      <c r="D3896" s="579"/>
      <c r="E3896" s="583"/>
      <c r="F3896" s="596"/>
      <c r="G3896" s="65">
        <v>0</v>
      </c>
      <c r="H3896" s="591" t="s">
        <v>280</v>
      </c>
      <c r="I3896" s="591" t="s">
        <v>280</v>
      </c>
    </row>
    <row r="3897" spans="1:9">
      <c r="A3897" s="582" t="s">
        <v>1882</v>
      </c>
      <c r="B3897" s="65">
        <v>4095</v>
      </c>
      <c r="C3897" s="579" t="s">
        <v>281</v>
      </c>
      <c r="D3897" s="579"/>
      <c r="E3897" s="583"/>
      <c r="F3897" s="596"/>
      <c r="G3897" s="65">
        <v>0</v>
      </c>
      <c r="H3897" s="591" t="s">
        <v>280</v>
      </c>
      <c r="I3897" s="591" t="s">
        <v>280</v>
      </c>
    </row>
    <row r="3898" spans="1:9">
      <c r="A3898" s="582" t="s">
        <v>1882</v>
      </c>
      <c r="B3898" s="65">
        <v>4096</v>
      </c>
      <c r="C3898" s="579" t="s">
        <v>281</v>
      </c>
      <c r="D3898" s="579"/>
      <c r="E3898" s="583"/>
      <c r="F3898" s="596"/>
      <c r="G3898" s="65">
        <v>0</v>
      </c>
      <c r="H3898" s="591" t="s">
        <v>280</v>
      </c>
      <c r="I3898" s="591" t="s">
        <v>280</v>
      </c>
    </row>
    <row r="3899" spans="1:9">
      <c r="A3899" s="582" t="s">
        <v>1882</v>
      </c>
      <c r="B3899" s="65">
        <v>4097</v>
      </c>
      <c r="C3899" s="579" t="s">
        <v>281</v>
      </c>
      <c r="D3899" s="579"/>
      <c r="E3899" s="583"/>
      <c r="F3899" s="596"/>
      <c r="G3899" s="65">
        <v>0</v>
      </c>
      <c r="H3899" s="591" t="s">
        <v>280</v>
      </c>
      <c r="I3899" s="591" t="s">
        <v>280</v>
      </c>
    </row>
    <row r="3900" spans="1:9">
      <c r="A3900" s="582" t="s">
        <v>1882</v>
      </c>
      <c r="B3900" s="65">
        <v>4098</v>
      </c>
      <c r="C3900" s="579" t="s">
        <v>281</v>
      </c>
      <c r="D3900" s="579"/>
      <c r="E3900" s="583"/>
      <c r="F3900" s="596"/>
      <c r="G3900" s="65">
        <v>0</v>
      </c>
      <c r="H3900" s="591" t="s">
        <v>280</v>
      </c>
      <c r="I3900" s="591" t="s">
        <v>280</v>
      </c>
    </row>
    <row r="3901" spans="1:9">
      <c r="A3901" s="582" t="s">
        <v>1882</v>
      </c>
      <c r="B3901" s="65">
        <v>4099</v>
      </c>
      <c r="C3901" s="579" t="s">
        <v>281</v>
      </c>
      <c r="D3901" s="579"/>
      <c r="E3901" s="583"/>
      <c r="F3901" s="596"/>
      <c r="G3901" s="65">
        <v>0</v>
      </c>
      <c r="H3901" s="591" t="s">
        <v>280</v>
      </c>
      <c r="I3901" s="591" t="s">
        <v>280</v>
      </c>
    </row>
    <row r="3902" spans="1:9" ht="12.75">
      <c r="A3902" s="582" t="s">
        <v>1892</v>
      </c>
      <c r="B3902" s="63">
        <v>4100</v>
      </c>
      <c r="C3902" s="63" t="s">
        <v>279</v>
      </c>
      <c r="D3902" s="63"/>
      <c r="E3902" s="62"/>
      <c r="F3902" s="585">
        <v>45535</v>
      </c>
      <c r="G3902" s="65">
        <v>1</v>
      </c>
      <c r="H3902" s="591" t="s">
        <v>280</v>
      </c>
      <c r="I3902" s="591" t="s">
        <v>280</v>
      </c>
    </row>
    <row r="3903" spans="1:9" ht="12.75">
      <c r="A3903" s="582" t="s">
        <v>1892</v>
      </c>
      <c r="B3903" s="63">
        <v>4101</v>
      </c>
      <c r="C3903" s="63" t="s">
        <v>281</v>
      </c>
      <c r="D3903" s="63"/>
      <c r="E3903" s="62"/>
      <c r="F3903" s="599"/>
      <c r="G3903" s="65">
        <v>0</v>
      </c>
      <c r="H3903" s="591" t="s">
        <v>280</v>
      </c>
      <c r="I3903" s="591" t="s">
        <v>280</v>
      </c>
    </row>
    <row r="3904" spans="1:9" ht="12.75">
      <c r="A3904" s="582" t="s">
        <v>1892</v>
      </c>
      <c r="B3904" s="63">
        <v>4102</v>
      </c>
      <c r="C3904" s="63" t="s">
        <v>281</v>
      </c>
      <c r="D3904" s="63"/>
      <c r="E3904" s="62"/>
      <c r="F3904" s="599"/>
      <c r="G3904" s="65">
        <v>0</v>
      </c>
      <c r="H3904" s="591" t="s">
        <v>280</v>
      </c>
      <c r="I3904" s="591" t="s">
        <v>280</v>
      </c>
    </row>
    <row r="3905" spans="1:10" ht="12.75">
      <c r="A3905" s="582" t="s">
        <v>1892</v>
      </c>
      <c r="B3905" s="63">
        <v>4103</v>
      </c>
      <c r="C3905" s="63" t="s">
        <v>281</v>
      </c>
      <c r="D3905" s="579"/>
      <c r="E3905" s="62"/>
      <c r="F3905" s="596"/>
      <c r="G3905" s="65">
        <v>0</v>
      </c>
      <c r="H3905" s="591" t="s">
        <v>280</v>
      </c>
      <c r="I3905" s="591" t="s">
        <v>280</v>
      </c>
    </row>
    <row r="3906" spans="1:10" ht="13.5">
      <c r="A3906" s="582" t="s">
        <v>1892</v>
      </c>
      <c r="B3906" s="63">
        <v>4104</v>
      </c>
      <c r="C3906" s="63" t="s">
        <v>281</v>
      </c>
      <c r="D3906" s="63"/>
      <c r="E3906" s="62"/>
      <c r="F3906" s="599"/>
      <c r="G3906" s="65">
        <v>0</v>
      </c>
      <c r="H3906" s="591" t="s">
        <v>280</v>
      </c>
      <c r="I3906" s="591" t="s">
        <v>280</v>
      </c>
      <c r="J3906" s="57"/>
    </row>
    <row r="3907" spans="1:10" ht="13.5">
      <c r="A3907" s="582" t="s">
        <v>1892</v>
      </c>
      <c r="B3907" s="63">
        <v>4105</v>
      </c>
      <c r="C3907" s="63" t="s">
        <v>656</v>
      </c>
      <c r="D3907" s="579">
        <v>10235</v>
      </c>
      <c r="E3907" s="62"/>
      <c r="F3907" s="585">
        <v>45535</v>
      </c>
      <c r="G3907" s="65">
        <v>1</v>
      </c>
      <c r="H3907" s="591" t="s">
        <v>1979</v>
      </c>
      <c r="I3907" s="591" t="s">
        <v>1229</v>
      </c>
      <c r="J3907" s="61"/>
    </row>
    <row r="3908" spans="1:10" ht="13.5">
      <c r="A3908" s="582" t="s">
        <v>1892</v>
      </c>
      <c r="B3908" s="63">
        <v>4106</v>
      </c>
      <c r="C3908" s="63" t="s">
        <v>281</v>
      </c>
      <c r="D3908" s="63"/>
      <c r="E3908" s="62"/>
      <c r="F3908" s="599"/>
      <c r="G3908" s="65">
        <v>0</v>
      </c>
      <c r="H3908" s="591" t="s">
        <v>280</v>
      </c>
      <c r="I3908" s="591" t="s">
        <v>280</v>
      </c>
      <c r="J3908" s="61"/>
    </row>
    <row r="3909" spans="1:10" ht="13.5">
      <c r="A3909" s="582" t="s">
        <v>1892</v>
      </c>
      <c r="B3909" s="63">
        <v>4107</v>
      </c>
      <c r="C3909" s="63" t="s">
        <v>281</v>
      </c>
      <c r="D3909" s="63"/>
      <c r="E3909" s="62"/>
      <c r="F3909" s="599"/>
      <c r="G3909" s="65">
        <v>0</v>
      </c>
      <c r="H3909" s="591" t="s">
        <v>280</v>
      </c>
      <c r="I3909" s="591" t="s">
        <v>280</v>
      </c>
      <c r="J3909" s="57"/>
    </row>
    <row r="3910" spans="1:10" ht="13.5">
      <c r="A3910" s="582" t="s">
        <v>1892</v>
      </c>
      <c r="B3910" s="63">
        <v>4108</v>
      </c>
      <c r="C3910" s="63" t="s">
        <v>281</v>
      </c>
      <c r="D3910" s="63"/>
      <c r="E3910" s="62"/>
      <c r="F3910" s="599"/>
      <c r="G3910" s="65">
        <v>0</v>
      </c>
      <c r="H3910" s="591" t="s">
        <v>280</v>
      </c>
      <c r="I3910" s="591" t="s">
        <v>280</v>
      </c>
      <c r="J3910" s="57"/>
    </row>
    <row r="3911" spans="1:10" ht="13.5">
      <c r="A3911" s="582" t="s">
        <v>1892</v>
      </c>
      <c r="B3911" s="63">
        <v>4109</v>
      </c>
      <c r="C3911" s="63" t="s">
        <v>281</v>
      </c>
      <c r="D3911" s="63"/>
      <c r="E3911" s="62"/>
      <c r="F3911" s="599"/>
      <c r="G3911" s="65">
        <v>0</v>
      </c>
      <c r="H3911" s="591" t="s">
        <v>280</v>
      </c>
      <c r="I3911" s="591" t="s">
        <v>280</v>
      </c>
      <c r="J3911" s="57"/>
    </row>
    <row r="3912" spans="1:10" ht="13.5">
      <c r="A3912" s="582" t="s">
        <v>1892</v>
      </c>
      <c r="B3912" s="63">
        <v>4110</v>
      </c>
      <c r="C3912" s="63" t="s">
        <v>281</v>
      </c>
      <c r="D3912" s="63"/>
      <c r="E3912" s="62"/>
      <c r="F3912" s="599"/>
      <c r="G3912" s="65">
        <v>0</v>
      </c>
      <c r="H3912" s="591" t="s">
        <v>280</v>
      </c>
      <c r="I3912" s="591" t="s">
        <v>280</v>
      </c>
      <c r="J3912" s="57"/>
    </row>
    <row r="3913" spans="1:10" ht="13.5">
      <c r="A3913" s="582" t="s">
        <v>1892</v>
      </c>
      <c r="B3913" s="63">
        <v>4111</v>
      </c>
      <c r="C3913" s="63" t="s">
        <v>281</v>
      </c>
      <c r="D3913" s="579"/>
      <c r="E3913" s="62"/>
      <c r="F3913" s="596"/>
      <c r="G3913" s="65">
        <v>0</v>
      </c>
      <c r="H3913" s="591" t="s">
        <v>280</v>
      </c>
      <c r="I3913" s="591" t="s">
        <v>280</v>
      </c>
      <c r="J3913" s="57"/>
    </row>
    <row r="3914" spans="1:10" ht="13.5">
      <c r="A3914" s="582" t="s">
        <v>1892</v>
      </c>
      <c r="B3914" s="63">
        <v>4112</v>
      </c>
      <c r="C3914" s="63" t="s">
        <v>657</v>
      </c>
      <c r="D3914" s="579">
        <v>10234</v>
      </c>
      <c r="E3914" s="62"/>
      <c r="F3914" s="585">
        <v>45535</v>
      </c>
      <c r="G3914" s="65">
        <v>1</v>
      </c>
      <c r="H3914" s="591" t="s">
        <v>1979</v>
      </c>
      <c r="I3914" s="591" t="s">
        <v>1229</v>
      </c>
      <c r="J3914" s="57"/>
    </row>
    <row r="3915" spans="1:10" ht="13.5">
      <c r="A3915" s="582" t="s">
        <v>1892</v>
      </c>
      <c r="B3915" s="63">
        <v>4113</v>
      </c>
      <c r="C3915" s="63" t="s">
        <v>281</v>
      </c>
      <c r="D3915" s="63"/>
      <c r="E3915" s="62"/>
      <c r="F3915" s="599"/>
      <c r="G3915" s="65">
        <v>0</v>
      </c>
      <c r="H3915" s="591" t="s">
        <v>280</v>
      </c>
      <c r="I3915" s="591" t="s">
        <v>280</v>
      </c>
      <c r="J3915" s="57"/>
    </row>
    <row r="3916" spans="1:10" ht="13.5">
      <c r="A3916" s="582" t="s">
        <v>1892</v>
      </c>
      <c r="B3916" s="63">
        <v>4114</v>
      </c>
      <c r="C3916" s="63" t="s">
        <v>281</v>
      </c>
      <c r="D3916" s="63"/>
      <c r="E3916" s="62"/>
      <c r="F3916" s="599"/>
      <c r="G3916" s="65">
        <v>0</v>
      </c>
      <c r="H3916" s="591" t="s">
        <v>280</v>
      </c>
      <c r="I3916" s="591" t="s">
        <v>280</v>
      </c>
      <c r="J3916" s="57"/>
    </row>
    <row r="3917" spans="1:10" ht="13.5">
      <c r="A3917" s="582" t="s">
        <v>1892</v>
      </c>
      <c r="B3917" s="63">
        <v>4115</v>
      </c>
      <c r="C3917" s="63" t="s">
        <v>281</v>
      </c>
      <c r="D3917" s="63"/>
      <c r="E3917" s="62"/>
      <c r="F3917" s="599"/>
      <c r="G3917" s="65">
        <v>0</v>
      </c>
      <c r="H3917" s="591" t="s">
        <v>280</v>
      </c>
      <c r="I3917" s="591" t="s">
        <v>280</v>
      </c>
      <c r="J3917" s="57"/>
    </row>
    <row r="3918" spans="1:10" ht="12.75">
      <c r="A3918" s="582" t="s">
        <v>1892</v>
      </c>
      <c r="B3918" s="63">
        <v>4116</v>
      </c>
      <c r="C3918" s="63" t="s">
        <v>281</v>
      </c>
      <c r="D3918" s="579"/>
      <c r="E3918" s="62"/>
      <c r="F3918" s="596"/>
      <c r="G3918" s="65">
        <v>0</v>
      </c>
      <c r="H3918" s="591" t="s">
        <v>280</v>
      </c>
      <c r="I3918" s="591" t="s">
        <v>280</v>
      </c>
    </row>
    <row r="3919" spans="1:10" ht="12.75">
      <c r="A3919" s="582" t="s">
        <v>1892</v>
      </c>
      <c r="B3919" s="63">
        <v>4117</v>
      </c>
      <c r="C3919" s="63" t="s">
        <v>281</v>
      </c>
      <c r="D3919" s="63"/>
      <c r="E3919" s="62"/>
      <c r="F3919" s="599"/>
      <c r="G3919" s="65">
        <v>0</v>
      </c>
      <c r="H3919" s="591" t="s">
        <v>280</v>
      </c>
      <c r="I3919" s="591" t="s">
        <v>280</v>
      </c>
    </row>
    <row r="3920" spans="1:10" ht="12.75">
      <c r="A3920" s="582" t="s">
        <v>1892</v>
      </c>
      <c r="B3920" s="63">
        <v>4118</v>
      </c>
      <c r="C3920" s="63" t="s">
        <v>281</v>
      </c>
      <c r="D3920" s="63"/>
      <c r="E3920" s="62"/>
      <c r="F3920" s="599"/>
      <c r="G3920" s="65">
        <v>0</v>
      </c>
      <c r="H3920" s="591" t="s">
        <v>280</v>
      </c>
      <c r="I3920" s="591" t="s">
        <v>280</v>
      </c>
    </row>
    <row r="3921" spans="1:9" ht="12.75">
      <c r="A3921" s="582" t="s">
        <v>1892</v>
      </c>
      <c r="B3921" s="63">
        <v>4119</v>
      </c>
      <c r="C3921" s="63" t="s">
        <v>659</v>
      </c>
      <c r="D3921" s="579">
        <v>10106</v>
      </c>
      <c r="E3921" s="62"/>
      <c r="F3921" s="585">
        <v>45535</v>
      </c>
      <c r="G3921" s="65">
        <v>1</v>
      </c>
      <c r="H3921" s="591" t="s">
        <v>1979</v>
      </c>
      <c r="I3921" s="591" t="s">
        <v>1229</v>
      </c>
    </row>
    <row r="3922" spans="1:9" ht="12.75">
      <c r="A3922" s="582" t="s">
        <v>1892</v>
      </c>
      <c r="B3922" s="63">
        <v>4120</v>
      </c>
      <c r="C3922" s="63" t="s">
        <v>281</v>
      </c>
      <c r="D3922" s="63"/>
      <c r="E3922" s="62"/>
      <c r="F3922" s="599"/>
      <c r="G3922" s="65">
        <v>0</v>
      </c>
      <c r="H3922" s="591" t="s">
        <v>280</v>
      </c>
      <c r="I3922" s="591" t="s">
        <v>280</v>
      </c>
    </row>
    <row r="3923" spans="1:9" ht="12.75">
      <c r="A3923" s="582" t="s">
        <v>1892</v>
      </c>
      <c r="B3923" s="65">
        <v>4121</v>
      </c>
      <c r="C3923" s="63" t="s">
        <v>281</v>
      </c>
      <c r="D3923" s="63"/>
      <c r="E3923" s="62"/>
      <c r="F3923" s="599"/>
      <c r="G3923" s="65">
        <v>0</v>
      </c>
      <c r="H3923" s="591" t="s">
        <v>280</v>
      </c>
      <c r="I3923" s="591" t="s">
        <v>280</v>
      </c>
    </row>
    <row r="3924" spans="1:9" ht="12.75">
      <c r="A3924" s="582" t="s">
        <v>1892</v>
      </c>
      <c r="B3924" s="65">
        <v>4122</v>
      </c>
      <c r="C3924" s="63" t="s">
        <v>281</v>
      </c>
      <c r="D3924" s="63"/>
      <c r="E3924" s="62"/>
      <c r="F3924" s="599"/>
      <c r="G3924" s="65">
        <v>0</v>
      </c>
      <c r="H3924" s="591" t="s">
        <v>280</v>
      </c>
      <c r="I3924" s="591" t="s">
        <v>280</v>
      </c>
    </row>
    <row r="3925" spans="1:9">
      <c r="A3925" s="582" t="s">
        <v>1892</v>
      </c>
      <c r="B3925" s="65">
        <v>4123</v>
      </c>
      <c r="C3925" s="63" t="s">
        <v>281</v>
      </c>
      <c r="D3925" s="65"/>
      <c r="E3925" s="583"/>
      <c r="F3925" s="596"/>
      <c r="G3925" s="65">
        <v>0</v>
      </c>
      <c r="H3925" s="591" t="s">
        <v>280</v>
      </c>
      <c r="I3925" s="591" t="s">
        <v>280</v>
      </c>
    </row>
    <row r="3926" spans="1:9">
      <c r="A3926" s="582" t="s">
        <v>1892</v>
      </c>
      <c r="B3926" s="65">
        <v>4124</v>
      </c>
      <c r="C3926" s="579" t="s">
        <v>281</v>
      </c>
      <c r="D3926" s="65"/>
      <c r="E3926" s="583"/>
      <c r="F3926" s="596"/>
      <c r="G3926" s="65">
        <v>0</v>
      </c>
      <c r="H3926" s="591" t="s">
        <v>280</v>
      </c>
      <c r="I3926" s="591" t="s">
        <v>280</v>
      </c>
    </row>
    <row r="3927" spans="1:9">
      <c r="A3927" s="582" t="s">
        <v>1892</v>
      </c>
      <c r="B3927" s="65">
        <v>4125</v>
      </c>
      <c r="C3927" s="579" t="s">
        <v>281</v>
      </c>
      <c r="D3927" s="65"/>
      <c r="E3927" s="583"/>
      <c r="F3927" s="596"/>
      <c r="G3927" s="65">
        <v>0</v>
      </c>
      <c r="H3927" s="591" t="s">
        <v>280</v>
      </c>
      <c r="I3927" s="591" t="s">
        <v>280</v>
      </c>
    </row>
    <row r="3928" spans="1:9">
      <c r="A3928" s="582" t="s">
        <v>1892</v>
      </c>
      <c r="B3928" s="65">
        <v>4126</v>
      </c>
      <c r="C3928" s="579" t="s">
        <v>281</v>
      </c>
      <c r="D3928" s="65"/>
      <c r="E3928" s="583"/>
      <c r="F3928" s="596"/>
      <c r="G3928" s="65">
        <v>0</v>
      </c>
      <c r="H3928" s="591" t="s">
        <v>280</v>
      </c>
      <c r="I3928" s="591" t="s">
        <v>280</v>
      </c>
    </row>
    <row r="3929" spans="1:9">
      <c r="A3929" s="582" t="s">
        <v>1892</v>
      </c>
      <c r="B3929" s="65">
        <v>4127</v>
      </c>
      <c r="C3929" s="579" t="s">
        <v>281</v>
      </c>
      <c r="D3929" s="65"/>
      <c r="E3929" s="583"/>
      <c r="F3929" s="596"/>
      <c r="G3929" s="65">
        <v>0</v>
      </c>
      <c r="H3929" s="591" t="s">
        <v>280</v>
      </c>
      <c r="I3929" s="591" t="s">
        <v>280</v>
      </c>
    </row>
    <row r="3930" spans="1:9">
      <c r="A3930" s="582" t="s">
        <v>1892</v>
      </c>
      <c r="B3930" s="65">
        <v>4128</v>
      </c>
      <c r="C3930" s="579" t="s">
        <v>281</v>
      </c>
      <c r="D3930" s="579"/>
      <c r="E3930" s="583"/>
      <c r="F3930" s="596"/>
      <c r="G3930" s="65">
        <v>0</v>
      </c>
      <c r="H3930" s="591" t="s">
        <v>280</v>
      </c>
      <c r="I3930" s="591" t="s">
        <v>280</v>
      </c>
    </row>
    <row r="3931" spans="1:9">
      <c r="A3931" s="582" t="s">
        <v>1892</v>
      </c>
      <c r="B3931" s="65">
        <v>4129</v>
      </c>
      <c r="C3931" s="579" t="s">
        <v>281</v>
      </c>
      <c r="D3931" s="579"/>
      <c r="E3931" s="583"/>
      <c r="F3931" s="596"/>
      <c r="G3931" s="65">
        <v>0</v>
      </c>
      <c r="H3931" s="591" t="s">
        <v>280</v>
      </c>
      <c r="I3931" s="591" t="s">
        <v>280</v>
      </c>
    </row>
    <row r="3932" spans="1:9">
      <c r="A3932" s="582" t="s">
        <v>1892</v>
      </c>
      <c r="B3932" s="65">
        <v>4130</v>
      </c>
      <c r="C3932" s="579" t="s">
        <v>281</v>
      </c>
      <c r="D3932" s="579"/>
      <c r="E3932" s="583"/>
      <c r="F3932" s="596"/>
      <c r="G3932" s="65">
        <v>0</v>
      </c>
      <c r="H3932" s="591" t="s">
        <v>280</v>
      </c>
      <c r="I3932" s="591" t="s">
        <v>280</v>
      </c>
    </row>
    <row r="3933" spans="1:9">
      <c r="A3933" s="582" t="s">
        <v>1892</v>
      </c>
      <c r="B3933" s="65">
        <v>4131</v>
      </c>
      <c r="C3933" s="579" t="s">
        <v>281</v>
      </c>
      <c r="D3933" s="579"/>
      <c r="E3933" s="583"/>
      <c r="F3933" s="596"/>
      <c r="G3933" s="65">
        <v>0</v>
      </c>
      <c r="H3933" s="591" t="s">
        <v>280</v>
      </c>
      <c r="I3933" s="591" t="s">
        <v>280</v>
      </c>
    </row>
    <row r="3934" spans="1:9">
      <c r="A3934" s="582" t="s">
        <v>1892</v>
      </c>
      <c r="B3934" s="65">
        <v>4132</v>
      </c>
      <c r="C3934" s="579" t="s">
        <v>281</v>
      </c>
      <c r="D3934" s="579"/>
      <c r="E3934" s="583"/>
      <c r="F3934" s="596"/>
      <c r="G3934" s="65">
        <v>0</v>
      </c>
      <c r="H3934" s="591" t="s">
        <v>280</v>
      </c>
      <c r="I3934" s="591" t="s">
        <v>280</v>
      </c>
    </row>
    <row r="3935" spans="1:9">
      <c r="A3935" s="582" t="s">
        <v>1892</v>
      </c>
      <c r="B3935" s="65">
        <v>4133</v>
      </c>
      <c r="C3935" s="579" t="s">
        <v>281</v>
      </c>
      <c r="D3935" s="579"/>
      <c r="E3935" s="583"/>
      <c r="F3935" s="596"/>
      <c r="G3935" s="65">
        <v>0</v>
      </c>
      <c r="H3935" s="591" t="s">
        <v>280</v>
      </c>
      <c r="I3935" s="591" t="s">
        <v>280</v>
      </c>
    </row>
    <row r="3936" spans="1:9">
      <c r="A3936" s="582" t="s">
        <v>1892</v>
      </c>
      <c r="B3936" s="65">
        <v>4134</v>
      </c>
      <c r="C3936" s="579" t="s">
        <v>281</v>
      </c>
      <c r="D3936" s="579"/>
      <c r="E3936" s="583"/>
      <c r="F3936" s="596"/>
      <c r="G3936" s="65">
        <v>0</v>
      </c>
      <c r="H3936" s="591" t="s">
        <v>280</v>
      </c>
      <c r="I3936" s="591" t="s">
        <v>280</v>
      </c>
    </row>
    <row r="3937" spans="1:9">
      <c r="A3937" s="582" t="s">
        <v>1892</v>
      </c>
      <c r="B3937" s="65">
        <v>4135</v>
      </c>
      <c r="C3937" s="579" t="s">
        <v>281</v>
      </c>
      <c r="D3937" s="579"/>
      <c r="E3937" s="583"/>
      <c r="F3937" s="596"/>
      <c r="G3937" s="65">
        <v>0</v>
      </c>
      <c r="H3937" s="591" t="s">
        <v>280</v>
      </c>
      <c r="I3937" s="591" t="s">
        <v>280</v>
      </c>
    </row>
    <row r="3938" spans="1:9">
      <c r="A3938" s="582" t="s">
        <v>1892</v>
      </c>
      <c r="B3938" s="65">
        <v>4136</v>
      </c>
      <c r="C3938" s="579" t="s">
        <v>281</v>
      </c>
      <c r="D3938" s="65"/>
      <c r="E3938" s="583"/>
      <c r="F3938" s="596"/>
      <c r="G3938" s="65">
        <v>0</v>
      </c>
      <c r="H3938" s="591" t="s">
        <v>280</v>
      </c>
      <c r="I3938" s="591" t="s">
        <v>280</v>
      </c>
    </row>
    <row r="3939" spans="1:9">
      <c r="A3939" s="582" t="s">
        <v>1892</v>
      </c>
      <c r="B3939" s="65">
        <v>4137</v>
      </c>
      <c r="C3939" s="579" t="s">
        <v>281</v>
      </c>
      <c r="D3939" s="65"/>
      <c r="E3939" s="583"/>
      <c r="F3939" s="596"/>
      <c r="G3939" s="65">
        <v>0</v>
      </c>
      <c r="H3939" s="591" t="s">
        <v>280</v>
      </c>
      <c r="I3939" s="591" t="s">
        <v>280</v>
      </c>
    </row>
    <row r="3940" spans="1:9">
      <c r="A3940" s="582" t="s">
        <v>1892</v>
      </c>
      <c r="B3940" s="65">
        <v>4138</v>
      </c>
      <c r="C3940" s="579" t="s">
        <v>281</v>
      </c>
      <c r="D3940" s="65"/>
      <c r="E3940" s="583"/>
      <c r="F3940" s="596"/>
      <c r="G3940" s="65">
        <v>0</v>
      </c>
      <c r="H3940" s="591" t="s">
        <v>280</v>
      </c>
      <c r="I3940" s="591" t="s">
        <v>280</v>
      </c>
    </row>
    <row r="3941" spans="1:9">
      <c r="A3941" s="582" t="s">
        <v>1892</v>
      </c>
      <c r="B3941" s="65">
        <v>4139</v>
      </c>
      <c r="C3941" s="579" t="s">
        <v>281</v>
      </c>
      <c r="D3941" s="65"/>
      <c r="E3941" s="583"/>
      <c r="F3941" s="596"/>
      <c r="G3941" s="65">
        <v>0</v>
      </c>
      <c r="H3941" s="591" t="s">
        <v>280</v>
      </c>
      <c r="I3941" s="591" t="s">
        <v>280</v>
      </c>
    </row>
    <row r="3942" spans="1:9">
      <c r="A3942" s="582" t="s">
        <v>1892</v>
      </c>
      <c r="B3942" s="65">
        <v>4140</v>
      </c>
      <c r="C3942" s="579" t="s">
        <v>281</v>
      </c>
      <c r="D3942" s="579"/>
      <c r="E3942" s="583"/>
      <c r="F3942" s="596"/>
      <c r="G3942" s="65">
        <v>0</v>
      </c>
      <c r="H3942" s="591" t="s">
        <v>280</v>
      </c>
      <c r="I3942" s="591" t="s">
        <v>280</v>
      </c>
    </row>
    <row r="3943" spans="1:9">
      <c r="A3943" s="582" t="s">
        <v>1892</v>
      </c>
      <c r="B3943" s="65">
        <v>4141</v>
      </c>
      <c r="C3943" s="579" t="s">
        <v>281</v>
      </c>
      <c r="D3943" s="579"/>
      <c r="E3943" s="583"/>
      <c r="F3943" s="596"/>
      <c r="G3943" s="65">
        <v>0</v>
      </c>
      <c r="H3943" s="591" t="s">
        <v>280</v>
      </c>
      <c r="I3943" s="591" t="s">
        <v>280</v>
      </c>
    </row>
    <row r="3944" spans="1:9">
      <c r="A3944" s="582" t="s">
        <v>1892</v>
      </c>
      <c r="B3944" s="65">
        <v>4142</v>
      </c>
      <c r="C3944" s="579" t="s">
        <v>281</v>
      </c>
      <c r="D3944" s="579"/>
      <c r="E3944" s="583"/>
      <c r="F3944" s="596"/>
      <c r="G3944" s="65">
        <v>0</v>
      </c>
      <c r="H3944" s="591" t="s">
        <v>280</v>
      </c>
      <c r="I3944" s="591" t="s">
        <v>280</v>
      </c>
    </row>
    <row r="3945" spans="1:9">
      <c r="A3945" s="582" t="s">
        <v>1892</v>
      </c>
      <c r="B3945" s="65">
        <v>4143</v>
      </c>
      <c r="C3945" s="579" t="s">
        <v>281</v>
      </c>
      <c r="D3945" s="579"/>
      <c r="E3945" s="583"/>
      <c r="F3945" s="596"/>
      <c r="G3945" s="65">
        <v>0</v>
      </c>
      <c r="H3945" s="591" t="s">
        <v>280</v>
      </c>
      <c r="I3945" s="591" t="s">
        <v>280</v>
      </c>
    </row>
    <row r="3946" spans="1:9">
      <c r="A3946" s="582" t="s">
        <v>1892</v>
      </c>
      <c r="B3946" s="65">
        <v>4144</v>
      </c>
      <c r="C3946" s="579" t="s">
        <v>281</v>
      </c>
      <c r="D3946" s="579"/>
      <c r="E3946" s="583"/>
      <c r="F3946" s="596"/>
      <c r="G3946" s="65">
        <v>0</v>
      </c>
      <c r="H3946" s="591" t="s">
        <v>280</v>
      </c>
      <c r="I3946" s="591" t="s">
        <v>280</v>
      </c>
    </row>
    <row r="3947" spans="1:9">
      <c r="A3947" s="580" t="s">
        <v>1892</v>
      </c>
      <c r="B3947" s="65">
        <v>4145</v>
      </c>
      <c r="C3947" s="65" t="s">
        <v>1893</v>
      </c>
      <c r="D3947" s="579">
        <v>10760</v>
      </c>
      <c r="E3947" s="583"/>
      <c r="F3947" s="585">
        <v>45535</v>
      </c>
      <c r="G3947" s="65">
        <v>1</v>
      </c>
      <c r="H3947" s="591" t="s">
        <v>1979</v>
      </c>
      <c r="I3947" s="591" t="s">
        <v>1229</v>
      </c>
    </row>
    <row r="3948" spans="1:9">
      <c r="A3948" s="580" t="s">
        <v>1892</v>
      </c>
      <c r="B3948" s="65">
        <v>4146</v>
      </c>
      <c r="C3948" s="65" t="s">
        <v>1894</v>
      </c>
      <c r="D3948" s="579">
        <v>10761</v>
      </c>
      <c r="E3948" s="583"/>
      <c r="F3948" s="585">
        <v>45535</v>
      </c>
      <c r="G3948" s="65">
        <v>1</v>
      </c>
      <c r="H3948" s="591" t="s">
        <v>1979</v>
      </c>
      <c r="I3948" s="591" t="s">
        <v>1229</v>
      </c>
    </row>
    <row r="3949" spans="1:9">
      <c r="A3949" s="580" t="s">
        <v>1892</v>
      </c>
      <c r="B3949" s="65">
        <v>4147</v>
      </c>
      <c r="C3949" s="65" t="s">
        <v>1895</v>
      </c>
      <c r="D3949" s="579">
        <v>10762</v>
      </c>
      <c r="E3949" s="583"/>
      <c r="F3949" s="585">
        <v>45535</v>
      </c>
      <c r="G3949" s="65">
        <v>1</v>
      </c>
      <c r="H3949" s="591" t="s">
        <v>280</v>
      </c>
      <c r="I3949" s="591" t="s">
        <v>280</v>
      </c>
    </row>
    <row r="3950" spans="1:9">
      <c r="A3950" s="580" t="s">
        <v>1892</v>
      </c>
      <c r="B3950" s="65">
        <v>4148</v>
      </c>
      <c r="C3950" s="65" t="s">
        <v>281</v>
      </c>
      <c r="D3950" s="579"/>
      <c r="E3950" s="583"/>
      <c r="F3950" s="596"/>
      <c r="G3950" s="65">
        <v>0</v>
      </c>
      <c r="H3950" s="591" t="s">
        <v>280</v>
      </c>
      <c r="I3950" s="591" t="s">
        <v>280</v>
      </c>
    </row>
    <row r="3951" spans="1:9">
      <c r="A3951" s="580" t="s">
        <v>1892</v>
      </c>
      <c r="B3951" s="65">
        <v>4149</v>
      </c>
      <c r="C3951" s="65" t="s">
        <v>1896</v>
      </c>
      <c r="D3951" s="579">
        <v>10764</v>
      </c>
      <c r="E3951" s="583"/>
      <c r="F3951" s="585">
        <v>45535</v>
      </c>
      <c r="G3951" s="65">
        <v>1</v>
      </c>
      <c r="H3951" s="591" t="s">
        <v>1979</v>
      </c>
      <c r="I3951" s="591" t="s">
        <v>1229</v>
      </c>
    </row>
    <row r="3952" spans="1:9">
      <c r="A3952" s="580" t="s">
        <v>1892</v>
      </c>
      <c r="B3952" s="65">
        <v>4150</v>
      </c>
      <c r="C3952" s="65" t="s">
        <v>281</v>
      </c>
      <c r="D3952" s="579"/>
      <c r="E3952" s="583"/>
      <c r="F3952" s="596"/>
      <c r="G3952" s="65">
        <v>0</v>
      </c>
      <c r="H3952" s="591" t="s">
        <v>280</v>
      </c>
      <c r="I3952" s="591" t="s">
        <v>280</v>
      </c>
    </row>
    <row r="3953" spans="1:9">
      <c r="A3953" s="580" t="s">
        <v>1892</v>
      </c>
      <c r="B3953" s="65">
        <v>4151</v>
      </c>
      <c r="C3953" s="65" t="s">
        <v>1897</v>
      </c>
      <c r="D3953" s="65">
        <v>10840</v>
      </c>
      <c r="E3953" s="583"/>
      <c r="F3953" s="585">
        <v>45535</v>
      </c>
      <c r="G3953" s="65">
        <v>1</v>
      </c>
      <c r="H3953" s="591" t="s">
        <v>1979</v>
      </c>
      <c r="I3953" s="591" t="s">
        <v>1229</v>
      </c>
    </row>
    <row r="3954" spans="1:9">
      <c r="A3954" s="580" t="s">
        <v>1892</v>
      </c>
      <c r="B3954" s="65">
        <v>4152</v>
      </c>
      <c r="C3954" s="65" t="s">
        <v>1898</v>
      </c>
      <c r="D3954" s="65">
        <v>10877</v>
      </c>
      <c r="E3954" s="583"/>
      <c r="F3954" s="585">
        <v>45535</v>
      </c>
      <c r="G3954" s="65">
        <v>1</v>
      </c>
      <c r="H3954" s="591" t="s">
        <v>280</v>
      </c>
      <c r="I3954" s="591" t="s">
        <v>280</v>
      </c>
    </row>
    <row r="3955" spans="1:9">
      <c r="A3955" s="582" t="s">
        <v>1892</v>
      </c>
      <c r="B3955" s="65">
        <v>4153</v>
      </c>
      <c r="C3955" s="65" t="s">
        <v>1899</v>
      </c>
      <c r="D3955" s="65">
        <v>11008</v>
      </c>
      <c r="E3955" s="583"/>
      <c r="F3955" s="585">
        <v>45535</v>
      </c>
      <c r="G3955" s="65">
        <v>1</v>
      </c>
      <c r="H3955" s="591" t="s">
        <v>1979</v>
      </c>
      <c r="I3955" s="591" t="s">
        <v>1229</v>
      </c>
    </row>
    <row r="3956" spans="1:9">
      <c r="A3956" s="582" t="s">
        <v>1892</v>
      </c>
      <c r="B3956" s="65">
        <v>4154</v>
      </c>
      <c r="C3956" s="65" t="s">
        <v>1900</v>
      </c>
      <c r="D3956" s="65">
        <v>11010</v>
      </c>
      <c r="E3956" s="583"/>
      <c r="F3956" s="585">
        <v>45535</v>
      </c>
      <c r="G3956" s="65">
        <v>1</v>
      </c>
      <c r="H3956" s="591" t="s">
        <v>1979</v>
      </c>
      <c r="I3956" s="591" t="s">
        <v>1229</v>
      </c>
    </row>
    <row r="3957" spans="1:9">
      <c r="A3957" s="582" t="s">
        <v>1892</v>
      </c>
      <c r="B3957" s="65">
        <v>4155</v>
      </c>
      <c r="C3957" s="579" t="s">
        <v>281</v>
      </c>
      <c r="D3957" s="579"/>
      <c r="E3957" s="583"/>
      <c r="F3957" s="596"/>
      <c r="G3957" s="65">
        <v>0</v>
      </c>
      <c r="H3957" s="591" t="s">
        <v>280</v>
      </c>
      <c r="I3957" s="591" t="s">
        <v>280</v>
      </c>
    </row>
    <row r="3958" spans="1:9">
      <c r="A3958" s="582" t="s">
        <v>1892</v>
      </c>
      <c r="B3958" s="65">
        <v>4156</v>
      </c>
      <c r="C3958" s="579" t="s">
        <v>281</v>
      </c>
      <c r="D3958" s="579"/>
      <c r="E3958" s="583"/>
      <c r="F3958" s="596"/>
      <c r="G3958" s="65">
        <v>0</v>
      </c>
      <c r="H3958" s="591" t="s">
        <v>280</v>
      </c>
      <c r="I3958" s="591" t="s">
        <v>280</v>
      </c>
    </row>
    <row r="3959" spans="1:9">
      <c r="A3959" s="582" t="s">
        <v>1892</v>
      </c>
      <c r="B3959" s="65">
        <v>4157</v>
      </c>
      <c r="C3959" s="579" t="s">
        <v>281</v>
      </c>
      <c r="D3959" s="579"/>
      <c r="E3959" s="583"/>
      <c r="F3959" s="596"/>
      <c r="G3959" s="65">
        <v>0</v>
      </c>
      <c r="H3959" s="591" t="s">
        <v>280</v>
      </c>
      <c r="I3959" s="591" t="s">
        <v>280</v>
      </c>
    </row>
    <row r="3960" spans="1:9">
      <c r="A3960" s="582" t="s">
        <v>1892</v>
      </c>
      <c r="B3960" s="65">
        <v>4158</v>
      </c>
      <c r="C3960" s="579" t="s">
        <v>281</v>
      </c>
      <c r="D3960" s="579"/>
      <c r="E3960" s="583"/>
      <c r="F3960" s="596"/>
      <c r="G3960" s="65">
        <v>0</v>
      </c>
      <c r="H3960" s="591" t="s">
        <v>280</v>
      </c>
      <c r="I3960" s="591" t="s">
        <v>280</v>
      </c>
    </row>
    <row r="3961" spans="1:9">
      <c r="A3961" s="582" t="s">
        <v>1892</v>
      </c>
      <c r="B3961" s="65">
        <v>4159</v>
      </c>
      <c r="C3961" s="579" t="s">
        <v>281</v>
      </c>
      <c r="D3961" s="579"/>
      <c r="E3961" s="583"/>
      <c r="F3961" s="596"/>
      <c r="G3961" s="65">
        <v>0</v>
      </c>
      <c r="H3961" s="591" t="s">
        <v>280</v>
      </c>
      <c r="I3961" s="591" t="s">
        <v>280</v>
      </c>
    </row>
    <row r="3962" spans="1:9">
      <c r="A3962" s="582" t="s">
        <v>1892</v>
      </c>
      <c r="B3962" s="65">
        <v>4160</v>
      </c>
      <c r="C3962" s="579" t="s">
        <v>281</v>
      </c>
      <c r="D3962" s="579"/>
      <c r="E3962" s="583"/>
      <c r="F3962" s="596"/>
      <c r="G3962" s="65">
        <v>0</v>
      </c>
      <c r="H3962" s="591" t="s">
        <v>280</v>
      </c>
      <c r="I3962" s="591" t="s">
        <v>280</v>
      </c>
    </row>
    <row r="3963" spans="1:9">
      <c r="A3963" s="582" t="s">
        <v>1892</v>
      </c>
      <c r="B3963" s="65">
        <v>4161</v>
      </c>
      <c r="C3963" s="579" t="s">
        <v>281</v>
      </c>
      <c r="D3963" s="579"/>
      <c r="E3963" s="583"/>
      <c r="F3963" s="596"/>
      <c r="G3963" s="65">
        <v>0</v>
      </c>
      <c r="H3963" s="591" t="s">
        <v>280</v>
      </c>
      <c r="I3963" s="591" t="s">
        <v>280</v>
      </c>
    </row>
    <row r="3964" spans="1:9">
      <c r="A3964" s="582" t="s">
        <v>1892</v>
      </c>
      <c r="B3964" s="65">
        <v>4162</v>
      </c>
      <c r="C3964" s="579" t="s">
        <v>281</v>
      </c>
      <c r="D3964" s="579"/>
      <c r="E3964" s="583"/>
      <c r="F3964" s="596"/>
      <c r="G3964" s="65">
        <v>0</v>
      </c>
      <c r="H3964" s="591" t="s">
        <v>280</v>
      </c>
      <c r="I3964" s="591" t="s">
        <v>280</v>
      </c>
    </row>
    <row r="3965" spans="1:9">
      <c r="A3965" s="582" t="s">
        <v>1892</v>
      </c>
      <c r="B3965" s="65">
        <v>4163</v>
      </c>
      <c r="C3965" s="579" t="s">
        <v>281</v>
      </c>
      <c r="D3965" s="579"/>
      <c r="E3965" s="583"/>
      <c r="F3965" s="596"/>
      <c r="G3965" s="65">
        <v>0</v>
      </c>
      <c r="H3965" s="591" t="s">
        <v>280</v>
      </c>
      <c r="I3965" s="591" t="s">
        <v>280</v>
      </c>
    </row>
    <row r="3966" spans="1:9">
      <c r="A3966" s="582" t="s">
        <v>1892</v>
      </c>
      <c r="B3966" s="65">
        <v>4164</v>
      </c>
      <c r="C3966" s="579" t="s">
        <v>281</v>
      </c>
      <c r="D3966" s="579"/>
      <c r="E3966" s="583"/>
      <c r="F3966" s="596"/>
      <c r="G3966" s="65">
        <v>0</v>
      </c>
      <c r="H3966" s="591" t="s">
        <v>280</v>
      </c>
      <c r="I3966" s="591" t="s">
        <v>280</v>
      </c>
    </row>
    <row r="3967" spans="1:9">
      <c r="A3967" s="582" t="s">
        <v>1892</v>
      </c>
      <c r="B3967" s="65">
        <v>4165</v>
      </c>
      <c r="C3967" s="579" t="s">
        <v>281</v>
      </c>
      <c r="D3967" s="579"/>
      <c r="E3967" s="583"/>
      <c r="F3967" s="596"/>
      <c r="G3967" s="65">
        <v>0</v>
      </c>
      <c r="H3967" s="591" t="s">
        <v>280</v>
      </c>
      <c r="I3967" s="591" t="s">
        <v>280</v>
      </c>
    </row>
    <row r="3968" spans="1:9">
      <c r="A3968" s="582" t="s">
        <v>1892</v>
      </c>
      <c r="B3968" s="65">
        <v>4166</v>
      </c>
      <c r="C3968" s="579" t="s">
        <v>281</v>
      </c>
      <c r="D3968" s="579"/>
      <c r="E3968" s="583"/>
      <c r="F3968" s="596"/>
      <c r="G3968" s="65">
        <v>0</v>
      </c>
      <c r="H3968" s="591" t="s">
        <v>280</v>
      </c>
      <c r="I3968" s="591" t="s">
        <v>280</v>
      </c>
    </row>
    <row r="3969" spans="1:9">
      <c r="A3969" s="582" t="s">
        <v>1892</v>
      </c>
      <c r="B3969" s="65">
        <v>4167</v>
      </c>
      <c r="C3969" s="579" t="s">
        <v>281</v>
      </c>
      <c r="D3969" s="579"/>
      <c r="E3969" s="583"/>
      <c r="F3969" s="596"/>
      <c r="G3969" s="65">
        <v>0</v>
      </c>
      <c r="H3969" s="591" t="s">
        <v>280</v>
      </c>
      <c r="I3969" s="591" t="s">
        <v>280</v>
      </c>
    </row>
    <row r="3970" spans="1:9">
      <c r="A3970" s="582" t="s">
        <v>1892</v>
      </c>
      <c r="B3970" s="65">
        <v>4168</v>
      </c>
      <c r="C3970" s="579" t="s">
        <v>281</v>
      </c>
      <c r="D3970" s="579"/>
      <c r="E3970" s="583"/>
      <c r="F3970" s="596"/>
      <c r="G3970" s="65">
        <v>0</v>
      </c>
      <c r="H3970" s="591" t="s">
        <v>280</v>
      </c>
      <c r="I3970" s="591" t="s">
        <v>280</v>
      </c>
    </row>
    <row r="3971" spans="1:9">
      <c r="A3971" s="582" t="s">
        <v>1892</v>
      </c>
      <c r="B3971" s="65">
        <v>4169</v>
      </c>
      <c r="C3971" s="579" t="s">
        <v>281</v>
      </c>
      <c r="D3971" s="579"/>
      <c r="E3971" s="583"/>
      <c r="F3971" s="596"/>
      <c r="G3971" s="65">
        <v>0</v>
      </c>
      <c r="H3971" s="591" t="s">
        <v>280</v>
      </c>
      <c r="I3971" s="591" t="s">
        <v>280</v>
      </c>
    </row>
    <row r="3972" spans="1:9">
      <c r="A3972" s="582" t="s">
        <v>1892</v>
      </c>
      <c r="B3972" s="65">
        <v>4170</v>
      </c>
      <c r="C3972" s="579" t="s">
        <v>281</v>
      </c>
      <c r="D3972" s="579"/>
      <c r="E3972" s="583"/>
      <c r="F3972" s="596"/>
      <c r="G3972" s="65">
        <v>0</v>
      </c>
      <c r="H3972" s="591" t="s">
        <v>280</v>
      </c>
      <c r="I3972" s="591" t="s">
        <v>280</v>
      </c>
    </row>
    <row r="3973" spans="1:9">
      <c r="A3973" s="582" t="s">
        <v>1892</v>
      </c>
      <c r="B3973" s="65">
        <v>4171</v>
      </c>
      <c r="C3973" s="579" t="s">
        <v>281</v>
      </c>
      <c r="D3973" s="579"/>
      <c r="E3973" s="583"/>
      <c r="F3973" s="596"/>
      <c r="G3973" s="65">
        <v>0</v>
      </c>
      <c r="H3973" s="591" t="s">
        <v>280</v>
      </c>
      <c r="I3973" s="591" t="s">
        <v>280</v>
      </c>
    </row>
    <row r="3974" spans="1:9">
      <c r="A3974" s="582" t="s">
        <v>1892</v>
      </c>
      <c r="B3974" s="65">
        <v>4172</v>
      </c>
      <c r="C3974" s="579" t="s">
        <v>281</v>
      </c>
      <c r="D3974" s="579"/>
      <c r="E3974" s="583"/>
      <c r="F3974" s="596"/>
      <c r="G3974" s="65">
        <v>0</v>
      </c>
      <c r="H3974" s="591" t="s">
        <v>280</v>
      </c>
      <c r="I3974" s="591" t="s">
        <v>280</v>
      </c>
    </row>
    <row r="3975" spans="1:9">
      <c r="A3975" s="582" t="s">
        <v>1892</v>
      </c>
      <c r="B3975" s="65">
        <v>4173</v>
      </c>
      <c r="C3975" s="579" t="s">
        <v>281</v>
      </c>
      <c r="D3975" s="579"/>
      <c r="E3975" s="583"/>
      <c r="F3975" s="596"/>
      <c r="G3975" s="65">
        <v>0</v>
      </c>
      <c r="H3975" s="591" t="s">
        <v>280</v>
      </c>
      <c r="I3975" s="591" t="s">
        <v>280</v>
      </c>
    </row>
    <row r="3976" spans="1:9">
      <c r="A3976" s="582" t="s">
        <v>1892</v>
      </c>
      <c r="B3976" s="65">
        <v>4174</v>
      </c>
      <c r="C3976" s="579" t="s">
        <v>281</v>
      </c>
      <c r="D3976" s="579"/>
      <c r="E3976" s="583"/>
      <c r="F3976" s="596"/>
      <c r="G3976" s="65">
        <v>0</v>
      </c>
      <c r="H3976" s="591" t="s">
        <v>280</v>
      </c>
      <c r="I3976" s="591" t="s">
        <v>280</v>
      </c>
    </row>
    <row r="3977" spans="1:9">
      <c r="A3977" s="582" t="s">
        <v>1892</v>
      </c>
      <c r="B3977" s="65">
        <v>4175</v>
      </c>
      <c r="C3977" s="579" t="s">
        <v>281</v>
      </c>
      <c r="D3977" s="579"/>
      <c r="E3977" s="583"/>
      <c r="F3977" s="596"/>
      <c r="G3977" s="65">
        <v>0</v>
      </c>
      <c r="H3977" s="591" t="s">
        <v>280</v>
      </c>
      <c r="I3977" s="591" t="s">
        <v>280</v>
      </c>
    </row>
    <row r="3978" spans="1:9">
      <c r="A3978" s="582" t="s">
        <v>1892</v>
      </c>
      <c r="B3978" s="65">
        <v>4176</v>
      </c>
      <c r="C3978" s="579" t="s">
        <v>281</v>
      </c>
      <c r="D3978" s="579"/>
      <c r="E3978" s="583"/>
      <c r="F3978" s="596"/>
      <c r="G3978" s="65">
        <v>0</v>
      </c>
      <c r="H3978" s="591" t="s">
        <v>280</v>
      </c>
      <c r="I3978" s="591" t="s">
        <v>280</v>
      </c>
    </row>
    <row r="3979" spans="1:9">
      <c r="A3979" s="582" t="s">
        <v>1892</v>
      </c>
      <c r="B3979" s="65">
        <v>4177</v>
      </c>
      <c r="C3979" s="579" t="s">
        <v>281</v>
      </c>
      <c r="D3979" s="579"/>
      <c r="E3979" s="583"/>
      <c r="F3979" s="596"/>
      <c r="G3979" s="65">
        <v>0</v>
      </c>
      <c r="H3979" s="591" t="s">
        <v>280</v>
      </c>
      <c r="I3979" s="591" t="s">
        <v>280</v>
      </c>
    </row>
    <row r="3980" spans="1:9">
      <c r="A3980" s="582" t="s">
        <v>1892</v>
      </c>
      <c r="B3980" s="65">
        <v>4178</v>
      </c>
      <c r="C3980" s="579" t="s">
        <v>281</v>
      </c>
      <c r="D3980" s="579"/>
      <c r="E3980" s="583"/>
      <c r="F3980" s="596"/>
      <c r="G3980" s="65">
        <v>0</v>
      </c>
      <c r="H3980" s="591" t="s">
        <v>280</v>
      </c>
      <c r="I3980" s="591" t="s">
        <v>280</v>
      </c>
    </row>
    <row r="3981" spans="1:9">
      <c r="A3981" s="582" t="s">
        <v>1892</v>
      </c>
      <c r="B3981" s="65">
        <v>4179</v>
      </c>
      <c r="C3981" s="579" t="s">
        <v>281</v>
      </c>
      <c r="D3981" s="579"/>
      <c r="E3981" s="583"/>
      <c r="F3981" s="596"/>
      <c r="G3981" s="65">
        <v>0</v>
      </c>
      <c r="H3981" s="591" t="s">
        <v>280</v>
      </c>
      <c r="I3981" s="591" t="s">
        <v>280</v>
      </c>
    </row>
    <row r="3982" spans="1:9">
      <c r="A3982" s="582" t="s">
        <v>1892</v>
      </c>
      <c r="B3982" s="65">
        <v>4180</v>
      </c>
      <c r="C3982" s="579" t="s">
        <v>281</v>
      </c>
      <c r="D3982" s="579"/>
      <c r="E3982" s="583"/>
      <c r="F3982" s="596"/>
      <c r="G3982" s="65">
        <v>0</v>
      </c>
      <c r="H3982" s="591" t="s">
        <v>280</v>
      </c>
      <c r="I3982" s="591" t="s">
        <v>280</v>
      </c>
    </row>
    <row r="3983" spans="1:9">
      <c r="A3983" s="582" t="s">
        <v>1892</v>
      </c>
      <c r="B3983" s="65">
        <v>4181</v>
      </c>
      <c r="C3983" s="579" t="s">
        <v>281</v>
      </c>
      <c r="D3983" s="579"/>
      <c r="E3983" s="583"/>
      <c r="F3983" s="596"/>
      <c r="G3983" s="65">
        <v>0</v>
      </c>
      <c r="H3983" s="591" t="s">
        <v>280</v>
      </c>
      <c r="I3983" s="591" t="s">
        <v>280</v>
      </c>
    </row>
    <row r="3984" spans="1:9">
      <c r="A3984" s="582" t="s">
        <v>1892</v>
      </c>
      <c r="B3984" s="65">
        <v>4182</v>
      </c>
      <c r="C3984" s="579" t="s">
        <v>281</v>
      </c>
      <c r="D3984" s="579"/>
      <c r="E3984" s="583"/>
      <c r="F3984" s="596"/>
      <c r="G3984" s="65">
        <v>0</v>
      </c>
      <c r="H3984" s="591" t="s">
        <v>280</v>
      </c>
      <c r="I3984" s="591" t="s">
        <v>280</v>
      </c>
    </row>
    <row r="3985" spans="1:9">
      <c r="A3985" s="582" t="s">
        <v>1892</v>
      </c>
      <c r="B3985" s="65">
        <v>4183</v>
      </c>
      <c r="C3985" s="579" t="s">
        <v>281</v>
      </c>
      <c r="D3985" s="579"/>
      <c r="E3985" s="583"/>
      <c r="F3985" s="596"/>
      <c r="G3985" s="65">
        <v>0</v>
      </c>
      <c r="H3985" s="591" t="s">
        <v>280</v>
      </c>
      <c r="I3985" s="591" t="s">
        <v>280</v>
      </c>
    </row>
    <row r="3986" spans="1:9">
      <c r="A3986" s="582" t="s">
        <v>1892</v>
      </c>
      <c r="B3986" s="65">
        <v>4184</v>
      </c>
      <c r="C3986" s="579" t="s">
        <v>281</v>
      </c>
      <c r="D3986" s="579"/>
      <c r="E3986" s="583"/>
      <c r="F3986" s="596"/>
      <c r="G3986" s="65">
        <v>0</v>
      </c>
      <c r="H3986" s="591" t="s">
        <v>280</v>
      </c>
      <c r="I3986" s="591" t="s">
        <v>280</v>
      </c>
    </row>
    <row r="3987" spans="1:9">
      <c r="A3987" s="582" t="s">
        <v>1892</v>
      </c>
      <c r="B3987" s="65">
        <v>4185</v>
      </c>
      <c r="C3987" s="579" t="s">
        <v>281</v>
      </c>
      <c r="D3987" s="579"/>
      <c r="E3987" s="583"/>
      <c r="F3987" s="596"/>
      <c r="G3987" s="65">
        <v>0</v>
      </c>
      <c r="H3987" s="591" t="s">
        <v>280</v>
      </c>
      <c r="I3987" s="591" t="s">
        <v>280</v>
      </c>
    </row>
    <row r="3988" spans="1:9">
      <c r="A3988" s="582" t="s">
        <v>1892</v>
      </c>
      <c r="B3988" s="65">
        <v>4186</v>
      </c>
      <c r="C3988" s="579" t="s">
        <v>281</v>
      </c>
      <c r="D3988" s="579"/>
      <c r="E3988" s="583"/>
      <c r="F3988" s="596"/>
      <c r="G3988" s="65">
        <v>0</v>
      </c>
      <c r="H3988" s="591" t="s">
        <v>280</v>
      </c>
      <c r="I3988" s="591" t="s">
        <v>280</v>
      </c>
    </row>
    <row r="3989" spans="1:9">
      <c r="A3989" s="582" t="s">
        <v>1892</v>
      </c>
      <c r="B3989" s="65">
        <v>4187</v>
      </c>
      <c r="C3989" s="579" t="s">
        <v>281</v>
      </c>
      <c r="D3989" s="579"/>
      <c r="E3989" s="583"/>
      <c r="F3989" s="596"/>
      <c r="G3989" s="65">
        <v>0</v>
      </c>
      <c r="H3989" s="591" t="s">
        <v>280</v>
      </c>
      <c r="I3989" s="591" t="s">
        <v>280</v>
      </c>
    </row>
    <row r="3990" spans="1:9">
      <c r="A3990" s="582" t="s">
        <v>1892</v>
      </c>
      <c r="B3990" s="65">
        <v>4188</v>
      </c>
      <c r="C3990" s="579" t="s">
        <v>281</v>
      </c>
      <c r="D3990" s="579"/>
      <c r="E3990" s="583"/>
      <c r="F3990" s="596"/>
      <c r="G3990" s="65">
        <v>0</v>
      </c>
      <c r="H3990" s="591" t="s">
        <v>280</v>
      </c>
      <c r="I3990" s="591" t="s">
        <v>280</v>
      </c>
    </row>
    <row r="3991" spans="1:9">
      <c r="A3991" s="582" t="s">
        <v>1892</v>
      </c>
      <c r="B3991" s="65">
        <v>4189</v>
      </c>
      <c r="C3991" s="579" t="s">
        <v>281</v>
      </c>
      <c r="D3991" s="579"/>
      <c r="E3991" s="583"/>
      <c r="F3991" s="596"/>
      <c r="G3991" s="65">
        <v>0</v>
      </c>
      <c r="H3991" s="591" t="s">
        <v>280</v>
      </c>
      <c r="I3991" s="591" t="s">
        <v>280</v>
      </c>
    </row>
    <row r="3992" spans="1:9">
      <c r="A3992" s="582" t="s">
        <v>1892</v>
      </c>
      <c r="B3992" s="65">
        <v>4190</v>
      </c>
      <c r="C3992" s="579" t="s">
        <v>281</v>
      </c>
      <c r="D3992" s="579"/>
      <c r="E3992" s="583"/>
      <c r="F3992" s="596"/>
      <c r="G3992" s="65">
        <v>0</v>
      </c>
      <c r="H3992" s="591" t="s">
        <v>280</v>
      </c>
      <c r="I3992" s="591" t="s">
        <v>280</v>
      </c>
    </row>
    <row r="3993" spans="1:9">
      <c r="A3993" s="582" t="s">
        <v>1892</v>
      </c>
      <c r="B3993" s="65">
        <v>4191</v>
      </c>
      <c r="C3993" s="579" t="s">
        <v>281</v>
      </c>
      <c r="D3993" s="579"/>
      <c r="E3993" s="583"/>
      <c r="F3993" s="596"/>
      <c r="G3993" s="65">
        <v>0</v>
      </c>
      <c r="H3993" s="591" t="s">
        <v>280</v>
      </c>
      <c r="I3993" s="591" t="s">
        <v>280</v>
      </c>
    </row>
    <row r="3994" spans="1:9">
      <c r="A3994" s="582" t="s">
        <v>1892</v>
      </c>
      <c r="B3994" s="65">
        <v>4192</v>
      </c>
      <c r="C3994" s="579" t="s">
        <v>281</v>
      </c>
      <c r="D3994" s="579"/>
      <c r="E3994" s="583"/>
      <c r="F3994" s="596"/>
      <c r="G3994" s="65">
        <v>0</v>
      </c>
      <c r="H3994" s="591" t="s">
        <v>280</v>
      </c>
      <c r="I3994" s="591" t="s">
        <v>280</v>
      </c>
    </row>
    <row r="3995" spans="1:9">
      <c r="A3995" s="582" t="s">
        <v>1892</v>
      </c>
      <c r="B3995" s="65">
        <v>4193</v>
      </c>
      <c r="C3995" s="579" t="s">
        <v>281</v>
      </c>
      <c r="D3995" s="579"/>
      <c r="E3995" s="583"/>
      <c r="F3995" s="596"/>
      <c r="G3995" s="65">
        <v>0</v>
      </c>
      <c r="H3995" s="591" t="s">
        <v>280</v>
      </c>
      <c r="I3995" s="591" t="s">
        <v>280</v>
      </c>
    </row>
    <row r="3996" spans="1:9">
      <c r="A3996" s="582" t="s">
        <v>1892</v>
      </c>
      <c r="B3996" s="65">
        <v>4194</v>
      </c>
      <c r="C3996" s="579" t="s">
        <v>281</v>
      </c>
      <c r="D3996" s="579"/>
      <c r="E3996" s="583"/>
      <c r="F3996" s="596"/>
      <c r="G3996" s="65">
        <v>0</v>
      </c>
      <c r="H3996" s="591" t="s">
        <v>280</v>
      </c>
      <c r="I3996" s="591" t="s">
        <v>280</v>
      </c>
    </row>
    <row r="3997" spans="1:9">
      <c r="A3997" s="582" t="s">
        <v>1892</v>
      </c>
      <c r="B3997" s="65">
        <v>4195</v>
      </c>
      <c r="C3997" s="579" t="s">
        <v>281</v>
      </c>
      <c r="D3997" s="579"/>
      <c r="E3997" s="583"/>
      <c r="F3997" s="596"/>
      <c r="G3997" s="65">
        <v>0</v>
      </c>
      <c r="H3997" s="591" t="s">
        <v>280</v>
      </c>
      <c r="I3997" s="591" t="s">
        <v>280</v>
      </c>
    </row>
    <row r="3998" spans="1:9">
      <c r="A3998" s="582" t="s">
        <v>1892</v>
      </c>
      <c r="B3998" s="65">
        <v>4196</v>
      </c>
      <c r="C3998" s="579" t="s">
        <v>281</v>
      </c>
      <c r="D3998" s="579"/>
      <c r="E3998" s="583"/>
      <c r="F3998" s="596"/>
      <c r="G3998" s="65">
        <v>0</v>
      </c>
      <c r="H3998" s="591" t="s">
        <v>280</v>
      </c>
      <c r="I3998" s="591" t="s">
        <v>280</v>
      </c>
    </row>
    <row r="3999" spans="1:9">
      <c r="A3999" s="582" t="s">
        <v>1892</v>
      </c>
      <c r="B3999" s="65">
        <v>4197</v>
      </c>
      <c r="C3999" s="579" t="s">
        <v>281</v>
      </c>
      <c r="D3999" s="579"/>
      <c r="E3999" s="583"/>
      <c r="F3999" s="596"/>
      <c r="G3999" s="65">
        <v>0</v>
      </c>
      <c r="H3999" s="591" t="s">
        <v>280</v>
      </c>
      <c r="I3999" s="591" t="s">
        <v>280</v>
      </c>
    </row>
    <row r="4000" spans="1:9">
      <c r="A4000" s="582" t="s">
        <v>1892</v>
      </c>
      <c r="B4000" s="65">
        <v>4198</v>
      </c>
      <c r="C4000" s="579" t="s">
        <v>281</v>
      </c>
      <c r="D4000" s="579"/>
      <c r="E4000" s="583"/>
      <c r="F4000" s="596"/>
      <c r="G4000" s="65">
        <v>0</v>
      </c>
      <c r="H4000" s="591" t="s">
        <v>280</v>
      </c>
      <c r="I4000" s="591" t="s">
        <v>280</v>
      </c>
    </row>
    <row r="4001" spans="1:9">
      <c r="A4001" s="582" t="s">
        <v>1892</v>
      </c>
      <c r="B4001" s="65">
        <v>4199</v>
      </c>
      <c r="C4001" s="579" t="s">
        <v>281</v>
      </c>
      <c r="D4001" s="579"/>
      <c r="E4001" s="583"/>
      <c r="F4001" s="596"/>
      <c r="G4001" s="65">
        <v>0</v>
      </c>
      <c r="H4001" s="591" t="s">
        <v>280</v>
      </c>
      <c r="I4001" s="591" t="s">
        <v>280</v>
      </c>
    </row>
    <row r="4002" spans="1:9" ht="12.75">
      <c r="A4002" s="582"/>
      <c r="B4002" s="63">
        <v>4200</v>
      </c>
      <c r="C4002" s="63" t="s">
        <v>279</v>
      </c>
      <c r="D4002" s="63"/>
      <c r="E4002" s="62"/>
      <c r="F4002" s="599"/>
      <c r="G4002" s="65">
        <v>0</v>
      </c>
      <c r="H4002" s="591" t="s">
        <v>280</v>
      </c>
      <c r="I4002" s="591" t="s">
        <v>280</v>
      </c>
    </row>
    <row r="4003" spans="1:9" ht="12.75">
      <c r="A4003" s="582"/>
      <c r="B4003" s="63">
        <v>4201</v>
      </c>
      <c r="C4003" s="579" t="s">
        <v>281</v>
      </c>
      <c r="D4003" s="63"/>
      <c r="E4003" s="62"/>
      <c r="F4003" s="599"/>
      <c r="G4003" s="65">
        <v>0</v>
      </c>
      <c r="H4003" s="591" t="s">
        <v>280</v>
      </c>
      <c r="I4003" s="591" t="s">
        <v>280</v>
      </c>
    </row>
    <row r="4004" spans="1:9" ht="12.75">
      <c r="A4004" s="582"/>
      <c r="B4004" s="63">
        <v>4202</v>
      </c>
      <c r="C4004" s="579" t="s">
        <v>281</v>
      </c>
      <c r="D4004" s="63"/>
      <c r="E4004" s="62"/>
      <c r="F4004" s="599"/>
      <c r="G4004" s="65">
        <v>0</v>
      </c>
      <c r="H4004" s="591" t="s">
        <v>280</v>
      </c>
      <c r="I4004" s="591" t="s">
        <v>280</v>
      </c>
    </row>
    <row r="4005" spans="1:9" ht="12.75">
      <c r="A4005" s="582"/>
      <c r="B4005" s="63">
        <v>4203</v>
      </c>
      <c r="C4005" s="579" t="s">
        <v>281</v>
      </c>
      <c r="D4005" s="63"/>
      <c r="E4005" s="62"/>
      <c r="F4005" s="599"/>
      <c r="G4005" s="65">
        <v>0</v>
      </c>
      <c r="H4005" s="591" t="s">
        <v>280</v>
      </c>
      <c r="I4005" s="591" t="s">
        <v>280</v>
      </c>
    </row>
    <row r="4006" spans="1:9" ht="12.75">
      <c r="A4006" s="582"/>
      <c r="B4006" s="63">
        <v>4204</v>
      </c>
      <c r="C4006" s="579" t="s">
        <v>281</v>
      </c>
      <c r="D4006" s="63"/>
      <c r="E4006" s="62"/>
      <c r="F4006" s="599"/>
      <c r="G4006" s="65">
        <v>0</v>
      </c>
      <c r="H4006" s="591" t="s">
        <v>280</v>
      </c>
      <c r="I4006" s="591" t="s">
        <v>280</v>
      </c>
    </row>
    <row r="4007" spans="1:9" ht="12.75">
      <c r="A4007" s="582"/>
      <c r="B4007" s="63">
        <v>4205</v>
      </c>
      <c r="C4007" s="579" t="s">
        <v>281</v>
      </c>
      <c r="D4007" s="63"/>
      <c r="E4007" s="62"/>
      <c r="F4007" s="599"/>
      <c r="G4007" s="65">
        <v>0</v>
      </c>
      <c r="H4007" s="591" t="s">
        <v>280</v>
      </c>
      <c r="I4007" s="591" t="s">
        <v>280</v>
      </c>
    </row>
    <row r="4008" spans="1:9" ht="12.75">
      <c r="A4008" s="582"/>
      <c r="B4008" s="63">
        <v>4206</v>
      </c>
      <c r="C4008" s="579" t="s">
        <v>281</v>
      </c>
      <c r="D4008" s="63"/>
      <c r="E4008" s="62"/>
      <c r="F4008" s="599"/>
      <c r="G4008" s="65">
        <v>0</v>
      </c>
      <c r="H4008" s="591" t="s">
        <v>280</v>
      </c>
      <c r="I4008" s="591" t="s">
        <v>280</v>
      </c>
    </row>
    <row r="4009" spans="1:9" ht="12.75">
      <c r="A4009" s="582"/>
      <c r="B4009" s="63">
        <v>4207</v>
      </c>
      <c r="C4009" s="579" t="s">
        <v>281</v>
      </c>
      <c r="D4009" s="63"/>
      <c r="E4009" s="62"/>
      <c r="F4009" s="599"/>
      <c r="G4009" s="65">
        <v>0</v>
      </c>
      <c r="H4009" s="591" t="s">
        <v>280</v>
      </c>
      <c r="I4009" s="591" t="s">
        <v>280</v>
      </c>
    </row>
    <row r="4010" spans="1:9" ht="12.75">
      <c r="A4010" s="582"/>
      <c r="B4010" s="63">
        <v>4208</v>
      </c>
      <c r="C4010" s="579" t="s">
        <v>281</v>
      </c>
      <c r="D4010" s="63"/>
      <c r="E4010" s="62"/>
      <c r="F4010" s="599"/>
      <c r="G4010" s="65">
        <v>0</v>
      </c>
      <c r="H4010" s="591" t="s">
        <v>280</v>
      </c>
      <c r="I4010" s="591" t="s">
        <v>280</v>
      </c>
    </row>
    <row r="4011" spans="1:9" ht="12.75">
      <c r="A4011" s="582"/>
      <c r="B4011" s="63">
        <v>4209</v>
      </c>
      <c r="C4011" s="579" t="s">
        <v>281</v>
      </c>
      <c r="D4011" s="63"/>
      <c r="E4011" s="62"/>
      <c r="F4011" s="599"/>
      <c r="G4011" s="65">
        <v>0</v>
      </c>
      <c r="H4011" s="591" t="s">
        <v>280</v>
      </c>
      <c r="I4011" s="591" t="s">
        <v>280</v>
      </c>
    </row>
    <row r="4012" spans="1:9" ht="12.75">
      <c r="A4012" s="582"/>
      <c r="B4012" s="63">
        <v>4210</v>
      </c>
      <c r="C4012" s="579" t="s">
        <v>281</v>
      </c>
      <c r="D4012" s="63"/>
      <c r="E4012" s="62"/>
      <c r="F4012" s="599"/>
      <c r="G4012" s="65">
        <v>0</v>
      </c>
      <c r="H4012" s="591" t="s">
        <v>280</v>
      </c>
      <c r="I4012" s="591" t="s">
        <v>280</v>
      </c>
    </row>
    <row r="4013" spans="1:9">
      <c r="A4013" s="582"/>
      <c r="B4013" s="65">
        <v>4211</v>
      </c>
      <c r="C4013" s="579" t="s">
        <v>281</v>
      </c>
      <c r="D4013" s="579"/>
      <c r="E4013" s="583"/>
      <c r="F4013" s="596"/>
      <c r="G4013" s="65">
        <v>0</v>
      </c>
      <c r="H4013" s="591" t="s">
        <v>280</v>
      </c>
      <c r="I4013" s="591" t="s">
        <v>280</v>
      </c>
    </row>
    <row r="4014" spans="1:9">
      <c r="A4014" s="582"/>
      <c r="B4014" s="65">
        <v>4212</v>
      </c>
      <c r="C4014" s="579" t="s">
        <v>281</v>
      </c>
      <c r="D4014" s="579"/>
      <c r="E4014" s="583"/>
      <c r="F4014" s="596"/>
      <c r="G4014" s="65">
        <v>0</v>
      </c>
      <c r="H4014" s="591" t="s">
        <v>280</v>
      </c>
      <c r="I4014" s="591" t="s">
        <v>280</v>
      </c>
    </row>
    <row r="4015" spans="1:9">
      <c r="A4015" s="582"/>
      <c r="B4015" s="65">
        <v>4213</v>
      </c>
      <c r="C4015" s="579" t="s">
        <v>281</v>
      </c>
      <c r="D4015" s="579"/>
      <c r="E4015" s="583"/>
      <c r="F4015" s="596"/>
      <c r="G4015" s="65">
        <v>0</v>
      </c>
      <c r="H4015" s="591" t="s">
        <v>280</v>
      </c>
      <c r="I4015" s="591" t="s">
        <v>280</v>
      </c>
    </row>
    <row r="4016" spans="1:9">
      <c r="A4016" s="582"/>
      <c r="B4016" s="65">
        <v>4214</v>
      </c>
      <c r="C4016" s="579" t="s">
        <v>281</v>
      </c>
      <c r="D4016" s="579"/>
      <c r="E4016" s="583"/>
      <c r="F4016" s="596"/>
      <c r="G4016" s="65">
        <v>0</v>
      </c>
      <c r="H4016" s="591" t="s">
        <v>280</v>
      </c>
      <c r="I4016" s="591" t="s">
        <v>280</v>
      </c>
    </row>
    <row r="4017" spans="1:9">
      <c r="A4017" s="582"/>
      <c r="B4017" s="65">
        <v>4215</v>
      </c>
      <c r="C4017" s="579" t="s">
        <v>281</v>
      </c>
      <c r="D4017" s="579"/>
      <c r="E4017" s="583"/>
      <c r="F4017" s="596"/>
      <c r="G4017" s="65">
        <v>0</v>
      </c>
      <c r="H4017" s="591" t="s">
        <v>280</v>
      </c>
      <c r="I4017" s="591" t="s">
        <v>280</v>
      </c>
    </row>
    <row r="4018" spans="1:9">
      <c r="A4018" s="582"/>
      <c r="B4018" s="65">
        <v>4216</v>
      </c>
      <c r="C4018" s="579" t="s">
        <v>281</v>
      </c>
      <c r="D4018" s="579"/>
      <c r="E4018" s="583"/>
      <c r="F4018" s="596"/>
      <c r="G4018" s="65">
        <v>0</v>
      </c>
      <c r="H4018" s="591" t="s">
        <v>280</v>
      </c>
      <c r="I4018" s="591" t="s">
        <v>280</v>
      </c>
    </row>
    <row r="4019" spans="1:9">
      <c r="A4019" s="582"/>
      <c r="B4019" s="65">
        <v>4217</v>
      </c>
      <c r="C4019" s="579" t="s">
        <v>281</v>
      </c>
      <c r="D4019" s="579"/>
      <c r="E4019" s="583"/>
      <c r="F4019" s="596"/>
      <c r="G4019" s="65">
        <v>0</v>
      </c>
      <c r="H4019" s="591" t="s">
        <v>280</v>
      </c>
      <c r="I4019" s="591" t="s">
        <v>280</v>
      </c>
    </row>
    <row r="4020" spans="1:9">
      <c r="A4020" s="582"/>
      <c r="B4020" s="65">
        <v>4218</v>
      </c>
      <c r="C4020" s="579" t="s">
        <v>281</v>
      </c>
      <c r="D4020" s="579"/>
      <c r="E4020" s="583"/>
      <c r="F4020" s="596"/>
      <c r="G4020" s="65">
        <v>0</v>
      </c>
      <c r="H4020" s="591" t="s">
        <v>280</v>
      </c>
      <c r="I4020" s="591" t="s">
        <v>280</v>
      </c>
    </row>
    <row r="4021" spans="1:9">
      <c r="A4021" s="582"/>
      <c r="B4021" s="65">
        <v>4219</v>
      </c>
      <c r="C4021" s="579" t="s">
        <v>281</v>
      </c>
      <c r="D4021" s="579"/>
      <c r="E4021" s="583"/>
      <c r="F4021" s="596"/>
      <c r="G4021" s="65">
        <v>0</v>
      </c>
      <c r="H4021" s="591" t="s">
        <v>280</v>
      </c>
      <c r="I4021" s="591" t="s">
        <v>280</v>
      </c>
    </row>
    <row r="4022" spans="1:9">
      <c r="A4022" s="582"/>
      <c r="B4022" s="65">
        <v>4220</v>
      </c>
      <c r="C4022" s="579" t="s">
        <v>281</v>
      </c>
      <c r="D4022" s="579"/>
      <c r="E4022" s="583"/>
      <c r="F4022" s="596"/>
      <c r="G4022" s="65">
        <v>0</v>
      </c>
      <c r="H4022" s="591" t="s">
        <v>280</v>
      </c>
      <c r="I4022" s="591" t="s">
        <v>280</v>
      </c>
    </row>
    <row r="4023" spans="1:9">
      <c r="A4023" s="582"/>
      <c r="B4023" s="65">
        <v>4221</v>
      </c>
      <c r="C4023" s="579" t="s">
        <v>281</v>
      </c>
      <c r="D4023" s="579"/>
      <c r="E4023" s="583"/>
      <c r="F4023" s="596"/>
      <c r="G4023" s="65">
        <v>0</v>
      </c>
      <c r="H4023" s="591" t="s">
        <v>280</v>
      </c>
      <c r="I4023" s="591" t="s">
        <v>280</v>
      </c>
    </row>
    <row r="4024" spans="1:9">
      <c r="A4024" s="582"/>
      <c r="B4024" s="65">
        <v>4222</v>
      </c>
      <c r="C4024" s="579" t="s">
        <v>281</v>
      </c>
      <c r="D4024" s="579"/>
      <c r="E4024" s="583"/>
      <c r="F4024" s="596"/>
      <c r="G4024" s="65">
        <v>0</v>
      </c>
      <c r="H4024" s="591" t="s">
        <v>280</v>
      </c>
      <c r="I4024" s="591" t="s">
        <v>280</v>
      </c>
    </row>
    <row r="4025" spans="1:9">
      <c r="A4025" s="582"/>
      <c r="B4025" s="65">
        <v>4223</v>
      </c>
      <c r="C4025" s="579" t="s">
        <v>281</v>
      </c>
      <c r="D4025" s="579"/>
      <c r="E4025" s="583"/>
      <c r="F4025" s="596"/>
      <c r="G4025" s="65">
        <v>0</v>
      </c>
      <c r="H4025" s="591" t="s">
        <v>280</v>
      </c>
      <c r="I4025" s="591" t="s">
        <v>280</v>
      </c>
    </row>
    <row r="4026" spans="1:9">
      <c r="A4026" s="582"/>
      <c r="B4026" s="65">
        <v>4224</v>
      </c>
      <c r="C4026" s="579" t="s">
        <v>281</v>
      </c>
      <c r="D4026" s="579"/>
      <c r="E4026" s="583"/>
      <c r="F4026" s="596"/>
      <c r="G4026" s="65">
        <v>0</v>
      </c>
      <c r="H4026" s="591" t="s">
        <v>280</v>
      </c>
      <c r="I4026" s="591" t="s">
        <v>280</v>
      </c>
    </row>
    <row r="4027" spans="1:9">
      <c r="A4027" s="582"/>
      <c r="B4027" s="65">
        <v>4225</v>
      </c>
      <c r="C4027" s="579" t="s">
        <v>281</v>
      </c>
      <c r="D4027" s="579"/>
      <c r="E4027" s="583"/>
      <c r="F4027" s="596"/>
      <c r="G4027" s="65">
        <v>0</v>
      </c>
      <c r="H4027" s="591" t="s">
        <v>280</v>
      </c>
      <c r="I4027" s="591" t="s">
        <v>280</v>
      </c>
    </row>
    <row r="4028" spans="1:9">
      <c r="A4028" s="582"/>
      <c r="B4028" s="65">
        <v>4226</v>
      </c>
      <c r="C4028" s="579" t="s">
        <v>281</v>
      </c>
      <c r="D4028" s="579"/>
      <c r="E4028" s="583"/>
      <c r="F4028" s="596"/>
      <c r="G4028" s="65">
        <v>0</v>
      </c>
      <c r="H4028" s="591" t="s">
        <v>280</v>
      </c>
      <c r="I4028" s="591" t="s">
        <v>280</v>
      </c>
    </row>
    <row r="4029" spans="1:9">
      <c r="A4029" s="582"/>
      <c r="B4029" s="65">
        <v>4227</v>
      </c>
      <c r="C4029" s="579" t="s">
        <v>281</v>
      </c>
      <c r="D4029" s="579"/>
      <c r="E4029" s="583"/>
      <c r="F4029" s="596"/>
      <c r="G4029" s="65">
        <v>0</v>
      </c>
      <c r="H4029" s="591" t="s">
        <v>280</v>
      </c>
      <c r="I4029" s="591" t="s">
        <v>280</v>
      </c>
    </row>
    <row r="4030" spans="1:9">
      <c r="A4030" s="582"/>
      <c r="B4030" s="65">
        <v>4228</v>
      </c>
      <c r="C4030" s="579" t="s">
        <v>281</v>
      </c>
      <c r="D4030" s="579"/>
      <c r="E4030" s="583"/>
      <c r="F4030" s="596"/>
      <c r="G4030" s="65">
        <v>0</v>
      </c>
      <c r="H4030" s="591" t="s">
        <v>280</v>
      </c>
      <c r="I4030" s="591" t="s">
        <v>280</v>
      </c>
    </row>
    <row r="4031" spans="1:9">
      <c r="A4031" s="582"/>
      <c r="B4031" s="65">
        <v>4229</v>
      </c>
      <c r="C4031" s="579" t="s">
        <v>281</v>
      </c>
      <c r="D4031" s="579"/>
      <c r="E4031" s="583"/>
      <c r="F4031" s="596"/>
      <c r="G4031" s="65">
        <v>0</v>
      </c>
      <c r="H4031" s="591" t="s">
        <v>280</v>
      </c>
      <c r="I4031" s="591" t="s">
        <v>280</v>
      </c>
    </row>
    <row r="4032" spans="1:9">
      <c r="A4032" s="582"/>
      <c r="B4032" s="65">
        <v>4230</v>
      </c>
      <c r="C4032" s="579" t="s">
        <v>281</v>
      </c>
      <c r="D4032" s="579"/>
      <c r="E4032" s="583"/>
      <c r="F4032" s="596"/>
      <c r="G4032" s="65">
        <v>0</v>
      </c>
      <c r="H4032" s="591" t="s">
        <v>280</v>
      </c>
      <c r="I4032" s="591" t="s">
        <v>280</v>
      </c>
    </row>
    <row r="4033" spans="1:9">
      <c r="A4033" s="582"/>
      <c r="B4033" s="65">
        <v>4231</v>
      </c>
      <c r="C4033" s="579" t="s">
        <v>281</v>
      </c>
      <c r="D4033" s="579"/>
      <c r="E4033" s="583"/>
      <c r="F4033" s="596"/>
      <c r="G4033" s="65">
        <v>0</v>
      </c>
      <c r="H4033" s="591" t="s">
        <v>280</v>
      </c>
      <c r="I4033" s="591" t="s">
        <v>280</v>
      </c>
    </row>
    <row r="4034" spans="1:9">
      <c r="A4034" s="582"/>
      <c r="B4034" s="65">
        <v>4232</v>
      </c>
      <c r="C4034" s="579" t="s">
        <v>281</v>
      </c>
      <c r="D4034" s="579"/>
      <c r="E4034" s="583"/>
      <c r="F4034" s="596"/>
      <c r="G4034" s="65">
        <v>0</v>
      </c>
      <c r="H4034" s="591" t="s">
        <v>280</v>
      </c>
      <c r="I4034" s="591" t="s">
        <v>280</v>
      </c>
    </row>
    <row r="4035" spans="1:9">
      <c r="A4035" s="582"/>
      <c r="B4035" s="65">
        <v>4233</v>
      </c>
      <c r="C4035" s="579" t="s">
        <v>281</v>
      </c>
      <c r="D4035" s="579"/>
      <c r="E4035" s="583"/>
      <c r="F4035" s="596"/>
      <c r="G4035" s="65">
        <v>0</v>
      </c>
      <c r="H4035" s="591" t="s">
        <v>280</v>
      </c>
      <c r="I4035" s="591" t="s">
        <v>280</v>
      </c>
    </row>
    <row r="4036" spans="1:9">
      <c r="A4036" s="582"/>
      <c r="B4036" s="65">
        <v>4234</v>
      </c>
      <c r="C4036" s="579" t="s">
        <v>281</v>
      </c>
      <c r="D4036" s="579"/>
      <c r="E4036" s="583"/>
      <c r="F4036" s="596"/>
      <c r="G4036" s="65">
        <v>0</v>
      </c>
      <c r="H4036" s="591" t="s">
        <v>280</v>
      </c>
      <c r="I4036" s="591" t="s">
        <v>280</v>
      </c>
    </row>
    <row r="4037" spans="1:9">
      <c r="A4037" s="582"/>
      <c r="B4037" s="65">
        <v>4235</v>
      </c>
      <c r="C4037" s="579" t="s">
        <v>281</v>
      </c>
      <c r="D4037" s="579"/>
      <c r="E4037" s="583"/>
      <c r="F4037" s="596"/>
      <c r="G4037" s="65">
        <v>0</v>
      </c>
      <c r="H4037" s="591" t="s">
        <v>280</v>
      </c>
      <c r="I4037" s="591" t="s">
        <v>280</v>
      </c>
    </row>
    <row r="4038" spans="1:9">
      <c r="A4038" s="582"/>
      <c r="B4038" s="65">
        <v>4236</v>
      </c>
      <c r="C4038" s="579" t="s">
        <v>281</v>
      </c>
      <c r="D4038" s="579"/>
      <c r="E4038" s="583"/>
      <c r="F4038" s="596"/>
      <c r="G4038" s="65">
        <v>0</v>
      </c>
      <c r="H4038" s="591" t="s">
        <v>280</v>
      </c>
      <c r="I4038" s="591" t="s">
        <v>280</v>
      </c>
    </row>
    <row r="4039" spans="1:9">
      <c r="A4039" s="582"/>
      <c r="B4039" s="65">
        <v>4237</v>
      </c>
      <c r="C4039" s="579" t="s">
        <v>281</v>
      </c>
      <c r="D4039" s="579"/>
      <c r="E4039" s="583"/>
      <c r="F4039" s="596"/>
      <c r="G4039" s="65">
        <v>0</v>
      </c>
      <c r="H4039" s="591" t="s">
        <v>280</v>
      </c>
      <c r="I4039" s="591" t="s">
        <v>280</v>
      </c>
    </row>
    <row r="4040" spans="1:9">
      <c r="A4040" s="582"/>
      <c r="B4040" s="65">
        <v>4238</v>
      </c>
      <c r="C4040" s="579" t="s">
        <v>281</v>
      </c>
      <c r="D4040" s="579"/>
      <c r="E4040" s="583"/>
      <c r="F4040" s="596"/>
      <c r="G4040" s="65">
        <v>0</v>
      </c>
      <c r="H4040" s="591" t="s">
        <v>280</v>
      </c>
      <c r="I4040" s="591" t="s">
        <v>280</v>
      </c>
    </row>
    <row r="4041" spans="1:9">
      <c r="A4041" s="582"/>
      <c r="B4041" s="65">
        <v>4239</v>
      </c>
      <c r="C4041" s="579" t="s">
        <v>281</v>
      </c>
      <c r="D4041" s="579"/>
      <c r="E4041" s="583"/>
      <c r="F4041" s="596"/>
      <c r="G4041" s="65">
        <v>0</v>
      </c>
      <c r="H4041" s="591" t="s">
        <v>280</v>
      </c>
      <c r="I4041" s="591" t="s">
        <v>280</v>
      </c>
    </row>
    <row r="4042" spans="1:9">
      <c r="A4042" s="582"/>
      <c r="B4042" s="65">
        <v>4240</v>
      </c>
      <c r="C4042" s="579" t="s">
        <v>281</v>
      </c>
      <c r="D4042" s="579"/>
      <c r="E4042" s="583"/>
      <c r="F4042" s="596"/>
      <c r="G4042" s="65">
        <v>0</v>
      </c>
      <c r="H4042" s="591" t="s">
        <v>280</v>
      </c>
      <c r="I4042" s="591" t="s">
        <v>280</v>
      </c>
    </row>
    <row r="4043" spans="1:9">
      <c r="A4043" s="582"/>
      <c r="B4043" s="65">
        <v>4241</v>
      </c>
      <c r="C4043" s="579" t="s">
        <v>281</v>
      </c>
      <c r="D4043" s="579"/>
      <c r="E4043" s="583"/>
      <c r="F4043" s="596"/>
      <c r="G4043" s="65">
        <v>0</v>
      </c>
      <c r="H4043" s="591" t="s">
        <v>280</v>
      </c>
      <c r="I4043" s="591" t="s">
        <v>280</v>
      </c>
    </row>
    <row r="4044" spans="1:9">
      <c r="A4044" s="582"/>
      <c r="B4044" s="65">
        <v>4242</v>
      </c>
      <c r="C4044" s="579" t="s">
        <v>281</v>
      </c>
      <c r="D4044" s="579"/>
      <c r="E4044" s="583"/>
      <c r="F4044" s="596"/>
      <c r="G4044" s="65">
        <v>0</v>
      </c>
      <c r="H4044" s="591" t="s">
        <v>280</v>
      </c>
      <c r="I4044" s="591" t="s">
        <v>280</v>
      </c>
    </row>
    <row r="4045" spans="1:9">
      <c r="A4045" s="582"/>
      <c r="B4045" s="65">
        <v>4243</v>
      </c>
      <c r="C4045" s="579" t="s">
        <v>281</v>
      </c>
      <c r="D4045" s="579"/>
      <c r="E4045" s="583"/>
      <c r="F4045" s="596"/>
      <c r="G4045" s="65">
        <v>0</v>
      </c>
      <c r="H4045" s="591" t="s">
        <v>280</v>
      </c>
      <c r="I4045" s="591" t="s">
        <v>280</v>
      </c>
    </row>
    <row r="4046" spans="1:9">
      <c r="A4046" s="582"/>
      <c r="B4046" s="65">
        <v>4244</v>
      </c>
      <c r="C4046" s="579" t="s">
        <v>281</v>
      </c>
      <c r="D4046" s="579"/>
      <c r="E4046" s="583"/>
      <c r="F4046" s="596"/>
      <c r="G4046" s="65">
        <v>0</v>
      </c>
      <c r="H4046" s="591" t="s">
        <v>280</v>
      </c>
      <c r="I4046" s="591" t="s">
        <v>280</v>
      </c>
    </row>
    <row r="4047" spans="1:9">
      <c r="A4047" s="582"/>
      <c r="B4047" s="65">
        <v>4245</v>
      </c>
      <c r="C4047" s="579" t="s">
        <v>281</v>
      </c>
      <c r="D4047" s="579"/>
      <c r="E4047" s="583"/>
      <c r="F4047" s="596"/>
      <c r="G4047" s="65">
        <v>0</v>
      </c>
      <c r="H4047" s="591" t="s">
        <v>280</v>
      </c>
      <c r="I4047" s="591" t="s">
        <v>280</v>
      </c>
    </row>
    <row r="4048" spans="1:9">
      <c r="A4048" s="582"/>
      <c r="B4048" s="65">
        <v>4246</v>
      </c>
      <c r="C4048" s="579" t="s">
        <v>281</v>
      </c>
      <c r="D4048" s="579"/>
      <c r="E4048" s="583"/>
      <c r="F4048" s="596"/>
      <c r="G4048" s="65">
        <v>0</v>
      </c>
      <c r="H4048" s="591" t="s">
        <v>280</v>
      </c>
      <c r="I4048" s="591" t="s">
        <v>280</v>
      </c>
    </row>
    <row r="4049" spans="1:9">
      <c r="A4049" s="582"/>
      <c r="B4049" s="65">
        <v>4247</v>
      </c>
      <c r="C4049" s="579" t="s">
        <v>281</v>
      </c>
      <c r="D4049" s="579"/>
      <c r="E4049" s="583"/>
      <c r="F4049" s="596"/>
      <c r="G4049" s="65">
        <v>0</v>
      </c>
      <c r="H4049" s="591" t="s">
        <v>280</v>
      </c>
      <c r="I4049" s="591" t="s">
        <v>280</v>
      </c>
    </row>
    <row r="4050" spans="1:9">
      <c r="A4050" s="582"/>
      <c r="B4050" s="65">
        <v>4248</v>
      </c>
      <c r="C4050" s="579" t="s">
        <v>281</v>
      </c>
      <c r="D4050" s="579"/>
      <c r="E4050" s="583"/>
      <c r="F4050" s="596"/>
      <c r="G4050" s="65">
        <v>0</v>
      </c>
      <c r="H4050" s="591" t="s">
        <v>280</v>
      </c>
      <c r="I4050" s="591" t="s">
        <v>280</v>
      </c>
    </row>
    <row r="4051" spans="1:9">
      <c r="A4051" s="582"/>
      <c r="B4051" s="65">
        <v>4249</v>
      </c>
      <c r="C4051" s="579" t="s">
        <v>281</v>
      </c>
      <c r="D4051" s="579"/>
      <c r="E4051" s="583"/>
      <c r="F4051" s="596"/>
      <c r="G4051" s="65">
        <v>0</v>
      </c>
      <c r="H4051" s="591" t="s">
        <v>280</v>
      </c>
      <c r="I4051" s="591" t="s">
        <v>280</v>
      </c>
    </row>
    <row r="4052" spans="1:9">
      <c r="A4052" s="582"/>
      <c r="B4052" s="65">
        <v>4250</v>
      </c>
      <c r="C4052" s="579" t="s">
        <v>281</v>
      </c>
      <c r="D4052" s="579"/>
      <c r="E4052" s="583"/>
      <c r="F4052" s="596"/>
      <c r="G4052" s="65">
        <v>0</v>
      </c>
      <c r="H4052" s="591" t="s">
        <v>280</v>
      </c>
      <c r="I4052" s="591" t="s">
        <v>280</v>
      </c>
    </row>
    <row r="4053" spans="1:9">
      <c r="A4053" s="582"/>
      <c r="B4053" s="65">
        <v>4251</v>
      </c>
      <c r="C4053" s="579" t="s">
        <v>281</v>
      </c>
      <c r="D4053" s="579"/>
      <c r="E4053" s="583"/>
      <c r="F4053" s="596"/>
      <c r="G4053" s="65">
        <v>0</v>
      </c>
      <c r="H4053" s="591" t="s">
        <v>280</v>
      </c>
      <c r="I4053" s="591" t="s">
        <v>280</v>
      </c>
    </row>
    <row r="4054" spans="1:9">
      <c r="A4054" s="582"/>
      <c r="B4054" s="65">
        <v>4252</v>
      </c>
      <c r="C4054" s="579" t="s">
        <v>281</v>
      </c>
      <c r="D4054" s="579"/>
      <c r="E4054" s="583"/>
      <c r="F4054" s="596"/>
      <c r="G4054" s="65">
        <v>0</v>
      </c>
      <c r="H4054" s="591" t="s">
        <v>280</v>
      </c>
      <c r="I4054" s="591" t="s">
        <v>280</v>
      </c>
    </row>
    <row r="4055" spans="1:9">
      <c r="A4055" s="582"/>
      <c r="B4055" s="65">
        <v>4253</v>
      </c>
      <c r="C4055" s="579" t="s">
        <v>281</v>
      </c>
      <c r="D4055" s="579"/>
      <c r="E4055" s="583"/>
      <c r="F4055" s="596"/>
      <c r="G4055" s="65">
        <v>0</v>
      </c>
      <c r="H4055" s="591" t="s">
        <v>280</v>
      </c>
      <c r="I4055" s="591" t="s">
        <v>280</v>
      </c>
    </row>
    <row r="4056" spans="1:9">
      <c r="A4056" s="582"/>
      <c r="B4056" s="65">
        <v>4254</v>
      </c>
      <c r="C4056" s="579" t="s">
        <v>281</v>
      </c>
      <c r="D4056" s="579"/>
      <c r="E4056" s="583"/>
      <c r="F4056" s="596"/>
      <c r="G4056" s="65">
        <v>0</v>
      </c>
      <c r="H4056" s="591" t="s">
        <v>280</v>
      </c>
      <c r="I4056" s="591" t="s">
        <v>280</v>
      </c>
    </row>
    <row r="4057" spans="1:9">
      <c r="A4057" s="582"/>
      <c r="B4057" s="65">
        <v>4255</v>
      </c>
      <c r="C4057" s="579" t="s">
        <v>281</v>
      </c>
      <c r="D4057" s="579"/>
      <c r="E4057" s="583"/>
      <c r="F4057" s="596"/>
      <c r="G4057" s="65">
        <v>0</v>
      </c>
      <c r="H4057" s="591" t="s">
        <v>280</v>
      </c>
      <c r="I4057" s="591" t="s">
        <v>280</v>
      </c>
    </row>
    <row r="4058" spans="1:9">
      <c r="A4058" s="582"/>
      <c r="B4058" s="65">
        <v>4256</v>
      </c>
      <c r="C4058" s="579" t="s">
        <v>281</v>
      </c>
      <c r="D4058" s="579"/>
      <c r="E4058" s="583"/>
      <c r="F4058" s="596"/>
      <c r="G4058" s="65">
        <v>0</v>
      </c>
      <c r="H4058" s="591" t="s">
        <v>280</v>
      </c>
      <c r="I4058" s="591" t="s">
        <v>280</v>
      </c>
    </row>
    <row r="4059" spans="1:9">
      <c r="A4059" s="582"/>
      <c r="B4059" s="65">
        <v>4257</v>
      </c>
      <c r="C4059" s="579" t="s">
        <v>281</v>
      </c>
      <c r="D4059" s="579"/>
      <c r="E4059" s="583"/>
      <c r="F4059" s="596"/>
      <c r="G4059" s="65">
        <v>0</v>
      </c>
      <c r="H4059" s="591" t="s">
        <v>280</v>
      </c>
      <c r="I4059" s="591" t="s">
        <v>280</v>
      </c>
    </row>
    <row r="4060" spans="1:9">
      <c r="A4060" s="582"/>
      <c r="B4060" s="65">
        <v>4258</v>
      </c>
      <c r="C4060" s="579" t="s">
        <v>281</v>
      </c>
      <c r="D4060" s="579"/>
      <c r="E4060" s="583"/>
      <c r="F4060" s="596"/>
      <c r="G4060" s="65">
        <v>0</v>
      </c>
      <c r="H4060" s="591" t="s">
        <v>280</v>
      </c>
      <c r="I4060" s="591" t="s">
        <v>280</v>
      </c>
    </row>
    <row r="4061" spans="1:9">
      <c r="A4061" s="582"/>
      <c r="B4061" s="65">
        <v>4259</v>
      </c>
      <c r="C4061" s="579" t="s">
        <v>281</v>
      </c>
      <c r="D4061" s="579"/>
      <c r="E4061" s="583"/>
      <c r="F4061" s="596"/>
      <c r="G4061" s="65">
        <v>0</v>
      </c>
      <c r="H4061" s="591" t="s">
        <v>280</v>
      </c>
      <c r="I4061" s="591" t="s">
        <v>280</v>
      </c>
    </row>
    <row r="4062" spans="1:9">
      <c r="A4062" s="582"/>
      <c r="B4062" s="65">
        <v>4260</v>
      </c>
      <c r="C4062" s="579" t="s">
        <v>281</v>
      </c>
      <c r="D4062" s="579"/>
      <c r="E4062" s="583"/>
      <c r="F4062" s="596"/>
      <c r="G4062" s="65">
        <v>0</v>
      </c>
      <c r="H4062" s="591" t="s">
        <v>280</v>
      </c>
      <c r="I4062" s="591" t="s">
        <v>280</v>
      </c>
    </row>
    <row r="4063" spans="1:9">
      <c r="A4063" s="582"/>
      <c r="B4063" s="65">
        <v>4261</v>
      </c>
      <c r="C4063" s="579" t="s">
        <v>281</v>
      </c>
      <c r="D4063" s="579"/>
      <c r="E4063" s="583"/>
      <c r="F4063" s="596"/>
      <c r="G4063" s="65">
        <v>0</v>
      </c>
      <c r="H4063" s="591" t="s">
        <v>280</v>
      </c>
      <c r="I4063" s="591" t="s">
        <v>280</v>
      </c>
    </row>
    <row r="4064" spans="1:9">
      <c r="A4064" s="582"/>
      <c r="B4064" s="65">
        <v>4262</v>
      </c>
      <c r="C4064" s="579" t="s">
        <v>281</v>
      </c>
      <c r="D4064" s="579"/>
      <c r="E4064" s="583"/>
      <c r="F4064" s="596"/>
      <c r="G4064" s="65">
        <v>0</v>
      </c>
      <c r="H4064" s="591" t="s">
        <v>280</v>
      </c>
      <c r="I4064" s="591" t="s">
        <v>280</v>
      </c>
    </row>
    <row r="4065" spans="1:9">
      <c r="A4065" s="582"/>
      <c r="B4065" s="65">
        <v>4263</v>
      </c>
      <c r="C4065" s="579" t="s">
        <v>281</v>
      </c>
      <c r="D4065" s="579"/>
      <c r="E4065" s="583"/>
      <c r="F4065" s="596"/>
      <c r="G4065" s="65">
        <v>0</v>
      </c>
      <c r="H4065" s="591" t="s">
        <v>280</v>
      </c>
      <c r="I4065" s="591" t="s">
        <v>280</v>
      </c>
    </row>
    <row r="4066" spans="1:9">
      <c r="A4066" s="582"/>
      <c r="B4066" s="65">
        <v>4264</v>
      </c>
      <c r="C4066" s="579" t="s">
        <v>281</v>
      </c>
      <c r="D4066" s="579"/>
      <c r="E4066" s="583"/>
      <c r="F4066" s="596"/>
      <c r="G4066" s="65">
        <v>0</v>
      </c>
      <c r="H4066" s="591" t="s">
        <v>280</v>
      </c>
      <c r="I4066" s="591" t="s">
        <v>280</v>
      </c>
    </row>
    <row r="4067" spans="1:9">
      <c r="A4067" s="582"/>
      <c r="B4067" s="65">
        <v>4265</v>
      </c>
      <c r="C4067" s="579" t="s">
        <v>281</v>
      </c>
      <c r="D4067" s="579"/>
      <c r="E4067" s="583"/>
      <c r="F4067" s="596"/>
      <c r="G4067" s="65">
        <v>0</v>
      </c>
      <c r="H4067" s="591" t="s">
        <v>280</v>
      </c>
      <c r="I4067" s="591" t="s">
        <v>280</v>
      </c>
    </row>
    <row r="4068" spans="1:9">
      <c r="A4068" s="582"/>
      <c r="B4068" s="65">
        <v>4266</v>
      </c>
      <c r="C4068" s="579" t="s">
        <v>281</v>
      </c>
      <c r="D4068" s="579"/>
      <c r="E4068" s="583"/>
      <c r="F4068" s="596"/>
      <c r="G4068" s="65">
        <v>0</v>
      </c>
      <c r="H4068" s="591" t="s">
        <v>280</v>
      </c>
      <c r="I4068" s="591" t="s">
        <v>280</v>
      </c>
    </row>
    <row r="4069" spans="1:9">
      <c r="A4069" s="582"/>
      <c r="B4069" s="65">
        <v>4267</v>
      </c>
      <c r="C4069" s="579" t="s">
        <v>281</v>
      </c>
      <c r="D4069" s="579"/>
      <c r="E4069" s="583"/>
      <c r="F4069" s="596"/>
      <c r="G4069" s="65">
        <v>0</v>
      </c>
      <c r="H4069" s="591" t="s">
        <v>280</v>
      </c>
      <c r="I4069" s="591" t="s">
        <v>280</v>
      </c>
    </row>
    <row r="4070" spans="1:9">
      <c r="A4070" s="582"/>
      <c r="B4070" s="65">
        <v>4268</v>
      </c>
      <c r="C4070" s="579" t="s">
        <v>281</v>
      </c>
      <c r="D4070" s="579"/>
      <c r="E4070" s="583"/>
      <c r="F4070" s="596"/>
      <c r="G4070" s="65">
        <v>0</v>
      </c>
      <c r="H4070" s="591" t="s">
        <v>280</v>
      </c>
      <c r="I4070" s="591" t="s">
        <v>280</v>
      </c>
    </row>
    <row r="4071" spans="1:9">
      <c r="A4071" s="582"/>
      <c r="B4071" s="65">
        <v>4269</v>
      </c>
      <c r="C4071" s="579" t="s">
        <v>281</v>
      </c>
      <c r="D4071" s="579"/>
      <c r="E4071" s="583"/>
      <c r="F4071" s="596"/>
      <c r="G4071" s="65">
        <v>0</v>
      </c>
      <c r="H4071" s="591" t="s">
        <v>280</v>
      </c>
      <c r="I4071" s="591" t="s">
        <v>280</v>
      </c>
    </row>
    <row r="4072" spans="1:9">
      <c r="A4072" s="582"/>
      <c r="B4072" s="65">
        <v>4270</v>
      </c>
      <c r="C4072" s="579" t="s">
        <v>281</v>
      </c>
      <c r="D4072" s="579"/>
      <c r="E4072" s="583"/>
      <c r="F4072" s="596"/>
      <c r="G4072" s="65">
        <v>0</v>
      </c>
      <c r="H4072" s="591" t="s">
        <v>280</v>
      </c>
      <c r="I4072" s="591" t="s">
        <v>280</v>
      </c>
    </row>
    <row r="4073" spans="1:9">
      <c r="A4073" s="582"/>
      <c r="B4073" s="65">
        <v>4271</v>
      </c>
      <c r="C4073" s="579" t="s">
        <v>281</v>
      </c>
      <c r="D4073" s="579"/>
      <c r="E4073" s="583"/>
      <c r="F4073" s="596"/>
      <c r="G4073" s="65">
        <v>0</v>
      </c>
      <c r="H4073" s="591" t="s">
        <v>280</v>
      </c>
      <c r="I4073" s="591" t="s">
        <v>280</v>
      </c>
    </row>
    <row r="4074" spans="1:9">
      <c r="A4074" s="582"/>
      <c r="B4074" s="65">
        <v>4272</v>
      </c>
      <c r="C4074" s="579" t="s">
        <v>281</v>
      </c>
      <c r="D4074" s="579"/>
      <c r="E4074" s="583"/>
      <c r="F4074" s="596"/>
      <c r="G4074" s="65">
        <v>0</v>
      </c>
      <c r="H4074" s="591" t="s">
        <v>280</v>
      </c>
      <c r="I4074" s="591" t="s">
        <v>280</v>
      </c>
    </row>
    <row r="4075" spans="1:9">
      <c r="A4075" s="582"/>
      <c r="B4075" s="65">
        <v>4273</v>
      </c>
      <c r="C4075" s="579" t="s">
        <v>281</v>
      </c>
      <c r="D4075" s="579"/>
      <c r="E4075" s="583"/>
      <c r="F4075" s="596"/>
      <c r="G4075" s="65">
        <v>0</v>
      </c>
      <c r="H4075" s="591" t="s">
        <v>280</v>
      </c>
      <c r="I4075" s="591" t="s">
        <v>280</v>
      </c>
    </row>
    <row r="4076" spans="1:9">
      <c r="A4076" s="582"/>
      <c r="B4076" s="65">
        <v>4274</v>
      </c>
      <c r="C4076" s="579" t="s">
        <v>281</v>
      </c>
      <c r="D4076" s="579"/>
      <c r="E4076" s="583"/>
      <c r="F4076" s="596"/>
      <c r="G4076" s="65">
        <v>0</v>
      </c>
      <c r="H4076" s="591" t="s">
        <v>280</v>
      </c>
      <c r="I4076" s="591" t="s">
        <v>280</v>
      </c>
    </row>
    <row r="4077" spans="1:9">
      <c r="A4077" s="582"/>
      <c r="B4077" s="65">
        <v>4275</v>
      </c>
      <c r="C4077" s="579" t="s">
        <v>281</v>
      </c>
      <c r="D4077" s="579"/>
      <c r="E4077" s="583"/>
      <c r="F4077" s="596"/>
      <c r="G4077" s="65">
        <v>0</v>
      </c>
      <c r="H4077" s="591" t="s">
        <v>280</v>
      </c>
      <c r="I4077" s="591" t="s">
        <v>280</v>
      </c>
    </row>
    <row r="4078" spans="1:9">
      <c r="A4078" s="582"/>
      <c r="B4078" s="65">
        <v>4276</v>
      </c>
      <c r="C4078" s="579" t="s">
        <v>281</v>
      </c>
      <c r="D4078" s="579"/>
      <c r="E4078" s="583"/>
      <c r="F4078" s="596"/>
      <c r="G4078" s="65">
        <v>0</v>
      </c>
      <c r="H4078" s="591" t="s">
        <v>280</v>
      </c>
      <c r="I4078" s="591" t="s">
        <v>280</v>
      </c>
    </row>
    <row r="4079" spans="1:9">
      <c r="A4079" s="582"/>
      <c r="B4079" s="65">
        <v>4277</v>
      </c>
      <c r="C4079" s="579" t="s">
        <v>281</v>
      </c>
      <c r="D4079" s="579"/>
      <c r="E4079" s="583"/>
      <c r="F4079" s="596"/>
      <c r="G4079" s="65">
        <v>0</v>
      </c>
      <c r="H4079" s="591" t="s">
        <v>280</v>
      </c>
      <c r="I4079" s="591" t="s">
        <v>280</v>
      </c>
    </row>
    <row r="4080" spans="1:9">
      <c r="A4080" s="582"/>
      <c r="B4080" s="65">
        <v>4278</v>
      </c>
      <c r="C4080" s="579" t="s">
        <v>281</v>
      </c>
      <c r="D4080" s="579"/>
      <c r="E4080" s="583"/>
      <c r="F4080" s="596"/>
      <c r="G4080" s="65">
        <v>0</v>
      </c>
      <c r="H4080" s="591" t="s">
        <v>280</v>
      </c>
      <c r="I4080" s="591" t="s">
        <v>280</v>
      </c>
    </row>
    <row r="4081" spans="1:9">
      <c r="A4081" s="582"/>
      <c r="B4081" s="65">
        <v>4279</v>
      </c>
      <c r="C4081" s="579" t="s">
        <v>281</v>
      </c>
      <c r="D4081" s="579"/>
      <c r="E4081" s="583"/>
      <c r="F4081" s="596"/>
      <c r="G4081" s="65">
        <v>0</v>
      </c>
      <c r="H4081" s="591" t="s">
        <v>280</v>
      </c>
      <c r="I4081" s="591" t="s">
        <v>280</v>
      </c>
    </row>
    <row r="4082" spans="1:9">
      <c r="A4082" s="582"/>
      <c r="B4082" s="65">
        <v>4280</v>
      </c>
      <c r="C4082" s="579" t="s">
        <v>281</v>
      </c>
      <c r="D4082" s="579"/>
      <c r="E4082" s="583"/>
      <c r="F4082" s="596"/>
      <c r="G4082" s="65">
        <v>0</v>
      </c>
      <c r="H4082" s="591" t="s">
        <v>280</v>
      </c>
      <c r="I4082" s="591" t="s">
        <v>280</v>
      </c>
    </row>
    <row r="4083" spans="1:9">
      <c r="A4083" s="582"/>
      <c r="B4083" s="65">
        <v>4281</v>
      </c>
      <c r="C4083" s="579" t="s">
        <v>281</v>
      </c>
      <c r="D4083" s="579"/>
      <c r="E4083" s="583"/>
      <c r="F4083" s="596"/>
      <c r="G4083" s="65">
        <v>0</v>
      </c>
      <c r="H4083" s="591" t="s">
        <v>280</v>
      </c>
      <c r="I4083" s="591" t="s">
        <v>280</v>
      </c>
    </row>
    <row r="4084" spans="1:9">
      <c r="A4084" s="582"/>
      <c r="B4084" s="65">
        <v>4282</v>
      </c>
      <c r="C4084" s="579" t="s">
        <v>281</v>
      </c>
      <c r="D4084" s="579"/>
      <c r="E4084" s="583"/>
      <c r="F4084" s="596"/>
      <c r="G4084" s="65">
        <v>0</v>
      </c>
      <c r="H4084" s="591" t="s">
        <v>280</v>
      </c>
      <c r="I4084" s="591" t="s">
        <v>280</v>
      </c>
    </row>
    <row r="4085" spans="1:9">
      <c r="A4085" s="582"/>
      <c r="B4085" s="65">
        <v>4283</v>
      </c>
      <c r="C4085" s="579" t="s">
        <v>281</v>
      </c>
      <c r="D4085" s="579"/>
      <c r="E4085" s="583"/>
      <c r="F4085" s="596"/>
      <c r="G4085" s="65">
        <v>0</v>
      </c>
      <c r="H4085" s="591" t="s">
        <v>280</v>
      </c>
      <c r="I4085" s="591" t="s">
        <v>280</v>
      </c>
    </row>
    <row r="4086" spans="1:9">
      <c r="A4086" s="582"/>
      <c r="B4086" s="65">
        <v>4284</v>
      </c>
      <c r="C4086" s="579" t="s">
        <v>281</v>
      </c>
      <c r="D4086" s="579"/>
      <c r="E4086" s="583"/>
      <c r="F4086" s="596"/>
      <c r="G4086" s="65">
        <v>0</v>
      </c>
      <c r="H4086" s="591" t="s">
        <v>280</v>
      </c>
      <c r="I4086" s="591" t="s">
        <v>280</v>
      </c>
    </row>
    <row r="4087" spans="1:9">
      <c r="A4087" s="582"/>
      <c r="B4087" s="65">
        <v>4285</v>
      </c>
      <c r="C4087" s="579" t="s">
        <v>281</v>
      </c>
      <c r="D4087" s="579"/>
      <c r="E4087" s="583"/>
      <c r="F4087" s="596"/>
      <c r="G4087" s="65">
        <v>0</v>
      </c>
      <c r="H4087" s="591" t="s">
        <v>280</v>
      </c>
      <c r="I4087" s="591" t="s">
        <v>280</v>
      </c>
    </row>
    <row r="4088" spans="1:9">
      <c r="A4088" s="582"/>
      <c r="B4088" s="65">
        <v>4286</v>
      </c>
      <c r="C4088" s="579" t="s">
        <v>281</v>
      </c>
      <c r="D4088" s="579"/>
      <c r="E4088" s="583"/>
      <c r="F4088" s="596"/>
      <c r="G4088" s="65">
        <v>0</v>
      </c>
      <c r="H4088" s="591" t="s">
        <v>280</v>
      </c>
      <c r="I4088" s="591" t="s">
        <v>280</v>
      </c>
    </row>
    <row r="4089" spans="1:9">
      <c r="A4089" s="582"/>
      <c r="B4089" s="65">
        <v>4287</v>
      </c>
      <c r="C4089" s="579" t="s">
        <v>281</v>
      </c>
      <c r="D4089" s="579"/>
      <c r="E4089" s="583"/>
      <c r="F4089" s="596"/>
      <c r="G4089" s="65">
        <v>0</v>
      </c>
      <c r="H4089" s="591" t="s">
        <v>280</v>
      </c>
      <c r="I4089" s="591" t="s">
        <v>280</v>
      </c>
    </row>
    <row r="4090" spans="1:9">
      <c r="A4090" s="582"/>
      <c r="B4090" s="65">
        <v>4288</v>
      </c>
      <c r="C4090" s="579" t="s">
        <v>281</v>
      </c>
      <c r="D4090" s="579"/>
      <c r="E4090" s="583"/>
      <c r="F4090" s="596"/>
      <c r="G4090" s="65">
        <v>0</v>
      </c>
      <c r="H4090" s="591" t="s">
        <v>280</v>
      </c>
      <c r="I4090" s="591" t="s">
        <v>280</v>
      </c>
    </row>
    <row r="4091" spans="1:9">
      <c r="A4091" s="582"/>
      <c r="B4091" s="65">
        <v>4289</v>
      </c>
      <c r="C4091" s="579" t="s">
        <v>281</v>
      </c>
      <c r="D4091" s="579"/>
      <c r="E4091" s="583"/>
      <c r="F4091" s="596"/>
      <c r="G4091" s="65">
        <v>0</v>
      </c>
      <c r="H4091" s="591" t="s">
        <v>280</v>
      </c>
      <c r="I4091" s="591" t="s">
        <v>280</v>
      </c>
    </row>
    <row r="4092" spans="1:9">
      <c r="A4092" s="582"/>
      <c r="B4092" s="65">
        <v>4290</v>
      </c>
      <c r="C4092" s="579" t="s">
        <v>281</v>
      </c>
      <c r="D4092" s="579"/>
      <c r="E4092" s="583"/>
      <c r="F4092" s="596"/>
      <c r="G4092" s="65">
        <v>0</v>
      </c>
      <c r="H4092" s="591" t="s">
        <v>280</v>
      </c>
      <c r="I4092" s="591" t="s">
        <v>280</v>
      </c>
    </row>
    <row r="4093" spans="1:9">
      <c r="A4093" s="582"/>
      <c r="B4093" s="65">
        <v>4291</v>
      </c>
      <c r="C4093" s="579" t="s">
        <v>281</v>
      </c>
      <c r="D4093" s="579"/>
      <c r="E4093" s="583"/>
      <c r="F4093" s="596"/>
      <c r="G4093" s="65">
        <v>0</v>
      </c>
      <c r="H4093" s="591" t="s">
        <v>280</v>
      </c>
      <c r="I4093" s="591" t="s">
        <v>280</v>
      </c>
    </row>
    <row r="4094" spans="1:9">
      <c r="A4094" s="582"/>
      <c r="B4094" s="65">
        <v>4292</v>
      </c>
      <c r="C4094" s="579" t="s">
        <v>281</v>
      </c>
      <c r="D4094" s="579"/>
      <c r="E4094" s="583"/>
      <c r="F4094" s="596"/>
      <c r="G4094" s="65">
        <v>0</v>
      </c>
      <c r="H4094" s="591" t="s">
        <v>280</v>
      </c>
      <c r="I4094" s="591" t="s">
        <v>280</v>
      </c>
    </row>
    <row r="4095" spans="1:9">
      <c r="A4095" s="582"/>
      <c r="B4095" s="65">
        <v>4293</v>
      </c>
      <c r="C4095" s="579" t="s">
        <v>281</v>
      </c>
      <c r="D4095" s="579"/>
      <c r="E4095" s="583"/>
      <c r="F4095" s="596"/>
      <c r="G4095" s="65">
        <v>0</v>
      </c>
      <c r="H4095" s="591" t="s">
        <v>280</v>
      </c>
      <c r="I4095" s="591" t="s">
        <v>280</v>
      </c>
    </row>
    <row r="4096" spans="1:9">
      <c r="A4096" s="582"/>
      <c r="B4096" s="65">
        <v>4294</v>
      </c>
      <c r="C4096" s="579" t="s">
        <v>281</v>
      </c>
      <c r="D4096" s="579"/>
      <c r="E4096" s="583"/>
      <c r="F4096" s="596"/>
      <c r="G4096" s="65">
        <v>0</v>
      </c>
      <c r="H4096" s="591" t="s">
        <v>280</v>
      </c>
      <c r="I4096" s="591" t="s">
        <v>280</v>
      </c>
    </row>
    <row r="4097" spans="1:10">
      <c r="A4097" s="582"/>
      <c r="B4097" s="65">
        <v>4295</v>
      </c>
      <c r="C4097" s="579" t="s">
        <v>281</v>
      </c>
      <c r="D4097" s="579"/>
      <c r="E4097" s="583"/>
      <c r="F4097" s="596"/>
      <c r="G4097" s="65">
        <v>0</v>
      </c>
      <c r="H4097" s="591" t="s">
        <v>280</v>
      </c>
      <c r="I4097" s="591" t="s">
        <v>280</v>
      </c>
    </row>
    <row r="4098" spans="1:10">
      <c r="A4098" s="582"/>
      <c r="B4098" s="65">
        <v>4296</v>
      </c>
      <c r="C4098" s="579" t="s">
        <v>281</v>
      </c>
      <c r="D4098" s="579"/>
      <c r="E4098" s="583"/>
      <c r="F4098" s="596"/>
      <c r="G4098" s="65">
        <v>0</v>
      </c>
      <c r="H4098" s="591" t="s">
        <v>280</v>
      </c>
      <c r="I4098" s="591" t="s">
        <v>280</v>
      </c>
    </row>
    <row r="4099" spans="1:10">
      <c r="A4099" s="582"/>
      <c r="B4099" s="65">
        <v>4297</v>
      </c>
      <c r="C4099" s="579" t="s">
        <v>281</v>
      </c>
      <c r="D4099" s="579"/>
      <c r="E4099" s="583"/>
      <c r="F4099" s="596"/>
      <c r="G4099" s="65">
        <v>0</v>
      </c>
      <c r="H4099" s="591" t="s">
        <v>280</v>
      </c>
      <c r="I4099" s="591" t="s">
        <v>280</v>
      </c>
    </row>
    <row r="4100" spans="1:10">
      <c r="A4100" s="582"/>
      <c r="B4100" s="65">
        <v>4298</v>
      </c>
      <c r="C4100" s="579" t="s">
        <v>281</v>
      </c>
      <c r="D4100" s="579"/>
      <c r="E4100" s="583"/>
      <c r="F4100" s="596"/>
      <c r="G4100" s="65">
        <v>0</v>
      </c>
      <c r="H4100" s="591" t="s">
        <v>280</v>
      </c>
      <c r="I4100" s="591" t="s">
        <v>280</v>
      </c>
    </row>
    <row r="4101" spans="1:10">
      <c r="A4101" s="582"/>
      <c r="B4101" s="65">
        <v>4299</v>
      </c>
      <c r="C4101" s="579" t="s">
        <v>281</v>
      </c>
      <c r="D4101" s="579"/>
      <c r="E4101" s="583"/>
      <c r="F4101" s="596"/>
      <c r="G4101" s="65">
        <v>0</v>
      </c>
      <c r="H4101" s="591" t="s">
        <v>280</v>
      </c>
      <c r="I4101" s="591" t="s">
        <v>280</v>
      </c>
    </row>
    <row r="4102" spans="1:10" ht="13.5">
      <c r="A4102" s="582" t="s">
        <v>662</v>
      </c>
      <c r="B4102" s="63">
        <v>4300</v>
      </c>
      <c r="C4102" s="63" t="s">
        <v>279</v>
      </c>
      <c r="D4102" s="63"/>
      <c r="E4102" s="62"/>
      <c r="F4102" s="585">
        <v>45535</v>
      </c>
      <c r="G4102" s="65">
        <v>1</v>
      </c>
      <c r="H4102" s="591" t="s">
        <v>280</v>
      </c>
      <c r="I4102" s="591" t="s">
        <v>280</v>
      </c>
      <c r="J4102" s="57"/>
    </row>
    <row r="4103" spans="1:10" ht="13.5">
      <c r="A4103" s="582" t="s">
        <v>662</v>
      </c>
      <c r="B4103" s="63">
        <v>4301</v>
      </c>
      <c r="C4103" s="63" t="s">
        <v>281</v>
      </c>
      <c r="D4103" s="63"/>
      <c r="E4103" s="62"/>
      <c r="F4103" s="596"/>
      <c r="G4103" s="65">
        <v>0</v>
      </c>
      <c r="H4103" s="591" t="s">
        <v>280</v>
      </c>
      <c r="I4103" s="591" t="s">
        <v>280</v>
      </c>
      <c r="J4103" s="57"/>
    </row>
    <row r="4104" spans="1:10" ht="13.5">
      <c r="A4104" s="582" t="s">
        <v>662</v>
      </c>
      <c r="B4104" s="63">
        <v>4302</v>
      </c>
      <c r="C4104" s="63" t="s">
        <v>281</v>
      </c>
      <c r="D4104" s="63"/>
      <c r="E4104" s="62"/>
      <c r="F4104" s="596"/>
      <c r="G4104" s="65">
        <v>0</v>
      </c>
      <c r="H4104" s="591" t="s">
        <v>280</v>
      </c>
      <c r="I4104" s="591" t="s">
        <v>280</v>
      </c>
      <c r="J4104" s="57"/>
    </row>
    <row r="4105" spans="1:10" ht="13.5">
      <c r="A4105" s="582" t="s">
        <v>662</v>
      </c>
      <c r="B4105" s="63">
        <v>4303</v>
      </c>
      <c r="C4105" s="63" t="s">
        <v>281</v>
      </c>
      <c r="D4105" s="63"/>
      <c r="E4105" s="62"/>
      <c r="F4105" s="596"/>
      <c r="G4105" s="65">
        <v>0</v>
      </c>
      <c r="H4105" s="591" t="s">
        <v>280</v>
      </c>
      <c r="I4105" s="591" t="s">
        <v>280</v>
      </c>
      <c r="J4105" s="57"/>
    </row>
    <row r="4106" spans="1:10" ht="13.5">
      <c r="A4106" s="582" t="s">
        <v>662</v>
      </c>
      <c r="B4106" s="63">
        <v>4304</v>
      </c>
      <c r="C4106" s="63" t="s">
        <v>281</v>
      </c>
      <c r="D4106" s="63"/>
      <c r="E4106" s="62"/>
      <c r="F4106" s="596"/>
      <c r="G4106" s="65">
        <v>0</v>
      </c>
      <c r="H4106" s="591" t="s">
        <v>280</v>
      </c>
      <c r="I4106" s="591" t="s">
        <v>280</v>
      </c>
      <c r="J4106" s="57"/>
    </row>
    <row r="4107" spans="1:10" ht="13.5">
      <c r="A4107" s="582" t="s">
        <v>662</v>
      </c>
      <c r="B4107" s="63">
        <v>4305</v>
      </c>
      <c r="C4107" s="63" t="s">
        <v>663</v>
      </c>
      <c r="D4107" s="63">
        <v>10140</v>
      </c>
      <c r="E4107" s="62"/>
      <c r="F4107" s="585">
        <v>45535</v>
      </c>
      <c r="G4107" s="65">
        <v>1</v>
      </c>
      <c r="H4107" s="591" t="s">
        <v>1974</v>
      </c>
      <c r="I4107" s="591" t="s">
        <v>62</v>
      </c>
      <c r="J4107" s="57"/>
    </row>
    <row r="4108" spans="1:10" ht="13.5">
      <c r="A4108" s="582" t="s">
        <v>662</v>
      </c>
      <c r="B4108" s="63">
        <v>4306</v>
      </c>
      <c r="C4108" s="63" t="s">
        <v>281</v>
      </c>
      <c r="D4108" s="63"/>
      <c r="E4108" s="62"/>
      <c r="F4108" s="596"/>
      <c r="G4108" s="65">
        <v>0</v>
      </c>
      <c r="H4108" s="591" t="s">
        <v>280</v>
      </c>
      <c r="I4108" s="591" t="s">
        <v>280</v>
      </c>
      <c r="J4108" s="57"/>
    </row>
    <row r="4109" spans="1:10" ht="13.5">
      <c r="A4109" s="582" t="s">
        <v>662</v>
      </c>
      <c r="B4109" s="63">
        <v>4307</v>
      </c>
      <c r="C4109" s="63" t="s">
        <v>664</v>
      </c>
      <c r="D4109" s="63">
        <v>10209</v>
      </c>
      <c r="E4109" s="62"/>
      <c r="F4109" s="585">
        <v>45535</v>
      </c>
      <c r="G4109" s="65">
        <v>1</v>
      </c>
      <c r="H4109" s="591" t="s">
        <v>1974</v>
      </c>
      <c r="I4109" s="591" t="s">
        <v>62</v>
      </c>
      <c r="J4109" s="57"/>
    </row>
    <row r="4110" spans="1:10" ht="13.5">
      <c r="A4110" s="582" t="s">
        <v>662</v>
      </c>
      <c r="B4110" s="63">
        <v>4308</v>
      </c>
      <c r="C4110" s="63" t="s">
        <v>281</v>
      </c>
      <c r="D4110" s="63"/>
      <c r="E4110" s="62"/>
      <c r="F4110" s="596"/>
      <c r="G4110" s="65">
        <v>0</v>
      </c>
      <c r="H4110" s="591" t="s">
        <v>280</v>
      </c>
      <c r="I4110" s="591" t="s">
        <v>280</v>
      </c>
      <c r="J4110" s="61"/>
    </row>
    <row r="4111" spans="1:10" ht="13.5">
      <c r="A4111" s="582" t="s">
        <v>662</v>
      </c>
      <c r="B4111" s="63">
        <v>4309</v>
      </c>
      <c r="C4111" s="63" t="s">
        <v>665</v>
      </c>
      <c r="D4111" s="63">
        <v>10480</v>
      </c>
      <c r="E4111" s="62"/>
      <c r="F4111" s="585">
        <v>45535</v>
      </c>
      <c r="G4111" s="65">
        <v>1</v>
      </c>
      <c r="H4111" s="591" t="s">
        <v>1979</v>
      </c>
      <c r="I4111" s="591" t="s">
        <v>97</v>
      </c>
      <c r="J4111" s="57"/>
    </row>
    <row r="4112" spans="1:10" ht="13.5">
      <c r="A4112" s="582" t="s">
        <v>662</v>
      </c>
      <c r="B4112" s="63">
        <v>4310</v>
      </c>
      <c r="C4112" s="63" t="s">
        <v>666</v>
      </c>
      <c r="D4112" s="65">
        <v>10544</v>
      </c>
      <c r="E4112" s="62"/>
      <c r="F4112" s="585">
        <v>45535</v>
      </c>
      <c r="G4112" s="65">
        <v>1</v>
      </c>
      <c r="H4112" s="591" t="s">
        <v>1978</v>
      </c>
      <c r="I4112" s="591" t="s">
        <v>80</v>
      </c>
      <c r="J4112" s="57"/>
    </row>
    <row r="4113" spans="1:10" ht="13.5">
      <c r="A4113" s="582" t="s">
        <v>662</v>
      </c>
      <c r="B4113" s="63">
        <v>4311</v>
      </c>
      <c r="C4113" s="63" t="s">
        <v>667</v>
      </c>
      <c r="D4113" s="65">
        <v>10559</v>
      </c>
      <c r="E4113" s="62"/>
      <c r="F4113" s="585">
        <v>45535</v>
      </c>
      <c r="G4113" s="65">
        <v>1</v>
      </c>
      <c r="H4113" s="591" t="s">
        <v>1979</v>
      </c>
      <c r="I4113" s="591" t="s">
        <v>97</v>
      </c>
      <c r="J4113" s="57"/>
    </row>
    <row r="4114" spans="1:10" ht="13.5">
      <c r="A4114" s="582" t="s">
        <v>662</v>
      </c>
      <c r="B4114" s="63">
        <v>4312</v>
      </c>
      <c r="C4114" s="63" t="s">
        <v>668</v>
      </c>
      <c r="D4114" s="63">
        <v>10420</v>
      </c>
      <c r="E4114" s="62"/>
      <c r="F4114" s="585">
        <v>45535</v>
      </c>
      <c r="G4114" s="65">
        <v>1</v>
      </c>
      <c r="H4114" s="591" t="s">
        <v>280</v>
      </c>
      <c r="I4114" s="591" t="s">
        <v>280</v>
      </c>
      <c r="J4114" s="57"/>
    </row>
    <row r="4115" spans="1:10" ht="13.5">
      <c r="A4115" s="582" t="s">
        <v>662</v>
      </c>
      <c r="B4115" s="63">
        <v>4313</v>
      </c>
      <c r="C4115" s="63" t="s">
        <v>669</v>
      </c>
      <c r="D4115" s="63">
        <v>10519</v>
      </c>
      <c r="E4115" s="62"/>
      <c r="F4115" s="585">
        <v>45535</v>
      </c>
      <c r="G4115" s="65">
        <v>1</v>
      </c>
      <c r="H4115" s="591" t="s">
        <v>1978</v>
      </c>
      <c r="I4115" s="591" t="s">
        <v>80</v>
      </c>
      <c r="J4115" s="61"/>
    </row>
    <row r="4116" spans="1:10" ht="13.5">
      <c r="A4116" s="582" t="s">
        <v>662</v>
      </c>
      <c r="B4116" s="63">
        <v>4314</v>
      </c>
      <c r="C4116" s="63" t="s">
        <v>281</v>
      </c>
      <c r="D4116" s="63"/>
      <c r="E4116" s="62"/>
      <c r="F4116" s="596"/>
      <c r="G4116" s="65">
        <v>0</v>
      </c>
      <c r="H4116" s="591" t="s">
        <v>280</v>
      </c>
      <c r="I4116" s="591" t="s">
        <v>280</v>
      </c>
      <c r="J4116" s="57"/>
    </row>
    <row r="4117" spans="1:10" ht="13.5">
      <c r="A4117" s="582" t="s">
        <v>662</v>
      </c>
      <c r="B4117" s="63">
        <v>4315</v>
      </c>
      <c r="C4117" s="63" t="s">
        <v>281</v>
      </c>
      <c r="D4117" s="63"/>
      <c r="E4117" s="62"/>
      <c r="F4117" s="596"/>
      <c r="G4117" s="65">
        <v>0</v>
      </c>
      <c r="H4117" s="591" t="s">
        <v>280</v>
      </c>
      <c r="I4117" s="591" t="s">
        <v>280</v>
      </c>
      <c r="J4117" s="57"/>
    </row>
    <row r="4118" spans="1:10" ht="13.5">
      <c r="A4118" s="582" t="s">
        <v>662</v>
      </c>
      <c r="B4118" s="63">
        <v>4316</v>
      </c>
      <c r="C4118" s="63" t="s">
        <v>281</v>
      </c>
      <c r="D4118" s="63"/>
      <c r="E4118" s="62"/>
      <c r="F4118" s="596"/>
      <c r="G4118" s="65">
        <v>0</v>
      </c>
      <c r="H4118" s="591" t="s">
        <v>280</v>
      </c>
      <c r="I4118" s="591" t="s">
        <v>280</v>
      </c>
      <c r="J4118" s="57"/>
    </row>
    <row r="4119" spans="1:10" ht="13.5">
      <c r="A4119" s="582" t="s">
        <v>662</v>
      </c>
      <c r="B4119" s="63">
        <v>4317</v>
      </c>
      <c r="C4119" s="63" t="s">
        <v>670</v>
      </c>
      <c r="D4119" s="65">
        <v>10553</v>
      </c>
      <c r="E4119" s="62"/>
      <c r="F4119" s="585">
        <v>45535</v>
      </c>
      <c r="G4119" s="65">
        <v>1</v>
      </c>
      <c r="H4119" s="591" t="s">
        <v>1979</v>
      </c>
      <c r="I4119" s="591" t="s">
        <v>97</v>
      </c>
      <c r="J4119" s="57"/>
    </row>
    <row r="4120" spans="1:10" ht="13.5">
      <c r="A4120" s="582" t="s">
        <v>662</v>
      </c>
      <c r="B4120" s="63">
        <v>4318</v>
      </c>
      <c r="C4120" s="63" t="s">
        <v>671</v>
      </c>
      <c r="D4120" s="63">
        <v>10278</v>
      </c>
      <c r="E4120" s="62"/>
      <c r="F4120" s="585">
        <v>45535</v>
      </c>
      <c r="G4120" s="65">
        <v>1</v>
      </c>
      <c r="H4120" s="591" t="s">
        <v>1979</v>
      </c>
      <c r="I4120" s="591" t="s">
        <v>97</v>
      </c>
      <c r="J4120" s="57"/>
    </row>
    <row r="4121" spans="1:10" ht="13.5">
      <c r="A4121" s="582" t="s">
        <v>662</v>
      </c>
      <c r="B4121" s="63">
        <v>4319</v>
      </c>
      <c r="C4121" s="63" t="s">
        <v>281</v>
      </c>
      <c r="D4121" s="63"/>
      <c r="E4121" s="62"/>
      <c r="F4121" s="596"/>
      <c r="G4121" s="65">
        <v>0</v>
      </c>
      <c r="H4121" s="591" t="s">
        <v>280</v>
      </c>
      <c r="I4121" s="591" t="s">
        <v>280</v>
      </c>
      <c r="J4121" s="57"/>
    </row>
    <row r="4122" spans="1:10" ht="13.5">
      <c r="A4122" s="582" t="s">
        <v>662</v>
      </c>
      <c r="B4122" s="63">
        <v>4320</v>
      </c>
      <c r="C4122" s="63" t="s">
        <v>672</v>
      </c>
      <c r="D4122" s="63">
        <v>10383</v>
      </c>
      <c r="E4122" s="62"/>
      <c r="F4122" s="585">
        <v>45535</v>
      </c>
      <c r="G4122" s="65">
        <v>1</v>
      </c>
      <c r="H4122" s="591" t="s">
        <v>280</v>
      </c>
      <c r="I4122" s="591" t="s">
        <v>280</v>
      </c>
      <c r="J4122" s="57"/>
    </row>
    <row r="4123" spans="1:10" ht="13.5">
      <c r="A4123" s="582" t="s">
        <v>662</v>
      </c>
      <c r="B4123" s="63">
        <v>4321</v>
      </c>
      <c r="C4123" s="63" t="s">
        <v>281</v>
      </c>
      <c r="D4123" s="579"/>
      <c r="E4123" s="62"/>
      <c r="F4123" s="596"/>
      <c r="G4123" s="65">
        <v>0</v>
      </c>
      <c r="H4123" s="591" t="s">
        <v>280</v>
      </c>
      <c r="I4123" s="591" t="s">
        <v>280</v>
      </c>
      <c r="J4123" s="57"/>
    </row>
    <row r="4124" spans="1:10" ht="13.5">
      <c r="A4124" s="582" t="s">
        <v>662</v>
      </c>
      <c r="B4124" s="63">
        <v>4322</v>
      </c>
      <c r="C4124" s="63" t="s">
        <v>281</v>
      </c>
      <c r="D4124" s="63"/>
      <c r="E4124" s="62"/>
      <c r="F4124" s="596"/>
      <c r="G4124" s="65">
        <v>0</v>
      </c>
      <c r="H4124" s="591" t="s">
        <v>280</v>
      </c>
      <c r="I4124" s="591" t="s">
        <v>280</v>
      </c>
      <c r="J4124" s="61"/>
    </row>
    <row r="4125" spans="1:10" ht="13.5">
      <c r="A4125" s="582" t="s">
        <v>662</v>
      </c>
      <c r="B4125" s="63">
        <v>4323</v>
      </c>
      <c r="C4125" s="63" t="s">
        <v>281</v>
      </c>
      <c r="D4125" s="63"/>
      <c r="E4125" s="62"/>
      <c r="F4125" s="596"/>
      <c r="G4125" s="65">
        <v>0</v>
      </c>
      <c r="H4125" s="591" t="s">
        <v>280</v>
      </c>
      <c r="I4125" s="591" t="s">
        <v>280</v>
      </c>
      <c r="J4125" s="61"/>
    </row>
    <row r="4126" spans="1:10" ht="13.5">
      <c r="A4126" s="582" t="s">
        <v>662</v>
      </c>
      <c r="B4126" s="63">
        <v>4324</v>
      </c>
      <c r="C4126" s="63" t="s">
        <v>281</v>
      </c>
      <c r="D4126" s="63"/>
      <c r="E4126" s="62"/>
      <c r="F4126" s="596"/>
      <c r="G4126" s="65">
        <v>0</v>
      </c>
      <c r="H4126" s="591" t="s">
        <v>280</v>
      </c>
      <c r="I4126" s="591" t="s">
        <v>280</v>
      </c>
      <c r="J4126" s="61"/>
    </row>
    <row r="4127" spans="1:10" ht="13.5">
      <c r="A4127" s="582" t="s">
        <v>662</v>
      </c>
      <c r="B4127" s="63">
        <v>4325</v>
      </c>
      <c r="C4127" s="63" t="s">
        <v>281</v>
      </c>
      <c r="D4127" s="63"/>
      <c r="E4127" s="62"/>
      <c r="F4127" s="596"/>
      <c r="G4127" s="65">
        <v>0</v>
      </c>
      <c r="H4127" s="591" t="s">
        <v>280</v>
      </c>
      <c r="I4127" s="591" t="s">
        <v>280</v>
      </c>
      <c r="J4127" s="61"/>
    </row>
    <row r="4128" spans="1:10" ht="13.5">
      <c r="A4128" s="582" t="s">
        <v>662</v>
      </c>
      <c r="B4128" s="63">
        <v>4326</v>
      </c>
      <c r="C4128" s="63" t="s">
        <v>281</v>
      </c>
      <c r="D4128" s="63"/>
      <c r="E4128" s="62"/>
      <c r="F4128" s="596"/>
      <c r="G4128" s="65">
        <v>0</v>
      </c>
      <c r="H4128" s="591" t="s">
        <v>280</v>
      </c>
      <c r="I4128" s="591" t="s">
        <v>280</v>
      </c>
      <c r="J4128" s="61"/>
    </row>
    <row r="4129" spans="1:10" ht="13.5">
      <c r="A4129" s="582" t="s">
        <v>662</v>
      </c>
      <c r="B4129" s="63">
        <v>4327</v>
      </c>
      <c r="C4129" s="63" t="s">
        <v>281</v>
      </c>
      <c r="D4129" s="63"/>
      <c r="E4129" s="62"/>
      <c r="F4129" s="596"/>
      <c r="G4129" s="65">
        <v>0</v>
      </c>
      <c r="H4129" s="591" t="s">
        <v>280</v>
      </c>
      <c r="I4129" s="591" t="s">
        <v>280</v>
      </c>
      <c r="J4129" s="61"/>
    </row>
    <row r="4130" spans="1:10" ht="13.5">
      <c r="A4130" s="582" t="s">
        <v>662</v>
      </c>
      <c r="B4130" s="63">
        <v>4328</v>
      </c>
      <c r="C4130" s="63" t="s">
        <v>673</v>
      </c>
      <c r="D4130" s="579">
        <v>10163</v>
      </c>
      <c r="E4130" s="62"/>
      <c r="F4130" s="585">
        <v>45535</v>
      </c>
      <c r="G4130" s="65">
        <v>1</v>
      </c>
      <c r="H4130" s="591" t="s">
        <v>280</v>
      </c>
      <c r="I4130" s="591" t="s">
        <v>280</v>
      </c>
      <c r="J4130" s="61"/>
    </row>
    <row r="4131" spans="1:10" ht="12.75">
      <c r="A4131" s="582" t="s">
        <v>662</v>
      </c>
      <c r="B4131" s="63">
        <v>4329</v>
      </c>
      <c r="C4131" s="63" t="s">
        <v>281</v>
      </c>
      <c r="D4131" s="63"/>
      <c r="E4131" s="62"/>
      <c r="F4131" s="596"/>
      <c r="G4131" s="65">
        <v>0</v>
      </c>
      <c r="H4131" s="591" t="s">
        <v>280</v>
      </c>
      <c r="I4131" s="591" t="s">
        <v>280</v>
      </c>
    </row>
    <row r="4132" spans="1:10" ht="12.75">
      <c r="A4132" s="582" t="s">
        <v>662</v>
      </c>
      <c r="B4132" s="63">
        <v>4330</v>
      </c>
      <c r="C4132" s="63" t="s">
        <v>674</v>
      </c>
      <c r="D4132" s="579">
        <v>10449</v>
      </c>
      <c r="E4132" s="62"/>
      <c r="F4132" s="585">
        <v>45535</v>
      </c>
      <c r="G4132" s="65">
        <v>1</v>
      </c>
      <c r="H4132" s="591" t="s">
        <v>1974</v>
      </c>
      <c r="I4132" s="591" t="s">
        <v>62</v>
      </c>
    </row>
    <row r="4133" spans="1:10" ht="12.75">
      <c r="A4133" s="582" t="s">
        <v>662</v>
      </c>
      <c r="B4133" s="63">
        <v>4331</v>
      </c>
      <c r="C4133" s="63" t="s">
        <v>675</v>
      </c>
      <c r="D4133" s="579">
        <v>10686</v>
      </c>
      <c r="E4133" s="62"/>
      <c r="F4133" s="585">
        <v>45535</v>
      </c>
      <c r="G4133" s="65">
        <v>1</v>
      </c>
      <c r="H4133" s="591" t="s">
        <v>1974</v>
      </c>
      <c r="I4133" s="591" t="s">
        <v>62</v>
      </c>
    </row>
    <row r="4134" spans="1:10" ht="12.75">
      <c r="A4134" s="582" t="s">
        <v>662</v>
      </c>
      <c r="B4134" s="63">
        <v>4332</v>
      </c>
      <c r="C4134" s="63" t="s">
        <v>676</v>
      </c>
      <c r="D4134" s="65">
        <v>10685</v>
      </c>
      <c r="E4134" s="62"/>
      <c r="F4134" s="585">
        <v>45535</v>
      </c>
      <c r="G4134" s="65">
        <v>1</v>
      </c>
      <c r="H4134" s="591" t="s">
        <v>1974</v>
      </c>
      <c r="I4134" s="591" t="s">
        <v>62</v>
      </c>
    </row>
    <row r="4135" spans="1:10" ht="12.75">
      <c r="A4135" s="582" t="s">
        <v>662</v>
      </c>
      <c r="B4135" s="63">
        <v>4333</v>
      </c>
      <c r="C4135" s="63" t="s">
        <v>281</v>
      </c>
      <c r="D4135" s="63"/>
      <c r="E4135" s="62"/>
      <c r="F4135" s="596"/>
      <c r="G4135" s="65">
        <v>0</v>
      </c>
      <c r="H4135" s="591" t="s">
        <v>280</v>
      </c>
      <c r="I4135" s="591" t="s">
        <v>280</v>
      </c>
    </row>
    <row r="4136" spans="1:10" ht="12.75">
      <c r="A4136" s="582" t="s">
        <v>662</v>
      </c>
      <c r="B4136" s="63">
        <v>4334</v>
      </c>
      <c r="C4136" s="63" t="s">
        <v>281</v>
      </c>
      <c r="D4136" s="63"/>
      <c r="E4136" s="62"/>
      <c r="F4136" s="596"/>
      <c r="G4136" s="65">
        <v>0</v>
      </c>
      <c r="H4136" s="591" t="s">
        <v>280</v>
      </c>
      <c r="I4136" s="591" t="s">
        <v>280</v>
      </c>
    </row>
    <row r="4137" spans="1:10" ht="12.75">
      <c r="A4137" s="582" t="s">
        <v>662</v>
      </c>
      <c r="B4137" s="63">
        <v>4335</v>
      </c>
      <c r="C4137" s="63" t="s">
        <v>677</v>
      </c>
      <c r="D4137" s="579">
        <v>10554</v>
      </c>
      <c r="E4137" s="62"/>
      <c r="F4137" s="585">
        <v>45535</v>
      </c>
      <c r="G4137" s="65">
        <v>1</v>
      </c>
      <c r="H4137" s="591" t="s">
        <v>1979</v>
      </c>
      <c r="I4137" s="591" t="s">
        <v>97</v>
      </c>
    </row>
    <row r="4138" spans="1:10">
      <c r="A4138" s="582" t="s">
        <v>662</v>
      </c>
      <c r="B4138" s="63">
        <v>4336</v>
      </c>
      <c r="C4138" s="579" t="s">
        <v>1901</v>
      </c>
      <c r="D4138" s="579">
        <v>10900</v>
      </c>
      <c r="E4138" s="583"/>
      <c r="F4138" s="585">
        <v>45535</v>
      </c>
      <c r="G4138" s="65">
        <v>1</v>
      </c>
      <c r="H4138" s="591" t="s">
        <v>1978</v>
      </c>
      <c r="I4138" s="591" t="s">
        <v>80</v>
      </c>
    </row>
    <row r="4139" spans="1:10" ht="12.75">
      <c r="A4139" s="582" t="s">
        <v>662</v>
      </c>
      <c r="B4139" s="63">
        <v>4337</v>
      </c>
      <c r="C4139" s="63" t="s">
        <v>281</v>
      </c>
      <c r="D4139" s="63"/>
      <c r="E4139" s="62"/>
      <c r="F4139" s="596"/>
      <c r="G4139" s="65">
        <v>0</v>
      </c>
      <c r="H4139" s="591" t="s">
        <v>280</v>
      </c>
      <c r="I4139" s="591" t="s">
        <v>280</v>
      </c>
    </row>
    <row r="4140" spans="1:10" ht="12.75">
      <c r="A4140" s="582" t="s">
        <v>662</v>
      </c>
      <c r="B4140" s="63">
        <v>4338</v>
      </c>
      <c r="C4140" s="63" t="s">
        <v>281</v>
      </c>
      <c r="D4140" s="579"/>
      <c r="E4140" s="62"/>
      <c r="F4140" s="596"/>
      <c r="G4140" s="65">
        <v>0</v>
      </c>
      <c r="H4140" s="591" t="s">
        <v>280</v>
      </c>
      <c r="I4140" s="591" t="s">
        <v>280</v>
      </c>
    </row>
    <row r="4141" spans="1:10">
      <c r="A4141" s="582" t="s">
        <v>662</v>
      </c>
      <c r="B4141" s="63">
        <v>4339</v>
      </c>
      <c r="C4141" s="63" t="s">
        <v>1958</v>
      </c>
      <c r="D4141" s="63">
        <v>10378</v>
      </c>
      <c r="E4141" s="583"/>
      <c r="F4141" s="585">
        <v>45549</v>
      </c>
      <c r="G4141" s="65">
        <v>1</v>
      </c>
      <c r="H4141" s="591" t="s">
        <v>1974</v>
      </c>
      <c r="I4141" s="591" t="s">
        <v>62</v>
      </c>
    </row>
    <row r="4142" spans="1:10" ht="12.75">
      <c r="A4142" s="582" t="s">
        <v>662</v>
      </c>
      <c r="B4142" s="63">
        <v>4340</v>
      </c>
      <c r="C4142" s="63" t="s">
        <v>281</v>
      </c>
      <c r="D4142" s="579"/>
      <c r="E4142" s="62"/>
      <c r="F4142" s="596"/>
      <c r="G4142" s="65">
        <v>0</v>
      </c>
      <c r="H4142" s="591" t="s">
        <v>280</v>
      </c>
      <c r="I4142" s="591" t="s">
        <v>280</v>
      </c>
    </row>
    <row r="4143" spans="1:10" ht="12.75">
      <c r="A4143" s="582" t="s">
        <v>662</v>
      </c>
      <c r="B4143" s="63">
        <v>4341</v>
      </c>
      <c r="C4143" s="63" t="s">
        <v>281</v>
      </c>
      <c r="D4143" s="63"/>
      <c r="E4143" s="62"/>
      <c r="F4143" s="596"/>
      <c r="G4143" s="65">
        <v>0</v>
      </c>
      <c r="H4143" s="591" t="s">
        <v>280</v>
      </c>
      <c r="I4143" s="591" t="s">
        <v>280</v>
      </c>
    </row>
    <row r="4144" spans="1:10" ht="12.75">
      <c r="A4144" s="582" t="s">
        <v>662</v>
      </c>
      <c r="B4144" s="63">
        <v>4342</v>
      </c>
      <c r="C4144" s="63" t="s">
        <v>678</v>
      </c>
      <c r="D4144" s="63">
        <v>10075</v>
      </c>
      <c r="E4144" s="62"/>
      <c r="F4144" s="585">
        <v>45535</v>
      </c>
      <c r="G4144" s="65">
        <v>1</v>
      </c>
      <c r="H4144" s="591" t="s">
        <v>1978</v>
      </c>
      <c r="I4144" s="591" t="s">
        <v>80</v>
      </c>
    </row>
    <row r="4145" spans="1:9" ht="12.75">
      <c r="A4145" s="582" t="s">
        <v>662</v>
      </c>
      <c r="B4145" s="63">
        <v>4343</v>
      </c>
      <c r="C4145" s="63" t="s">
        <v>281</v>
      </c>
      <c r="D4145" s="63"/>
      <c r="E4145" s="62"/>
      <c r="F4145" s="596"/>
      <c r="G4145" s="65">
        <v>0</v>
      </c>
      <c r="H4145" s="591" t="s">
        <v>280</v>
      </c>
      <c r="I4145" s="591" t="s">
        <v>280</v>
      </c>
    </row>
    <row r="4146" spans="1:9" ht="12.75">
      <c r="A4146" s="582" t="s">
        <v>662</v>
      </c>
      <c r="B4146" s="63">
        <v>4344</v>
      </c>
      <c r="C4146" s="63" t="s">
        <v>679</v>
      </c>
      <c r="D4146" s="63">
        <v>10036</v>
      </c>
      <c r="E4146" s="62"/>
      <c r="F4146" s="585">
        <v>45535</v>
      </c>
      <c r="G4146" s="65">
        <v>1</v>
      </c>
      <c r="H4146" s="591" t="s">
        <v>1974</v>
      </c>
      <c r="I4146" s="591" t="s">
        <v>62</v>
      </c>
    </row>
    <row r="4147" spans="1:9" ht="12.75">
      <c r="A4147" s="582" t="s">
        <v>662</v>
      </c>
      <c r="B4147" s="63">
        <v>4345</v>
      </c>
      <c r="C4147" s="63" t="s">
        <v>281</v>
      </c>
      <c r="D4147" s="63"/>
      <c r="E4147" s="62"/>
      <c r="F4147" s="596"/>
      <c r="G4147" s="65">
        <v>0</v>
      </c>
      <c r="H4147" s="591" t="s">
        <v>280</v>
      </c>
      <c r="I4147" s="591" t="s">
        <v>280</v>
      </c>
    </row>
    <row r="4148" spans="1:9" ht="12.75">
      <c r="A4148" s="582" t="s">
        <v>662</v>
      </c>
      <c r="B4148" s="63">
        <v>4346</v>
      </c>
      <c r="C4148" s="63" t="s">
        <v>281</v>
      </c>
      <c r="D4148" s="63"/>
      <c r="E4148" s="62"/>
      <c r="F4148" s="596"/>
      <c r="G4148" s="65">
        <v>0</v>
      </c>
      <c r="H4148" s="591" t="s">
        <v>280</v>
      </c>
      <c r="I4148" s="591" t="s">
        <v>280</v>
      </c>
    </row>
    <row r="4149" spans="1:9" ht="12.75">
      <c r="A4149" s="582" t="s">
        <v>662</v>
      </c>
      <c r="B4149" s="63">
        <v>4347</v>
      </c>
      <c r="C4149" s="63" t="s">
        <v>281</v>
      </c>
      <c r="D4149" s="63"/>
      <c r="E4149" s="62"/>
      <c r="F4149" s="596"/>
      <c r="G4149" s="65">
        <v>0</v>
      </c>
      <c r="H4149" s="591" t="s">
        <v>280</v>
      </c>
      <c r="I4149" s="591" t="s">
        <v>280</v>
      </c>
    </row>
    <row r="4150" spans="1:9" ht="12.75">
      <c r="A4150" s="582" t="s">
        <v>662</v>
      </c>
      <c r="B4150" s="63">
        <v>4348</v>
      </c>
      <c r="C4150" s="63" t="s">
        <v>281</v>
      </c>
      <c r="D4150" s="63"/>
      <c r="E4150" s="62"/>
      <c r="F4150" s="596"/>
      <c r="G4150" s="65">
        <v>0</v>
      </c>
      <c r="H4150" s="591" t="s">
        <v>280</v>
      </c>
      <c r="I4150" s="591" t="s">
        <v>280</v>
      </c>
    </row>
    <row r="4151" spans="1:9" ht="12.75">
      <c r="A4151" s="582" t="s">
        <v>662</v>
      </c>
      <c r="B4151" s="63">
        <v>4349</v>
      </c>
      <c r="C4151" s="63" t="s">
        <v>681</v>
      </c>
      <c r="D4151" s="63">
        <v>10074</v>
      </c>
      <c r="E4151" s="62"/>
      <c r="F4151" s="585">
        <v>45535</v>
      </c>
      <c r="G4151" s="65">
        <v>1</v>
      </c>
      <c r="H4151" s="591" t="s">
        <v>1978</v>
      </c>
      <c r="I4151" s="591" t="s">
        <v>80</v>
      </c>
    </row>
    <row r="4152" spans="1:9" ht="12.75">
      <c r="A4152" s="582" t="s">
        <v>662</v>
      </c>
      <c r="B4152" s="63">
        <v>4350</v>
      </c>
      <c r="C4152" s="63" t="s">
        <v>682</v>
      </c>
      <c r="D4152" s="63">
        <v>10051</v>
      </c>
      <c r="E4152" s="62"/>
      <c r="F4152" s="585">
        <v>45535</v>
      </c>
      <c r="G4152" s="65">
        <v>1</v>
      </c>
      <c r="H4152" s="591" t="s">
        <v>1974</v>
      </c>
      <c r="I4152" s="591" t="s">
        <v>62</v>
      </c>
    </row>
    <row r="4153" spans="1:9" ht="12.75">
      <c r="A4153" s="582" t="s">
        <v>662</v>
      </c>
      <c r="B4153" s="63">
        <v>4351</v>
      </c>
      <c r="C4153" s="63" t="s">
        <v>281</v>
      </c>
      <c r="D4153" s="63"/>
      <c r="E4153" s="62"/>
      <c r="F4153" s="596"/>
      <c r="G4153" s="65">
        <v>0</v>
      </c>
      <c r="H4153" s="591" t="s">
        <v>280</v>
      </c>
      <c r="I4153" s="591" t="s">
        <v>280</v>
      </c>
    </row>
    <row r="4154" spans="1:9" ht="12.75">
      <c r="A4154" s="582" t="s">
        <v>662</v>
      </c>
      <c r="B4154" s="63">
        <v>4352</v>
      </c>
      <c r="C4154" s="63" t="s">
        <v>683</v>
      </c>
      <c r="D4154" s="63">
        <v>10444</v>
      </c>
      <c r="E4154" s="62"/>
      <c r="F4154" s="585">
        <v>45535</v>
      </c>
      <c r="G4154" s="65">
        <v>1</v>
      </c>
      <c r="H4154" s="591" t="s">
        <v>280</v>
      </c>
      <c r="I4154" s="591" t="s">
        <v>280</v>
      </c>
    </row>
    <row r="4155" spans="1:9" ht="12.75">
      <c r="A4155" s="582" t="s">
        <v>662</v>
      </c>
      <c r="B4155" s="63">
        <v>4353</v>
      </c>
      <c r="C4155" s="63" t="s">
        <v>684</v>
      </c>
      <c r="D4155" s="63">
        <v>10690</v>
      </c>
      <c r="E4155" s="62"/>
      <c r="F4155" s="585">
        <v>45535</v>
      </c>
      <c r="G4155" s="65">
        <v>1</v>
      </c>
      <c r="H4155" s="591" t="s">
        <v>1979</v>
      </c>
      <c r="I4155" s="591" t="s">
        <v>97</v>
      </c>
    </row>
    <row r="4156" spans="1:9" ht="12.75">
      <c r="A4156" s="582" t="s">
        <v>662</v>
      </c>
      <c r="B4156" s="63">
        <v>4354</v>
      </c>
      <c r="C4156" s="63" t="s">
        <v>281</v>
      </c>
      <c r="D4156" s="63"/>
      <c r="E4156" s="62"/>
      <c r="F4156" s="596"/>
      <c r="G4156" s="65">
        <v>0</v>
      </c>
      <c r="H4156" s="591" t="s">
        <v>280</v>
      </c>
      <c r="I4156" s="591" t="s">
        <v>280</v>
      </c>
    </row>
    <row r="4157" spans="1:9" ht="12.75">
      <c r="A4157" s="582" t="s">
        <v>662</v>
      </c>
      <c r="B4157" s="63">
        <v>4355</v>
      </c>
      <c r="C4157" s="63" t="s">
        <v>281</v>
      </c>
      <c r="D4157" s="63"/>
      <c r="E4157" s="62"/>
      <c r="F4157" s="596"/>
      <c r="G4157" s="65">
        <v>0</v>
      </c>
      <c r="H4157" s="591" t="s">
        <v>280</v>
      </c>
      <c r="I4157" s="591" t="s">
        <v>280</v>
      </c>
    </row>
    <row r="4158" spans="1:9" ht="12.75">
      <c r="A4158" s="582" t="s">
        <v>662</v>
      </c>
      <c r="B4158" s="63">
        <v>4356</v>
      </c>
      <c r="C4158" s="63" t="s">
        <v>685</v>
      </c>
      <c r="D4158" s="579">
        <v>10307</v>
      </c>
      <c r="E4158" s="62"/>
      <c r="F4158" s="585">
        <v>45535</v>
      </c>
      <c r="G4158" s="65">
        <v>1</v>
      </c>
      <c r="H4158" s="591" t="s">
        <v>1978</v>
      </c>
      <c r="I4158" s="591" t="s">
        <v>80</v>
      </c>
    </row>
    <row r="4159" spans="1:9" ht="12.75">
      <c r="A4159" s="582" t="s">
        <v>662</v>
      </c>
      <c r="B4159" s="63">
        <v>4357</v>
      </c>
      <c r="C4159" s="63" t="s">
        <v>281</v>
      </c>
      <c r="D4159" s="63"/>
      <c r="E4159" s="62"/>
      <c r="F4159" s="596"/>
      <c r="G4159" s="65">
        <v>0</v>
      </c>
      <c r="H4159" s="591" t="s">
        <v>280</v>
      </c>
      <c r="I4159" s="591" t="s">
        <v>280</v>
      </c>
    </row>
    <row r="4160" spans="1:9" ht="12.75">
      <c r="A4160" s="582" t="s">
        <v>662</v>
      </c>
      <c r="B4160" s="63">
        <v>4358</v>
      </c>
      <c r="C4160" s="63" t="s">
        <v>281</v>
      </c>
      <c r="D4160" s="63"/>
      <c r="E4160" s="62"/>
      <c r="F4160" s="596"/>
      <c r="G4160" s="65">
        <v>0</v>
      </c>
      <c r="H4160" s="591" t="s">
        <v>280</v>
      </c>
      <c r="I4160" s="591" t="s">
        <v>280</v>
      </c>
    </row>
    <row r="4161" spans="1:9">
      <c r="A4161" s="582" t="s">
        <v>662</v>
      </c>
      <c r="B4161" s="65">
        <v>4359</v>
      </c>
      <c r="C4161" s="579" t="s">
        <v>281</v>
      </c>
      <c r="D4161" s="579"/>
      <c r="E4161" s="583"/>
      <c r="F4161" s="596"/>
      <c r="G4161" s="65">
        <v>0</v>
      </c>
      <c r="H4161" s="591" t="s">
        <v>280</v>
      </c>
      <c r="I4161" s="591" t="s">
        <v>280</v>
      </c>
    </row>
    <row r="4162" spans="1:9">
      <c r="A4162" s="582" t="s">
        <v>662</v>
      </c>
      <c r="B4162" s="65">
        <v>4360</v>
      </c>
      <c r="C4162" s="579" t="s">
        <v>281</v>
      </c>
      <c r="D4162" s="579"/>
      <c r="E4162" s="583"/>
      <c r="F4162" s="596"/>
      <c r="G4162" s="65">
        <v>0</v>
      </c>
      <c r="H4162" s="591" t="s">
        <v>280</v>
      </c>
      <c r="I4162" s="591" t="s">
        <v>280</v>
      </c>
    </row>
    <row r="4163" spans="1:9">
      <c r="A4163" s="582" t="s">
        <v>662</v>
      </c>
      <c r="B4163" s="65">
        <v>4361</v>
      </c>
      <c r="C4163" s="579" t="s">
        <v>281</v>
      </c>
      <c r="D4163" s="579"/>
      <c r="E4163" s="583"/>
      <c r="F4163" s="596"/>
      <c r="G4163" s="65">
        <v>0</v>
      </c>
      <c r="H4163" s="591" t="s">
        <v>280</v>
      </c>
      <c r="I4163" s="591" t="s">
        <v>280</v>
      </c>
    </row>
    <row r="4164" spans="1:9">
      <c r="A4164" s="582" t="s">
        <v>662</v>
      </c>
      <c r="B4164" s="65">
        <v>4362</v>
      </c>
      <c r="C4164" s="579" t="s">
        <v>281</v>
      </c>
      <c r="D4164" s="63"/>
      <c r="E4164" s="583"/>
      <c r="F4164" s="596"/>
      <c r="G4164" s="65">
        <v>0</v>
      </c>
      <c r="H4164" s="591" t="s">
        <v>280</v>
      </c>
      <c r="I4164" s="591" t="s">
        <v>280</v>
      </c>
    </row>
    <row r="4165" spans="1:9">
      <c r="A4165" s="582" t="s">
        <v>662</v>
      </c>
      <c r="B4165" s="65">
        <v>4363</v>
      </c>
      <c r="C4165" s="579" t="s">
        <v>281</v>
      </c>
      <c r="D4165" s="579"/>
      <c r="E4165" s="583"/>
      <c r="F4165" s="596"/>
      <c r="G4165" s="65">
        <v>0</v>
      </c>
      <c r="H4165" s="591" t="s">
        <v>280</v>
      </c>
      <c r="I4165" s="591" t="s">
        <v>280</v>
      </c>
    </row>
    <row r="4166" spans="1:9">
      <c r="A4166" s="582" t="s">
        <v>662</v>
      </c>
      <c r="B4166" s="65">
        <v>4364</v>
      </c>
      <c r="C4166" s="579" t="s">
        <v>281</v>
      </c>
      <c r="D4166" s="579"/>
      <c r="E4166" s="583"/>
      <c r="F4166" s="596"/>
      <c r="G4166" s="65">
        <v>0</v>
      </c>
      <c r="H4166" s="591" t="s">
        <v>280</v>
      </c>
      <c r="I4166" s="591" t="s">
        <v>280</v>
      </c>
    </row>
    <row r="4167" spans="1:9">
      <c r="A4167" s="582" t="s">
        <v>662</v>
      </c>
      <c r="B4167" s="65">
        <v>4365</v>
      </c>
      <c r="C4167" s="579" t="s">
        <v>686</v>
      </c>
      <c r="D4167" s="63">
        <v>10245</v>
      </c>
      <c r="E4167" s="583"/>
      <c r="F4167" s="585">
        <v>45535</v>
      </c>
      <c r="G4167" s="65">
        <v>1</v>
      </c>
      <c r="H4167" s="591" t="s">
        <v>1978</v>
      </c>
      <c r="I4167" s="591" t="s">
        <v>80</v>
      </c>
    </row>
    <row r="4168" spans="1:9">
      <c r="A4168" s="582" t="s">
        <v>662</v>
      </c>
      <c r="B4168" s="65">
        <v>4366</v>
      </c>
      <c r="C4168" s="579" t="s">
        <v>1902</v>
      </c>
      <c r="D4168" s="579">
        <v>10747</v>
      </c>
      <c r="E4168" s="583"/>
      <c r="F4168" s="585">
        <v>45535</v>
      </c>
      <c r="G4168" s="65">
        <v>1</v>
      </c>
      <c r="H4168" s="591" t="s">
        <v>1974</v>
      </c>
      <c r="I4168" s="591" t="s">
        <v>62</v>
      </c>
    </row>
    <row r="4169" spans="1:9">
      <c r="A4169" s="580" t="s">
        <v>662</v>
      </c>
      <c r="B4169" s="65">
        <v>4367</v>
      </c>
      <c r="C4169" s="65" t="s">
        <v>1903</v>
      </c>
      <c r="D4169" s="65">
        <v>10839</v>
      </c>
      <c r="E4169" s="583"/>
      <c r="F4169" s="585">
        <v>45535</v>
      </c>
      <c r="G4169" s="65">
        <v>1</v>
      </c>
      <c r="H4169" s="591" t="s">
        <v>1979</v>
      </c>
      <c r="I4169" s="591" t="s">
        <v>97</v>
      </c>
    </row>
    <row r="4170" spans="1:9">
      <c r="A4170" s="580" t="s">
        <v>662</v>
      </c>
      <c r="B4170" s="65">
        <v>4368</v>
      </c>
      <c r="C4170" s="65" t="s">
        <v>1904</v>
      </c>
      <c r="D4170" s="65">
        <v>10858</v>
      </c>
      <c r="E4170" s="583"/>
      <c r="F4170" s="585">
        <v>45535</v>
      </c>
      <c r="G4170" s="65">
        <v>1</v>
      </c>
      <c r="H4170" s="591" t="s">
        <v>1974</v>
      </c>
      <c r="I4170" s="591" t="s">
        <v>62</v>
      </c>
    </row>
    <row r="4171" spans="1:9">
      <c r="A4171" s="580" t="s">
        <v>662</v>
      </c>
      <c r="B4171" s="65">
        <v>4369</v>
      </c>
      <c r="C4171" s="65" t="s">
        <v>1905</v>
      </c>
      <c r="D4171" s="65">
        <v>10859</v>
      </c>
      <c r="E4171" s="583"/>
      <c r="F4171" s="585">
        <v>45535</v>
      </c>
      <c r="G4171" s="65">
        <v>1</v>
      </c>
      <c r="H4171" s="591" t="s">
        <v>1979</v>
      </c>
      <c r="I4171" s="591" t="s">
        <v>97</v>
      </c>
    </row>
    <row r="4172" spans="1:9">
      <c r="A4172" s="580" t="s">
        <v>662</v>
      </c>
      <c r="B4172" s="65">
        <v>4370</v>
      </c>
      <c r="C4172" s="65" t="s">
        <v>1906</v>
      </c>
      <c r="D4172" s="65">
        <v>10865</v>
      </c>
      <c r="E4172" s="583"/>
      <c r="F4172" s="585">
        <v>45535</v>
      </c>
      <c r="G4172" s="65">
        <v>1</v>
      </c>
      <c r="H4172" s="591" t="s">
        <v>1974</v>
      </c>
      <c r="I4172" s="591" t="s">
        <v>62</v>
      </c>
    </row>
    <row r="4173" spans="1:9">
      <c r="A4173" s="582" t="s">
        <v>662</v>
      </c>
      <c r="B4173" s="65">
        <v>4371</v>
      </c>
      <c r="C4173" s="65" t="s">
        <v>1907</v>
      </c>
      <c r="D4173" s="65">
        <v>10913</v>
      </c>
      <c r="E4173" s="583"/>
      <c r="F4173" s="585">
        <v>45535</v>
      </c>
      <c r="G4173" s="65">
        <v>1</v>
      </c>
      <c r="H4173" s="591" t="s">
        <v>280</v>
      </c>
      <c r="I4173" s="591" t="s">
        <v>280</v>
      </c>
    </row>
    <row r="4174" spans="1:9">
      <c r="A4174" s="582" t="s">
        <v>662</v>
      </c>
      <c r="B4174" s="65">
        <v>4372</v>
      </c>
      <c r="C4174" s="65" t="s">
        <v>1908</v>
      </c>
      <c r="D4174" s="65">
        <v>10972</v>
      </c>
      <c r="E4174" s="583"/>
      <c r="F4174" s="585">
        <v>45535</v>
      </c>
      <c r="G4174" s="65">
        <v>1</v>
      </c>
      <c r="H4174" s="591" t="s">
        <v>1978</v>
      </c>
      <c r="I4174" s="591" t="s">
        <v>80</v>
      </c>
    </row>
    <row r="4175" spans="1:9">
      <c r="A4175" s="582" t="s">
        <v>662</v>
      </c>
      <c r="B4175" s="65">
        <v>4373</v>
      </c>
      <c r="C4175" s="65" t="s">
        <v>1909</v>
      </c>
      <c r="D4175" s="65">
        <v>11019</v>
      </c>
      <c r="E4175" s="583"/>
      <c r="F4175" s="585">
        <v>45535</v>
      </c>
      <c r="G4175" s="65">
        <v>1</v>
      </c>
      <c r="H4175" s="591" t="s">
        <v>1974</v>
      </c>
      <c r="I4175" s="591" t="s">
        <v>62</v>
      </c>
    </row>
    <row r="4176" spans="1:9">
      <c r="A4176" s="582" t="s">
        <v>662</v>
      </c>
      <c r="B4176" s="65">
        <v>4374</v>
      </c>
      <c r="C4176" s="65" t="s">
        <v>1910</v>
      </c>
      <c r="D4176" s="65">
        <v>11028</v>
      </c>
      <c r="E4176" s="583"/>
      <c r="F4176" s="585">
        <v>45535</v>
      </c>
      <c r="G4176" s="65">
        <v>1</v>
      </c>
      <c r="H4176" s="591" t="s">
        <v>1979</v>
      </c>
      <c r="I4176" s="591" t="s">
        <v>97</v>
      </c>
    </row>
    <row r="4177" spans="1:9">
      <c r="A4177" s="582" t="s">
        <v>662</v>
      </c>
      <c r="B4177" s="65">
        <v>4375</v>
      </c>
      <c r="C4177" s="65" t="s">
        <v>1911</v>
      </c>
      <c r="D4177" s="65">
        <v>11029</v>
      </c>
      <c r="E4177" s="583"/>
      <c r="F4177" s="585">
        <v>45535</v>
      </c>
      <c r="G4177" s="65">
        <v>1</v>
      </c>
      <c r="H4177" s="591" t="s">
        <v>1979</v>
      </c>
      <c r="I4177" s="591" t="s">
        <v>97</v>
      </c>
    </row>
    <row r="4178" spans="1:9">
      <c r="A4178" s="582" t="s">
        <v>662</v>
      </c>
      <c r="B4178" s="65">
        <v>4376</v>
      </c>
      <c r="C4178" s="65" t="s">
        <v>1912</v>
      </c>
      <c r="D4178" s="65">
        <v>11032</v>
      </c>
      <c r="E4178" s="583"/>
      <c r="F4178" s="585">
        <v>45535</v>
      </c>
      <c r="G4178" s="65">
        <v>1</v>
      </c>
      <c r="H4178" s="591" t="s">
        <v>1974</v>
      </c>
      <c r="I4178" s="591" t="s">
        <v>62</v>
      </c>
    </row>
    <row r="4179" spans="1:9" ht="14.25">
      <c r="A4179" s="582" t="s">
        <v>662</v>
      </c>
      <c r="B4179" s="63">
        <v>4377</v>
      </c>
      <c r="C4179" s="63" t="s">
        <v>2026</v>
      </c>
      <c r="D4179" s="579">
        <v>10349</v>
      </c>
      <c r="E4179" s="587"/>
      <c r="F4179" s="585">
        <v>45612</v>
      </c>
      <c r="G4179" s="65">
        <v>1</v>
      </c>
      <c r="H4179" s="591" t="s">
        <v>1974</v>
      </c>
      <c r="I4179" s="591" t="s">
        <v>62</v>
      </c>
    </row>
    <row r="4180" spans="1:9">
      <c r="A4180" s="582" t="s">
        <v>662</v>
      </c>
      <c r="B4180" s="65">
        <v>4378</v>
      </c>
      <c r="C4180" s="579" t="s">
        <v>281</v>
      </c>
      <c r="D4180" s="579"/>
      <c r="E4180" s="583"/>
      <c r="F4180" s="596"/>
      <c r="G4180" s="65">
        <v>0</v>
      </c>
      <c r="H4180" s="591" t="s">
        <v>280</v>
      </c>
      <c r="I4180" s="591" t="s">
        <v>280</v>
      </c>
    </row>
    <row r="4181" spans="1:9">
      <c r="A4181" s="582" t="s">
        <v>662</v>
      </c>
      <c r="B4181" s="65">
        <v>4379</v>
      </c>
      <c r="C4181" s="579" t="s">
        <v>281</v>
      </c>
      <c r="D4181" s="579"/>
      <c r="E4181" s="583"/>
      <c r="F4181" s="596"/>
      <c r="G4181" s="65">
        <v>0</v>
      </c>
      <c r="H4181" s="591" t="s">
        <v>280</v>
      </c>
      <c r="I4181" s="591" t="s">
        <v>280</v>
      </c>
    </row>
    <row r="4182" spans="1:9">
      <c r="A4182" s="582" t="s">
        <v>662</v>
      </c>
      <c r="B4182" s="65">
        <v>4380</v>
      </c>
      <c r="C4182" s="579" t="s">
        <v>281</v>
      </c>
      <c r="D4182" s="579"/>
      <c r="E4182" s="583"/>
      <c r="F4182" s="596"/>
      <c r="G4182" s="65">
        <v>0</v>
      </c>
      <c r="H4182" s="591" t="s">
        <v>280</v>
      </c>
      <c r="I4182" s="591" t="s">
        <v>280</v>
      </c>
    </row>
    <row r="4183" spans="1:9">
      <c r="A4183" s="582" t="s">
        <v>662</v>
      </c>
      <c r="B4183" s="65">
        <v>4381</v>
      </c>
      <c r="C4183" s="579" t="s">
        <v>281</v>
      </c>
      <c r="D4183" s="579"/>
      <c r="E4183" s="583"/>
      <c r="F4183" s="596"/>
      <c r="G4183" s="65">
        <v>0</v>
      </c>
      <c r="H4183" s="591" t="s">
        <v>280</v>
      </c>
      <c r="I4183" s="591" t="s">
        <v>280</v>
      </c>
    </row>
    <row r="4184" spans="1:9">
      <c r="A4184" s="582" t="s">
        <v>662</v>
      </c>
      <c r="B4184" s="65">
        <v>4382</v>
      </c>
      <c r="C4184" s="579" t="s">
        <v>281</v>
      </c>
      <c r="D4184" s="579"/>
      <c r="E4184" s="583"/>
      <c r="F4184" s="596"/>
      <c r="G4184" s="65">
        <v>0</v>
      </c>
      <c r="H4184" s="591" t="s">
        <v>280</v>
      </c>
      <c r="I4184" s="591" t="s">
        <v>280</v>
      </c>
    </row>
    <row r="4185" spans="1:9">
      <c r="A4185" s="582" t="s">
        <v>662</v>
      </c>
      <c r="B4185" s="65">
        <v>4383</v>
      </c>
      <c r="C4185" s="579" t="s">
        <v>281</v>
      </c>
      <c r="D4185" s="579"/>
      <c r="E4185" s="583"/>
      <c r="F4185" s="596"/>
      <c r="G4185" s="65">
        <v>0</v>
      </c>
      <c r="H4185" s="591" t="s">
        <v>280</v>
      </c>
      <c r="I4185" s="591" t="s">
        <v>280</v>
      </c>
    </row>
    <row r="4186" spans="1:9">
      <c r="A4186" s="582" t="s">
        <v>662</v>
      </c>
      <c r="B4186" s="65">
        <v>4384</v>
      </c>
      <c r="C4186" s="579" t="s">
        <v>281</v>
      </c>
      <c r="D4186" s="579"/>
      <c r="E4186" s="583"/>
      <c r="F4186" s="596"/>
      <c r="G4186" s="65">
        <v>0</v>
      </c>
      <c r="H4186" s="591" t="s">
        <v>280</v>
      </c>
      <c r="I4186" s="591" t="s">
        <v>280</v>
      </c>
    </row>
    <row r="4187" spans="1:9">
      <c r="A4187" s="582" t="s">
        <v>662</v>
      </c>
      <c r="B4187" s="65">
        <v>4385</v>
      </c>
      <c r="C4187" s="579" t="s">
        <v>281</v>
      </c>
      <c r="D4187" s="579"/>
      <c r="E4187" s="583"/>
      <c r="F4187" s="596"/>
      <c r="G4187" s="65">
        <v>0</v>
      </c>
      <c r="H4187" s="591" t="s">
        <v>280</v>
      </c>
      <c r="I4187" s="591" t="s">
        <v>280</v>
      </c>
    </row>
    <row r="4188" spans="1:9">
      <c r="A4188" s="582" t="s">
        <v>662</v>
      </c>
      <c r="B4188" s="65">
        <v>4386</v>
      </c>
      <c r="C4188" s="579" t="s">
        <v>281</v>
      </c>
      <c r="D4188" s="579"/>
      <c r="E4188" s="583"/>
      <c r="F4188" s="596"/>
      <c r="G4188" s="65">
        <v>0</v>
      </c>
      <c r="H4188" s="591" t="s">
        <v>280</v>
      </c>
      <c r="I4188" s="591" t="s">
        <v>280</v>
      </c>
    </row>
    <row r="4189" spans="1:9">
      <c r="A4189" s="582" t="s">
        <v>662</v>
      </c>
      <c r="B4189" s="65">
        <v>4387</v>
      </c>
      <c r="C4189" s="579" t="s">
        <v>281</v>
      </c>
      <c r="D4189" s="579"/>
      <c r="E4189" s="583"/>
      <c r="F4189" s="596"/>
      <c r="G4189" s="65">
        <v>0</v>
      </c>
      <c r="H4189" s="591" t="s">
        <v>280</v>
      </c>
      <c r="I4189" s="591" t="s">
        <v>280</v>
      </c>
    </row>
    <row r="4190" spans="1:9">
      <c r="A4190" s="582" t="s">
        <v>662</v>
      </c>
      <c r="B4190" s="65">
        <v>4388</v>
      </c>
      <c r="C4190" s="579" t="s">
        <v>281</v>
      </c>
      <c r="D4190" s="579"/>
      <c r="E4190" s="583"/>
      <c r="F4190" s="596"/>
      <c r="G4190" s="65">
        <v>0</v>
      </c>
      <c r="H4190" s="591" t="s">
        <v>280</v>
      </c>
      <c r="I4190" s="591" t="s">
        <v>280</v>
      </c>
    </row>
    <row r="4191" spans="1:9">
      <c r="A4191" s="582" t="s">
        <v>662</v>
      </c>
      <c r="B4191" s="65">
        <v>4389</v>
      </c>
      <c r="C4191" s="579" t="s">
        <v>281</v>
      </c>
      <c r="D4191" s="579"/>
      <c r="E4191" s="583"/>
      <c r="F4191" s="596"/>
      <c r="G4191" s="65">
        <v>0</v>
      </c>
      <c r="H4191" s="591" t="s">
        <v>280</v>
      </c>
      <c r="I4191" s="591" t="s">
        <v>280</v>
      </c>
    </row>
    <row r="4192" spans="1:9">
      <c r="A4192" s="582" t="s">
        <v>662</v>
      </c>
      <c r="B4192" s="65">
        <v>4390</v>
      </c>
      <c r="C4192" s="579" t="s">
        <v>281</v>
      </c>
      <c r="D4192" s="579"/>
      <c r="E4192" s="583"/>
      <c r="F4192" s="596"/>
      <c r="G4192" s="65">
        <v>0</v>
      </c>
      <c r="H4192" s="591" t="s">
        <v>280</v>
      </c>
      <c r="I4192" s="591" t="s">
        <v>280</v>
      </c>
    </row>
    <row r="4193" spans="1:9">
      <c r="A4193" s="582" t="s">
        <v>662</v>
      </c>
      <c r="B4193" s="65">
        <v>4391</v>
      </c>
      <c r="C4193" s="579" t="s">
        <v>281</v>
      </c>
      <c r="D4193" s="579"/>
      <c r="E4193" s="583"/>
      <c r="F4193" s="596"/>
      <c r="G4193" s="65">
        <v>0</v>
      </c>
      <c r="H4193" s="591" t="s">
        <v>280</v>
      </c>
      <c r="I4193" s="591" t="s">
        <v>280</v>
      </c>
    </row>
    <row r="4194" spans="1:9">
      <c r="A4194" s="582" t="s">
        <v>662</v>
      </c>
      <c r="B4194" s="65">
        <v>4392</v>
      </c>
      <c r="C4194" s="579" t="s">
        <v>281</v>
      </c>
      <c r="D4194" s="579"/>
      <c r="E4194" s="583"/>
      <c r="F4194" s="596"/>
      <c r="G4194" s="65">
        <v>0</v>
      </c>
      <c r="H4194" s="591" t="s">
        <v>280</v>
      </c>
      <c r="I4194" s="591" t="s">
        <v>280</v>
      </c>
    </row>
    <row r="4195" spans="1:9">
      <c r="A4195" s="582" t="s">
        <v>662</v>
      </c>
      <c r="B4195" s="65">
        <v>4393</v>
      </c>
      <c r="C4195" s="579" t="s">
        <v>281</v>
      </c>
      <c r="D4195" s="579"/>
      <c r="E4195" s="583"/>
      <c r="F4195" s="596"/>
      <c r="G4195" s="65">
        <v>0</v>
      </c>
      <c r="H4195" s="591" t="s">
        <v>280</v>
      </c>
      <c r="I4195" s="591" t="s">
        <v>280</v>
      </c>
    </row>
    <row r="4196" spans="1:9">
      <c r="A4196" s="582" t="s">
        <v>662</v>
      </c>
      <c r="B4196" s="65">
        <v>4394</v>
      </c>
      <c r="C4196" s="579" t="s">
        <v>281</v>
      </c>
      <c r="D4196" s="579"/>
      <c r="E4196" s="583"/>
      <c r="F4196" s="596"/>
      <c r="G4196" s="65">
        <v>0</v>
      </c>
      <c r="H4196" s="591" t="s">
        <v>280</v>
      </c>
      <c r="I4196" s="591" t="s">
        <v>280</v>
      </c>
    </row>
    <row r="4197" spans="1:9">
      <c r="A4197" s="582" t="s">
        <v>662</v>
      </c>
      <c r="B4197" s="65">
        <v>4395</v>
      </c>
      <c r="C4197" s="579" t="s">
        <v>281</v>
      </c>
      <c r="D4197" s="579"/>
      <c r="E4197" s="583"/>
      <c r="F4197" s="596"/>
      <c r="G4197" s="65">
        <v>0</v>
      </c>
      <c r="H4197" s="591" t="s">
        <v>280</v>
      </c>
      <c r="I4197" s="591" t="s">
        <v>280</v>
      </c>
    </row>
    <row r="4198" spans="1:9">
      <c r="A4198" s="582" t="s">
        <v>662</v>
      </c>
      <c r="B4198" s="65">
        <v>4396</v>
      </c>
      <c r="C4198" s="579" t="s">
        <v>281</v>
      </c>
      <c r="D4198" s="579"/>
      <c r="E4198" s="583"/>
      <c r="F4198" s="596"/>
      <c r="G4198" s="65">
        <v>0</v>
      </c>
      <c r="H4198" s="591" t="s">
        <v>280</v>
      </c>
      <c r="I4198" s="591" t="s">
        <v>280</v>
      </c>
    </row>
    <row r="4199" spans="1:9">
      <c r="A4199" s="582" t="s">
        <v>662</v>
      </c>
      <c r="B4199" s="65">
        <v>4397</v>
      </c>
      <c r="C4199" s="579" t="s">
        <v>281</v>
      </c>
      <c r="D4199" s="579"/>
      <c r="E4199" s="583"/>
      <c r="F4199" s="596"/>
      <c r="G4199" s="65">
        <v>0</v>
      </c>
      <c r="H4199" s="591" t="s">
        <v>280</v>
      </c>
      <c r="I4199" s="591" t="s">
        <v>280</v>
      </c>
    </row>
    <row r="4200" spans="1:9">
      <c r="A4200" s="582" t="s">
        <v>662</v>
      </c>
      <c r="B4200" s="65">
        <v>4398</v>
      </c>
      <c r="C4200" s="579" t="s">
        <v>281</v>
      </c>
      <c r="D4200" s="579"/>
      <c r="E4200" s="583"/>
      <c r="F4200" s="596"/>
      <c r="G4200" s="65">
        <v>0</v>
      </c>
      <c r="H4200" s="591" t="s">
        <v>280</v>
      </c>
      <c r="I4200" s="591" t="s">
        <v>280</v>
      </c>
    </row>
    <row r="4201" spans="1:9">
      <c r="A4201" s="582" t="s">
        <v>662</v>
      </c>
      <c r="B4201" s="65">
        <v>4399</v>
      </c>
      <c r="C4201" s="579" t="s">
        <v>281</v>
      </c>
      <c r="D4201" s="579"/>
      <c r="E4201" s="583"/>
      <c r="F4201" s="596"/>
      <c r="G4201" s="65">
        <v>0</v>
      </c>
      <c r="H4201" s="591" t="s">
        <v>280</v>
      </c>
      <c r="I4201" s="591" t="s">
        <v>280</v>
      </c>
    </row>
    <row r="4202" spans="1:9">
      <c r="A4202" s="582" t="s">
        <v>687</v>
      </c>
      <c r="B4202" s="65">
        <v>4400</v>
      </c>
      <c r="C4202" s="579" t="s">
        <v>279</v>
      </c>
      <c r="D4202" s="579"/>
      <c r="E4202" s="583"/>
      <c r="F4202" s="585">
        <v>45535</v>
      </c>
      <c r="G4202" s="65">
        <v>1</v>
      </c>
      <c r="H4202" s="591" t="s">
        <v>280</v>
      </c>
      <c r="I4202" s="591" t="s">
        <v>280</v>
      </c>
    </row>
    <row r="4203" spans="1:9">
      <c r="A4203" s="582" t="s">
        <v>687</v>
      </c>
      <c r="B4203" s="65">
        <v>4401</v>
      </c>
      <c r="C4203" s="579" t="s">
        <v>688</v>
      </c>
      <c r="D4203" s="579">
        <v>10303</v>
      </c>
      <c r="E4203" s="583"/>
      <c r="F4203" s="585">
        <v>45535</v>
      </c>
      <c r="G4203" s="65">
        <v>1</v>
      </c>
      <c r="H4203" s="591" t="s">
        <v>280</v>
      </c>
      <c r="I4203" s="591" t="s">
        <v>280</v>
      </c>
    </row>
    <row r="4204" spans="1:9">
      <c r="A4204" s="582" t="s">
        <v>687</v>
      </c>
      <c r="B4204" s="65">
        <v>4402</v>
      </c>
      <c r="C4204" s="579" t="s">
        <v>689</v>
      </c>
      <c r="D4204" s="63">
        <v>10305</v>
      </c>
      <c r="E4204" s="583"/>
      <c r="F4204" s="585">
        <v>45535</v>
      </c>
      <c r="G4204" s="65">
        <v>1</v>
      </c>
      <c r="H4204" s="591" t="s">
        <v>280</v>
      </c>
      <c r="I4204" s="591" t="s">
        <v>280</v>
      </c>
    </row>
    <row r="4205" spans="1:9">
      <c r="A4205" s="582" t="s">
        <v>687</v>
      </c>
      <c r="B4205" s="65">
        <v>4403</v>
      </c>
      <c r="C4205" s="579" t="s">
        <v>690</v>
      </c>
      <c r="D4205" s="579">
        <v>10007</v>
      </c>
      <c r="E4205" s="583"/>
      <c r="F4205" s="585">
        <v>45535</v>
      </c>
      <c r="G4205" s="65">
        <v>1</v>
      </c>
      <c r="H4205" s="591" t="s">
        <v>1975</v>
      </c>
      <c r="I4205" s="591" t="s">
        <v>55</v>
      </c>
    </row>
    <row r="4206" spans="1:9" ht="14.25">
      <c r="A4206" s="580" t="s">
        <v>687</v>
      </c>
      <c r="B4206" s="63">
        <v>4404</v>
      </c>
      <c r="C4206" s="63" t="s">
        <v>2046</v>
      </c>
      <c r="D4206" s="579">
        <v>10417</v>
      </c>
      <c r="E4206" s="587"/>
      <c r="F4206" s="600">
        <v>45675</v>
      </c>
      <c r="G4206" s="65">
        <v>1</v>
      </c>
      <c r="H4206" s="591" t="s">
        <v>280</v>
      </c>
      <c r="I4206" s="591" t="s">
        <v>280</v>
      </c>
    </row>
    <row r="4207" spans="1:9">
      <c r="A4207" s="582" t="s">
        <v>687</v>
      </c>
      <c r="B4207" s="65">
        <v>4405</v>
      </c>
      <c r="C4207" s="579" t="s">
        <v>691</v>
      </c>
      <c r="D4207" s="579">
        <v>10674</v>
      </c>
      <c r="E4207" s="583"/>
      <c r="F4207" s="585">
        <v>45535</v>
      </c>
      <c r="G4207" s="65">
        <v>1</v>
      </c>
      <c r="H4207" s="591" t="s">
        <v>1975</v>
      </c>
      <c r="I4207" s="591" t="s">
        <v>55</v>
      </c>
    </row>
    <row r="4208" spans="1:9">
      <c r="A4208" s="582" t="s">
        <v>687</v>
      </c>
      <c r="B4208" s="65">
        <v>4406</v>
      </c>
      <c r="C4208" s="579" t="s">
        <v>281</v>
      </c>
      <c r="D4208" s="579"/>
      <c r="E4208" s="583"/>
      <c r="F4208" s="596"/>
      <c r="G4208" s="65">
        <v>0</v>
      </c>
      <c r="H4208" s="591" t="s">
        <v>280</v>
      </c>
      <c r="I4208" s="591" t="s">
        <v>280</v>
      </c>
    </row>
    <row r="4209" spans="1:9">
      <c r="A4209" s="582" t="s">
        <v>687</v>
      </c>
      <c r="B4209" s="65">
        <v>4407</v>
      </c>
      <c r="C4209" s="579" t="s">
        <v>692</v>
      </c>
      <c r="D4209" s="579">
        <v>10193</v>
      </c>
      <c r="E4209" s="583"/>
      <c r="F4209" s="585">
        <v>45535</v>
      </c>
      <c r="G4209" s="65">
        <v>1</v>
      </c>
      <c r="H4209" s="591" t="s">
        <v>1975</v>
      </c>
      <c r="I4209" s="591" t="s">
        <v>55</v>
      </c>
    </row>
    <row r="4210" spans="1:9">
      <c r="A4210" s="582" t="s">
        <v>687</v>
      </c>
      <c r="B4210" s="65">
        <v>4408</v>
      </c>
      <c r="C4210" s="579" t="s">
        <v>693</v>
      </c>
      <c r="D4210" s="65">
        <v>10643</v>
      </c>
      <c r="E4210" s="583"/>
      <c r="F4210" s="585">
        <v>45535</v>
      </c>
      <c r="G4210" s="65">
        <v>1</v>
      </c>
      <c r="H4210" s="591" t="s">
        <v>1975</v>
      </c>
      <c r="I4210" s="591" t="s">
        <v>55</v>
      </c>
    </row>
    <row r="4211" spans="1:9">
      <c r="A4211" s="582" t="s">
        <v>687</v>
      </c>
      <c r="B4211" s="65">
        <v>4409</v>
      </c>
      <c r="C4211" s="579" t="s">
        <v>281</v>
      </c>
      <c r="D4211" s="579"/>
      <c r="E4211" s="583"/>
      <c r="F4211" s="596"/>
      <c r="G4211" s="65">
        <v>0</v>
      </c>
      <c r="H4211" s="591" t="s">
        <v>280</v>
      </c>
      <c r="I4211" s="591" t="s">
        <v>280</v>
      </c>
    </row>
    <row r="4212" spans="1:9">
      <c r="A4212" s="582" t="s">
        <v>687</v>
      </c>
      <c r="B4212" s="65">
        <v>4410</v>
      </c>
      <c r="C4212" s="579" t="s">
        <v>694</v>
      </c>
      <c r="D4212" s="579">
        <v>10180</v>
      </c>
      <c r="E4212" s="583"/>
      <c r="F4212" s="585">
        <v>45535</v>
      </c>
      <c r="G4212" s="65">
        <v>1</v>
      </c>
      <c r="H4212" s="591" t="s">
        <v>280</v>
      </c>
      <c r="I4212" s="591" t="s">
        <v>280</v>
      </c>
    </row>
    <row r="4213" spans="1:9">
      <c r="A4213" s="582" t="s">
        <v>687</v>
      </c>
      <c r="B4213" s="65">
        <v>4411</v>
      </c>
      <c r="C4213" s="579" t="s">
        <v>695</v>
      </c>
      <c r="D4213" s="579">
        <v>10243</v>
      </c>
      <c r="E4213" s="583"/>
      <c r="F4213" s="585">
        <v>45535</v>
      </c>
      <c r="G4213" s="65">
        <v>1</v>
      </c>
      <c r="H4213" s="591" t="s">
        <v>1975</v>
      </c>
      <c r="I4213" s="591" t="s">
        <v>55</v>
      </c>
    </row>
    <row r="4214" spans="1:9">
      <c r="A4214" s="582" t="s">
        <v>687</v>
      </c>
      <c r="B4214" s="65">
        <v>4412</v>
      </c>
      <c r="C4214" s="579" t="s">
        <v>696</v>
      </c>
      <c r="D4214" s="579">
        <v>10410</v>
      </c>
      <c r="E4214" s="583"/>
      <c r="F4214" s="585">
        <v>45535</v>
      </c>
      <c r="G4214" s="65">
        <v>1</v>
      </c>
      <c r="H4214" s="591" t="s">
        <v>280</v>
      </c>
      <c r="I4214" s="591" t="s">
        <v>280</v>
      </c>
    </row>
    <row r="4215" spans="1:9">
      <c r="A4215" s="582" t="s">
        <v>687</v>
      </c>
      <c r="B4215" s="65">
        <v>4413</v>
      </c>
      <c r="C4215" s="579" t="s">
        <v>281</v>
      </c>
      <c r="D4215" s="579"/>
      <c r="E4215" s="583"/>
      <c r="F4215" s="596"/>
      <c r="G4215" s="65">
        <v>0</v>
      </c>
      <c r="H4215" s="591" t="s">
        <v>280</v>
      </c>
      <c r="I4215" s="591" t="s">
        <v>280</v>
      </c>
    </row>
    <row r="4216" spans="1:9">
      <c r="A4216" s="582" t="s">
        <v>687</v>
      </c>
      <c r="B4216" s="65">
        <v>4414</v>
      </c>
      <c r="C4216" s="579" t="s">
        <v>281</v>
      </c>
      <c r="D4216" s="579"/>
      <c r="E4216" s="583"/>
      <c r="F4216" s="596"/>
      <c r="G4216" s="65">
        <v>0</v>
      </c>
      <c r="H4216" s="591" t="s">
        <v>280</v>
      </c>
      <c r="I4216" s="591" t="s">
        <v>280</v>
      </c>
    </row>
    <row r="4217" spans="1:9">
      <c r="A4217" s="582" t="s">
        <v>687</v>
      </c>
      <c r="B4217" s="65">
        <v>4415</v>
      </c>
      <c r="C4217" s="579" t="s">
        <v>281</v>
      </c>
      <c r="D4217" s="63"/>
      <c r="E4217" s="583"/>
      <c r="F4217" s="596"/>
      <c r="G4217" s="65">
        <v>0</v>
      </c>
      <c r="H4217" s="591" t="s">
        <v>280</v>
      </c>
      <c r="I4217" s="591" t="s">
        <v>280</v>
      </c>
    </row>
    <row r="4218" spans="1:9">
      <c r="A4218" s="582" t="s">
        <v>687</v>
      </c>
      <c r="B4218" s="65">
        <v>4416</v>
      </c>
      <c r="C4218" s="579" t="s">
        <v>281</v>
      </c>
      <c r="D4218" s="579"/>
      <c r="E4218" s="583"/>
      <c r="F4218" s="596"/>
      <c r="G4218" s="65">
        <v>0</v>
      </c>
      <c r="H4218" s="591" t="s">
        <v>280</v>
      </c>
      <c r="I4218" s="591" t="s">
        <v>280</v>
      </c>
    </row>
    <row r="4219" spans="1:9">
      <c r="A4219" s="582" t="s">
        <v>687</v>
      </c>
      <c r="B4219" s="65">
        <v>4417</v>
      </c>
      <c r="C4219" s="579" t="s">
        <v>697</v>
      </c>
      <c r="D4219" s="579">
        <v>10225</v>
      </c>
      <c r="E4219" s="583"/>
      <c r="F4219" s="585">
        <v>45535</v>
      </c>
      <c r="G4219" s="65">
        <v>1</v>
      </c>
      <c r="H4219" s="591" t="s">
        <v>1975</v>
      </c>
      <c r="I4219" s="591" t="s">
        <v>55</v>
      </c>
    </row>
    <row r="4220" spans="1:9">
      <c r="A4220" s="582" t="s">
        <v>687</v>
      </c>
      <c r="B4220" s="65">
        <v>4418</v>
      </c>
      <c r="C4220" s="579" t="s">
        <v>281</v>
      </c>
      <c r="D4220" s="579"/>
      <c r="E4220" s="583"/>
      <c r="F4220" s="596"/>
      <c r="G4220" s="65">
        <v>0</v>
      </c>
      <c r="H4220" s="591" t="s">
        <v>280</v>
      </c>
      <c r="I4220" s="591" t="s">
        <v>280</v>
      </c>
    </row>
    <row r="4221" spans="1:9">
      <c r="A4221" s="582" t="s">
        <v>687</v>
      </c>
      <c r="B4221" s="65">
        <v>4419</v>
      </c>
      <c r="C4221" s="579" t="s">
        <v>698</v>
      </c>
      <c r="D4221" s="63">
        <v>10101</v>
      </c>
      <c r="E4221" s="583"/>
      <c r="F4221" s="585">
        <v>45535</v>
      </c>
      <c r="G4221" s="65">
        <v>1</v>
      </c>
      <c r="H4221" s="591" t="s">
        <v>280</v>
      </c>
      <c r="I4221" s="591" t="s">
        <v>280</v>
      </c>
    </row>
    <row r="4222" spans="1:9">
      <c r="A4222" s="582" t="s">
        <v>687</v>
      </c>
      <c r="B4222" s="65">
        <v>4420</v>
      </c>
      <c r="C4222" s="579" t="s">
        <v>281</v>
      </c>
      <c r="D4222" s="63"/>
      <c r="E4222" s="583"/>
      <c r="F4222" s="596"/>
      <c r="G4222" s="65">
        <v>0</v>
      </c>
      <c r="H4222" s="591" t="s">
        <v>280</v>
      </c>
      <c r="I4222" s="591" t="s">
        <v>280</v>
      </c>
    </row>
    <row r="4223" spans="1:9">
      <c r="A4223" s="582" t="s">
        <v>687</v>
      </c>
      <c r="B4223" s="65">
        <v>4421</v>
      </c>
      <c r="C4223" s="579" t="s">
        <v>281</v>
      </c>
      <c r="D4223" s="579"/>
      <c r="E4223" s="583"/>
      <c r="F4223" s="596"/>
      <c r="G4223" s="65">
        <v>0</v>
      </c>
      <c r="H4223" s="591" t="s">
        <v>280</v>
      </c>
      <c r="I4223" s="591" t="s">
        <v>280</v>
      </c>
    </row>
    <row r="4224" spans="1:9">
      <c r="A4224" s="582" t="s">
        <v>687</v>
      </c>
      <c r="B4224" s="65">
        <v>4422</v>
      </c>
      <c r="C4224" s="579" t="s">
        <v>699</v>
      </c>
      <c r="D4224" s="579">
        <v>10262</v>
      </c>
      <c r="E4224" s="583"/>
      <c r="F4224" s="585">
        <v>45535</v>
      </c>
      <c r="G4224" s="65">
        <v>1</v>
      </c>
      <c r="H4224" s="591" t="s">
        <v>1975</v>
      </c>
      <c r="I4224" s="591" t="s">
        <v>55</v>
      </c>
    </row>
    <row r="4225" spans="1:9">
      <c r="A4225" s="580" t="s">
        <v>687</v>
      </c>
      <c r="B4225" s="65">
        <v>4423</v>
      </c>
      <c r="C4225" s="65" t="s">
        <v>281</v>
      </c>
      <c r="D4225" s="65"/>
      <c r="E4225" s="583"/>
      <c r="F4225" s="596"/>
      <c r="G4225" s="65">
        <v>0</v>
      </c>
      <c r="H4225" s="591" t="s">
        <v>280</v>
      </c>
      <c r="I4225" s="591" t="s">
        <v>280</v>
      </c>
    </row>
    <row r="4226" spans="1:9">
      <c r="A4226" s="580" t="s">
        <v>687</v>
      </c>
      <c r="B4226" s="65">
        <v>4424</v>
      </c>
      <c r="C4226" s="65" t="s">
        <v>1913</v>
      </c>
      <c r="D4226" s="65">
        <v>10853</v>
      </c>
      <c r="E4226" s="583"/>
      <c r="F4226" s="585">
        <v>45535</v>
      </c>
      <c r="G4226" s="65">
        <v>1</v>
      </c>
      <c r="H4226" s="591" t="s">
        <v>1975</v>
      </c>
      <c r="I4226" s="591" t="s">
        <v>55</v>
      </c>
    </row>
    <row r="4227" spans="1:9">
      <c r="A4227" s="580" t="s">
        <v>687</v>
      </c>
      <c r="B4227" s="65">
        <v>4425</v>
      </c>
      <c r="C4227" s="65" t="s">
        <v>281</v>
      </c>
      <c r="D4227" s="65"/>
      <c r="E4227" s="583"/>
      <c r="F4227" s="596"/>
      <c r="G4227" s="65">
        <v>0</v>
      </c>
      <c r="H4227" s="591" t="s">
        <v>280</v>
      </c>
      <c r="I4227" s="591" t="s">
        <v>280</v>
      </c>
    </row>
    <row r="4228" spans="1:9">
      <c r="A4228" s="582" t="s">
        <v>687</v>
      </c>
      <c r="B4228" s="65">
        <v>4426</v>
      </c>
      <c r="C4228" s="65" t="s">
        <v>1943</v>
      </c>
      <c r="D4228" s="65">
        <v>11047</v>
      </c>
      <c r="E4228" s="583"/>
      <c r="F4228" s="585">
        <v>45535</v>
      </c>
      <c r="G4228" s="65">
        <v>1</v>
      </c>
      <c r="H4228" s="591" t="s">
        <v>1975</v>
      </c>
      <c r="I4228" s="591" t="s">
        <v>55</v>
      </c>
    </row>
    <row r="4229" spans="1:9">
      <c r="A4229" s="582" t="s">
        <v>687</v>
      </c>
      <c r="B4229" s="65">
        <v>4427</v>
      </c>
      <c r="C4229" s="63" t="s">
        <v>1969</v>
      </c>
      <c r="D4229" s="579">
        <v>10132</v>
      </c>
      <c r="E4229" s="583"/>
      <c r="F4229" s="585">
        <v>45584</v>
      </c>
      <c r="G4229" s="65">
        <v>1</v>
      </c>
      <c r="H4229" s="591" t="s">
        <v>1975</v>
      </c>
      <c r="I4229" s="591" t="s">
        <v>55</v>
      </c>
    </row>
    <row r="4230" spans="1:9">
      <c r="A4230" s="582" t="s">
        <v>687</v>
      </c>
      <c r="B4230" s="65">
        <v>4428</v>
      </c>
      <c r="C4230" s="579" t="s">
        <v>281</v>
      </c>
      <c r="D4230" s="579"/>
      <c r="E4230" s="583"/>
      <c r="F4230" s="596"/>
      <c r="G4230" s="65">
        <v>0</v>
      </c>
      <c r="H4230" s="591" t="s">
        <v>280</v>
      </c>
      <c r="I4230" s="591" t="s">
        <v>280</v>
      </c>
    </row>
    <row r="4231" spans="1:9">
      <c r="A4231" s="582" t="s">
        <v>687</v>
      </c>
      <c r="B4231" s="65">
        <v>4429</v>
      </c>
      <c r="C4231" s="579" t="s">
        <v>281</v>
      </c>
      <c r="D4231" s="579"/>
      <c r="E4231" s="583"/>
      <c r="F4231" s="596"/>
      <c r="G4231" s="65">
        <v>0</v>
      </c>
      <c r="H4231" s="591" t="s">
        <v>280</v>
      </c>
      <c r="I4231" s="591" t="s">
        <v>280</v>
      </c>
    </row>
    <row r="4232" spans="1:9">
      <c r="A4232" s="582" t="s">
        <v>687</v>
      </c>
      <c r="B4232" s="65">
        <v>4430</v>
      </c>
      <c r="C4232" s="579" t="s">
        <v>281</v>
      </c>
      <c r="D4232" s="579"/>
      <c r="E4232" s="583"/>
      <c r="F4232" s="596"/>
      <c r="G4232" s="65">
        <v>0</v>
      </c>
      <c r="H4232" s="591" t="s">
        <v>280</v>
      </c>
      <c r="I4232" s="591" t="s">
        <v>280</v>
      </c>
    </row>
    <row r="4233" spans="1:9">
      <c r="A4233" s="582" t="s">
        <v>687</v>
      </c>
      <c r="B4233" s="65">
        <v>4431</v>
      </c>
      <c r="C4233" s="579" t="s">
        <v>281</v>
      </c>
      <c r="D4233" s="579"/>
      <c r="E4233" s="583"/>
      <c r="F4233" s="596"/>
      <c r="G4233" s="65">
        <v>0</v>
      </c>
      <c r="H4233" s="591" t="s">
        <v>280</v>
      </c>
      <c r="I4233" s="591" t="s">
        <v>280</v>
      </c>
    </row>
    <row r="4234" spans="1:9">
      <c r="A4234" s="582" t="s">
        <v>687</v>
      </c>
      <c r="B4234" s="65">
        <v>4432</v>
      </c>
      <c r="C4234" s="579" t="s">
        <v>281</v>
      </c>
      <c r="D4234" s="579"/>
      <c r="E4234" s="583"/>
      <c r="F4234" s="596"/>
      <c r="G4234" s="65">
        <v>0</v>
      </c>
      <c r="H4234" s="591" t="s">
        <v>280</v>
      </c>
      <c r="I4234" s="591" t="s">
        <v>280</v>
      </c>
    </row>
    <row r="4235" spans="1:9">
      <c r="A4235" s="582" t="s">
        <v>687</v>
      </c>
      <c r="B4235" s="65">
        <v>4433</v>
      </c>
      <c r="C4235" s="579" t="s">
        <v>281</v>
      </c>
      <c r="D4235" s="579"/>
      <c r="E4235" s="583"/>
      <c r="F4235" s="596"/>
      <c r="G4235" s="65">
        <v>0</v>
      </c>
      <c r="H4235" s="591" t="s">
        <v>280</v>
      </c>
      <c r="I4235" s="591" t="s">
        <v>280</v>
      </c>
    </row>
    <row r="4236" spans="1:9">
      <c r="A4236" s="582" t="s">
        <v>687</v>
      </c>
      <c r="B4236" s="65">
        <v>4434</v>
      </c>
      <c r="C4236" s="579" t="s">
        <v>281</v>
      </c>
      <c r="D4236" s="579"/>
      <c r="E4236" s="583"/>
      <c r="F4236" s="596"/>
      <c r="G4236" s="65">
        <v>0</v>
      </c>
      <c r="H4236" s="591" t="s">
        <v>280</v>
      </c>
      <c r="I4236" s="591" t="s">
        <v>280</v>
      </c>
    </row>
    <row r="4237" spans="1:9">
      <c r="A4237" s="582" t="s">
        <v>687</v>
      </c>
      <c r="B4237" s="65">
        <v>4435</v>
      </c>
      <c r="C4237" s="579" t="s">
        <v>281</v>
      </c>
      <c r="D4237" s="579"/>
      <c r="E4237" s="583"/>
      <c r="F4237" s="596"/>
      <c r="G4237" s="65">
        <v>0</v>
      </c>
      <c r="H4237" s="591" t="s">
        <v>280</v>
      </c>
      <c r="I4237" s="591" t="s">
        <v>280</v>
      </c>
    </row>
    <row r="4238" spans="1:9">
      <c r="A4238" s="582" t="s">
        <v>687</v>
      </c>
      <c r="B4238" s="65">
        <v>4436</v>
      </c>
      <c r="C4238" s="579" t="s">
        <v>281</v>
      </c>
      <c r="D4238" s="579"/>
      <c r="E4238" s="583"/>
      <c r="F4238" s="596"/>
      <c r="G4238" s="65">
        <v>0</v>
      </c>
      <c r="H4238" s="591" t="s">
        <v>280</v>
      </c>
      <c r="I4238" s="591" t="s">
        <v>280</v>
      </c>
    </row>
    <row r="4239" spans="1:9">
      <c r="A4239" s="582" t="s">
        <v>687</v>
      </c>
      <c r="B4239" s="65">
        <v>4437</v>
      </c>
      <c r="C4239" s="579" t="s">
        <v>281</v>
      </c>
      <c r="D4239" s="579"/>
      <c r="E4239" s="583"/>
      <c r="F4239" s="596"/>
      <c r="G4239" s="65">
        <v>0</v>
      </c>
      <c r="H4239" s="591" t="s">
        <v>280</v>
      </c>
      <c r="I4239" s="591" t="s">
        <v>280</v>
      </c>
    </row>
    <row r="4240" spans="1:9">
      <c r="A4240" s="582" t="s">
        <v>687</v>
      </c>
      <c r="B4240" s="65">
        <v>4438</v>
      </c>
      <c r="C4240" s="579" t="s">
        <v>281</v>
      </c>
      <c r="D4240" s="579"/>
      <c r="E4240" s="583"/>
      <c r="F4240" s="596"/>
      <c r="G4240" s="65">
        <v>0</v>
      </c>
      <c r="H4240" s="591" t="s">
        <v>280</v>
      </c>
      <c r="I4240" s="591" t="s">
        <v>280</v>
      </c>
    </row>
    <row r="4241" spans="1:9">
      <c r="A4241" s="582" t="s">
        <v>687</v>
      </c>
      <c r="B4241" s="65">
        <v>4439</v>
      </c>
      <c r="C4241" s="579" t="s">
        <v>281</v>
      </c>
      <c r="D4241" s="579"/>
      <c r="E4241" s="583"/>
      <c r="F4241" s="596"/>
      <c r="G4241" s="65">
        <v>0</v>
      </c>
      <c r="H4241" s="591" t="s">
        <v>280</v>
      </c>
      <c r="I4241" s="591" t="s">
        <v>280</v>
      </c>
    </row>
    <row r="4242" spans="1:9">
      <c r="A4242" s="582" t="s">
        <v>687</v>
      </c>
      <c r="B4242" s="65">
        <v>4440</v>
      </c>
      <c r="C4242" s="579" t="s">
        <v>281</v>
      </c>
      <c r="D4242" s="579"/>
      <c r="E4242" s="583"/>
      <c r="F4242" s="596"/>
      <c r="G4242" s="65">
        <v>0</v>
      </c>
      <c r="H4242" s="591" t="s">
        <v>280</v>
      </c>
      <c r="I4242" s="591" t="s">
        <v>280</v>
      </c>
    </row>
    <row r="4243" spans="1:9">
      <c r="A4243" s="582" t="s">
        <v>687</v>
      </c>
      <c r="B4243" s="65">
        <v>4441</v>
      </c>
      <c r="C4243" s="579" t="s">
        <v>281</v>
      </c>
      <c r="D4243" s="579"/>
      <c r="E4243" s="583"/>
      <c r="F4243" s="596"/>
      <c r="G4243" s="65">
        <v>0</v>
      </c>
      <c r="H4243" s="591" t="s">
        <v>280</v>
      </c>
      <c r="I4243" s="591" t="s">
        <v>280</v>
      </c>
    </row>
    <row r="4244" spans="1:9">
      <c r="A4244" s="582" t="s">
        <v>687</v>
      </c>
      <c r="B4244" s="65">
        <v>4442</v>
      </c>
      <c r="C4244" s="579" t="s">
        <v>281</v>
      </c>
      <c r="D4244" s="579"/>
      <c r="E4244" s="583"/>
      <c r="F4244" s="596"/>
      <c r="G4244" s="65">
        <v>0</v>
      </c>
      <c r="H4244" s="591" t="s">
        <v>280</v>
      </c>
      <c r="I4244" s="591" t="s">
        <v>280</v>
      </c>
    </row>
    <row r="4245" spans="1:9">
      <c r="A4245" s="582" t="s">
        <v>687</v>
      </c>
      <c r="B4245" s="65">
        <v>4443</v>
      </c>
      <c r="C4245" s="579" t="s">
        <v>281</v>
      </c>
      <c r="D4245" s="579"/>
      <c r="E4245" s="583"/>
      <c r="F4245" s="596"/>
      <c r="G4245" s="65">
        <v>0</v>
      </c>
      <c r="H4245" s="591" t="s">
        <v>280</v>
      </c>
      <c r="I4245" s="591" t="s">
        <v>280</v>
      </c>
    </row>
    <row r="4246" spans="1:9">
      <c r="A4246" s="582" t="s">
        <v>687</v>
      </c>
      <c r="B4246" s="65">
        <v>4444</v>
      </c>
      <c r="C4246" s="579" t="s">
        <v>281</v>
      </c>
      <c r="D4246" s="579"/>
      <c r="E4246" s="583"/>
      <c r="F4246" s="596"/>
      <c r="G4246" s="65">
        <v>0</v>
      </c>
      <c r="H4246" s="591" t="s">
        <v>280</v>
      </c>
      <c r="I4246" s="591" t="s">
        <v>280</v>
      </c>
    </row>
    <row r="4247" spans="1:9">
      <c r="A4247" s="582" t="s">
        <v>687</v>
      </c>
      <c r="B4247" s="65">
        <v>4445</v>
      </c>
      <c r="C4247" s="579" t="s">
        <v>281</v>
      </c>
      <c r="D4247" s="579"/>
      <c r="E4247" s="583"/>
      <c r="F4247" s="596"/>
      <c r="G4247" s="65">
        <v>0</v>
      </c>
      <c r="H4247" s="591" t="s">
        <v>280</v>
      </c>
      <c r="I4247" s="591" t="s">
        <v>280</v>
      </c>
    </row>
    <row r="4248" spans="1:9">
      <c r="A4248" s="582" t="s">
        <v>687</v>
      </c>
      <c r="B4248" s="65">
        <v>4446</v>
      </c>
      <c r="C4248" s="579" t="s">
        <v>281</v>
      </c>
      <c r="D4248" s="579"/>
      <c r="E4248" s="583"/>
      <c r="F4248" s="596"/>
      <c r="G4248" s="65">
        <v>0</v>
      </c>
      <c r="H4248" s="591" t="s">
        <v>280</v>
      </c>
      <c r="I4248" s="591" t="s">
        <v>280</v>
      </c>
    </row>
    <row r="4249" spans="1:9">
      <c r="A4249" s="582" t="s">
        <v>687</v>
      </c>
      <c r="B4249" s="65">
        <v>4447</v>
      </c>
      <c r="C4249" s="579" t="s">
        <v>281</v>
      </c>
      <c r="D4249" s="579"/>
      <c r="E4249" s="583"/>
      <c r="F4249" s="596"/>
      <c r="G4249" s="65">
        <v>0</v>
      </c>
      <c r="H4249" s="591" t="s">
        <v>280</v>
      </c>
      <c r="I4249" s="591" t="s">
        <v>280</v>
      </c>
    </row>
    <row r="4250" spans="1:9">
      <c r="A4250" s="582" t="s">
        <v>687</v>
      </c>
      <c r="B4250" s="65">
        <v>4448</v>
      </c>
      <c r="C4250" s="579" t="s">
        <v>281</v>
      </c>
      <c r="D4250" s="579"/>
      <c r="E4250" s="583"/>
      <c r="F4250" s="596"/>
      <c r="G4250" s="65">
        <v>0</v>
      </c>
      <c r="H4250" s="591" t="s">
        <v>280</v>
      </c>
      <c r="I4250" s="591" t="s">
        <v>280</v>
      </c>
    </row>
    <row r="4251" spans="1:9">
      <c r="A4251" s="582" t="s">
        <v>687</v>
      </c>
      <c r="B4251" s="65">
        <v>4449</v>
      </c>
      <c r="C4251" s="579" t="s">
        <v>281</v>
      </c>
      <c r="D4251" s="579"/>
      <c r="E4251" s="583"/>
      <c r="F4251" s="596"/>
      <c r="G4251" s="65">
        <v>0</v>
      </c>
      <c r="H4251" s="591" t="s">
        <v>280</v>
      </c>
      <c r="I4251" s="591" t="s">
        <v>280</v>
      </c>
    </row>
    <row r="4252" spans="1:9">
      <c r="A4252" s="582" t="s">
        <v>687</v>
      </c>
      <c r="B4252" s="65">
        <v>4450</v>
      </c>
      <c r="C4252" s="579" t="s">
        <v>281</v>
      </c>
      <c r="D4252" s="579"/>
      <c r="E4252" s="583"/>
      <c r="F4252" s="596"/>
      <c r="G4252" s="65">
        <v>0</v>
      </c>
      <c r="H4252" s="591" t="s">
        <v>280</v>
      </c>
      <c r="I4252" s="591" t="s">
        <v>280</v>
      </c>
    </row>
    <row r="4253" spans="1:9">
      <c r="A4253" s="582" t="s">
        <v>687</v>
      </c>
      <c r="B4253" s="65">
        <v>4451</v>
      </c>
      <c r="C4253" s="579" t="s">
        <v>281</v>
      </c>
      <c r="D4253" s="579"/>
      <c r="E4253" s="583"/>
      <c r="F4253" s="596"/>
      <c r="G4253" s="65">
        <v>0</v>
      </c>
      <c r="H4253" s="591" t="s">
        <v>280</v>
      </c>
      <c r="I4253" s="591" t="s">
        <v>280</v>
      </c>
    </row>
    <row r="4254" spans="1:9">
      <c r="A4254" s="582" t="s">
        <v>687</v>
      </c>
      <c r="B4254" s="65">
        <v>4452</v>
      </c>
      <c r="C4254" s="579" t="s">
        <v>281</v>
      </c>
      <c r="D4254" s="579"/>
      <c r="E4254" s="583"/>
      <c r="F4254" s="596"/>
      <c r="G4254" s="65">
        <v>0</v>
      </c>
      <c r="H4254" s="591" t="s">
        <v>280</v>
      </c>
      <c r="I4254" s="591" t="s">
        <v>280</v>
      </c>
    </row>
    <row r="4255" spans="1:9">
      <c r="A4255" s="582" t="s">
        <v>687</v>
      </c>
      <c r="B4255" s="65">
        <v>4453</v>
      </c>
      <c r="C4255" s="579" t="s">
        <v>281</v>
      </c>
      <c r="D4255" s="579"/>
      <c r="E4255" s="583"/>
      <c r="F4255" s="596"/>
      <c r="G4255" s="65">
        <v>0</v>
      </c>
      <c r="H4255" s="591" t="s">
        <v>280</v>
      </c>
      <c r="I4255" s="591" t="s">
        <v>280</v>
      </c>
    </row>
    <row r="4256" spans="1:9">
      <c r="A4256" s="582" t="s">
        <v>687</v>
      </c>
      <c r="B4256" s="65">
        <v>4454</v>
      </c>
      <c r="C4256" s="579" t="s">
        <v>281</v>
      </c>
      <c r="D4256" s="579"/>
      <c r="E4256" s="583"/>
      <c r="F4256" s="596"/>
      <c r="G4256" s="65">
        <v>0</v>
      </c>
      <c r="H4256" s="591" t="s">
        <v>280</v>
      </c>
      <c r="I4256" s="591" t="s">
        <v>280</v>
      </c>
    </row>
    <row r="4257" spans="1:9">
      <c r="A4257" s="582" t="s">
        <v>687</v>
      </c>
      <c r="B4257" s="65">
        <v>4455</v>
      </c>
      <c r="C4257" s="579" t="s">
        <v>281</v>
      </c>
      <c r="D4257" s="579"/>
      <c r="E4257" s="583"/>
      <c r="F4257" s="596"/>
      <c r="G4257" s="65">
        <v>0</v>
      </c>
      <c r="H4257" s="591" t="s">
        <v>280</v>
      </c>
      <c r="I4257" s="591" t="s">
        <v>280</v>
      </c>
    </row>
    <row r="4258" spans="1:9">
      <c r="A4258" s="582" t="s">
        <v>687</v>
      </c>
      <c r="B4258" s="65">
        <v>4456</v>
      </c>
      <c r="C4258" s="579" t="s">
        <v>281</v>
      </c>
      <c r="D4258" s="579"/>
      <c r="E4258" s="583"/>
      <c r="F4258" s="596"/>
      <c r="G4258" s="65">
        <v>0</v>
      </c>
      <c r="H4258" s="591" t="s">
        <v>280</v>
      </c>
      <c r="I4258" s="591" t="s">
        <v>280</v>
      </c>
    </row>
    <row r="4259" spans="1:9">
      <c r="A4259" s="582" t="s">
        <v>687</v>
      </c>
      <c r="B4259" s="65">
        <v>4457</v>
      </c>
      <c r="C4259" s="579" t="s">
        <v>281</v>
      </c>
      <c r="D4259" s="579"/>
      <c r="E4259" s="583"/>
      <c r="F4259" s="596"/>
      <c r="G4259" s="65">
        <v>0</v>
      </c>
      <c r="H4259" s="591" t="s">
        <v>280</v>
      </c>
      <c r="I4259" s="591" t="s">
        <v>280</v>
      </c>
    </row>
    <row r="4260" spans="1:9">
      <c r="A4260" s="582" t="s">
        <v>687</v>
      </c>
      <c r="B4260" s="65">
        <v>4458</v>
      </c>
      <c r="C4260" s="579" t="s">
        <v>281</v>
      </c>
      <c r="D4260" s="579"/>
      <c r="E4260" s="583"/>
      <c r="F4260" s="596"/>
      <c r="G4260" s="65">
        <v>0</v>
      </c>
      <c r="H4260" s="591" t="s">
        <v>280</v>
      </c>
      <c r="I4260" s="591" t="s">
        <v>280</v>
      </c>
    </row>
    <row r="4261" spans="1:9">
      <c r="A4261" s="582" t="s">
        <v>687</v>
      </c>
      <c r="B4261" s="65">
        <v>4459</v>
      </c>
      <c r="C4261" s="579" t="s">
        <v>281</v>
      </c>
      <c r="D4261" s="579"/>
      <c r="E4261" s="583"/>
      <c r="F4261" s="596"/>
      <c r="G4261" s="65">
        <v>0</v>
      </c>
      <c r="H4261" s="591" t="s">
        <v>280</v>
      </c>
      <c r="I4261" s="591" t="s">
        <v>280</v>
      </c>
    </row>
    <row r="4262" spans="1:9">
      <c r="A4262" s="582" t="s">
        <v>687</v>
      </c>
      <c r="B4262" s="65">
        <v>4460</v>
      </c>
      <c r="C4262" s="579" t="s">
        <v>281</v>
      </c>
      <c r="D4262" s="579"/>
      <c r="E4262" s="583"/>
      <c r="F4262" s="596"/>
      <c r="G4262" s="65">
        <v>0</v>
      </c>
      <c r="H4262" s="591" t="s">
        <v>280</v>
      </c>
      <c r="I4262" s="591" t="s">
        <v>280</v>
      </c>
    </row>
    <row r="4263" spans="1:9">
      <c r="A4263" s="582" t="s">
        <v>687</v>
      </c>
      <c r="B4263" s="65">
        <v>4461</v>
      </c>
      <c r="C4263" s="579" t="s">
        <v>281</v>
      </c>
      <c r="D4263" s="579"/>
      <c r="E4263" s="583"/>
      <c r="F4263" s="596"/>
      <c r="G4263" s="65">
        <v>0</v>
      </c>
      <c r="H4263" s="591" t="s">
        <v>280</v>
      </c>
      <c r="I4263" s="591" t="s">
        <v>280</v>
      </c>
    </row>
    <row r="4264" spans="1:9">
      <c r="A4264" s="582" t="s">
        <v>687</v>
      </c>
      <c r="B4264" s="65">
        <v>4462</v>
      </c>
      <c r="C4264" s="579" t="s">
        <v>281</v>
      </c>
      <c r="D4264" s="579"/>
      <c r="E4264" s="583"/>
      <c r="F4264" s="596"/>
      <c r="G4264" s="65">
        <v>0</v>
      </c>
      <c r="H4264" s="591" t="s">
        <v>280</v>
      </c>
      <c r="I4264" s="591" t="s">
        <v>280</v>
      </c>
    </row>
    <row r="4265" spans="1:9">
      <c r="A4265" s="582" t="s">
        <v>687</v>
      </c>
      <c r="B4265" s="65">
        <v>4463</v>
      </c>
      <c r="C4265" s="579" t="s">
        <v>281</v>
      </c>
      <c r="D4265" s="579"/>
      <c r="E4265" s="583"/>
      <c r="F4265" s="596"/>
      <c r="G4265" s="65">
        <v>0</v>
      </c>
      <c r="H4265" s="591" t="s">
        <v>280</v>
      </c>
      <c r="I4265" s="591" t="s">
        <v>280</v>
      </c>
    </row>
    <row r="4266" spans="1:9">
      <c r="A4266" s="582" t="s">
        <v>687</v>
      </c>
      <c r="B4266" s="65">
        <v>4464</v>
      </c>
      <c r="C4266" s="579" t="s">
        <v>281</v>
      </c>
      <c r="D4266" s="579"/>
      <c r="E4266" s="583"/>
      <c r="F4266" s="596"/>
      <c r="G4266" s="65">
        <v>0</v>
      </c>
      <c r="H4266" s="591" t="s">
        <v>280</v>
      </c>
      <c r="I4266" s="591" t="s">
        <v>280</v>
      </c>
    </row>
    <row r="4267" spans="1:9">
      <c r="A4267" s="582" t="s">
        <v>687</v>
      </c>
      <c r="B4267" s="65">
        <v>4465</v>
      </c>
      <c r="C4267" s="579" t="s">
        <v>281</v>
      </c>
      <c r="D4267" s="579"/>
      <c r="E4267" s="583"/>
      <c r="F4267" s="596"/>
      <c r="G4267" s="65">
        <v>0</v>
      </c>
      <c r="H4267" s="591" t="s">
        <v>280</v>
      </c>
      <c r="I4267" s="591" t="s">
        <v>280</v>
      </c>
    </row>
    <row r="4268" spans="1:9">
      <c r="A4268" s="582" t="s">
        <v>687</v>
      </c>
      <c r="B4268" s="65">
        <v>4466</v>
      </c>
      <c r="C4268" s="579" t="s">
        <v>281</v>
      </c>
      <c r="D4268" s="579"/>
      <c r="E4268" s="583"/>
      <c r="F4268" s="596"/>
      <c r="G4268" s="65">
        <v>0</v>
      </c>
      <c r="H4268" s="591" t="s">
        <v>280</v>
      </c>
      <c r="I4268" s="591" t="s">
        <v>280</v>
      </c>
    </row>
    <row r="4269" spans="1:9">
      <c r="A4269" s="582" t="s">
        <v>687</v>
      </c>
      <c r="B4269" s="65">
        <v>4467</v>
      </c>
      <c r="C4269" s="579" t="s">
        <v>281</v>
      </c>
      <c r="D4269" s="579"/>
      <c r="E4269" s="583"/>
      <c r="F4269" s="596"/>
      <c r="G4269" s="65">
        <v>0</v>
      </c>
      <c r="H4269" s="591" t="s">
        <v>280</v>
      </c>
      <c r="I4269" s="591" t="s">
        <v>280</v>
      </c>
    </row>
    <row r="4270" spans="1:9">
      <c r="A4270" s="582" t="s">
        <v>687</v>
      </c>
      <c r="B4270" s="65">
        <v>4468</v>
      </c>
      <c r="C4270" s="579" t="s">
        <v>281</v>
      </c>
      <c r="D4270" s="579"/>
      <c r="E4270" s="583"/>
      <c r="F4270" s="596"/>
      <c r="G4270" s="65">
        <v>0</v>
      </c>
      <c r="H4270" s="591" t="s">
        <v>280</v>
      </c>
      <c r="I4270" s="591" t="s">
        <v>280</v>
      </c>
    </row>
    <row r="4271" spans="1:9">
      <c r="A4271" s="582" t="s">
        <v>687</v>
      </c>
      <c r="B4271" s="65">
        <v>4469</v>
      </c>
      <c r="C4271" s="579" t="s">
        <v>281</v>
      </c>
      <c r="D4271" s="579"/>
      <c r="E4271" s="583"/>
      <c r="F4271" s="596"/>
      <c r="G4271" s="65">
        <v>0</v>
      </c>
      <c r="H4271" s="591" t="s">
        <v>280</v>
      </c>
      <c r="I4271" s="591" t="s">
        <v>280</v>
      </c>
    </row>
    <row r="4272" spans="1:9">
      <c r="A4272" s="582" t="s">
        <v>687</v>
      </c>
      <c r="B4272" s="65">
        <v>4470</v>
      </c>
      <c r="C4272" s="579" t="s">
        <v>281</v>
      </c>
      <c r="D4272" s="579"/>
      <c r="E4272" s="583"/>
      <c r="F4272" s="596"/>
      <c r="G4272" s="65">
        <v>0</v>
      </c>
      <c r="H4272" s="591" t="s">
        <v>280</v>
      </c>
      <c r="I4272" s="591" t="s">
        <v>280</v>
      </c>
    </row>
    <row r="4273" spans="1:9">
      <c r="A4273" s="582" t="s">
        <v>687</v>
      </c>
      <c r="B4273" s="65">
        <v>4471</v>
      </c>
      <c r="C4273" s="579" t="s">
        <v>281</v>
      </c>
      <c r="D4273" s="579"/>
      <c r="E4273" s="583"/>
      <c r="F4273" s="596"/>
      <c r="G4273" s="65">
        <v>0</v>
      </c>
      <c r="H4273" s="591" t="s">
        <v>280</v>
      </c>
      <c r="I4273" s="591" t="s">
        <v>280</v>
      </c>
    </row>
    <row r="4274" spans="1:9">
      <c r="A4274" s="582" t="s">
        <v>687</v>
      </c>
      <c r="B4274" s="65">
        <v>4472</v>
      </c>
      <c r="C4274" s="579" t="s">
        <v>281</v>
      </c>
      <c r="D4274" s="579"/>
      <c r="E4274" s="583"/>
      <c r="F4274" s="596"/>
      <c r="G4274" s="65">
        <v>0</v>
      </c>
      <c r="H4274" s="591" t="s">
        <v>280</v>
      </c>
      <c r="I4274" s="591" t="s">
        <v>280</v>
      </c>
    </row>
    <row r="4275" spans="1:9">
      <c r="A4275" s="582" t="s">
        <v>687</v>
      </c>
      <c r="B4275" s="65">
        <v>4473</v>
      </c>
      <c r="C4275" s="579" t="s">
        <v>281</v>
      </c>
      <c r="D4275" s="579"/>
      <c r="E4275" s="583"/>
      <c r="F4275" s="596"/>
      <c r="G4275" s="65">
        <v>0</v>
      </c>
      <c r="H4275" s="591" t="s">
        <v>280</v>
      </c>
      <c r="I4275" s="591" t="s">
        <v>280</v>
      </c>
    </row>
    <row r="4276" spans="1:9">
      <c r="A4276" s="582" t="s">
        <v>687</v>
      </c>
      <c r="B4276" s="65">
        <v>4474</v>
      </c>
      <c r="C4276" s="579" t="s">
        <v>281</v>
      </c>
      <c r="D4276" s="579"/>
      <c r="E4276" s="583"/>
      <c r="F4276" s="596"/>
      <c r="G4276" s="65">
        <v>0</v>
      </c>
      <c r="H4276" s="591" t="s">
        <v>280</v>
      </c>
      <c r="I4276" s="591" t="s">
        <v>280</v>
      </c>
    </row>
    <row r="4277" spans="1:9">
      <c r="A4277" s="582" t="s">
        <v>687</v>
      </c>
      <c r="B4277" s="65">
        <v>4475</v>
      </c>
      <c r="C4277" s="579" t="s">
        <v>281</v>
      </c>
      <c r="D4277" s="579"/>
      <c r="E4277" s="583"/>
      <c r="F4277" s="596"/>
      <c r="G4277" s="65">
        <v>0</v>
      </c>
      <c r="H4277" s="591" t="s">
        <v>280</v>
      </c>
      <c r="I4277" s="591" t="s">
        <v>280</v>
      </c>
    </row>
    <row r="4278" spans="1:9">
      <c r="A4278" s="582" t="s">
        <v>687</v>
      </c>
      <c r="B4278" s="65">
        <v>4476</v>
      </c>
      <c r="C4278" s="579" t="s">
        <v>281</v>
      </c>
      <c r="D4278" s="579"/>
      <c r="E4278" s="583"/>
      <c r="F4278" s="596"/>
      <c r="G4278" s="65">
        <v>0</v>
      </c>
      <c r="H4278" s="591" t="s">
        <v>280</v>
      </c>
      <c r="I4278" s="591" t="s">
        <v>280</v>
      </c>
    </row>
    <row r="4279" spans="1:9">
      <c r="A4279" s="582" t="s">
        <v>687</v>
      </c>
      <c r="B4279" s="65">
        <v>4477</v>
      </c>
      <c r="C4279" s="579" t="s">
        <v>281</v>
      </c>
      <c r="D4279" s="579"/>
      <c r="E4279" s="583"/>
      <c r="F4279" s="596"/>
      <c r="G4279" s="65">
        <v>0</v>
      </c>
      <c r="H4279" s="591" t="s">
        <v>280</v>
      </c>
      <c r="I4279" s="591" t="s">
        <v>280</v>
      </c>
    </row>
    <row r="4280" spans="1:9">
      <c r="A4280" s="582" t="s">
        <v>687</v>
      </c>
      <c r="B4280" s="65">
        <v>4478</v>
      </c>
      <c r="C4280" s="579" t="s">
        <v>281</v>
      </c>
      <c r="D4280" s="579"/>
      <c r="E4280" s="583"/>
      <c r="F4280" s="596"/>
      <c r="G4280" s="65">
        <v>0</v>
      </c>
      <c r="H4280" s="591" t="s">
        <v>280</v>
      </c>
      <c r="I4280" s="591" t="s">
        <v>280</v>
      </c>
    </row>
    <row r="4281" spans="1:9">
      <c r="A4281" s="582" t="s">
        <v>687</v>
      </c>
      <c r="B4281" s="65">
        <v>4479</v>
      </c>
      <c r="C4281" s="579" t="s">
        <v>281</v>
      </c>
      <c r="D4281" s="579"/>
      <c r="E4281" s="583"/>
      <c r="F4281" s="596"/>
      <c r="G4281" s="65">
        <v>0</v>
      </c>
      <c r="H4281" s="591" t="s">
        <v>280</v>
      </c>
      <c r="I4281" s="591" t="s">
        <v>280</v>
      </c>
    </row>
    <row r="4282" spans="1:9">
      <c r="A4282" s="582" t="s">
        <v>687</v>
      </c>
      <c r="B4282" s="65">
        <v>4480</v>
      </c>
      <c r="C4282" s="579" t="s">
        <v>281</v>
      </c>
      <c r="D4282" s="579"/>
      <c r="E4282" s="583"/>
      <c r="F4282" s="596"/>
      <c r="G4282" s="65">
        <v>0</v>
      </c>
      <c r="H4282" s="591" t="s">
        <v>280</v>
      </c>
      <c r="I4282" s="591" t="s">
        <v>280</v>
      </c>
    </row>
    <row r="4283" spans="1:9">
      <c r="A4283" s="582" t="s">
        <v>687</v>
      </c>
      <c r="B4283" s="65">
        <v>4481</v>
      </c>
      <c r="C4283" s="579" t="s">
        <v>281</v>
      </c>
      <c r="D4283" s="579"/>
      <c r="E4283" s="583"/>
      <c r="F4283" s="596"/>
      <c r="G4283" s="65">
        <v>0</v>
      </c>
      <c r="H4283" s="591" t="s">
        <v>280</v>
      </c>
      <c r="I4283" s="591" t="s">
        <v>280</v>
      </c>
    </row>
    <row r="4284" spans="1:9">
      <c r="A4284" s="582" t="s">
        <v>687</v>
      </c>
      <c r="B4284" s="65">
        <v>4482</v>
      </c>
      <c r="C4284" s="579" t="s">
        <v>281</v>
      </c>
      <c r="D4284" s="579"/>
      <c r="E4284" s="583"/>
      <c r="F4284" s="596"/>
      <c r="G4284" s="65">
        <v>0</v>
      </c>
      <c r="H4284" s="591" t="s">
        <v>280</v>
      </c>
      <c r="I4284" s="591" t="s">
        <v>280</v>
      </c>
    </row>
    <row r="4285" spans="1:9">
      <c r="A4285" s="582" t="s">
        <v>687</v>
      </c>
      <c r="B4285" s="65">
        <v>4483</v>
      </c>
      <c r="C4285" s="579" t="s">
        <v>281</v>
      </c>
      <c r="D4285" s="579"/>
      <c r="E4285" s="583"/>
      <c r="F4285" s="596"/>
      <c r="G4285" s="65">
        <v>0</v>
      </c>
      <c r="H4285" s="591" t="s">
        <v>280</v>
      </c>
      <c r="I4285" s="591" t="s">
        <v>280</v>
      </c>
    </row>
    <row r="4286" spans="1:9">
      <c r="A4286" s="582" t="s">
        <v>687</v>
      </c>
      <c r="B4286" s="65">
        <v>4484</v>
      </c>
      <c r="C4286" s="579" t="s">
        <v>281</v>
      </c>
      <c r="D4286" s="579"/>
      <c r="E4286" s="583"/>
      <c r="F4286" s="596"/>
      <c r="G4286" s="65">
        <v>0</v>
      </c>
      <c r="H4286" s="591" t="s">
        <v>280</v>
      </c>
      <c r="I4286" s="591" t="s">
        <v>280</v>
      </c>
    </row>
    <row r="4287" spans="1:9">
      <c r="A4287" s="582" t="s">
        <v>687</v>
      </c>
      <c r="B4287" s="65">
        <v>4485</v>
      </c>
      <c r="C4287" s="579" t="s">
        <v>281</v>
      </c>
      <c r="D4287" s="579"/>
      <c r="E4287" s="583"/>
      <c r="F4287" s="596"/>
      <c r="G4287" s="65">
        <v>0</v>
      </c>
      <c r="H4287" s="591" t="s">
        <v>280</v>
      </c>
      <c r="I4287" s="591" t="s">
        <v>280</v>
      </c>
    </row>
    <row r="4288" spans="1:9">
      <c r="A4288" s="582" t="s">
        <v>687</v>
      </c>
      <c r="B4288" s="65">
        <v>4486</v>
      </c>
      <c r="C4288" s="579" t="s">
        <v>281</v>
      </c>
      <c r="D4288" s="579"/>
      <c r="E4288" s="583"/>
      <c r="F4288" s="596"/>
      <c r="G4288" s="65">
        <v>0</v>
      </c>
      <c r="H4288" s="591" t="s">
        <v>280</v>
      </c>
      <c r="I4288" s="591" t="s">
        <v>280</v>
      </c>
    </row>
    <row r="4289" spans="1:9">
      <c r="A4289" s="582" t="s">
        <v>687</v>
      </c>
      <c r="B4289" s="65">
        <v>4487</v>
      </c>
      <c r="C4289" s="579" t="s">
        <v>281</v>
      </c>
      <c r="D4289" s="579"/>
      <c r="E4289" s="583"/>
      <c r="F4289" s="596"/>
      <c r="G4289" s="65">
        <v>0</v>
      </c>
      <c r="H4289" s="591" t="s">
        <v>280</v>
      </c>
      <c r="I4289" s="591" t="s">
        <v>280</v>
      </c>
    </row>
    <row r="4290" spans="1:9">
      <c r="A4290" s="582" t="s">
        <v>687</v>
      </c>
      <c r="B4290" s="65">
        <v>4488</v>
      </c>
      <c r="C4290" s="579" t="s">
        <v>281</v>
      </c>
      <c r="D4290" s="579"/>
      <c r="E4290" s="583"/>
      <c r="F4290" s="596"/>
      <c r="G4290" s="65">
        <v>0</v>
      </c>
      <c r="H4290" s="591" t="s">
        <v>280</v>
      </c>
      <c r="I4290" s="591" t="s">
        <v>280</v>
      </c>
    </row>
    <row r="4291" spans="1:9">
      <c r="A4291" s="582" t="s">
        <v>687</v>
      </c>
      <c r="B4291" s="65">
        <v>4489</v>
      </c>
      <c r="C4291" s="579" t="s">
        <v>281</v>
      </c>
      <c r="D4291" s="579"/>
      <c r="E4291" s="583"/>
      <c r="F4291" s="596"/>
      <c r="G4291" s="65">
        <v>0</v>
      </c>
      <c r="H4291" s="591" t="s">
        <v>280</v>
      </c>
      <c r="I4291" s="591" t="s">
        <v>280</v>
      </c>
    </row>
    <row r="4292" spans="1:9">
      <c r="A4292" s="582" t="s">
        <v>687</v>
      </c>
      <c r="B4292" s="65">
        <v>4490</v>
      </c>
      <c r="C4292" s="579" t="s">
        <v>281</v>
      </c>
      <c r="D4292" s="579"/>
      <c r="E4292" s="583"/>
      <c r="F4292" s="596"/>
      <c r="G4292" s="65">
        <v>0</v>
      </c>
      <c r="H4292" s="591" t="s">
        <v>280</v>
      </c>
      <c r="I4292" s="591" t="s">
        <v>280</v>
      </c>
    </row>
    <row r="4293" spans="1:9">
      <c r="A4293" s="582" t="s">
        <v>687</v>
      </c>
      <c r="B4293" s="65">
        <v>4491</v>
      </c>
      <c r="C4293" s="579" t="s">
        <v>281</v>
      </c>
      <c r="D4293" s="579"/>
      <c r="E4293" s="583"/>
      <c r="F4293" s="596"/>
      <c r="G4293" s="65">
        <v>0</v>
      </c>
      <c r="H4293" s="591" t="s">
        <v>280</v>
      </c>
      <c r="I4293" s="591" t="s">
        <v>280</v>
      </c>
    </row>
    <row r="4294" spans="1:9">
      <c r="A4294" s="582" t="s">
        <v>687</v>
      </c>
      <c r="B4294" s="65">
        <v>4492</v>
      </c>
      <c r="C4294" s="579" t="s">
        <v>281</v>
      </c>
      <c r="D4294" s="579"/>
      <c r="E4294" s="583"/>
      <c r="F4294" s="596"/>
      <c r="G4294" s="65">
        <v>0</v>
      </c>
      <c r="H4294" s="591" t="s">
        <v>280</v>
      </c>
      <c r="I4294" s="591" t="s">
        <v>280</v>
      </c>
    </row>
    <row r="4295" spans="1:9">
      <c r="A4295" s="582" t="s">
        <v>687</v>
      </c>
      <c r="B4295" s="65">
        <v>4493</v>
      </c>
      <c r="C4295" s="579" t="s">
        <v>281</v>
      </c>
      <c r="D4295" s="579"/>
      <c r="E4295" s="583"/>
      <c r="F4295" s="596"/>
      <c r="G4295" s="65">
        <v>0</v>
      </c>
      <c r="H4295" s="591" t="s">
        <v>280</v>
      </c>
      <c r="I4295" s="591" t="s">
        <v>280</v>
      </c>
    </row>
    <row r="4296" spans="1:9">
      <c r="A4296" s="582" t="s">
        <v>687</v>
      </c>
      <c r="B4296" s="65">
        <v>4494</v>
      </c>
      <c r="C4296" s="579" t="s">
        <v>281</v>
      </c>
      <c r="D4296" s="579"/>
      <c r="E4296" s="583"/>
      <c r="F4296" s="596"/>
      <c r="G4296" s="65">
        <v>0</v>
      </c>
      <c r="H4296" s="591" t="s">
        <v>280</v>
      </c>
      <c r="I4296" s="591" t="s">
        <v>280</v>
      </c>
    </row>
    <row r="4297" spans="1:9">
      <c r="A4297" s="582" t="s">
        <v>687</v>
      </c>
      <c r="B4297" s="65">
        <v>4495</v>
      </c>
      <c r="C4297" s="579" t="s">
        <v>281</v>
      </c>
      <c r="D4297" s="579"/>
      <c r="E4297" s="583"/>
      <c r="F4297" s="596"/>
      <c r="G4297" s="65">
        <v>0</v>
      </c>
      <c r="H4297" s="591" t="s">
        <v>280</v>
      </c>
      <c r="I4297" s="591" t="s">
        <v>280</v>
      </c>
    </row>
    <row r="4298" spans="1:9">
      <c r="A4298" s="582" t="s">
        <v>687</v>
      </c>
      <c r="B4298" s="65">
        <v>4496</v>
      </c>
      <c r="C4298" s="579" t="s">
        <v>281</v>
      </c>
      <c r="D4298" s="579"/>
      <c r="E4298" s="583"/>
      <c r="F4298" s="596"/>
      <c r="G4298" s="65">
        <v>0</v>
      </c>
      <c r="H4298" s="591" t="s">
        <v>280</v>
      </c>
      <c r="I4298" s="591" t="s">
        <v>280</v>
      </c>
    </row>
    <row r="4299" spans="1:9">
      <c r="A4299" s="582" t="s">
        <v>687</v>
      </c>
      <c r="B4299" s="65">
        <v>4497</v>
      </c>
      <c r="C4299" s="579" t="s">
        <v>281</v>
      </c>
      <c r="D4299" s="579"/>
      <c r="E4299" s="583"/>
      <c r="F4299" s="596"/>
      <c r="G4299" s="65">
        <v>0</v>
      </c>
      <c r="H4299" s="591" t="s">
        <v>280</v>
      </c>
      <c r="I4299" s="591" t="s">
        <v>280</v>
      </c>
    </row>
    <row r="4300" spans="1:9">
      <c r="A4300" s="582" t="s">
        <v>687</v>
      </c>
      <c r="B4300" s="65">
        <v>4498</v>
      </c>
      <c r="C4300" s="579" t="s">
        <v>281</v>
      </c>
      <c r="D4300" s="579"/>
      <c r="E4300" s="583"/>
      <c r="F4300" s="596"/>
      <c r="G4300" s="65">
        <v>0</v>
      </c>
      <c r="H4300" s="591" t="s">
        <v>280</v>
      </c>
      <c r="I4300" s="591" t="s">
        <v>280</v>
      </c>
    </row>
    <row r="4301" spans="1:9">
      <c r="A4301" s="582" t="s">
        <v>687</v>
      </c>
      <c r="B4301" s="65">
        <v>4499</v>
      </c>
      <c r="C4301" s="579" t="s">
        <v>281</v>
      </c>
      <c r="D4301" s="579"/>
      <c r="E4301" s="583"/>
      <c r="F4301" s="596"/>
      <c r="G4301" s="65">
        <v>0</v>
      </c>
      <c r="H4301" s="591" t="s">
        <v>280</v>
      </c>
      <c r="I4301" s="591" t="s">
        <v>280</v>
      </c>
    </row>
    <row r="4302" spans="1:9" ht="12.75">
      <c r="A4302" s="582" t="s">
        <v>700</v>
      </c>
      <c r="B4302" s="63">
        <v>4500</v>
      </c>
      <c r="C4302" s="63" t="s">
        <v>279</v>
      </c>
      <c r="D4302" s="63"/>
      <c r="E4302" s="62"/>
      <c r="F4302" s="600">
        <v>45535</v>
      </c>
      <c r="G4302" s="65">
        <v>1</v>
      </c>
      <c r="H4302" s="591" t="s">
        <v>280</v>
      </c>
      <c r="I4302" s="591" t="s">
        <v>280</v>
      </c>
    </row>
    <row r="4303" spans="1:9" ht="12.75">
      <c r="A4303" s="582" t="s">
        <v>700</v>
      </c>
      <c r="B4303" s="63">
        <v>4501</v>
      </c>
      <c r="C4303" s="63" t="s">
        <v>701</v>
      </c>
      <c r="D4303" s="63">
        <v>10104</v>
      </c>
      <c r="E4303" s="62"/>
      <c r="F4303" s="600">
        <v>45535</v>
      </c>
      <c r="G4303" s="65">
        <v>1</v>
      </c>
      <c r="H4303" s="591" t="s">
        <v>280</v>
      </c>
      <c r="I4303" s="591" t="s">
        <v>280</v>
      </c>
    </row>
    <row r="4304" spans="1:9" ht="12.75">
      <c r="A4304" s="582" t="s">
        <v>700</v>
      </c>
      <c r="B4304" s="63">
        <v>4502</v>
      </c>
      <c r="C4304" s="63" t="s">
        <v>281</v>
      </c>
      <c r="D4304" s="63"/>
      <c r="E4304" s="62"/>
      <c r="F4304" s="599"/>
      <c r="G4304" s="65">
        <v>0</v>
      </c>
      <c r="H4304" s="591" t="s">
        <v>280</v>
      </c>
      <c r="I4304" s="591" t="s">
        <v>280</v>
      </c>
    </row>
    <row r="4305" spans="1:9" ht="12.75">
      <c r="A4305" s="582" t="s">
        <v>700</v>
      </c>
      <c r="B4305" s="63">
        <v>4503</v>
      </c>
      <c r="C4305" s="63" t="s">
        <v>281</v>
      </c>
      <c r="D4305" s="63"/>
      <c r="E4305" s="62"/>
      <c r="F4305" s="599"/>
      <c r="G4305" s="65">
        <v>0</v>
      </c>
      <c r="H4305" s="591" t="s">
        <v>280</v>
      </c>
      <c r="I4305" s="591" t="s">
        <v>280</v>
      </c>
    </row>
    <row r="4306" spans="1:9" ht="12.75">
      <c r="A4306" s="582" t="s">
        <v>700</v>
      </c>
      <c r="B4306" s="63">
        <v>4504</v>
      </c>
      <c r="C4306" s="63" t="s">
        <v>702</v>
      </c>
      <c r="D4306" s="579">
        <v>10351</v>
      </c>
      <c r="E4306" s="62"/>
      <c r="F4306" s="600">
        <v>45535</v>
      </c>
      <c r="G4306" s="65">
        <v>1</v>
      </c>
      <c r="H4306" s="591" t="s">
        <v>1979</v>
      </c>
      <c r="I4306" s="591" t="s">
        <v>91</v>
      </c>
    </row>
    <row r="4307" spans="1:9" ht="12.75">
      <c r="A4307" s="582" t="s">
        <v>700</v>
      </c>
      <c r="B4307" s="63">
        <v>4505</v>
      </c>
      <c r="C4307" s="63" t="s">
        <v>703</v>
      </c>
      <c r="D4307" s="63">
        <v>10353</v>
      </c>
      <c r="E4307" s="62"/>
      <c r="F4307" s="600">
        <v>45535</v>
      </c>
      <c r="G4307" s="65">
        <v>1</v>
      </c>
      <c r="H4307" s="591" t="s">
        <v>1979</v>
      </c>
      <c r="I4307" s="591" t="s">
        <v>91</v>
      </c>
    </row>
    <row r="4308" spans="1:9" ht="12.75">
      <c r="A4308" s="582" t="s">
        <v>700</v>
      </c>
      <c r="B4308" s="63">
        <v>4506</v>
      </c>
      <c r="C4308" s="63" t="s">
        <v>704</v>
      </c>
      <c r="D4308" s="579">
        <v>10354</v>
      </c>
      <c r="E4308" s="62"/>
      <c r="F4308" s="600">
        <v>45535</v>
      </c>
      <c r="G4308" s="65">
        <v>1</v>
      </c>
      <c r="H4308" s="591" t="s">
        <v>1979</v>
      </c>
      <c r="I4308" s="591" t="s">
        <v>91</v>
      </c>
    </row>
    <row r="4309" spans="1:9">
      <c r="A4309" s="582" t="s">
        <v>700</v>
      </c>
      <c r="B4309" s="63">
        <v>4507</v>
      </c>
      <c r="C4309" s="579" t="s">
        <v>281</v>
      </c>
      <c r="D4309" s="579"/>
      <c r="E4309" s="583"/>
      <c r="F4309" s="596"/>
      <c r="G4309" s="65">
        <v>0</v>
      </c>
      <c r="H4309" s="591" t="s">
        <v>280</v>
      </c>
      <c r="I4309" s="591" t="s">
        <v>280</v>
      </c>
    </row>
    <row r="4310" spans="1:9" ht="12.75">
      <c r="A4310" s="582" t="s">
        <v>700</v>
      </c>
      <c r="B4310" s="63">
        <v>4508</v>
      </c>
      <c r="C4310" s="63" t="s">
        <v>705</v>
      </c>
      <c r="D4310" s="579">
        <v>10352</v>
      </c>
      <c r="E4310" s="62"/>
      <c r="F4310" s="600">
        <v>45535</v>
      </c>
      <c r="G4310" s="65">
        <v>1</v>
      </c>
      <c r="H4310" s="591" t="s">
        <v>1979</v>
      </c>
      <c r="I4310" s="591" t="s">
        <v>91</v>
      </c>
    </row>
    <row r="4311" spans="1:9">
      <c r="A4311" s="582" t="s">
        <v>700</v>
      </c>
      <c r="B4311" s="63">
        <v>4509</v>
      </c>
      <c r="C4311" s="579" t="s">
        <v>281</v>
      </c>
      <c r="D4311" s="579"/>
      <c r="E4311" s="583"/>
      <c r="F4311" s="596"/>
      <c r="G4311" s="65">
        <v>0</v>
      </c>
      <c r="H4311" s="591" t="s">
        <v>280</v>
      </c>
      <c r="I4311" s="591" t="s">
        <v>280</v>
      </c>
    </row>
    <row r="4312" spans="1:9" ht="12.75">
      <c r="A4312" s="582" t="s">
        <v>700</v>
      </c>
      <c r="B4312" s="63">
        <v>4510</v>
      </c>
      <c r="C4312" s="63" t="s">
        <v>281</v>
      </c>
      <c r="D4312" s="579"/>
      <c r="E4312" s="62"/>
      <c r="F4312" s="599"/>
      <c r="G4312" s="65">
        <v>0</v>
      </c>
      <c r="H4312" s="591" t="s">
        <v>280</v>
      </c>
      <c r="I4312" s="591" t="s">
        <v>280</v>
      </c>
    </row>
    <row r="4313" spans="1:9" ht="12.75">
      <c r="A4313" s="582" t="s">
        <v>700</v>
      </c>
      <c r="B4313" s="63">
        <v>4511</v>
      </c>
      <c r="C4313" s="63" t="s">
        <v>281</v>
      </c>
      <c r="D4313" s="63"/>
      <c r="E4313" s="62"/>
      <c r="F4313" s="599"/>
      <c r="G4313" s="65">
        <v>0</v>
      </c>
      <c r="H4313" s="591" t="s">
        <v>280</v>
      </c>
      <c r="I4313" s="591" t="s">
        <v>280</v>
      </c>
    </row>
    <row r="4314" spans="1:9" ht="12.75">
      <c r="A4314" s="582" t="s">
        <v>700</v>
      </c>
      <c r="B4314" s="63">
        <v>4512</v>
      </c>
      <c r="C4314" s="63" t="s">
        <v>281</v>
      </c>
      <c r="D4314" s="63"/>
      <c r="E4314" s="62"/>
      <c r="F4314" s="599"/>
      <c r="G4314" s="65">
        <v>0</v>
      </c>
      <c r="H4314" s="591" t="s">
        <v>280</v>
      </c>
      <c r="I4314" s="591" t="s">
        <v>280</v>
      </c>
    </row>
    <row r="4315" spans="1:9" ht="12.75">
      <c r="A4315" s="582" t="s">
        <v>700</v>
      </c>
      <c r="B4315" s="63">
        <v>4513</v>
      </c>
      <c r="C4315" s="63" t="s">
        <v>706</v>
      </c>
      <c r="D4315" s="579">
        <v>10321</v>
      </c>
      <c r="E4315" s="62"/>
      <c r="F4315" s="600">
        <v>45535</v>
      </c>
      <c r="G4315" s="65">
        <v>1</v>
      </c>
      <c r="H4315" s="591" t="s">
        <v>1979</v>
      </c>
      <c r="I4315" s="591" t="s">
        <v>91</v>
      </c>
    </row>
    <row r="4316" spans="1:9" ht="12.75">
      <c r="A4316" s="582" t="s">
        <v>700</v>
      </c>
      <c r="B4316" s="63">
        <v>4514</v>
      </c>
      <c r="C4316" s="63" t="s">
        <v>281</v>
      </c>
      <c r="D4316" s="63"/>
      <c r="E4316" s="62"/>
      <c r="F4316" s="599"/>
      <c r="G4316" s="65">
        <v>0</v>
      </c>
      <c r="H4316" s="591" t="s">
        <v>280</v>
      </c>
      <c r="I4316" s="591" t="s">
        <v>280</v>
      </c>
    </row>
    <row r="4317" spans="1:9" ht="12.75">
      <c r="A4317" s="582" t="s">
        <v>700</v>
      </c>
      <c r="B4317" s="63">
        <v>4515</v>
      </c>
      <c r="C4317" s="63" t="s">
        <v>281</v>
      </c>
      <c r="D4317" s="65"/>
      <c r="E4317" s="62"/>
      <c r="F4317" s="599"/>
      <c r="G4317" s="65">
        <v>0</v>
      </c>
      <c r="H4317" s="591" t="s">
        <v>280</v>
      </c>
      <c r="I4317" s="591" t="s">
        <v>280</v>
      </c>
    </row>
    <row r="4318" spans="1:9">
      <c r="A4318" s="582" t="s">
        <v>700</v>
      </c>
      <c r="B4318" s="65">
        <v>4516</v>
      </c>
      <c r="C4318" s="579" t="s">
        <v>281</v>
      </c>
      <c r="D4318" s="63"/>
      <c r="E4318" s="583"/>
      <c r="F4318" s="599"/>
      <c r="G4318" s="65">
        <v>0</v>
      </c>
      <c r="H4318" s="591" t="s">
        <v>280</v>
      </c>
      <c r="I4318" s="591" t="s">
        <v>280</v>
      </c>
    </row>
    <row r="4319" spans="1:9">
      <c r="A4319" s="582" t="s">
        <v>700</v>
      </c>
      <c r="B4319" s="65">
        <v>4517</v>
      </c>
      <c r="C4319" s="579" t="s">
        <v>707</v>
      </c>
      <c r="D4319" s="63">
        <v>10105</v>
      </c>
      <c r="E4319" s="583"/>
      <c r="F4319" s="600">
        <v>45535</v>
      </c>
      <c r="G4319" s="65">
        <v>1</v>
      </c>
      <c r="H4319" s="591" t="s">
        <v>280</v>
      </c>
      <c r="I4319" s="591" t="s">
        <v>280</v>
      </c>
    </row>
    <row r="4320" spans="1:9">
      <c r="A4320" s="582" t="s">
        <v>700</v>
      </c>
      <c r="B4320" s="65">
        <v>4518</v>
      </c>
      <c r="C4320" s="579" t="s">
        <v>281</v>
      </c>
      <c r="D4320" s="63"/>
      <c r="E4320" s="583"/>
      <c r="F4320" s="599"/>
      <c r="G4320" s="65">
        <v>0</v>
      </c>
      <c r="H4320" s="591" t="s">
        <v>280</v>
      </c>
      <c r="I4320" s="591" t="s">
        <v>280</v>
      </c>
    </row>
    <row r="4321" spans="1:9">
      <c r="A4321" s="582" t="s">
        <v>700</v>
      </c>
      <c r="B4321" s="65">
        <v>4519</v>
      </c>
      <c r="C4321" s="579" t="s">
        <v>708</v>
      </c>
      <c r="D4321" s="579">
        <v>10702</v>
      </c>
      <c r="E4321" s="583"/>
      <c r="F4321" s="600">
        <v>45535</v>
      </c>
      <c r="G4321" s="65">
        <v>1</v>
      </c>
      <c r="H4321" s="591" t="s">
        <v>1979</v>
      </c>
      <c r="I4321" s="591" t="s">
        <v>91</v>
      </c>
    </row>
    <row r="4322" spans="1:9">
      <c r="A4322" s="582" t="s">
        <v>700</v>
      </c>
      <c r="B4322" s="65">
        <v>4520</v>
      </c>
      <c r="C4322" s="65" t="s">
        <v>1914</v>
      </c>
      <c r="D4322" s="65">
        <v>11038</v>
      </c>
      <c r="E4322" s="583"/>
      <c r="F4322" s="585">
        <v>45535</v>
      </c>
      <c r="G4322" s="65">
        <v>1</v>
      </c>
      <c r="H4322" s="591" t="s">
        <v>1979</v>
      </c>
      <c r="I4322" s="591" t="s">
        <v>91</v>
      </c>
    </row>
    <row r="4323" spans="1:9">
      <c r="A4323" s="582" t="s">
        <v>700</v>
      </c>
      <c r="B4323" s="65">
        <v>4521</v>
      </c>
      <c r="C4323" s="65" t="s">
        <v>1915</v>
      </c>
      <c r="D4323" s="65">
        <v>11039</v>
      </c>
      <c r="E4323" s="583"/>
      <c r="F4323" s="585">
        <v>45535</v>
      </c>
      <c r="G4323" s="65">
        <v>1</v>
      </c>
      <c r="H4323" s="591" t="s">
        <v>1979</v>
      </c>
      <c r="I4323" s="591" t="s">
        <v>91</v>
      </c>
    </row>
    <row r="4324" spans="1:9">
      <c r="A4324" s="582" t="s">
        <v>700</v>
      </c>
      <c r="B4324" s="65">
        <v>4522</v>
      </c>
      <c r="C4324" s="65" t="s">
        <v>1970</v>
      </c>
      <c r="D4324" s="65">
        <v>11055</v>
      </c>
      <c r="E4324" s="583"/>
      <c r="F4324" s="585">
        <v>45584</v>
      </c>
      <c r="G4324" s="65">
        <v>1</v>
      </c>
      <c r="H4324" s="591" t="s">
        <v>1979</v>
      </c>
      <c r="I4324" s="591" t="s">
        <v>91</v>
      </c>
    </row>
    <row r="4325" spans="1:9">
      <c r="A4325" s="582" t="s">
        <v>700</v>
      </c>
      <c r="B4325" s="65">
        <v>4523</v>
      </c>
      <c r="C4325" s="579" t="s">
        <v>281</v>
      </c>
      <c r="D4325" s="579"/>
      <c r="E4325" s="583"/>
      <c r="F4325" s="596"/>
      <c r="G4325" s="65">
        <v>0</v>
      </c>
      <c r="H4325" s="591" t="s">
        <v>280</v>
      </c>
      <c r="I4325" s="591" t="s">
        <v>280</v>
      </c>
    </row>
    <row r="4326" spans="1:9">
      <c r="A4326" s="582" t="s">
        <v>700</v>
      </c>
      <c r="B4326" s="65">
        <v>4524</v>
      </c>
      <c r="C4326" s="579" t="s">
        <v>281</v>
      </c>
      <c r="D4326" s="579"/>
      <c r="E4326" s="583"/>
      <c r="F4326" s="596"/>
      <c r="G4326" s="65">
        <v>0</v>
      </c>
      <c r="H4326" s="591" t="s">
        <v>280</v>
      </c>
      <c r="I4326" s="591" t="s">
        <v>280</v>
      </c>
    </row>
    <row r="4327" spans="1:9">
      <c r="A4327" s="582" t="s">
        <v>700</v>
      </c>
      <c r="B4327" s="65">
        <v>4525</v>
      </c>
      <c r="C4327" s="579" t="s">
        <v>281</v>
      </c>
      <c r="D4327" s="579"/>
      <c r="E4327" s="583"/>
      <c r="F4327" s="596"/>
      <c r="G4327" s="65">
        <v>0</v>
      </c>
      <c r="H4327" s="591" t="s">
        <v>280</v>
      </c>
      <c r="I4327" s="591" t="s">
        <v>280</v>
      </c>
    </row>
    <row r="4328" spans="1:9">
      <c r="A4328" s="582" t="s">
        <v>700</v>
      </c>
      <c r="B4328" s="65">
        <v>4526</v>
      </c>
      <c r="C4328" s="579" t="s">
        <v>281</v>
      </c>
      <c r="D4328" s="579"/>
      <c r="E4328" s="583"/>
      <c r="F4328" s="596"/>
      <c r="G4328" s="65">
        <v>0</v>
      </c>
      <c r="H4328" s="591" t="s">
        <v>280</v>
      </c>
      <c r="I4328" s="591" t="s">
        <v>280</v>
      </c>
    </row>
    <row r="4329" spans="1:9">
      <c r="A4329" s="582" t="s">
        <v>700</v>
      </c>
      <c r="B4329" s="65">
        <v>4527</v>
      </c>
      <c r="C4329" s="579" t="s">
        <v>281</v>
      </c>
      <c r="D4329" s="579"/>
      <c r="E4329" s="583"/>
      <c r="F4329" s="596"/>
      <c r="G4329" s="65">
        <v>0</v>
      </c>
      <c r="H4329" s="591" t="s">
        <v>280</v>
      </c>
      <c r="I4329" s="591" t="s">
        <v>280</v>
      </c>
    </row>
    <row r="4330" spans="1:9">
      <c r="A4330" s="582" t="s">
        <v>700</v>
      </c>
      <c r="B4330" s="65">
        <v>4528</v>
      </c>
      <c r="C4330" s="579" t="s">
        <v>281</v>
      </c>
      <c r="D4330" s="579"/>
      <c r="E4330" s="583"/>
      <c r="F4330" s="596"/>
      <c r="G4330" s="65">
        <v>0</v>
      </c>
      <c r="H4330" s="591" t="s">
        <v>280</v>
      </c>
      <c r="I4330" s="591" t="s">
        <v>280</v>
      </c>
    </row>
    <row r="4331" spans="1:9">
      <c r="A4331" s="582" t="s">
        <v>700</v>
      </c>
      <c r="B4331" s="65">
        <v>4529</v>
      </c>
      <c r="C4331" s="579" t="s">
        <v>281</v>
      </c>
      <c r="D4331" s="579"/>
      <c r="E4331" s="583"/>
      <c r="F4331" s="596"/>
      <c r="G4331" s="65">
        <v>0</v>
      </c>
      <c r="H4331" s="591" t="s">
        <v>280</v>
      </c>
      <c r="I4331" s="591" t="s">
        <v>280</v>
      </c>
    </row>
    <row r="4332" spans="1:9">
      <c r="A4332" s="582" t="s">
        <v>700</v>
      </c>
      <c r="B4332" s="65">
        <v>4530</v>
      </c>
      <c r="C4332" s="579" t="s">
        <v>281</v>
      </c>
      <c r="D4332" s="579"/>
      <c r="E4332" s="583"/>
      <c r="F4332" s="596"/>
      <c r="G4332" s="65">
        <v>0</v>
      </c>
      <c r="H4332" s="591" t="s">
        <v>280</v>
      </c>
      <c r="I4332" s="591" t="s">
        <v>280</v>
      </c>
    </row>
    <row r="4333" spans="1:9">
      <c r="A4333" s="582" t="s">
        <v>700</v>
      </c>
      <c r="B4333" s="65">
        <v>4531</v>
      </c>
      <c r="C4333" s="579" t="s">
        <v>281</v>
      </c>
      <c r="D4333" s="579"/>
      <c r="E4333" s="583"/>
      <c r="F4333" s="596"/>
      <c r="G4333" s="65">
        <v>0</v>
      </c>
      <c r="H4333" s="591" t="s">
        <v>280</v>
      </c>
      <c r="I4333" s="591" t="s">
        <v>280</v>
      </c>
    </row>
    <row r="4334" spans="1:9">
      <c r="A4334" s="582" t="s">
        <v>700</v>
      </c>
      <c r="B4334" s="65">
        <v>4532</v>
      </c>
      <c r="C4334" s="579" t="s">
        <v>281</v>
      </c>
      <c r="D4334" s="579"/>
      <c r="E4334" s="583"/>
      <c r="F4334" s="596"/>
      <c r="G4334" s="65">
        <v>0</v>
      </c>
      <c r="H4334" s="591" t="s">
        <v>280</v>
      </c>
      <c r="I4334" s="591" t="s">
        <v>280</v>
      </c>
    </row>
    <row r="4335" spans="1:9">
      <c r="A4335" s="582" t="s">
        <v>700</v>
      </c>
      <c r="B4335" s="65">
        <v>4533</v>
      </c>
      <c r="C4335" s="579" t="s">
        <v>281</v>
      </c>
      <c r="D4335" s="579"/>
      <c r="E4335" s="583"/>
      <c r="F4335" s="596"/>
      <c r="G4335" s="65">
        <v>0</v>
      </c>
      <c r="H4335" s="591" t="s">
        <v>280</v>
      </c>
      <c r="I4335" s="591" t="s">
        <v>280</v>
      </c>
    </row>
    <row r="4336" spans="1:9">
      <c r="A4336" s="582" t="s">
        <v>700</v>
      </c>
      <c r="B4336" s="65">
        <v>4534</v>
      </c>
      <c r="C4336" s="579" t="s">
        <v>281</v>
      </c>
      <c r="D4336" s="579"/>
      <c r="E4336" s="583"/>
      <c r="F4336" s="596"/>
      <c r="G4336" s="65">
        <v>0</v>
      </c>
      <c r="H4336" s="591" t="s">
        <v>280</v>
      </c>
      <c r="I4336" s="591" t="s">
        <v>280</v>
      </c>
    </row>
    <row r="4337" spans="1:9">
      <c r="A4337" s="582" t="s">
        <v>700</v>
      </c>
      <c r="B4337" s="65">
        <v>4535</v>
      </c>
      <c r="C4337" s="579" t="s">
        <v>281</v>
      </c>
      <c r="D4337" s="579"/>
      <c r="E4337" s="583"/>
      <c r="F4337" s="596"/>
      <c r="G4337" s="65">
        <v>0</v>
      </c>
      <c r="H4337" s="591" t="s">
        <v>280</v>
      </c>
      <c r="I4337" s="591" t="s">
        <v>280</v>
      </c>
    </row>
    <row r="4338" spans="1:9">
      <c r="A4338" s="582" t="s">
        <v>700</v>
      </c>
      <c r="B4338" s="65">
        <v>4536</v>
      </c>
      <c r="C4338" s="579" t="s">
        <v>281</v>
      </c>
      <c r="D4338" s="579"/>
      <c r="E4338" s="583"/>
      <c r="F4338" s="596"/>
      <c r="G4338" s="65">
        <v>0</v>
      </c>
      <c r="H4338" s="591" t="s">
        <v>280</v>
      </c>
      <c r="I4338" s="591" t="s">
        <v>280</v>
      </c>
    </row>
    <row r="4339" spans="1:9">
      <c r="A4339" s="582" t="s">
        <v>700</v>
      </c>
      <c r="B4339" s="65">
        <v>4537</v>
      </c>
      <c r="C4339" s="579" t="s">
        <v>281</v>
      </c>
      <c r="D4339" s="579"/>
      <c r="E4339" s="583"/>
      <c r="F4339" s="596"/>
      <c r="G4339" s="65">
        <v>0</v>
      </c>
      <c r="H4339" s="591" t="s">
        <v>280</v>
      </c>
      <c r="I4339" s="591" t="s">
        <v>280</v>
      </c>
    </row>
    <row r="4340" spans="1:9">
      <c r="A4340" s="582" t="s">
        <v>700</v>
      </c>
      <c r="B4340" s="65">
        <v>4538</v>
      </c>
      <c r="C4340" s="579" t="s">
        <v>281</v>
      </c>
      <c r="D4340" s="579"/>
      <c r="E4340" s="583"/>
      <c r="F4340" s="596"/>
      <c r="G4340" s="65">
        <v>0</v>
      </c>
      <c r="H4340" s="591" t="s">
        <v>280</v>
      </c>
      <c r="I4340" s="591" t="s">
        <v>280</v>
      </c>
    </row>
    <row r="4341" spans="1:9">
      <c r="A4341" s="582" t="s">
        <v>700</v>
      </c>
      <c r="B4341" s="65">
        <v>4539</v>
      </c>
      <c r="C4341" s="579" t="s">
        <v>281</v>
      </c>
      <c r="D4341" s="579"/>
      <c r="E4341" s="583"/>
      <c r="F4341" s="596"/>
      <c r="G4341" s="65">
        <v>0</v>
      </c>
      <c r="H4341" s="591" t="s">
        <v>280</v>
      </c>
      <c r="I4341" s="591" t="s">
        <v>280</v>
      </c>
    </row>
    <row r="4342" spans="1:9">
      <c r="A4342" s="582" t="s">
        <v>700</v>
      </c>
      <c r="B4342" s="65">
        <v>4540</v>
      </c>
      <c r="C4342" s="579" t="s">
        <v>281</v>
      </c>
      <c r="D4342" s="579"/>
      <c r="E4342" s="583"/>
      <c r="F4342" s="596"/>
      <c r="G4342" s="65">
        <v>0</v>
      </c>
      <c r="H4342" s="591" t="s">
        <v>280</v>
      </c>
      <c r="I4342" s="591" t="s">
        <v>280</v>
      </c>
    </row>
    <row r="4343" spans="1:9">
      <c r="A4343" s="582" t="s">
        <v>700</v>
      </c>
      <c r="B4343" s="65">
        <v>4541</v>
      </c>
      <c r="C4343" s="579" t="s">
        <v>281</v>
      </c>
      <c r="D4343" s="579"/>
      <c r="E4343" s="583"/>
      <c r="F4343" s="596"/>
      <c r="G4343" s="65">
        <v>0</v>
      </c>
      <c r="H4343" s="591" t="s">
        <v>280</v>
      </c>
      <c r="I4343" s="591" t="s">
        <v>280</v>
      </c>
    </row>
    <row r="4344" spans="1:9">
      <c r="A4344" s="582" t="s">
        <v>700</v>
      </c>
      <c r="B4344" s="65">
        <v>4542</v>
      </c>
      <c r="C4344" s="579" t="s">
        <v>281</v>
      </c>
      <c r="D4344" s="579"/>
      <c r="E4344" s="583"/>
      <c r="F4344" s="596"/>
      <c r="G4344" s="65">
        <v>0</v>
      </c>
      <c r="H4344" s="591" t="s">
        <v>280</v>
      </c>
      <c r="I4344" s="591" t="s">
        <v>280</v>
      </c>
    </row>
    <row r="4345" spans="1:9">
      <c r="A4345" s="582" t="s">
        <v>700</v>
      </c>
      <c r="B4345" s="65">
        <v>4543</v>
      </c>
      <c r="C4345" s="579" t="s">
        <v>281</v>
      </c>
      <c r="D4345" s="579"/>
      <c r="E4345" s="583"/>
      <c r="F4345" s="596"/>
      <c r="G4345" s="65">
        <v>0</v>
      </c>
      <c r="H4345" s="591" t="s">
        <v>280</v>
      </c>
      <c r="I4345" s="591" t="s">
        <v>280</v>
      </c>
    </row>
    <row r="4346" spans="1:9">
      <c r="A4346" s="582" t="s">
        <v>700</v>
      </c>
      <c r="B4346" s="65">
        <v>4544</v>
      </c>
      <c r="C4346" s="579" t="s">
        <v>281</v>
      </c>
      <c r="D4346" s="579"/>
      <c r="E4346" s="583"/>
      <c r="F4346" s="596"/>
      <c r="G4346" s="65">
        <v>0</v>
      </c>
      <c r="H4346" s="591" t="s">
        <v>280</v>
      </c>
      <c r="I4346" s="591" t="s">
        <v>280</v>
      </c>
    </row>
    <row r="4347" spans="1:9">
      <c r="A4347" s="582" t="s">
        <v>700</v>
      </c>
      <c r="B4347" s="65">
        <v>4545</v>
      </c>
      <c r="C4347" s="579" t="s">
        <v>281</v>
      </c>
      <c r="D4347" s="579"/>
      <c r="E4347" s="583"/>
      <c r="F4347" s="596"/>
      <c r="G4347" s="65">
        <v>0</v>
      </c>
      <c r="H4347" s="591" t="s">
        <v>280</v>
      </c>
      <c r="I4347" s="591" t="s">
        <v>280</v>
      </c>
    </row>
    <row r="4348" spans="1:9">
      <c r="A4348" s="582" t="s">
        <v>700</v>
      </c>
      <c r="B4348" s="65">
        <v>4546</v>
      </c>
      <c r="C4348" s="579" t="s">
        <v>281</v>
      </c>
      <c r="D4348" s="579"/>
      <c r="E4348" s="583"/>
      <c r="F4348" s="596"/>
      <c r="G4348" s="65">
        <v>0</v>
      </c>
      <c r="H4348" s="591" t="s">
        <v>280</v>
      </c>
      <c r="I4348" s="591" t="s">
        <v>280</v>
      </c>
    </row>
    <row r="4349" spans="1:9">
      <c r="A4349" s="582" t="s">
        <v>700</v>
      </c>
      <c r="B4349" s="65">
        <v>4547</v>
      </c>
      <c r="C4349" s="579" t="s">
        <v>281</v>
      </c>
      <c r="D4349" s="579"/>
      <c r="E4349" s="583"/>
      <c r="F4349" s="596"/>
      <c r="G4349" s="65">
        <v>0</v>
      </c>
      <c r="H4349" s="591" t="s">
        <v>280</v>
      </c>
      <c r="I4349" s="591" t="s">
        <v>280</v>
      </c>
    </row>
    <row r="4350" spans="1:9">
      <c r="A4350" s="582" t="s">
        <v>700</v>
      </c>
      <c r="B4350" s="65">
        <v>4548</v>
      </c>
      <c r="C4350" s="579" t="s">
        <v>281</v>
      </c>
      <c r="D4350" s="579"/>
      <c r="E4350" s="583"/>
      <c r="F4350" s="596"/>
      <c r="G4350" s="65">
        <v>0</v>
      </c>
      <c r="H4350" s="591" t="s">
        <v>280</v>
      </c>
      <c r="I4350" s="591" t="s">
        <v>280</v>
      </c>
    </row>
    <row r="4351" spans="1:9">
      <c r="A4351" s="582" t="s">
        <v>700</v>
      </c>
      <c r="B4351" s="65">
        <v>4549</v>
      </c>
      <c r="C4351" s="579" t="s">
        <v>281</v>
      </c>
      <c r="D4351" s="579"/>
      <c r="E4351" s="583"/>
      <c r="F4351" s="596"/>
      <c r="G4351" s="65">
        <v>0</v>
      </c>
      <c r="H4351" s="591" t="s">
        <v>280</v>
      </c>
      <c r="I4351" s="591" t="s">
        <v>280</v>
      </c>
    </row>
    <row r="4352" spans="1:9">
      <c r="A4352" s="582" t="s">
        <v>700</v>
      </c>
      <c r="B4352" s="65">
        <v>4550</v>
      </c>
      <c r="C4352" s="579" t="s">
        <v>281</v>
      </c>
      <c r="D4352" s="579"/>
      <c r="E4352" s="583"/>
      <c r="F4352" s="596"/>
      <c r="G4352" s="65">
        <v>0</v>
      </c>
      <c r="H4352" s="591" t="s">
        <v>280</v>
      </c>
      <c r="I4352" s="591" t="s">
        <v>280</v>
      </c>
    </row>
    <row r="4353" spans="1:9">
      <c r="A4353" s="582" t="s">
        <v>700</v>
      </c>
      <c r="B4353" s="65">
        <v>4551</v>
      </c>
      <c r="C4353" s="579" t="s">
        <v>281</v>
      </c>
      <c r="D4353" s="579"/>
      <c r="E4353" s="583"/>
      <c r="F4353" s="596"/>
      <c r="G4353" s="65">
        <v>0</v>
      </c>
      <c r="H4353" s="591" t="s">
        <v>280</v>
      </c>
      <c r="I4353" s="591" t="s">
        <v>280</v>
      </c>
    </row>
    <row r="4354" spans="1:9">
      <c r="A4354" s="582" t="s">
        <v>700</v>
      </c>
      <c r="B4354" s="65">
        <v>4552</v>
      </c>
      <c r="C4354" s="579" t="s">
        <v>281</v>
      </c>
      <c r="D4354" s="579"/>
      <c r="E4354" s="583"/>
      <c r="F4354" s="596"/>
      <c r="G4354" s="65">
        <v>0</v>
      </c>
      <c r="H4354" s="591" t="s">
        <v>280</v>
      </c>
      <c r="I4354" s="591" t="s">
        <v>280</v>
      </c>
    </row>
    <row r="4355" spans="1:9">
      <c r="A4355" s="582" t="s">
        <v>700</v>
      </c>
      <c r="B4355" s="65">
        <v>4553</v>
      </c>
      <c r="C4355" s="579" t="s">
        <v>281</v>
      </c>
      <c r="D4355" s="579"/>
      <c r="E4355" s="583"/>
      <c r="F4355" s="596"/>
      <c r="G4355" s="65">
        <v>0</v>
      </c>
      <c r="H4355" s="591" t="s">
        <v>280</v>
      </c>
      <c r="I4355" s="591" t="s">
        <v>280</v>
      </c>
    </row>
    <row r="4356" spans="1:9">
      <c r="A4356" s="582" t="s">
        <v>700</v>
      </c>
      <c r="B4356" s="65">
        <v>4554</v>
      </c>
      <c r="C4356" s="579" t="s">
        <v>281</v>
      </c>
      <c r="D4356" s="579"/>
      <c r="E4356" s="583"/>
      <c r="F4356" s="596"/>
      <c r="G4356" s="65">
        <v>0</v>
      </c>
      <c r="H4356" s="591" t="s">
        <v>280</v>
      </c>
      <c r="I4356" s="591" t="s">
        <v>280</v>
      </c>
    </row>
    <row r="4357" spans="1:9">
      <c r="A4357" s="582" t="s">
        <v>700</v>
      </c>
      <c r="B4357" s="65">
        <v>4555</v>
      </c>
      <c r="C4357" s="579" t="s">
        <v>281</v>
      </c>
      <c r="D4357" s="579"/>
      <c r="E4357" s="583"/>
      <c r="F4357" s="596"/>
      <c r="G4357" s="65">
        <v>0</v>
      </c>
      <c r="H4357" s="591" t="s">
        <v>280</v>
      </c>
      <c r="I4357" s="591" t="s">
        <v>280</v>
      </c>
    </row>
    <row r="4358" spans="1:9">
      <c r="A4358" s="582" t="s">
        <v>700</v>
      </c>
      <c r="B4358" s="65">
        <v>4556</v>
      </c>
      <c r="C4358" s="579" t="s">
        <v>281</v>
      </c>
      <c r="D4358" s="579"/>
      <c r="E4358" s="583"/>
      <c r="F4358" s="596"/>
      <c r="G4358" s="65">
        <v>0</v>
      </c>
      <c r="H4358" s="591" t="s">
        <v>280</v>
      </c>
      <c r="I4358" s="591" t="s">
        <v>280</v>
      </c>
    </row>
    <row r="4359" spans="1:9">
      <c r="A4359" s="582" t="s">
        <v>700</v>
      </c>
      <c r="B4359" s="65">
        <v>4557</v>
      </c>
      <c r="C4359" s="579" t="s">
        <v>281</v>
      </c>
      <c r="D4359" s="579"/>
      <c r="E4359" s="583"/>
      <c r="F4359" s="596"/>
      <c r="G4359" s="65">
        <v>0</v>
      </c>
      <c r="H4359" s="591" t="s">
        <v>280</v>
      </c>
      <c r="I4359" s="591" t="s">
        <v>280</v>
      </c>
    </row>
    <row r="4360" spans="1:9">
      <c r="A4360" s="582" t="s">
        <v>700</v>
      </c>
      <c r="B4360" s="65">
        <v>4558</v>
      </c>
      <c r="C4360" s="579" t="s">
        <v>281</v>
      </c>
      <c r="D4360" s="579"/>
      <c r="E4360" s="583"/>
      <c r="F4360" s="596"/>
      <c r="G4360" s="65">
        <v>0</v>
      </c>
      <c r="H4360" s="591" t="s">
        <v>280</v>
      </c>
      <c r="I4360" s="591" t="s">
        <v>280</v>
      </c>
    </row>
    <row r="4361" spans="1:9">
      <c r="A4361" s="582" t="s">
        <v>700</v>
      </c>
      <c r="B4361" s="65">
        <v>4559</v>
      </c>
      <c r="C4361" s="579" t="s">
        <v>281</v>
      </c>
      <c r="D4361" s="579"/>
      <c r="E4361" s="583"/>
      <c r="F4361" s="596"/>
      <c r="G4361" s="65">
        <v>0</v>
      </c>
      <c r="H4361" s="591" t="s">
        <v>280</v>
      </c>
      <c r="I4361" s="591" t="s">
        <v>280</v>
      </c>
    </row>
    <row r="4362" spans="1:9">
      <c r="A4362" s="582" t="s">
        <v>700</v>
      </c>
      <c r="B4362" s="65">
        <v>4560</v>
      </c>
      <c r="C4362" s="579" t="s">
        <v>281</v>
      </c>
      <c r="D4362" s="579"/>
      <c r="E4362" s="583"/>
      <c r="F4362" s="596"/>
      <c r="G4362" s="65">
        <v>0</v>
      </c>
      <c r="H4362" s="591" t="s">
        <v>280</v>
      </c>
      <c r="I4362" s="591" t="s">
        <v>280</v>
      </c>
    </row>
    <row r="4363" spans="1:9">
      <c r="A4363" s="582" t="s">
        <v>700</v>
      </c>
      <c r="B4363" s="65">
        <v>4561</v>
      </c>
      <c r="C4363" s="579" t="s">
        <v>281</v>
      </c>
      <c r="D4363" s="579"/>
      <c r="E4363" s="583"/>
      <c r="F4363" s="596"/>
      <c r="G4363" s="65">
        <v>0</v>
      </c>
      <c r="H4363" s="591" t="s">
        <v>280</v>
      </c>
      <c r="I4363" s="591" t="s">
        <v>280</v>
      </c>
    </row>
    <row r="4364" spans="1:9">
      <c r="A4364" s="582" t="s">
        <v>700</v>
      </c>
      <c r="B4364" s="65">
        <v>4562</v>
      </c>
      <c r="C4364" s="579" t="s">
        <v>281</v>
      </c>
      <c r="D4364" s="579"/>
      <c r="E4364" s="583"/>
      <c r="F4364" s="596"/>
      <c r="G4364" s="65">
        <v>0</v>
      </c>
      <c r="H4364" s="591" t="s">
        <v>280</v>
      </c>
      <c r="I4364" s="591" t="s">
        <v>280</v>
      </c>
    </row>
    <row r="4365" spans="1:9">
      <c r="A4365" s="582" t="s">
        <v>700</v>
      </c>
      <c r="B4365" s="65">
        <v>4563</v>
      </c>
      <c r="C4365" s="579" t="s">
        <v>281</v>
      </c>
      <c r="D4365" s="579"/>
      <c r="E4365" s="583"/>
      <c r="F4365" s="596"/>
      <c r="G4365" s="65">
        <v>0</v>
      </c>
      <c r="H4365" s="591" t="s">
        <v>280</v>
      </c>
      <c r="I4365" s="591" t="s">
        <v>280</v>
      </c>
    </row>
    <row r="4366" spans="1:9">
      <c r="A4366" s="582" t="s">
        <v>700</v>
      </c>
      <c r="B4366" s="65">
        <v>4564</v>
      </c>
      <c r="C4366" s="579" t="s">
        <v>281</v>
      </c>
      <c r="D4366" s="579"/>
      <c r="E4366" s="583"/>
      <c r="F4366" s="596"/>
      <c r="G4366" s="65">
        <v>0</v>
      </c>
      <c r="H4366" s="591" t="s">
        <v>280</v>
      </c>
      <c r="I4366" s="591" t="s">
        <v>280</v>
      </c>
    </row>
    <row r="4367" spans="1:9">
      <c r="A4367" s="582" t="s">
        <v>700</v>
      </c>
      <c r="B4367" s="65">
        <v>4565</v>
      </c>
      <c r="C4367" s="579" t="s">
        <v>281</v>
      </c>
      <c r="D4367" s="579"/>
      <c r="E4367" s="583"/>
      <c r="F4367" s="596"/>
      <c r="G4367" s="65">
        <v>0</v>
      </c>
      <c r="H4367" s="591" t="s">
        <v>280</v>
      </c>
      <c r="I4367" s="591" t="s">
        <v>280</v>
      </c>
    </row>
    <row r="4368" spans="1:9">
      <c r="A4368" s="582" t="s">
        <v>700</v>
      </c>
      <c r="B4368" s="65">
        <v>4566</v>
      </c>
      <c r="C4368" s="579" t="s">
        <v>281</v>
      </c>
      <c r="D4368" s="579"/>
      <c r="E4368" s="583"/>
      <c r="F4368" s="596"/>
      <c r="G4368" s="65">
        <v>0</v>
      </c>
      <c r="H4368" s="591" t="s">
        <v>280</v>
      </c>
      <c r="I4368" s="591" t="s">
        <v>280</v>
      </c>
    </row>
    <row r="4369" spans="1:9">
      <c r="A4369" s="582" t="s">
        <v>700</v>
      </c>
      <c r="B4369" s="65">
        <v>4567</v>
      </c>
      <c r="C4369" s="579" t="s">
        <v>281</v>
      </c>
      <c r="D4369" s="579"/>
      <c r="E4369" s="583"/>
      <c r="F4369" s="596"/>
      <c r="G4369" s="65">
        <v>0</v>
      </c>
      <c r="H4369" s="591" t="s">
        <v>280</v>
      </c>
      <c r="I4369" s="591" t="s">
        <v>280</v>
      </c>
    </row>
    <row r="4370" spans="1:9">
      <c r="A4370" s="582" t="s">
        <v>700</v>
      </c>
      <c r="B4370" s="65">
        <v>4568</v>
      </c>
      <c r="C4370" s="579" t="s">
        <v>281</v>
      </c>
      <c r="D4370" s="579"/>
      <c r="E4370" s="583"/>
      <c r="F4370" s="596"/>
      <c r="G4370" s="65">
        <v>0</v>
      </c>
      <c r="H4370" s="591" t="s">
        <v>280</v>
      </c>
      <c r="I4370" s="591" t="s">
        <v>280</v>
      </c>
    </row>
    <row r="4371" spans="1:9">
      <c r="A4371" s="582" t="s">
        <v>700</v>
      </c>
      <c r="B4371" s="65">
        <v>4569</v>
      </c>
      <c r="C4371" s="579" t="s">
        <v>281</v>
      </c>
      <c r="D4371" s="579"/>
      <c r="E4371" s="583"/>
      <c r="F4371" s="596"/>
      <c r="G4371" s="65">
        <v>0</v>
      </c>
      <c r="H4371" s="591" t="s">
        <v>280</v>
      </c>
      <c r="I4371" s="591" t="s">
        <v>280</v>
      </c>
    </row>
    <row r="4372" spans="1:9">
      <c r="A4372" s="582" t="s">
        <v>700</v>
      </c>
      <c r="B4372" s="65">
        <v>4570</v>
      </c>
      <c r="C4372" s="579" t="s">
        <v>281</v>
      </c>
      <c r="D4372" s="579"/>
      <c r="E4372" s="583"/>
      <c r="F4372" s="596"/>
      <c r="G4372" s="65">
        <v>0</v>
      </c>
      <c r="H4372" s="591" t="s">
        <v>280</v>
      </c>
      <c r="I4372" s="591" t="s">
        <v>280</v>
      </c>
    </row>
    <row r="4373" spans="1:9">
      <c r="A4373" s="582" t="s">
        <v>700</v>
      </c>
      <c r="B4373" s="65">
        <v>4571</v>
      </c>
      <c r="C4373" s="579" t="s">
        <v>281</v>
      </c>
      <c r="D4373" s="579"/>
      <c r="E4373" s="583"/>
      <c r="F4373" s="596"/>
      <c r="G4373" s="65">
        <v>0</v>
      </c>
      <c r="H4373" s="591" t="s">
        <v>280</v>
      </c>
      <c r="I4373" s="591" t="s">
        <v>280</v>
      </c>
    </row>
    <row r="4374" spans="1:9">
      <c r="A4374" s="582" t="s">
        <v>700</v>
      </c>
      <c r="B4374" s="65">
        <v>4572</v>
      </c>
      <c r="C4374" s="579" t="s">
        <v>281</v>
      </c>
      <c r="D4374" s="579"/>
      <c r="E4374" s="583"/>
      <c r="F4374" s="596"/>
      <c r="G4374" s="65">
        <v>0</v>
      </c>
      <c r="H4374" s="591" t="s">
        <v>280</v>
      </c>
      <c r="I4374" s="591" t="s">
        <v>280</v>
      </c>
    </row>
    <row r="4375" spans="1:9">
      <c r="A4375" s="582" t="s">
        <v>700</v>
      </c>
      <c r="B4375" s="65">
        <v>4573</v>
      </c>
      <c r="C4375" s="579" t="s">
        <v>281</v>
      </c>
      <c r="D4375" s="579"/>
      <c r="E4375" s="583"/>
      <c r="F4375" s="596"/>
      <c r="G4375" s="65">
        <v>0</v>
      </c>
      <c r="H4375" s="591" t="s">
        <v>280</v>
      </c>
      <c r="I4375" s="591" t="s">
        <v>280</v>
      </c>
    </row>
    <row r="4376" spans="1:9">
      <c r="A4376" s="582" t="s">
        <v>700</v>
      </c>
      <c r="B4376" s="65">
        <v>4574</v>
      </c>
      <c r="C4376" s="579" t="s">
        <v>281</v>
      </c>
      <c r="D4376" s="579"/>
      <c r="E4376" s="583"/>
      <c r="F4376" s="596"/>
      <c r="G4376" s="65">
        <v>0</v>
      </c>
      <c r="H4376" s="591" t="s">
        <v>280</v>
      </c>
      <c r="I4376" s="591" t="s">
        <v>280</v>
      </c>
    </row>
    <row r="4377" spans="1:9">
      <c r="A4377" s="582" t="s">
        <v>700</v>
      </c>
      <c r="B4377" s="65">
        <v>4575</v>
      </c>
      <c r="C4377" s="579" t="s">
        <v>281</v>
      </c>
      <c r="D4377" s="579"/>
      <c r="E4377" s="583"/>
      <c r="F4377" s="596"/>
      <c r="G4377" s="65">
        <v>0</v>
      </c>
      <c r="H4377" s="591" t="s">
        <v>280</v>
      </c>
      <c r="I4377" s="591" t="s">
        <v>280</v>
      </c>
    </row>
    <row r="4378" spans="1:9">
      <c r="A4378" s="582" t="s">
        <v>700</v>
      </c>
      <c r="B4378" s="65">
        <v>4576</v>
      </c>
      <c r="C4378" s="579" t="s">
        <v>281</v>
      </c>
      <c r="D4378" s="579"/>
      <c r="E4378" s="583"/>
      <c r="F4378" s="596"/>
      <c r="G4378" s="65">
        <v>0</v>
      </c>
      <c r="H4378" s="591" t="s">
        <v>280</v>
      </c>
      <c r="I4378" s="591" t="s">
        <v>280</v>
      </c>
    </row>
    <row r="4379" spans="1:9">
      <c r="A4379" s="582" t="s">
        <v>700</v>
      </c>
      <c r="B4379" s="65">
        <v>4577</v>
      </c>
      <c r="C4379" s="579" t="s">
        <v>281</v>
      </c>
      <c r="D4379" s="579"/>
      <c r="E4379" s="583"/>
      <c r="F4379" s="596"/>
      <c r="G4379" s="65">
        <v>0</v>
      </c>
      <c r="H4379" s="591" t="s">
        <v>280</v>
      </c>
      <c r="I4379" s="591" t="s">
        <v>280</v>
      </c>
    </row>
    <row r="4380" spans="1:9">
      <c r="A4380" s="582" t="s">
        <v>700</v>
      </c>
      <c r="B4380" s="65">
        <v>4578</v>
      </c>
      <c r="C4380" s="579" t="s">
        <v>281</v>
      </c>
      <c r="D4380" s="579"/>
      <c r="E4380" s="583"/>
      <c r="F4380" s="596"/>
      <c r="G4380" s="65">
        <v>0</v>
      </c>
      <c r="H4380" s="591" t="s">
        <v>280</v>
      </c>
      <c r="I4380" s="591" t="s">
        <v>280</v>
      </c>
    </row>
    <row r="4381" spans="1:9">
      <c r="A4381" s="582" t="s">
        <v>700</v>
      </c>
      <c r="B4381" s="65">
        <v>4579</v>
      </c>
      <c r="C4381" s="579" t="s">
        <v>281</v>
      </c>
      <c r="D4381" s="579"/>
      <c r="E4381" s="583"/>
      <c r="F4381" s="596"/>
      <c r="G4381" s="65">
        <v>0</v>
      </c>
      <c r="H4381" s="591" t="s">
        <v>280</v>
      </c>
      <c r="I4381" s="591" t="s">
        <v>280</v>
      </c>
    </row>
    <row r="4382" spans="1:9">
      <c r="A4382" s="582" t="s">
        <v>700</v>
      </c>
      <c r="B4382" s="65">
        <v>4580</v>
      </c>
      <c r="C4382" s="579" t="s">
        <v>281</v>
      </c>
      <c r="D4382" s="579"/>
      <c r="E4382" s="583"/>
      <c r="F4382" s="596"/>
      <c r="G4382" s="65">
        <v>0</v>
      </c>
      <c r="H4382" s="591" t="s">
        <v>280</v>
      </c>
      <c r="I4382" s="591" t="s">
        <v>280</v>
      </c>
    </row>
    <row r="4383" spans="1:9">
      <c r="A4383" s="582" t="s">
        <v>700</v>
      </c>
      <c r="B4383" s="65">
        <v>4581</v>
      </c>
      <c r="C4383" s="579" t="s">
        <v>281</v>
      </c>
      <c r="D4383" s="579"/>
      <c r="E4383" s="583"/>
      <c r="F4383" s="596"/>
      <c r="G4383" s="65">
        <v>0</v>
      </c>
      <c r="H4383" s="591" t="s">
        <v>280</v>
      </c>
      <c r="I4383" s="591" t="s">
        <v>280</v>
      </c>
    </row>
    <row r="4384" spans="1:9">
      <c r="A4384" s="582" t="s">
        <v>700</v>
      </c>
      <c r="B4384" s="65">
        <v>4582</v>
      </c>
      <c r="C4384" s="579" t="s">
        <v>281</v>
      </c>
      <c r="D4384" s="579"/>
      <c r="E4384" s="583"/>
      <c r="F4384" s="596"/>
      <c r="G4384" s="65">
        <v>0</v>
      </c>
      <c r="H4384" s="591" t="s">
        <v>280</v>
      </c>
      <c r="I4384" s="591" t="s">
        <v>280</v>
      </c>
    </row>
    <row r="4385" spans="1:9">
      <c r="A4385" s="582" t="s">
        <v>700</v>
      </c>
      <c r="B4385" s="65">
        <v>4583</v>
      </c>
      <c r="C4385" s="579" t="s">
        <v>281</v>
      </c>
      <c r="D4385" s="579"/>
      <c r="E4385" s="583"/>
      <c r="F4385" s="596"/>
      <c r="G4385" s="65">
        <v>0</v>
      </c>
      <c r="H4385" s="591" t="s">
        <v>280</v>
      </c>
      <c r="I4385" s="591" t="s">
        <v>280</v>
      </c>
    </row>
    <row r="4386" spans="1:9">
      <c r="A4386" s="582" t="s">
        <v>700</v>
      </c>
      <c r="B4386" s="65">
        <v>4584</v>
      </c>
      <c r="C4386" s="579" t="s">
        <v>281</v>
      </c>
      <c r="D4386" s="579"/>
      <c r="E4386" s="583"/>
      <c r="F4386" s="596"/>
      <c r="G4386" s="65">
        <v>0</v>
      </c>
      <c r="H4386" s="591" t="s">
        <v>280</v>
      </c>
      <c r="I4386" s="591" t="s">
        <v>280</v>
      </c>
    </row>
    <row r="4387" spans="1:9">
      <c r="A4387" s="582" t="s">
        <v>700</v>
      </c>
      <c r="B4387" s="65">
        <v>4585</v>
      </c>
      <c r="C4387" s="579" t="s">
        <v>281</v>
      </c>
      <c r="D4387" s="579"/>
      <c r="E4387" s="583"/>
      <c r="F4387" s="596"/>
      <c r="G4387" s="65">
        <v>0</v>
      </c>
      <c r="H4387" s="591" t="s">
        <v>280</v>
      </c>
      <c r="I4387" s="591" t="s">
        <v>280</v>
      </c>
    </row>
    <row r="4388" spans="1:9">
      <c r="A4388" s="582" t="s">
        <v>700</v>
      </c>
      <c r="B4388" s="65">
        <v>4586</v>
      </c>
      <c r="C4388" s="579" t="s">
        <v>281</v>
      </c>
      <c r="D4388" s="579"/>
      <c r="E4388" s="583"/>
      <c r="F4388" s="596"/>
      <c r="G4388" s="65">
        <v>0</v>
      </c>
      <c r="H4388" s="591" t="s">
        <v>280</v>
      </c>
      <c r="I4388" s="591" t="s">
        <v>280</v>
      </c>
    </row>
    <row r="4389" spans="1:9">
      <c r="A4389" s="582" t="s">
        <v>700</v>
      </c>
      <c r="B4389" s="65">
        <v>4587</v>
      </c>
      <c r="C4389" s="579" t="s">
        <v>281</v>
      </c>
      <c r="D4389" s="579"/>
      <c r="E4389" s="583"/>
      <c r="F4389" s="596"/>
      <c r="G4389" s="65">
        <v>0</v>
      </c>
      <c r="H4389" s="591" t="s">
        <v>280</v>
      </c>
      <c r="I4389" s="591" t="s">
        <v>280</v>
      </c>
    </row>
    <row r="4390" spans="1:9">
      <c r="A4390" s="582" t="s">
        <v>700</v>
      </c>
      <c r="B4390" s="65">
        <v>4588</v>
      </c>
      <c r="C4390" s="579" t="s">
        <v>281</v>
      </c>
      <c r="D4390" s="579"/>
      <c r="E4390" s="583"/>
      <c r="F4390" s="596"/>
      <c r="G4390" s="65">
        <v>0</v>
      </c>
      <c r="H4390" s="591" t="s">
        <v>280</v>
      </c>
      <c r="I4390" s="591" t="s">
        <v>280</v>
      </c>
    </row>
    <row r="4391" spans="1:9">
      <c r="A4391" s="582" t="s">
        <v>700</v>
      </c>
      <c r="B4391" s="65">
        <v>4589</v>
      </c>
      <c r="C4391" s="579" t="s">
        <v>281</v>
      </c>
      <c r="D4391" s="579"/>
      <c r="E4391" s="583"/>
      <c r="F4391" s="596"/>
      <c r="G4391" s="65">
        <v>0</v>
      </c>
      <c r="H4391" s="591" t="s">
        <v>280</v>
      </c>
      <c r="I4391" s="591" t="s">
        <v>280</v>
      </c>
    </row>
    <row r="4392" spans="1:9">
      <c r="A4392" s="582" t="s">
        <v>700</v>
      </c>
      <c r="B4392" s="65">
        <v>4590</v>
      </c>
      <c r="C4392" s="579" t="s">
        <v>281</v>
      </c>
      <c r="D4392" s="579"/>
      <c r="E4392" s="583"/>
      <c r="F4392" s="596"/>
      <c r="G4392" s="65">
        <v>0</v>
      </c>
      <c r="H4392" s="591" t="s">
        <v>280</v>
      </c>
      <c r="I4392" s="591" t="s">
        <v>280</v>
      </c>
    </row>
    <row r="4393" spans="1:9">
      <c r="A4393" s="582" t="s">
        <v>700</v>
      </c>
      <c r="B4393" s="65">
        <v>4591</v>
      </c>
      <c r="C4393" s="579" t="s">
        <v>281</v>
      </c>
      <c r="D4393" s="579"/>
      <c r="E4393" s="583"/>
      <c r="F4393" s="596"/>
      <c r="G4393" s="65">
        <v>0</v>
      </c>
      <c r="H4393" s="591" t="s">
        <v>280</v>
      </c>
      <c r="I4393" s="591" t="s">
        <v>280</v>
      </c>
    </row>
    <row r="4394" spans="1:9">
      <c r="A4394" s="582" t="s">
        <v>700</v>
      </c>
      <c r="B4394" s="65">
        <v>4592</v>
      </c>
      <c r="C4394" s="579" t="s">
        <v>281</v>
      </c>
      <c r="D4394" s="579"/>
      <c r="E4394" s="583"/>
      <c r="F4394" s="596"/>
      <c r="G4394" s="65">
        <v>0</v>
      </c>
      <c r="H4394" s="591" t="s">
        <v>280</v>
      </c>
      <c r="I4394" s="591" t="s">
        <v>280</v>
      </c>
    </row>
    <row r="4395" spans="1:9">
      <c r="A4395" s="582" t="s">
        <v>700</v>
      </c>
      <c r="B4395" s="65">
        <v>4593</v>
      </c>
      <c r="C4395" s="579" t="s">
        <v>281</v>
      </c>
      <c r="D4395" s="579"/>
      <c r="E4395" s="583"/>
      <c r="F4395" s="596"/>
      <c r="G4395" s="65">
        <v>0</v>
      </c>
      <c r="H4395" s="591" t="s">
        <v>280</v>
      </c>
      <c r="I4395" s="591" t="s">
        <v>280</v>
      </c>
    </row>
    <row r="4396" spans="1:9">
      <c r="A4396" s="582" t="s">
        <v>700</v>
      </c>
      <c r="B4396" s="65">
        <v>4594</v>
      </c>
      <c r="C4396" s="579" t="s">
        <v>281</v>
      </c>
      <c r="D4396" s="579"/>
      <c r="E4396" s="583"/>
      <c r="F4396" s="596"/>
      <c r="G4396" s="65">
        <v>0</v>
      </c>
      <c r="H4396" s="591" t="s">
        <v>280</v>
      </c>
      <c r="I4396" s="591" t="s">
        <v>280</v>
      </c>
    </row>
    <row r="4397" spans="1:9">
      <c r="A4397" s="582" t="s">
        <v>700</v>
      </c>
      <c r="B4397" s="65">
        <v>4595</v>
      </c>
      <c r="C4397" s="579" t="s">
        <v>281</v>
      </c>
      <c r="D4397" s="579"/>
      <c r="E4397" s="583"/>
      <c r="F4397" s="596"/>
      <c r="G4397" s="65">
        <v>0</v>
      </c>
      <c r="H4397" s="591" t="s">
        <v>280</v>
      </c>
      <c r="I4397" s="591" t="s">
        <v>280</v>
      </c>
    </row>
    <row r="4398" spans="1:9">
      <c r="A4398" s="582" t="s">
        <v>700</v>
      </c>
      <c r="B4398" s="65">
        <v>4596</v>
      </c>
      <c r="C4398" s="579" t="s">
        <v>281</v>
      </c>
      <c r="D4398" s="579"/>
      <c r="E4398" s="583"/>
      <c r="F4398" s="596"/>
      <c r="G4398" s="65">
        <v>0</v>
      </c>
      <c r="H4398" s="591" t="s">
        <v>280</v>
      </c>
      <c r="I4398" s="591" t="s">
        <v>280</v>
      </c>
    </row>
    <row r="4399" spans="1:9">
      <c r="A4399" s="582" t="s">
        <v>700</v>
      </c>
      <c r="B4399" s="65">
        <v>4597</v>
      </c>
      <c r="C4399" s="579" t="s">
        <v>281</v>
      </c>
      <c r="D4399" s="579"/>
      <c r="E4399" s="583"/>
      <c r="F4399" s="596"/>
      <c r="G4399" s="65">
        <v>0</v>
      </c>
      <c r="H4399" s="591" t="s">
        <v>280</v>
      </c>
      <c r="I4399" s="591" t="s">
        <v>280</v>
      </c>
    </row>
    <row r="4400" spans="1:9">
      <c r="A4400" s="582" t="s">
        <v>700</v>
      </c>
      <c r="B4400" s="65">
        <v>4598</v>
      </c>
      <c r="C4400" s="579" t="s">
        <v>281</v>
      </c>
      <c r="D4400" s="579"/>
      <c r="E4400" s="583"/>
      <c r="F4400" s="596"/>
      <c r="G4400" s="65">
        <v>0</v>
      </c>
      <c r="H4400" s="591" t="s">
        <v>280</v>
      </c>
      <c r="I4400" s="591" t="s">
        <v>280</v>
      </c>
    </row>
    <row r="4401" spans="1:10">
      <c r="A4401" s="582" t="s">
        <v>700</v>
      </c>
      <c r="B4401" s="65">
        <v>4599</v>
      </c>
      <c r="C4401" s="579" t="s">
        <v>281</v>
      </c>
      <c r="D4401" s="579"/>
      <c r="E4401" s="583"/>
      <c r="F4401" s="596"/>
      <c r="G4401" s="65">
        <v>0</v>
      </c>
      <c r="H4401" s="591" t="s">
        <v>280</v>
      </c>
      <c r="I4401" s="591" t="s">
        <v>280</v>
      </c>
    </row>
    <row r="4402" spans="1:10" ht="12.75">
      <c r="A4402" s="582" t="s">
        <v>709</v>
      </c>
      <c r="B4402" s="65">
        <v>4600</v>
      </c>
      <c r="C4402" s="579" t="s">
        <v>279</v>
      </c>
      <c r="D4402" s="579"/>
      <c r="E4402" s="582"/>
      <c r="F4402" s="585">
        <v>45535</v>
      </c>
      <c r="G4402" s="65">
        <v>1</v>
      </c>
      <c r="H4402" s="591" t="s">
        <v>280</v>
      </c>
      <c r="I4402" s="591" t="s">
        <v>280</v>
      </c>
    </row>
    <row r="4403" spans="1:10" ht="12.75">
      <c r="A4403" s="582" t="s">
        <v>709</v>
      </c>
      <c r="B4403" s="65">
        <v>4601</v>
      </c>
      <c r="C4403" s="65" t="s">
        <v>710</v>
      </c>
      <c r="D4403" s="579">
        <v>10112</v>
      </c>
      <c r="E4403" s="582"/>
      <c r="F4403" s="585">
        <v>45535</v>
      </c>
      <c r="G4403" s="65">
        <v>1</v>
      </c>
      <c r="H4403" s="591" t="s">
        <v>9</v>
      </c>
      <c r="I4403" s="591" t="s">
        <v>45</v>
      </c>
    </row>
    <row r="4404" spans="1:10" ht="13.5">
      <c r="A4404" s="582" t="s">
        <v>709</v>
      </c>
      <c r="B4404" s="65">
        <v>4602</v>
      </c>
      <c r="C4404" s="579" t="s">
        <v>281</v>
      </c>
      <c r="D4404" s="65"/>
      <c r="E4404" s="582"/>
      <c r="F4404" s="596"/>
      <c r="G4404" s="65">
        <v>0</v>
      </c>
      <c r="H4404" s="591" t="s">
        <v>280</v>
      </c>
      <c r="I4404" s="591" t="s">
        <v>280</v>
      </c>
      <c r="J4404" s="57"/>
    </row>
    <row r="4405" spans="1:10">
      <c r="A4405" s="582" t="s">
        <v>709</v>
      </c>
      <c r="B4405" s="65">
        <v>4603</v>
      </c>
      <c r="C4405" s="65" t="s">
        <v>1944</v>
      </c>
      <c r="D4405" s="579">
        <v>10320</v>
      </c>
      <c r="E4405" s="583"/>
      <c r="F4405" s="585">
        <v>45535</v>
      </c>
      <c r="G4405" s="65">
        <v>1</v>
      </c>
      <c r="H4405" s="591" t="s">
        <v>280</v>
      </c>
      <c r="I4405" s="591" t="s">
        <v>280</v>
      </c>
      <c r="J4405" s="57"/>
    </row>
    <row r="4406" spans="1:10" ht="13.5">
      <c r="A4406" s="582" t="s">
        <v>709</v>
      </c>
      <c r="B4406" s="65">
        <v>4604</v>
      </c>
      <c r="C4406" s="65" t="s">
        <v>281</v>
      </c>
      <c r="D4406" s="63"/>
      <c r="E4406" s="582"/>
      <c r="F4406" s="596"/>
      <c r="G4406" s="65">
        <v>0</v>
      </c>
      <c r="H4406" s="591" t="s">
        <v>280</v>
      </c>
      <c r="I4406" s="591" t="s">
        <v>280</v>
      </c>
      <c r="J4406" s="57"/>
    </row>
    <row r="4407" spans="1:10" ht="13.5">
      <c r="A4407" s="582" t="s">
        <v>709</v>
      </c>
      <c r="B4407" s="65">
        <v>4605</v>
      </c>
      <c r="C4407" s="579" t="s">
        <v>281</v>
      </c>
      <c r="D4407" s="65"/>
      <c r="E4407" s="582"/>
      <c r="F4407" s="596"/>
      <c r="G4407" s="65">
        <v>0</v>
      </c>
      <c r="H4407" s="591" t="s">
        <v>280</v>
      </c>
      <c r="I4407" s="591" t="s">
        <v>280</v>
      </c>
      <c r="J4407" s="57"/>
    </row>
    <row r="4408" spans="1:10" ht="13.5">
      <c r="A4408" s="582" t="s">
        <v>709</v>
      </c>
      <c r="B4408" s="65">
        <v>4606</v>
      </c>
      <c r="C4408" s="579" t="s">
        <v>711</v>
      </c>
      <c r="D4408" s="579">
        <v>10228</v>
      </c>
      <c r="E4408" s="582"/>
      <c r="F4408" s="585">
        <v>45535</v>
      </c>
      <c r="G4408" s="65">
        <v>1</v>
      </c>
      <c r="H4408" s="591" t="s">
        <v>1976</v>
      </c>
      <c r="I4408" s="591" t="s">
        <v>101</v>
      </c>
      <c r="J4408" s="57"/>
    </row>
    <row r="4409" spans="1:10" ht="13.5">
      <c r="A4409" s="582" t="s">
        <v>709</v>
      </c>
      <c r="B4409" s="65">
        <v>4607</v>
      </c>
      <c r="C4409" s="579" t="s">
        <v>712</v>
      </c>
      <c r="D4409" s="63">
        <v>10227</v>
      </c>
      <c r="E4409" s="582"/>
      <c r="F4409" s="585">
        <v>45535</v>
      </c>
      <c r="G4409" s="65">
        <v>1</v>
      </c>
      <c r="H4409" s="591" t="s">
        <v>280</v>
      </c>
      <c r="I4409" s="591" t="s">
        <v>280</v>
      </c>
      <c r="J4409" s="57"/>
    </row>
    <row r="4410" spans="1:10" ht="13.5">
      <c r="A4410" s="582" t="s">
        <v>709</v>
      </c>
      <c r="B4410" s="65">
        <v>4608</v>
      </c>
      <c r="C4410" s="579" t="s">
        <v>281</v>
      </c>
      <c r="D4410" s="65"/>
      <c r="E4410" s="582"/>
      <c r="F4410" s="596"/>
      <c r="G4410" s="65">
        <v>0</v>
      </c>
      <c r="H4410" s="591" t="s">
        <v>280</v>
      </c>
      <c r="I4410" s="591" t="s">
        <v>280</v>
      </c>
      <c r="J4410" s="57"/>
    </row>
    <row r="4411" spans="1:10">
      <c r="A4411" s="582" t="s">
        <v>709</v>
      </c>
      <c r="B4411" s="65">
        <v>4609</v>
      </c>
      <c r="C4411" s="579" t="s">
        <v>281</v>
      </c>
      <c r="D4411" s="65"/>
      <c r="E4411" s="583"/>
      <c r="F4411" s="596"/>
      <c r="G4411" s="65">
        <v>0</v>
      </c>
      <c r="H4411" s="591" t="s">
        <v>280</v>
      </c>
      <c r="I4411" s="591" t="s">
        <v>280</v>
      </c>
      <c r="J4411" s="57"/>
    </row>
    <row r="4412" spans="1:10">
      <c r="A4412" s="582" t="s">
        <v>709</v>
      </c>
      <c r="B4412" s="65">
        <v>4610</v>
      </c>
      <c r="C4412" s="579" t="s">
        <v>281</v>
      </c>
      <c r="D4412" s="579"/>
      <c r="E4412" s="583"/>
      <c r="F4412" s="596"/>
      <c r="G4412" s="65">
        <v>0</v>
      </c>
      <c r="H4412" s="591" t="s">
        <v>280</v>
      </c>
      <c r="I4412" s="591" t="s">
        <v>280</v>
      </c>
      <c r="J4412" s="57"/>
    </row>
    <row r="4413" spans="1:10">
      <c r="A4413" s="582" t="s">
        <v>709</v>
      </c>
      <c r="B4413" s="65">
        <v>4611</v>
      </c>
      <c r="C4413" s="579" t="s">
        <v>281</v>
      </c>
      <c r="D4413" s="579"/>
      <c r="E4413" s="583"/>
      <c r="F4413" s="596"/>
      <c r="G4413" s="65">
        <v>0</v>
      </c>
      <c r="H4413" s="591" t="s">
        <v>280</v>
      </c>
      <c r="I4413" s="591" t="s">
        <v>280</v>
      </c>
      <c r="J4413" s="57"/>
    </row>
    <row r="4414" spans="1:10">
      <c r="A4414" s="582" t="s">
        <v>709</v>
      </c>
      <c r="B4414" s="65">
        <v>4612</v>
      </c>
      <c r="C4414" s="579" t="s">
        <v>281</v>
      </c>
      <c r="D4414" s="579"/>
      <c r="E4414" s="583"/>
      <c r="F4414" s="596"/>
      <c r="G4414" s="65">
        <v>0</v>
      </c>
      <c r="H4414" s="591" t="s">
        <v>280</v>
      </c>
      <c r="I4414" s="591" t="s">
        <v>280</v>
      </c>
      <c r="J4414" s="57"/>
    </row>
    <row r="4415" spans="1:10">
      <c r="A4415" s="582" t="s">
        <v>709</v>
      </c>
      <c r="B4415" s="65">
        <v>4613</v>
      </c>
      <c r="C4415" s="579" t="s">
        <v>713</v>
      </c>
      <c r="D4415" s="63">
        <v>10528</v>
      </c>
      <c r="E4415" s="583"/>
      <c r="F4415" s="585">
        <v>45535</v>
      </c>
      <c r="G4415" s="65">
        <v>1</v>
      </c>
      <c r="H4415" s="591" t="s">
        <v>9</v>
      </c>
      <c r="I4415" s="591" t="s">
        <v>45</v>
      </c>
      <c r="J4415" s="57"/>
    </row>
    <row r="4416" spans="1:10">
      <c r="A4416" s="582" t="s">
        <v>709</v>
      </c>
      <c r="B4416" s="65">
        <v>4614</v>
      </c>
      <c r="C4416" s="579" t="s">
        <v>714</v>
      </c>
      <c r="D4416" s="579">
        <v>10169</v>
      </c>
      <c r="E4416" s="583"/>
      <c r="F4416" s="585">
        <v>45535</v>
      </c>
      <c r="G4416" s="65">
        <v>1</v>
      </c>
      <c r="H4416" s="591" t="s">
        <v>9</v>
      </c>
      <c r="I4416" s="591" t="s">
        <v>45</v>
      </c>
      <c r="J4416" s="57"/>
    </row>
    <row r="4417" spans="1:10">
      <c r="A4417" s="582" t="s">
        <v>709</v>
      </c>
      <c r="B4417" s="65">
        <v>4615</v>
      </c>
      <c r="C4417" s="579" t="s">
        <v>281</v>
      </c>
      <c r="D4417" s="579"/>
      <c r="E4417" s="583"/>
      <c r="F4417" s="596"/>
      <c r="G4417" s="65">
        <v>0</v>
      </c>
      <c r="H4417" s="591" t="s">
        <v>280</v>
      </c>
      <c r="I4417" s="591" t="s">
        <v>280</v>
      </c>
      <c r="J4417" s="57"/>
    </row>
    <row r="4418" spans="1:10">
      <c r="A4418" s="582" t="s">
        <v>709</v>
      </c>
      <c r="B4418" s="65">
        <v>4616</v>
      </c>
      <c r="C4418" s="579" t="s">
        <v>715</v>
      </c>
      <c r="D4418" s="63">
        <v>10125</v>
      </c>
      <c r="E4418" s="583"/>
      <c r="F4418" s="585">
        <v>45535</v>
      </c>
      <c r="G4418" s="65">
        <v>1</v>
      </c>
      <c r="H4418" s="591" t="s">
        <v>1976</v>
      </c>
      <c r="I4418" s="591" t="s">
        <v>101</v>
      </c>
    </row>
    <row r="4419" spans="1:10">
      <c r="A4419" s="582" t="s">
        <v>709</v>
      </c>
      <c r="B4419" s="65">
        <v>4617</v>
      </c>
      <c r="C4419" s="579" t="s">
        <v>281</v>
      </c>
      <c r="D4419" s="579"/>
      <c r="E4419" s="583"/>
      <c r="F4419" s="596"/>
      <c r="G4419" s="65">
        <v>0</v>
      </c>
      <c r="H4419" s="591" t="s">
        <v>280</v>
      </c>
      <c r="I4419" s="591" t="s">
        <v>280</v>
      </c>
    </row>
    <row r="4420" spans="1:10">
      <c r="A4420" s="582" t="s">
        <v>709</v>
      </c>
      <c r="B4420" s="65">
        <v>4618</v>
      </c>
      <c r="C4420" s="579" t="s">
        <v>281</v>
      </c>
      <c r="D4420" s="579"/>
      <c r="E4420" s="583"/>
      <c r="F4420" s="596"/>
      <c r="G4420" s="65">
        <v>0</v>
      </c>
      <c r="H4420" s="591" t="s">
        <v>280</v>
      </c>
      <c r="I4420" s="591" t="s">
        <v>280</v>
      </c>
    </row>
    <row r="4421" spans="1:10">
      <c r="A4421" s="582" t="s">
        <v>709</v>
      </c>
      <c r="B4421" s="65">
        <v>4619</v>
      </c>
      <c r="C4421" s="65" t="s">
        <v>1916</v>
      </c>
      <c r="D4421" s="579">
        <v>10790</v>
      </c>
      <c r="E4421" s="583"/>
      <c r="F4421" s="585">
        <v>45535</v>
      </c>
      <c r="G4421" s="65">
        <v>1</v>
      </c>
      <c r="H4421" s="591" t="s">
        <v>280</v>
      </c>
      <c r="I4421" s="591" t="s">
        <v>280</v>
      </c>
    </row>
    <row r="4422" spans="1:10">
      <c r="A4422" s="582" t="s">
        <v>709</v>
      </c>
      <c r="B4422" s="65">
        <v>4620</v>
      </c>
      <c r="C4422" s="65" t="s">
        <v>716</v>
      </c>
      <c r="D4422" s="63">
        <v>10230</v>
      </c>
      <c r="E4422" s="583"/>
      <c r="F4422" s="585">
        <v>45535</v>
      </c>
      <c r="G4422" s="65">
        <v>1</v>
      </c>
      <c r="H4422" s="591" t="s">
        <v>280</v>
      </c>
      <c r="I4422" s="591" t="s">
        <v>280</v>
      </c>
    </row>
    <row r="4423" spans="1:10">
      <c r="A4423" s="582" t="s">
        <v>709</v>
      </c>
      <c r="B4423" s="65">
        <v>4621</v>
      </c>
      <c r="C4423" s="65" t="s">
        <v>717</v>
      </c>
      <c r="D4423" s="63">
        <v>10633</v>
      </c>
      <c r="E4423" s="583"/>
      <c r="F4423" s="585">
        <v>45535</v>
      </c>
      <c r="G4423" s="65">
        <v>1</v>
      </c>
      <c r="H4423" s="591" t="s">
        <v>1978</v>
      </c>
      <c r="I4423" s="591" t="s">
        <v>1235</v>
      </c>
    </row>
    <row r="4424" spans="1:10">
      <c r="A4424" s="582" t="s">
        <v>709</v>
      </c>
      <c r="B4424" s="65">
        <v>4622</v>
      </c>
      <c r="C4424" s="65" t="s">
        <v>281</v>
      </c>
      <c r="D4424" s="65"/>
      <c r="E4424" s="583"/>
      <c r="F4424" s="596"/>
      <c r="G4424" s="65">
        <v>0</v>
      </c>
      <c r="H4424" s="591" t="s">
        <v>280</v>
      </c>
      <c r="I4424" s="591" t="s">
        <v>280</v>
      </c>
    </row>
    <row r="4425" spans="1:10">
      <c r="A4425" s="582" t="s">
        <v>709</v>
      </c>
      <c r="B4425" s="65">
        <v>4623</v>
      </c>
      <c r="C4425" s="65" t="s">
        <v>718</v>
      </c>
      <c r="D4425" s="579">
        <v>10369</v>
      </c>
      <c r="E4425" s="583"/>
      <c r="F4425" s="585">
        <v>45535</v>
      </c>
      <c r="G4425" s="65">
        <v>1</v>
      </c>
      <c r="H4425" s="591" t="s">
        <v>1976</v>
      </c>
      <c r="I4425" s="591" t="s">
        <v>101</v>
      </c>
    </row>
    <row r="4426" spans="1:10">
      <c r="A4426" s="582" t="s">
        <v>709</v>
      </c>
      <c r="B4426" s="65">
        <v>4624</v>
      </c>
      <c r="C4426" s="65" t="s">
        <v>719</v>
      </c>
      <c r="D4426" s="579">
        <v>10004</v>
      </c>
      <c r="E4426" s="583"/>
      <c r="F4426" s="585">
        <v>45535</v>
      </c>
      <c r="G4426" s="65">
        <v>1</v>
      </c>
      <c r="H4426" s="591" t="s">
        <v>1976</v>
      </c>
      <c r="I4426" s="591" t="s">
        <v>101</v>
      </c>
    </row>
    <row r="4427" spans="1:10">
      <c r="A4427" s="582" t="s">
        <v>709</v>
      </c>
      <c r="B4427" s="65">
        <v>4625</v>
      </c>
      <c r="C4427" s="65" t="s">
        <v>281</v>
      </c>
      <c r="D4427" s="63"/>
      <c r="E4427" s="583"/>
      <c r="F4427" s="596"/>
      <c r="G4427" s="65">
        <v>0</v>
      </c>
      <c r="H4427" s="591" t="s">
        <v>280</v>
      </c>
      <c r="I4427" s="591" t="s">
        <v>280</v>
      </c>
    </row>
    <row r="4428" spans="1:10">
      <c r="A4428" s="582" t="s">
        <v>709</v>
      </c>
      <c r="B4428" s="65">
        <v>4626</v>
      </c>
      <c r="C4428" s="65" t="s">
        <v>720</v>
      </c>
      <c r="D4428" s="63">
        <v>10083</v>
      </c>
      <c r="E4428" s="583"/>
      <c r="F4428" s="585">
        <v>45535</v>
      </c>
      <c r="G4428" s="65">
        <v>1</v>
      </c>
      <c r="H4428" s="591" t="s">
        <v>1976</v>
      </c>
      <c r="I4428" s="591" t="s">
        <v>101</v>
      </c>
    </row>
    <row r="4429" spans="1:10">
      <c r="A4429" s="582" t="s">
        <v>709</v>
      </c>
      <c r="B4429" s="65">
        <v>4627</v>
      </c>
      <c r="C4429" s="65" t="s">
        <v>281</v>
      </c>
      <c r="D4429" s="65"/>
      <c r="E4429" s="583"/>
      <c r="F4429" s="596"/>
      <c r="G4429" s="65">
        <v>0</v>
      </c>
      <c r="H4429" s="591" t="s">
        <v>280</v>
      </c>
      <c r="I4429" s="591" t="s">
        <v>280</v>
      </c>
    </row>
    <row r="4430" spans="1:10">
      <c r="A4430" s="582" t="s">
        <v>709</v>
      </c>
      <c r="B4430" s="65">
        <v>4628</v>
      </c>
      <c r="C4430" s="579" t="s">
        <v>281</v>
      </c>
      <c r="D4430" s="579"/>
      <c r="E4430" s="583"/>
      <c r="F4430" s="596"/>
      <c r="G4430" s="65">
        <v>0</v>
      </c>
      <c r="H4430" s="591" t="s">
        <v>280</v>
      </c>
      <c r="I4430" s="591" t="s">
        <v>280</v>
      </c>
    </row>
    <row r="4431" spans="1:10">
      <c r="A4431" s="582" t="s">
        <v>709</v>
      </c>
      <c r="B4431" s="65">
        <v>4629</v>
      </c>
      <c r="C4431" s="579" t="s">
        <v>281</v>
      </c>
      <c r="D4431" s="579"/>
      <c r="E4431" s="583"/>
      <c r="F4431" s="596"/>
      <c r="G4431" s="65">
        <v>0</v>
      </c>
      <c r="H4431" s="591" t="s">
        <v>280</v>
      </c>
      <c r="I4431" s="591" t="s">
        <v>280</v>
      </c>
    </row>
    <row r="4432" spans="1:10">
      <c r="A4432" s="582" t="s">
        <v>709</v>
      </c>
      <c r="B4432" s="65">
        <v>4630</v>
      </c>
      <c r="C4432" s="579" t="s">
        <v>721</v>
      </c>
      <c r="D4432" s="63">
        <v>10041</v>
      </c>
      <c r="E4432" s="583"/>
      <c r="F4432" s="585">
        <v>45535</v>
      </c>
      <c r="G4432" s="65">
        <v>1</v>
      </c>
      <c r="H4432" s="591" t="s">
        <v>1976</v>
      </c>
      <c r="I4432" s="591" t="s">
        <v>101</v>
      </c>
    </row>
    <row r="4433" spans="1:9">
      <c r="A4433" s="582" t="s">
        <v>709</v>
      </c>
      <c r="B4433" s="65">
        <v>4631</v>
      </c>
      <c r="C4433" s="579" t="s">
        <v>722</v>
      </c>
      <c r="D4433" s="579">
        <v>10488</v>
      </c>
      <c r="E4433" s="583"/>
      <c r="F4433" s="585">
        <v>45535</v>
      </c>
      <c r="G4433" s="65">
        <v>1</v>
      </c>
      <c r="H4433" s="591" t="s">
        <v>9</v>
      </c>
      <c r="I4433" s="591" t="s">
        <v>45</v>
      </c>
    </row>
    <row r="4434" spans="1:9">
      <c r="A4434" s="582" t="s">
        <v>709</v>
      </c>
      <c r="B4434" s="65">
        <v>4632</v>
      </c>
      <c r="C4434" s="579" t="s">
        <v>723</v>
      </c>
      <c r="D4434" s="63">
        <v>10675</v>
      </c>
      <c r="E4434" s="583"/>
      <c r="F4434" s="585">
        <v>45535</v>
      </c>
      <c r="G4434" s="65">
        <v>1</v>
      </c>
      <c r="H4434" s="591" t="s">
        <v>9</v>
      </c>
      <c r="I4434" s="591" t="s">
        <v>45</v>
      </c>
    </row>
    <row r="4435" spans="1:9">
      <c r="A4435" s="582" t="s">
        <v>709</v>
      </c>
      <c r="B4435" s="65">
        <v>4633</v>
      </c>
      <c r="C4435" s="579" t="s">
        <v>724</v>
      </c>
      <c r="D4435" s="63">
        <v>10555</v>
      </c>
      <c r="E4435" s="583"/>
      <c r="F4435" s="585">
        <v>45535</v>
      </c>
      <c r="G4435" s="65">
        <v>1</v>
      </c>
      <c r="H4435" s="591" t="s">
        <v>1976</v>
      </c>
      <c r="I4435" s="591" t="s">
        <v>101</v>
      </c>
    </row>
    <row r="4436" spans="1:9">
      <c r="A4436" s="582" t="s">
        <v>709</v>
      </c>
      <c r="B4436" s="65">
        <v>4634</v>
      </c>
      <c r="C4436" s="579" t="s">
        <v>281</v>
      </c>
      <c r="D4436" s="63"/>
      <c r="E4436" s="583"/>
      <c r="F4436" s="596"/>
      <c r="G4436" s="65">
        <v>0</v>
      </c>
      <c r="H4436" s="591" t="s">
        <v>280</v>
      </c>
      <c r="I4436" s="591" t="s">
        <v>280</v>
      </c>
    </row>
    <row r="4437" spans="1:9">
      <c r="A4437" s="582" t="s">
        <v>709</v>
      </c>
      <c r="B4437" s="65">
        <v>4635</v>
      </c>
      <c r="C4437" s="579" t="s">
        <v>725</v>
      </c>
      <c r="D4437" s="63">
        <v>10152</v>
      </c>
      <c r="E4437" s="583"/>
      <c r="F4437" s="585">
        <v>45535</v>
      </c>
      <c r="G4437" s="65">
        <v>1</v>
      </c>
      <c r="H4437" s="591" t="s">
        <v>280</v>
      </c>
      <c r="I4437" s="591" t="s">
        <v>280</v>
      </c>
    </row>
    <row r="4438" spans="1:9">
      <c r="A4438" s="582" t="s">
        <v>709</v>
      </c>
      <c r="B4438" s="65">
        <v>4636</v>
      </c>
      <c r="C4438" s="579" t="s">
        <v>726</v>
      </c>
      <c r="D4438" s="579">
        <v>10551</v>
      </c>
      <c r="E4438" s="583"/>
      <c r="F4438" s="585">
        <v>45535</v>
      </c>
      <c r="G4438" s="65">
        <v>1</v>
      </c>
      <c r="H4438" s="591" t="s">
        <v>1978</v>
      </c>
      <c r="I4438" s="591" t="s">
        <v>1235</v>
      </c>
    </row>
    <row r="4439" spans="1:9">
      <c r="A4439" s="582" t="s">
        <v>709</v>
      </c>
      <c r="B4439" s="65">
        <v>4637</v>
      </c>
      <c r="C4439" s="579" t="s">
        <v>727</v>
      </c>
      <c r="D4439" s="579">
        <v>10647</v>
      </c>
      <c r="E4439" s="583"/>
      <c r="F4439" s="585">
        <v>45535</v>
      </c>
      <c r="G4439" s="65">
        <v>1</v>
      </c>
      <c r="H4439" s="591" t="s">
        <v>9</v>
      </c>
      <c r="I4439" s="591" t="s">
        <v>45</v>
      </c>
    </row>
    <row r="4440" spans="1:9">
      <c r="A4440" s="582" t="s">
        <v>709</v>
      </c>
      <c r="B4440" s="65">
        <v>4638</v>
      </c>
      <c r="C4440" s="579" t="s">
        <v>728</v>
      </c>
      <c r="D4440" s="63">
        <v>10302</v>
      </c>
      <c r="E4440" s="583"/>
      <c r="F4440" s="585">
        <v>45535</v>
      </c>
      <c r="G4440" s="65">
        <v>1</v>
      </c>
      <c r="H4440" s="591" t="s">
        <v>9</v>
      </c>
      <c r="I4440" s="591" t="s">
        <v>45</v>
      </c>
    </row>
    <row r="4441" spans="1:9">
      <c r="A4441" s="582" t="s">
        <v>709</v>
      </c>
      <c r="B4441" s="65">
        <v>4639</v>
      </c>
      <c r="C4441" s="579" t="s">
        <v>729</v>
      </c>
      <c r="D4441" s="63">
        <v>10669</v>
      </c>
      <c r="E4441" s="583"/>
      <c r="F4441" s="585">
        <v>45535</v>
      </c>
      <c r="G4441" s="65">
        <v>1</v>
      </c>
      <c r="H4441" s="591" t="s">
        <v>9</v>
      </c>
      <c r="I4441" s="591" t="s">
        <v>45</v>
      </c>
    </row>
    <row r="4442" spans="1:9">
      <c r="A4442" s="582" t="s">
        <v>709</v>
      </c>
      <c r="B4442" s="65">
        <v>4640</v>
      </c>
      <c r="C4442" s="579" t="s">
        <v>281</v>
      </c>
      <c r="D4442" s="63"/>
      <c r="E4442" s="583"/>
      <c r="F4442" s="596"/>
      <c r="G4442" s="65">
        <v>0</v>
      </c>
      <c r="H4442" s="591" t="s">
        <v>280</v>
      </c>
      <c r="I4442" s="591" t="s">
        <v>280</v>
      </c>
    </row>
    <row r="4443" spans="1:9">
      <c r="A4443" s="582" t="s">
        <v>709</v>
      </c>
      <c r="B4443" s="65">
        <v>4641</v>
      </c>
      <c r="C4443" s="579" t="s">
        <v>1917</v>
      </c>
      <c r="D4443" s="579">
        <v>10791</v>
      </c>
      <c r="E4443" s="583"/>
      <c r="F4443" s="585">
        <v>45535</v>
      </c>
      <c r="G4443" s="65">
        <v>1</v>
      </c>
      <c r="H4443" s="591" t="s">
        <v>1978</v>
      </c>
      <c r="I4443" s="591" t="s">
        <v>1235</v>
      </c>
    </row>
    <row r="4444" spans="1:9">
      <c r="A4444" s="582" t="s">
        <v>709</v>
      </c>
      <c r="B4444" s="65">
        <v>4642</v>
      </c>
      <c r="C4444" s="579" t="s">
        <v>1918</v>
      </c>
      <c r="D4444" s="579">
        <v>10792</v>
      </c>
      <c r="E4444" s="583"/>
      <c r="F4444" s="585">
        <v>45535</v>
      </c>
      <c r="G4444" s="65">
        <v>1</v>
      </c>
      <c r="H4444" s="591" t="s">
        <v>1978</v>
      </c>
      <c r="I4444" s="591" t="s">
        <v>1235</v>
      </c>
    </row>
    <row r="4445" spans="1:9">
      <c r="A4445" s="580" t="s">
        <v>709</v>
      </c>
      <c r="B4445" s="65">
        <v>4643</v>
      </c>
      <c r="C4445" s="65" t="s">
        <v>1919</v>
      </c>
      <c r="D4445" s="65">
        <v>10843</v>
      </c>
      <c r="E4445" s="583"/>
      <c r="F4445" s="585">
        <v>45535</v>
      </c>
      <c r="G4445" s="65">
        <v>1</v>
      </c>
      <c r="H4445" s="591" t="s">
        <v>1976</v>
      </c>
      <c r="I4445" s="591" t="s">
        <v>101</v>
      </c>
    </row>
    <row r="4446" spans="1:9">
      <c r="A4446" s="580" t="s">
        <v>709</v>
      </c>
      <c r="B4446" s="65">
        <v>4644</v>
      </c>
      <c r="C4446" s="65" t="s">
        <v>1920</v>
      </c>
      <c r="D4446" s="65">
        <v>10884</v>
      </c>
      <c r="E4446" s="583"/>
      <c r="F4446" s="585">
        <v>45535</v>
      </c>
      <c r="G4446" s="65">
        <v>1</v>
      </c>
      <c r="H4446" s="591" t="s">
        <v>1978</v>
      </c>
      <c r="I4446" s="591" t="s">
        <v>1235</v>
      </c>
    </row>
    <row r="4447" spans="1:9">
      <c r="A4447" s="580" t="s">
        <v>709</v>
      </c>
      <c r="B4447" s="65">
        <v>4645</v>
      </c>
      <c r="C4447" s="65" t="s">
        <v>1921</v>
      </c>
      <c r="D4447" s="65">
        <v>10885</v>
      </c>
      <c r="E4447" s="583"/>
      <c r="F4447" s="585">
        <v>45535</v>
      </c>
      <c r="G4447" s="65">
        <v>1</v>
      </c>
      <c r="H4447" s="591" t="s">
        <v>9</v>
      </c>
      <c r="I4447" s="591" t="s">
        <v>45</v>
      </c>
    </row>
    <row r="4448" spans="1:9">
      <c r="A4448" s="580" t="s">
        <v>709</v>
      </c>
      <c r="B4448" s="65">
        <v>4646</v>
      </c>
      <c r="C4448" s="65" t="s">
        <v>1922</v>
      </c>
      <c r="D4448" s="65">
        <v>10901</v>
      </c>
      <c r="E4448" s="583"/>
      <c r="F4448" s="585">
        <v>45535</v>
      </c>
      <c r="G4448" s="65">
        <v>1</v>
      </c>
      <c r="H4448" s="591" t="s">
        <v>1978</v>
      </c>
      <c r="I4448" s="591" t="s">
        <v>1235</v>
      </c>
    </row>
    <row r="4449" spans="1:9">
      <c r="A4449" s="582" t="s">
        <v>709</v>
      </c>
      <c r="B4449" s="65">
        <v>4647</v>
      </c>
      <c r="C4449" s="65" t="s">
        <v>1923</v>
      </c>
      <c r="D4449" s="65">
        <v>11021</v>
      </c>
      <c r="E4449" s="583"/>
      <c r="F4449" s="585">
        <v>45535</v>
      </c>
      <c r="G4449" s="65">
        <v>1</v>
      </c>
      <c r="H4449" s="591" t="s">
        <v>1978</v>
      </c>
      <c r="I4449" s="591" t="s">
        <v>1235</v>
      </c>
    </row>
    <row r="4450" spans="1:9">
      <c r="A4450" s="582" t="s">
        <v>709</v>
      </c>
      <c r="B4450" s="65">
        <v>4648</v>
      </c>
      <c r="C4450" s="65" t="s">
        <v>1924</v>
      </c>
      <c r="D4450" s="65">
        <v>11022</v>
      </c>
      <c r="E4450" s="583"/>
      <c r="F4450" s="585">
        <v>45535</v>
      </c>
      <c r="G4450" s="65">
        <v>1</v>
      </c>
      <c r="H4450" s="591" t="s">
        <v>9</v>
      </c>
      <c r="I4450" s="591" t="s">
        <v>45</v>
      </c>
    </row>
    <row r="4451" spans="1:9">
      <c r="A4451" s="582" t="s">
        <v>709</v>
      </c>
      <c r="B4451" s="65">
        <v>4649</v>
      </c>
      <c r="C4451" s="579" t="s">
        <v>1925</v>
      </c>
      <c r="D4451" s="579">
        <v>11044</v>
      </c>
      <c r="E4451" s="583"/>
      <c r="F4451" s="585">
        <v>45535</v>
      </c>
      <c r="G4451" s="65">
        <v>1</v>
      </c>
      <c r="H4451" s="591" t="s">
        <v>1978</v>
      </c>
      <c r="I4451" s="591" t="s">
        <v>1235</v>
      </c>
    </row>
    <row r="4452" spans="1:9">
      <c r="A4452" s="582" t="s">
        <v>709</v>
      </c>
      <c r="B4452" s="65">
        <v>4650</v>
      </c>
      <c r="C4452" s="579" t="s">
        <v>281</v>
      </c>
      <c r="D4452" s="579"/>
      <c r="E4452" s="583"/>
      <c r="F4452" s="596"/>
      <c r="G4452" s="65">
        <v>0</v>
      </c>
      <c r="H4452" s="591" t="s">
        <v>280</v>
      </c>
      <c r="I4452" s="591" t="s">
        <v>280</v>
      </c>
    </row>
    <row r="4453" spans="1:9">
      <c r="A4453" s="582" t="s">
        <v>709</v>
      </c>
      <c r="B4453" s="65">
        <v>4651</v>
      </c>
      <c r="C4453" s="579" t="s">
        <v>281</v>
      </c>
      <c r="D4453" s="579"/>
      <c r="E4453" s="583"/>
      <c r="F4453" s="596"/>
      <c r="G4453" s="65">
        <v>0</v>
      </c>
      <c r="H4453" s="591" t="s">
        <v>280</v>
      </c>
      <c r="I4453" s="591" t="s">
        <v>280</v>
      </c>
    </row>
    <row r="4454" spans="1:9">
      <c r="A4454" s="582" t="s">
        <v>709</v>
      </c>
      <c r="B4454" s="65">
        <v>4652</v>
      </c>
      <c r="C4454" s="579" t="s">
        <v>281</v>
      </c>
      <c r="D4454" s="579"/>
      <c r="E4454" s="583"/>
      <c r="F4454" s="596"/>
      <c r="G4454" s="65">
        <v>0</v>
      </c>
      <c r="H4454" s="591" t="s">
        <v>280</v>
      </c>
      <c r="I4454" s="591" t="s">
        <v>280</v>
      </c>
    </row>
    <row r="4455" spans="1:9">
      <c r="A4455" s="582" t="s">
        <v>709</v>
      </c>
      <c r="B4455" s="65">
        <v>4653</v>
      </c>
      <c r="C4455" s="579" t="s">
        <v>281</v>
      </c>
      <c r="D4455" s="579"/>
      <c r="E4455" s="583"/>
      <c r="F4455" s="596"/>
      <c r="G4455" s="65">
        <v>0</v>
      </c>
      <c r="H4455" s="591" t="s">
        <v>280</v>
      </c>
      <c r="I4455" s="591" t="s">
        <v>280</v>
      </c>
    </row>
    <row r="4456" spans="1:9">
      <c r="A4456" s="582" t="s">
        <v>709</v>
      </c>
      <c r="B4456" s="65">
        <v>4654</v>
      </c>
      <c r="C4456" s="579" t="s">
        <v>281</v>
      </c>
      <c r="D4456" s="579"/>
      <c r="E4456" s="583"/>
      <c r="F4456" s="596"/>
      <c r="G4456" s="65">
        <v>0</v>
      </c>
      <c r="H4456" s="591" t="s">
        <v>280</v>
      </c>
      <c r="I4456" s="591" t="s">
        <v>280</v>
      </c>
    </row>
    <row r="4457" spans="1:9">
      <c r="A4457" s="582" t="s">
        <v>709</v>
      </c>
      <c r="B4457" s="65">
        <v>4655</v>
      </c>
      <c r="C4457" s="579" t="s">
        <v>281</v>
      </c>
      <c r="D4457" s="579"/>
      <c r="E4457" s="583"/>
      <c r="F4457" s="596"/>
      <c r="G4457" s="65">
        <v>0</v>
      </c>
      <c r="H4457" s="591" t="s">
        <v>280</v>
      </c>
      <c r="I4457" s="591" t="s">
        <v>280</v>
      </c>
    </row>
    <row r="4458" spans="1:9">
      <c r="A4458" s="582" t="s">
        <v>709</v>
      </c>
      <c r="B4458" s="65">
        <v>4656</v>
      </c>
      <c r="C4458" s="579" t="s">
        <v>281</v>
      </c>
      <c r="D4458" s="579"/>
      <c r="E4458" s="583"/>
      <c r="F4458" s="596"/>
      <c r="G4458" s="65">
        <v>0</v>
      </c>
      <c r="H4458" s="591" t="s">
        <v>280</v>
      </c>
      <c r="I4458" s="591" t="s">
        <v>280</v>
      </c>
    </row>
    <row r="4459" spans="1:9">
      <c r="A4459" s="582" t="s">
        <v>709</v>
      </c>
      <c r="B4459" s="65">
        <v>4657</v>
      </c>
      <c r="C4459" s="579" t="s">
        <v>281</v>
      </c>
      <c r="D4459" s="579"/>
      <c r="E4459" s="583"/>
      <c r="F4459" s="596"/>
      <c r="G4459" s="65">
        <v>0</v>
      </c>
      <c r="H4459" s="591" t="s">
        <v>280</v>
      </c>
      <c r="I4459" s="591" t="s">
        <v>280</v>
      </c>
    </row>
    <row r="4460" spans="1:9">
      <c r="A4460" s="582" t="s">
        <v>709</v>
      </c>
      <c r="B4460" s="65">
        <v>4658</v>
      </c>
      <c r="C4460" s="579" t="s">
        <v>281</v>
      </c>
      <c r="D4460" s="579"/>
      <c r="E4460" s="583"/>
      <c r="F4460" s="596"/>
      <c r="G4460" s="65">
        <v>0</v>
      </c>
      <c r="H4460" s="591" t="s">
        <v>280</v>
      </c>
      <c r="I4460" s="591" t="s">
        <v>280</v>
      </c>
    </row>
    <row r="4461" spans="1:9">
      <c r="A4461" s="582" t="s">
        <v>709</v>
      </c>
      <c r="B4461" s="65">
        <v>4659</v>
      </c>
      <c r="C4461" s="579" t="s">
        <v>281</v>
      </c>
      <c r="D4461" s="579"/>
      <c r="E4461" s="583"/>
      <c r="F4461" s="596"/>
      <c r="G4461" s="65">
        <v>0</v>
      </c>
      <c r="H4461" s="591" t="s">
        <v>280</v>
      </c>
      <c r="I4461" s="591" t="s">
        <v>280</v>
      </c>
    </row>
    <row r="4462" spans="1:9">
      <c r="A4462" s="582" t="s">
        <v>709</v>
      </c>
      <c r="B4462" s="65">
        <v>4660</v>
      </c>
      <c r="C4462" s="579" t="s">
        <v>281</v>
      </c>
      <c r="D4462" s="579"/>
      <c r="E4462" s="583"/>
      <c r="F4462" s="596"/>
      <c r="G4462" s="65">
        <v>0</v>
      </c>
      <c r="H4462" s="591" t="s">
        <v>280</v>
      </c>
      <c r="I4462" s="591" t="s">
        <v>280</v>
      </c>
    </row>
    <row r="4463" spans="1:9">
      <c r="A4463" s="582" t="s">
        <v>709</v>
      </c>
      <c r="B4463" s="65">
        <v>4661</v>
      </c>
      <c r="C4463" s="579" t="s">
        <v>281</v>
      </c>
      <c r="D4463" s="579"/>
      <c r="E4463" s="583"/>
      <c r="F4463" s="596"/>
      <c r="G4463" s="65">
        <v>0</v>
      </c>
      <c r="H4463" s="591" t="s">
        <v>280</v>
      </c>
      <c r="I4463" s="591" t="s">
        <v>280</v>
      </c>
    </row>
    <row r="4464" spans="1:9">
      <c r="A4464" s="582" t="s">
        <v>709</v>
      </c>
      <c r="B4464" s="65">
        <v>4662</v>
      </c>
      <c r="C4464" s="579" t="s">
        <v>281</v>
      </c>
      <c r="D4464" s="579"/>
      <c r="E4464" s="583"/>
      <c r="F4464" s="596"/>
      <c r="G4464" s="65">
        <v>0</v>
      </c>
      <c r="H4464" s="591" t="s">
        <v>280</v>
      </c>
      <c r="I4464" s="591" t="s">
        <v>280</v>
      </c>
    </row>
    <row r="4465" spans="1:9">
      <c r="A4465" s="582" t="s">
        <v>709</v>
      </c>
      <c r="B4465" s="65">
        <v>4663</v>
      </c>
      <c r="C4465" s="579" t="s">
        <v>281</v>
      </c>
      <c r="D4465" s="579"/>
      <c r="E4465" s="583"/>
      <c r="F4465" s="596"/>
      <c r="G4465" s="65">
        <v>0</v>
      </c>
      <c r="H4465" s="591" t="s">
        <v>280</v>
      </c>
      <c r="I4465" s="591" t="s">
        <v>280</v>
      </c>
    </row>
    <row r="4466" spans="1:9">
      <c r="A4466" s="582" t="s">
        <v>709</v>
      </c>
      <c r="B4466" s="65">
        <v>4664</v>
      </c>
      <c r="C4466" s="579" t="s">
        <v>281</v>
      </c>
      <c r="D4466" s="579"/>
      <c r="E4466" s="583"/>
      <c r="F4466" s="596"/>
      <c r="G4466" s="65">
        <v>0</v>
      </c>
      <c r="H4466" s="591" t="s">
        <v>280</v>
      </c>
      <c r="I4466" s="591" t="s">
        <v>280</v>
      </c>
    </row>
    <row r="4467" spans="1:9">
      <c r="A4467" s="582" t="s">
        <v>709</v>
      </c>
      <c r="B4467" s="65">
        <v>4665</v>
      </c>
      <c r="C4467" s="579" t="s">
        <v>281</v>
      </c>
      <c r="D4467" s="579"/>
      <c r="E4467" s="583"/>
      <c r="F4467" s="596"/>
      <c r="G4467" s="65">
        <v>0</v>
      </c>
      <c r="H4467" s="591" t="s">
        <v>280</v>
      </c>
      <c r="I4467" s="591" t="s">
        <v>280</v>
      </c>
    </row>
    <row r="4468" spans="1:9">
      <c r="A4468" s="582" t="s">
        <v>709</v>
      </c>
      <c r="B4468" s="65">
        <v>4666</v>
      </c>
      <c r="C4468" s="579" t="s">
        <v>281</v>
      </c>
      <c r="D4468" s="579"/>
      <c r="E4468" s="583"/>
      <c r="F4468" s="596"/>
      <c r="G4468" s="65">
        <v>0</v>
      </c>
      <c r="H4468" s="591" t="s">
        <v>280</v>
      </c>
      <c r="I4468" s="591" t="s">
        <v>280</v>
      </c>
    </row>
    <row r="4469" spans="1:9">
      <c r="A4469" s="582" t="s">
        <v>709</v>
      </c>
      <c r="B4469" s="65">
        <v>4667</v>
      </c>
      <c r="C4469" s="579" t="s">
        <v>281</v>
      </c>
      <c r="D4469" s="579"/>
      <c r="E4469" s="583"/>
      <c r="F4469" s="596"/>
      <c r="G4469" s="65">
        <v>0</v>
      </c>
      <c r="H4469" s="591" t="s">
        <v>280</v>
      </c>
      <c r="I4469" s="591" t="s">
        <v>280</v>
      </c>
    </row>
    <row r="4470" spans="1:9">
      <c r="A4470" s="582" t="s">
        <v>709</v>
      </c>
      <c r="B4470" s="65">
        <v>4668</v>
      </c>
      <c r="C4470" s="579" t="s">
        <v>281</v>
      </c>
      <c r="D4470" s="579"/>
      <c r="E4470" s="583"/>
      <c r="F4470" s="596"/>
      <c r="G4470" s="65">
        <v>0</v>
      </c>
      <c r="H4470" s="591" t="s">
        <v>280</v>
      </c>
      <c r="I4470" s="591" t="s">
        <v>280</v>
      </c>
    </row>
    <row r="4471" spans="1:9">
      <c r="A4471" s="582" t="s">
        <v>709</v>
      </c>
      <c r="B4471" s="65">
        <v>4669</v>
      </c>
      <c r="C4471" s="579" t="s">
        <v>281</v>
      </c>
      <c r="D4471" s="579"/>
      <c r="E4471" s="583"/>
      <c r="F4471" s="596"/>
      <c r="G4471" s="65">
        <v>0</v>
      </c>
      <c r="H4471" s="591" t="s">
        <v>280</v>
      </c>
      <c r="I4471" s="591" t="s">
        <v>280</v>
      </c>
    </row>
    <row r="4472" spans="1:9">
      <c r="A4472" s="582" t="s">
        <v>709</v>
      </c>
      <c r="B4472" s="65">
        <v>4670</v>
      </c>
      <c r="C4472" s="579" t="s">
        <v>281</v>
      </c>
      <c r="D4472" s="579"/>
      <c r="E4472" s="583"/>
      <c r="F4472" s="596"/>
      <c r="G4472" s="65">
        <v>0</v>
      </c>
      <c r="H4472" s="591" t="s">
        <v>280</v>
      </c>
      <c r="I4472" s="591" t="s">
        <v>280</v>
      </c>
    </row>
    <row r="4473" spans="1:9">
      <c r="A4473" s="582" t="s">
        <v>709</v>
      </c>
      <c r="B4473" s="65">
        <v>4671</v>
      </c>
      <c r="C4473" s="579" t="s">
        <v>281</v>
      </c>
      <c r="D4473" s="579"/>
      <c r="E4473" s="583"/>
      <c r="F4473" s="596"/>
      <c r="G4473" s="65">
        <v>0</v>
      </c>
      <c r="H4473" s="591" t="s">
        <v>280</v>
      </c>
      <c r="I4473" s="591" t="s">
        <v>280</v>
      </c>
    </row>
    <row r="4474" spans="1:9">
      <c r="A4474" s="582" t="s">
        <v>709</v>
      </c>
      <c r="B4474" s="65">
        <v>4672</v>
      </c>
      <c r="C4474" s="579" t="s">
        <v>281</v>
      </c>
      <c r="D4474" s="579"/>
      <c r="E4474" s="583"/>
      <c r="F4474" s="596"/>
      <c r="G4474" s="65">
        <v>0</v>
      </c>
      <c r="H4474" s="591" t="s">
        <v>280</v>
      </c>
      <c r="I4474" s="591" t="s">
        <v>280</v>
      </c>
    </row>
    <row r="4475" spans="1:9">
      <c r="A4475" s="582" t="s">
        <v>709</v>
      </c>
      <c r="B4475" s="65">
        <v>4673</v>
      </c>
      <c r="C4475" s="579" t="s">
        <v>281</v>
      </c>
      <c r="D4475" s="579"/>
      <c r="E4475" s="583"/>
      <c r="F4475" s="596"/>
      <c r="G4475" s="65">
        <v>0</v>
      </c>
      <c r="H4475" s="591" t="s">
        <v>280</v>
      </c>
      <c r="I4475" s="591" t="s">
        <v>280</v>
      </c>
    </row>
    <row r="4476" spans="1:9">
      <c r="A4476" s="582" t="s">
        <v>709</v>
      </c>
      <c r="B4476" s="65">
        <v>4674</v>
      </c>
      <c r="C4476" s="579" t="s">
        <v>281</v>
      </c>
      <c r="D4476" s="579"/>
      <c r="E4476" s="583"/>
      <c r="F4476" s="596"/>
      <c r="G4476" s="65">
        <v>0</v>
      </c>
      <c r="H4476" s="591" t="s">
        <v>280</v>
      </c>
      <c r="I4476" s="591" t="s">
        <v>280</v>
      </c>
    </row>
    <row r="4477" spans="1:9">
      <c r="A4477" s="582" t="s">
        <v>709</v>
      </c>
      <c r="B4477" s="65">
        <v>4675</v>
      </c>
      <c r="C4477" s="579" t="s">
        <v>281</v>
      </c>
      <c r="D4477" s="579"/>
      <c r="E4477" s="583"/>
      <c r="F4477" s="596"/>
      <c r="G4477" s="65">
        <v>0</v>
      </c>
      <c r="H4477" s="591" t="s">
        <v>280</v>
      </c>
      <c r="I4477" s="591" t="s">
        <v>280</v>
      </c>
    </row>
    <row r="4478" spans="1:9">
      <c r="A4478" s="582" t="s">
        <v>709</v>
      </c>
      <c r="B4478" s="65">
        <v>4676</v>
      </c>
      <c r="C4478" s="579" t="s">
        <v>281</v>
      </c>
      <c r="D4478" s="579"/>
      <c r="E4478" s="583"/>
      <c r="F4478" s="596"/>
      <c r="G4478" s="65">
        <v>0</v>
      </c>
      <c r="H4478" s="591" t="s">
        <v>280</v>
      </c>
      <c r="I4478" s="591" t="s">
        <v>280</v>
      </c>
    </row>
    <row r="4479" spans="1:9">
      <c r="A4479" s="582" t="s">
        <v>709</v>
      </c>
      <c r="B4479" s="65">
        <v>4677</v>
      </c>
      <c r="C4479" s="579" t="s">
        <v>281</v>
      </c>
      <c r="D4479" s="579"/>
      <c r="E4479" s="583"/>
      <c r="F4479" s="596"/>
      <c r="G4479" s="65">
        <v>0</v>
      </c>
      <c r="H4479" s="591" t="s">
        <v>280</v>
      </c>
      <c r="I4479" s="591" t="s">
        <v>280</v>
      </c>
    </row>
    <row r="4480" spans="1:9">
      <c r="A4480" s="582" t="s">
        <v>709</v>
      </c>
      <c r="B4480" s="65">
        <v>4678</v>
      </c>
      <c r="C4480" s="579" t="s">
        <v>281</v>
      </c>
      <c r="D4480" s="579"/>
      <c r="E4480" s="583"/>
      <c r="F4480" s="596"/>
      <c r="G4480" s="65">
        <v>0</v>
      </c>
      <c r="H4480" s="591" t="s">
        <v>280</v>
      </c>
      <c r="I4480" s="591" t="s">
        <v>280</v>
      </c>
    </row>
    <row r="4481" spans="1:9">
      <c r="A4481" s="582" t="s">
        <v>709</v>
      </c>
      <c r="B4481" s="65">
        <v>4679</v>
      </c>
      <c r="C4481" s="579" t="s">
        <v>281</v>
      </c>
      <c r="D4481" s="579"/>
      <c r="E4481" s="583"/>
      <c r="F4481" s="596"/>
      <c r="G4481" s="65">
        <v>0</v>
      </c>
      <c r="H4481" s="591" t="s">
        <v>280</v>
      </c>
      <c r="I4481" s="591" t="s">
        <v>280</v>
      </c>
    </row>
    <row r="4482" spans="1:9">
      <c r="A4482" s="582" t="s">
        <v>709</v>
      </c>
      <c r="B4482" s="65">
        <v>4680</v>
      </c>
      <c r="C4482" s="579" t="s">
        <v>281</v>
      </c>
      <c r="D4482" s="579"/>
      <c r="E4482" s="583"/>
      <c r="F4482" s="596"/>
      <c r="G4482" s="65">
        <v>0</v>
      </c>
      <c r="H4482" s="591" t="s">
        <v>280</v>
      </c>
      <c r="I4482" s="591" t="s">
        <v>280</v>
      </c>
    </row>
    <row r="4483" spans="1:9">
      <c r="A4483" s="582" t="s">
        <v>709</v>
      </c>
      <c r="B4483" s="65">
        <v>4681</v>
      </c>
      <c r="C4483" s="579" t="s">
        <v>281</v>
      </c>
      <c r="D4483" s="579"/>
      <c r="E4483" s="583"/>
      <c r="F4483" s="596"/>
      <c r="G4483" s="65">
        <v>0</v>
      </c>
      <c r="H4483" s="591" t="s">
        <v>280</v>
      </c>
      <c r="I4483" s="591" t="s">
        <v>280</v>
      </c>
    </row>
    <row r="4484" spans="1:9">
      <c r="A4484" s="582" t="s">
        <v>709</v>
      </c>
      <c r="B4484" s="65">
        <v>4682</v>
      </c>
      <c r="C4484" s="579" t="s">
        <v>281</v>
      </c>
      <c r="D4484" s="579"/>
      <c r="E4484" s="583"/>
      <c r="F4484" s="596"/>
      <c r="G4484" s="65">
        <v>0</v>
      </c>
      <c r="H4484" s="591" t="s">
        <v>280</v>
      </c>
      <c r="I4484" s="591" t="s">
        <v>280</v>
      </c>
    </row>
    <row r="4485" spans="1:9">
      <c r="A4485" s="582" t="s">
        <v>709</v>
      </c>
      <c r="B4485" s="65">
        <v>4683</v>
      </c>
      <c r="C4485" s="579" t="s">
        <v>281</v>
      </c>
      <c r="D4485" s="579"/>
      <c r="E4485" s="583"/>
      <c r="F4485" s="596"/>
      <c r="G4485" s="65">
        <v>0</v>
      </c>
      <c r="H4485" s="591" t="s">
        <v>280</v>
      </c>
      <c r="I4485" s="591" t="s">
        <v>280</v>
      </c>
    </row>
    <row r="4486" spans="1:9">
      <c r="A4486" s="582" t="s">
        <v>709</v>
      </c>
      <c r="B4486" s="65">
        <v>4684</v>
      </c>
      <c r="C4486" s="579" t="s">
        <v>281</v>
      </c>
      <c r="D4486" s="579"/>
      <c r="E4486" s="583"/>
      <c r="F4486" s="596"/>
      <c r="G4486" s="65">
        <v>0</v>
      </c>
      <c r="H4486" s="591" t="s">
        <v>280</v>
      </c>
      <c r="I4486" s="591" t="s">
        <v>280</v>
      </c>
    </row>
    <row r="4487" spans="1:9">
      <c r="A4487" s="582" t="s">
        <v>709</v>
      </c>
      <c r="B4487" s="65">
        <v>4685</v>
      </c>
      <c r="C4487" s="579" t="s">
        <v>281</v>
      </c>
      <c r="D4487" s="579"/>
      <c r="E4487" s="583"/>
      <c r="F4487" s="596"/>
      <c r="G4487" s="65">
        <v>0</v>
      </c>
      <c r="H4487" s="591" t="s">
        <v>280</v>
      </c>
      <c r="I4487" s="591" t="s">
        <v>280</v>
      </c>
    </row>
    <row r="4488" spans="1:9">
      <c r="A4488" s="582" t="s">
        <v>709</v>
      </c>
      <c r="B4488" s="65">
        <v>4686</v>
      </c>
      <c r="C4488" s="579" t="s">
        <v>281</v>
      </c>
      <c r="D4488" s="579"/>
      <c r="E4488" s="583"/>
      <c r="F4488" s="596"/>
      <c r="G4488" s="65">
        <v>0</v>
      </c>
      <c r="H4488" s="591" t="s">
        <v>280</v>
      </c>
      <c r="I4488" s="591" t="s">
        <v>280</v>
      </c>
    </row>
    <row r="4489" spans="1:9">
      <c r="A4489" s="582" t="s">
        <v>709</v>
      </c>
      <c r="B4489" s="65">
        <v>4687</v>
      </c>
      <c r="C4489" s="579" t="s">
        <v>281</v>
      </c>
      <c r="D4489" s="579"/>
      <c r="E4489" s="583"/>
      <c r="F4489" s="596"/>
      <c r="G4489" s="65">
        <v>0</v>
      </c>
      <c r="H4489" s="591" t="s">
        <v>280</v>
      </c>
      <c r="I4489" s="591" t="s">
        <v>280</v>
      </c>
    </row>
    <row r="4490" spans="1:9">
      <c r="A4490" s="582" t="s">
        <v>709</v>
      </c>
      <c r="B4490" s="65">
        <v>4688</v>
      </c>
      <c r="C4490" s="579" t="s">
        <v>281</v>
      </c>
      <c r="D4490" s="579"/>
      <c r="E4490" s="583"/>
      <c r="F4490" s="596"/>
      <c r="G4490" s="65">
        <v>0</v>
      </c>
      <c r="H4490" s="591" t="s">
        <v>280</v>
      </c>
      <c r="I4490" s="591" t="s">
        <v>280</v>
      </c>
    </row>
    <row r="4491" spans="1:9">
      <c r="A4491" s="582" t="s">
        <v>709</v>
      </c>
      <c r="B4491" s="65">
        <v>4689</v>
      </c>
      <c r="C4491" s="579" t="s">
        <v>281</v>
      </c>
      <c r="D4491" s="579"/>
      <c r="E4491" s="583"/>
      <c r="F4491" s="596"/>
      <c r="G4491" s="65">
        <v>0</v>
      </c>
      <c r="H4491" s="591" t="s">
        <v>280</v>
      </c>
      <c r="I4491" s="591" t="s">
        <v>280</v>
      </c>
    </row>
    <row r="4492" spans="1:9">
      <c r="A4492" s="582" t="s">
        <v>709</v>
      </c>
      <c r="B4492" s="65">
        <v>4690</v>
      </c>
      <c r="C4492" s="579" t="s">
        <v>281</v>
      </c>
      <c r="D4492" s="579"/>
      <c r="E4492" s="583"/>
      <c r="F4492" s="596"/>
      <c r="G4492" s="65">
        <v>0</v>
      </c>
      <c r="H4492" s="591" t="s">
        <v>280</v>
      </c>
      <c r="I4492" s="591" t="s">
        <v>280</v>
      </c>
    </row>
    <row r="4493" spans="1:9">
      <c r="A4493" s="582" t="s">
        <v>709</v>
      </c>
      <c r="B4493" s="65">
        <v>4691</v>
      </c>
      <c r="C4493" s="579" t="s">
        <v>281</v>
      </c>
      <c r="D4493" s="579"/>
      <c r="E4493" s="583"/>
      <c r="F4493" s="596"/>
      <c r="G4493" s="65">
        <v>0</v>
      </c>
      <c r="H4493" s="591" t="s">
        <v>280</v>
      </c>
      <c r="I4493" s="591" t="s">
        <v>280</v>
      </c>
    </row>
    <row r="4494" spans="1:9">
      <c r="A4494" s="582" t="s">
        <v>709</v>
      </c>
      <c r="B4494" s="65">
        <v>4692</v>
      </c>
      <c r="C4494" s="579" t="s">
        <v>281</v>
      </c>
      <c r="D4494" s="579"/>
      <c r="E4494" s="583"/>
      <c r="F4494" s="596"/>
      <c r="G4494" s="65">
        <v>0</v>
      </c>
      <c r="H4494" s="591" t="s">
        <v>280</v>
      </c>
      <c r="I4494" s="591" t="s">
        <v>280</v>
      </c>
    </row>
    <row r="4495" spans="1:9">
      <c r="A4495" s="582" t="s">
        <v>709</v>
      </c>
      <c r="B4495" s="65">
        <v>4693</v>
      </c>
      <c r="C4495" s="579" t="s">
        <v>281</v>
      </c>
      <c r="D4495" s="579"/>
      <c r="E4495" s="583"/>
      <c r="F4495" s="596"/>
      <c r="G4495" s="65">
        <v>0</v>
      </c>
      <c r="H4495" s="591" t="s">
        <v>280</v>
      </c>
      <c r="I4495" s="591" t="s">
        <v>280</v>
      </c>
    </row>
    <row r="4496" spans="1:9">
      <c r="A4496" s="582" t="s">
        <v>709</v>
      </c>
      <c r="B4496" s="65">
        <v>4694</v>
      </c>
      <c r="C4496" s="579" t="s">
        <v>281</v>
      </c>
      <c r="D4496" s="579"/>
      <c r="E4496" s="583"/>
      <c r="F4496" s="596"/>
      <c r="G4496" s="65">
        <v>0</v>
      </c>
      <c r="H4496" s="591" t="s">
        <v>280</v>
      </c>
      <c r="I4496" s="591" t="s">
        <v>280</v>
      </c>
    </row>
    <row r="4497" spans="1:9">
      <c r="A4497" s="582" t="s">
        <v>709</v>
      </c>
      <c r="B4497" s="65">
        <v>4695</v>
      </c>
      <c r="C4497" s="579" t="s">
        <v>281</v>
      </c>
      <c r="D4497" s="579"/>
      <c r="E4497" s="583"/>
      <c r="F4497" s="596"/>
      <c r="G4497" s="65">
        <v>0</v>
      </c>
      <c r="H4497" s="591" t="s">
        <v>280</v>
      </c>
      <c r="I4497" s="591" t="s">
        <v>280</v>
      </c>
    </row>
    <row r="4498" spans="1:9">
      <c r="A4498" s="582" t="s">
        <v>709</v>
      </c>
      <c r="B4498" s="65">
        <v>4696</v>
      </c>
      <c r="C4498" s="579" t="s">
        <v>281</v>
      </c>
      <c r="D4498" s="579"/>
      <c r="E4498" s="583"/>
      <c r="F4498" s="596"/>
      <c r="G4498" s="65">
        <v>0</v>
      </c>
      <c r="H4498" s="591" t="s">
        <v>280</v>
      </c>
      <c r="I4498" s="591" t="s">
        <v>280</v>
      </c>
    </row>
    <row r="4499" spans="1:9">
      <c r="A4499" s="582" t="s">
        <v>709</v>
      </c>
      <c r="B4499" s="65">
        <v>4697</v>
      </c>
      <c r="C4499" s="579" t="s">
        <v>281</v>
      </c>
      <c r="D4499" s="579"/>
      <c r="E4499" s="583"/>
      <c r="F4499" s="596"/>
      <c r="G4499" s="65">
        <v>0</v>
      </c>
      <c r="H4499" s="591" t="s">
        <v>280</v>
      </c>
      <c r="I4499" s="591" t="s">
        <v>280</v>
      </c>
    </row>
    <row r="4500" spans="1:9">
      <c r="A4500" s="582" t="s">
        <v>709</v>
      </c>
      <c r="B4500" s="65">
        <v>4698</v>
      </c>
      <c r="C4500" s="579" t="s">
        <v>281</v>
      </c>
      <c r="D4500" s="579"/>
      <c r="E4500" s="583"/>
      <c r="F4500" s="596"/>
      <c r="G4500" s="65">
        <v>0</v>
      </c>
      <c r="H4500" s="591" t="s">
        <v>280</v>
      </c>
      <c r="I4500" s="591" t="s">
        <v>280</v>
      </c>
    </row>
    <row r="4501" spans="1:9">
      <c r="A4501" s="582" t="s">
        <v>709</v>
      </c>
      <c r="B4501" s="65">
        <v>4699</v>
      </c>
      <c r="C4501" s="579" t="s">
        <v>281</v>
      </c>
      <c r="D4501" s="579"/>
      <c r="E4501" s="583"/>
      <c r="F4501" s="596"/>
      <c r="G4501" s="65">
        <v>0</v>
      </c>
      <c r="H4501" s="591" t="s">
        <v>280</v>
      </c>
      <c r="I4501" s="591" t="s">
        <v>280</v>
      </c>
    </row>
    <row r="4502" spans="1:9">
      <c r="A4502" s="582" t="s">
        <v>730</v>
      </c>
      <c r="B4502" s="65">
        <v>4700</v>
      </c>
      <c r="C4502" s="579" t="s">
        <v>279</v>
      </c>
      <c r="D4502" s="579"/>
      <c r="E4502" s="583"/>
      <c r="F4502" s="585">
        <v>45535</v>
      </c>
      <c r="G4502" s="65">
        <v>1</v>
      </c>
      <c r="H4502" s="591" t="s">
        <v>280</v>
      </c>
      <c r="I4502" s="591" t="s">
        <v>280</v>
      </c>
    </row>
    <row r="4503" spans="1:9">
      <c r="A4503" s="582" t="s">
        <v>730</v>
      </c>
      <c r="B4503" s="65">
        <v>4701</v>
      </c>
      <c r="C4503" s="579" t="s">
        <v>281</v>
      </c>
      <c r="D4503" s="579"/>
      <c r="E4503" s="583"/>
      <c r="F4503" s="596"/>
      <c r="G4503" s="65">
        <v>0</v>
      </c>
      <c r="H4503" s="591" t="s">
        <v>280</v>
      </c>
      <c r="I4503" s="591" t="s">
        <v>280</v>
      </c>
    </row>
    <row r="4504" spans="1:9">
      <c r="A4504" s="582" t="s">
        <v>730</v>
      </c>
      <c r="B4504" s="65">
        <v>4702</v>
      </c>
      <c r="C4504" s="579" t="s">
        <v>731</v>
      </c>
      <c r="D4504" s="63">
        <v>10576</v>
      </c>
      <c r="E4504" s="583"/>
      <c r="F4504" s="585">
        <v>45535</v>
      </c>
      <c r="G4504" s="65">
        <v>1</v>
      </c>
      <c r="H4504" s="591" t="s">
        <v>9</v>
      </c>
      <c r="I4504" s="591" t="s">
        <v>1219</v>
      </c>
    </row>
    <row r="4505" spans="1:9">
      <c r="A4505" s="582" t="s">
        <v>730</v>
      </c>
      <c r="B4505" s="65">
        <v>4703</v>
      </c>
      <c r="C4505" s="579" t="s">
        <v>732</v>
      </c>
      <c r="D4505" s="65">
        <v>10415</v>
      </c>
      <c r="E4505" s="583"/>
      <c r="F4505" s="585">
        <v>45535</v>
      </c>
      <c r="G4505" s="65">
        <v>1</v>
      </c>
      <c r="H4505" s="591" t="s">
        <v>9</v>
      </c>
      <c r="I4505" s="591" t="s">
        <v>1219</v>
      </c>
    </row>
    <row r="4506" spans="1:9">
      <c r="A4506" s="582" t="s">
        <v>730</v>
      </c>
      <c r="B4506" s="65">
        <v>4704</v>
      </c>
      <c r="C4506" s="579" t="s">
        <v>733</v>
      </c>
      <c r="D4506" s="65">
        <v>10610</v>
      </c>
      <c r="E4506" s="583"/>
      <c r="F4506" s="585">
        <v>45535</v>
      </c>
      <c r="G4506" s="65">
        <v>1</v>
      </c>
      <c r="H4506" s="591" t="s">
        <v>9</v>
      </c>
      <c r="I4506" s="591" t="s">
        <v>1219</v>
      </c>
    </row>
    <row r="4507" spans="1:9">
      <c r="A4507" s="582" t="s">
        <v>730</v>
      </c>
      <c r="B4507" s="65">
        <v>4705</v>
      </c>
      <c r="C4507" s="579" t="s">
        <v>734</v>
      </c>
      <c r="D4507" s="65">
        <v>10664</v>
      </c>
      <c r="E4507" s="583"/>
      <c r="F4507" s="585">
        <v>45535</v>
      </c>
      <c r="G4507" s="65">
        <v>1</v>
      </c>
      <c r="H4507" s="591" t="s">
        <v>9</v>
      </c>
      <c r="I4507" s="591" t="s">
        <v>1219</v>
      </c>
    </row>
    <row r="4508" spans="1:9">
      <c r="A4508" s="582" t="s">
        <v>730</v>
      </c>
      <c r="B4508" s="65">
        <v>4706</v>
      </c>
      <c r="C4508" s="579" t="s">
        <v>281</v>
      </c>
      <c r="D4508" s="579"/>
      <c r="E4508" s="583"/>
      <c r="F4508" s="596"/>
      <c r="G4508" s="65">
        <v>0</v>
      </c>
      <c r="H4508" s="591" t="s">
        <v>280</v>
      </c>
      <c r="I4508" s="591" t="s">
        <v>280</v>
      </c>
    </row>
    <row r="4509" spans="1:9">
      <c r="A4509" s="582" t="s">
        <v>730</v>
      </c>
      <c r="B4509" s="65">
        <v>4707</v>
      </c>
      <c r="C4509" s="579" t="s">
        <v>281</v>
      </c>
      <c r="D4509" s="579"/>
      <c r="E4509" s="583"/>
      <c r="F4509" s="596"/>
      <c r="G4509" s="65">
        <v>0</v>
      </c>
      <c r="H4509" s="591" t="s">
        <v>280</v>
      </c>
      <c r="I4509" s="591" t="s">
        <v>280</v>
      </c>
    </row>
    <row r="4510" spans="1:9">
      <c r="A4510" s="582" t="s">
        <v>730</v>
      </c>
      <c r="B4510" s="65">
        <v>4708</v>
      </c>
      <c r="C4510" s="579" t="s">
        <v>281</v>
      </c>
      <c r="D4510" s="63"/>
      <c r="E4510" s="583"/>
      <c r="F4510" s="596"/>
      <c r="G4510" s="65">
        <v>0</v>
      </c>
      <c r="H4510" s="591" t="s">
        <v>280</v>
      </c>
      <c r="I4510" s="591" t="s">
        <v>280</v>
      </c>
    </row>
    <row r="4511" spans="1:9">
      <c r="A4511" s="582" t="s">
        <v>730</v>
      </c>
      <c r="B4511" s="65">
        <v>4709</v>
      </c>
      <c r="C4511" s="579" t="s">
        <v>735</v>
      </c>
      <c r="D4511" s="579">
        <v>10324</v>
      </c>
      <c r="E4511" s="583"/>
      <c r="F4511" s="585">
        <v>45535</v>
      </c>
      <c r="G4511" s="65">
        <v>1</v>
      </c>
      <c r="H4511" s="591" t="s">
        <v>280</v>
      </c>
      <c r="I4511" s="591" t="s">
        <v>280</v>
      </c>
    </row>
    <row r="4512" spans="1:9">
      <c r="A4512" s="582" t="s">
        <v>730</v>
      </c>
      <c r="B4512" s="65">
        <v>4710</v>
      </c>
      <c r="C4512" s="579" t="s">
        <v>1926</v>
      </c>
      <c r="D4512" s="579">
        <v>10260</v>
      </c>
      <c r="E4512" s="583"/>
      <c r="F4512" s="585">
        <v>45535</v>
      </c>
      <c r="G4512" s="65">
        <v>1</v>
      </c>
      <c r="H4512" s="591" t="s">
        <v>280</v>
      </c>
      <c r="I4512" s="591" t="s">
        <v>280</v>
      </c>
    </row>
    <row r="4513" spans="1:9">
      <c r="A4513" s="582" t="s">
        <v>730</v>
      </c>
      <c r="B4513" s="65">
        <v>4711</v>
      </c>
      <c r="C4513" s="579" t="s">
        <v>736</v>
      </c>
      <c r="D4513" s="63">
        <v>10047</v>
      </c>
      <c r="E4513" s="583"/>
      <c r="F4513" s="585">
        <v>45535</v>
      </c>
      <c r="G4513" s="65">
        <v>1</v>
      </c>
      <c r="H4513" s="591" t="s">
        <v>9</v>
      </c>
      <c r="I4513" s="591" t="s">
        <v>1219</v>
      </c>
    </row>
    <row r="4514" spans="1:9">
      <c r="A4514" s="582" t="s">
        <v>730</v>
      </c>
      <c r="B4514" s="65">
        <v>4712</v>
      </c>
      <c r="C4514" s="579" t="s">
        <v>281</v>
      </c>
      <c r="D4514" s="63"/>
      <c r="E4514" s="583"/>
      <c r="F4514" s="596"/>
      <c r="G4514" s="65">
        <v>0</v>
      </c>
      <c r="H4514" s="591" t="s">
        <v>280</v>
      </c>
      <c r="I4514" s="591" t="s">
        <v>280</v>
      </c>
    </row>
    <row r="4515" spans="1:9">
      <c r="A4515" s="582" t="s">
        <v>730</v>
      </c>
      <c r="B4515" s="65">
        <v>4713</v>
      </c>
      <c r="C4515" s="579" t="s">
        <v>737</v>
      </c>
      <c r="D4515" s="63">
        <v>10474</v>
      </c>
      <c r="E4515" s="583"/>
      <c r="F4515" s="585">
        <v>45535</v>
      </c>
      <c r="G4515" s="65">
        <v>1</v>
      </c>
      <c r="H4515" s="591" t="s">
        <v>1979</v>
      </c>
      <c r="I4515" s="591" t="s">
        <v>1228</v>
      </c>
    </row>
    <row r="4516" spans="1:9">
      <c r="A4516" s="582" t="s">
        <v>730</v>
      </c>
      <c r="B4516" s="65">
        <v>4714</v>
      </c>
      <c r="C4516" s="579" t="s">
        <v>738</v>
      </c>
      <c r="D4516" s="65">
        <v>10541</v>
      </c>
      <c r="E4516" s="583"/>
      <c r="F4516" s="585">
        <v>45535</v>
      </c>
      <c r="G4516" s="65">
        <v>1</v>
      </c>
      <c r="H4516" s="591" t="s">
        <v>1979</v>
      </c>
      <c r="I4516" s="591" t="s">
        <v>1228</v>
      </c>
    </row>
    <row r="4517" spans="1:9">
      <c r="A4517" s="582" t="s">
        <v>730</v>
      </c>
      <c r="B4517" s="65">
        <v>4715</v>
      </c>
      <c r="C4517" s="63" t="s">
        <v>739</v>
      </c>
      <c r="D4517" s="63">
        <v>10268</v>
      </c>
      <c r="E4517" s="583"/>
      <c r="F4517" s="585">
        <v>45535</v>
      </c>
      <c r="G4517" s="65">
        <v>1</v>
      </c>
      <c r="H4517" s="591" t="s">
        <v>280</v>
      </c>
      <c r="I4517" s="591" t="s">
        <v>280</v>
      </c>
    </row>
    <row r="4518" spans="1:9">
      <c r="A4518" s="582" t="s">
        <v>730</v>
      </c>
      <c r="B4518" s="65">
        <v>4716</v>
      </c>
      <c r="C4518" s="579" t="s">
        <v>740</v>
      </c>
      <c r="D4518" s="65">
        <v>10658</v>
      </c>
      <c r="E4518" s="583"/>
      <c r="F4518" s="585">
        <v>45535</v>
      </c>
      <c r="G4518" s="65">
        <v>1</v>
      </c>
      <c r="H4518" s="591" t="s">
        <v>1979</v>
      </c>
      <c r="I4518" s="591" t="s">
        <v>1228</v>
      </c>
    </row>
    <row r="4519" spans="1:9">
      <c r="A4519" s="582" t="s">
        <v>730</v>
      </c>
      <c r="B4519" s="65">
        <v>4717</v>
      </c>
      <c r="C4519" s="579" t="s">
        <v>741</v>
      </c>
      <c r="D4519" s="63">
        <v>10077</v>
      </c>
      <c r="E4519" s="583"/>
      <c r="F4519" s="585">
        <v>45535</v>
      </c>
      <c r="G4519" s="65">
        <v>1</v>
      </c>
      <c r="H4519" s="591" t="s">
        <v>9</v>
      </c>
      <c r="I4519" s="591" t="s">
        <v>1219</v>
      </c>
    </row>
    <row r="4520" spans="1:9">
      <c r="A4520" s="582" t="s">
        <v>730</v>
      </c>
      <c r="B4520" s="65">
        <v>4718</v>
      </c>
      <c r="C4520" s="579" t="s">
        <v>281</v>
      </c>
      <c r="D4520" s="63"/>
      <c r="E4520" s="583"/>
      <c r="F4520" s="596"/>
      <c r="G4520" s="65">
        <v>0</v>
      </c>
      <c r="H4520" s="591" t="s">
        <v>280</v>
      </c>
      <c r="I4520" s="591" t="s">
        <v>280</v>
      </c>
    </row>
    <row r="4521" spans="1:9">
      <c r="A4521" s="582" t="s">
        <v>730</v>
      </c>
      <c r="B4521" s="65">
        <v>4719</v>
      </c>
      <c r="C4521" s="579" t="s">
        <v>742</v>
      </c>
      <c r="D4521" s="63">
        <v>10153</v>
      </c>
      <c r="E4521" s="583"/>
      <c r="F4521" s="585">
        <v>45535</v>
      </c>
      <c r="G4521" s="65">
        <v>1</v>
      </c>
      <c r="H4521" s="591" t="s">
        <v>1979</v>
      </c>
      <c r="I4521" s="591" t="s">
        <v>1228</v>
      </c>
    </row>
    <row r="4522" spans="1:9">
      <c r="A4522" s="582" t="s">
        <v>730</v>
      </c>
      <c r="B4522" s="65">
        <v>4720</v>
      </c>
      <c r="C4522" s="579" t="s">
        <v>743</v>
      </c>
      <c r="D4522" s="579">
        <v>10115</v>
      </c>
      <c r="E4522" s="583"/>
      <c r="F4522" s="585">
        <v>45535</v>
      </c>
      <c r="G4522" s="65">
        <v>1</v>
      </c>
      <c r="H4522" s="591" t="s">
        <v>9</v>
      </c>
      <c r="I4522" s="591" t="s">
        <v>1219</v>
      </c>
    </row>
    <row r="4523" spans="1:9">
      <c r="A4523" s="582" t="s">
        <v>730</v>
      </c>
      <c r="B4523" s="65">
        <v>4721</v>
      </c>
      <c r="C4523" s="579" t="s">
        <v>744</v>
      </c>
      <c r="D4523" s="63">
        <v>10281</v>
      </c>
      <c r="E4523" s="583"/>
      <c r="F4523" s="585">
        <v>45535</v>
      </c>
      <c r="G4523" s="65">
        <v>1</v>
      </c>
      <c r="H4523" s="591" t="s">
        <v>9</v>
      </c>
      <c r="I4523" s="591" t="s">
        <v>1219</v>
      </c>
    </row>
    <row r="4524" spans="1:9">
      <c r="A4524" s="582" t="s">
        <v>730</v>
      </c>
      <c r="B4524" s="65">
        <v>4722</v>
      </c>
      <c r="C4524" s="579" t="s">
        <v>745</v>
      </c>
      <c r="D4524" s="63">
        <v>10146</v>
      </c>
      <c r="E4524" s="583"/>
      <c r="F4524" s="585">
        <v>45535</v>
      </c>
      <c r="G4524" s="65">
        <v>1</v>
      </c>
      <c r="H4524" s="591" t="s">
        <v>9</v>
      </c>
      <c r="I4524" s="591" t="s">
        <v>1219</v>
      </c>
    </row>
    <row r="4525" spans="1:9">
      <c r="A4525" s="582" t="s">
        <v>730</v>
      </c>
      <c r="B4525" s="65">
        <v>4723</v>
      </c>
      <c r="C4525" s="579" t="s">
        <v>281</v>
      </c>
      <c r="D4525" s="65"/>
      <c r="E4525" s="583"/>
      <c r="F4525" s="596"/>
      <c r="G4525" s="65">
        <v>0</v>
      </c>
      <c r="H4525" s="591" t="s">
        <v>280</v>
      </c>
      <c r="I4525" s="591" t="s">
        <v>280</v>
      </c>
    </row>
    <row r="4526" spans="1:9">
      <c r="A4526" s="582" t="s">
        <v>730</v>
      </c>
      <c r="B4526" s="65">
        <v>4724</v>
      </c>
      <c r="C4526" s="579" t="s">
        <v>281</v>
      </c>
      <c r="D4526" s="65"/>
      <c r="E4526" s="583"/>
      <c r="F4526" s="596"/>
      <c r="G4526" s="65">
        <v>0</v>
      </c>
      <c r="H4526" s="591" t="s">
        <v>280</v>
      </c>
      <c r="I4526" s="591" t="s">
        <v>280</v>
      </c>
    </row>
    <row r="4527" spans="1:9">
      <c r="A4527" s="582" t="s">
        <v>730</v>
      </c>
      <c r="B4527" s="65">
        <v>4725</v>
      </c>
      <c r="C4527" s="579" t="s">
        <v>281</v>
      </c>
      <c r="D4527" s="579"/>
      <c r="E4527" s="583"/>
      <c r="F4527" s="596"/>
      <c r="G4527" s="65">
        <v>0</v>
      </c>
      <c r="H4527" s="591" t="s">
        <v>280</v>
      </c>
      <c r="I4527" s="591" t="s">
        <v>280</v>
      </c>
    </row>
    <row r="4528" spans="1:9">
      <c r="A4528" s="582" t="s">
        <v>730</v>
      </c>
      <c r="B4528" s="65">
        <v>4726</v>
      </c>
      <c r="C4528" s="579" t="s">
        <v>1927</v>
      </c>
      <c r="D4528" s="579">
        <v>10796</v>
      </c>
      <c r="E4528" s="583"/>
      <c r="F4528" s="585">
        <v>45535</v>
      </c>
      <c r="G4528" s="65">
        <v>1</v>
      </c>
      <c r="H4528" s="591" t="s">
        <v>1979</v>
      </c>
      <c r="I4528" s="591" t="s">
        <v>1228</v>
      </c>
    </row>
    <row r="4529" spans="1:9">
      <c r="A4529" s="582" t="s">
        <v>730</v>
      </c>
      <c r="B4529" s="65">
        <v>4727</v>
      </c>
      <c r="C4529" s="579" t="s">
        <v>281</v>
      </c>
      <c r="D4529" s="579"/>
      <c r="E4529" s="583"/>
      <c r="F4529" s="596"/>
      <c r="G4529" s="65">
        <v>0</v>
      </c>
      <c r="H4529" s="591" t="s">
        <v>280</v>
      </c>
      <c r="I4529" s="591" t="s">
        <v>280</v>
      </c>
    </row>
    <row r="4530" spans="1:9">
      <c r="A4530" s="582" t="s">
        <v>730</v>
      </c>
      <c r="B4530" s="65">
        <v>4728</v>
      </c>
      <c r="C4530" s="579" t="s">
        <v>281</v>
      </c>
      <c r="D4530" s="579"/>
      <c r="E4530" s="583"/>
      <c r="F4530" s="596"/>
      <c r="G4530" s="65">
        <v>0</v>
      </c>
      <c r="H4530" s="591" t="s">
        <v>280</v>
      </c>
      <c r="I4530" s="591" t="s">
        <v>280</v>
      </c>
    </row>
    <row r="4531" spans="1:9">
      <c r="A4531" s="580" t="s">
        <v>730</v>
      </c>
      <c r="B4531" s="65">
        <v>4729</v>
      </c>
      <c r="C4531" s="65" t="s">
        <v>1928</v>
      </c>
      <c r="D4531" s="65">
        <v>10861</v>
      </c>
      <c r="E4531" s="583"/>
      <c r="F4531" s="585">
        <v>45535</v>
      </c>
      <c r="G4531" s="65">
        <v>1</v>
      </c>
      <c r="H4531" s="591" t="s">
        <v>1979</v>
      </c>
      <c r="I4531" s="591" t="s">
        <v>1228</v>
      </c>
    </row>
    <row r="4532" spans="1:9">
      <c r="A4532" s="582" t="s">
        <v>730</v>
      </c>
      <c r="B4532" s="65">
        <v>4730</v>
      </c>
      <c r="C4532" s="65" t="s">
        <v>1929</v>
      </c>
      <c r="D4532" s="65">
        <v>10921</v>
      </c>
      <c r="E4532" s="583"/>
      <c r="F4532" s="585">
        <v>45535</v>
      </c>
      <c r="G4532" s="65">
        <v>1</v>
      </c>
      <c r="H4532" s="591" t="s">
        <v>9</v>
      </c>
      <c r="I4532" s="591" t="s">
        <v>1219</v>
      </c>
    </row>
    <row r="4533" spans="1:9">
      <c r="A4533" s="582" t="s">
        <v>730</v>
      </c>
      <c r="B4533" s="65">
        <v>4731</v>
      </c>
      <c r="C4533" s="579" t="s">
        <v>1930</v>
      </c>
      <c r="D4533" s="63">
        <v>10380</v>
      </c>
      <c r="E4533" s="583"/>
      <c r="F4533" s="585">
        <v>45535</v>
      </c>
      <c r="G4533" s="65">
        <v>1</v>
      </c>
      <c r="H4533" s="591" t="s">
        <v>1979</v>
      </c>
      <c r="I4533" s="591" t="s">
        <v>1228</v>
      </c>
    </row>
    <row r="4534" spans="1:9">
      <c r="A4534" s="582" t="s">
        <v>730</v>
      </c>
      <c r="B4534" s="65">
        <v>4732</v>
      </c>
      <c r="C4534" s="579" t="s">
        <v>1931</v>
      </c>
      <c r="D4534" s="63">
        <v>10976</v>
      </c>
      <c r="E4534" s="583"/>
      <c r="F4534" s="585">
        <v>45535</v>
      </c>
      <c r="G4534" s="65">
        <v>1</v>
      </c>
      <c r="H4534" s="591" t="s">
        <v>1979</v>
      </c>
      <c r="I4534" s="591" t="s">
        <v>1228</v>
      </c>
    </row>
    <row r="4535" spans="1:9">
      <c r="A4535" s="582" t="s">
        <v>730</v>
      </c>
      <c r="B4535" s="65">
        <v>4733</v>
      </c>
      <c r="C4535" s="579" t="s">
        <v>1932</v>
      </c>
      <c r="D4535" s="63">
        <v>10977</v>
      </c>
      <c r="E4535" s="583"/>
      <c r="F4535" s="585">
        <v>45535</v>
      </c>
      <c r="G4535" s="65">
        <v>1</v>
      </c>
      <c r="H4535" s="591" t="s">
        <v>1979</v>
      </c>
      <c r="I4535" s="591" t="s">
        <v>1228</v>
      </c>
    </row>
    <row r="4536" spans="1:9">
      <c r="A4536" s="582" t="s">
        <v>730</v>
      </c>
      <c r="B4536" s="65">
        <v>4734</v>
      </c>
      <c r="C4536" s="579" t="s">
        <v>1933</v>
      </c>
      <c r="D4536" s="63">
        <v>10978</v>
      </c>
      <c r="E4536" s="583"/>
      <c r="F4536" s="585">
        <v>45535</v>
      </c>
      <c r="G4536" s="65">
        <v>1</v>
      </c>
      <c r="H4536" s="591" t="s">
        <v>1979</v>
      </c>
      <c r="I4536" s="591" t="s">
        <v>1228</v>
      </c>
    </row>
    <row r="4537" spans="1:9">
      <c r="A4537" s="582" t="s">
        <v>730</v>
      </c>
      <c r="B4537" s="65">
        <v>4735</v>
      </c>
      <c r="C4537" s="65" t="s">
        <v>1934</v>
      </c>
      <c r="D4537" s="65">
        <v>11033</v>
      </c>
      <c r="E4537" s="583"/>
      <c r="F4537" s="585">
        <v>45535</v>
      </c>
      <c r="G4537" s="65">
        <v>1</v>
      </c>
      <c r="H4537" s="591" t="s">
        <v>9</v>
      </c>
      <c r="I4537" s="591" t="s">
        <v>1219</v>
      </c>
    </row>
    <row r="4538" spans="1:9">
      <c r="A4538" s="582" t="s">
        <v>730</v>
      </c>
      <c r="B4538" s="65">
        <v>4736</v>
      </c>
      <c r="C4538" s="65" t="s">
        <v>1935</v>
      </c>
      <c r="D4538" s="65">
        <v>11034</v>
      </c>
      <c r="E4538" s="583"/>
      <c r="F4538" s="585">
        <v>45535</v>
      </c>
      <c r="G4538" s="65">
        <v>1</v>
      </c>
      <c r="H4538" s="591" t="s">
        <v>280</v>
      </c>
      <c r="I4538" s="591" t="s">
        <v>280</v>
      </c>
    </row>
    <row r="4539" spans="1:9">
      <c r="A4539" s="582" t="s">
        <v>730</v>
      </c>
      <c r="B4539" s="65">
        <v>4737</v>
      </c>
      <c r="C4539" s="63" t="s">
        <v>1940</v>
      </c>
      <c r="D4539" s="63">
        <v>10055</v>
      </c>
      <c r="E4539" s="583"/>
      <c r="F4539" s="585">
        <v>45535</v>
      </c>
      <c r="G4539" s="65">
        <v>1</v>
      </c>
      <c r="H4539" s="591" t="s">
        <v>9</v>
      </c>
      <c r="I4539" s="591" t="s">
        <v>1219</v>
      </c>
    </row>
    <row r="4540" spans="1:9">
      <c r="A4540" s="582" t="s">
        <v>730</v>
      </c>
      <c r="B4540" s="65">
        <v>4738</v>
      </c>
      <c r="C4540" s="579" t="s">
        <v>281</v>
      </c>
      <c r="D4540" s="579"/>
      <c r="E4540" s="583"/>
      <c r="F4540" s="596"/>
      <c r="G4540" s="65">
        <v>0</v>
      </c>
      <c r="H4540" s="591" t="s">
        <v>280</v>
      </c>
      <c r="I4540" s="591" t="s">
        <v>280</v>
      </c>
    </row>
    <row r="4541" spans="1:9">
      <c r="A4541" s="582" t="s">
        <v>730</v>
      </c>
      <c r="B4541" s="65">
        <v>4739</v>
      </c>
      <c r="C4541" s="579" t="s">
        <v>281</v>
      </c>
      <c r="D4541" s="579"/>
      <c r="E4541" s="583"/>
      <c r="F4541" s="596"/>
      <c r="G4541" s="65">
        <v>0</v>
      </c>
      <c r="H4541" s="591" t="s">
        <v>280</v>
      </c>
      <c r="I4541" s="591" t="s">
        <v>280</v>
      </c>
    </row>
    <row r="4542" spans="1:9">
      <c r="A4542" s="582" t="s">
        <v>730</v>
      </c>
      <c r="B4542" s="65">
        <v>4740</v>
      </c>
      <c r="C4542" s="579" t="s">
        <v>281</v>
      </c>
      <c r="D4542" s="579"/>
      <c r="E4542" s="583"/>
      <c r="F4542" s="596"/>
      <c r="G4542" s="65">
        <v>0</v>
      </c>
      <c r="H4542" s="591" t="s">
        <v>280</v>
      </c>
      <c r="I4542" s="591" t="s">
        <v>280</v>
      </c>
    </row>
    <row r="4543" spans="1:9">
      <c r="A4543" s="582" t="s">
        <v>730</v>
      </c>
      <c r="B4543" s="65">
        <v>4741</v>
      </c>
      <c r="C4543" s="579" t="s">
        <v>281</v>
      </c>
      <c r="D4543" s="579"/>
      <c r="E4543" s="583"/>
      <c r="F4543" s="596"/>
      <c r="G4543" s="65">
        <v>0</v>
      </c>
      <c r="H4543" s="591" t="s">
        <v>280</v>
      </c>
      <c r="I4543" s="591" t="s">
        <v>280</v>
      </c>
    </row>
    <row r="4544" spans="1:9">
      <c r="A4544" s="582" t="s">
        <v>730</v>
      </c>
      <c r="B4544" s="65">
        <v>4742</v>
      </c>
      <c r="C4544" s="579" t="s">
        <v>281</v>
      </c>
      <c r="D4544" s="579"/>
      <c r="E4544" s="583"/>
      <c r="F4544" s="596"/>
      <c r="G4544" s="65">
        <v>0</v>
      </c>
      <c r="H4544" s="591" t="s">
        <v>280</v>
      </c>
      <c r="I4544" s="591" t="s">
        <v>280</v>
      </c>
    </row>
    <row r="4545" spans="1:9">
      <c r="A4545" s="582" t="s">
        <v>730</v>
      </c>
      <c r="B4545" s="65">
        <v>4743</v>
      </c>
      <c r="C4545" s="579" t="s">
        <v>281</v>
      </c>
      <c r="D4545" s="579"/>
      <c r="E4545" s="583"/>
      <c r="F4545" s="596"/>
      <c r="G4545" s="65">
        <v>0</v>
      </c>
      <c r="H4545" s="591" t="s">
        <v>280</v>
      </c>
      <c r="I4545" s="591" t="s">
        <v>280</v>
      </c>
    </row>
    <row r="4546" spans="1:9">
      <c r="A4546" s="582" t="s">
        <v>730</v>
      </c>
      <c r="B4546" s="65">
        <v>4744</v>
      </c>
      <c r="C4546" s="579" t="s">
        <v>281</v>
      </c>
      <c r="D4546" s="579"/>
      <c r="E4546" s="583"/>
      <c r="F4546" s="596"/>
      <c r="G4546" s="65">
        <v>0</v>
      </c>
      <c r="H4546" s="591" t="s">
        <v>280</v>
      </c>
      <c r="I4546" s="591" t="s">
        <v>280</v>
      </c>
    </row>
    <row r="4547" spans="1:9">
      <c r="A4547" s="582" t="s">
        <v>730</v>
      </c>
      <c r="B4547" s="65">
        <v>4745</v>
      </c>
      <c r="C4547" s="579" t="s">
        <v>281</v>
      </c>
      <c r="D4547" s="579"/>
      <c r="E4547" s="583"/>
      <c r="F4547" s="596"/>
      <c r="G4547" s="65">
        <v>0</v>
      </c>
      <c r="H4547" s="591" t="s">
        <v>280</v>
      </c>
      <c r="I4547" s="591" t="s">
        <v>280</v>
      </c>
    </row>
    <row r="4548" spans="1:9">
      <c r="A4548" s="582" t="s">
        <v>730</v>
      </c>
      <c r="B4548" s="65">
        <v>4746</v>
      </c>
      <c r="C4548" s="579" t="s">
        <v>281</v>
      </c>
      <c r="D4548" s="579"/>
      <c r="E4548" s="583"/>
      <c r="F4548" s="596"/>
      <c r="G4548" s="65">
        <v>0</v>
      </c>
      <c r="H4548" s="591" t="s">
        <v>280</v>
      </c>
      <c r="I4548" s="591" t="s">
        <v>280</v>
      </c>
    </row>
    <row r="4549" spans="1:9">
      <c r="A4549" s="582" t="s">
        <v>730</v>
      </c>
      <c r="B4549" s="65">
        <v>4747</v>
      </c>
      <c r="C4549" s="579" t="s">
        <v>281</v>
      </c>
      <c r="D4549" s="579"/>
      <c r="E4549" s="583"/>
      <c r="F4549" s="596"/>
      <c r="G4549" s="65">
        <v>0</v>
      </c>
      <c r="H4549" s="591" t="s">
        <v>280</v>
      </c>
      <c r="I4549" s="591" t="s">
        <v>280</v>
      </c>
    </row>
    <row r="4550" spans="1:9">
      <c r="A4550" s="582" t="s">
        <v>730</v>
      </c>
      <c r="B4550" s="65">
        <v>4748</v>
      </c>
      <c r="C4550" s="579" t="s">
        <v>281</v>
      </c>
      <c r="D4550" s="579"/>
      <c r="E4550" s="583"/>
      <c r="F4550" s="596"/>
      <c r="G4550" s="65">
        <v>0</v>
      </c>
      <c r="H4550" s="591" t="s">
        <v>280</v>
      </c>
      <c r="I4550" s="591" t="s">
        <v>280</v>
      </c>
    </row>
    <row r="4551" spans="1:9">
      <c r="A4551" s="582" t="s">
        <v>730</v>
      </c>
      <c r="B4551" s="65">
        <v>4749</v>
      </c>
      <c r="C4551" s="579" t="s">
        <v>281</v>
      </c>
      <c r="D4551" s="579"/>
      <c r="E4551" s="583"/>
      <c r="F4551" s="596"/>
      <c r="G4551" s="65">
        <v>0</v>
      </c>
      <c r="H4551" s="591" t="s">
        <v>280</v>
      </c>
      <c r="I4551" s="591" t="s">
        <v>280</v>
      </c>
    </row>
    <row r="4552" spans="1:9">
      <c r="A4552" s="582" t="s">
        <v>730</v>
      </c>
      <c r="B4552" s="65">
        <v>4750</v>
      </c>
      <c r="C4552" s="579" t="s">
        <v>281</v>
      </c>
      <c r="D4552" s="579"/>
      <c r="E4552" s="583"/>
      <c r="F4552" s="596"/>
      <c r="G4552" s="65">
        <v>0</v>
      </c>
      <c r="H4552" s="591" t="s">
        <v>280</v>
      </c>
      <c r="I4552" s="591" t="s">
        <v>280</v>
      </c>
    </row>
    <row r="4553" spans="1:9">
      <c r="A4553" s="582" t="s">
        <v>730</v>
      </c>
      <c r="B4553" s="65">
        <v>4751</v>
      </c>
      <c r="C4553" s="579" t="s">
        <v>281</v>
      </c>
      <c r="D4553" s="579"/>
      <c r="E4553" s="583"/>
      <c r="F4553" s="596"/>
      <c r="G4553" s="65">
        <v>0</v>
      </c>
      <c r="H4553" s="591" t="s">
        <v>280</v>
      </c>
      <c r="I4553" s="591" t="s">
        <v>280</v>
      </c>
    </row>
    <row r="4554" spans="1:9">
      <c r="A4554" s="582" t="s">
        <v>730</v>
      </c>
      <c r="B4554" s="65">
        <v>4752</v>
      </c>
      <c r="C4554" s="579" t="s">
        <v>281</v>
      </c>
      <c r="D4554" s="579"/>
      <c r="E4554" s="583"/>
      <c r="F4554" s="596"/>
      <c r="G4554" s="65">
        <v>0</v>
      </c>
      <c r="H4554" s="591" t="s">
        <v>280</v>
      </c>
      <c r="I4554" s="591" t="s">
        <v>280</v>
      </c>
    </row>
    <row r="4555" spans="1:9">
      <c r="A4555" s="582" t="s">
        <v>730</v>
      </c>
      <c r="B4555" s="65">
        <v>4753</v>
      </c>
      <c r="C4555" s="579" t="s">
        <v>281</v>
      </c>
      <c r="D4555" s="579"/>
      <c r="E4555" s="583"/>
      <c r="F4555" s="596"/>
      <c r="G4555" s="65">
        <v>0</v>
      </c>
      <c r="H4555" s="591" t="s">
        <v>280</v>
      </c>
      <c r="I4555" s="591" t="s">
        <v>280</v>
      </c>
    </row>
    <row r="4556" spans="1:9">
      <c r="A4556" s="582" t="s">
        <v>730</v>
      </c>
      <c r="B4556" s="65">
        <v>4754</v>
      </c>
      <c r="C4556" s="579" t="s">
        <v>281</v>
      </c>
      <c r="D4556" s="579"/>
      <c r="E4556" s="583"/>
      <c r="F4556" s="596"/>
      <c r="G4556" s="65">
        <v>0</v>
      </c>
      <c r="H4556" s="591" t="s">
        <v>280</v>
      </c>
      <c r="I4556" s="591" t="s">
        <v>280</v>
      </c>
    </row>
    <row r="4557" spans="1:9">
      <c r="A4557" s="582" t="s">
        <v>730</v>
      </c>
      <c r="B4557" s="65">
        <v>4755</v>
      </c>
      <c r="C4557" s="579" t="s">
        <v>281</v>
      </c>
      <c r="D4557" s="579"/>
      <c r="E4557" s="583"/>
      <c r="F4557" s="596"/>
      <c r="G4557" s="65">
        <v>0</v>
      </c>
      <c r="H4557" s="591" t="s">
        <v>280</v>
      </c>
      <c r="I4557" s="591" t="s">
        <v>280</v>
      </c>
    </row>
    <row r="4558" spans="1:9">
      <c r="A4558" s="582" t="s">
        <v>730</v>
      </c>
      <c r="B4558" s="65">
        <v>4756</v>
      </c>
      <c r="C4558" s="579" t="s">
        <v>281</v>
      </c>
      <c r="D4558" s="579"/>
      <c r="E4558" s="583"/>
      <c r="F4558" s="596"/>
      <c r="G4558" s="65">
        <v>0</v>
      </c>
      <c r="H4558" s="591" t="s">
        <v>280</v>
      </c>
      <c r="I4558" s="591" t="s">
        <v>280</v>
      </c>
    </row>
    <row r="4559" spans="1:9">
      <c r="A4559" s="582" t="s">
        <v>730</v>
      </c>
      <c r="B4559" s="65">
        <v>4757</v>
      </c>
      <c r="C4559" s="579" t="s">
        <v>281</v>
      </c>
      <c r="D4559" s="579"/>
      <c r="E4559" s="583"/>
      <c r="F4559" s="596"/>
      <c r="G4559" s="65">
        <v>0</v>
      </c>
      <c r="H4559" s="591" t="s">
        <v>280</v>
      </c>
      <c r="I4559" s="591" t="s">
        <v>280</v>
      </c>
    </row>
    <row r="4560" spans="1:9">
      <c r="A4560" s="582" t="s">
        <v>730</v>
      </c>
      <c r="B4560" s="65">
        <v>4758</v>
      </c>
      <c r="C4560" s="579" t="s">
        <v>281</v>
      </c>
      <c r="D4560" s="579"/>
      <c r="E4560" s="583"/>
      <c r="F4560" s="596"/>
      <c r="G4560" s="65">
        <v>0</v>
      </c>
      <c r="H4560" s="591" t="s">
        <v>280</v>
      </c>
      <c r="I4560" s="591" t="s">
        <v>280</v>
      </c>
    </row>
    <row r="4561" spans="1:9">
      <c r="A4561" s="582" t="s">
        <v>730</v>
      </c>
      <c r="B4561" s="65">
        <v>4759</v>
      </c>
      <c r="C4561" s="579" t="s">
        <v>281</v>
      </c>
      <c r="D4561" s="579"/>
      <c r="E4561" s="583"/>
      <c r="F4561" s="596"/>
      <c r="G4561" s="65">
        <v>0</v>
      </c>
      <c r="H4561" s="591" t="s">
        <v>280</v>
      </c>
      <c r="I4561" s="591" t="s">
        <v>280</v>
      </c>
    </row>
    <row r="4562" spans="1:9">
      <c r="A4562" s="582" t="s">
        <v>730</v>
      </c>
      <c r="B4562" s="65">
        <v>4760</v>
      </c>
      <c r="C4562" s="579" t="s">
        <v>281</v>
      </c>
      <c r="D4562" s="579"/>
      <c r="E4562" s="583"/>
      <c r="F4562" s="596"/>
      <c r="G4562" s="65">
        <v>0</v>
      </c>
      <c r="H4562" s="591" t="s">
        <v>280</v>
      </c>
      <c r="I4562" s="591" t="s">
        <v>280</v>
      </c>
    </row>
    <row r="4563" spans="1:9">
      <c r="A4563" s="582" t="s">
        <v>730</v>
      </c>
      <c r="B4563" s="65">
        <v>4761</v>
      </c>
      <c r="C4563" s="579" t="s">
        <v>281</v>
      </c>
      <c r="D4563" s="579"/>
      <c r="E4563" s="583"/>
      <c r="F4563" s="596"/>
      <c r="G4563" s="65">
        <v>0</v>
      </c>
      <c r="H4563" s="591" t="s">
        <v>280</v>
      </c>
      <c r="I4563" s="591" t="s">
        <v>280</v>
      </c>
    </row>
    <row r="4564" spans="1:9">
      <c r="A4564" s="582" t="s">
        <v>730</v>
      </c>
      <c r="B4564" s="65">
        <v>4762</v>
      </c>
      <c r="C4564" s="579" t="s">
        <v>281</v>
      </c>
      <c r="D4564" s="579"/>
      <c r="E4564" s="583"/>
      <c r="F4564" s="596"/>
      <c r="G4564" s="65">
        <v>0</v>
      </c>
      <c r="H4564" s="591" t="s">
        <v>280</v>
      </c>
      <c r="I4564" s="591" t="s">
        <v>280</v>
      </c>
    </row>
    <row r="4565" spans="1:9">
      <c r="A4565" s="582" t="s">
        <v>730</v>
      </c>
      <c r="B4565" s="65">
        <v>4763</v>
      </c>
      <c r="C4565" s="579" t="s">
        <v>281</v>
      </c>
      <c r="D4565" s="579"/>
      <c r="E4565" s="583"/>
      <c r="F4565" s="596"/>
      <c r="G4565" s="65">
        <v>0</v>
      </c>
      <c r="H4565" s="591" t="s">
        <v>280</v>
      </c>
      <c r="I4565" s="591" t="s">
        <v>280</v>
      </c>
    </row>
    <row r="4566" spans="1:9">
      <c r="A4566" s="582" t="s">
        <v>730</v>
      </c>
      <c r="B4566" s="65">
        <v>4764</v>
      </c>
      <c r="C4566" s="579" t="s">
        <v>281</v>
      </c>
      <c r="D4566" s="579"/>
      <c r="E4566" s="583"/>
      <c r="F4566" s="596"/>
      <c r="G4566" s="65">
        <v>0</v>
      </c>
      <c r="H4566" s="591" t="s">
        <v>280</v>
      </c>
      <c r="I4566" s="591" t="s">
        <v>280</v>
      </c>
    </row>
    <row r="4567" spans="1:9">
      <c r="A4567" s="582" t="s">
        <v>730</v>
      </c>
      <c r="B4567" s="65">
        <v>4765</v>
      </c>
      <c r="C4567" s="579" t="s">
        <v>281</v>
      </c>
      <c r="D4567" s="579"/>
      <c r="E4567" s="583"/>
      <c r="F4567" s="596"/>
      <c r="G4567" s="65">
        <v>0</v>
      </c>
      <c r="H4567" s="591" t="s">
        <v>280</v>
      </c>
      <c r="I4567" s="591" t="s">
        <v>280</v>
      </c>
    </row>
    <row r="4568" spans="1:9">
      <c r="A4568" s="582" t="s">
        <v>730</v>
      </c>
      <c r="B4568" s="65">
        <v>4766</v>
      </c>
      <c r="C4568" s="579" t="s">
        <v>281</v>
      </c>
      <c r="D4568" s="579"/>
      <c r="E4568" s="583"/>
      <c r="F4568" s="596"/>
      <c r="G4568" s="65">
        <v>0</v>
      </c>
      <c r="H4568" s="591" t="s">
        <v>280</v>
      </c>
      <c r="I4568" s="591" t="s">
        <v>280</v>
      </c>
    </row>
    <row r="4569" spans="1:9">
      <c r="A4569" s="582" t="s">
        <v>730</v>
      </c>
      <c r="B4569" s="65">
        <v>4767</v>
      </c>
      <c r="C4569" s="579" t="s">
        <v>281</v>
      </c>
      <c r="D4569" s="579"/>
      <c r="E4569" s="583"/>
      <c r="F4569" s="596"/>
      <c r="G4569" s="65">
        <v>0</v>
      </c>
      <c r="H4569" s="591" t="s">
        <v>280</v>
      </c>
      <c r="I4569" s="591" t="s">
        <v>280</v>
      </c>
    </row>
    <row r="4570" spans="1:9">
      <c r="A4570" s="582" t="s">
        <v>730</v>
      </c>
      <c r="B4570" s="65">
        <v>4768</v>
      </c>
      <c r="C4570" s="579" t="s">
        <v>281</v>
      </c>
      <c r="D4570" s="579"/>
      <c r="E4570" s="583"/>
      <c r="F4570" s="596"/>
      <c r="G4570" s="65">
        <v>0</v>
      </c>
      <c r="H4570" s="591" t="s">
        <v>280</v>
      </c>
      <c r="I4570" s="591" t="s">
        <v>280</v>
      </c>
    </row>
    <row r="4571" spans="1:9">
      <c r="A4571" s="582" t="s">
        <v>730</v>
      </c>
      <c r="B4571" s="65">
        <v>4769</v>
      </c>
      <c r="C4571" s="579" t="s">
        <v>281</v>
      </c>
      <c r="D4571" s="579"/>
      <c r="E4571" s="583"/>
      <c r="F4571" s="596"/>
      <c r="G4571" s="65">
        <v>0</v>
      </c>
      <c r="H4571" s="591" t="s">
        <v>280</v>
      </c>
      <c r="I4571" s="591" t="s">
        <v>280</v>
      </c>
    </row>
    <row r="4572" spans="1:9">
      <c r="A4572" s="582" t="s">
        <v>730</v>
      </c>
      <c r="B4572" s="65">
        <v>4770</v>
      </c>
      <c r="C4572" s="579" t="s">
        <v>281</v>
      </c>
      <c r="D4572" s="579"/>
      <c r="E4572" s="583"/>
      <c r="F4572" s="596"/>
      <c r="G4572" s="65">
        <v>0</v>
      </c>
      <c r="H4572" s="591" t="s">
        <v>280</v>
      </c>
      <c r="I4572" s="591" t="s">
        <v>280</v>
      </c>
    </row>
    <row r="4573" spans="1:9">
      <c r="A4573" s="582" t="s">
        <v>730</v>
      </c>
      <c r="B4573" s="65">
        <v>4771</v>
      </c>
      <c r="C4573" s="579" t="s">
        <v>281</v>
      </c>
      <c r="D4573" s="579"/>
      <c r="E4573" s="583"/>
      <c r="F4573" s="596"/>
      <c r="G4573" s="65">
        <v>0</v>
      </c>
      <c r="H4573" s="591" t="s">
        <v>280</v>
      </c>
      <c r="I4573" s="591" t="s">
        <v>280</v>
      </c>
    </row>
    <row r="4574" spans="1:9">
      <c r="A4574" s="582" t="s">
        <v>730</v>
      </c>
      <c r="B4574" s="65">
        <v>4772</v>
      </c>
      <c r="C4574" s="579" t="s">
        <v>281</v>
      </c>
      <c r="D4574" s="579"/>
      <c r="E4574" s="583"/>
      <c r="F4574" s="596"/>
      <c r="G4574" s="65">
        <v>0</v>
      </c>
      <c r="H4574" s="591" t="s">
        <v>280</v>
      </c>
      <c r="I4574" s="591" t="s">
        <v>280</v>
      </c>
    </row>
    <row r="4575" spans="1:9">
      <c r="A4575" s="582" t="s">
        <v>730</v>
      </c>
      <c r="B4575" s="65">
        <v>4773</v>
      </c>
      <c r="C4575" s="579" t="s">
        <v>281</v>
      </c>
      <c r="D4575" s="579"/>
      <c r="E4575" s="583"/>
      <c r="F4575" s="596"/>
      <c r="G4575" s="65">
        <v>0</v>
      </c>
      <c r="H4575" s="591" t="s">
        <v>280</v>
      </c>
      <c r="I4575" s="591" t="s">
        <v>280</v>
      </c>
    </row>
    <row r="4576" spans="1:9">
      <c r="A4576" s="582" t="s">
        <v>730</v>
      </c>
      <c r="B4576" s="65">
        <v>4774</v>
      </c>
      <c r="C4576" s="579" t="s">
        <v>281</v>
      </c>
      <c r="D4576" s="579"/>
      <c r="E4576" s="583"/>
      <c r="F4576" s="596"/>
      <c r="G4576" s="65">
        <v>0</v>
      </c>
      <c r="H4576" s="591" t="s">
        <v>280</v>
      </c>
      <c r="I4576" s="591" t="s">
        <v>280</v>
      </c>
    </row>
    <row r="4577" spans="1:9">
      <c r="A4577" s="582" t="s">
        <v>730</v>
      </c>
      <c r="B4577" s="65">
        <v>4775</v>
      </c>
      <c r="C4577" s="579" t="s">
        <v>281</v>
      </c>
      <c r="D4577" s="579"/>
      <c r="E4577" s="583"/>
      <c r="F4577" s="596"/>
      <c r="G4577" s="65">
        <v>0</v>
      </c>
      <c r="H4577" s="591" t="s">
        <v>280</v>
      </c>
      <c r="I4577" s="591" t="s">
        <v>280</v>
      </c>
    </row>
    <row r="4578" spans="1:9">
      <c r="A4578" s="582" t="s">
        <v>730</v>
      </c>
      <c r="B4578" s="65">
        <v>4776</v>
      </c>
      <c r="C4578" s="579" t="s">
        <v>281</v>
      </c>
      <c r="D4578" s="579"/>
      <c r="E4578" s="583"/>
      <c r="F4578" s="596"/>
      <c r="G4578" s="65">
        <v>0</v>
      </c>
      <c r="H4578" s="591" t="s">
        <v>280</v>
      </c>
      <c r="I4578" s="591" t="s">
        <v>280</v>
      </c>
    </row>
    <row r="4579" spans="1:9">
      <c r="A4579" s="582" t="s">
        <v>730</v>
      </c>
      <c r="B4579" s="65">
        <v>4777</v>
      </c>
      <c r="C4579" s="579" t="s">
        <v>281</v>
      </c>
      <c r="D4579" s="579"/>
      <c r="E4579" s="583"/>
      <c r="F4579" s="596"/>
      <c r="G4579" s="65">
        <v>0</v>
      </c>
      <c r="H4579" s="591" t="s">
        <v>280</v>
      </c>
      <c r="I4579" s="591" t="s">
        <v>280</v>
      </c>
    </row>
    <row r="4580" spans="1:9">
      <c r="A4580" s="582" t="s">
        <v>730</v>
      </c>
      <c r="B4580" s="65">
        <v>4778</v>
      </c>
      <c r="C4580" s="579" t="s">
        <v>281</v>
      </c>
      <c r="D4580" s="579"/>
      <c r="E4580" s="583"/>
      <c r="F4580" s="596"/>
      <c r="G4580" s="65">
        <v>0</v>
      </c>
      <c r="H4580" s="591" t="s">
        <v>280</v>
      </c>
      <c r="I4580" s="591" t="s">
        <v>280</v>
      </c>
    </row>
    <row r="4581" spans="1:9">
      <c r="A4581" s="582" t="s">
        <v>730</v>
      </c>
      <c r="B4581" s="65">
        <v>4779</v>
      </c>
      <c r="C4581" s="579" t="s">
        <v>281</v>
      </c>
      <c r="D4581" s="579"/>
      <c r="E4581" s="583"/>
      <c r="F4581" s="596"/>
      <c r="G4581" s="65">
        <v>0</v>
      </c>
      <c r="H4581" s="591" t="s">
        <v>280</v>
      </c>
      <c r="I4581" s="591" t="s">
        <v>280</v>
      </c>
    </row>
    <row r="4582" spans="1:9">
      <c r="A4582" s="582" t="s">
        <v>730</v>
      </c>
      <c r="B4582" s="65">
        <v>4780</v>
      </c>
      <c r="C4582" s="579" t="s">
        <v>281</v>
      </c>
      <c r="D4582" s="579"/>
      <c r="E4582" s="583"/>
      <c r="F4582" s="596"/>
      <c r="G4582" s="65">
        <v>0</v>
      </c>
      <c r="H4582" s="591" t="s">
        <v>280</v>
      </c>
      <c r="I4582" s="591" t="s">
        <v>280</v>
      </c>
    </row>
    <row r="4583" spans="1:9">
      <c r="A4583" s="582" t="s">
        <v>730</v>
      </c>
      <c r="B4583" s="65">
        <v>4781</v>
      </c>
      <c r="C4583" s="579" t="s">
        <v>281</v>
      </c>
      <c r="D4583" s="579"/>
      <c r="E4583" s="583"/>
      <c r="F4583" s="596"/>
      <c r="G4583" s="65">
        <v>0</v>
      </c>
      <c r="H4583" s="591" t="s">
        <v>280</v>
      </c>
      <c r="I4583" s="591" t="s">
        <v>280</v>
      </c>
    </row>
    <row r="4584" spans="1:9">
      <c r="A4584" s="582" t="s">
        <v>730</v>
      </c>
      <c r="B4584" s="65">
        <v>4782</v>
      </c>
      <c r="C4584" s="579" t="s">
        <v>281</v>
      </c>
      <c r="D4584" s="579"/>
      <c r="E4584" s="583"/>
      <c r="F4584" s="596"/>
      <c r="G4584" s="65">
        <v>0</v>
      </c>
      <c r="H4584" s="591" t="s">
        <v>280</v>
      </c>
      <c r="I4584" s="591" t="s">
        <v>280</v>
      </c>
    </row>
    <row r="4585" spans="1:9">
      <c r="A4585" s="582" t="s">
        <v>730</v>
      </c>
      <c r="B4585" s="65">
        <v>4783</v>
      </c>
      <c r="C4585" s="579" t="s">
        <v>281</v>
      </c>
      <c r="D4585" s="579"/>
      <c r="E4585" s="583"/>
      <c r="F4585" s="596"/>
      <c r="G4585" s="65">
        <v>0</v>
      </c>
      <c r="H4585" s="591" t="s">
        <v>280</v>
      </c>
      <c r="I4585" s="591" t="s">
        <v>280</v>
      </c>
    </row>
    <row r="4586" spans="1:9">
      <c r="A4586" s="582" t="s">
        <v>730</v>
      </c>
      <c r="B4586" s="65">
        <v>4784</v>
      </c>
      <c r="C4586" s="579" t="s">
        <v>281</v>
      </c>
      <c r="D4586" s="579"/>
      <c r="E4586" s="583"/>
      <c r="F4586" s="596"/>
      <c r="G4586" s="65">
        <v>0</v>
      </c>
      <c r="H4586" s="591" t="s">
        <v>280</v>
      </c>
      <c r="I4586" s="591" t="s">
        <v>280</v>
      </c>
    </row>
    <row r="4587" spans="1:9">
      <c r="A4587" s="582" t="s">
        <v>730</v>
      </c>
      <c r="B4587" s="65">
        <v>4785</v>
      </c>
      <c r="C4587" s="579" t="s">
        <v>281</v>
      </c>
      <c r="D4587" s="579"/>
      <c r="E4587" s="583"/>
      <c r="F4587" s="596"/>
      <c r="G4587" s="65">
        <v>0</v>
      </c>
      <c r="H4587" s="591" t="s">
        <v>280</v>
      </c>
      <c r="I4587" s="591" t="s">
        <v>280</v>
      </c>
    </row>
    <row r="4588" spans="1:9">
      <c r="A4588" s="582" t="s">
        <v>730</v>
      </c>
      <c r="B4588" s="65">
        <v>4786</v>
      </c>
      <c r="C4588" s="579" t="s">
        <v>281</v>
      </c>
      <c r="D4588" s="579"/>
      <c r="E4588" s="583"/>
      <c r="F4588" s="596"/>
      <c r="G4588" s="65">
        <v>0</v>
      </c>
      <c r="H4588" s="591" t="s">
        <v>280</v>
      </c>
      <c r="I4588" s="591" t="s">
        <v>280</v>
      </c>
    </row>
    <row r="4589" spans="1:9">
      <c r="A4589" s="582" t="s">
        <v>730</v>
      </c>
      <c r="B4589" s="65">
        <v>4787</v>
      </c>
      <c r="C4589" s="579" t="s">
        <v>281</v>
      </c>
      <c r="D4589" s="579"/>
      <c r="E4589" s="583"/>
      <c r="F4589" s="596"/>
      <c r="G4589" s="65">
        <v>0</v>
      </c>
      <c r="H4589" s="591" t="s">
        <v>280</v>
      </c>
      <c r="I4589" s="591" t="s">
        <v>280</v>
      </c>
    </row>
    <row r="4590" spans="1:9">
      <c r="A4590" s="582" t="s">
        <v>730</v>
      </c>
      <c r="B4590" s="65">
        <v>4788</v>
      </c>
      <c r="C4590" s="579" t="s">
        <v>281</v>
      </c>
      <c r="D4590" s="579"/>
      <c r="E4590" s="583"/>
      <c r="F4590" s="596"/>
      <c r="G4590" s="65">
        <v>0</v>
      </c>
      <c r="H4590" s="591" t="s">
        <v>280</v>
      </c>
      <c r="I4590" s="591" t="s">
        <v>280</v>
      </c>
    </row>
    <row r="4591" spans="1:9">
      <c r="A4591" s="582" t="s">
        <v>730</v>
      </c>
      <c r="B4591" s="65">
        <v>4789</v>
      </c>
      <c r="C4591" s="579" t="s">
        <v>281</v>
      </c>
      <c r="D4591" s="579"/>
      <c r="E4591" s="583"/>
      <c r="F4591" s="596"/>
      <c r="G4591" s="65">
        <v>0</v>
      </c>
      <c r="H4591" s="591" t="s">
        <v>280</v>
      </c>
      <c r="I4591" s="591" t="s">
        <v>280</v>
      </c>
    </row>
    <row r="4592" spans="1:9">
      <c r="A4592" s="582" t="s">
        <v>730</v>
      </c>
      <c r="B4592" s="65">
        <v>4790</v>
      </c>
      <c r="C4592" s="579" t="s">
        <v>281</v>
      </c>
      <c r="D4592" s="579"/>
      <c r="E4592" s="583"/>
      <c r="F4592" s="596"/>
      <c r="G4592" s="65">
        <v>0</v>
      </c>
      <c r="H4592" s="591" t="s">
        <v>280</v>
      </c>
      <c r="I4592" s="591" t="s">
        <v>280</v>
      </c>
    </row>
    <row r="4593" spans="1:9">
      <c r="A4593" s="582" t="s">
        <v>730</v>
      </c>
      <c r="B4593" s="65">
        <v>4791</v>
      </c>
      <c r="C4593" s="579" t="s">
        <v>281</v>
      </c>
      <c r="D4593" s="579"/>
      <c r="E4593" s="583"/>
      <c r="F4593" s="596"/>
      <c r="G4593" s="65">
        <v>0</v>
      </c>
      <c r="H4593" s="591" t="s">
        <v>280</v>
      </c>
      <c r="I4593" s="591" t="s">
        <v>280</v>
      </c>
    </row>
    <row r="4594" spans="1:9">
      <c r="A4594" s="582" t="s">
        <v>730</v>
      </c>
      <c r="B4594" s="65">
        <v>4792</v>
      </c>
      <c r="C4594" s="579" t="s">
        <v>281</v>
      </c>
      <c r="D4594" s="579"/>
      <c r="E4594" s="583"/>
      <c r="F4594" s="596"/>
      <c r="G4594" s="65">
        <v>0</v>
      </c>
      <c r="H4594" s="591" t="s">
        <v>280</v>
      </c>
      <c r="I4594" s="591" t="s">
        <v>280</v>
      </c>
    </row>
    <row r="4595" spans="1:9">
      <c r="A4595" s="582" t="s">
        <v>730</v>
      </c>
      <c r="B4595" s="65">
        <v>4793</v>
      </c>
      <c r="C4595" s="579" t="s">
        <v>281</v>
      </c>
      <c r="D4595" s="579"/>
      <c r="E4595" s="583"/>
      <c r="F4595" s="596"/>
      <c r="G4595" s="65">
        <v>0</v>
      </c>
      <c r="H4595" s="591" t="s">
        <v>280</v>
      </c>
      <c r="I4595" s="591" t="s">
        <v>280</v>
      </c>
    </row>
    <row r="4596" spans="1:9">
      <c r="A4596" s="582" t="s">
        <v>730</v>
      </c>
      <c r="B4596" s="65">
        <v>4794</v>
      </c>
      <c r="C4596" s="579" t="s">
        <v>281</v>
      </c>
      <c r="D4596" s="579"/>
      <c r="E4596" s="583"/>
      <c r="F4596" s="596"/>
      <c r="G4596" s="65">
        <v>0</v>
      </c>
      <c r="H4596" s="591" t="s">
        <v>280</v>
      </c>
      <c r="I4596" s="591" t="s">
        <v>280</v>
      </c>
    </row>
    <row r="4597" spans="1:9">
      <c r="A4597" s="582" t="s">
        <v>730</v>
      </c>
      <c r="B4597" s="65">
        <v>4795</v>
      </c>
      <c r="C4597" s="579" t="s">
        <v>281</v>
      </c>
      <c r="D4597" s="579"/>
      <c r="E4597" s="583"/>
      <c r="F4597" s="596"/>
      <c r="G4597" s="65">
        <v>0</v>
      </c>
      <c r="H4597" s="591" t="s">
        <v>280</v>
      </c>
      <c r="I4597" s="591" t="s">
        <v>280</v>
      </c>
    </row>
    <row r="4598" spans="1:9">
      <c r="A4598" s="582" t="s">
        <v>730</v>
      </c>
      <c r="B4598" s="65">
        <v>4796</v>
      </c>
      <c r="C4598" s="579" t="s">
        <v>281</v>
      </c>
      <c r="D4598" s="579"/>
      <c r="E4598" s="583"/>
      <c r="F4598" s="596"/>
      <c r="G4598" s="65">
        <v>0</v>
      </c>
      <c r="H4598" s="591" t="s">
        <v>280</v>
      </c>
      <c r="I4598" s="591" t="s">
        <v>280</v>
      </c>
    </row>
    <row r="4599" spans="1:9">
      <c r="A4599" s="582" t="s">
        <v>730</v>
      </c>
      <c r="B4599" s="65">
        <v>4797</v>
      </c>
      <c r="C4599" s="579" t="s">
        <v>281</v>
      </c>
      <c r="D4599" s="579"/>
      <c r="E4599" s="583"/>
      <c r="F4599" s="596"/>
      <c r="G4599" s="65">
        <v>0</v>
      </c>
      <c r="H4599" s="591" t="s">
        <v>280</v>
      </c>
      <c r="I4599" s="591" t="s">
        <v>280</v>
      </c>
    </row>
    <row r="4600" spans="1:9">
      <c r="A4600" s="582" t="s">
        <v>730</v>
      </c>
      <c r="B4600" s="65">
        <v>4798</v>
      </c>
      <c r="C4600" s="579" t="s">
        <v>281</v>
      </c>
      <c r="D4600" s="579"/>
      <c r="E4600" s="583"/>
      <c r="F4600" s="596"/>
      <c r="G4600" s="65">
        <v>0</v>
      </c>
      <c r="H4600" s="591" t="s">
        <v>280</v>
      </c>
      <c r="I4600" s="591" t="s">
        <v>280</v>
      </c>
    </row>
    <row r="4601" spans="1:9">
      <c r="A4601" s="582" t="s">
        <v>730</v>
      </c>
      <c r="B4601" s="65">
        <v>4799</v>
      </c>
      <c r="C4601" s="579" t="s">
        <v>281</v>
      </c>
      <c r="D4601" s="579"/>
      <c r="E4601" s="583"/>
      <c r="F4601" s="596"/>
      <c r="G4601" s="65">
        <v>0</v>
      </c>
      <c r="H4601" s="591" t="s">
        <v>280</v>
      </c>
      <c r="I4601" s="591" t="s">
        <v>280</v>
      </c>
    </row>
    <row r="4602" spans="1:9">
      <c r="A4602" s="582" t="s">
        <v>746</v>
      </c>
      <c r="B4602" s="65">
        <v>4800</v>
      </c>
      <c r="C4602" s="579" t="s">
        <v>279</v>
      </c>
      <c r="D4602" s="579"/>
      <c r="E4602" s="583"/>
      <c r="F4602" s="585">
        <v>45535</v>
      </c>
      <c r="G4602" s="65">
        <v>1</v>
      </c>
      <c r="H4602" s="591" t="s">
        <v>280</v>
      </c>
      <c r="I4602" s="591" t="s">
        <v>280</v>
      </c>
    </row>
    <row r="4603" spans="1:9">
      <c r="A4603" s="582" t="s">
        <v>746</v>
      </c>
      <c r="B4603" s="65">
        <v>4801</v>
      </c>
      <c r="C4603" s="579" t="s">
        <v>281</v>
      </c>
      <c r="D4603" s="579"/>
      <c r="E4603" s="583"/>
      <c r="F4603" s="596"/>
      <c r="G4603" s="65">
        <v>0</v>
      </c>
      <c r="H4603" s="591" t="s">
        <v>280</v>
      </c>
      <c r="I4603" s="591" t="s">
        <v>280</v>
      </c>
    </row>
    <row r="4604" spans="1:9">
      <c r="A4604" s="582" t="s">
        <v>746</v>
      </c>
      <c r="B4604" s="65">
        <v>4802</v>
      </c>
      <c r="C4604" s="65" t="s">
        <v>281</v>
      </c>
      <c r="D4604" s="65"/>
      <c r="E4604" s="583"/>
      <c r="F4604" s="596"/>
      <c r="G4604" s="65">
        <v>0</v>
      </c>
      <c r="H4604" s="591" t="s">
        <v>280</v>
      </c>
      <c r="I4604" s="591" t="s">
        <v>280</v>
      </c>
    </row>
    <row r="4605" spans="1:9">
      <c r="A4605" s="582" t="s">
        <v>746</v>
      </c>
      <c r="B4605" s="65">
        <v>4803</v>
      </c>
      <c r="C4605" s="579" t="s">
        <v>747</v>
      </c>
      <c r="D4605" s="63">
        <v>10549</v>
      </c>
      <c r="E4605" s="583"/>
      <c r="F4605" s="585">
        <v>45535</v>
      </c>
      <c r="G4605" s="65">
        <v>1</v>
      </c>
      <c r="H4605" s="591" t="s">
        <v>1975</v>
      </c>
      <c r="I4605" s="591" t="s">
        <v>103</v>
      </c>
    </row>
    <row r="4606" spans="1:9">
      <c r="A4606" s="582" t="s">
        <v>746</v>
      </c>
      <c r="B4606" s="65">
        <v>4804</v>
      </c>
      <c r="C4606" s="579" t="s">
        <v>281</v>
      </c>
      <c r="D4606" s="579"/>
      <c r="E4606" s="583"/>
      <c r="F4606" s="596"/>
      <c r="G4606" s="65">
        <v>0</v>
      </c>
      <c r="H4606" s="591" t="s">
        <v>280</v>
      </c>
      <c r="I4606" s="591" t="s">
        <v>280</v>
      </c>
    </row>
    <row r="4607" spans="1:9">
      <c r="A4607" s="582" t="s">
        <v>746</v>
      </c>
      <c r="B4607" s="65">
        <v>4805</v>
      </c>
      <c r="C4607" s="579" t="s">
        <v>281</v>
      </c>
      <c r="D4607" s="579"/>
      <c r="E4607" s="583"/>
      <c r="F4607" s="596"/>
      <c r="G4607" s="65">
        <v>0</v>
      </c>
      <c r="H4607" s="591" t="s">
        <v>280</v>
      </c>
      <c r="I4607" s="591" t="s">
        <v>280</v>
      </c>
    </row>
    <row r="4608" spans="1:9">
      <c r="A4608" s="582" t="s">
        <v>746</v>
      </c>
      <c r="B4608" s="65">
        <v>4806</v>
      </c>
      <c r="C4608" s="579" t="s">
        <v>281</v>
      </c>
      <c r="D4608" s="579"/>
      <c r="E4608" s="583"/>
      <c r="F4608" s="596"/>
      <c r="G4608" s="65">
        <v>0</v>
      </c>
      <c r="H4608" s="591" t="s">
        <v>280</v>
      </c>
      <c r="I4608" s="591" t="s">
        <v>280</v>
      </c>
    </row>
    <row r="4609" spans="1:9">
      <c r="A4609" s="582" t="s">
        <v>746</v>
      </c>
      <c r="B4609" s="65">
        <v>4807</v>
      </c>
      <c r="C4609" s="579" t="s">
        <v>748</v>
      </c>
      <c r="D4609" s="63">
        <v>10477</v>
      </c>
      <c r="E4609" s="583"/>
      <c r="F4609" s="585">
        <v>45535</v>
      </c>
      <c r="G4609" s="65">
        <v>1</v>
      </c>
      <c r="H4609" s="591" t="s">
        <v>1977</v>
      </c>
      <c r="I4609" s="591" t="s">
        <v>75</v>
      </c>
    </row>
    <row r="4610" spans="1:9">
      <c r="A4610" s="582" t="s">
        <v>746</v>
      </c>
      <c r="B4610" s="65">
        <v>4808</v>
      </c>
      <c r="C4610" s="579" t="s">
        <v>749</v>
      </c>
      <c r="D4610" s="579">
        <v>10001</v>
      </c>
      <c r="E4610" s="583"/>
      <c r="F4610" s="585">
        <v>45535</v>
      </c>
      <c r="G4610" s="65">
        <v>1</v>
      </c>
      <c r="H4610" s="591" t="s">
        <v>1975</v>
      </c>
      <c r="I4610" s="591" t="s">
        <v>103</v>
      </c>
    </row>
    <row r="4611" spans="1:9">
      <c r="A4611" s="582" t="s">
        <v>746</v>
      </c>
      <c r="B4611" s="65">
        <v>4809</v>
      </c>
      <c r="C4611" s="579" t="s">
        <v>281</v>
      </c>
      <c r="D4611" s="579"/>
      <c r="E4611" s="583"/>
      <c r="F4611" s="596"/>
      <c r="G4611" s="65">
        <v>0</v>
      </c>
      <c r="H4611" s="591" t="s">
        <v>280</v>
      </c>
      <c r="I4611" s="591" t="s">
        <v>280</v>
      </c>
    </row>
    <row r="4612" spans="1:9">
      <c r="A4612" s="582" t="s">
        <v>746</v>
      </c>
      <c r="B4612" s="65">
        <v>4810</v>
      </c>
      <c r="C4612" s="579" t="s">
        <v>750</v>
      </c>
      <c r="D4612" s="63">
        <v>10471</v>
      </c>
      <c r="E4612" s="583"/>
      <c r="F4612" s="585">
        <v>45535</v>
      </c>
      <c r="G4612" s="65">
        <v>1</v>
      </c>
      <c r="H4612" s="591" t="s">
        <v>1975</v>
      </c>
      <c r="I4612" s="591" t="s">
        <v>103</v>
      </c>
    </row>
    <row r="4613" spans="1:9">
      <c r="A4613" s="582" t="s">
        <v>746</v>
      </c>
      <c r="B4613" s="65">
        <v>4811</v>
      </c>
      <c r="C4613" s="579" t="s">
        <v>281</v>
      </c>
      <c r="D4613" s="579"/>
      <c r="E4613" s="583"/>
      <c r="F4613" s="596"/>
      <c r="G4613" s="65">
        <v>0</v>
      </c>
      <c r="H4613" s="591" t="s">
        <v>280</v>
      </c>
      <c r="I4613" s="591" t="s">
        <v>280</v>
      </c>
    </row>
    <row r="4614" spans="1:9">
      <c r="A4614" s="582" t="s">
        <v>746</v>
      </c>
      <c r="B4614" s="65">
        <v>4812</v>
      </c>
      <c r="C4614" s="579" t="s">
        <v>751</v>
      </c>
      <c r="D4614" s="579">
        <v>10425</v>
      </c>
      <c r="E4614" s="583"/>
      <c r="F4614" s="585">
        <v>45535</v>
      </c>
      <c r="G4614" s="65">
        <v>1</v>
      </c>
      <c r="H4614" s="591" t="s">
        <v>1975</v>
      </c>
      <c r="I4614" s="591" t="s">
        <v>103</v>
      </c>
    </row>
    <row r="4615" spans="1:9">
      <c r="A4615" s="582" t="s">
        <v>746</v>
      </c>
      <c r="B4615" s="65">
        <v>4813</v>
      </c>
      <c r="C4615" s="579" t="s">
        <v>281</v>
      </c>
      <c r="D4615" s="579"/>
      <c r="E4615" s="583"/>
      <c r="F4615" s="596"/>
      <c r="G4615" s="65">
        <v>0</v>
      </c>
      <c r="H4615" s="591" t="s">
        <v>280</v>
      </c>
      <c r="I4615" s="591" t="s">
        <v>280</v>
      </c>
    </row>
    <row r="4616" spans="1:9">
      <c r="A4616" s="582" t="s">
        <v>746</v>
      </c>
      <c r="B4616" s="65">
        <v>4814</v>
      </c>
      <c r="C4616" s="579" t="s">
        <v>281</v>
      </c>
      <c r="D4616" s="579"/>
      <c r="E4616" s="583"/>
      <c r="F4616" s="596"/>
      <c r="G4616" s="65">
        <v>0</v>
      </c>
      <c r="H4616" s="591" t="s">
        <v>280</v>
      </c>
      <c r="I4616" s="591" t="s">
        <v>280</v>
      </c>
    </row>
    <row r="4617" spans="1:9">
      <c r="A4617" s="582" t="s">
        <v>746</v>
      </c>
      <c r="B4617" s="65">
        <v>4815</v>
      </c>
      <c r="C4617" s="579" t="s">
        <v>281</v>
      </c>
      <c r="D4617" s="579"/>
      <c r="E4617" s="583"/>
      <c r="F4617" s="596"/>
      <c r="G4617" s="65">
        <v>0</v>
      </c>
      <c r="H4617" s="591" t="s">
        <v>280</v>
      </c>
      <c r="I4617" s="591" t="s">
        <v>280</v>
      </c>
    </row>
    <row r="4618" spans="1:9">
      <c r="A4618" s="582" t="s">
        <v>746</v>
      </c>
      <c r="B4618" s="65">
        <v>4816</v>
      </c>
      <c r="C4618" s="579" t="s">
        <v>281</v>
      </c>
      <c r="D4618" s="579"/>
      <c r="E4618" s="583"/>
      <c r="F4618" s="596"/>
      <c r="G4618" s="65">
        <v>0</v>
      </c>
      <c r="H4618" s="591" t="s">
        <v>280</v>
      </c>
      <c r="I4618" s="591" t="s">
        <v>280</v>
      </c>
    </row>
    <row r="4619" spans="1:9">
      <c r="A4619" s="582" t="s">
        <v>746</v>
      </c>
      <c r="B4619" s="65">
        <v>4817</v>
      </c>
      <c r="C4619" s="579" t="s">
        <v>281</v>
      </c>
      <c r="D4619" s="579"/>
      <c r="E4619" s="583"/>
      <c r="F4619" s="596"/>
      <c r="G4619" s="65">
        <v>0</v>
      </c>
      <c r="H4619" s="591" t="s">
        <v>280</v>
      </c>
      <c r="I4619" s="591" t="s">
        <v>280</v>
      </c>
    </row>
    <row r="4620" spans="1:9">
      <c r="A4620" s="582" t="s">
        <v>746</v>
      </c>
      <c r="B4620" s="65">
        <v>4818</v>
      </c>
      <c r="C4620" s="579" t="s">
        <v>752</v>
      </c>
      <c r="D4620" s="63">
        <v>10044</v>
      </c>
      <c r="E4620" s="583"/>
      <c r="F4620" s="585">
        <v>45535</v>
      </c>
      <c r="G4620" s="65">
        <v>1</v>
      </c>
      <c r="H4620" s="591" t="s">
        <v>1977</v>
      </c>
      <c r="I4620" s="591" t="s">
        <v>75</v>
      </c>
    </row>
    <row r="4621" spans="1:9">
      <c r="A4621" s="582" t="s">
        <v>746</v>
      </c>
      <c r="B4621" s="65">
        <v>4819</v>
      </c>
      <c r="C4621" s="579" t="s">
        <v>753</v>
      </c>
      <c r="D4621" s="63">
        <v>10093</v>
      </c>
      <c r="E4621" s="583"/>
      <c r="F4621" s="585">
        <v>45535</v>
      </c>
      <c r="G4621" s="65">
        <v>1</v>
      </c>
      <c r="H4621" s="591" t="s">
        <v>1977</v>
      </c>
      <c r="I4621" s="591" t="s">
        <v>75</v>
      </c>
    </row>
    <row r="4622" spans="1:9">
      <c r="A4622" s="582" t="s">
        <v>746</v>
      </c>
      <c r="B4622" s="65">
        <v>4820</v>
      </c>
      <c r="C4622" s="579" t="s">
        <v>281</v>
      </c>
      <c r="D4622" s="579"/>
      <c r="E4622" s="583"/>
      <c r="F4622" s="596"/>
      <c r="G4622" s="65">
        <v>0</v>
      </c>
      <c r="H4622" s="591" t="s">
        <v>280</v>
      </c>
      <c r="I4622" s="591" t="s">
        <v>280</v>
      </c>
    </row>
    <row r="4623" spans="1:9">
      <c r="A4623" s="582" t="s">
        <v>746</v>
      </c>
      <c r="B4623" s="65">
        <v>4821</v>
      </c>
      <c r="C4623" s="579" t="s">
        <v>281</v>
      </c>
      <c r="D4623" s="579"/>
      <c r="E4623" s="583"/>
      <c r="F4623" s="596"/>
      <c r="G4623" s="65">
        <v>0</v>
      </c>
      <c r="H4623" s="591" t="s">
        <v>280</v>
      </c>
      <c r="I4623" s="591" t="s">
        <v>280</v>
      </c>
    </row>
    <row r="4624" spans="1:9">
      <c r="A4624" s="582" t="s">
        <v>746</v>
      </c>
      <c r="B4624" s="65">
        <v>4822</v>
      </c>
      <c r="C4624" s="579" t="s">
        <v>754</v>
      </c>
      <c r="D4624" s="63">
        <v>10468</v>
      </c>
      <c r="E4624" s="583"/>
      <c r="F4624" s="585">
        <v>45535</v>
      </c>
      <c r="G4624" s="65">
        <v>1</v>
      </c>
      <c r="H4624" s="591" t="s">
        <v>1975</v>
      </c>
      <c r="I4624" s="591" t="s">
        <v>103</v>
      </c>
    </row>
    <row r="4625" spans="1:9">
      <c r="A4625" s="582" t="s">
        <v>746</v>
      </c>
      <c r="B4625" s="65">
        <v>4823</v>
      </c>
      <c r="C4625" s="579" t="s">
        <v>281</v>
      </c>
      <c r="D4625" s="65"/>
      <c r="E4625" s="583"/>
      <c r="F4625" s="596"/>
      <c r="G4625" s="65">
        <v>0</v>
      </c>
      <c r="H4625" s="591" t="s">
        <v>280</v>
      </c>
      <c r="I4625" s="591" t="s">
        <v>280</v>
      </c>
    </row>
    <row r="4626" spans="1:9" ht="14.25">
      <c r="A4626" s="582" t="s">
        <v>746</v>
      </c>
      <c r="B4626" s="65">
        <v>4824</v>
      </c>
      <c r="C4626" s="579" t="s">
        <v>1971</v>
      </c>
      <c r="D4626" s="579">
        <v>11058</v>
      </c>
      <c r="E4626" s="587"/>
      <c r="F4626" s="585">
        <v>45584</v>
      </c>
      <c r="G4626" s="65">
        <v>1</v>
      </c>
      <c r="H4626" s="591" t="s">
        <v>1975</v>
      </c>
      <c r="I4626" s="591" t="s">
        <v>103</v>
      </c>
    </row>
    <row r="4627" spans="1:9">
      <c r="A4627" s="582" t="s">
        <v>746</v>
      </c>
      <c r="B4627" s="65">
        <v>4825</v>
      </c>
      <c r="C4627" s="579" t="s">
        <v>756</v>
      </c>
      <c r="D4627" s="579">
        <v>10605</v>
      </c>
      <c r="E4627" s="583"/>
      <c r="F4627" s="585">
        <v>45535</v>
      </c>
      <c r="G4627" s="65">
        <v>1</v>
      </c>
      <c r="H4627" s="591" t="s">
        <v>1975</v>
      </c>
      <c r="I4627" s="591" t="s">
        <v>103</v>
      </c>
    </row>
    <row r="4628" spans="1:9">
      <c r="A4628" s="582" t="s">
        <v>746</v>
      </c>
      <c r="B4628" s="65">
        <v>4826</v>
      </c>
      <c r="C4628" s="579" t="s">
        <v>281</v>
      </c>
      <c r="D4628" s="579"/>
      <c r="E4628" s="583"/>
      <c r="F4628" s="596"/>
      <c r="G4628" s="65">
        <v>0</v>
      </c>
      <c r="H4628" s="591" t="s">
        <v>280</v>
      </c>
      <c r="I4628" s="591" t="s">
        <v>280</v>
      </c>
    </row>
    <row r="4629" spans="1:9">
      <c r="A4629" s="582" t="s">
        <v>746</v>
      </c>
      <c r="B4629" s="65">
        <v>4827</v>
      </c>
      <c r="C4629" s="579" t="s">
        <v>281</v>
      </c>
      <c r="D4629" s="579"/>
      <c r="E4629" s="583"/>
      <c r="F4629" s="596"/>
      <c r="G4629" s="65">
        <v>0</v>
      </c>
      <c r="H4629" s="591" t="s">
        <v>280</v>
      </c>
      <c r="I4629" s="591" t="s">
        <v>280</v>
      </c>
    </row>
    <row r="4630" spans="1:9">
      <c r="A4630" s="582" t="s">
        <v>746</v>
      </c>
      <c r="B4630" s="65">
        <v>4828</v>
      </c>
      <c r="C4630" s="579" t="s">
        <v>281</v>
      </c>
      <c r="D4630" s="579"/>
      <c r="E4630" s="583"/>
      <c r="F4630" s="596"/>
      <c r="G4630" s="65">
        <v>0</v>
      </c>
      <c r="H4630" s="591" t="s">
        <v>280</v>
      </c>
      <c r="I4630" s="591" t="s">
        <v>280</v>
      </c>
    </row>
    <row r="4631" spans="1:9">
      <c r="A4631" s="582" t="s">
        <v>746</v>
      </c>
      <c r="B4631" s="65">
        <v>4829</v>
      </c>
      <c r="C4631" s="579" t="s">
        <v>281</v>
      </c>
      <c r="D4631" s="579"/>
      <c r="E4631" s="583"/>
      <c r="F4631" s="596"/>
      <c r="G4631" s="65">
        <v>0</v>
      </c>
      <c r="H4631" s="591" t="s">
        <v>280</v>
      </c>
      <c r="I4631" s="591" t="s">
        <v>280</v>
      </c>
    </row>
    <row r="4632" spans="1:9">
      <c r="A4632" s="582" t="s">
        <v>746</v>
      </c>
      <c r="B4632" s="65">
        <v>4830</v>
      </c>
      <c r="C4632" s="579" t="s">
        <v>281</v>
      </c>
      <c r="D4632" s="579"/>
      <c r="E4632" s="583"/>
      <c r="F4632" s="596"/>
      <c r="G4632" s="65">
        <v>0</v>
      </c>
      <c r="H4632" s="591" t="s">
        <v>280</v>
      </c>
      <c r="I4632" s="591" t="s">
        <v>280</v>
      </c>
    </row>
    <row r="4633" spans="1:9">
      <c r="A4633" s="582" t="s">
        <v>746</v>
      </c>
      <c r="B4633" s="65">
        <v>4831</v>
      </c>
      <c r="C4633" s="579" t="s">
        <v>281</v>
      </c>
      <c r="D4633" s="579"/>
      <c r="E4633" s="583"/>
      <c r="F4633" s="596"/>
      <c r="G4633" s="65">
        <v>0</v>
      </c>
      <c r="H4633" s="591" t="s">
        <v>280</v>
      </c>
      <c r="I4633" s="591" t="s">
        <v>280</v>
      </c>
    </row>
    <row r="4634" spans="1:9">
      <c r="A4634" s="582" t="s">
        <v>746</v>
      </c>
      <c r="B4634" s="65">
        <v>4832</v>
      </c>
      <c r="C4634" s="579" t="s">
        <v>281</v>
      </c>
      <c r="D4634" s="579"/>
      <c r="E4634" s="583"/>
      <c r="F4634" s="596"/>
      <c r="G4634" s="65">
        <v>0</v>
      </c>
      <c r="H4634" s="591" t="s">
        <v>280</v>
      </c>
      <c r="I4634" s="591" t="s">
        <v>280</v>
      </c>
    </row>
    <row r="4635" spans="1:9">
      <c r="A4635" s="582" t="s">
        <v>746</v>
      </c>
      <c r="B4635" s="65">
        <v>4833</v>
      </c>
      <c r="C4635" s="579" t="s">
        <v>490</v>
      </c>
      <c r="D4635" s="579">
        <v>10160</v>
      </c>
      <c r="E4635" s="583"/>
      <c r="F4635" s="585">
        <v>45535</v>
      </c>
      <c r="G4635" s="65">
        <v>1</v>
      </c>
      <c r="H4635" s="591" t="s">
        <v>1975</v>
      </c>
      <c r="I4635" s="591" t="s">
        <v>103</v>
      </c>
    </row>
    <row r="4636" spans="1:9">
      <c r="A4636" s="582" t="s">
        <v>746</v>
      </c>
      <c r="B4636" s="65">
        <v>4834</v>
      </c>
      <c r="C4636" s="579" t="s">
        <v>757</v>
      </c>
      <c r="D4636" s="579">
        <v>10085</v>
      </c>
      <c r="E4636" s="583"/>
      <c r="F4636" s="585">
        <v>45535</v>
      </c>
      <c r="G4636" s="65">
        <v>1</v>
      </c>
      <c r="H4636" s="591" t="s">
        <v>1977</v>
      </c>
      <c r="I4636" s="591" t="s">
        <v>75</v>
      </c>
    </row>
    <row r="4637" spans="1:9" ht="14.25">
      <c r="A4637" s="582" t="s">
        <v>746</v>
      </c>
      <c r="B4637" s="65">
        <v>4835</v>
      </c>
      <c r="C4637" s="579" t="s">
        <v>2027</v>
      </c>
      <c r="D4637" s="579">
        <v>10165</v>
      </c>
      <c r="E4637" s="587"/>
      <c r="F4637" s="600">
        <v>45612</v>
      </c>
      <c r="G4637" s="65">
        <v>1</v>
      </c>
      <c r="H4637" s="591" t="s">
        <v>280</v>
      </c>
      <c r="I4637" s="591" t="s">
        <v>280</v>
      </c>
    </row>
    <row r="4638" spans="1:9">
      <c r="A4638" s="582" t="s">
        <v>746</v>
      </c>
      <c r="B4638" s="65">
        <v>4836</v>
      </c>
      <c r="C4638" s="579" t="s">
        <v>281</v>
      </c>
      <c r="D4638" s="579"/>
      <c r="E4638" s="583"/>
      <c r="F4638" s="596"/>
      <c r="G4638" s="65">
        <v>0</v>
      </c>
      <c r="H4638" s="591" t="s">
        <v>280</v>
      </c>
      <c r="I4638" s="591" t="s">
        <v>280</v>
      </c>
    </row>
    <row r="4639" spans="1:9">
      <c r="A4639" s="582" t="s">
        <v>746</v>
      </c>
      <c r="B4639" s="65">
        <v>4837</v>
      </c>
      <c r="C4639" s="579" t="s">
        <v>281</v>
      </c>
      <c r="D4639" s="579"/>
      <c r="E4639" s="583"/>
      <c r="F4639" s="596"/>
      <c r="G4639" s="65">
        <v>0</v>
      </c>
      <c r="H4639" s="591" t="s">
        <v>280</v>
      </c>
      <c r="I4639" s="591" t="s">
        <v>280</v>
      </c>
    </row>
    <row r="4640" spans="1:9">
      <c r="A4640" s="582" t="s">
        <v>746</v>
      </c>
      <c r="B4640" s="65">
        <v>4838</v>
      </c>
      <c r="C4640" s="579" t="s">
        <v>758</v>
      </c>
      <c r="D4640" s="63">
        <v>10137</v>
      </c>
      <c r="E4640" s="583"/>
      <c r="F4640" s="585">
        <v>45535</v>
      </c>
      <c r="G4640" s="65">
        <v>1</v>
      </c>
      <c r="H4640" s="591" t="s">
        <v>1977</v>
      </c>
      <c r="I4640" s="591" t="s">
        <v>75</v>
      </c>
    </row>
    <row r="4641" spans="1:9">
      <c r="A4641" s="582" t="s">
        <v>746</v>
      </c>
      <c r="B4641" s="65">
        <v>4839</v>
      </c>
      <c r="C4641" s="579" t="s">
        <v>281</v>
      </c>
      <c r="D4641" s="579"/>
      <c r="E4641" s="583"/>
      <c r="F4641" s="596"/>
      <c r="G4641" s="65">
        <v>0</v>
      </c>
      <c r="H4641" s="591" t="s">
        <v>280</v>
      </c>
      <c r="I4641" s="591" t="s">
        <v>280</v>
      </c>
    </row>
    <row r="4642" spans="1:9">
      <c r="A4642" s="582" t="s">
        <v>746</v>
      </c>
      <c r="B4642" s="65">
        <v>4840</v>
      </c>
      <c r="C4642" s="579" t="s">
        <v>281</v>
      </c>
      <c r="D4642" s="65"/>
      <c r="E4642" s="583"/>
      <c r="F4642" s="596"/>
      <c r="G4642" s="65">
        <v>0</v>
      </c>
      <c r="H4642" s="591" t="s">
        <v>280</v>
      </c>
      <c r="I4642" s="591" t="s">
        <v>280</v>
      </c>
    </row>
    <row r="4643" spans="1:9">
      <c r="A4643" s="582" t="s">
        <v>746</v>
      </c>
      <c r="B4643" s="65">
        <v>4841</v>
      </c>
      <c r="C4643" s="579" t="s">
        <v>759</v>
      </c>
      <c r="D4643" s="63">
        <v>10427</v>
      </c>
      <c r="E4643" s="583"/>
      <c r="F4643" s="585">
        <v>45535</v>
      </c>
      <c r="G4643" s="65">
        <v>1</v>
      </c>
      <c r="H4643" s="591" t="s">
        <v>280</v>
      </c>
      <c r="I4643" s="591" t="s">
        <v>280</v>
      </c>
    </row>
    <row r="4644" spans="1:9">
      <c r="A4644" s="580" t="s">
        <v>746</v>
      </c>
      <c r="B4644" s="65">
        <v>4842</v>
      </c>
      <c r="C4644" s="65" t="s">
        <v>1936</v>
      </c>
      <c r="D4644" s="65">
        <v>10766</v>
      </c>
      <c r="E4644" s="583"/>
      <c r="F4644" s="585">
        <v>45535</v>
      </c>
      <c r="G4644" s="65">
        <v>1</v>
      </c>
      <c r="H4644" s="591" t="s">
        <v>1977</v>
      </c>
      <c r="I4644" s="591" t="s">
        <v>75</v>
      </c>
    </row>
    <row r="4645" spans="1:9">
      <c r="A4645" s="580" t="s">
        <v>746</v>
      </c>
      <c r="B4645" s="65">
        <v>4843</v>
      </c>
      <c r="C4645" s="65" t="s">
        <v>1972</v>
      </c>
      <c r="D4645" s="65">
        <v>10817</v>
      </c>
      <c r="E4645" s="583"/>
      <c r="F4645" s="585">
        <v>45584</v>
      </c>
      <c r="G4645" s="65">
        <v>1</v>
      </c>
      <c r="H4645" s="591" t="s">
        <v>280</v>
      </c>
      <c r="I4645" s="591" t="s">
        <v>280</v>
      </c>
    </row>
    <row r="4646" spans="1:9">
      <c r="A4646" s="582" t="s">
        <v>746</v>
      </c>
      <c r="B4646" s="65">
        <v>4844</v>
      </c>
      <c r="C4646" s="579" t="s">
        <v>281</v>
      </c>
      <c r="D4646" s="579"/>
      <c r="E4646" s="583"/>
      <c r="F4646" s="585">
        <v>45535</v>
      </c>
      <c r="G4646" s="65">
        <v>1</v>
      </c>
      <c r="H4646" s="591" t="s">
        <v>280</v>
      </c>
      <c r="I4646" s="591" t="s">
        <v>280</v>
      </c>
    </row>
    <row r="4647" spans="1:9">
      <c r="A4647" s="582" t="s">
        <v>746</v>
      </c>
      <c r="B4647" s="65">
        <v>4845</v>
      </c>
      <c r="C4647" s="65" t="s">
        <v>1937</v>
      </c>
      <c r="D4647" s="65">
        <v>11004</v>
      </c>
      <c r="E4647" s="583"/>
      <c r="F4647" s="585">
        <v>45535</v>
      </c>
      <c r="G4647" s="65">
        <v>1</v>
      </c>
      <c r="H4647" s="591" t="s">
        <v>1977</v>
      </c>
      <c r="I4647" s="591" t="s">
        <v>75</v>
      </c>
    </row>
    <row r="4648" spans="1:9">
      <c r="A4648" s="582" t="s">
        <v>746</v>
      </c>
      <c r="B4648" s="65">
        <v>4846</v>
      </c>
      <c r="C4648" s="579" t="s">
        <v>367</v>
      </c>
      <c r="D4648" s="63">
        <v>10026</v>
      </c>
      <c r="E4648" s="583"/>
      <c r="F4648" s="585">
        <v>45535</v>
      </c>
      <c r="G4648" s="65">
        <v>1</v>
      </c>
      <c r="H4648" s="591" t="s">
        <v>1977</v>
      </c>
      <c r="I4648" s="591" t="s">
        <v>75</v>
      </c>
    </row>
    <row r="4649" spans="1:9">
      <c r="A4649" s="582" t="s">
        <v>746</v>
      </c>
      <c r="B4649" s="65">
        <v>4847</v>
      </c>
      <c r="C4649" s="579" t="s">
        <v>281</v>
      </c>
      <c r="D4649" s="579"/>
      <c r="E4649" s="583"/>
      <c r="F4649" s="596"/>
      <c r="G4649" s="65">
        <v>0</v>
      </c>
      <c r="H4649" s="591" t="s">
        <v>280</v>
      </c>
      <c r="I4649" s="591" t="s">
        <v>280</v>
      </c>
    </row>
    <row r="4650" spans="1:9">
      <c r="A4650" s="582" t="s">
        <v>746</v>
      </c>
      <c r="B4650" s="65">
        <v>4848</v>
      </c>
      <c r="C4650" s="579" t="s">
        <v>281</v>
      </c>
      <c r="D4650" s="579"/>
      <c r="E4650" s="583"/>
      <c r="F4650" s="596"/>
      <c r="G4650" s="65">
        <v>0</v>
      </c>
      <c r="H4650" s="591" t="s">
        <v>280</v>
      </c>
      <c r="I4650" s="591" t="s">
        <v>280</v>
      </c>
    </row>
    <row r="4651" spans="1:9">
      <c r="A4651" s="582" t="s">
        <v>746</v>
      </c>
      <c r="B4651" s="65">
        <v>4849</v>
      </c>
      <c r="C4651" s="579" t="s">
        <v>281</v>
      </c>
      <c r="D4651" s="579"/>
      <c r="E4651" s="583"/>
      <c r="F4651" s="596"/>
      <c r="G4651" s="65">
        <v>0</v>
      </c>
      <c r="H4651" s="591" t="s">
        <v>280</v>
      </c>
      <c r="I4651" s="591" t="s">
        <v>280</v>
      </c>
    </row>
    <row r="4652" spans="1:9">
      <c r="A4652" s="582" t="s">
        <v>746</v>
      </c>
      <c r="B4652" s="65">
        <v>4850</v>
      </c>
      <c r="C4652" s="579" t="s">
        <v>281</v>
      </c>
      <c r="D4652" s="579"/>
      <c r="E4652" s="583"/>
      <c r="F4652" s="596"/>
      <c r="G4652" s="65">
        <v>0</v>
      </c>
      <c r="H4652" s="591" t="s">
        <v>280</v>
      </c>
      <c r="I4652" s="591" t="s">
        <v>280</v>
      </c>
    </row>
    <row r="4653" spans="1:9">
      <c r="A4653" s="582" t="s">
        <v>746</v>
      </c>
      <c r="B4653" s="65">
        <v>4851</v>
      </c>
      <c r="C4653" s="579" t="s">
        <v>281</v>
      </c>
      <c r="D4653" s="579"/>
      <c r="E4653" s="583"/>
      <c r="F4653" s="596"/>
      <c r="G4653" s="65">
        <v>0</v>
      </c>
      <c r="H4653" s="591" t="s">
        <v>280</v>
      </c>
      <c r="I4653" s="591" t="s">
        <v>280</v>
      </c>
    </row>
    <row r="4654" spans="1:9">
      <c r="A4654" s="582" t="s">
        <v>746</v>
      </c>
      <c r="B4654" s="65">
        <v>4852</v>
      </c>
      <c r="C4654" s="579" t="s">
        <v>281</v>
      </c>
      <c r="D4654" s="579"/>
      <c r="E4654" s="583"/>
      <c r="F4654" s="596"/>
      <c r="G4654" s="65">
        <v>0</v>
      </c>
      <c r="H4654" s="591" t="s">
        <v>280</v>
      </c>
      <c r="I4654" s="591" t="s">
        <v>280</v>
      </c>
    </row>
    <row r="4655" spans="1:9">
      <c r="A4655" s="582" t="s">
        <v>746</v>
      </c>
      <c r="B4655" s="65">
        <v>4853</v>
      </c>
      <c r="C4655" s="579" t="s">
        <v>281</v>
      </c>
      <c r="D4655" s="579"/>
      <c r="E4655" s="583"/>
      <c r="F4655" s="596"/>
      <c r="G4655" s="65">
        <v>0</v>
      </c>
      <c r="H4655" s="591" t="s">
        <v>280</v>
      </c>
      <c r="I4655" s="591" t="s">
        <v>280</v>
      </c>
    </row>
    <row r="4656" spans="1:9">
      <c r="A4656" s="582" t="s">
        <v>746</v>
      </c>
      <c r="B4656" s="65">
        <v>4854</v>
      </c>
      <c r="C4656" s="579" t="s">
        <v>281</v>
      </c>
      <c r="D4656" s="579"/>
      <c r="E4656" s="583"/>
      <c r="F4656" s="596"/>
      <c r="G4656" s="65">
        <v>0</v>
      </c>
      <c r="H4656" s="591" t="s">
        <v>280</v>
      </c>
      <c r="I4656" s="591" t="s">
        <v>280</v>
      </c>
    </row>
    <row r="4657" spans="1:9">
      <c r="A4657" s="582" t="s">
        <v>746</v>
      </c>
      <c r="B4657" s="65">
        <v>4855</v>
      </c>
      <c r="C4657" s="579" t="s">
        <v>281</v>
      </c>
      <c r="D4657" s="579"/>
      <c r="E4657" s="583"/>
      <c r="F4657" s="596"/>
      <c r="G4657" s="65">
        <v>0</v>
      </c>
      <c r="H4657" s="591" t="s">
        <v>280</v>
      </c>
      <c r="I4657" s="591" t="s">
        <v>280</v>
      </c>
    </row>
    <row r="4658" spans="1:9">
      <c r="A4658" s="582" t="s">
        <v>746</v>
      </c>
      <c r="B4658" s="65">
        <v>4856</v>
      </c>
      <c r="C4658" s="579" t="s">
        <v>281</v>
      </c>
      <c r="D4658" s="579"/>
      <c r="E4658" s="583"/>
      <c r="F4658" s="596"/>
      <c r="G4658" s="65">
        <v>0</v>
      </c>
      <c r="H4658" s="591" t="s">
        <v>280</v>
      </c>
      <c r="I4658" s="591" t="s">
        <v>280</v>
      </c>
    </row>
    <row r="4659" spans="1:9">
      <c r="A4659" s="582" t="s">
        <v>746</v>
      </c>
      <c r="B4659" s="65">
        <v>4857</v>
      </c>
      <c r="C4659" s="579" t="s">
        <v>281</v>
      </c>
      <c r="D4659" s="579"/>
      <c r="E4659" s="583"/>
      <c r="F4659" s="596"/>
      <c r="G4659" s="65">
        <v>0</v>
      </c>
      <c r="H4659" s="591" t="s">
        <v>280</v>
      </c>
      <c r="I4659" s="591" t="s">
        <v>280</v>
      </c>
    </row>
    <row r="4660" spans="1:9">
      <c r="A4660" s="582" t="s">
        <v>746</v>
      </c>
      <c r="B4660" s="65">
        <v>4858</v>
      </c>
      <c r="C4660" s="579" t="s">
        <v>281</v>
      </c>
      <c r="D4660" s="579"/>
      <c r="E4660" s="583"/>
      <c r="F4660" s="596"/>
      <c r="G4660" s="65">
        <v>0</v>
      </c>
      <c r="H4660" s="591" t="s">
        <v>280</v>
      </c>
      <c r="I4660" s="591" t="s">
        <v>280</v>
      </c>
    </row>
    <row r="4661" spans="1:9">
      <c r="A4661" s="582" t="s">
        <v>746</v>
      </c>
      <c r="B4661" s="65">
        <v>4859</v>
      </c>
      <c r="C4661" s="579" t="s">
        <v>281</v>
      </c>
      <c r="D4661" s="579"/>
      <c r="E4661" s="583"/>
      <c r="F4661" s="596"/>
      <c r="G4661" s="65">
        <v>0</v>
      </c>
      <c r="H4661" s="591" t="s">
        <v>280</v>
      </c>
      <c r="I4661" s="591" t="s">
        <v>280</v>
      </c>
    </row>
    <row r="4662" spans="1:9">
      <c r="A4662" s="582" t="s">
        <v>746</v>
      </c>
      <c r="B4662" s="65">
        <v>4860</v>
      </c>
      <c r="C4662" s="579" t="s">
        <v>281</v>
      </c>
      <c r="D4662" s="579"/>
      <c r="E4662" s="583"/>
      <c r="F4662" s="596"/>
      <c r="G4662" s="65">
        <v>0</v>
      </c>
      <c r="H4662" s="591" t="s">
        <v>280</v>
      </c>
      <c r="I4662" s="591" t="s">
        <v>280</v>
      </c>
    </row>
    <row r="4663" spans="1:9">
      <c r="A4663" s="582" t="s">
        <v>746</v>
      </c>
      <c r="B4663" s="65">
        <v>4861</v>
      </c>
      <c r="C4663" s="579" t="s">
        <v>281</v>
      </c>
      <c r="D4663" s="579"/>
      <c r="E4663" s="583"/>
      <c r="F4663" s="596"/>
      <c r="G4663" s="65">
        <v>0</v>
      </c>
      <c r="H4663" s="591" t="s">
        <v>280</v>
      </c>
      <c r="I4663" s="591" t="s">
        <v>280</v>
      </c>
    </row>
    <row r="4664" spans="1:9">
      <c r="A4664" s="582" t="s">
        <v>746</v>
      </c>
      <c r="B4664" s="65">
        <v>4862</v>
      </c>
      <c r="C4664" s="579" t="s">
        <v>281</v>
      </c>
      <c r="D4664" s="579"/>
      <c r="E4664" s="583"/>
      <c r="F4664" s="596"/>
      <c r="G4664" s="65">
        <v>0</v>
      </c>
      <c r="H4664" s="591" t="s">
        <v>280</v>
      </c>
      <c r="I4664" s="591" t="s">
        <v>280</v>
      </c>
    </row>
    <row r="4665" spans="1:9">
      <c r="A4665" s="582" t="s">
        <v>746</v>
      </c>
      <c r="B4665" s="65">
        <v>4863</v>
      </c>
      <c r="C4665" s="579" t="s">
        <v>281</v>
      </c>
      <c r="D4665" s="579"/>
      <c r="E4665" s="583"/>
      <c r="F4665" s="596"/>
      <c r="G4665" s="65">
        <v>0</v>
      </c>
      <c r="H4665" s="591" t="s">
        <v>280</v>
      </c>
      <c r="I4665" s="591" t="s">
        <v>280</v>
      </c>
    </row>
    <row r="4666" spans="1:9">
      <c r="A4666" s="582" t="s">
        <v>746</v>
      </c>
      <c r="B4666" s="65">
        <v>4864</v>
      </c>
      <c r="C4666" s="579" t="s">
        <v>281</v>
      </c>
      <c r="D4666" s="579"/>
      <c r="E4666" s="583"/>
      <c r="F4666" s="596"/>
      <c r="G4666" s="65">
        <v>0</v>
      </c>
      <c r="H4666" s="591" t="s">
        <v>280</v>
      </c>
      <c r="I4666" s="591" t="s">
        <v>280</v>
      </c>
    </row>
    <row r="4667" spans="1:9">
      <c r="A4667" s="582" t="s">
        <v>746</v>
      </c>
      <c r="B4667" s="65">
        <v>4865</v>
      </c>
      <c r="C4667" s="579" t="s">
        <v>281</v>
      </c>
      <c r="D4667" s="579"/>
      <c r="E4667" s="583"/>
      <c r="F4667" s="596"/>
      <c r="G4667" s="65">
        <v>0</v>
      </c>
      <c r="H4667" s="591" t="s">
        <v>280</v>
      </c>
      <c r="I4667" s="591" t="s">
        <v>280</v>
      </c>
    </row>
    <row r="4668" spans="1:9">
      <c r="A4668" s="582" t="s">
        <v>746</v>
      </c>
      <c r="B4668" s="65">
        <v>4866</v>
      </c>
      <c r="C4668" s="579" t="s">
        <v>281</v>
      </c>
      <c r="D4668" s="579"/>
      <c r="E4668" s="583"/>
      <c r="F4668" s="596"/>
      <c r="G4668" s="65">
        <v>0</v>
      </c>
      <c r="H4668" s="591" t="s">
        <v>280</v>
      </c>
      <c r="I4668" s="591" t="s">
        <v>280</v>
      </c>
    </row>
    <row r="4669" spans="1:9">
      <c r="A4669" s="582" t="s">
        <v>746</v>
      </c>
      <c r="B4669" s="65">
        <v>4867</v>
      </c>
      <c r="C4669" s="579" t="s">
        <v>281</v>
      </c>
      <c r="D4669" s="579"/>
      <c r="E4669" s="583"/>
      <c r="F4669" s="596"/>
      <c r="G4669" s="65">
        <v>0</v>
      </c>
      <c r="H4669" s="591" t="s">
        <v>280</v>
      </c>
      <c r="I4669" s="591" t="s">
        <v>280</v>
      </c>
    </row>
    <row r="4670" spans="1:9">
      <c r="A4670" s="582" t="s">
        <v>746</v>
      </c>
      <c r="B4670" s="65">
        <v>4868</v>
      </c>
      <c r="C4670" s="579" t="s">
        <v>281</v>
      </c>
      <c r="D4670" s="579"/>
      <c r="E4670" s="583"/>
      <c r="F4670" s="596"/>
      <c r="G4670" s="65">
        <v>0</v>
      </c>
      <c r="H4670" s="591" t="s">
        <v>280</v>
      </c>
      <c r="I4670" s="591" t="s">
        <v>280</v>
      </c>
    </row>
    <row r="4671" spans="1:9">
      <c r="A4671" s="582" t="s">
        <v>746</v>
      </c>
      <c r="B4671" s="65">
        <v>4869</v>
      </c>
      <c r="C4671" s="579" t="s">
        <v>281</v>
      </c>
      <c r="D4671" s="579"/>
      <c r="E4671" s="583"/>
      <c r="F4671" s="596"/>
      <c r="G4671" s="65">
        <v>0</v>
      </c>
      <c r="H4671" s="591" t="s">
        <v>280</v>
      </c>
      <c r="I4671" s="591" t="s">
        <v>280</v>
      </c>
    </row>
    <row r="4672" spans="1:9">
      <c r="A4672" s="582" t="s">
        <v>746</v>
      </c>
      <c r="B4672" s="65">
        <v>4870</v>
      </c>
      <c r="C4672" s="579" t="s">
        <v>281</v>
      </c>
      <c r="D4672" s="579"/>
      <c r="E4672" s="583"/>
      <c r="F4672" s="596"/>
      <c r="G4672" s="65">
        <v>0</v>
      </c>
      <c r="H4672" s="591" t="s">
        <v>280</v>
      </c>
      <c r="I4672" s="591" t="s">
        <v>280</v>
      </c>
    </row>
    <row r="4673" spans="1:9">
      <c r="A4673" s="582" t="s">
        <v>746</v>
      </c>
      <c r="B4673" s="65">
        <v>4871</v>
      </c>
      <c r="C4673" s="579" t="s">
        <v>281</v>
      </c>
      <c r="D4673" s="579"/>
      <c r="E4673" s="583"/>
      <c r="F4673" s="596"/>
      <c r="G4673" s="65">
        <v>0</v>
      </c>
      <c r="H4673" s="591" t="s">
        <v>280</v>
      </c>
      <c r="I4673" s="591" t="s">
        <v>280</v>
      </c>
    </row>
    <row r="4674" spans="1:9">
      <c r="A4674" s="582" t="s">
        <v>746</v>
      </c>
      <c r="B4674" s="65">
        <v>4872</v>
      </c>
      <c r="C4674" s="579" t="s">
        <v>281</v>
      </c>
      <c r="D4674" s="579"/>
      <c r="E4674" s="583"/>
      <c r="F4674" s="596"/>
      <c r="G4674" s="65">
        <v>0</v>
      </c>
      <c r="H4674" s="591" t="s">
        <v>280</v>
      </c>
      <c r="I4674" s="591" t="s">
        <v>280</v>
      </c>
    </row>
    <row r="4675" spans="1:9">
      <c r="A4675" s="582" t="s">
        <v>746</v>
      </c>
      <c r="B4675" s="65">
        <v>4873</v>
      </c>
      <c r="C4675" s="579" t="s">
        <v>281</v>
      </c>
      <c r="D4675" s="579"/>
      <c r="E4675" s="583"/>
      <c r="F4675" s="596"/>
      <c r="G4675" s="65">
        <v>0</v>
      </c>
      <c r="H4675" s="591" t="s">
        <v>280</v>
      </c>
      <c r="I4675" s="591" t="s">
        <v>280</v>
      </c>
    </row>
    <row r="4676" spans="1:9">
      <c r="A4676" s="582" t="s">
        <v>746</v>
      </c>
      <c r="B4676" s="65">
        <v>4874</v>
      </c>
      <c r="C4676" s="579" t="s">
        <v>281</v>
      </c>
      <c r="D4676" s="579"/>
      <c r="E4676" s="583"/>
      <c r="F4676" s="596"/>
      <c r="G4676" s="65">
        <v>0</v>
      </c>
      <c r="H4676" s="591" t="s">
        <v>280</v>
      </c>
      <c r="I4676" s="591" t="s">
        <v>280</v>
      </c>
    </row>
    <row r="4677" spans="1:9">
      <c r="A4677" s="582" t="s">
        <v>746</v>
      </c>
      <c r="B4677" s="65">
        <v>4875</v>
      </c>
      <c r="C4677" s="579" t="s">
        <v>281</v>
      </c>
      <c r="D4677" s="579"/>
      <c r="E4677" s="583"/>
      <c r="F4677" s="596"/>
      <c r="G4677" s="65">
        <v>0</v>
      </c>
      <c r="H4677" s="591" t="s">
        <v>280</v>
      </c>
      <c r="I4677" s="591" t="s">
        <v>280</v>
      </c>
    </row>
    <row r="4678" spans="1:9">
      <c r="A4678" s="582" t="s">
        <v>746</v>
      </c>
      <c r="B4678" s="65">
        <v>4876</v>
      </c>
      <c r="C4678" s="579" t="s">
        <v>281</v>
      </c>
      <c r="D4678" s="579"/>
      <c r="E4678" s="583"/>
      <c r="F4678" s="596"/>
      <c r="G4678" s="65">
        <v>0</v>
      </c>
      <c r="H4678" s="591" t="s">
        <v>280</v>
      </c>
      <c r="I4678" s="591" t="s">
        <v>280</v>
      </c>
    </row>
    <row r="4679" spans="1:9">
      <c r="A4679" s="582" t="s">
        <v>746</v>
      </c>
      <c r="B4679" s="65">
        <v>4877</v>
      </c>
      <c r="C4679" s="579" t="s">
        <v>281</v>
      </c>
      <c r="D4679" s="579"/>
      <c r="E4679" s="583"/>
      <c r="F4679" s="596"/>
      <c r="G4679" s="65">
        <v>0</v>
      </c>
      <c r="H4679" s="591" t="s">
        <v>280</v>
      </c>
      <c r="I4679" s="591" t="s">
        <v>280</v>
      </c>
    </row>
    <row r="4680" spans="1:9">
      <c r="A4680" s="582" t="s">
        <v>746</v>
      </c>
      <c r="B4680" s="65">
        <v>4878</v>
      </c>
      <c r="C4680" s="579" t="s">
        <v>281</v>
      </c>
      <c r="D4680" s="579"/>
      <c r="E4680" s="583"/>
      <c r="F4680" s="596"/>
      <c r="G4680" s="65">
        <v>0</v>
      </c>
      <c r="H4680" s="591" t="s">
        <v>280</v>
      </c>
      <c r="I4680" s="591" t="s">
        <v>280</v>
      </c>
    </row>
    <row r="4681" spans="1:9">
      <c r="A4681" s="582" t="s">
        <v>746</v>
      </c>
      <c r="B4681" s="65">
        <v>4879</v>
      </c>
      <c r="C4681" s="579" t="s">
        <v>281</v>
      </c>
      <c r="D4681" s="579"/>
      <c r="E4681" s="583"/>
      <c r="F4681" s="596"/>
      <c r="G4681" s="65">
        <v>0</v>
      </c>
      <c r="H4681" s="591" t="s">
        <v>280</v>
      </c>
      <c r="I4681" s="591" t="s">
        <v>280</v>
      </c>
    </row>
    <row r="4682" spans="1:9">
      <c r="A4682" s="582" t="s">
        <v>746</v>
      </c>
      <c r="B4682" s="65">
        <v>4880</v>
      </c>
      <c r="C4682" s="579" t="s">
        <v>281</v>
      </c>
      <c r="D4682" s="579"/>
      <c r="E4682" s="583"/>
      <c r="F4682" s="596"/>
      <c r="G4682" s="65">
        <v>0</v>
      </c>
      <c r="H4682" s="591" t="s">
        <v>280</v>
      </c>
      <c r="I4682" s="591" t="s">
        <v>280</v>
      </c>
    </row>
    <row r="4683" spans="1:9">
      <c r="A4683" s="582" t="s">
        <v>746</v>
      </c>
      <c r="B4683" s="65">
        <v>4881</v>
      </c>
      <c r="C4683" s="579" t="s">
        <v>281</v>
      </c>
      <c r="D4683" s="579"/>
      <c r="E4683" s="583"/>
      <c r="F4683" s="596"/>
      <c r="G4683" s="65">
        <v>0</v>
      </c>
      <c r="H4683" s="591" t="s">
        <v>280</v>
      </c>
      <c r="I4683" s="591" t="s">
        <v>280</v>
      </c>
    </row>
    <row r="4684" spans="1:9">
      <c r="A4684" s="582" t="s">
        <v>746</v>
      </c>
      <c r="B4684" s="65">
        <v>4882</v>
      </c>
      <c r="C4684" s="579" t="s">
        <v>281</v>
      </c>
      <c r="D4684" s="579"/>
      <c r="E4684" s="583"/>
      <c r="F4684" s="596"/>
      <c r="G4684" s="65">
        <v>0</v>
      </c>
      <c r="H4684" s="591" t="s">
        <v>280</v>
      </c>
      <c r="I4684" s="591" t="s">
        <v>280</v>
      </c>
    </row>
    <row r="4685" spans="1:9">
      <c r="A4685" s="582" t="s">
        <v>746</v>
      </c>
      <c r="B4685" s="65">
        <v>4883</v>
      </c>
      <c r="C4685" s="579" t="s">
        <v>281</v>
      </c>
      <c r="D4685" s="579"/>
      <c r="E4685" s="583"/>
      <c r="F4685" s="596"/>
      <c r="G4685" s="65">
        <v>0</v>
      </c>
      <c r="H4685" s="591" t="s">
        <v>280</v>
      </c>
      <c r="I4685" s="591" t="s">
        <v>280</v>
      </c>
    </row>
    <row r="4686" spans="1:9">
      <c r="A4686" s="582" t="s">
        <v>746</v>
      </c>
      <c r="B4686" s="65">
        <v>4884</v>
      </c>
      <c r="C4686" s="579" t="s">
        <v>281</v>
      </c>
      <c r="D4686" s="579"/>
      <c r="E4686" s="583"/>
      <c r="F4686" s="596"/>
      <c r="G4686" s="65">
        <v>0</v>
      </c>
      <c r="H4686" s="591" t="s">
        <v>280</v>
      </c>
      <c r="I4686" s="591" t="s">
        <v>280</v>
      </c>
    </row>
    <row r="4687" spans="1:9">
      <c r="A4687" s="582" t="s">
        <v>746</v>
      </c>
      <c r="B4687" s="65">
        <v>4885</v>
      </c>
      <c r="C4687" s="579" t="s">
        <v>281</v>
      </c>
      <c r="D4687" s="579"/>
      <c r="E4687" s="583"/>
      <c r="F4687" s="596"/>
      <c r="G4687" s="65">
        <v>0</v>
      </c>
      <c r="H4687" s="591" t="s">
        <v>280</v>
      </c>
      <c r="I4687" s="591" t="s">
        <v>280</v>
      </c>
    </row>
    <row r="4688" spans="1:9">
      <c r="A4688" s="582" t="s">
        <v>746</v>
      </c>
      <c r="B4688" s="65">
        <v>4886</v>
      </c>
      <c r="C4688" s="579" t="s">
        <v>281</v>
      </c>
      <c r="D4688" s="579"/>
      <c r="E4688" s="583"/>
      <c r="F4688" s="596"/>
      <c r="G4688" s="65">
        <v>0</v>
      </c>
      <c r="H4688" s="591" t="s">
        <v>280</v>
      </c>
      <c r="I4688" s="591" t="s">
        <v>280</v>
      </c>
    </row>
    <row r="4689" spans="1:10">
      <c r="A4689" s="582" t="s">
        <v>746</v>
      </c>
      <c r="B4689" s="65">
        <v>4887</v>
      </c>
      <c r="C4689" s="579" t="s">
        <v>281</v>
      </c>
      <c r="D4689" s="579"/>
      <c r="E4689" s="583"/>
      <c r="F4689" s="596"/>
      <c r="G4689" s="65">
        <v>0</v>
      </c>
      <c r="H4689" s="591" t="s">
        <v>280</v>
      </c>
      <c r="I4689" s="591" t="s">
        <v>280</v>
      </c>
    </row>
    <row r="4690" spans="1:10">
      <c r="A4690" s="582" t="s">
        <v>746</v>
      </c>
      <c r="B4690" s="65">
        <v>4888</v>
      </c>
      <c r="C4690" s="579" t="s">
        <v>281</v>
      </c>
      <c r="D4690" s="579"/>
      <c r="E4690" s="583"/>
      <c r="F4690" s="596"/>
      <c r="G4690" s="65">
        <v>0</v>
      </c>
      <c r="H4690" s="591" t="s">
        <v>280</v>
      </c>
      <c r="I4690" s="591" t="s">
        <v>280</v>
      </c>
    </row>
    <row r="4691" spans="1:10">
      <c r="A4691" s="582" t="s">
        <v>746</v>
      </c>
      <c r="B4691" s="65">
        <v>4889</v>
      </c>
      <c r="C4691" s="579" t="s">
        <v>281</v>
      </c>
      <c r="D4691" s="579"/>
      <c r="E4691" s="583"/>
      <c r="F4691" s="596"/>
      <c r="G4691" s="65">
        <v>0</v>
      </c>
      <c r="H4691" s="591" t="s">
        <v>280</v>
      </c>
      <c r="I4691" s="591" t="s">
        <v>280</v>
      </c>
    </row>
    <row r="4692" spans="1:10">
      <c r="A4692" s="582" t="s">
        <v>746</v>
      </c>
      <c r="B4692" s="65">
        <v>4890</v>
      </c>
      <c r="C4692" s="579" t="s">
        <v>281</v>
      </c>
      <c r="D4692" s="579"/>
      <c r="E4692" s="583"/>
      <c r="F4692" s="596"/>
      <c r="G4692" s="65">
        <v>0</v>
      </c>
      <c r="H4692" s="591" t="s">
        <v>280</v>
      </c>
      <c r="I4692" s="591" t="s">
        <v>280</v>
      </c>
    </row>
    <row r="4693" spans="1:10">
      <c r="A4693" s="582" t="s">
        <v>746</v>
      </c>
      <c r="B4693" s="65">
        <v>4891</v>
      </c>
      <c r="C4693" s="579" t="s">
        <v>281</v>
      </c>
      <c r="D4693" s="579"/>
      <c r="E4693" s="583"/>
      <c r="F4693" s="596"/>
      <c r="G4693" s="65">
        <v>0</v>
      </c>
      <c r="H4693" s="591" t="s">
        <v>280</v>
      </c>
      <c r="I4693" s="591" t="s">
        <v>280</v>
      </c>
    </row>
    <row r="4694" spans="1:10">
      <c r="A4694" s="582" t="s">
        <v>746</v>
      </c>
      <c r="B4694" s="65">
        <v>4892</v>
      </c>
      <c r="C4694" s="579" t="s">
        <v>281</v>
      </c>
      <c r="D4694" s="579"/>
      <c r="E4694" s="583"/>
      <c r="F4694" s="596"/>
      <c r="G4694" s="65">
        <v>0</v>
      </c>
      <c r="H4694" s="591" t="s">
        <v>280</v>
      </c>
      <c r="I4694" s="591" t="s">
        <v>280</v>
      </c>
    </row>
    <row r="4695" spans="1:10">
      <c r="A4695" s="582" t="s">
        <v>746</v>
      </c>
      <c r="B4695" s="65">
        <v>4893</v>
      </c>
      <c r="C4695" s="579" t="s">
        <v>281</v>
      </c>
      <c r="D4695" s="579"/>
      <c r="E4695" s="583"/>
      <c r="F4695" s="596"/>
      <c r="G4695" s="65">
        <v>0</v>
      </c>
      <c r="H4695" s="591" t="s">
        <v>280</v>
      </c>
      <c r="I4695" s="591" t="s">
        <v>280</v>
      </c>
    </row>
    <row r="4696" spans="1:10">
      <c r="A4696" s="582" t="s">
        <v>746</v>
      </c>
      <c r="B4696" s="65">
        <v>4894</v>
      </c>
      <c r="C4696" s="579" t="s">
        <v>281</v>
      </c>
      <c r="D4696" s="579"/>
      <c r="E4696" s="583"/>
      <c r="F4696" s="596"/>
      <c r="G4696" s="65">
        <v>0</v>
      </c>
      <c r="H4696" s="591" t="s">
        <v>280</v>
      </c>
      <c r="I4696" s="591" t="s">
        <v>280</v>
      </c>
    </row>
    <row r="4697" spans="1:10">
      <c r="A4697" s="582" t="s">
        <v>746</v>
      </c>
      <c r="B4697" s="65">
        <v>4895</v>
      </c>
      <c r="C4697" s="579" t="s">
        <v>281</v>
      </c>
      <c r="D4697" s="579"/>
      <c r="E4697" s="583"/>
      <c r="F4697" s="596"/>
      <c r="G4697" s="65">
        <v>0</v>
      </c>
      <c r="H4697" s="591" t="s">
        <v>280</v>
      </c>
      <c r="I4697" s="591" t="s">
        <v>280</v>
      </c>
    </row>
    <row r="4698" spans="1:10">
      <c r="A4698" s="582" t="s">
        <v>746</v>
      </c>
      <c r="B4698" s="65">
        <v>4896</v>
      </c>
      <c r="C4698" s="579" t="s">
        <v>281</v>
      </c>
      <c r="D4698" s="579"/>
      <c r="E4698" s="583"/>
      <c r="F4698" s="596"/>
      <c r="G4698" s="65">
        <v>0</v>
      </c>
      <c r="H4698" s="591" t="s">
        <v>280</v>
      </c>
      <c r="I4698" s="591" t="s">
        <v>280</v>
      </c>
    </row>
    <row r="4699" spans="1:10">
      <c r="A4699" s="582" t="s">
        <v>746</v>
      </c>
      <c r="B4699" s="65">
        <v>4897</v>
      </c>
      <c r="C4699" s="579" t="s">
        <v>281</v>
      </c>
      <c r="D4699" s="579"/>
      <c r="E4699" s="583"/>
      <c r="F4699" s="596"/>
      <c r="G4699" s="65">
        <v>0</v>
      </c>
      <c r="H4699" s="591" t="s">
        <v>280</v>
      </c>
      <c r="I4699" s="591" t="s">
        <v>280</v>
      </c>
    </row>
    <row r="4700" spans="1:10">
      <c r="A4700" s="582" t="s">
        <v>746</v>
      </c>
      <c r="B4700" s="65">
        <v>4898</v>
      </c>
      <c r="C4700" s="579" t="s">
        <v>281</v>
      </c>
      <c r="D4700" s="579"/>
      <c r="E4700" s="583"/>
      <c r="F4700" s="596"/>
      <c r="G4700" s="65">
        <v>0</v>
      </c>
      <c r="H4700" s="591" t="s">
        <v>280</v>
      </c>
      <c r="I4700" s="591" t="s">
        <v>280</v>
      </c>
    </row>
    <row r="4701" spans="1:10">
      <c r="A4701" s="582" t="s">
        <v>746</v>
      </c>
      <c r="B4701" s="65">
        <v>4899</v>
      </c>
      <c r="C4701" s="579" t="s">
        <v>281</v>
      </c>
      <c r="D4701" s="579"/>
      <c r="E4701" s="583"/>
      <c r="F4701" s="596"/>
      <c r="G4701" s="65">
        <v>0</v>
      </c>
      <c r="H4701" s="591" t="s">
        <v>280</v>
      </c>
      <c r="I4701" s="591" t="s">
        <v>280</v>
      </c>
    </row>
    <row r="4702" spans="1:10">
      <c r="A4702" s="582" t="s">
        <v>760</v>
      </c>
      <c r="B4702" s="65">
        <v>4900</v>
      </c>
      <c r="C4702" s="579" t="s">
        <v>279</v>
      </c>
      <c r="D4702" s="579"/>
      <c r="E4702" s="583"/>
      <c r="F4702" s="585">
        <v>45535</v>
      </c>
      <c r="G4702" s="65">
        <v>1</v>
      </c>
      <c r="H4702" s="591" t="s">
        <v>280</v>
      </c>
      <c r="I4702" s="591" t="s">
        <v>280</v>
      </c>
      <c r="J4702" s="57"/>
    </row>
    <row r="4703" spans="1:10">
      <c r="A4703" s="582" t="s">
        <v>760</v>
      </c>
      <c r="B4703" s="65">
        <v>4901</v>
      </c>
      <c r="C4703" s="65" t="s">
        <v>281</v>
      </c>
      <c r="D4703" s="65"/>
      <c r="E4703" s="583"/>
      <c r="F4703" s="596"/>
      <c r="G4703" s="65">
        <v>0</v>
      </c>
      <c r="H4703" s="591" t="s">
        <v>280</v>
      </c>
      <c r="I4703" s="591" t="s">
        <v>280</v>
      </c>
      <c r="J4703" s="57"/>
    </row>
    <row r="4704" spans="1:10">
      <c r="A4704" s="582" t="s">
        <v>760</v>
      </c>
      <c r="B4704" s="65">
        <v>4902</v>
      </c>
      <c r="C4704" s="65" t="s">
        <v>281</v>
      </c>
      <c r="D4704" s="65"/>
      <c r="E4704" s="583"/>
      <c r="F4704" s="596"/>
      <c r="G4704" s="65">
        <v>0</v>
      </c>
      <c r="H4704" s="591" t="s">
        <v>280</v>
      </c>
      <c r="I4704" s="591" t="s">
        <v>280</v>
      </c>
      <c r="J4704" s="57"/>
    </row>
    <row r="4705" spans="1:10">
      <c r="A4705" s="582" t="s">
        <v>760</v>
      </c>
      <c r="B4705" s="65">
        <v>4903</v>
      </c>
      <c r="C4705" s="65" t="s">
        <v>761</v>
      </c>
      <c r="D4705" s="579">
        <v>10400</v>
      </c>
      <c r="E4705" s="583"/>
      <c r="F4705" s="585">
        <v>45535</v>
      </c>
      <c r="G4705" s="65">
        <v>1</v>
      </c>
      <c r="H4705" s="591" t="s">
        <v>1979</v>
      </c>
      <c r="I4705" s="591" t="s">
        <v>96</v>
      </c>
      <c r="J4705" s="57"/>
    </row>
    <row r="4706" spans="1:10">
      <c r="A4706" s="582" t="s">
        <v>760</v>
      </c>
      <c r="B4706" s="65">
        <v>4904</v>
      </c>
      <c r="C4706" s="65" t="s">
        <v>281</v>
      </c>
      <c r="D4706" s="65"/>
      <c r="E4706" s="583"/>
      <c r="F4706" s="596"/>
      <c r="G4706" s="65">
        <v>0</v>
      </c>
      <c r="H4706" s="591" t="s">
        <v>280</v>
      </c>
      <c r="I4706" s="591" t="s">
        <v>280</v>
      </c>
      <c r="J4706" s="57"/>
    </row>
    <row r="4707" spans="1:10">
      <c r="A4707" s="582" t="s">
        <v>760</v>
      </c>
      <c r="B4707" s="65">
        <v>4905</v>
      </c>
      <c r="C4707" s="579" t="s">
        <v>281</v>
      </c>
      <c r="D4707" s="65"/>
      <c r="E4707" s="583"/>
      <c r="F4707" s="596"/>
      <c r="G4707" s="65">
        <v>0</v>
      </c>
      <c r="H4707" s="591" t="s">
        <v>280</v>
      </c>
      <c r="I4707" s="591" t="s">
        <v>280</v>
      </c>
      <c r="J4707" s="57"/>
    </row>
    <row r="4708" spans="1:10">
      <c r="A4708" s="582" t="s">
        <v>760</v>
      </c>
      <c r="B4708" s="65">
        <v>4906</v>
      </c>
      <c r="C4708" s="579" t="s">
        <v>281</v>
      </c>
      <c r="D4708" s="579"/>
      <c r="E4708" s="583"/>
      <c r="F4708" s="596"/>
      <c r="G4708" s="65">
        <v>0</v>
      </c>
      <c r="H4708" s="591" t="s">
        <v>280</v>
      </c>
      <c r="I4708" s="591" t="s">
        <v>280</v>
      </c>
      <c r="J4708" s="57"/>
    </row>
    <row r="4709" spans="1:10">
      <c r="A4709" s="582" t="s">
        <v>760</v>
      </c>
      <c r="B4709" s="65">
        <v>4907</v>
      </c>
      <c r="C4709" s="65" t="s">
        <v>762</v>
      </c>
      <c r="D4709" s="65">
        <v>10421</v>
      </c>
      <c r="E4709" s="583"/>
      <c r="F4709" s="585">
        <v>45535</v>
      </c>
      <c r="G4709" s="65">
        <v>1</v>
      </c>
      <c r="H4709" s="591" t="s">
        <v>1979</v>
      </c>
      <c r="I4709" s="591" t="s">
        <v>96</v>
      </c>
      <c r="J4709" s="57"/>
    </row>
    <row r="4710" spans="1:10">
      <c r="A4710" s="582" t="s">
        <v>760</v>
      </c>
      <c r="B4710" s="65">
        <v>4908</v>
      </c>
      <c r="C4710" s="65" t="s">
        <v>281</v>
      </c>
      <c r="D4710" s="65"/>
      <c r="E4710" s="583"/>
      <c r="F4710" s="596"/>
      <c r="G4710" s="65">
        <v>0</v>
      </c>
      <c r="H4710" s="591" t="s">
        <v>280</v>
      </c>
      <c r="I4710" s="591" t="s">
        <v>280</v>
      </c>
      <c r="J4710" s="57"/>
    </row>
    <row r="4711" spans="1:10">
      <c r="A4711" s="582" t="s">
        <v>760</v>
      </c>
      <c r="B4711" s="65">
        <v>4909</v>
      </c>
      <c r="C4711" s="65" t="s">
        <v>281</v>
      </c>
      <c r="D4711" s="65"/>
      <c r="E4711" s="583"/>
      <c r="F4711" s="596"/>
      <c r="G4711" s="65">
        <v>0</v>
      </c>
      <c r="H4711" s="591" t="s">
        <v>280</v>
      </c>
      <c r="I4711" s="591" t="s">
        <v>280</v>
      </c>
      <c r="J4711" s="57"/>
    </row>
    <row r="4712" spans="1:10">
      <c r="A4712" s="582" t="s">
        <v>760</v>
      </c>
      <c r="B4712" s="65">
        <v>4910</v>
      </c>
      <c r="C4712" s="65" t="s">
        <v>281</v>
      </c>
      <c r="D4712" s="65"/>
      <c r="E4712" s="583"/>
      <c r="F4712" s="596"/>
      <c r="G4712" s="65">
        <v>0</v>
      </c>
      <c r="H4712" s="591" t="s">
        <v>280</v>
      </c>
      <c r="I4712" s="591" t="s">
        <v>280</v>
      </c>
      <c r="J4712" s="57"/>
    </row>
    <row r="4713" spans="1:10">
      <c r="A4713" s="582" t="s">
        <v>760</v>
      </c>
      <c r="B4713" s="65">
        <v>4911</v>
      </c>
      <c r="C4713" s="579" t="s">
        <v>281</v>
      </c>
      <c r="D4713" s="579"/>
      <c r="E4713" s="583"/>
      <c r="F4713" s="596"/>
      <c r="G4713" s="65">
        <v>0</v>
      </c>
      <c r="H4713" s="591" t="s">
        <v>280</v>
      </c>
      <c r="I4713" s="591" t="s">
        <v>280</v>
      </c>
      <c r="J4713" s="57"/>
    </row>
    <row r="4714" spans="1:10">
      <c r="A4714" s="582" t="s">
        <v>760</v>
      </c>
      <c r="B4714" s="65">
        <v>4912</v>
      </c>
      <c r="C4714" s="579" t="s">
        <v>281</v>
      </c>
      <c r="D4714" s="65"/>
      <c r="E4714" s="583"/>
      <c r="F4714" s="596"/>
      <c r="G4714" s="65">
        <v>0</v>
      </c>
      <c r="H4714" s="591" t="s">
        <v>280</v>
      </c>
      <c r="I4714" s="591" t="s">
        <v>280</v>
      </c>
    </row>
    <row r="4715" spans="1:10">
      <c r="A4715" s="582" t="s">
        <v>760</v>
      </c>
      <c r="B4715" s="65">
        <v>4913</v>
      </c>
      <c r="C4715" s="65" t="s">
        <v>281</v>
      </c>
      <c r="D4715" s="65"/>
      <c r="E4715" s="583"/>
      <c r="F4715" s="596"/>
      <c r="G4715" s="65">
        <v>0</v>
      </c>
      <c r="H4715" s="591" t="s">
        <v>280</v>
      </c>
      <c r="I4715" s="591" t="s">
        <v>280</v>
      </c>
    </row>
    <row r="4716" spans="1:10">
      <c r="A4716" s="582" t="s">
        <v>760</v>
      </c>
      <c r="B4716" s="65">
        <v>4914</v>
      </c>
      <c r="C4716" s="65" t="s">
        <v>281</v>
      </c>
      <c r="D4716" s="65"/>
      <c r="E4716" s="583"/>
      <c r="F4716" s="596"/>
      <c r="G4716" s="65">
        <v>0</v>
      </c>
      <c r="H4716" s="591" t="s">
        <v>280</v>
      </c>
      <c r="I4716" s="591" t="s">
        <v>280</v>
      </c>
    </row>
    <row r="4717" spans="1:10">
      <c r="A4717" s="582" t="s">
        <v>760</v>
      </c>
      <c r="B4717" s="65">
        <v>4915</v>
      </c>
      <c r="C4717" s="65" t="s">
        <v>281</v>
      </c>
      <c r="D4717" s="65"/>
      <c r="E4717" s="583"/>
      <c r="F4717" s="596"/>
      <c r="G4717" s="65">
        <v>0</v>
      </c>
      <c r="H4717" s="591" t="s">
        <v>280</v>
      </c>
      <c r="I4717" s="591" t="s">
        <v>280</v>
      </c>
    </row>
    <row r="4718" spans="1:10">
      <c r="A4718" s="582" t="s">
        <v>760</v>
      </c>
      <c r="B4718" s="65">
        <v>4916</v>
      </c>
      <c r="C4718" s="65" t="s">
        <v>281</v>
      </c>
      <c r="D4718" s="65"/>
      <c r="E4718" s="583"/>
      <c r="F4718" s="596"/>
      <c r="G4718" s="65">
        <v>0</v>
      </c>
      <c r="H4718" s="591" t="s">
        <v>280</v>
      </c>
      <c r="I4718" s="591" t="s">
        <v>280</v>
      </c>
    </row>
    <row r="4719" spans="1:10">
      <c r="A4719" s="582" t="s">
        <v>760</v>
      </c>
      <c r="B4719" s="65">
        <v>4917</v>
      </c>
      <c r="C4719" s="579" t="s">
        <v>763</v>
      </c>
      <c r="D4719" s="63">
        <v>10024</v>
      </c>
      <c r="E4719" s="583"/>
      <c r="F4719" s="585">
        <v>45535</v>
      </c>
      <c r="G4719" s="65">
        <v>1</v>
      </c>
      <c r="H4719" s="591" t="s">
        <v>1979</v>
      </c>
      <c r="I4719" s="591" t="s">
        <v>96</v>
      </c>
    </row>
    <row r="4720" spans="1:10">
      <c r="A4720" s="582" t="s">
        <v>760</v>
      </c>
      <c r="B4720" s="65">
        <v>4918</v>
      </c>
      <c r="C4720" s="579" t="s">
        <v>764</v>
      </c>
      <c r="D4720" s="63">
        <v>10401</v>
      </c>
      <c r="E4720" s="583"/>
      <c r="F4720" s="585">
        <v>45535</v>
      </c>
      <c r="G4720" s="65">
        <v>1</v>
      </c>
      <c r="H4720" s="591" t="s">
        <v>1979</v>
      </c>
      <c r="I4720" s="591" t="s">
        <v>96</v>
      </c>
    </row>
    <row r="4721" spans="1:9">
      <c r="A4721" s="582" t="s">
        <v>760</v>
      </c>
      <c r="B4721" s="65">
        <v>4919</v>
      </c>
      <c r="C4721" s="579" t="s">
        <v>765</v>
      </c>
      <c r="D4721" s="579">
        <v>10322</v>
      </c>
      <c r="E4721" s="583"/>
      <c r="F4721" s="585">
        <v>45535</v>
      </c>
      <c r="G4721" s="65">
        <v>1</v>
      </c>
      <c r="H4721" s="591" t="s">
        <v>280</v>
      </c>
      <c r="I4721" s="591" t="s">
        <v>280</v>
      </c>
    </row>
    <row r="4722" spans="1:9">
      <c r="A4722" s="582" t="s">
        <v>760</v>
      </c>
      <c r="B4722" s="65">
        <v>4920</v>
      </c>
      <c r="C4722" s="579" t="s">
        <v>281</v>
      </c>
      <c r="D4722" s="579"/>
      <c r="E4722" s="583"/>
      <c r="F4722" s="596"/>
      <c r="G4722" s="65">
        <v>0</v>
      </c>
      <c r="H4722" s="591" t="s">
        <v>280</v>
      </c>
      <c r="I4722" s="591" t="s">
        <v>280</v>
      </c>
    </row>
    <row r="4723" spans="1:9">
      <c r="A4723" s="582" t="s">
        <v>760</v>
      </c>
      <c r="B4723" s="65">
        <v>4921</v>
      </c>
      <c r="C4723" s="579" t="s">
        <v>281</v>
      </c>
      <c r="D4723" s="579"/>
      <c r="E4723" s="583"/>
      <c r="F4723" s="596"/>
      <c r="G4723" s="65">
        <v>0</v>
      </c>
      <c r="H4723" s="591" t="s">
        <v>280</v>
      </c>
      <c r="I4723" s="591" t="s">
        <v>280</v>
      </c>
    </row>
    <row r="4724" spans="1:9">
      <c r="A4724" s="582" t="s">
        <v>760</v>
      </c>
      <c r="B4724" s="65">
        <v>4922</v>
      </c>
      <c r="C4724" s="579" t="s">
        <v>766</v>
      </c>
      <c r="D4724" s="579">
        <v>10301</v>
      </c>
      <c r="E4724" s="583"/>
      <c r="F4724" s="585">
        <v>45535</v>
      </c>
      <c r="G4724" s="65">
        <v>1</v>
      </c>
      <c r="H4724" s="591" t="s">
        <v>280</v>
      </c>
      <c r="I4724" s="591" t="s">
        <v>280</v>
      </c>
    </row>
    <row r="4725" spans="1:9">
      <c r="A4725" s="582" t="s">
        <v>760</v>
      </c>
      <c r="B4725" s="65">
        <v>4923</v>
      </c>
      <c r="C4725" s="579" t="s">
        <v>767</v>
      </c>
      <c r="D4725" s="579">
        <v>10028</v>
      </c>
      <c r="E4725" s="583"/>
      <c r="F4725" s="585">
        <v>45535</v>
      </c>
      <c r="G4725" s="65">
        <v>1</v>
      </c>
      <c r="H4725" s="591" t="s">
        <v>1979</v>
      </c>
      <c r="I4725" s="591" t="s">
        <v>96</v>
      </c>
    </row>
    <row r="4726" spans="1:9">
      <c r="A4726" s="582" t="s">
        <v>760</v>
      </c>
      <c r="B4726" s="65">
        <v>4924</v>
      </c>
      <c r="C4726" s="579" t="s">
        <v>281</v>
      </c>
      <c r="D4726" s="579"/>
      <c r="E4726" s="583"/>
      <c r="F4726" s="596"/>
      <c r="G4726" s="65">
        <v>0</v>
      </c>
      <c r="H4726" s="591" t="s">
        <v>280</v>
      </c>
      <c r="I4726" s="591" t="s">
        <v>280</v>
      </c>
    </row>
    <row r="4727" spans="1:9">
      <c r="A4727" s="582" t="s">
        <v>760</v>
      </c>
      <c r="B4727" s="65">
        <v>4925</v>
      </c>
      <c r="C4727" s="579" t="s">
        <v>768</v>
      </c>
      <c r="D4727" s="579">
        <v>10240</v>
      </c>
      <c r="E4727" s="583"/>
      <c r="F4727" s="585">
        <v>45535</v>
      </c>
      <c r="G4727" s="65">
        <v>1</v>
      </c>
      <c r="H4727" s="591" t="s">
        <v>1979</v>
      </c>
      <c r="I4727" s="591" t="s">
        <v>96</v>
      </c>
    </row>
    <row r="4728" spans="1:9">
      <c r="A4728" s="582" t="s">
        <v>760</v>
      </c>
      <c r="B4728" s="65">
        <v>4926</v>
      </c>
      <c r="C4728" s="579" t="s">
        <v>281</v>
      </c>
      <c r="D4728" s="579"/>
      <c r="E4728" s="583"/>
      <c r="F4728" s="596"/>
      <c r="G4728" s="65">
        <v>0</v>
      </c>
      <c r="H4728" s="591" t="s">
        <v>280</v>
      </c>
      <c r="I4728" s="591" t="s">
        <v>280</v>
      </c>
    </row>
    <row r="4729" spans="1:9">
      <c r="A4729" s="582" t="s">
        <v>760</v>
      </c>
      <c r="B4729" s="65">
        <v>4927</v>
      </c>
      <c r="C4729" s="579" t="s">
        <v>281</v>
      </c>
      <c r="D4729" s="579"/>
      <c r="E4729" s="583"/>
      <c r="F4729" s="596"/>
      <c r="G4729" s="65">
        <v>0</v>
      </c>
      <c r="H4729" s="591" t="s">
        <v>280</v>
      </c>
      <c r="I4729" s="591" t="s">
        <v>280</v>
      </c>
    </row>
    <row r="4730" spans="1:9">
      <c r="A4730" s="582" t="s">
        <v>760</v>
      </c>
      <c r="B4730" s="65">
        <v>4928</v>
      </c>
      <c r="C4730" s="579" t="s">
        <v>281</v>
      </c>
      <c r="D4730" s="63"/>
      <c r="E4730" s="583"/>
      <c r="F4730" s="596"/>
      <c r="G4730" s="65">
        <v>0</v>
      </c>
      <c r="H4730" s="591" t="s">
        <v>280</v>
      </c>
      <c r="I4730" s="591" t="s">
        <v>280</v>
      </c>
    </row>
    <row r="4731" spans="1:9">
      <c r="A4731" s="582" t="s">
        <v>760</v>
      </c>
      <c r="B4731" s="65">
        <v>4929</v>
      </c>
      <c r="C4731" s="579" t="s">
        <v>770</v>
      </c>
      <c r="D4731" s="65">
        <v>10568</v>
      </c>
      <c r="E4731" s="583"/>
      <c r="F4731" s="585">
        <v>45535</v>
      </c>
      <c r="G4731" s="65">
        <v>1</v>
      </c>
      <c r="H4731" s="591" t="s">
        <v>1979</v>
      </c>
      <c r="I4731" s="591" t="s">
        <v>96</v>
      </c>
    </row>
    <row r="4732" spans="1:9">
      <c r="A4732" s="582" t="s">
        <v>760</v>
      </c>
      <c r="B4732" s="65">
        <v>4930</v>
      </c>
      <c r="C4732" s="579" t="s">
        <v>1938</v>
      </c>
      <c r="D4732" s="579">
        <v>10788</v>
      </c>
      <c r="E4732" s="583"/>
      <c r="F4732" s="585">
        <v>45535</v>
      </c>
      <c r="G4732" s="65">
        <v>1</v>
      </c>
      <c r="H4732" s="591" t="s">
        <v>1979</v>
      </c>
      <c r="I4732" s="591" t="s">
        <v>96</v>
      </c>
    </row>
    <row r="4733" spans="1:9">
      <c r="A4733" s="582" t="s">
        <v>760</v>
      </c>
      <c r="B4733" s="65">
        <v>4931</v>
      </c>
      <c r="C4733" s="579" t="s">
        <v>281</v>
      </c>
      <c r="D4733" s="579"/>
      <c r="E4733" s="583"/>
      <c r="F4733" s="596"/>
      <c r="G4733" s="65">
        <v>0</v>
      </c>
      <c r="H4733" s="591" t="s">
        <v>280</v>
      </c>
      <c r="I4733" s="591" t="s">
        <v>280</v>
      </c>
    </row>
    <row r="4734" spans="1:9">
      <c r="A4734" s="582" t="s">
        <v>760</v>
      </c>
      <c r="B4734" s="65">
        <v>4932</v>
      </c>
      <c r="C4734" s="579" t="s">
        <v>1939</v>
      </c>
      <c r="D4734" s="65">
        <v>11027</v>
      </c>
      <c r="E4734" s="583"/>
      <c r="F4734" s="585">
        <v>45535</v>
      </c>
      <c r="G4734" s="65">
        <v>1</v>
      </c>
      <c r="H4734" s="591" t="s">
        <v>280</v>
      </c>
      <c r="I4734" s="591" t="s">
        <v>280</v>
      </c>
    </row>
    <row r="4735" spans="1:9">
      <c r="A4735" s="582" t="s">
        <v>760</v>
      </c>
      <c r="B4735" s="65">
        <v>4933</v>
      </c>
      <c r="C4735" s="579" t="s">
        <v>281</v>
      </c>
      <c r="D4735" s="579"/>
      <c r="E4735" s="583"/>
      <c r="F4735" s="596"/>
      <c r="G4735" s="65">
        <v>0</v>
      </c>
      <c r="H4735" s="591" t="s">
        <v>280</v>
      </c>
      <c r="I4735" s="591" t="s">
        <v>280</v>
      </c>
    </row>
    <row r="4736" spans="1:9">
      <c r="A4736" s="582" t="s">
        <v>760</v>
      </c>
      <c r="B4736" s="65">
        <v>4934</v>
      </c>
      <c r="C4736" s="579" t="s">
        <v>281</v>
      </c>
      <c r="D4736" s="579"/>
      <c r="E4736" s="583"/>
      <c r="F4736" s="596"/>
      <c r="G4736" s="65">
        <v>0</v>
      </c>
      <c r="H4736" s="591" t="s">
        <v>280</v>
      </c>
      <c r="I4736" s="591" t="s">
        <v>280</v>
      </c>
    </row>
    <row r="4737" spans="1:9">
      <c r="A4737" s="582" t="s">
        <v>760</v>
      </c>
      <c r="B4737" s="65">
        <v>4935</v>
      </c>
      <c r="C4737" s="579" t="s">
        <v>281</v>
      </c>
      <c r="D4737" s="579"/>
      <c r="E4737" s="583"/>
      <c r="F4737" s="596"/>
      <c r="G4737" s="65">
        <v>0</v>
      </c>
      <c r="H4737" s="591" t="s">
        <v>280</v>
      </c>
      <c r="I4737" s="591" t="s">
        <v>280</v>
      </c>
    </row>
    <row r="4738" spans="1:9">
      <c r="A4738" s="582" t="s">
        <v>760</v>
      </c>
      <c r="B4738" s="65">
        <v>4936</v>
      </c>
      <c r="C4738" s="579" t="s">
        <v>281</v>
      </c>
      <c r="D4738" s="579"/>
      <c r="E4738" s="583"/>
      <c r="F4738" s="596"/>
      <c r="G4738" s="65">
        <v>0</v>
      </c>
      <c r="H4738" s="591" t="s">
        <v>280</v>
      </c>
      <c r="I4738" s="591" t="s">
        <v>280</v>
      </c>
    </row>
    <row r="4739" spans="1:9">
      <c r="A4739" s="582" t="s">
        <v>760</v>
      </c>
      <c r="B4739" s="65">
        <v>4937</v>
      </c>
      <c r="C4739" s="579" t="s">
        <v>281</v>
      </c>
      <c r="D4739" s="579"/>
      <c r="E4739" s="583"/>
      <c r="F4739" s="596"/>
      <c r="G4739" s="65">
        <v>0</v>
      </c>
      <c r="H4739" s="591" t="s">
        <v>280</v>
      </c>
      <c r="I4739" s="591" t="s">
        <v>280</v>
      </c>
    </row>
    <row r="4740" spans="1:9">
      <c r="A4740" s="582" t="s">
        <v>760</v>
      </c>
      <c r="B4740" s="65">
        <v>4938</v>
      </c>
      <c r="C4740" s="579" t="s">
        <v>281</v>
      </c>
      <c r="D4740" s="579"/>
      <c r="E4740" s="583"/>
      <c r="F4740" s="596"/>
      <c r="G4740" s="65">
        <v>0</v>
      </c>
      <c r="H4740" s="591" t="s">
        <v>280</v>
      </c>
      <c r="I4740" s="591" t="s">
        <v>280</v>
      </c>
    </row>
    <row r="4741" spans="1:9">
      <c r="A4741" s="582" t="s">
        <v>760</v>
      </c>
      <c r="B4741" s="65">
        <v>4939</v>
      </c>
      <c r="C4741" s="579" t="s">
        <v>281</v>
      </c>
      <c r="D4741" s="579"/>
      <c r="E4741" s="583"/>
      <c r="F4741" s="596"/>
      <c r="G4741" s="65">
        <v>0</v>
      </c>
      <c r="H4741" s="591" t="s">
        <v>280</v>
      </c>
      <c r="I4741" s="591" t="s">
        <v>280</v>
      </c>
    </row>
    <row r="4742" spans="1:9">
      <c r="A4742" s="582" t="s">
        <v>760</v>
      </c>
      <c r="B4742" s="65">
        <v>4940</v>
      </c>
      <c r="C4742" s="579" t="s">
        <v>281</v>
      </c>
      <c r="D4742" s="579"/>
      <c r="E4742" s="583"/>
      <c r="F4742" s="596"/>
      <c r="G4742" s="65">
        <v>0</v>
      </c>
      <c r="H4742" s="591" t="s">
        <v>280</v>
      </c>
      <c r="I4742" s="591" t="s">
        <v>280</v>
      </c>
    </row>
    <row r="4743" spans="1:9">
      <c r="A4743" s="582" t="s">
        <v>760</v>
      </c>
      <c r="B4743" s="65">
        <v>4941</v>
      </c>
      <c r="C4743" s="579" t="s">
        <v>281</v>
      </c>
      <c r="D4743" s="579"/>
      <c r="E4743" s="583"/>
      <c r="F4743" s="596"/>
      <c r="G4743" s="65">
        <v>0</v>
      </c>
      <c r="H4743" s="591" t="s">
        <v>280</v>
      </c>
      <c r="I4743" s="591" t="s">
        <v>280</v>
      </c>
    </row>
    <row r="4744" spans="1:9">
      <c r="A4744" s="582" t="s">
        <v>760</v>
      </c>
      <c r="B4744" s="65">
        <v>4942</v>
      </c>
      <c r="C4744" s="579" t="s">
        <v>281</v>
      </c>
      <c r="D4744" s="579"/>
      <c r="E4744" s="583"/>
      <c r="F4744" s="596"/>
      <c r="G4744" s="65">
        <v>0</v>
      </c>
      <c r="H4744" s="591" t="s">
        <v>280</v>
      </c>
      <c r="I4744" s="591" t="s">
        <v>280</v>
      </c>
    </row>
    <row r="4745" spans="1:9">
      <c r="A4745" s="582" t="s">
        <v>760</v>
      </c>
      <c r="B4745" s="65">
        <v>4943</v>
      </c>
      <c r="C4745" s="579" t="s">
        <v>281</v>
      </c>
      <c r="D4745" s="579"/>
      <c r="E4745" s="583"/>
      <c r="F4745" s="596"/>
      <c r="G4745" s="65">
        <v>0</v>
      </c>
      <c r="H4745" s="591" t="s">
        <v>280</v>
      </c>
      <c r="I4745" s="591" t="s">
        <v>280</v>
      </c>
    </row>
    <row r="4746" spans="1:9">
      <c r="A4746" s="582" t="s">
        <v>760</v>
      </c>
      <c r="B4746" s="65">
        <v>4944</v>
      </c>
      <c r="C4746" s="579" t="s">
        <v>281</v>
      </c>
      <c r="D4746" s="579"/>
      <c r="E4746" s="583"/>
      <c r="F4746" s="596"/>
      <c r="G4746" s="65">
        <v>0</v>
      </c>
      <c r="H4746" s="591" t="s">
        <v>280</v>
      </c>
      <c r="I4746" s="591" t="s">
        <v>280</v>
      </c>
    </row>
    <row r="4747" spans="1:9">
      <c r="A4747" s="582" t="s">
        <v>760</v>
      </c>
      <c r="B4747" s="65">
        <v>4945</v>
      </c>
      <c r="C4747" s="579" t="s">
        <v>281</v>
      </c>
      <c r="D4747" s="579"/>
      <c r="E4747" s="583"/>
      <c r="F4747" s="596"/>
      <c r="G4747" s="65">
        <v>0</v>
      </c>
      <c r="H4747" s="591" t="s">
        <v>280</v>
      </c>
      <c r="I4747" s="591" t="s">
        <v>280</v>
      </c>
    </row>
    <row r="4748" spans="1:9">
      <c r="A4748" s="582" t="s">
        <v>760</v>
      </c>
      <c r="B4748" s="65">
        <v>4946</v>
      </c>
      <c r="C4748" s="579" t="s">
        <v>281</v>
      </c>
      <c r="D4748" s="579"/>
      <c r="E4748" s="583"/>
      <c r="F4748" s="596"/>
      <c r="G4748" s="65">
        <v>0</v>
      </c>
      <c r="H4748" s="591" t="s">
        <v>280</v>
      </c>
      <c r="I4748" s="591" t="s">
        <v>280</v>
      </c>
    </row>
    <row r="4749" spans="1:9">
      <c r="A4749" s="582" t="s">
        <v>760</v>
      </c>
      <c r="B4749" s="65">
        <v>4947</v>
      </c>
      <c r="C4749" s="579" t="s">
        <v>281</v>
      </c>
      <c r="D4749" s="579"/>
      <c r="E4749" s="583"/>
      <c r="F4749" s="596"/>
      <c r="G4749" s="65">
        <v>0</v>
      </c>
      <c r="H4749" s="591" t="s">
        <v>280</v>
      </c>
      <c r="I4749" s="591" t="s">
        <v>280</v>
      </c>
    </row>
    <row r="4750" spans="1:9">
      <c r="A4750" s="582" t="s">
        <v>760</v>
      </c>
      <c r="B4750" s="65">
        <v>4948</v>
      </c>
      <c r="C4750" s="579" t="s">
        <v>281</v>
      </c>
      <c r="D4750" s="579"/>
      <c r="E4750" s="583"/>
      <c r="F4750" s="596"/>
      <c r="G4750" s="65">
        <v>0</v>
      </c>
      <c r="H4750" s="591" t="s">
        <v>280</v>
      </c>
      <c r="I4750" s="591" t="s">
        <v>280</v>
      </c>
    </row>
    <row r="4751" spans="1:9">
      <c r="A4751" s="582" t="s">
        <v>760</v>
      </c>
      <c r="B4751" s="65">
        <v>4949</v>
      </c>
      <c r="C4751" s="579" t="s">
        <v>281</v>
      </c>
      <c r="D4751" s="579"/>
      <c r="E4751" s="583"/>
      <c r="F4751" s="596"/>
      <c r="G4751" s="65">
        <v>0</v>
      </c>
      <c r="H4751" s="591" t="s">
        <v>280</v>
      </c>
      <c r="I4751" s="591" t="s">
        <v>280</v>
      </c>
    </row>
    <row r="4752" spans="1:9">
      <c r="A4752" s="582" t="s">
        <v>760</v>
      </c>
      <c r="B4752" s="65">
        <v>4950</v>
      </c>
      <c r="C4752" s="579" t="s">
        <v>281</v>
      </c>
      <c r="D4752" s="579"/>
      <c r="E4752" s="583"/>
      <c r="F4752" s="596"/>
      <c r="G4752" s="65">
        <v>0</v>
      </c>
      <c r="H4752" s="591" t="s">
        <v>280</v>
      </c>
      <c r="I4752" s="591" t="s">
        <v>280</v>
      </c>
    </row>
    <row r="4753" spans="1:9">
      <c r="A4753" s="582" t="s">
        <v>760</v>
      </c>
      <c r="B4753" s="65">
        <v>4951</v>
      </c>
      <c r="C4753" s="579" t="s">
        <v>281</v>
      </c>
      <c r="D4753" s="579"/>
      <c r="E4753" s="583"/>
      <c r="F4753" s="596"/>
      <c r="G4753" s="65">
        <v>0</v>
      </c>
      <c r="H4753" s="591" t="s">
        <v>280</v>
      </c>
      <c r="I4753" s="591" t="s">
        <v>280</v>
      </c>
    </row>
    <row r="4754" spans="1:9">
      <c r="A4754" s="582" t="s">
        <v>760</v>
      </c>
      <c r="B4754" s="65">
        <v>4952</v>
      </c>
      <c r="C4754" s="579" t="s">
        <v>281</v>
      </c>
      <c r="D4754" s="579"/>
      <c r="E4754" s="583"/>
      <c r="F4754" s="596"/>
      <c r="G4754" s="65">
        <v>0</v>
      </c>
      <c r="H4754" s="591" t="s">
        <v>280</v>
      </c>
      <c r="I4754" s="591" t="s">
        <v>280</v>
      </c>
    </row>
    <row r="4755" spans="1:9">
      <c r="A4755" s="582" t="s">
        <v>760</v>
      </c>
      <c r="B4755" s="65">
        <v>4953</v>
      </c>
      <c r="C4755" s="579" t="s">
        <v>281</v>
      </c>
      <c r="D4755" s="579"/>
      <c r="E4755" s="583"/>
      <c r="F4755" s="596"/>
      <c r="G4755" s="65">
        <v>0</v>
      </c>
      <c r="H4755" s="591" t="s">
        <v>280</v>
      </c>
      <c r="I4755" s="591" t="s">
        <v>280</v>
      </c>
    </row>
    <row r="4756" spans="1:9">
      <c r="A4756" s="582" t="s">
        <v>760</v>
      </c>
      <c r="B4756" s="65">
        <v>4954</v>
      </c>
      <c r="C4756" s="579" t="s">
        <v>281</v>
      </c>
      <c r="D4756" s="579"/>
      <c r="E4756" s="583"/>
      <c r="F4756" s="596"/>
      <c r="G4756" s="65">
        <v>0</v>
      </c>
      <c r="H4756" s="591" t="s">
        <v>280</v>
      </c>
      <c r="I4756" s="591" t="s">
        <v>280</v>
      </c>
    </row>
    <row r="4757" spans="1:9">
      <c r="A4757" s="582" t="s">
        <v>760</v>
      </c>
      <c r="B4757" s="65">
        <v>4955</v>
      </c>
      <c r="C4757" s="579" t="s">
        <v>281</v>
      </c>
      <c r="D4757" s="579"/>
      <c r="E4757" s="583"/>
      <c r="F4757" s="596"/>
      <c r="G4757" s="65">
        <v>0</v>
      </c>
      <c r="H4757" s="591" t="s">
        <v>280</v>
      </c>
      <c r="I4757" s="591" t="s">
        <v>280</v>
      </c>
    </row>
    <row r="4758" spans="1:9">
      <c r="A4758" s="582" t="s">
        <v>760</v>
      </c>
      <c r="B4758" s="65">
        <v>4956</v>
      </c>
      <c r="C4758" s="579" t="s">
        <v>281</v>
      </c>
      <c r="D4758" s="579"/>
      <c r="E4758" s="583"/>
      <c r="F4758" s="596"/>
      <c r="G4758" s="65">
        <v>0</v>
      </c>
      <c r="H4758" s="591" t="s">
        <v>280</v>
      </c>
      <c r="I4758" s="591" t="s">
        <v>280</v>
      </c>
    </row>
    <row r="4759" spans="1:9">
      <c r="A4759" s="582" t="s">
        <v>760</v>
      </c>
      <c r="B4759" s="65">
        <v>4957</v>
      </c>
      <c r="C4759" s="579" t="s">
        <v>281</v>
      </c>
      <c r="D4759" s="579"/>
      <c r="E4759" s="583"/>
      <c r="F4759" s="596"/>
      <c r="G4759" s="65">
        <v>0</v>
      </c>
      <c r="H4759" s="591" t="s">
        <v>280</v>
      </c>
      <c r="I4759" s="591" t="s">
        <v>280</v>
      </c>
    </row>
    <row r="4760" spans="1:9">
      <c r="A4760" s="582" t="s">
        <v>760</v>
      </c>
      <c r="B4760" s="65">
        <v>4958</v>
      </c>
      <c r="C4760" s="579" t="s">
        <v>281</v>
      </c>
      <c r="D4760" s="579"/>
      <c r="E4760" s="583"/>
      <c r="F4760" s="596"/>
      <c r="G4760" s="65">
        <v>0</v>
      </c>
      <c r="H4760" s="591" t="s">
        <v>280</v>
      </c>
      <c r="I4760" s="591" t="s">
        <v>280</v>
      </c>
    </row>
    <row r="4761" spans="1:9">
      <c r="A4761" s="582" t="s">
        <v>760</v>
      </c>
      <c r="B4761" s="65">
        <v>4959</v>
      </c>
      <c r="C4761" s="579" t="s">
        <v>281</v>
      </c>
      <c r="D4761" s="579"/>
      <c r="E4761" s="583"/>
      <c r="F4761" s="596"/>
      <c r="G4761" s="65">
        <v>0</v>
      </c>
      <c r="H4761" s="591" t="s">
        <v>280</v>
      </c>
      <c r="I4761" s="591" t="s">
        <v>280</v>
      </c>
    </row>
    <row r="4762" spans="1:9">
      <c r="A4762" s="582" t="s">
        <v>760</v>
      </c>
      <c r="B4762" s="65">
        <v>4960</v>
      </c>
      <c r="C4762" s="579" t="s">
        <v>281</v>
      </c>
      <c r="D4762" s="579"/>
      <c r="E4762" s="583"/>
      <c r="F4762" s="596"/>
      <c r="G4762" s="65">
        <v>0</v>
      </c>
      <c r="H4762" s="591" t="s">
        <v>280</v>
      </c>
      <c r="I4762" s="591" t="s">
        <v>280</v>
      </c>
    </row>
    <row r="4763" spans="1:9">
      <c r="A4763" s="582" t="s">
        <v>760</v>
      </c>
      <c r="B4763" s="65">
        <v>4961</v>
      </c>
      <c r="C4763" s="579" t="s">
        <v>281</v>
      </c>
      <c r="D4763" s="579"/>
      <c r="E4763" s="583"/>
      <c r="F4763" s="596"/>
      <c r="G4763" s="65">
        <v>0</v>
      </c>
      <c r="H4763" s="591" t="s">
        <v>280</v>
      </c>
      <c r="I4763" s="591" t="s">
        <v>280</v>
      </c>
    </row>
    <row r="4764" spans="1:9">
      <c r="A4764" s="582" t="s">
        <v>760</v>
      </c>
      <c r="B4764" s="65">
        <v>4962</v>
      </c>
      <c r="C4764" s="579" t="s">
        <v>281</v>
      </c>
      <c r="D4764" s="579"/>
      <c r="E4764" s="583"/>
      <c r="F4764" s="596"/>
      <c r="G4764" s="65">
        <v>0</v>
      </c>
      <c r="H4764" s="591" t="s">
        <v>280</v>
      </c>
      <c r="I4764" s="591" t="s">
        <v>280</v>
      </c>
    </row>
    <row r="4765" spans="1:9">
      <c r="A4765" s="582" t="s">
        <v>760</v>
      </c>
      <c r="B4765" s="65">
        <v>4963</v>
      </c>
      <c r="C4765" s="579" t="s">
        <v>281</v>
      </c>
      <c r="D4765" s="579"/>
      <c r="E4765" s="583"/>
      <c r="F4765" s="596"/>
      <c r="G4765" s="65">
        <v>0</v>
      </c>
      <c r="H4765" s="591" t="s">
        <v>280</v>
      </c>
      <c r="I4765" s="591" t="s">
        <v>280</v>
      </c>
    </row>
    <row r="4766" spans="1:9">
      <c r="A4766" s="582" t="s">
        <v>760</v>
      </c>
      <c r="B4766" s="65">
        <v>4964</v>
      </c>
      <c r="C4766" s="579" t="s">
        <v>281</v>
      </c>
      <c r="D4766" s="579"/>
      <c r="E4766" s="583"/>
      <c r="F4766" s="596"/>
      <c r="G4766" s="65">
        <v>0</v>
      </c>
      <c r="H4766" s="591" t="s">
        <v>280</v>
      </c>
      <c r="I4766" s="591" t="s">
        <v>280</v>
      </c>
    </row>
    <row r="4767" spans="1:9">
      <c r="A4767" s="582" t="s">
        <v>760</v>
      </c>
      <c r="B4767" s="65">
        <v>4965</v>
      </c>
      <c r="C4767" s="579" t="s">
        <v>281</v>
      </c>
      <c r="D4767" s="579"/>
      <c r="E4767" s="583"/>
      <c r="F4767" s="596"/>
      <c r="G4767" s="65">
        <v>0</v>
      </c>
      <c r="H4767" s="591" t="s">
        <v>280</v>
      </c>
      <c r="I4767" s="591" t="s">
        <v>280</v>
      </c>
    </row>
    <row r="4768" spans="1:9">
      <c r="A4768" s="582" t="s">
        <v>760</v>
      </c>
      <c r="B4768" s="65">
        <v>4966</v>
      </c>
      <c r="C4768" s="579" t="s">
        <v>281</v>
      </c>
      <c r="D4768" s="579"/>
      <c r="E4768" s="583"/>
      <c r="F4768" s="596"/>
      <c r="G4768" s="65">
        <v>0</v>
      </c>
      <c r="H4768" s="591" t="s">
        <v>280</v>
      </c>
      <c r="I4768" s="591" t="s">
        <v>280</v>
      </c>
    </row>
    <row r="4769" spans="1:9">
      <c r="A4769" s="582" t="s">
        <v>760</v>
      </c>
      <c r="B4769" s="65">
        <v>4967</v>
      </c>
      <c r="C4769" s="579" t="s">
        <v>281</v>
      </c>
      <c r="D4769" s="579"/>
      <c r="E4769" s="583"/>
      <c r="F4769" s="596"/>
      <c r="G4769" s="65">
        <v>0</v>
      </c>
      <c r="H4769" s="591" t="s">
        <v>280</v>
      </c>
      <c r="I4769" s="591" t="s">
        <v>280</v>
      </c>
    </row>
    <row r="4770" spans="1:9">
      <c r="A4770" s="582" t="s">
        <v>760</v>
      </c>
      <c r="B4770" s="65">
        <v>4968</v>
      </c>
      <c r="C4770" s="579" t="s">
        <v>281</v>
      </c>
      <c r="D4770" s="579"/>
      <c r="E4770" s="583"/>
      <c r="F4770" s="596"/>
      <c r="G4770" s="65">
        <v>0</v>
      </c>
      <c r="H4770" s="591" t="s">
        <v>280</v>
      </c>
      <c r="I4770" s="591" t="s">
        <v>280</v>
      </c>
    </row>
    <row r="4771" spans="1:9">
      <c r="A4771" s="582" t="s">
        <v>760</v>
      </c>
      <c r="B4771" s="65">
        <v>4969</v>
      </c>
      <c r="C4771" s="579" t="s">
        <v>281</v>
      </c>
      <c r="D4771" s="579"/>
      <c r="E4771" s="583"/>
      <c r="F4771" s="596"/>
      <c r="G4771" s="65">
        <v>0</v>
      </c>
      <c r="H4771" s="591" t="s">
        <v>280</v>
      </c>
      <c r="I4771" s="591" t="s">
        <v>280</v>
      </c>
    </row>
    <row r="4772" spans="1:9">
      <c r="A4772" s="582" t="s">
        <v>760</v>
      </c>
      <c r="B4772" s="65">
        <v>4970</v>
      </c>
      <c r="C4772" s="579" t="s">
        <v>281</v>
      </c>
      <c r="D4772" s="579"/>
      <c r="E4772" s="583"/>
      <c r="F4772" s="596"/>
      <c r="G4772" s="65">
        <v>0</v>
      </c>
      <c r="H4772" s="591" t="s">
        <v>280</v>
      </c>
      <c r="I4772" s="591" t="s">
        <v>280</v>
      </c>
    </row>
    <row r="4773" spans="1:9">
      <c r="A4773" s="582" t="s">
        <v>760</v>
      </c>
      <c r="B4773" s="65">
        <v>4971</v>
      </c>
      <c r="C4773" s="579" t="s">
        <v>281</v>
      </c>
      <c r="D4773" s="579"/>
      <c r="E4773" s="583"/>
      <c r="F4773" s="596"/>
      <c r="G4773" s="65">
        <v>0</v>
      </c>
      <c r="H4773" s="591" t="s">
        <v>280</v>
      </c>
      <c r="I4773" s="591" t="s">
        <v>280</v>
      </c>
    </row>
    <row r="4774" spans="1:9">
      <c r="A4774" s="582" t="s">
        <v>760</v>
      </c>
      <c r="B4774" s="65">
        <v>4972</v>
      </c>
      <c r="C4774" s="579" t="s">
        <v>281</v>
      </c>
      <c r="D4774" s="579"/>
      <c r="E4774" s="583"/>
      <c r="F4774" s="596"/>
      <c r="G4774" s="65">
        <v>0</v>
      </c>
      <c r="H4774" s="591" t="s">
        <v>280</v>
      </c>
      <c r="I4774" s="591" t="s">
        <v>280</v>
      </c>
    </row>
    <row r="4775" spans="1:9">
      <c r="A4775" s="582" t="s">
        <v>760</v>
      </c>
      <c r="B4775" s="65">
        <v>4973</v>
      </c>
      <c r="C4775" s="579" t="s">
        <v>281</v>
      </c>
      <c r="D4775" s="579"/>
      <c r="E4775" s="583"/>
      <c r="F4775" s="596"/>
      <c r="G4775" s="65">
        <v>0</v>
      </c>
      <c r="H4775" s="591" t="s">
        <v>280</v>
      </c>
      <c r="I4775" s="591" t="s">
        <v>280</v>
      </c>
    </row>
    <row r="4776" spans="1:9">
      <c r="A4776" s="582" t="s">
        <v>760</v>
      </c>
      <c r="B4776" s="65">
        <v>4974</v>
      </c>
      <c r="C4776" s="579" t="s">
        <v>281</v>
      </c>
      <c r="D4776" s="579"/>
      <c r="E4776" s="583"/>
      <c r="F4776" s="596"/>
      <c r="G4776" s="65">
        <v>0</v>
      </c>
      <c r="H4776" s="591" t="s">
        <v>280</v>
      </c>
      <c r="I4776" s="591" t="s">
        <v>280</v>
      </c>
    </row>
    <row r="4777" spans="1:9">
      <c r="A4777" s="582" t="s">
        <v>760</v>
      </c>
      <c r="B4777" s="65">
        <v>4975</v>
      </c>
      <c r="C4777" s="579" t="s">
        <v>281</v>
      </c>
      <c r="D4777" s="579"/>
      <c r="E4777" s="583"/>
      <c r="F4777" s="596"/>
      <c r="G4777" s="65">
        <v>0</v>
      </c>
      <c r="H4777" s="591" t="s">
        <v>280</v>
      </c>
      <c r="I4777" s="591" t="s">
        <v>280</v>
      </c>
    </row>
    <row r="4778" spans="1:9">
      <c r="A4778" s="582" t="s">
        <v>760</v>
      </c>
      <c r="B4778" s="65">
        <v>4976</v>
      </c>
      <c r="C4778" s="579" t="s">
        <v>281</v>
      </c>
      <c r="D4778" s="579"/>
      <c r="E4778" s="583"/>
      <c r="F4778" s="596"/>
      <c r="G4778" s="65">
        <v>0</v>
      </c>
      <c r="H4778" s="591" t="s">
        <v>280</v>
      </c>
      <c r="I4778" s="591" t="s">
        <v>280</v>
      </c>
    </row>
    <row r="4779" spans="1:9">
      <c r="A4779" s="582" t="s">
        <v>760</v>
      </c>
      <c r="B4779" s="65">
        <v>4977</v>
      </c>
      <c r="C4779" s="579" t="s">
        <v>281</v>
      </c>
      <c r="D4779" s="579"/>
      <c r="E4779" s="583"/>
      <c r="F4779" s="596"/>
      <c r="G4779" s="65">
        <v>0</v>
      </c>
      <c r="H4779" s="591" t="s">
        <v>280</v>
      </c>
      <c r="I4779" s="591" t="s">
        <v>280</v>
      </c>
    </row>
    <row r="4780" spans="1:9">
      <c r="A4780" s="582" t="s">
        <v>760</v>
      </c>
      <c r="B4780" s="65">
        <v>4978</v>
      </c>
      <c r="C4780" s="579" t="s">
        <v>281</v>
      </c>
      <c r="D4780" s="579"/>
      <c r="E4780" s="583"/>
      <c r="F4780" s="596"/>
      <c r="G4780" s="65">
        <v>0</v>
      </c>
      <c r="H4780" s="591" t="s">
        <v>280</v>
      </c>
      <c r="I4780" s="591" t="s">
        <v>280</v>
      </c>
    </row>
    <row r="4781" spans="1:9">
      <c r="A4781" s="582" t="s">
        <v>760</v>
      </c>
      <c r="B4781" s="65">
        <v>4979</v>
      </c>
      <c r="C4781" s="579" t="s">
        <v>281</v>
      </c>
      <c r="D4781" s="579"/>
      <c r="E4781" s="583"/>
      <c r="F4781" s="596"/>
      <c r="G4781" s="65">
        <v>0</v>
      </c>
      <c r="H4781" s="591" t="s">
        <v>280</v>
      </c>
      <c r="I4781" s="591" t="s">
        <v>280</v>
      </c>
    </row>
    <row r="4782" spans="1:9">
      <c r="A4782" s="582" t="s">
        <v>760</v>
      </c>
      <c r="B4782" s="65">
        <v>4980</v>
      </c>
      <c r="C4782" s="579" t="s">
        <v>281</v>
      </c>
      <c r="D4782" s="579"/>
      <c r="E4782" s="583"/>
      <c r="F4782" s="596"/>
      <c r="G4782" s="65">
        <v>0</v>
      </c>
      <c r="H4782" s="591" t="s">
        <v>280</v>
      </c>
      <c r="I4782" s="591" t="s">
        <v>280</v>
      </c>
    </row>
    <row r="4783" spans="1:9">
      <c r="A4783" s="582" t="s">
        <v>760</v>
      </c>
      <c r="B4783" s="65">
        <v>4981</v>
      </c>
      <c r="C4783" s="579" t="s">
        <v>281</v>
      </c>
      <c r="D4783" s="579"/>
      <c r="E4783" s="583"/>
      <c r="F4783" s="596"/>
      <c r="G4783" s="65">
        <v>0</v>
      </c>
      <c r="H4783" s="591" t="s">
        <v>280</v>
      </c>
      <c r="I4783" s="591" t="s">
        <v>280</v>
      </c>
    </row>
    <row r="4784" spans="1:9">
      <c r="A4784" s="582" t="s">
        <v>760</v>
      </c>
      <c r="B4784" s="65">
        <v>4982</v>
      </c>
      <c r="C4784" s="579" t="s">
        <v>281</v>
      </c>
      <c r="D4784" s="579"/>
      <c r="E4784" s="583"/>
      <c r="F4784" s="596"/>
      <c r="G4784" s="65">
        <v>0</v>
      </c>
      <c r="H4784" s="591" t="s">
        <v>280</v>
      </c>
      <c r="I4784" s="591" t="s">
        <v>280</v>
      </c>
    </row>
    <row r="4785" spans="1:9">
      <c r="A4785" s="582" t="s">
        <v>760</v>
      </c>
      <c r="B4785" s="65">
        <v>4983</v>
      </c>
      <c r="C4785" s="579" t="s">
        <v>281</v>
      </c>
      <c r="D4785" s="579"/>
      <c r="E4785" s="583"/>
      <c r="F4785" s="596"/>
      <c r="G4785" s="65">
        <v>0</v>
      </c>
      <c r="H4785" s="591" t="s">
        <v>280</v>
      </c>
      <c r="I4785" s="591" t="s">
        <v>280</v>
      </c>
    </row>
    <row r="4786" spans="1:9">
      <c r="A4786" s="582" t="s">
        <v>760</v>
      </c>
      <c r="B4786" s="65">
        <v>4984</v>
      </c>
      <c r="C4786" s="579" t="s">
        <v>281</v>
      </c>
      <c r="D4786" s="579"/>
      <c r="E4786" s="583"/>
      <c r="F4786" s="596"/>
      <c r="G4786" s="65">
        <v>0</v>
      </c>
      <c r="H4786" s="591" t="s">
        <v>280</v>
      </c>
      <c r="I4786" s="591" t="s">
        <v>280</v>
      </c>
    </row>
    <row r="4787" spans="1:9">
      <c r="A4787" s="582" t="s">
        <v>760</v>
      </c>
      <c r="B4787" s="65">
        <v>4985</v>
      </c>
      <c r="C4787" s="579" t="s">
        <v>281</v>
      </c>
      <c r="D4787" s="579"/>
      <c r="E4787" s="583"/>
      <c r="F4787" s="596"/>
      <c r="G4787" s="65">
        <v>0</v>
      </c>
      <c r="H4787" s="591" t="s">
        <v>280</v>
      </c>
      <c r="I4787" s="591" t="s">
        <v>280</v>
      </c>
    </row>
    <row r="4788" spans="1:9">
      <c r="A4788" s="582" t="s">
        <v>760</v>
      </c>
      <c r="B4788" s="65">
        <v>4986</v>
      </c>
      <c r="C4788" s="579" t="s">
        <v>281</v>
      </c>
      <c r="D4788" s="579"/>
      <c r="E4788" s="583"/>
      <c r="F4788" s="596"/>
      <c r="G4788" s="65">
        <v>0</v>
      </c>
      <c r="H4788" s="591" t="s">
        <v>280</v>
      </c>
      <c r="I4788" s="591" t="s">
        <v>280</v>
      </c>
    </row>
    <row r="4789" spans="1:9">
      <c r="A4789" s="582" t="s">
        <v>760</v>
      </c>
      <c r="B4789" s="65">
        <v>4987</v>
      </c>
      <c r="C4789" s="579" t="s">
        <v>281</v>
      </c>
      <c r="D4789" s="579"/>
      <c r="E4789" s="583"/>
      <c r="F4789" s="596"/>
      <c r="G4789" s="65">
        <v>0</v>
      </c>
      <c r="H4789" s="591" t="s">
        <v>280</v>
      </c>
      <c r="I4789" s="591" t="s">
        <v>280</v>
      </c>
    </row>
    <row r="4790" spans="1:9">
      <c r="A4790" s="582" t="s">
        <v>760</v>
      </c>
      <c r="B4790" s="65">
        <v>4988</v>
      </c>
      <c r="C4790" s="579" t="s">
        <v>281</v>
      </c>
      <c r="D4790" s="579"/>
      <c r="E4790" s="583"/>
      <c r="F4790" s="596"/>
      <c r="G4790" s="65">
        <v>0</v>
      </c>
      <c r="H4790" s="591" t="s">
        <v>280</v>
      </c>
      <c r="I4790" s="591" t="s">
        <v>280</v>
      </c>
    </row>
    <row r="4791" spans="1:9">
      <c r="A4791" s="582" t="s">
        <v>760</v>
      </c>
      <c r="B4791" s="65">
        <v>4989</v>
      </c>
      <c r="C4791" s="579" t="s">
        <v>281</v>
      </c>
      <c r="D4791" s="579"/>
      <c r="E4791" s="583"/>
      <c r="F4791" s="596"/>
      <c r="G4791" s="65">
        <v>0</v>
      </c>
      <c r="H4791" s="591" t="s">
        <v>280</v>
      </c>
      <c r="I4791" s="591" t="s">
        <v>280</v>
      </c>
    </row>
    <row r="4792" spans="1:9">
      <c r="A4792" s="582" t="s">
        <v>760</v>
      </c>
      <c r="B4792" s="65">
        <v>4990</v>
      </c>
      <c r="C4792" s="579" t="s">
        <v>281</v>
      </c>
      <c r="D4792" s="579"/>
      <c r="E4792" s="583"/>
      <c r="F4792" s="596"/>
      <c r="G4792" s="65">
        <v>0</v>
      </c>
      <c r="H4792" s="591" t="s">
        <v>280</v>
      </c>
      <c r="I4792" s="591" t="s">
        <v>280</v>
      </c>
    </row>
    <row r="4793" spans="1:9">
      <c r="A4793" s="582" t="s">
        <v>760</v>
      </c>
      <c r="B4793" s="65">
        <v>4991</v>
      </c>
      <c r="C4793" s="579" t="s">
        <v>281</v>
      </c>
      <c r="D4793" s="579"/>
      <c r="E4793" s="583"/>
      <c r="F4793" s="596"/>
      <c r="G4793" s="65">
        <v>0</v>
      </c>
      <c r="H4793" s="591" t="s">
        <v>280</v>
      </c>
      <c r="I4793" s="591" t="s">
        <v>280</v>
      </c>
    </row>
    <row r="4794" spans="1:9">
      <c r="A4794" s="582" t="s">
        <v>760</v>
      </c>
      <c r="B4794" s="65">
        <v>4992</v>
      </c>
      <c r="C4794" s="579" t="s">
        <v>281</v>
      </c>
      <c r="D4794" s="579"/>
      <c r="E4794" s="583"/>
      <c r="F4794" s="596"/>
      <c r="G4794" s="65">
        <v>0</v>
      </c>
      <c r="H4794" s="591" t="s">
        <v>280</v>
      </c>
      <c r="I4794" s="591" t="s">
        <v>280</v>
      </c>
    </row>
    <row r="4795" spans="1:9">
      <c r="A4795" s="582" t="s">
        <v>760</v>
      </c>
      <c r="B4795" s="65">
        <v>4993</v>
      </c>
      <c r="C4795" s="579" t="s">
        <v>281</v>
      </c>
      <c r="D4795" s="579"/>
      <c r="E4795" s="583"/>
      <c r="F4795" s="596"/>
      <c r="G4795" s="65">
        <v>0</v>
      </c>
      <c r="H4795" s="591" t="s">
        <v>280</v>
      </c>
      <c r="I4795" s="591" t="s">
        <v>280</v>
      </c>
    </row>
    <row r="4796" spans="1:9">
      <c r="A4796" s="582" t="s">
        <v>760</v>
      </c>
      <c r="B4796" s="65">
        <v>4994</v>
      </c>
      <c r="C4796" s="579" t="s">
        <v>281</v>
      </c>
      <c r="D4796" s="579"/>
      <c r="E4796" s="583"/>
      <c r="F4796" s="596"/>
      <c r="G4796" s="65">
        <v>0</v>
      </c>
      <c r="H4796" s="591" t="s">
        <v>280</v>
      </c>
      <c r="I4796" s="591" t="s">
        <v>280</v>
      </c>
    </row>
    <row r="4797" spans="1:9">
      <c r="A4797" s="582" t="s">
        <v>760</v>
      </c>
      <c r="B4797" s="65">
        <v>4995</v>
      </c>
      <c r="C4797" s="579" t="s">
        <v>281</v>
      </c>
      <c r="D4797" s="579"/>
      <c r="E4797" s="583"/>
      <c r="F4797" s="596"/>
      <c r="G4797" s="65">
        <v>0</v>
      </c>
      <c r="H4797" s="591" t="s">
        <v>280</v>
      </c>
      <c r="I4797" s="591" t="s">
        <v>280</v>
      </c>
    </row>
    <row r="4798" spans="1:9">
      <c r="A4798" s="582" t="s">
        <v>760</v>
      </c>
      <c r="B4798" s="65">
        <v>4996</v>
      </c>
      <c r="C4798" s="579" t="s">
        <v>281</v>
      </c>
      <c r="D4798" s="579"/>
      <c r="E4798" s="583"/>
      <c r="F4798" s="596"/>
      <c r="G4798" s="65">
        <v>0</v>
      </c>
      <c r="H4798" s="591" t="s">
        <v>280</v>
      </c>
      <c r="I4798" s="591" t="s">
        <v>280</v>
      </c>
    </row>
    <row r="4799" spans="1:9">
      <c r="A4799" s="582" t="s">
        <v>760</v>
      </c>
      <c r="B4799" s="65">
        <v>4997</v>
      </c>
      <c r="C4799" s="579" t="s">
        <v>281</v>
      </c>
      <c r="D4799" s="579"/>
      <c r="E4799" s="583"/>
      <c r="F4799" s="596"/>
      <c r="G4799" s="65">
        <v>0</v>
      </c>
      <c r="H4799" s="591" t="s">
        <v>280</v>
      </c>
      <c r="I4799" s="591" t="s">
        <v>280</v>
      </c>
    </row>
    <row r="4800" spans="1:9">
      <c r="A4800" s="582" t="s">
        <v>760</v>
      </c>
      <c r="B4800" s="65">
        <v>4998</v>
      </c>
      <c r="C4800" s="579" t="s">
        <v>281</v>
      </c>
      <c r="D4800" s="579"/>
      <c r="E4800" s="583"/>
      <c r="F4800" s="596"/>
      <c r="G4800" s="65">
        <v>0</v>
      </c>
      <c r="H4800" s="591" t="s">
        <v>280</v>
      </c>
      <c r="I4800" s="591" t="s">
        <v>280</v>
      </c>
    </row>
    <row r="4801" spans="1:9">
      <c r="A4801" s="582" t="s">
        <v>760</v>
      </c>
      <c r="B4801" s="65">
        <v>4999</v>
      </c>
      <c r="C4801" s="579" t="s">
        <v>281</v>
      </c>
      <c r="D4801" s="579"/>
      <c r="E4801" s="583"/>
      <c r="F4801" s="596"/>
      <c r="G4801" s="65">
        <v>0</v>
      </c>
      <c r="H4801" s="591" t="s">
        <v>280</v>
      </c>
      <c r="I4801" s="591" t="s">
        <v>280</v>
      </c>
    </row>
    <row r="4802" spans="1:9">
      <c r="A4802" s="577"/>
      <c r="B4802" s="65">
        <v>5000</v>
      </c>
      <c r="C4802" s="579" t="s">
        <v>279</v>
      </c>
      <c r="D4802" s="579"/>
      <c r="E4802" s="583"/>
      <c r="F4802" s="596"/>
      <c r="G4802" s="65">
        <v>0</v>
      </c>
      <c r="H4802" s="591" t="s">
        <v>280</v>
      </c>
      <c r="I4802" s="591" t="s">
        <v>280</v>
      </c>
    </row>
    <row r="4803" spans="1:9">
      <c r="A4803" s="577"/>
      <c r="B4803" s="65">
        <v>5001</v>
      </c>
      <c r="C4803" s="579" t="s">
        <v>281</v>
      </c>
      <c r="D4803" s="579"/>
      <c r="E4803" s="583"/>
      <c r="F4803" s="596"/>
      <c r="G4803" s="65">
        <v>0</v>
      </c>
      <c r="H4803" s="591" t="s">
        <v>280</v>
      </c>
      <c r="I4803" s="591" t="s">
        <v>280</v>
      </c>
    </row>
    <row r="4804" spans="1:9">
      <c r="A4804" s="577"/>
      <c r="B4804" s="65">
        <v>5002</v>
      </c>
      <c r="C4804" s="579" t="s">
        <v>281</v>
      </c>
      <c r="D4804" s="579"/>
      <c r="E4804" s="583"/>
      <c r="F4804" s="596"/>
      <c r="G4804" s="65">
        <v>0</v>
      </c>
      <c r="H4804" s="591" t="s">
        <v>280</v>
      </c>
      <c r="I4804" s="591" t="s">
        <v>280</v>
      </c>
    </row>
    <row r="4805" spans="1:9">
      <c r="A4805" s="577"/>
      <c r="B4805" s="65">
        <v>5003</v>
      </c>
      <c r="C4805" s="579" t="s">
        <v>281</v>
      </c>
      <c r="D4805" s="579"/>
      <c r="E4805" s="583"/>
      <c r="F4805" s="596"/>
      <c r="G4805" s="65">
        <v>0</v>
      </c>
      <c r="H4805" s="591" t="s">
        <v>280</v>
      </c>
      <c r="I4805" s="591" t="s">
        <v>280</v>
      </c>
    </row>
    <row r="4806" spans="1:9">
      <c r="A4806" s="577"/>
      <c r="B4806" s="65">
        <v>5004</v>
      </c>
      <c r="C4806" s="579" t="s">
        <v>281</v>
      </c>
      <c r="D4806" s="579"/>
      <c r="E4806" s="583"/>
      <c r="F4806" s="596"/>
      <c r="G4806" s="65">
        <v>0</v>
      </c>
      <c r="H4806" s="591" t="s">
        <v>280</v>
      </c>
      <c r="I4806" s="591" t="s">
        <v>280</v>
      </c>
    </row>
    <row r="4807" spans="1:9">
      <c r="A4807" s="577"/>
      <c r="B4807" s="65">
        <v>5005</v>
      </c>
      <c r="C4807" s="579" t="s">
        <v>281</v>
      </c>
      <c r="D4807" s="579"/>
      <c r="E4807" s="583"/>
      <c r="F4807" s="596"/>
      <c r="G4807" s="65">
        <v>0</v>
      </c>
      <c r="H4807" s="591" t="s">
        <v>280</v>
      </c>
      <c r="I4807" s="591" t="s">
        <v>280</v>
      </c>
    </row>
    <row r="4808" spans="1:9">
      <c r="A4808" s="577"/>
      <c r="B4808" s="65">
        <v>5006</v>
      </c>
      <c r="C4808" s="579" t="s">
        <v>281</v>
      </c>
      <c r="D4808" s="579"/>
      <c r="E4808" s="583"/>
      <c r="F4808" s="596"/>
      <c r="G4808" s="65">
        <v>0</v>
      </c>
      <c r="H4808" s="591" t="s">
        <v>280</v>
      </c>
      <c r="I4808" s="591" t="s">
        <v>280</v>
      </c>
    </row>
    <row r="4809" spans="1:9">
      <c r="A4809" s="577"/>
      <c r="B4809" s="65">
        <v>5007</v>
      </c>
      <c r="C4809" s="579" t="s">
        <v>281</v>
      </c>
      <c r="D4809" s="579"/>
      <c r="E4809" s="583"/>
      <c r="F4809" s="596"/>
      <c r="G4809" s="65">
        <v>0</v>
      </c>
      <c r="H4809" s="591" t="s">
        <v>280</v>
      </c>
      <c r="I4809" s="591" t="s">
        <v>280</v>
      </c>
    </row>
    <row r="4810" spans="1:9">
      <c r="A4810" s="577"/>
      <c r="B4810" s="65">
        <v>5008</v>
      </c>
      <c r="C4810" s="579" t="s">
        <v>281</v>
      </c>
      <c r="D4810" s="579"/>
      <c r="E4810" s="583"/>
      <c r="F4810" s="596"/>
      <c r="G4810" s="65">
        <v>0</v>
      </c>
      <c r="H4810" s="591" t="s">
        <v>280</v>
      </c>
      <c r="I4810" s="591" t="s">
        <v>280</v>
      </c>
    </row>
    <row r="4811" spans="1:9">
      <c r="A4811" s="577"/>
      <c r="B4811" s="65">
        <v>5009</v>
      </c>
      <c r="C4811" s="579" t="s">
        <v>281</v>
      </c>
      <c r="D4811" s="579"/>
      <c r="E4811" s="583"/>
      <c r="F4811" s="596"/>
      <c r="G4811" s="65">
        <v>0</v>
      </c>
      <c r="H4811" s="591" t="s">
        <v>280</v>
      </c>
      <c r="I4811" s="591" t="s">
        <v>280</v>
      </c>
    </row>
    <row r="4812" spans="1:9">
      <c r="A4812" s="577"/>
      <c r="B4812" s="65">
        <v>5010</v>
      </c>
      <c r="C4812" s="579" t="s">
        <v>281</v>
      </c>
      <c r="D4812" s="579"/>
      <c r="E4812" s="583"/>
      <c r="F4812" s="596"/>
      <c r="G4812" s="65">
        <v>0</v>
      </c>
      <c r="H4812" s="591" t="s">
        <v>280</v>
      </c>
      <c r="I4812" s="591" t="s">
        <v>280</v>
      </c>
    </row>
    <row r="4813" spans="1:9">
      <c r="A4813" s="577"/>
      <c r="B4813" s="65">
        <v>5011</v>
      </c>
      <c r="C4813" s="579" t="s">
        <v>281</v>
      </c>
      <c r="D4813" s="579"/>
      <c r="E4813" s="583"/>
      <c r="F4813" s="596"/>
      <c r="G4813" s="65">
        <v>0</v>
      </c>
      <c r="H4813" s="591" t="s">
        <v>280</v>
      </c>
      <c r="I4813" s="591" t="s">
        <v>280</v>
      </c>
    </row>
    <row r="4814" spans="1:9">
      <c r="A4814" s="577"/>
      <c r="B4814" s="65">
        <v>5012</v>
      </c>
      <c r="C4814" s="579" t="s">
        <v>281</v>
      </c>
      <c r="D4814" s="579"/>
      <c r="E4814" s="583"/>
      <c r="F4814" s="596"/>
      <c r="G4814" s="65">
        <v>0</v>
      </c>
      <c r="H4814" s="591" t="s">
        <v>280</v>
      </c>
      <c r="I4814" s="591" t="s">
        <v>280</v>
      </c>
    </row>
    <row r="4815" spans="1:9">
      <c r="A4815" s="577"/>
      <c r="B4815" s="65">
        <v>5013</v>
      </c>
      <c r="C4815" s="579" t="s">
        <v>281</v>
      </c>
      <c r="D4815" s="579"/>
      <c r="E4815" s="583"/>
      <c r="F4815" s="596"/>
      <c r="G4815" s="65">
        <v>0</v>
      </c>
      <c r="H4815" s="591" t="s">
        <v>280</v>
      </c>
      <c r="I4815" s="591" t="s">
        <v>280</v>
      </c>
    </row>
    <row r="4816" spans="1:9">
      <c r="A4816" s="577"/>
      <c r="B4816" s="65">
        <v>5014</v>
      </c>
      <c r="C4816" s="579" t="s">
        <v>281</v>
      </c>
      <c r="D4816" s="579"/>
      <c r="E4816" s="583"/>
      <c r="F4816" s="596"/>
      <c r="G4816" s="65">
        <v>0</v>
      </c>
      <c r="H4816" s="591" t="s">
        <v>280</v>
      </c>
      <c r="I4816" s="591" t="s">
        <v>280</v>
      </c>
    </row>
    <row r="4817" spans="1:9">
      <c r="A4817" s="577"/>
      <c r="B4817" s="65">
        <v>5015</v>
      </c>
      <c r="C4817" s="579" t="s">
        <v>281</v>
      </c>
      <c r="D4817" s="579"/>
      <c r="E4817" s="583"/>
      <c r="F4817" s="596"/>
      <c r="G4817" s="65">
        <v>0</v>
      </c>
      <c r="H4817" s="591" t="s">
        <v>280</v>
      </c>
      <c r="I4817" s="591" t="s">
        <v>280</v>
      </c>
    </row>
    <row r="4818" spans="1:9">
      <c r="A4818" s="577"/>
      <c r="B4818" s="65">
        <v>5016</v>
      </c>
      <c r="C4818" s="579" t="s">
        <v>281</v>
      </c>
      <c r="D4818" s="579"/>
      <c r="E4818" s="583"/>
      <c r="F4818" s="596"/>
      <c r="G4818" s="65">
        <v>0</v>
      </c>
      <c r="H4818" s="591" t="s">
        <v>280</v>
      </c>
      <c r="I4818" s="591" t="s">
        <v>280</v>
      </c>
    </row>
    <row r="4819" spans="1:9">
      <c r="A4819" s="577"/>
      <c r="B4819" s="65">
        <v>5017</v>
      </c>
      <c r="C4819" s="579" t="s">
        <v>281</v>
      </c>
      <c r="D4819" s="579"/>
      <c r="E4819" s="583"/>
      <c r="F4819" s="596"/>
      <c r="G4819" s="65">
        <v>0</v>
      </c>
      <c r="H4819" s="591" t="s">
        <v>280</v>
      </c>
      <c r="I4819" s="591" t="s">
        <v>280</v>
      </c>
    </row>
    <row r="4820" spans="1:9">
      <c r="A4820" s="577"/>
      <c r="B4820" s="65">
        <v>5018</v>
      </c>
      <c r="C4820" s="579" t="s">
        <v>281</v>
      </c>
      <c r="D4820" s="579"/>
      <c r="E4820" s="583"/>
      <c r="F4820" s="596"/>
      <c r="G4820" s="65">
        <v>0</v>
      </c>
      <c r="H4820" s="591" t="s">
        <v>280</v>
      </c>
      <c r="I4820" s="591" t="s">
        <v>280</v>
      </c>
    </row>
    <row r="4821" spans="1:9">
      <c r="A4821" s="577"/>
      <c r="B4821" s="65">
        <v>5019</v>
      </c>
      <c r="C4821" s="579" t="s">
        <v>281</v>
      </c>
      <c r="D4821" s="579"/>
      <c r="E4821" s="583"/>
      <c r="F4821" s="596"/>
      <c r="G4821" s="65">
        <v>0</v>
      </c>
      <c r="H4821" s="591" t="s">
        <v>280</v>
      </c>
      <c r="I4821" s="591" t="s">
        <v>280</v>
      </c>
    </row>
    <row r="4822" spans="1:9">
      <c r="A4822" s="577"/>
      <c r="B4822" s="65">
        <v>5020</v>
      </c>
      <c r="C4822" s="579" t="s">
        <v>281</v>
      </c>
      <c r="D4822" s="579"/>
      <c r="E4822" s="583"/>
      <c r="F4822" s="596"/>
      <c r="G4822" s="65">
        <v>0</v>
      </c>
      <c r="H4822" s="591" t="s">
        <v>280</v>
      </c>
      <c r="I4822" s="591" t="s">
        <v>280</v>
      </c>
    </row>
    <row r="4823" spans="1:9">
      <c r="A4823" s="577"/>
      <c r="B4823" s="65">
        <v>5021</v>
      </c>
      <c r="C4823" s="579" t="s">
        <v>281</v>
      </c>
      <c r="D4823" s="579"/>
      <c r="E4823" s="583"/>
      <c r="F4823" s="596"/>
      <c r="G4823" s="65">
        <v>0</v>
      </c>
      <c r="H4823" s="591" t="s">
        <v>280</v>
      </c>
      <c r="I4823" s="591" t="s">
        <v>280</v>
      </c>
    </row>
    <row r="4824" spans="1:9">
      <c r="A4824" s="577"/>
      <c r="B4824" s="65">
        <v>5022</v>
      </c>
      <c r="C4824" s="579" t="s">
        <v>281</v>
      </c>
      <c r="D4824" s="579"/>
      <c r="E4824" s="583"/>
      <c r="F4824" s="596"/>
      <c r="G4824" s="65">
        <v>0</v>
      </c>
      <c r="H4824" s="591" t="s">
        <v>280</v>
      </c>
      <c r="I4824" s="591" t="s">
        <v>280</v>
      </c>
    </row>
    <row r="4825" spans="1:9">
      <c r="A4825" s="577"/>
      <c r="B4825" s="65">
        <v>5023</v>
      </c>
      <c r="C4825" s="579" t="s">
        <v>281</v>
      </c>
      <c r="D4825" s="579"/>
      <c r="E4825" s="583"/>
      <c r="F4825" s="596"/>
      <c r="G4825" s="65">
        <v>0</v>
      </c>
      <c r="H4825" s="591" t="s">
        <v>280</v>
      </c>
      <c r="I4825" s="591" t="s">
        <v>280</v>
      </c>
    </row>
    <row r="4826" spans="1:9">
      <c r="A4826" s="577"/>
      <c r="B4826" s="65">
        <v>5024</v>
      </c>
      <c r="C4826" s="579" t="s">
        <v>281</v>
      </c>
      <c r="D4826" s="579"/>
      <c r="E4826" s="583"/>
      <c r="F4826" s="596"/>
      <c r="G4826" s="65">
        <v>0</v>
      </c>
      <c r="H4826" s="591" t="s">
        <v>280</v>
      </c>
      <c r="I4826" s="591" t="s">
        <v>280</v>
      </c>
    </row>
    <row r="4827" spans="1:9">
      <c r="A4827" s="577"/>
      <c r="B4827" s="65">
        <v>5025</v>
      </c>
      <c r="C4827" s="579" t="s">
        <v>281</v>
      </c>
      <c r="D4827" s="579"/>
      <c r="E4827" s="583"/>
      <c r="F4827" s="596"/>
      <c r="G4827" s="65">
        <v>0</v>
      </c>
      <c r="H4827" s="591" t="s">
        <v>280</v>
      </c>
      <c r="I4827" s="591" t="s">
        <v>280</v>
      </c>
    </row>
    <row r="4828" spans="1:9">
      <c r="A4828" s="577"/>
      <c r="B4828" s="65">
        <v>5026</v>
      </c>
      <c r="C4828" s="579" t="s">
        <v>281</v>
      </c>
      <c r="D4828" s="579"/>
      <c r="E4828" s="583"/>
      <c r="F4828" s="596"/>
      <c r="G4828" s="65">
        <v>0</v>
      </c>
      <c r="H4828" s="591" t="s">
        <v>280</v>
      </c>
      <c r="I4828" s="591" t="s">
        <v>280</v>
      </c>
    </row>
    <row r="4829" spans="1:9">
      <c r="A4829" s="577"/>
      <c r="B4829" s="65">
        <v>5027</v>
      </c>
      <c r="C4829" s="579" t="s">
        <v>281</v>
      </c>
      <c r="D4829" s="579"/>
      <c r="E4829" s="583"/>
      <c r="F4829" s="596"/>
      <c r="G4829" s="65">
        <v>0</v>
      </c>
      <c r="H4829" s="591" t="s">
        <v>280</v>
      </c>
      <c r="I4829" s="591" t="s">
        <v>280</v>
      </c>
    </row>
    <row r="4830" spans="1:9">
      <c r="A4830" s="577"/>
      <c r="B4830" s="65">
        <v>5028</v>
      </c>
      <c r="C4830" s="579" t="s">
        <v>281</v>
      </c>
      <c r="D4830" s="579"/>
      <c r="E4830" s="583"/>
      <c r="F4830" s="596"/>
      <c r="G4830" s="65">
        <v>0</v>
      </c>
      <c r="H4830" s="591" t="s">
        <v>280</v>
      </c>
      <c r="I4830" s="591" t="s">
        <v>280</v>
      </c>
    </row>
    <row r="4831" spans="1:9">
      <c r="A4831" s="577"/>
      <c r="B4831" s="65">
        <v>5029</v>
      </c>
      <c r="C4831" s="579" t="s">
        <v>281</v>
      </c>
      <c r="D4831" s="579"/>
      <c r="E4831" s="583"/>
      <c r="F4831" s="596"/>
      <c r="G4831" s="65">
        <v>0</v>
      </c>
      <c r="H4831" s="591" t="s">
        <v>280</v>
      </c>
      <c r="I4831" s="591" t="s">
        <v>280</v>
      </c>
    </row>
    <row r="4832" spans="1:9">
      <c r="A4832" s="577"/>
      <c r="B4832" s="65">
        <v>5030</v>
      </c>
      <c r="C4832" s="579" t="s">
        <v>281</v>
      </c>
      <c r="D4832" s="579"/>
      <c r="E4832" s="583"/>
      <c r="F4832" s="596"/>
      <c r="G4832" s="65">
        <v>0</v>
      </c>
      <c r="H4832" s="591" t="s">
        <v>280</v>
      </c>
      <c r="I4832" s="591" t="s">
        <v>280</v>
      </c>
    </row>
    <row r="4833" spans="1:9">
      <c r="A4833" s="577"/>
      <c r="B4833" s="65">
        <v>5031</v>
      </c>
      <c r="C4833" s="579" t="s">
        <v>281</v>
      </c>
      <c r="D4833" s="579"/>
      <c r="E4833" s="583"/>
      <c r="F4833" s="596"/>
      <c r="G4833" s="65">
        <v>0</v>
      </c>
      <c r="H4833" s="591" t="s">
        <v>280</v>
      </c>
      <c r="I4833" s="591" t="s">
        <v>280</v>
      </c>
    </row>
    <row r="4834" spans="1:9">
      <c r="A4834" s="577"/>
      <c r="B4834" s="65">
        <v>5032</v>
      </c>
      <c r="C4834" s="579" t="s">
        <v>281</v>
      </c>
      <c r="D4834" s="579"/>
      <c r="E4834" s="583"/>
      <c r="F4834" s="596"/>
      <c r="G4834" s="65">
        <v>0</v>
      </c>
      <c r="H4834" s="591" t="s">
        <v>280</v>
      </c>
      <c r="I4834" s="591" t="s">
        <v>280</v>
      </c>
    </row>
    <row r="4835" spans="1:9">
      <c r="A4835" s="577"/>
      <c r="B4835" s="65">
        <v>5033</v>
      </c>
      <c r="C4835" s="579" t="s">
        <v>281</v>
      </c>
      <c r="D4835" s="579"/>
      <c r="E4835" s="583"/>
      <c r="F4835" s="596"/>
      <c r="G4835" s="65">
        <v>0</v>
      </c>
      <c r="H4835" s="591" t="s">
        <v>280</v>
      </c>
      <c r="I4835" s="591" t="s">
        <v>280</v>
      </c>
    </row>
    <row r="4836" spans="1:9">
      <c r="A4836" s="577"/>
      <c r="B4836" s="65">
        <v>5034</v>
      </c>
      <c r="C4836" s="579" t="s">
        <v>281</v>
      </c>
      <c r="D4836" s="579"/>
      <c r="E4836" s="583"/>
      <c r="F4836" s="596"/>
      <c r="G4836" s="65">
        <v>0</v>
      </c>
      <c r="H4836" s="591" t="s">
        <v>280</v>
      </c>
      <c r="I4836" s="591" t="s">
        <v>280</v>
      </c>
    </row>
    <row r="4837" spans="1:9">
      <c r="A4837" s="577"/>
      <c r="B4837" s="65">
        <v>5035</v>
      </c>
      <c r="C4837" s="579" t="s">
        <v>281</v>
      </c>
      <c r="D4837" s="579"/>
      <c r="E4837" s="583"/>
      <c r="F4837" s="596"/>
      <c r="G4837" s="65">
        <v>0</v>
      </c>
      <c r="H4837" s="591" t="s">
        <v>280</v>
      </c>
      <c r="I4837" s="591" t="s">
        <v>280</v>
      </c>
    </row>
    <row r="4838" spans="1:9">
      <c r="A4838" s="577"/>
      <c r="B4838" s="65">
        <v>5036</v>
      </c>
      <c r="C4838" s="579" t="s">
        <v>281</v>
      </c>
      <c r="D4838" s="579"/>
      <c r="E4838" s="583"/>
      <c r="F4838" s="596"/>
      <c r="G4838" s="65">
        <v>0</v>
      </c>
      <c r="H4838" s="591" t="s">
        <v>280</v>
      </c>
      <c r="I4838" s="591" t="s">
        <v>280</v>
      </c>
    </row>
    <row r="4839" spans="1:9">
      <c r="A4839" s="577"/>
      <c r="B4839" s="65">
        <v>5037</v>
      </c>
      <c r="C4839" s="579" t="s">
        <v>281</v>
      </c>
      <c r="D4839" s="579"/>
      <c r="E4839" s="583"/>
      <c r="F4839" s="596"/>
      <c r="G4839" s="65">
        <v>0</v>
      </c>
      <c r="H4839" s="591" t="s">
        <v>280</v>
      </c>
      <c r="I4839" s="591" t="s">
        <v>280</v>
      </c>
    </row>
    <row r="4840" spans="1:9">
      <c r="A4840" s="577"/>
      <c r="B4840" s="65">
        <v>5038</v>
      </c>
      <c r="C4840" s="579" t="s">
        <v>281</v>
      </c>
      <c r="D4840" s="579"/>
      <c r="E4840" s="583"/>
      <c r="F4840" s="596"/>
      <c r="G4840" s="65">
        <v>0</v>
      </c>
      <c r="H4840" s="591" t="s">
        <v>280</v>
      </c>
      <c r="I4840" s="591" t="s">
        <v>280</v>
      </c>
    </row>
    <row r="4841" spans="1:9">
      <c r="A4841" s="577"/>
      <c r="B4841" s="65">
        <v>5039</v>
      </c>
      <c r="C4841" s="579" t="s">
        <v>281</v>
      </c>
      <c r="D4841" s="579"/>
      <c r="E4841" s="583"/>
      <c r="F4841" s="596"/>
      <c r="G4841" s="65">
        <v>0</v>
      </c>
      <c r="H4841" s="591" t="s">
        <v>280</v>
      </c>
      <c r="I4841" s="591" t="s">
        <v>280</v>
      </c>
    </row>
    <row r="4842" spans="1:9">
      <c r="A4842" s="577"/>
      <c r="B4842" s="65">
        <v>5040</v>
      </c>
      <c r="C4842" s="579" t="s">
        <v>281</v>
      </c>
      <c r="D4842" s="579"/>
      <c r="E4842" s="583"/>
      <c r="F4842" s="596"/>
      <c r="G4842" s="65">
        <v>0</v>
      </c>
      <c r="H4842" s="591" t="s">
        <v>280</v>
      </c>
      <c r="I4842" s="591" t="s">
        <v>280</v>
      </c>
    </row>
    <row r="4843" spans="1:9">
      <c r="A4843" s="577"/>
      <c r="B4843" s="65">
        <v>5041</v>
      </c>
      <c r="C4843" s="579" t="s">
        <v>281</v>
      </c>
      <c r="D4843" s="579"/>
      <c r="E4843" s="583"/>
      <c r="F4843" s="596"/>
      <c r="G4843" s="65">
        <v>0</v>
      </c>
      <c r="H4843" s="591" t="s">
        <v>280</v>
      </c>
      <c r="I4843" s="591" t="s">
        <v>280</v>
      </c>
    </row>
    <row r="4844" spans="1:9">
      <c r="A4844" s="577"/>
      <c r="B4844" s="65">
        <v>5042</v>
      </c>
      <c r="C4844" s="579" t="s">
        <v>281</v>
      </c>
      <c r="D4844" s="579"/>
      <c r="E4844" s="583"/>
      <c r="F4844" s="596"/>
      <c r="G4844" s="65">
        <v>0</v>
      </c>
      <c r="H4844" s="591" t="s">
        <v>280</v>
      </c>
      <c r="I4844" s="591" t="s">
        <v>280</v>
      </c>
    </row>
    <row r="4845" spans="1:9">
      <c r="A4845" s="577"/>
      <c r="B4845" s="65">
        <v>5043</v>
      </c>
      <c r="C4845" s="579" t="s">
        <v>281</v>
      </c>
      <c r="D4845" s="579"/>
      <c r="E4845" s="583"/>
      <c r="F4845" s="596"/>
      <c r="G4845" s="65">
        <v>0</v>
      </c>
      <c r="H4845" s="591" t="s">
        <v>280</v>
      </c>
      <c r="I4845" s="591" t="s">
        <v>280</v>
      </c>
    </row>
    <row r="4846" spans="1:9">
      <c r="A4846" s="577"/>
      <c r="B4846" s="65">
        <v>5044</v>
      </c>
      <c r="C4846" s="579" t="s">
        <v>281</v>
      </c>
      <c r="D4846" s="579"/>
      <c r="E4846" s="583"/>
      <c r="F4846" s="596"/>
      <c r="G4846" s="65">
        <v>0</v>
      </c>
      <c r="H4846" s="591" t="s">
        <v>280</v>
      </c>
      <c r="I4846" s="591" t="s">
        <v>280</v>
      </c>
    </row>
    <row r="4847" spans="1:9">
      <c r="A4847" s="577"/>
      <c r="B4847" s="65">
        <v>5045</v>
      </c>
      <c r="C4847" s="579" t="s">
        <v>281</v>
      </c>
      <c r="D4847" s="579"/>
      <c r="E4847" s="583"/>
      <c r="F4847" s="596"/>
      <c r="G4847" s="65">
        <v>0</v>
      </c>
      <c r="H4847" s="591" t="s">
        <v>280</v>
      </c>
      <c r="I4847" s="591" t="s">
        <v>280</v>
      </c>
    </row>
    <row r="4848" spans="1:9">
      <c r="A4848" s="577"/>
      <c r="B4848" s="65">
        <v>5046</v>
      </c>
      <c r="C4848" s="579" t="s">
        <v>281</v>
      </c>
      <c r="D4848" s="579"/>
      <c r="E4848" s="583"/>
      <c r="F4848" s="596"/>
      <c r="G4848" s="65">
        <v>0</v>
      </c>
      <c r="H4848" s="591" t="s">
        <v>280</v>
      </c>
      <c r="I4848" s="591" t="s">
        <v>280</v>
      </c>
    </row>
    <row r="4849" spans="1:9">
      <c r="A4849" s="577"/>
      <c r="B4849" s="65">
        <v>5047</v>
      </c>
      <c r="C4849" s="579" t="s">
        <v>281</v>
      </c>
      <c r="D4849" s="579"/>
      <c r="E4849" s="583"/>
      <c r="F4849" s="596"/>
      <c r="G4849" s="65">
        <v>0</v>
      </c>
      <c r="H4849" s="591" t="s">
        <v>280</v>
      </c>
      <c r="I4849" s="591" t="s">
        <v>280</v>
      </c>
    </row>
    <row r="4850" spans="1:9">
      <c r="A4850" s="577"/>
      <c r="B4850" s="65">
        <v>5048</v>
      </c>
      <c r="C4850" s="579" t="s">
        <v>281</v>
      </c>
      <c r="D4850" s="579"/>
      <c r="E4850" s="583"/>
      <c r="F4850" s="596"/>
      <c r="G4850" s="65">
        <v>0</v>
      </c>
      <c r="H4850" s="591" t="s">
        <v>280</v>
      </c>
      <c r="I4850" s="591" t="s">
        <v>280</v>
      </c>
    </row>
    <row r="4851" spans="1:9">
      <c r="A4851" s="577"/>
      <c r="B4851" s="65">
        <v>5049</v>
      </c>
      <c r="C4851" s="579" t="s">
        <v>281</v>
      </c>
      <c r="D4851" s="579"/>
      <c r="E4851" s="583"/>
      <c r="F4851" s="596"/>
      <c r="G4851" s="65">
        <v>0</v>
      </c>
      <c r="H4851" s="591" t="s">
        <v>280</v>
      </c>
      <c r="I4851" s="591" t="s">
        <v>280</v>
      </c>
    </row>
    <row r="4852" spans="1:9">
      <c r="A4852" s="577"/>
      <c r="B4852" s="65">
        <v>5050</v>
      </c>
      <c r="C4852" s="579" t="s">
        <v>281</v>
      </c>
      <c r="D4852" s="579"/>
      <c r="E4852" s="583"/>
      <c r="F4852" s="596"/>
      <c r="G4852" s="65">
        <v>0</v>
      </c>
      <c r="H4852" s="591" t="s">
        <v>280</v>
      </c>
      <c r="I4852" s="591" t="s">
        <v>280</v>
      </c>
    </row>
    <row r="4853" spans="1:9">
      <c r="A4853" s="577"/>
      <c r="B4853" s="65">
        <v>5051</v>
      </c>
      <c r="C4853" s="579" t="s">
        <v>281</v>
      </c>
      <c r="D4853" s="579"/>
      <c r="E4853" s="583"/>
      <c r="F4853" s="596"/>
      <c r="G4853" s="65">
        <v>0</v>
      </c>
      <c r="H4853" s="591" t="s">
        <v>280</v>
      </c>
      <c r="I4853" s="591" t="s">
        <v>280</v>
      </c>
    </row>
    <row r="4854" spans="1:9">
      <c r="A4854" s="577"/>
      <c r="B4854" s="65">
        <v>5052</v>
      </c>
      <c r="C4854" s="579" t="s">
        <v>281</v>
      </c>
      <c r="D4854" s="579"/>
      <c r="E4854" s="583"/>
      <c r="F4854" s="596"/>
      <c r="G4854" s="65">
        <v>0</v>
      </c>
      <c r="H4854" s="591" t="s">
        <v>280</v>
      </c>
      <c r="I4854" s="591" t="s">
        <v>280</v>
      </c>
    </row>
    <row r="4855" spans="1:9">
      <c r="A4855" s="577"/>
      <c r="B4855" s="65">
        <v>5053</v>
      </c>
      <c r="C4855" s="579" t="s">
        <v>281</v>
      </c>
      <c r="D4855" s="579"/>
      <c r="E4855" s="583"/>
      <c r="F4855" s="596"/>
      <c r="G4855" s="65">
        <v>0</v>
      </c>
      <c r="H4855" s="591" t="s">
        <v>280</v>
      </c>
      <c r="I4855" s="591" t="s">
        <v>280</v>
      </c>
    </row>
    <row r="4856" spans="1:9">
      <c r="A4856" s="577"/>
      <c r="B4856" s="65">
        <v>5054</v>
      </c>
      <c r="C4856" s="579" t="s">
        <v>281</v>
      </c>
      <c r="D4856" s="579"/>
      <c r="E4856" s="583"/>
      <c r="F4856" s="596"/>
      <c r="G4856" s="65">
        <v>0</v>
      </c>
      <c r="H4856" s="591" t="s">
        <v>280</v>
      </c>
      <c r="I4856" s="591" t="s">
        <v>280</v>
      </c>
    </row>
    <row r="4857" spans="1:9">
      <c r="A4857" s="577"/>
      <c r="B4857" s="65">
        <v>5055</v>
      </c>
      <c r="C4857" s="579" t="s">
        <v>281</v>
      </c>
      <c r="D4857" s="579"/>
      <c r="E4857" s="583"/>
      <c r="F4857" s="596"/>
      <c r="G4857" s="65">
        <v>0</v>
      </c>
      <c r="H4857" s="591" t="s">
        <v>280</v>
      </c>
      <c r="I4857" s="591" t="s">
        <v>280</v>
      </c>
    </row>
    <row r="4858" spans="1:9">
      <c r="A4858" s="577"/>
      <c r="B4858" s="65">
        <v>5056</v>
      </c>
      <c r="C4858" s="579" t="s">
        <v>281</v>
      </c>
      <c r="D4858" s="579"/>
      <c r="E4858" s="583"/>
      <c r="F4858" s="596"/>
      <c r="G4858" s="65">
        <v>0</v>
      </c>
      <c r="H4858" s="591" t="s">
        <v>280</v>
      </c>
      <c r="I4858" s="591" t="s">
        <v>280</v>
      </c>
    </row>
    <row r="4859" spans="1:9">
      <c r="A4859" s="577"/>
      <c r="B4859" s="65">
        <v>5057</v>
      </c>
      <c r="C4859" s="579" t="s">
        <v>281</v>
      </c>
      <c r="D4859" s="579"/>
      <c r="E4859" s="583"/>
      <c r="F4859" s="596"/>
      <c r="G4859" s="65">
        <v>0</v>
      </c>
      <c r="H4859" s="591" t="s">
        <v>280</v>
      </c>
      <c r="I4859" s="591" t="s">
        <v>280</v>
      </c>
    </row>
    <row r="4860" spans="1:9">
      <c r="A4860" s="577"/>
      <c r="B4860" s="65">
        <v>5058</v>
      </c>
      <c r="C4860" s="579" t="s">
        <v>281</v>
      </c>
      <c r="D4860" s="579"/>
      <c r="E4860" s="583"/>
      <c r="F4860" s="596"/>
      <c r="G4860" s="65">
        <v>0</v>
      </c>
      <c r="H4860" s="591" t="s">
        <v>280</v>
      </c>
      <c r="I4860" s="591" t="s">
        <v>280</v>
      </c>
    </row>
    <row r="4861" spans="1:9">
      <c r="A4861" s="577"/>
      <c r="B4861" s="65">
        <v>5059</v>
      </c>
      <c r="C4861" s="579" t="s">
        <v>281</v>
      </c>
      <c r="D4861" s="579"/>
      <c r="E4861" s="583"/>
      <c r="F4861" s="596"/>
      <c r="G4861" s="65">
        <v>0</v>
      </c>
      <c r="H4861" s="591" t="s">
        <v>280</v>
      </c>
      <c r="I4861" s="591" t="s">
        <v>280</v>
      </c>
    </row>
    <row r="4862" spans="1:9">
      <c r="A4862" s="577"/>
      <c r="B4862" s="65">
        <v>5060</v>
      </c>
      <c r="C4862" s="579" t="s">
        <v>281</v>
      </c>
      <c r="D4862" s="579"/>
      <c r="E4862" s="583"/>
      <c r="F4862" s="596"/>
      <c r="G4862" s="65">
        <v>0</v>
      </c>
      <c r="H4862" s="591" t="s">
        <v>280</v>
      </c>
      <c r="I4862" s="591" t="s">
        <v>280</v>
      </c>
    </row>
    <row r="4863" spans="1:9">
      <c r="A4863" s="577"/>
      <c r="B4863" s="65">
        <v>5061</v>
      </c>
      <c r="C4863" s="579" t="s">
        <v>281</v>
      </c>
      <c r="D4863" s="579"/>
      <c r="E4863" s="583"/>
      <c r="F4863" s="596"/>
      <c r="G4863" s="65">
        <v>0</v>
      </c>
      <c r="H4863" s="591" t="s">
        <v>280</v>
      </c>
      <c r="I4863" s="591" t="s">
        <v>280</v>
      </c>
    </row>
    <row r="4864" spans="1:9">
      <c r="A4864" s="577"/>
      <c r="B4864" s="65">
        <v>5062</v>
      </c>
      <c r="C4864" s="579" t="s">
        <v>281</v>
      </c>
      <c r="D4864" s="579"/>
      <c r="E4864" s="583"/>
      <c r="F4864" s="596"/>
      <c r="G4864" s="65">
        <v>0</v>
      </c>
      <c r="H4864" s="591" t="s">
        <v>280</v>
      </c>
      <c r="I4864" s="591" t="s">
        <v>280</v>
      </c>
    </row>
    <row r="4865" spans="1:9">
      <c r="A4865" s="577"/>
      <c r="B4865" s="65">
        <v>5063</v>
      </c>
      <c r="C4865" s="579" t="s">
        <v>281</v>
      </c>
      <c r="D4865" s="579"/>
      <c r="E4865" s="583"/>
      <c r="F4865" s="596"/>
      <c r="G4865" s="65">
        <v>0</v>
      </c>
      <c r="H4865" s="591" t="s">
        <v>280</v>
      </c>
      <c r="I4865" s="591" t="s">
        <v>280</v>
      </c>
    </row>
    <row r="4866" spans="1:9">
      <c r="A4866" s="577"/>
      <c r="B4866" s="65">
        <v>5064</v>
      </c>
      <c r="C4866" s="579" t="s">
        <v>281</v>
      </c>
      <c r="D4866" s="579"/>
      <c r="E4866" s="583"/>
      <c r="F4866" s="596"/>
      <c r="G4866" s="65">
        <v>0</v>
      </c>
      <c r="H4866" s="591" t="s">
        <v>280</v>
      </c>
      <c r="I4866" s="591" t="s">
        <v>280</v>
      </c>
    </row>
    <row r="4867" spans="1:9">
      <c r="A4867" s="577"/>
      <c r="B4867" s="65">
        <v>5065</v>
      </c>
      <c r="C4867" s="579" t="s">
        <v>281</v>
      </c>
      <c r="D4867" s="579"/>
      <c r="E4867" s="583"/>
      <c r="F4867" s="596"/>
      <c r="G4867" s="65">
        <v>0</v>
      </c>
      <c r="H4867" s="591" t="s">
        <v>280</v>
      </c>
      <c r="I4867" s="591" t="s">
        <v>280</v>
      </c>
    </row>
    <row r="4868" spans="1:9">
      <c r="A4868" s="577"/>
      <c r="B4868" s="65">
        <v>5066</v>
      </c>
      <c r="C4868" s="579" t="s">
        <v>281</v>
      </c>
      <c r="D4868" s="579"/>
      <c r="E4868" s="583"/>
      <c r="F4868" s="596"/>
      <c r="G4868" s="65">
        <v>0</v>
      </c>
      <c r="H4868" s="591" t="s">
        <v>280</v>
      </c>
      <c r="I4868" s="591" t="s">
        <v>280</v>
      </c>
    </row>
    <row r="4869" spans="1:9">
      <c r="A4869" s="577"/>
      <c r="B4869" s="65">
        <v>5067</v>
      </c>
      <c r="C4869" s="579" t="s">
        <v>281</v>
      </c>
      <c r="D4869" s="579"/>
      <c r="E4869" s="583"/>
      <c r="F4869" s="596"/>
      <c r="G4869" s="65">
        <v>0</v>
      </c>
      <c r="H4869" s="591" t="s">
        <v>280</v>
      </c>
      <c r="I4869" s="591" t="s">
        <v>280</v>
      </c>
    </row>
    <row r="4870" spans="1:9">
      <c r="A4870" s="577"/>
      <c r="B4870" s="65">
        <v>5068</v>
      </c>
      <c r="C4870" s="579" t="s">
        <v>281</v>
      </c>
      <c r="D4870" s="579"/>
      <c r="E4870" s="583"/>
      <c r="F4870" s="596"/>
      <c r="G4870" s="65">
        <v>0</v>
      </c>
      <c r="H4870" s="591" t="s">
        <v>280</v>
      </c>
      <c r="I4870" s="591" t="s">
        <v>280</v>
      </c>
    </row>
    <row r="4871" spans="1:9">
      <c r="A4871" s="577"/>
      <c r="B4871" s="65">
        <v>5069</v>
      </c>
      <c r="C4871" s="579" t="s">
        <v>281</v>
      </c>
      <c r="D4871" s="579"/>
      <c r="E4871" s="583"/>
      <c r="F4871" s="596"/>
      <c r="G4871" s="65">
        <v>0</v>
      </c>
      <c r="H4871" s="591" t="s">
        <v>280</v>
      </c>
      <c r="I4871" s="591" t="s">
        <v>280</v>
      </c>
    </row>
    <row r="4872" spans="1:9">
      <c r="A4872" s="577"/>
      <c r="B4872" s="65">
        <v>5070</v>
      </c>
      <c r="C4872" s="579" t="s">
        <v>281</v>
      </c>
      <c r="D4872" s="579"/>
      <c r="E4872" s="583"/>
      <c r="F4872" s="596"/>
      <c r="G4872" s="65">
        <v>0</v>
      </c>
      <c r="H4872" s="591" t="s">
        <v>280</v>
      </c>
      <c r="I4872" s="591" t="s">
        <v>280</v>
      </c>
    </row>
    <row r="4873" spans="1:9">
      <c r="A4873" s="577"/>
      <c r="B4873" s="65">
        <v>5071</v>
      </c>
      <c r="C4873" s="579" t="s">
        <v>281</v>
      </c>
      <c r="D4873" s="579"/>
      <c r="E4873" s="583"/>
      <c r="F4873" s="596"/>
      <c r="G4873" s="65">
        <v>0</v>
      </c>
      <c r="H4873" s="591" t="s">
        <v>280</v>
      </c>
      <c r="I4873" s="591" t="s">
        <v>280</v>
      </c>
    </row>
    <row r="4874" spans="1:9">
      <c r="A4874" s="577"/>
      <c r="B4874" s="65">
        <v>5072</v>
      </c>
      <c r="C4874" s="579" t="s">
        <v>281</v>
      </c>
      <c r="D4874" s="579"/>
      <c r="E4874" s="583"/>
      <c r="F4874" s="596"/>
      <c r="G4874" s="65">
        <v>0</v>
      </c>
      <c r="H4874" s="591" t="s">
        <v>280</v>
      </c>
      <c r="I4874" s="591" t="s">
        <v>280</v>
      </c>
    </row>
    <row r="4875" spans="1:9">
      <c r="A4875" s="577"/>
      <c r="B4875" s="65">
        <v>5073</v>
      </c>
      <c r="C4875" s="579" t="s">
        <v>281</v>
      </c>
      <c r="D4875" s="579"/>
      <c r="E4875" s="583"/>
      <c r="F4875" s="596"/>
      <c r="G4875" s="65">
        <v>0</v>
      </c>
      <c r="H4875" s="591" t="s">
        <v>280</v>
      </c>
      <c r="I4875" s="591" t="s">
        <v>280</v>
      </c>
    </row>
    <row r="4876" spans="1:9">
      <c r="A4876" s="577"/>
      <c r="B4876" s="65">
        <v>5074</v>
      </c>
      <c r="C4876" s="579" t="s">
        <v>281</v>
      </c>
      <c r="D4876" s="579"/>
      <c r="E4876" s="583"/>
      <c r="F4876" s="596"/>
      <c r="G4876" s="65">
        <v>0</v>
      </c>
      <c r="H4876" s="591" t="s">
        <v>280</v>
      </c>
      <c r="I4876" s="591" t="s">
        <v>280</v>
      </c>
    </row>
    <row r="4877" spans="1:9">
      <c r="A4877" s="577"/>
      <c r="B4877" s="65">
        <v>5075</v>
      </c>
      <c r="C4877" s="579" t="s">
        <v>281</v>
      </c>
      <c r="D4877" s="579"/>
      <c r="E4877" s="583"/>
      <c r="F4877" s="596"/>
      <c r="G4877" s="65">
        <v>0</v>
      </c>
      <c r="H4877" s="591" t="s">
        <v>280</v>
      </c>
      <c r="I4877" s="591" t="s">
        <v>280</v>
      </c>
    </row>
    <row r="4878" spans="1:9">
      <c r="A4878" s="577"/>
      <c r="B4878" s="65">
        <v>5076</v>
      </c>
      <c r="C4878" s="579" t="s">
        <v>281</v>
      </c>
      <c r="D4878" s="579"/>
      <c r="E4878" s="583"/>
      <c r="F4878" s="596"/>
      <c r="G4878" s="65">
        <v>0</v>
      </c>
      <c r="H4878" s="591" t="s">
        <v>280</v>
      </c>
      <c r="I4878" s="591" t="s">
        <v>280</v>
      </c>
    </row>
    <row r="4879" spans="1:9">
      <c r="A4879" s="577"/>
      <c r="B4879" s="65">
        <v>5077</v>
      </c>
      <c r="C4879" s="579" t="s">
        <v>281</v>
      </c>
      <c r="D4879" s="579"/>
      <c r="E4879" s="583"/>
      <c r="F4879" s="596"/>
      <c r="G4879" s="65">
        <v>0</v>
      </c>
      <c r="H4879" s="591" t="s">
        <v>280</v>
      </c>
      <c r="I4879" s="591" t="s">
        <v>280</v>
      </c>
    </row>
    <row r="4880" spans="1:9">
      <c r="A4880" s="577"/>
      <c r="B4880" s="65">
        <v>5078</v>
      </c>
      <c r="C4880" s="579" t="s">
        <v>281</v>
      </c>
      <c r="D4880" s="579"/>
      <c r="E4880" s="583"/>
      <c r="F4880" s="596"/>
      <c r="G4880" s="65">
        <v>0</v>
      </c>
      <c r="H4880" s="591" t="s">
        <v>280</v>
      </c>
      <c r="I4880" s="591" t="s">
        <v>280</v>
      </c>
    </row>
    <row r="4881" spans="1:9">
      <c r="A4881" s="577"/>
      <c r="B4881" s="65">
        <v>5079</v>
      </c>
      <c r="C4881" s="579" t="s">
        <v>281</v>
      </c>
      <c r="D4881" s="579"/>
      <c r="E4881" s="583"/>
      <c r="F4881" s="596"/>
      <c r="G4881" s="65">
        <v>0</v>
      </c>
      <c r="H4881" s="591" t="s">
        <v>280</v>
      </c>
      <c r="I4881" s="591" t="s">
        <v>280</v>
      </c>
    </row>
    <row r="4882" spans="1:9">
      <c r="A4882" s="577"/>
      <c r="B4882" s="65">
        <v>5080</v>
      </c>
      <c r="C4882" s="579" t="s">
        <v>281</v>
      </c>
      <c r="D4882" s="579"/>
      <c r="E4882" s="583"/>
      <c r="F4882" s="596"/>
      <c r="G4882" s="65">
        <v>0</v>
      </c>
      <c r="H4882" s="591" t="s">
        <v>280</v>
      </c>
      <c r="I4882" s="591" t="s">
        <v>280</v>
      </c>
    </row>
    <row r="4883" spans="1:9">
      <c r="A4883" s="577"/>
      <c r="B4883" s="65">
        <v>5081</v>
      </c>
      <c r="C4883" s="579" t="s">
        <v>281</v>
      </c>
      <c r="D4883" s="579"/>
      <c r="E4883" s="583"/>
      <c r="F4883" s="596"/>
      <c r="G4883" s="65">
        <v>0</v>
      </c>
      <c r="H4883" s="591" t="s">
        <v>280</v>
      </c>
      <c r="I4883" s="591" t="s">
        <v>280</v>
      </c>
    </row>
    <row r="4884" spans="1:9">
      <c r="A4884" s="577"/>
      <c r="B4884" s="65">
        <v>5082</v>
      </c>
      <c r="C4884" s="579" t="s">
        <v>281</v>
      </c>
      <c r="D4884" s="579"/>
      <c r="E4884" s="583"/>
      <c r="F4884" s="596"/>
      <c r="G4884" s="65">
        <v>0</v>
      </c>
      <c r="H4884" s="591" t="s">
        <v>280</v>
      </c>
      <c r="I4884" s="591" t="s">
        <v>280</v>
      </c>
    </row>
    <row r="4885" spans="1:9">
      <c r="A4885" s="577"/>
      <c r="B4885" s="65">
        <v>5083</v>
      </c>
      <c r="C4885" s="579" t="s">
        <v>281</v>
      </c>
      <c r="D4885" s="579"/>
      <c r="E4885" s="583"/>
      <c r="F4885" s="596"/>
      <c r="G4885" s="65">
        <v>0</v>
      </c>
      <c r="H4885" s="591" t="s">
        <v>280</v>
      </c>
      <c r="I4885" s="591" t="s">
        <v>280</v>
      </c>
    </row>
    <row r="4886" spans="1:9">
      <c r="A4886" s="577"/>
      <c r="B4886" s="65">
        <v>5084</v>
      </c>
      <c r="C4886" s="579" t="s">
        <v>281</v>
      </c>
      <c r="D4886" s="579"/>
      <c r="E4886" s="583"/>
      <c r="F4886" s="596"/>
      <c r="G4886" s="65">
        <v>0</v>
      </c>
      <c r="H4886" s="591" t="s">
        <v>280</v>
      </c>
      <c r="I4886" s="591" t="s">
        <v>280</v>
      </c>
    </row>
    <row r="4887" spans="1:9">
      <c r="A4887" s="577"/>
      <c r="B4887" s="65">
        <v>5085</v>
      </c>
      <c r="C4887" s="579" t="s">
        <v>281</v>
      </c>
      <c r="D4887" s="579"/>
      <c r="E4887" s="583"/>
      <c r="F4887" s="596"/>
      <c r="G4887" s="65">
        <v>0</v>
      </c>
      <c r="H4887" s="591" t="s">
        <v>280</v>
      </c>
      <c r="I4887" s="591" t="s">
        <v>280</v>
      </c>
    </row>
    <row r="4888" spans="1:9">
      <c r="A4888" s="577"/>
      <c r="B4888" s="65">
        <v>5086</v>
      </c>
      <c r="C4888" s="579" t="s">
        <v>281</v>
      </c>
      <c r="D4888" s="579"/>
      <c r="E4888" s="583"/>
      <c r="F4888" s="596"/>
      <c r="G4888" s="65">
        <v>0</v>
      </c>
      <c r="H4888" s="591" t="s">
        <v>280</v>
      </c>
      <c r="I4888" s="591" t="s">
        <v>280</v>
      </c>
    </row>
    <row r="4889" spans="1:9">
      <c r="A4889" s="577"/>
      <c r="B4889" s="65">
        <v>5087</v>
      </c>
      <c r="C4889" s="579" t="s">
        <v>281</v>
      </c>
      <c r="D4889" s="579"/>
      <c r="E4889" s="583"/>
      <c r="F4889" s="596"/>
      <c r="G4889" s="65">
        <v>0</v>
      </c>
      <c r="H4889" s="591" t="s">
        <v>280</v>
      </c>
      <c r="I4889" s="591" t="s">
        <v>280</v>
      </c>
    </row>
    <row r="4890" spans="1:9">
      <c r="A4890" s="577"/>
      <c r="B4890" s="65">
        <v>5088</v>
      </c>
      <c r="C4890" s="579" t="s">
        <v>281</v>
      </c>
      <c r="D4890" s="579"/>
      <c r="E4890" s="583"/>
      <c r="F4890" s="596"/>
      <c r="G4890" s="65">
        <v>0</v>
      </c>
      <c r="H4890" s="591" t="s">
        <v>280</v>
      </c>
      <c r="I4890" s="591" t="s">
        <v>280</v>
      </c>
    </row>
    <row r="4891" spans="1:9">
      <c r="A4891" s="577"/>
      <c r="B4891" s="65">
        <v>5089</v>
      </c>
      <c r="C4891" s="579" t="s">
        <v>281</v>
      </c>
      <c r="D4891" s="579"/>
      <c r="E4891" s="583"/>
      <c r="F4891" s="596"/>
      <c r="G4891" s="65">
        <v>0</v>
      </c>
      <c r="H4891" s="591" t="s">
        <v>280</v>
      </c>
      <c r="I4891" s="591" t="s">
        <v>280</v>
      </c>
    </row>
    <row r="4892" spans="1:9">
      <c r="A4892" s="577"/>
      <c r="B4892" s="65">
        <v>5090</v>
      </c>
      <c r="C4892" s="579" t="s">
        <v>281</v>
      </c>
      <c r="D4892" s="579"/>
      <c r="E4892" s="583"/>
      <c r="F4892" s="596"/>
      <c r="G4892" s="65">
        <v>0</v>
      </c>
      <c r="H4892" s="591" t="s">
        <v>280</v>
      </c>
      <c r="I4892" s="591" t="s">
        <v>280</v>
      </c>
    </row>
    <row r="4893" spans="1:9">
      <c r="A4893" s="577"/>
      <c r="B4893" s="65">
        <v>5091</v>
      </c>
      <c r="C4893" s="579" t="s">
        <v>281</v>
      </c>
      <c r="D4893" s="579"/>
      <c r="E4893" s="583"/>
      <c r="F4893" s="596"/>
      <c r="G4893" s="65">
        <v>0</v>
      </c>
      <c r="H4893" s="591" t="s">
        <v>280</v>
      </c>
      <c r="I4893" s="591" t="s">
        <v>280</v>
      </c>
    </row>
    <row r="4894" spans="1:9">
      <c r="A4894" s="577"/>
      <c r="B4894" s="65">
        <v>5092</v>
      </c>
      <c r="C4894" s="579" t="s">
        <v>281</v>
      </c>
      <c r="D4894" s="579"/>
      <c r="E4894" s="583"/>
      <c r="F4894" s="596"/>
      <c r="G4894" s="65">
        <v>0</v>
      </c>
      <c r="H4894" s="591" t="s">
        <v>280</v>
      </c>
      <c r="I4894" s="591" t="s">
        <v>280</v>
      </c>
    </row>
    <row r="4895" spans="1:9">
      <c r="A4895" s="577"/>
      <c r="B4895" s="65">
        <v>5093</v>
      </c>
      <c r="C4895" s="579" t="s">
        <v>281</v>
      </c>
      <c r="D4895" s="579"/>
      <c r="E4895" s="583"/>
      <c r="F4895" s="596"/>
      <c r="G4895" s="65">
        <v>0</v>
      </c>
      <c r="H4895" s="591" t="s">
        <v>280</v>
      </c>
      <c r="I4895" s="591" t="s">
        <v>280</v>
      </c>
    </row>
    <row r="4896" spans="1:9">
      <c r="A4896" s="577"/>
      <c r="B4896" s="65">
        <v>5094</v>
      </c>
      <c r="C4896" s="579" t="s">
        <v>281</v>
      </c>
      <c r="D4896" s="579"/>
      <c r="E4896" s="583"/>
      <c r="F4896" s="596"/>
      <c r="G4896" s="65">
        <v>0</v>
      </c>
      <c r="H4896" s="591" t="s">
        <v>280</v>
      </c>
      <c r="I4896" s="591" t="s">
        <v>280</v>
      </c>
    </row>
    <row r="4897" spans="1:9">
      <c r="A4897" s="577"/>
      <c r="B4897" s="65">
        <v>5095</v>
      </c>
      <c r="C4897" s="579" t="s">
        <v>281</v>
      </c>
      <c r="D4897" s="579"/>
      <c r="E4897" s="583"/>
      <c r="F4897" s="596"/>
      <c r="G4897" s="65">
        <v>0</v>
      </c>
      <c r="H4897" s="591" t="s">
        <v>280</v>
      </c>
      <c r="I4897" s="591" t="s">
        <v>280</v>
      </c>
    </row>
    <row r="4898" spans="1:9">
      <c r="A4898" s="577"/>
      <c r="B4898" s="65">
        <v>5096</v>
      </c>
      <c r="C4898" s="579" t="s">
        <v>281</v>
      </c>
      <c r="D4898" s="579"/>
      <c r="E4898" s="583"/>
      <c r="F4898" s="596"/>
      <c r="G4898" s="65">
        <v>0</v>
      </c>
      <c r="H4898" s="591" t="s">
        <v>280</v>
      </c>
      <c r="I4898" s="591" t="s">
        <v>280</v>
      </c>
    </row>
    <row r="4899" spans="1:9">
      <c r="A4899" s="577"/>
      <c r="B4899" s="65">
        <v>5097</v>
      </c>
      <c r="C4899" s="579" t="s">
        <v>281</v>
      </c>
      <c r="D4899" s="579"/>
      <c r="E4899" s="583"/>
      <c r="F4899" s="596"/>
      <c r="G4899" s="65">
        <v>0</v>
      </c>
      <c r="H4899" s="591" t="s">
        <v>280</v>
      </c>
      <c r="I4899" s="591" t="s">
        <v>280</v>
      </c>
    </row>
    <row r="4900" spans="1:9">
      <c r="A4900" s="577"/>
      <c r="B4900" s="65">
        <v>5098</v>
      </c>
      <c r="C4900" s="579" t="s">
        <v>281</v>
      </c>
      <c r="D4900" s="579"/>
      <c r="E4900" s="583"/>
      <c r="F4900" s="596"/>
      <c r="G4900" s="65">
        <v>0</v>
      </c>
      <c r="H4900" s="591" t="s">
        <v>280</v>
      </c>
      <c r="I4900" s="591" t="s">
        <v>280</v>
      </c>
    </row>
    <row r="4901" spans="1:9">
      <c r="A4901" s="577"/>
      <c r="B4901" s="65">
        <v>5099</v>
      </c>
      <c r="C4901" s="579" t="s">
        <v>281</v>
      </c>
      <c r="D4901" s="579"/>
      <c r="E4901" s="583"/>
      <c r="F4901" s="596"/>
      <c r="G4901" s="65">
        <v>0</v>
      </c>
      <c r="H4901" s="591" t="s">
        <v>280</v>
      </c>
      <c r="I4901" s="591" t="s">
        <v>280</v>
      </c>
    </row>
    <row r="4902" spans="1:9">
      <c r="A4902" s="577"/>
      <c r="B4902" s="65">
        <v>5100</v>
      </c>
      <c r="C4902" s="579" t="s">
        <v>281</v>
      </c>
      <c r="D4902" s="579"/>
      <c r="E4902" s="583"/>
      <c r="F4902" s="596"/>
      <c r="G4902" s="65">
        <v>0</v>
      </c>
      <c r="H4902" s="591" t="s">
        <v>280</v>
      </c>
      <c r="I4902" s="591" t="s">
        <v>280</v>
      </c>
    </row>
    <row r="4903" spans="1:9">
      <c r="A4903" s="577"/>
      <c r="B4903" s="65">
        <v>5101</v>
      </c>
      <c r="C4903" s="579" t="s">
        <v>281</v>
      </c>
      <c r="D4903" s="579"/>
      <c r="E4903" s="583"/>
      <c r="F4903" s="596"/>
      <c r="G4903" s="65">
        <v>0</v>
      </c>
      <c r="H4903" s="591" t="s">
        <v>280</v>
      </c>
      <c r="I4903" s="591" t="s">
        <v>280</v>
      </c>
    </row>
    <row r="4904" spans="1:9">
      <c r="A4904" s="577"/>
      <c r="B4904" s="65">
        <v>5102</v>
      </c>
      <c r="C4904" s="579" t="s">
        <v>281</v>
      </c>
      <c r="D4904" s="579"/>
      <c r="E4904" s="583"/>
      <c r="F4904" s="596"/>
      <c r="G4904" s="65">
        <v>0</v>
      </c>
      <c r="H4904" s="591" t="s">
        <v>280</v>
      </c>
      <c r="I4904" s="591" t="s">
        <v>280</v>
      </c>
    </row>
    <row r="4905" spans="1:9">
      <c r="A4905" s="577"/>
      <c r="B4905" s="65">
        <v>5103</v>
      </c>
      <c r="C4905" s="579" t="s">
        <v>281</v>
      </c>
      <c r="D4905" s="579"/>
      <c r="E4905" s="583"/>
      <c r="F4905" s="596"/>
      <c r="G4905" s="65">
        <v>0</v>
      </c>
      <c r="H4905" s="591" t="s">
        <v>280</v>
      </c>
      <c r="I4905" s="591" t="s">
        <v>280</v>
      </c>
    </row>
    <row r="4906" spans="1:9">
      <c r="A4906" s="577"/>
      <c r="B4906" s="65">
        <v>5104</v>
      </c>
      <c r="C4906" s="579" t="s">
        <v>281</v>
      </c>
      <c r="D4906" s="579"/>
      <c r="E4906" s="583"/>
      <c r="F4906" s="596"/>
      <c r="G4906" s="65">
        <v>0</v>
      </c>
      <c r="H4906" s="591" t="s">
        <v>280</v>
      </c>
      <c r="I4906" s="591" t="s">
        <v>280</v>
      </c>
    </row>
    <row r="4907" spans="1:9">
      <c r="A4907" s="577"/>
      <c r="B4907" s="65">
        <v>5105</v>
      </c>
      <c r="C4907" s="579" t="s">
        <v>281</v>
      </c>
      <c r="D4907" s="579"/>
      <c r="E4907" s="583"/>
      <c r="F4907" s="596"/>
      <c r="G4907" s="65">
        <v>0</v>
      </c>
      <c r="H4907" s="591" t="s">
        <v>280</v>
      </c>
      <c r="I4907" s="591" t="s">
        <v>280</v>
      </c>
    </row>
    <row r="4908" spans="1:9">
      <c r="A4908" s="577"/>
      <c r="B4908" s="65">
        <v>5106</v>
      </c>
      <c r="C4908" s="579" t="s">
        <v>281</v>
      </c>
      <c r="D4908" s="579"/>
      <c r="E4908" s="583"/>
      <c r="F4908" s="596"/>
      <c r="G4908" s="65">
        <v>0</v>
      </c>
      <c r="H4908" s="591" t="s">
        <v>280</v>
      </c>
      <c r="I4908" s="591" t="s">
        <v>280</v>
      </c>
    </row>
    <row r="4909" spans="1:9">
      <c r="A4909" s="577"/>
      <c r="B4909" s="65">
        <v>5107</v>
      </c>
      <c r="C4909" s="579" t="s">
        <v>281</v>
      </c>
      <c r="D4909" s="579"/>
      <c r="E4909" s="583"/>
      <c r="F4909" s="596"/>
      <c r="G4909" s="65">
        <v>0</v>
      </c>
      <c r="H4909" s="591" t="s">
        <v>280</v>
      </c>
      <c r="I4909" s="591" t="s">
        <v>280</v>
      </c>
    </row>
    <row r="4910" spans="1:9">
      <c r="A4910" s="577"/>
      <c r="B4910" s="65">
        <v>5108</v>
      </c>
      <c r="C4910" s="579" t="s">
        <v>281</v>
      </c>
      <c r="D4910" s="579"/>
      <c r="E4910" s="583"/>
      <c r="F4910" s="596"/>
      <c r="G4910" s="65">
        <v>0</v>
      </c>
      <c r="H4910" s="591" t="s">
        <v>280</v>
      </c>
      <c r="I4910" s="591" t="s">
        <v>280</v>
      </c>
    </row>
    <row r="4911" spans="1:9">
      <c r="A4911" s="577"/>
      <c r="B4911" s="65">
        <v>5109</v>
      </c>
      <c r="C4911" s="579" t="s">
        <v>281</v>
      </c>
      <c r="D4911" s="579"/>
      <c r="E4911" s="583"/>
      <c r="F4911" s="596"/>
      <c r="G4911" s="65">
        <v>0</v>
      </c>
      <c r="H4911" s="591" t="s">
        <v>280</v>
      </c>
      <c r="I4911" s="591" t="s">
        <v>280</v>
      </c>
    </row>
    <row r="4912" spans="1:9">
      <c r="A4912" s="577"/>
      <c r="B4912" s="65">
        <v>5110</v>
      </c>
      <c r="C4912" s="579" t="s">
        <v>281</v>
      </c>
      <c r="D4912" s="579"/>
      <c r="E4912" s="583"/>
      <c r="F4912" s="596"/>
      <c r="G4912" s="65">
        <v>0</v>
      </c>
      <c r="H4912" s="591" t="s">
        <v>280</v>
      </c>
      <c r="I4912" s="591" t="s">
        <v>280</v>
      </c>
    </row>
    <row r="4913" spans="1:9">
      <c r="A4913" s="577"/>
      <c r="B4913" s="65">
        <v>5111</v>
      </c>
      <c r="C4913" s="579" t="s">
        <v>281</v>
      </c>
      <c r="D4913" s="579"/>
      <c r="E4913" s="583"/>
      <c r="F4913" s="596"/>
      <c r="G4913" s="65">
        <v>0</v>
      </c>
      <c r="H4913" s="591" t="s">
        <v>280</v>
      </c>
      <c r="I4913" s="591" t="s">
        <v>280</v>
      </c>
    </row>
    <row r="4914" spans="1:9">
      <c r="A4914" s="577"/>
      <c r="B4914" s="65">
        <v>5112</v>
      </c>
      <c r="C4914" s="579" t="s">
        <v>281</v>
      </c>
      <c r="D4914" s="579"/>
      <c r="E4914" s="583"/>
      <c r="F4914" s="596"/>
      <c r="G4914" s="65">
        <v>0</v>
      </c>
      <c r="H4914" s="591" t="s">
        <v>280</v>
      </c>
      <c r="I4914" s="591" t="s">
        <v>280</v>
      </c>
    </row>
    <row r="4915" spans="1:9">
      <c r="A4915" s="577"/>
      <c r="B4915" s="65">
        <v>5113</v>
      </c>
      <c r="C4915" s="579" t="s">
        <v>281</v>
      </c>
      <c r="D4915" s="579"/>
      <c r="E4915" s="583"/>
      <c r="F4915" s="596"/>
      <c r="G4915" s="65">
        <v>0</v>
      </c>
      <c r="H4915" s="591" t="s">
        <v>280</v>
      </c>
      <c r="I4915" s="591" t="s">
        <v>280</v>
      </c>
    </row>
    <row r="4916" spans="1:9">
      <c r="A4916" s="577"/>
      <c r="B4916" s="65">
        <v>5114</v>
      </c>
      <c r="C4916" s="579" t="s">
        <v>281</v>
      </c>
      <c r="D4916" s="579"/>
      <c r="E4916" s="583"/>
      <c r="F4916" s="596"/>
      <c r="G4916" s="65">
        <v>0</v>
      </c>
      <c r="H4916" s="591" t="s">
        <v>280</v>
      </c>
      <c r="I4916" s="591" t="s">
        <v>280</v>
      </c>
    </row>
    <row r="4917" spans="1:9">
      <c r="A4917" s="577"/>
      <c r="B4917" s="65">
        <v>5115</v>
      </c>
      <c r="C4917" s="579" t="s">
        <v>281</v>
      </c>
      <c r="D4917" s="579"/>
      <c r="E4917" s="583"/>
      <c r="F4917" s="596"/>
      <c r="G4917" s="65">
        <v>0</v>
      </c>
      <c r="H4917" s="591" t="s">
        <v>280</v>
      </c>
      <c r="I4917" s="591" t="s">
        <v>280</v>
      </c>
    </row>
    <row r="4918" spans="1:9">
      <c r="A4918" s="577"/>
      <c r="B4918" s="65">
        <v>5116</v>
      </c>
      <c r="C4918" s="579" t="s">
        <v>281</v>
      </c>
      <c r="D4918" s="579"/>
      <c r="E4918" s="583"/>
      <c r="F4918" s="596"/>
      <c r="G4918" s="65">
        <v>0</v>
      </c>
      <c r="H4918" s="591" t="s">
        <v>280</v>
      </c>
      <c r="I4918" s="591" t="s">
        <v>280</v>
      </c>
    </row>
    <row r="4919" spans="1:9">
      <c r="A4919" s="577"/>
      <c r="B4919" s="65">
        <v>5117</v>
      </c>
      <c r="C4919" s="579" t="s">
        <v>281</v>
      </c>
      <c r="D4919" s="579"/>
      <c r="E4919" s="583"/>
      <c r="F4919" s="596"/>
      <c r="G4919" s="65">
        <v>0</v>
      </c>
      <c r="H4919" s="591" t="s">
        <v>280</v>
      </c>
      <c r="I4919" s="591" t="s">
        <v>280</v>
      </c>
    </row>
    <row r="4920" spans="1:9">
      <c r="A4920" s="577"/>
      <c r="B4920" s="65">
        <v>5118</v>
      </c>
      <c r="C4920" s="579" t="s">
        <v>281</v>
      </c>
      <c r="D4920" s="579"/>
      <c r="E4920" s="583"/>
      <c r="F4920" s="596"/>
      <c r="G4920" s="65">
        <v>0</v>
      </c>
      <c r="H4920" s="591" t="s">
        <v>280</v>
      </c>
      <c r="I4920" s="591" t="s">
        <v>280</v>
      </c>
    </row>
    <row r="4921" spans="1:9">
      <c r="A4921" s="577"/>
      <c r="B4921" s="65">
        <v>5119</v>
      </c>
      <c r="C4921" s="579" t="s">
        <v>281</v>
      </c>
      <c r="D4921" s="579"/>
      <c r="E4921" s="583"/>
      <c r="F4921" s="596"/>
      <c r="G4921" s="65">
        <v>0</v>
      </c>
      <c r="H4921" s="591" t="s">
        <v>280</v>
      </c>
      <c r="I4921" s="591" t="s">
        <v>280</v>
      </c>
    </row>
    <row r="4922" spans="1:9">
      <c r="A4922" s="577"/>
      <c r="B4922" s="65">
        <v>5120</v>
      </c>
      <c r="C4922" s="579" t="s">
        <v>281</v>
      </c>
      <c r="D4922" s="579"/>
      <c r="E4922" s="583"/>
      <c r="F4922" s="596"/>
      <c r="G4922" s="65">
        <v>0</v>
      </c>
      <c r="H4922" s="591" t="s">
        <v>280</v>
      </c>
      <c r="I4922" s="591" t="s">
        <v>280</v>
      </c>
    </row>
    <row r="4923" spans="1:9">
      <c r="A4923" s="577"/>
      <c r="B4923" s="65">
        <v>5121</v>
      </c>
      <c r="C4923" s="579" t="s">
        <v>281</v>
      </c>
      <c r="D4923" s="579"/>
      <c r="E4923" s="583"/>
      <c r="F4923" s="596"/>
      <c r="G4923" s="65">
        <v>0</v>
      </c>
      <c r="H4923" s="591" t="s">
        <v>280</v>
      </c>
      <c r="I4923" s="591" t="s">
        <v>280</v>
      </c>
    </row>
    <row r="4924" spans="1:9">
      <c r="A4924" s="577"/>
      <c r="B4924" s="65">
        <v>5122</v>
      </c>
      <c r="C4924" s="579" t="s">
        <v>281</v>
      </c>
      <c r="D4924" s="579"/>
      <c r="E4924" s="583"/>
      <c r="F4924" s="596"/>
      <c r="G4924" s="65">
        <v>0</v>
      </c>
      <c r="H4924" s="591" t="s">
        <v>280</v>
      </c>
      <c r="I4924" s="591" t="s">
        <v>280</v>
      </c>
    </row>
    <row r="4925" spans="1:9">
      <c r="A4925" s="577"/>
      <c r="B4925" s="65">
        <v>5123</v>
      </c>
      <c r="C4925" s="579" t="s">
        <v>281</v>
      </c>
      <c r="D4925" s="579"/>
      <c r="E4925" s="583"/>
      <c r="F4925" s="596"/>
      <c r="G4925" s="65">
        <v>0</v>
      </c>
      <c r="H4925" s="591" t="s">
        <v>280</v>
      </c>
      <c r="I4925" s="591" t="s">
        <v>280</v>
      </c>
    </row>
    <row r="4926" spans="1:9">
      <c r="A4926" s="577"/>
      <c r="B4926" s="65">
        <v>5124</v>
      </c>
      <c r="C4926" s="579" t="s">
        <v>281</v>
      </c>
      <c r="D4926" s="579"/>
      <c r="E4926" s="583"/>
      <c r="F4926" s="596"/>
      <c r="G4926" s="65">
        <v>0</v>
      </c>
      <c r="H4926" s="591" t="s">
        <v>280</v>
      </c>
      <c r="I4926" s="591" t="s">
        <v>280</v>
      </c>
    </row>
    <row r="4927" spans="1:9">
      <c r="A4927" s="577"/>
      <c r="B4927" s="65">
        <v>5125</v>
      </c>
      <c r="C4927" s="579" t="s">
        <v>281</v>
      </c>
      <c r="D4927" s="579"/>
      <c r="E4927" s="583"/>
      <c r="F4927" s="596"/>
      <c r="G4927" s="65">
        <v>0</v>
      </c>
      <c r="H4927" s="591" t="s">
        <v>280</v>
      </c>
      <c r="I4927" s="591" t="s">
        <v>280</v>
      </c>
    </row>
    <row r="4928" spans="1:9">
      <c r="A4928" s="577"/>
      <c r="B4928" s="65">
        <v>5126</v>
      </c>
      <c r="C4928" s="579" t="s">
        <v>281</v>
      </c>
      <c r="D4928" s="579"/>
      <c r="E4928" s="583"/>
      <c r="F4928" s="596"/>
      <c r="G4928" s="65">
        <v>0</v>
      </c>
      <c r="H4928" s="591" t="s">
        <v>280</v>
      </c>
      <c r="I4928" s="591" t="s">
        <v>280</v>
      </c>
    </row>
    <row r="4929" spans="1:9">
      <c r="A4929" s="577"/>
      <c r="B4929" s="65">
        <v>5127</v>
      </c>
      <c r="C4929" s="579" t="s">
        <v>281</v>
      </c>
      <c r="D4929" s="579"/>
      <c r="E4929" s="583"/>
      <c r="F4929" s="596"/>
      <c r="G4929" s="65">
        <v>0</v>
      </c>
      <c r="H4929" s="591" t="s">
        <v>280</v>
      </c>
      <c r="I4929" s="591" t="s">
        <v>280</v>
      </c>
    </row>
    <row r="4930" spans="1:9">
      <c r="A4930" s="577"/>
      <c r="B4930" s="65">
        <v>5128</v>
      </c>
      <c r="C4930" s="579" t="s">
        <v>281</v>
      </c>
      <c r="D4930" s="579"/>
      <c r="E4930" s="583"/>
      <c r="F4930" s="596"/>
      <c r="G4930" s="65">
        <v>0</v>
      </c>
      <c r="H4930" s="591" t="s">
        <v>280</v>
      </c>
      <c r="I4930" s="591" t="s">
        <v>280</v>
      </c>
    </row>
    <row r="4931" spans="1:9">
      <c r="A4931" s="577"/>
      <c r="B4931" s="65">
        <v>5129</v>
      </c>
      <c r="C4931" s="579" t="s">
        <v>281</v>
      </c>
      <c r="D4931" s="579"/>
      <c r="E4931" s="583"/>
      <c r="F4931" s="596"/>
      <c r="G4931" s="65">
        <v>0</v>
      </c>
      <c r="H4931" s="591" t="s">
        <v>280</v>
      </c>
      <c r="I4931" s="591" t="s">
        <v>280</v>
      </c>
    </row>
    <row r="4932" spans="1:9">
      <c r="A4932" s="577"/>
      <c r="B4932" s="65">
        <v>5130</v>
      </c>
      <c r="C4932" s="579" t="s">
        <v>281</v>
      </c>
      <c r="D4932" s="579"/>
      <c r="E4932" s="583"/>
      <c r="F4932" s="596"/>
      <c r="G4932" s="65">
        <v>0</v>
      </c>
      <c r="H4932" s="591" t="s">
        <v>280</v>
      </c>
      <c r="I4932" s="591" t="s">
        <v>280</v>
      </c>
    </row>
    <row r="4933" spans="1:9">
      <c r="A4933" s="577"/>
      <c r="B4933" s="65">
        <v>5131</v>
      </c>
      <c r="C4933" s="579" t="s">
        <v>281</v>
      </c>
      <c r="D4933" s="579"/>
      <c r="E4933" s="583"/>
      <c r="F4933" s="596"/>
      <c r="G4933" s="65">
        <v>0</v>
      </c>
      <c r="H4933" s="591" t="s">
        <v>280</v>
      </c>
      <c r="I4933" s="591" t="s">
        <v>280</v>
      </c>
    </row>
    <row r="4934" spans="1:9">
      <c r="A4934" s="577"/>
      <c r="B4934" s="65">
        <v>5132</v>
      </c>
      <c r="C4934" s="579" t="s">
        <v>281</v>
      </c>
      <c r="D4934" s="579"/>
      <c r="E4934" s="583"/>
      <c r="F4934" s="596"/>
      <c r="G4934" s="65">
        <v>0</v>
      </c>
      <c r="H4934" s="591" t="s">
        <v>280</v>
      </c>
      <c r="I4934" s="591" t="s">
        <v>280</v>
      </c>
    </row>
    <row r="4935" spans="1:9">
      <c r="A4935" s="577"/>
      <c r="B4935" s="65">
        <v>5133</v>
      </c>
      <c r="C4935" s="579" t="s">
        <v>281</v>
      </c>
      <c r="D4935" s="579"/>
      <c r="E4935" s="583"/>
      <c r="F4935" s="596"/>
      <c r="G4935" s="65">
        <v>0</v>
      </c>
      <c r="H4935" s="591" t="s">
        <v>280</v>
      </c>
      <c r="I4935" s="591" t="s">
        <v>280</v>
      </c>
    </row>
    <row r="4936" spans="1:9">
      <c r="A4936" s="577"/>
      <c r="B4936" s="65">
        <v>5134</v>
      </c>
      <c r="C4936" s="579" t="s">
        <v>281</v>
      </c>
      <c r="D4936" s="579"/>
      <c r="E4936" s="583"/>
      <c r="F4936" s="596"/>
      <c r="G4936" s="65">
        <v>0</v>
      </c>
      <c r="H4936" s="591" t="s">
        <v>280</v>
      </c>
      <c r="I4936" s="591" t="s">
        <v>280</v>
      </c>
    </row>
    <row r="4937" spans="1:9">
      <c r="A4937" s="577"/>
      <c r="B4937" s="65">
        <v>5135</v>
      </c>
      <c r="C4937" s="579" t="s">
        <v>281</v>
      </c>
      <c r="D4937" s="579"/>
      <c r="E4937" s="583"/>
      <c r="F4937" s="596"/>
      <c r="G4937" s="65">
        <v>0</v>
      </c>
      <c r="H4937" s="591" t="s">
        <v>280</v>
      </c>
      <c r="I4937" s="591" t="s">
        <v>280</v>
      </c>
    </row>
    <row r="4938" spans="1:9">
      <c r="A4938" s="577"/>
      <c r="B4938" s="65">
        <v>5136</v>
      </c>
      <c r="C4938" s="579" t="s">
        <v>281</v>
      </c>
      <c r="D4938" s="579"/>
      <c r="E4938" s="583"/>
      <c r="F4938" s="596"/>
      <c r="G4938" s="65">
        <v>0</v>
      </c>
      <c r="H4938" s="591" t="s">
        <v>280</v>
      </c>
      <c r="I4938" s="591" t="s">
        <v>280</v>
      </c>
    </row>
    <row r="4939" spans="1:9">
      <c r="A4939" s="577"/>
      <c r="B4939" s="65">
        <v>5137</v>
      </c>
      <c r="C4939" s="579" t="s">
        <v>281</v>
      </c>
      <c r="D4939" s="579"/>
      <c r="E4939" s="583"/>
      <c r="F4939" s="596"/>
      <c r="G4939" s="65">
        <v>0</v>
      </c>
      <c r="H4939" s="591" t="s">
        <v>280</v>
      </c>
      <c r="I4939" s="591" t="s">
        <v>280</v>
      </c>
    </row>
    <row r="4940" spans="1:9">
      <c r="A4940" s="577"/>
      <c r="B4940" s="65">
        <v>5138</v>
      </c>
      <c r="C4940" s="579" t="s">
        <v>281</v>
      </c>
      <c r="D4940" s="579"/>
      <c r="E4940" s="583"/>
      <c r="F4940" s="596"/>
      <c r="G4940" s="65">
        <v>0</v>
      </c>
      <c r="H4940" s="591" t="s">
        <v>280</v>
      </c>
      <c r="I4940" s="591" t="s">
        <v>280</v>
      </c>
    </row>
    <row r="4941" spans="1:9">
      <c r="A4941" s="577"/>
      <c r="B4941" s="65">
        <v>5139</v>
      </c>
      <c r="C4941" s="579" t="s">
        <v>281</v>
      </c>
      <c r="D4941" s="579"/>
      <c r="E4941" s="583"/>
      <c r="F4941" s="596"/>
      <c r="G4941" s="65">
        <v>0</v>
      </c>
      <c r="H4941" s="591" t="s">
        <v>280</v>
      </c>
      <c r="I4941" s="591" t="s">
        <v>280</v>
      </c>
    </row>
    <row r="4942" spans="1:9">
      <c r="A4942" s="577"/>
      <c r="B4942" s="65">
        <v>5140</v>
      </c>
      <c r="C4942" s="579" t="s">
        <v>281</v>
      </c>
      <c r="D4942" s="579"/>
      <c r="E4942" s="583"/>
      <c r="F4942" s="596"/>
      <c r="G4942" s="65">
        <v>0</v>
      </c>
      <c r="H4942" s="591" t="s">
        <v>280</v>
      </c>
      <c r="I4942" s="591" t="s">
        <v>280</v>
      </c>
    </row>
    <row r="4943" spans="1:9">
      <c r="A4943" s="577"/>
      <c r="B4943" s="65">
        <v>5141</v>
      </c>
      <c r="C4943" s="579" t="s">
        <v>281</v>
      </c>
      <c r="D4943" s="579"/>
      <c r="E4943" s="583"/>
      <c r="F4943" s="596"/>
      <c r="G4943" s="65">
        <v>0</v>
      </c>
      <c r="H4943" s="591" t="s">
        <v>280</v>
      </c>
      <c r="I4943" s="591" t="s">
        <v>280</v>
      </c>
    </row>
    <row r="4944" spans="1:9">
      <c r="A4944" s="577"/>
      <c r="B4944" s="65">
        <v>5142</v>
      </c>
      <c r="C4944" s="579" t="s">
        <v>281</v>
      </c>
      <c r="D4944" s="579"/>
      <c r="E4944" s="583"/>
      <c r="F4944" s="596"/>
      <c r="G4944" s="65">
        <v>0</v>
      </c>
      <c r="H4944" s="591" t="s">
        <v>280</v>
      </c>
      <c r="I4944" s="591" t="s">
        <v>280</v>
      </c>
    </row>
    <row r="4945" spans="1:9">
      <c r="A4945" s="577"/>
      <c r="B4945" s="65">
        <v>5143</v>
      </c>
      <c r="C4945" s="579" t="s">
        <v>281</v>
      </c>
      <c r="D4945" s="579"/>
      <c r="E4945" s="583"/>
      <c r="F4945" s="596"/>
      <c r="G4945" s="65">
        <v>0</v>
      </c>
      <c r="H4945" s="591" t="s">
        <v>280</v>
      </c>
      <c r="I4945" s="591" t="s">
        <v>280</v>
      </c>
    </row>
    <row r="4946" spans="1:9">
      <c r="A4946" s="577"/>
      <c r="B4946" s="65">
        <v>5144</v>
      </c>
      <c r="C4946" s="579" t="s">
        <v>281</v>
      </c>
      <c r="D4946" s="579"/>
      <c r="E4946" s="583"/>
      <c r="F4946" s="596"/>
      <c r="G4946" s="65">
        <v>0</v>
      </c>
      <c r="H4946" s="591" t="s">
        <v>280</v>
      </c>
      <c r="I4946" s="591" t="s">
        <v>280</v>
      </c>
    </row>
    <row r="4947" spans="1:9">
      <c r="A4947" s="577"/>
      <c r="B4947" s="65">
        <v>5145</v>
      </c>
      <c r="C4947" s="579" t="s">
        <v>281</v>
      </c>
      <c r="D4947" s="579"/>
      <c r="E4947" s="583"/>
      <c r="F4947" s="596"/>
      <c r="G4947" s="65">
        <v>0</v>
      </c>
      <c r="H4947" s="591" t="s">
        <v>280</v>
      </c>
      <c r="I4947" s="591" t="s">
        <v>280</v>
      </c>
    </row>
    <row r="4948" spans="1:9">
      <c r="A4948" s="577"/>
      <c r="B4948" s="65">
        <v>5146</v>
      </c>
      <c r="C4948" s="579" t="s">
        <v>281</v>
      </c>
      <c r="D4948" s="579"/>
      <c r="E4948" s="583"/>
      <c r="F4948" s="596"/>
      <c r="G4948" s="65">
        <v>0</v>
      </c>
      <c r="H4948" s="591" t="s">
        <v>280</v>
      </c>
      <c r="I4948" s="591" t="s">
        <v>280</v>
      </c>
    </row>
    <row r="4949" spans="1:9">
      <c r="A4949" s="577"/>
      <c r="B4949" s="65">
        <v>5147</v>
      </c>
      <c r="C4949" s="579" t="s">
        <v>281</v>
      </c>
      <c r="D4949" s="579"/>
      <c r="E4949" s="583"/>
      <c r="F4949" s="596"/>
      <c r="G4949" s="65">
        <v>0</v>
      </c>
      <c r="H4949" s="591" t="s">
        <v>280</v>
      </c>
      <c r="I4949" s="591" t="s">
        <v>280</v>
      </c>
    </row>
    <row r="4950" spans="1:9">
      <c r="A4950" s="577"/>
      <c r="B4950" s="65">
        <v>5148</v>
      </c>
      <c r="C4950" s="579" t="s">
        <v>281</v>
      </c>
      <c r="D4950" s="579"/>
      <c r="E4950" s="583"/>
      <c r="F4950" s="596"/>
      <c r="G4950" s="65">
        <v>0</v>
      </c>
      <c r="H4950" s="591" t="s">
        <v>280</v>
      </c>
      <c r="I4950" s="591" t="s">
        <v>280</v>
      </c>
    </row>
    <row r="4951" spans="1:9">
      <c r="A4951" s="577"/>
      <c r="B4951" s="65">
        <v>5149</v>
      </c>
      <c r="C4951" s="579" t="s">
        <v>281</v>
      </c>
      <c r="D4951" s="579"/>
      <c r="E4951" s="583"/>
      <c r="F4951" s="596"/>
      <c r="G4951" s="65">
        <v>0</v>
      </c>
      <c r="H4951" s="591" t="s">
        <v>280</v>
      </c>
      <c r="I4951" s="591" t="s">
        <v>280</v>
      </c>
    </row>
    <row r="4952" spans="1:9">
      <c r="A4952" s="577"/>
      <c r="B4952" s="65">
        <v>5150</v>
      </c>
      <c r="C4952" s="579" t="s">
        <v>281</v>
      </c>
      <c r="D4952" s="579"/>
      <c r="E4952" s="583"/>
      <c r="F4952" s="596"/>
      <c r="G4952" s="65">
        <v>0</v>
      </c>
      <c r="H4952" s="591" t="s">
        <v>280</v>
      </c>
      <c r="I4952" s="591" t="s">
        <v>280</v>
      </c>
    </row>
    <row r="4953" spans="1:9">
      <c r="A4953" s="577"/>
      <c r="B4953" s="65">
        <v>5151</v>
      </c>
      <c r="C4953" s="579" t="s">
        <v>281</v>
      </c>
      <c r="D4953" s="579"/>
      <c r="E4953" s="583"/>
      <c r="F4953" s="596"/>
      <c r="G4953" s="65">
        <v>0</v>
      </c>
      <c r="H4953" s="591" t="s">
        <v>280</v>
      </c>
      <c r="I4953" s="591" t="s">
        <v>280</v>
      </c>
    </row>
    <row r="4954" spans="1:9">
      <c r="A4954" s="577"/>
      <c r="B4954" s="65">
        <v>5152</v>
      </c>
      <c r="C4954" s="579" t="s">
        <v>281</v>
      </c>
      <c r="D4954" s="579"/>
      <c r="E4954" s="583"/>
      <c r="F4954" s="596"/>
      <c r="G4954" s="65">
        <v>0</v>
      </c>
      <c r="H4954" s="591" t="s">
        <v>280</v>
      </c>
      <c r="I4954" s="591" t="s">
        <v>280</v>
      </c>
    </row>
    <row r="4955" spans="1:9">
      <c r="A4955" s="577"/>
      <c r="B4955" s="65">
        <v>5153</v>
      </c>
      <c r="C4955" s="579" t="s">
        <v>281</v>
      </c>
      <c r="D4955" s="579"/>
      <c r="E4955" s="583"/>
      <c r="F4955" s="596"/>
      <c r="G4955" s="65">
        <v>0</v>
      </c>
      <c r="H4955" s="591" t="s">
        <v>280</v>
      </c>
      <c r="I4955" s="591" t="s">
        <v>280</v>
      </c>
    </row>
    <row r="4956" spans="1:9">
      <c r="A4956" s="577"/>
      <c r="B4956" s="65">
        <v>5154</v>
      </c>
      <c r="C4956" s="579" t="s">
        <v>281</v>
      </c>
      <c r="D4956" s="579"/>
      <c r="E4956" s="583"/>
      <c r="F4956" s="596"/>
      <c r="G4956" s="65">
        <v>0</v>
      </c>
      <c r="H4956" s="591" t="s">
        <v>280</v>
      </c>
      <c r="I4956" s="591" t="s">
        <v>280</v>
      </c>
    </row>
    <row r="4957" spans="1:9">
      <c r="A4957" s="577"/>
      <c r="B4957" s="65">
        <v>5155</v>
      </c>
      <c r="C4957" s="579" t="s">
        <v>281</v>
      </c>
      <c r="D4957" s="579"/>
      <c r="E4957" s="583"/>
      <c r="F4957" s="596"/>
      <c r="G4957" s="65">
        <v>0</v>
      </c>
      <c r="H4957" s="591" t="s">
        <v>280</v>
      </c>
      <c r="I4957" s="591" t="s">
        <v>280</v>
      </c>
    </row>
    <row r="4958" spans="1:9">
      <c r="A4958" s="577"/>
      <c r="B4958" s="65">
        <v>5156</v>
      </c>
      <c r="C4958" s="579" t="s">
        <v>281</v>
      </c>
      <c r="D4958" s="579"/>
      <c r="E4958" s="583"/>
      <c r="F4958" s="596"/>
      <c r="G4958" s="65">
        <v>0</v>
      </c>
      <c r="H4958" s="591" t="s">
        <v>280</v>
      </c>
      <c r="I4958" s="591" t="s">
        <v>280</v>
      </c>
    </row>
    <row r="4959" spans="1:9">
      <c r="A4959" s="577"/>
      <c r="B4959" s="65">
        <v>5157</v>
      </c>
      <c r="C4959" s="579" t="s">
        <v>281</v>
      </c>
      <c r="D4959" s="579"/>
      <c r="E4959" s="583"/>
      <c r="F4959" s="596"/>
      <c r="G4959" s="65">
        <v>0</v>
      </c>
      <c r="H4959" s="591" t="s">
        <v>280</v>
      </c>
      <c r="I4959" s="591" t="s">
        <v>280</v>
      </c>
    </row>
    <row r="4960" spans="1:9">
      <c r="A4960" s="577"/>
      <c r="B4960" s="65">
        <v>5158</v>
      </c>
      <c r="C4960" s="579" t="s">
        <v>281</v>
      </c>
      <c r="D4960" s="579"/>
      <c r="E4960" s="583"/>
      <c r="F4960" s="596"/>
      <c r="G4960" s="65">
        <v>0</v>
      </c>
      <c r="H4960" s="591" t="s">
        <v>280</v>
      </c>
      <c r="I4960" s="591" t="s">
        <v>280</v>
      </c>
    </row>
    <row r="4961" spans="1:9">
      <c r="A4961" s="577"/>
      <c r="B4961" s="65">
        <v>5159</v>
      </c>
      <c r="C4961" s="579" t="s">
        <v>281</v>
      </c>
      <c r="D4961" s="579"/>
      <c r="E4961" s="583"/>
      <c r="F4961" s="596"/>
      <c r="G4961" s="65">
        <v>0</v>
      </c>
      <c r="H4961" s="591" t="s">
        <v>280</v>
      </c>
      <c r="I4961" s="591" t="s">
        <v>280</v>
      </c>
    </row>
    <row r="4962" spans="1:9">
      <c r="A4962" s="577"/>
      <c r="B4962" s="65">
        <v>5160</v>
      </c>
      <c r="C4962" s="579" t="s">
        <v>281</v>
      </c>
      <c r="D4962" s="579"/>
      <c r="E4962" s="583"/>
      <c r="F4962" s="596"/>
      <c r="G4962" s="65">
        <v>0</v>
      </c>
      <c r="H4962" s="591" t="s">
        <v>280</v>
      </c>
      <c r="I4962" s="591" t="s">
        <v>280</v>
      </c>
    </row>
    <row r="4963" spans="1:9">
      <c r="A4963" s="577"/>
      <c r="B4963" s="65">
        <v>5161</v>
      </c>
      <c r="C4963" s="579" t="s">
        <v>281</v>
      </c>
      <c r="D4963" s="579"/>
      <c r="E4963" s="583"/>
      <c r="F4963" s="596"/>
      <c r="G4963" s="65">
        <v>0</v>
      </c>
      <c r="H4963" s="591" t="s">
        <v>280</v>
      </c>
      <c r="I4963" s="591" t="s">
        <v>280</v>
      </c>
    </row>
    <row r="4964" spans="1:9">
      <c r="A4964" s="577"/>
      <c r="B4964" s="65">
        <v>5162</v>
      </c>
      <c r="C4964" s="579" t="s">
        <v>281</v>
      </c>
      <c r="D4964" s="579"/>
      <c r="E4964" s="583"/>
      <c r="F4964" s="596"/>
      <c r="G4964" s="65">
        <v>0</v>
      </c>
      <c r="H4964" s="591" t="s">
        <v>280</v>
      </c>
      <c r="I4964" s="591" t="s">
        <v>280</v>
      </c>
    </row>
    <row r="4965" spans="1:9">
      <c r="A4965" s="577"/>
      <c r="B4965" s="65">
        <v>5163</v>
      </c>
      <c r="C4965" s="579" t="s">
        <v>281</v>
      </c>
      <c r="D4965" s="579"/>
      <c r="E4965" s="583"/>
      <c r="F4965" s="596"/>
      <c r="G4965" s="65">
        <v>0</v>
      </c>
      <c r="H4965" s="591" t="s">
        <v>280</v>
      </c>
      <c r="I4965" s="591" t="s">
        <v>280</v>
      </c>
    </row>
    <row r="4966" spans="1:9">
      <c r="A4966" s="577"/>
      <c r="B4966" s="65">
        <v>5164</v>
      </c>
      <c r="C4966" s="579" t="s">
        <v>281</v>
      </c>
      <c r="D4966" s="579"/>
      <c r="E4966" s="583"/>
      <c r="F4966" s="596"/>
      <c r="G4966" s="65">
        <v>0</v>
      </c>
      <c r="H4966" s="591" t="s">
        <v>280</v>
      </c>
      <c r="I4966" s="591" t="s">
        <v>280</v>
      </c>
    </row>
    <row r="4967" spans="1:9">
      <c r="A4967" s="577"/>
      <c r="B4967" s="65">
        <v>5165</v>
      </c>
      <c r="C4967" s="579" t="s">
        <v>281</v>
      </c>
      <c r="D4967" s="579"/>
      <c r="E4967" s="583"/>
      <c r="F4967" s="596"/>
      <c r="G4967" s="65">
        <v>0</v>
      </c>
      <c r="H4967" s="591" t="s">
        <v>280</v>
      </c>
      <c r="I4967" s="591" t="s">
        <v>280</v>
      </c>
    </row>
    <row r="4968" spans="1:9">
      <c r="A4968" s="577"/>
      <c r="B4968" s="65">
        <v>5166</v>
      </c>
      <c r="C4968" s="579" t="s">
        <v>281</v>
      </c>
      <c r="D4968" s="579"/>
      <c r="E4968" s="583"/>
      <c r="F4968" s="596"/>
      <c r="G4968" s="65">
        <v>0</v>
      </c>
      <c r="H4968" s="591" t="s">
        <v>280</v>
      </c>
      <c r="I4968" s="591" t="s">
        <v>280</v>
      </c>
    </row>
    <row r="4969" spans="1:9">
      <c r="A4969" s="577"/>
      <c r="B4969" s="65">
        <v>5167</v>
      </c>
      <c r="C4969" s="579" t="s">
        <v>281</v>
      </c>
      <c r="D4969" s="579"/>
      <c r="E4969" s="583"/>
      <c r="F4969" s="596"/>
      <c r="G4969" s="65">
        <v>0</v>
      </c>
      <c r="H4969" s="591" t="s">
        <v>280</v>
      </c>
      <c r="I4969" s="591" t="s">
        <v>280</v>
      </c>
    </row>
    <row r="4970" spans="1:9">
      <c r="A4970" s="577"/>
      <c r="B4970" s="65">
        <v>5168</v>
      </c>
      <c r="C4970" s="579" t="s">
        <v>281</v>
      </c>
      <c r="D4970" s="579"/>
      <c r="E4970" s="583"/>
      <c r="F4970" s="596"/>
      <c r="G4970" s="65">
        <v>0</v>
      </c>
      <c r="H4970" s="591" t="s">
        <v>280</v>
      </c>
      <c r="I4970" s="591" t="s">
        <v>280</v>
      </c>
    </row>
    <row r="4971" spans="1:9">
      <c r="A4971" s="577"/>
      <c r="B4971" s="65">
        <v>5169</v>
      </c>
      <c r="C4971" s="579" t="s">
        <v>281</v>
      </c>
      <c r="D4971" s="579"/>
      <c r="E4971" s="583"/>
      <c r="F4971" s="596"/>
      <c r="G4971" s="65">
        <v>0</v>
      </c>
      <c r="H4971" s="591" t="s">
        <v>280</v>
      </c>
      <c r="I4971" s="591" t="s">
        <v>280</v>
      </c>
    </row>
    <row r="4972" spans="1:9">
      <c r="A4972" s="577"/>
      <c r="B4972" s="65">
        <v>5170</v>
      </c>
      <c r="C4972" s="579" t="s">
        <v>281</v>
      </c>
      <c r="D4972" s="579"/>
      <c r="E4972" s="583"/>
      <c r="F4972" s="596"/>
      <c r="G4972" s="65">
        <v>0</v>
      </c>
      <c r="H4972" s="591" t="s">
        <v>280</v>
      </c>
      <c r="I4972" s="591" t="s">
        <v>280</v>
      </c>
    </row>
    <row r="4973" spans="1:9">
      <c r="A4973" s="577"/>
      <c r="B4973" s="65">
        <v>5171</v>
      </c>
      <c r="C4973" s="579" t="s">
        <v>281</v>
      </c>
      <c r="D4973" s="579"/>
      <c r="E4973" s="583"/>
      <c r="F4973" s="596"/>
      <c r="G4973" s="65">
        <v>0</v>
      </c>
      <c r="H4973" s="591" t="s">
        <v>280</v>
      </c>
      <c r="I4973" s="591" t="s">
        <v>280</v>
      </c>
    </row>
    <row r="4974" spans="1:9">
      <c r="A4974" s="577"/>
      <c r="B4974" s="65">
        <v>5172</v>
      </c>
      <c r="C4974" s="579" t="s">
        <v>281</v>
      </c>
      <c r="D4974" s="579"/>
      <c r="E4974" s="583"/>
      <c r="F4974" s="596"/>
      <c r="G4974" s="65">
        <v>0</v>
      </c>
      <c r="H4974" s="591" t="s">
        <v>280</v>
      </c>
      <c r="I4974" s="591" t="s">
        <v>280</v>
      </c>
    </row>
    <row r="4975" spans="1:9">
      <c r="A4975" s="577"/>
      <c r="B4975" s="65">
        <v>5173</v>
      </c>
      <c r="C4975" s="579" t="s">
        <v>281</v>
      </c>
      <c r="D4975" s="579"/>
      <c r="E4975" s="583"/>
      <c r="F4975" s="596"/>
      <c r="G4975" s="65">
        <v>0</v>
      </c>
      <c r="H4975" s="591" t="s">
        <v>280</v>
      </c>
      <c r="I4975" s="591" t="s">
        <v>280</v>
      </c>
    </row>
    <row r="4976" spans="1:9">
      <c r="A4976" s="577"/>
      <c r="B4976" s="65">
        <v>5174</v>
      </c>
      <c r="C4976" s="579" t="s">
        <v>281</v>
      </c>
      <c r="D4976" s="579"/>
      <c r="E4976" s="583"/>
      <c r="F4976" s="596"/>
      <c r="G4976" s="65">
        <v>0</v>
      </c>
      <c r="H4976" s="591" t="s">
        <v>280</v>
      </c>
      <c r="I4976" s="591" t="s">
        <v>280</v>
      </c>
    </row>
    <row r="4977" spans="1:9">
      <c r="A4977" s="577"/>
      <c r="B4977" s="65">
        <v>5175</v>
      </c>
      <c r="C4977" s="579" t="s">
        <v>281</v>
      </c>
      <c r="D4977" s="579"/>
      <c r="E4977" s="583"/>
      <c r="F4977" s="596"/>
      <c r="G4977" s="65">
        <v>0</v>
      </c>
      <c r="H4977" s="591" t="s">
        <v>280</v>
      </c>
      <c r="I4977" s="591" t="s">
        <v>280</v>
      </c>
    </row>
    <row r="4978" spans="1:9">
      <c r="A4978" s="577"/>
      <c r="B4978" s="65">
        <v>5176</v>
      </c>
      <c r="C4978" s="579" t="s">
        <v>281</v>
      </c>
      <c r="D4978" s="579"/>
      <c r="E4978" s="583"/>
      <c r="F4978" s="596"/>
      <c r="G4978" s="65">
        <v>0</v>
      </c>
      <c r="H4978" s="591" t="s">
        <v>280</v>
      </c>
      <c r="I4978" s="591" t="s">
        <v>280</v>
      </c>
    </row>
    <row r="4979" spans="1:9">
      <c r="A4979" s="577"/>
      <c r="B4979" s="65">
        <v>5177</v>
      </c>
      <c r="C4979" s="579" t="s">
        <v>281</v>
      </c>
      <c r="D4979" s="579"/>
      <c r="E4979" s="583"/>
      <c r="F4979" s="596"/>
      <c r="G4979" s="65">
        <v>0</v>
      </c>
      <c r="H4979" s="591" t="s">
        <v>280</v>
      </c>
      <c r="I4979" s="591" t="s">
        <v>280</v>
      </c>
    </row>
    <row r="4980" spans="1:9">
      <c r="A4980" s="577"/>
      <c r="B4980" s="65">
        <v>5178</v>
      </c>
      <c r="C4980" s="579" t="s">
        <v>281</v>
      </c>
      <c r="D4980" s="579"/>
      <c r="E4980" s="583"/>
      <c r="F4980" s="596"/>
      <c r="G4980" s="65">
        <v>0</v>
      </c>
      <c r="H4980" s="591" t="s">
        <v>280</v>
      </c>
      <c r="I4980" s="591" t="s">
        <v>280</v>
      </c>
    </row>
    <row r="4981" spans="1:9">
      <c r="A4981" s="577"/>
      <c r="B4981" s="65">
        <v>5179</v>
      </c>
      <c r="C4981" s="579" t="s">
        <v>281</v>
      </c>
      <c r="D4981" s="579"/>
      <c r="E4981" s="583"/>
      <c r="F4981" s="596"/>
      <c r="G4981" s="65">
        <v>0</v>
      </c>
      <c r="H4981" s="591" t="s">
        <v>280</v>
      </c>
      <c r="I4981" s="591" t="s">
        <v>280</v>
      </c>
    </row>
    <row r="4982" spans="1:9">
      <c r="A4982" s="577"/>
      <c r="B4982" s="65">
        <v>5180</v>
      </c>
      <c r="C4982" s="579" t="s">
        <v>281</v>
      </c>
      <c r="D4982" s="579"/>
      <c r="E4982" s="583"/>
      <c r="F4982" s="596"/>
      <c r="G4982" s="65">
        <v>0</v>
      </c>
      <c r="H4982" s="591" t="s">
        <v>280</v>
      </c>
      <c r="I4982" s="591" t="s">
        <v>280</v>
      </c>
    </row>
    <row r="4983" spans="1:9">
      <c r="A4983" s="577"/>
      <c r="B4983" s="65">
        <v>5181</v>
      </c>
      <c r="C4983" s="579" t="s">
        <v>281</v>
      </c>
      <c r="D4983" s="579"/>
      <c r="E4983" s="583"/>
      <c r="F4983" s="596"/>
      <c r="G4983" s="65">
        <v>0</v>
      </c>
      <c r="H4983" s="591" t="s">
        <v>280</v>
      </c>
      <c r="I4983" s="591" t="s">
        <v>280</v>
      </c>
    </row>
    <row r="4984" spans="1:9">
      <c r="A4984" s="577"/>
      <c r="B4984" s="65">
        <v>5182</v>
      </c>
      <c r="C4984" s="579" t="s">
        <v>281</v>
      </c>
      <c r="D4984" s="579"/>
      <c r="E4984" s="583"/>
      <c r="F4984" s="596"/>
      <c r="G4984" s="65">
        <v>0</v>
      </c>
      <c r="H4984" s="591" t="s">
        <v>280</v>
      </c>
      <c r="I4984" s="591" t="s">
        <v>280</v>
      </c>
    </row>
    <row r="4985" spans="1:9">
      <c r="A4985" s="577"/>
      <c r="B4985" s="65">
        <v>5183</v>
      </c>
      <c r="C4985" s="579" t="s">
        <v>281</v>
      </c>
      <c r="D4985" s="579"/>
      <c r="E4985" s="583"/>
      <c r="F4985" s="596"/>
      <c r="G4985" s="65">
        <v>0</v>
      </c>
      <c r="H4985" s="591" t="s">
        <v>280</v>
      </c>
      <c r="I4985" s="591" t="s">
        <v>280</v>
      </c>
    </row>
    <row r="4986" spans="1:9">
      <c r="A4986" s="577"/>
      <c r="B4986" s="65">
        <v>5184</v>
      </c>
      <c r="C4986" s="579" t="s">
        <v>281</v>
      </c>
      <c r="D4986" s="579"/>
      <c r="E4986" s="583"/>
      <c r="F4986" s="596"/>
      <c r="G4986" s="65">
        <v>0</v>
      </c>
      <c r="H4986" s="591" t="s">
        <v>280</v>
      </c>
      <c r="I4986" s="591" t="s">
        <v>280</v>
      </c>
    </row>
    <row r="4987" spans="1:9">
      <c r="A4987" s="577"/>
      <c r="B4987" s="65">
        <v>5185</v>
      </c>
      <c r="C4987" s="579" t="s">
        <v>281</v>
      </c>
      <c r="D4987" s="579"/>
      <c r="E4987" s="583"/>
      <c r="F4987" s="596"/>
      <c r="G4987" s="65">
        <v>0</v>
      </c>
      <c r="H4987" s="591" t="s">
        <v>280</v>
      </c>
      <c r="I4987" s="591" t="s">
        <v>280</v>
      </c>
    </row>
    <row r="4988" spans="1:9">
      <c r="A4988" s="577"/>
      <c r="B4988" s="65">
        <v>5186</v>
      </c>
      <c r="C4988" s="579" t="s">
        <v>281</v>
      </c>
      <c r="D4988" s="579"/>
      <c r="E4988" s="583"/>
      <c r="F4988" s="596"/>
      <c r="G4988" s="65">
        <v>0</v>
      </c>
      <c r="H4988" s="591" t="s">
        <v>280</v>
      </c>
      <c r="I4988" s="591" t="s">
        <v>280</v>
      </c>
    </row>
    <row r="4989" spans="1:9">
      <c r="A4989" s="577"/>
      <c r="B4989" s="65">
        <v>5187</v>
      </c>
      <c r="C4989" s="579" t="s">
        <v>281</v>
      </c>
      <c r="D4989" s="579"/>
      <c r="E4989" s="583"/>
      <c r="F4989" s="596"/>
      <c r="G4989" s="65">
        <v>0</v>
      </c>
      <c r="H4989" s="591" t="s">
        <v>280</v>
      </c>
      <c r="I4989" s="591" t="s">
        <v>280</v>
      </c>
    </row>
    <row r="4990" spans="1:9">
      <c r="A4990" s="577"/>
      <c r="B4990" s="65">
        <v>5188</v>
      </c>
      <c r="C4990" s="579" t="s">
        <v>281</v>
      </c>
      <c r="D4990" s="579"/>
      <c r="E4990" s="583"/>
      <c r="F4990" s="596"/>
      <c r="G4990" s="65">
        <v>0</v>
      </c>
      <c r="H4990" s="591" t="s">
        <v>280</v>
      </c>
      <c r="I4990" s="591" t="s">
        <v>280</v>
      </c>
    </row>
    <row r="4991" spans="1:9">
      <c r="A4991" s="577"/>
      <c r="B4991" s="65">
        <v>5189</v>
      </c>
      <c r="C4991" s="579" t="s">
        <v>281</v>
      </c>
      <c r="D4991" s="579"/>
      <c r="E4991" s="583"/>
      <c r="F4991" s="596"/>
      <c r="G4991" s="65">
        <v>0</v>
      </c>
      <c r="H4991" s="591" t="s">
        <v>280</v>
      </c>
      <c r="I4991" s="591" t="s">
        <v>280</v>
      </c>
    </row>
    <row r="4992" spans="1:9">
      <c r="A4992" s="577"/>
      <c r="B4992" s="65">
        <v>5190</v>
      </c>
      <c r="C4992" s="579" t="s">
        <v>281</v>
      </c>
      <c r="D4992" s="579"/>
      <c r="E4992" s="583"/>
      <c r="F4992" s="596"/>
      <c r="G4992" s="65">
        <v>0</v>
      </c>
      <c r="H4992" s="591" t="s">
        <v>280</v>
      </c>
      <c r="I4992" s="591" t="s">
        <v>280</v>
      </c>
    </row>
    <row r="4993" spans="1:9">
      <c r="A4993" s="577"/>
      <c r="B4993" s="65">
        <v>5191</v>
      </c>
      <c r="C4993" s="579" t="s">
        <v>281</v>
      </c>
      <c r="D4993" s="579"/>
      <c r="E4993" s="583"/>
      <c r="F4993" s="596"/>
      <c r="G4993" s="65">
        <v>0</v>
      </c>
      <c r="H4993" s="591" t="s">
        <v>280</v>
      </c>
      <c r="I4993" s="591" t="s">
        <v>280</v>
      </c>
    </row>
    <row r="4994" spans="1:9">
      <c r="A4994" s="577"/>
      <c r="B4994" s="65">
        <v>5192</v>
      </c>
      <c r="C4994" s="579" t="s">
        <v>281</v>
      </c>
      <c r="D4994" s="579"/>
      <c r="E4994" s="583"/>
      <c r="F4994" s="596"/>
      <c r="G4994" s="65">
        <v>0</v>
      </c>
      <c r="H4994" s="591" t="s">
        <v>280</v>
      </c>
      <c r="I4994" s="591" t="s">
        <v>280</v>
      </c>
    </row>
    <row r="4995" spans="1:9">
      <c r="A4995" s="577"/>
      <c r="B4995" s="65">
        <v>5193</v>
      </c>
      <c r="C4995" s="579" t="s">
        <v>281</v>
      </c>
      <c r="D4995" s="579"/>
      <c r="E4995" s="583"/>
      <c r="F4995" s="596"/>
      <c r="G4995" s="65">
        <v>0</v>
      </c>
      <c r="H4995" s="591" t="s">
        <v>280</v>
      </c>
      <c r="I4995" s="591" t="s">
        <v>280</v>
      </c>
    </row>
    <row r="4996" spans="1:9">
      <c r="A4996" s="577"/>
      <c r="B4996" s="65">
        <v>5194</v>
      </c>
      <c r="C4996" s="579" t="s">
        <v>281</v>
      </c>
      <c r="D4996" s="579"/>
      <c r="E4996" s="583"/>
      <c r="F4996" s="596"/>
      <c r="G4996" s="65">
        <v>0</v>
      </c>
      <c r="H4996" s="591" t="s">
        <v>280</v>
      </c>
      <c r="I4996" s="591" t="s">
        <v>280</v>
      </c>
    </row>
    <row r="4997" spans="1:9">
      <c r="A4997" s="577"/>
      <c r="B4997" s="65">
        <v>5195</v>
      </c>
      <c r="C4997" s="579" t="s">
        <v>281</v>
      </c>
      <c r="D4997" s="579"/>
      <c r="E4997" s="583"/>
      <c r="F4997" s="596"/>
      <c r="G4997" s="65">
        <v>0</v>
      </c>
      <c r="H4997" s="591" t="s">
        <v>280</v>
      </c>
      <c r="I4997" s="591" t="s">
        <v>280</v>
      </c>
    </row>
    <row r="4998" spans="1:9">
      <c r="A4998" s="577"/>
      <c r="B4998" s="65">
        <v>5196</v>
      </c>
      <c r="C4998" s="579" t="s">
        <v>281</v>
      </c>
      <c r="D4998" s="579"/>
      <c r="E4998" s="583"/>
      <c r="F4998" s="596"/>
      <c r="G4998" s="65">
        <v>0</v>
      </c>
      <c r="H4998" s="591" t="s">
        <v>280</v>
      </c>
      <c r="I4998" s="591" t="s">
        <v>280</v>
      </c>
    </row>
    <row r="4999" spans="1:9">
      <c r="A4999" s="577"/>
      <c r="B4999" s="65">
        <v>5197</v>
      </c>
      <c r="C4999" s="579" t="s">
        <v>281</v>
      </c>
      <c r="D4999" s="579"/>
      <c r="E4999" s="583"/>
      <c r="F4999" s="596"/>
      <c r="G4999" s="65">
        <v>0</v>
      </c>
      <c r="H4999" s="591" t="s">
        <v>280</v>
      </c>
      <c r="I4999" s="591" t="s">
        <v>280</v>
      </c>
    </row>
    <row r="5000" spans="1:9">
      <c r="A5000" s="577"/>
      <c r="B5000" s="65">
        <v>5198</v>
      </c>
      <c r="C5000" s="579" t="s">
        <v>281</v>
      </c>
      <c r="D5000" s="579"/>
      <c r="E5000" s="583"/>
      <c r="F5000" s="596"/>
      <c r="G5000" s="65">
        <v>0</v>
      </c>
      <c r="H5000" s="591" t="s">
        <v>280</v>
      </c>
      <c r="I5000" s="591" t="s">
        <v>280</v>
      </c>
    </row>
    <row r="5001" spans="1:9">
      <c r="A5001" s="577"/>
      <c r="B5001" s="65">
        <v>5199</v>
      </c>
      <c r="C5001" s="579" t="s">
        <v>281</v>
      </c>
      <c r="D5001" s="579"/>
      <c r="E5001" s="583"/>
      <c r="F5001" s="596"/>
      <c r="G5001" s="65">
        <v>0</v>
      </c>
      <c r="H5001" s="591" t="s">
        <v>280</v>
      </c>
      <c r="I5001" s="591" t="s">
        <v>280</v>
      </c>
    </row>
    <row r="5002" spans="1:9">
      <c r="A5002" s="577"/>
      <c r="B5002" s="65">
        <v>5200</v>
      </c>
      <c r="C5002" s="579" t="s">
        <v>281</v>
      </c>
      <c r="D5002" s="579"/>
      <c r="E5002" s="583"/>
      <c r="F5002" s="596"/>
      <c r="G5002" s="65">
        <v>0</v>
      </c>
      <c r="H5002" s="591" t="s">
        <v>280</v>
      </c>
      <c r="I5002" s="591" t="s">
        <v>280</v>
      </c>
    </row>
    <row r="5003" spans="1:9">
      <c r="A5003" s="577"/>
      <c r="B5003" s="65">
        <v>5201</v>
      </c>
      <c r="C5003" s="579" t="s">
        <v>281</v>
      </c>
      <c r="D5003" s="579"/>
      <c r="E5003" s="583"/>
      <c r="F5003" s="596"/>
      <c r="G5003" s="65">
        <v>0</v>
      </c>
      <c r="H5003" s="591" t="s">
        <v>280</v>
      </c>
      <c r="I5003" s="591" t="s">
        <v>280</v>
      </c>
    </row>
    <row r="5004" spans="1:9">
      <c r="A5004" s="577"/>
      <c r="B5004" s="65">
        <v>5202</v>
      </c>
      <c r="C5004" s="579" t="s">
        <v>281</v>
      </c>
      <c r="D5004" s="579"/>
      <c r="E5004" s="583"/>
      <c r="F5004" s="596"/>
      <c r="G5004" s="65">
        <v>0</v>
      </c>
      <c r="H5004" s="591" t="s">
        <v>280</v>
      </c>
      <c r="I5004" s="591" t="s">
        <v>280</v>
      </c>
    </row>
    <row r="5005" spans="1:9">
      <c r="A5005" s="577"/>
      <c r="B5005" s="65">
        <v>5203</v>
      </c>
      <c r="C5005" s="579" t="s">
        <v>281</v>
      </c>
      <c r="D5005" s="579"/>
      <c r="E5005" s="583"/>
      <c r="F5005" s="596"/>
      <c r="G5005" s="65">
        <v>0</v>
      </c>
      <c r="H5005" s="591" t="s">
        <v>280</v>
      </c>
      <c r="I5005" s="591" t="s">
        <v>280</v>
      </c>
    </row>
    <row r="5006" spans="1:9">
      <c r="A5006" s="577"/>
      <c r="B5006" s="65">
        <v>5204</v>
      </c>
      <c r="C5006" s="579" t="s">
        <v>281</v>
      </c>
      <c r="D5006" s="579"/>
      <c r="E5006" s="583"/>
      <c r="F5006" s="596"/>
      <c r="G5006" s="65">
        <v>0</v>
      </c>
      <c r="H5006" s="591" t="s">
        <v>280</v>
      </c>
      <c r="I5006" s="591" t="s">
        <v>280</v>
      </c>
    </row>
    <row r="5007" spans="1:9">
      <c r="A5007" s="577"/>
      <c r="B5007" s="65">
        <v>5205</v>
      </c>
      <c r="C5007" s="579" t="s">
        <v>281</v>
      </c>
      <c r="D5007" s="579"/>
      <c r="E5007" s="583"/>
      <c r="F5007" s="596"/>
      <c r="G5007" s="65">
        <v>0</v>
      </c>
      <c r="H5007" s="591" t="s">
        <v>280</v>
      </c>
      <c r="I5007" s="591" t="s">
        <v>280</v>
      </c>
    </row>
    <row r="5008" spans="1:9">
      <c r="A5008" s="577"/>
      <c r="B5008" s="65">
        <v>5206</v>
      </c>
      <c r="C5008" s="579" t="s">
        <v>281</v>
      </c>
      <c r="D5008" s="579"/>
      <c r="E5008" s="583"/>
      <c r="F5008" s="596"/>
      <c r="G5008" s="65">
        <v>0</v>
      </c>
      <c r="H5008" s="591" t="s">
        <v>280</v>
      </c>
      <c r="I5008" s="591" t="s">
        <v>280</v>
      </c>
    </row>
    <row r="5009" spans="1:9">
      <c r="A5009" s="577"/>
      <c r="B5009" s="65">
        <v>5207</v>
      </c>
      <c r="C5009" s="579" t="s">
        <v>281</v>
      </c>
      <c r="D5009" s="579"/>
      <c r="E5009" s="583"/>
      <c r="F5009" s="596"/>
      <c r="G5009" s="65">
        <v>0</v>
      </c>
      <c r="H5009" s="591" t="s">
        <v>280</v>
      </c>
      <c r="I5009" s="591" t="s">
        <v>280</v>
      </c>
    </row>
    <row r="5010" spans="1:9">
      <c r="A5010" s="577"/>
      <c r="B5010" s="65">
        <v>5208</v>
      </c>
      <c r="C5010" s="579" t="s">
        <v>281</v>
      </c>
      <c r="D5010" s="579"/>
      <c r="E5010" s="583"/>
      <c r="F5010" s="596"/>
      <c r="G5010" s="65">
        <v>0</v>
      </c>
      <c r="H5010" s="591" t="s">
        <v>280</v>
      </c>
      <c r="I5010" s="591" t="s">
        <v>280</v>
      </c>
    </row>
    <row r="5011" spans="1:9">
      <c r="A5011" s="577"/>
      <c r="B5011" s="65">
        <v>5209</v>
      </c>
      <c r="C5011" s="579" t="s">
        <v>281</v>
      </c>
      <c r="D5011" s="579"/>
      <c r="E5011" s="583"/>
      <c r="F5011" s="596"/>
      <c r="G5011" s="65">
        <v>0</v>
      </c>
      <c r="H5011" s="591" t="s">
        <v>280</v>
      </c>
      <c r="I5011" s="591" t="s">
        <v>280</v>
      </c>
    </row>
    <row r="5012" spans="1:9">
      <c r="A5012" s="577"/>
      <c r="B5012" s="65">
        <v>5210</v>
      </c>
      <c r="C5012" s="579" t="s">
        <v>281</v>
      </c>
      <c r="D5012" s="579"/>
      <c r="E5012" s="583"/>
      <c r="F5012" s="596"/>
      <c r="G5012" s="65">
        <v>0</v>
      </c>
      <c r="H5012" s="591" t="s">
        <v>280</v>
      </c>
      <c r="I5012" s="591" t="s">
        <v>280</v>
      </c>
    </row>
    <row r="5013" spans="1:9">
      <c r="A5013" s="577"/>
      <c r="B5013" s="65">
        <v>5211</v>
      </c>
      <c r="C5013" s="579" t="s">
        <v>281</v>
      </c>
      <c r="D5013" s="579"/>
      <c r="E5013" s="583"/>
      <c r="F5013" s="596"/>
      <c r="G5013" s="65">
        <v>0</v>
      </c>
      <c r="H5013" s="591" t="s">
        <v>280</v>
      </c>
      <c r="I5013" s="591" t="s">
        <v>280</v>
      </c>
    </row>
    <row r="5014" spans="1:9">
      <c r="A5014" s="577"/>
      <c r="B5014" s="65">
        <v>5212</v>
      </c>
      <c r="C5014" s="579" t="s">
        <v>281</v>
      </c>
      <c r="D5014" s="579"/>
      <c r="E5014" s="583"/>
      <c r="F5014" s="596"/>
      <c r="G5014" s="65">
        <v>0</v>
      </c>
      <c r="H5014" s="591" t="s">
        <v>280</v>
      </c>
      <c r="I5014" s="591" t="s">
        <v>280</v>
      </c>
    </row>
    <row r="5015" spans="1:9">
      <c r="A5015" s="577"/>
      <c r="B5015" s="65">
        <v>5213</v>
      </c>
      <c r="C5015" s="579" t="s">
        <v>281</v>
      </c>
      <c r="D5015" s="579"/>
      <c r="E5015" s="583"/>
      <c r="F5015" s="596"/>
      <c r="G5015" s="65">
        <v>0</v>
      </c>
      <c r="H5015" s="591" t="s">
        <v>280</v>
      </c>
      <c r="I5015" s="591" t="s">
        <v>280</v>
      </c>
    </row>
    <row r="5016" spans="1:9">
      <c r="A5016" s="577"/>
      <c r="B5016" s="65">
        <v>5214</v>
      </c>
      <c r="C5016" s="579" t="s">
        <v>281</v>
      </c>
      <c r="D5016" s="579"/>
      <c r="E5016" s="583"/>
      <c r="F5016" s="596"/>
      <c r="G5016" s="65">
        <v>0</v>
      </c>
      <c r="H5016" s="591" t="s">
        <v>280</v>
      </c>
      <c r="I5016" s="591" t="s">
        <v>280</v>
      </c>
    </row>
    <row r="5017" spans="1:9">
      <c r="A5017" s="577"/>
      <c r="B5017" s="65">
        <v>5215</v>
      </c>
      <c r="C5017" s="579" t="s">
        <v>281</v>
      </c>
      <c r="D5017" s="579"/>
      <c r="E5017" s="583"/>
      <c r="F5017" s="596"/>
      <c r="G5017" s="65">
        <v>0</v>
      </c>
      <c r="H5017" s="591" t="s">
        <v>280</v>
      </c>
      <c r="I5017" s="591" t="s">
        <v>280</v>
      </c>
    </row>
    <row r="5018" spans="1:9">
      <c r="A5018" s="577"/>
      <c r="B5018" s="65">
        <v>5216</v>
      </c>
      <c r="C5018" s="579" t="s">
        <v>281</v>
      </c>
      <c r="D5018" s="579"/>
      <c r="E5018" s="583"/>
      <c r="F5018" s="596"/>
      <c r="G5018" s="65">
        <v>0</v>
      </c>
      <c r="H5018" s="591" t="s">
        <v>280</v>
      </c>
      <c r="I5018" s="591" t="s">
        <v>280</v>
      </c>
    </row>
    <row r="5019" spans="1:9">
      <c r="A5019" s="577"/>
      <c r="B5019" s="65">
        <v>5217</v>
      </c>
      <c r="C5019" s="579" t="s">
        <v>281</v>
      </c>
      <c r="D5019" s="579"/>
      <c r="E5019" s="583"/>
      <c r="F5019" s="596"/>
      <c r="G5019" s="65">
        <v>0</v>
      </c>
      <c r="H5019" s="591" t="s">
        <v>280</v>
      </c>
      <c r="I5019" s="591" t="s">
        <v>280</v>
      </c>
    </row>
    <row r="5020" spans="1:9">
      <c r="A5020" s="577"/>
      <c r="B5020" s="65">
        <v>5218</v>
      </c>
      <c r="C5020" s="579" t="s">
        <v>281</v>
      </c>
      <c r="D5020" s="579"/>
      <c r="E5020" s="583"/>
      <c r="F5020" s="596"/>
      <c r="G5020" s="65">
        <v>0</v>
      </c>
      <c r="H5020" s="591" t="s">
        <v>280</v>
      </c>
      <c r="I5020" s="591" t="s">
        <v>280</v>
      </c>
    </row>
    <row r="5021" spans="1:9">
      <c r="A5021" s="577"/>
      <c r="B5021" s="65">
        <v>5219</v>
      </c>
      <c r="C5021" s="579" t="s">
        <v>281</v>
      </c>
      <c r="D5021" s="579"/>
      <c r="E5021" s="583"/>
      <c r="F5021" s="596"/>
      <c r="G5021" s="65">
        <v>0</v>
      </c>
      <c r="H5021" s="591" t="s">
        <v>280</v>
      </c>
      <c r="I5021" s="591" t="s">
        <v>280</v>
      </c>
    </row>
    <row r="5022" spans="1:9">
      <c r="A5022" s="577"/>
      <c r="B5022" s="65">
        <v>5220</v>
      </c>
      <c r="C5022" s="579" t="s">
        <v>281</v>
      </c>
      <c r="D5022" s="579"/>
      <c r="E5022" s="583"/>
      <c r="F5022" s="596"/>
      <c r="G5022" s="65">
        <v>0</v>
      </c>
      <c r="H5022" s="591" t="s">
        <v>280</v>
      </c>
      <c r="I5022" s="591" t="s">
        <v>280</v>
      </c>
    </row>
    <row r="5023" spans="1:9">
      <c r="A5023" s="577"/>
      <c r="B5023" s="65">
        <v>5221</v>
      </c>
      <c r="C5023" s="579" t="s">
        <v>281</v>
      </c>
      <c r="D5023" s="579"/>
      <c r="E5023" s="583"/>
      <c r="F5023" s="596"/>
      <c r="G5023" s="65">
        <v>0</v>
      </c>
      <c r="H5023" s="591" t="s">
        <v>280</v>
      </c>
      <c r="I5023" s="591" t="s">
        <v>280</v>
      </c>
    </row>
    <row r="5024" spans="1:9">
      <c r="A5024" s="577"/>
      <c r="B5024" s="65">
        <v>5222</v>
      </c>
      <c r="C5024" s="579" t="s">
        <v>281</v>
      </c>
      <c r="D5024" s="579"/>
      <c r="E5024" s="583"/>
      <c r="F5024" s="596"/>
      <c r="G5024" s="65">
        <v>0</v>
      </c>
      <c r="H5024" s="591" t="s">
        <v>280</v>
      </c>
      <c r="I5024" s="591" t="s">
        <v>280</v>
      </c>
    </row>
    <row r="5025" spans="1:9">
      <c r="A5025" s="577"/>
      <c r="B5025" s="65">
        <v>5223</v>
      </c>
      <c r="C5025" s="579" t="s">
        <v>281</v>
      </c>
      <c r="D5025" s="579"/>
      <c r="E5025" s="583"/>
      <c r="F5025" s="596"/>
      <c r="G5025" s="65">
        <v>0</v>
      </c>
      <c r="H5025" s="591" t="s">
        <v>280</v>
      </c>
      <c r="I5025" s="591" t="s">
        <v>280</v>
      </c>
    </row>
    <row r="5026" spans="1:9">
      <c r="A5026" s="577"/>
      <c r="B5026" s="65">
        <v>5224</v>
      </c>
      <c r="C5026" s="579" t="s">
        <v>281</v>
      </c>
      <c r="D5026" s="579"/>
      <c r="E5026" s="583"/>
      <c r="F5026" s="596"/>
      <c r="G5026" s="65">
        <v>0</v>
      </c>
      <c r="H5026" s="591" t="s">
        <v>280</v>
      </c>
      <c r="I5026" s="591" t="s">
        <v>280</v>
      </c>
    </row>
    <row r="5027" spans="1:9">
      <c r="A5027" s="577"/>
      <c r="B5027" s="65">
        <v>5225</v>
      </c>
      <c r="C5027" s="579" t="s">
        <v>281</v>
      </c>
      <c r="D5027" s="579"/>
      <c r="E5027" s="583"/>
      <c r="F5027" s="596"/>
      <c r="G5027" s="65">
        <v>0</v>
      </c>
      <c r="H5027" s="591" t="s">
        <v>280</v>
      </c>
      <c r="I5027" s="591" t="s">
        <v>280</v>
      </c>
    </row>
    <row r="5028" spans="1:9">
      <c r="A5028" s="577"/>
      <c r="B5028" s="65">
        <v>5226</v>
      </c>
      <c r="C5028" s="579" t="s">
        <v>281</v>
      </c>
      <c r="D5028" s="579"/>
      <c r="E5028" s="583"/>
      <c r="F5028" s="596"/>
      <c r="G5028" s="65">
        <v>0</v>
      </c>
      <c r="H5028" s="591" t="s">
        <v>280</v>
      </c>
      <c r="I5028" s="591" t="s">
        <v>280</v>
      </c>
    </row>
    <row r="5029" spans="1:9">
      <c r="A5029" s="577"/>
      <c r="B5029" s="65">
        <v>5227</v>
      </c>
      <c r="C5029" s="579" t="s">
        <v>281</v>
      </c>
      <c r="D5029" s="579"/>
      <c r="E5029" s="583"/>
      <c r="F5029" s="596"/>
      <c r="G5029" s="65">
        <v>0</v>
      </c>
      <c r="H5029" s="591" t="s">
        <v>280</v>
      </c>
      <c r="I5029" s="591" t="s">
        <v>280</v>
      </c>
    </row>
    <row r="5030" spans="1:9">
      <c r="A5030" s="577"/>
      <c r="B5030" s="65">
        <v>5228</v>
      </c>
      <c r="C5030" s="579" t="s">
        <v>281</v>
      </c>
      <c r="D5030" s="579"/>
      <c r="E5030" s="583"/>
      <c r="F5030" s="596"/>
      <c r="G5030" s="65">
        <v>0</v>
      </c>
      <c r="H5030" s="591" t="s">
        <v>280</v>
      </c>
      <c r="I5030" s="591" t="s">
        <v>280</v>
      </c>
    </row>
    <row r="5031" spans="1:9">
      <c r="A5031" s="577"/>
      <c r="B5031" s="65">
        <v>5229</v>
      </c>
      <c r="C5031" s="579" t="s">
        <v>281</v>
      </c>
      <c r="D5031" s="579"/>
      <c r="E5031" s="583"/>
      <c r="F5031" s="596"/>
      <c r="G5031" s="65">
        <v>0</v>
      </c>
      <c r="H5031" s="591" t="s">
        <v>280</v>
      </c>
      <c r="I5031" s="591" t="s">
        <v>280</v>
      </c>
    </row>
    <row r="5032" spans="1:9">
      <c r="A5032" s="577"/>
      <c r="B5032" s="65">
        <v>5230</v>
      </c>
      <c r="C5032" s="579" t="s">
        <v>281</v>
      </c>
      <c r="D5032" s="579"/>
      <c r="E5032" s="583"/>
      <c r="F5032" s="596"/>
      <c r="G5032" s="65">
        <v>0</v>
      </c>
      <c r="H5032" s="591" t="s">
        <v>280</v>
      </c>
      <c r="I5032" s="591" t="s">
        <v>280</v>
      </c>
    </row>
    <row r="5033" spans="1:9">
      <c r="A5033" s="577"/>
      <c r="B5033" s="65">
        <v>5231</v>
      </c>
      <c r="C5033" s="579" t="s">
        <v>281</v>
      </c>
      <c r="D5033" s="579"/>
      <c r="E5033" s="583"/>
      <c r="F5033" s="596"/>
      <c r="G5033" s="65">
        <v>0</v>
      </c>
      <c r="H5033" s="591" t="s">
        <v>280</v>
      </c>
      <c r="I5033" s="591" t="s">
        <v>280</v>
      </c>
    </row>
    <row r="5034" spans="1:9">
      <c r="A5034" s="577"/>
      <c r="B5034" s="65">
        <v>5232</v>
      </c>
      <c r="C5034" s="579" t="s">
        <v>281</v>
      </c>
      <c r="D5034" s="579"/>
      <c r="E5034" s="583"/>
      <c r="F5034" s="596"/>
      <c r="G5034" s="65">
        <v>0</v>
      </c>
      <c r="H5034" s="591" t="s">
        <v>280</v>
      </c>
      <c r="I5034" s="591" t="s">
        <v>280</v>
      </c>
    </row>
    <row r="5035" spans="1:9">
      <c r="A5035" s="577"/>
      <c r="B5035" s="65">
        <v>5233</v>
      </c>
      <c r="C5035" s="579" t="s">
        <v>281</v>
      </c>
      <c r="D5035" s="579"/>
      <c r="E5035" s="583"/>
      <c r="F5035" s="596"/>
      <c r="G5035" s="65">
        <v>0</v>
      </c>
      <c r="H5035" s="591" t="s">
        <v>280</v>
      </c>
      <c r="I5035" s="591" t="s">
        <v>280</v>
      </c>
    </row>
    <row r="5036" spans="1:9">
      <c r="A5036" s="577"/>
      <c r="B5036" s="65">
        <v>5234</v>
      </c>
      <c r="C5036" s="579" t="s">
        <v>281</v>
      </c>
      <c r="D5036" s="579"/>
      <c r="E5036" s="583"/>
      <c r="F5036" s="596"/>
      <c r="G5036" s="65">
        <v>0</v>
      </c>
      <c r="H5036" s="591" t="s">
        <v>280</v>
      </c>
      <c r="I5036" s="591" t="s">
        <v>280</v>
      </c>
    </row>
    <row r="5037" spans="1:9">
      <c r="A5037" s="577"/>
      <c r="B5037" s="65">
        <v>5235</v>
      </c>
      <c r="C5037" s="579" t="s">
        <v>281</v>
      </c>
      <c r="D5037" s="579"/>
      <c r="E5037" s="583"/>
      <c r="F5037" s="596"/>
      <c r="G5037" s="65">
        <v>0</v>
      </c>
      <c r="H5037" s="591" t="s">
        <v>280</v>
      </c>
      <c r="I5037" s="591" t="s">
        <v>280</v>
      </c>
    </row>
    <row r="5038" spans="1:9">
      <c r="A5038" s="577"/>
      <c r="B5038" s="65">
        <v>5236</v>
      </c>
      <c r="C5038" s="579" t="s">
        <v>281</v>
      </c>
      <c r="D5038" s="579"/>
      <c r="E5038" s="583"/>
      <c r="F5038" s="596"/>
      <c r="G5038" s="65">
        <v>0</v>
      </c>
      <c r="H5038" s="591" t="s">
        <v>280</v>
      </c>
      <c r="I5038" s="591" t="s">
        <v>280</v>
      </c>
    </row>
    <row r="5039" spans="1:9">
      <c r="A5039" s="577"/>
      <c r="B5039" s="65">
        <v>5237</v>
      </c>
      <c r="C5039" s="579" t="s">
        <v>281</v>
      </c>
      <c r="D5039" s="579"/>
      <c r="E5039" s="583"/>
      <c r="F5039" s="596"/>
      <c r="G5039" s="65">
        <v>0</v>
      </c>
      <c r="H5039" s="591" t="s">
        <v>280</v>
      </c>
      <c r="I5039" s="591" t="s">
        <v>280</v>
      </c>
    </row>
    <row r="5040" spans="1:9">
      <c r="A5040" s="577"/>
      <c r="B5040" s="65">
        <v>5238</v>
      </c>
      <c r="C5040" s="579" t="s">
        <v>281</v>
      </c>
      <c r="D5040" s="579"/>
      <c r="E5040" s="583"/>
      <c r="F5040" s="596"/>
      <c r="G5040" s="65">
        <v>0</v>
      </c>
      <c r="H5040" s="591" t="s">
        <v>280</v>
      </c>
      <c r="I5040" s="591" t="s">
        <v>280</v>
      </c>
    </row>
    <row r="5041" spans="1:9">
      <c r="A5041" s="577"/>
      <c r="B5041" s="65">
        <v>5239</v>
      </c>
      <c r="C5041" s="579" t="s">
        <v>281</v>
      </c>
      <c r="D5041" s="579"/>
      <c r="E5041" s="583"/>
      <c r="F5041" s="596"/>
      <c r="G5041" s="65">
        <v>0</v>
      </c>
      <c r="H5041" s="591" t="s">
        <v>280</v>
      </c>
      <c r="I5041" s="591" t="s">
        <v>280</v>
      </c>
    </row>
    <row r="5042" spans="1:9">
      <c r="A5042" s="577"/>
      <c r="B5042" s="65">
        <v>5240</v>
      </c>
      <c r="C5042" s="579" t="s">
        <v>281</v>
      </c>
      <c r="D5042" s="579"/>
      <c r="E5042" s="583"/>
      <c r="F5042" s="596"/>
      <c r="G5042" s="65">
        <v>0</v>
      </c>
      <c r="H5042" s="591" t="s">
        <v>280</v>
      </c>
      <c r="I5042" s="591" t="s">
        <v>280</v>
      </c>
    </row>
    <row r="5043" spans="1:9">
      <c r="A5043" s="577"/>
      <c r="B5043" s="65">
        <v>5241</v>
      </c>
      <c r="C5043" s="579" t="s">
        <v>281</v>
      </c>
      <c r="D5043" s="579"/>
      <c r="E5043" s="583"/>
      <c r="F5043" s="596"/>
      <c r="G5043" s="65">
        <v>0</v>
      </c>
      <c r="H5043" s="591" t="s">
        <v>280</v>
      </c>
      <c r="I5043" s="591" t="s">
        <v>280</v>
      </c>
    </row>
    <row r="5044" spans="1:9">
      <c r="A5044" s="577"/>
      <c r="B5044" s="65">
        <v>5242</v>
      </c>
      <c r="C5044" s="579" t="s">
        <v>281</v>
      </c>
      <c r="D5044" s="579"/>
      <c r="E5044" s="583"/>
      <c r="F5044" s="596"/>
      <c r="G5044" s="65">
        <v>0</v>
      </c>
      <c r="H5044" s="591" t="s">
        <v>280</v>
      </c>
      <c r="I5044" s="591" t="s">
        <v>280</v>
      </c>
    </row>
    <row r="5045" spans="1:9">
      <c r="A5045" s="577"/>
      <c r="B5045" s="65">
        <v>5243</v>
      </c>
      <c r="C5045" s="579" t="s">
        <v>281</v>
      </c>
      <c r="D5045" s="579"/>
      <c r="E5045" s="583"/>
      <c r="F5045" s="596"/>
      <c r="G5045" s="65">
        <v>0</v>
      </c>
      <c r="H5045" s="591" t="s">
        <v>280</v>
      </c>
      <c r="I5045" s="591" t="s">
        <v>280</v>
      </c>
    </row>
    <row r="5046" spans="1:9">
      <c r="A5046" s="577"/>
      <c r="B5046" s="65">
        <v>5244</v>
      </c>
      <c r="C5046" s="579" t="s">
        <v>281</v>
      </c>
      <c r="D5046" s="579"/>
      <c r="E5046" s="583"/>
      <c r="F5046" s="596"/>
      <c r="G5046" s="65">
        <v>0</v>
      </c>
      <c r="H5046" s="591" t="s">
        <v>280</v>
      </c>
      <c r="I5046" s="591" t="s">
        <v>280</v>
      </c>
    </row>
    <row r="5047" spans="1:9">
      <c r="A5047" s="577"/>
      <c r="B5047" s="65">
        <v>5245</v>
      </c>
      <c r="C5047" s="579" t="s">
        <v>281</v>
      </c>
      <c r="D5047" s="579"/>
      <c r="E5047" s="583"/>
      <c r="F5047" s="596"/>
      <c r="G5047" s="65">
        <v>0</v>
      </c>
      <c r="H5047" s="591" t="s">
        <v>280</v>
      </c>
      <c r="I5047" s="591" t="s">
        <v>280</v>
      </c>
    </row>
    <row r="5048" spans="1:9">
      <c r="A5048" s="577"/>
      <c r="B5048" s="65">
        <v>5246</v>
      </c>
      <c r="C5048" s="579" t="s">
        <v>281</v>
      </c>
      <c r="D5048" s="579"/>
      <c r="E5048" s="583"/>
      <c r="F5048" s="596"/>
      <c r="G5048" s="65">
        <v>0</v>
      </c>
      <c r="H5048" s="591" t="s">
        <v>280</v>
      </c>
      <c r="I5048" s="591" t="s">
        <v>280</v>
      </c>
    </row>
    <row r="5049" spans="1:9">
      <c r="A5049" s="577"/>
      <c r="B5049" s="65">
        <v>5247</v>
      </c>
      <c r="C5049" s="579" t="s">
        <v>281</v>
      </c>
      <c r="D5049" s="579"/>
      <c r="E5049" s="583"/>
      <c r="F5049" s="596"/>
      <c r="G5049" s="65">
        <v>0</v>
      </c>
      <c r="H5049" s="591" t="s">
        <v>280</v>
      </c>
      <c r="I5049" s="591" t="s">
        <v>280</v>
      </c>
    </row>
    <row r="5050" spans="1:9">
      <c r="A5050" s="577"/>
      <c r="B5050" s="65">
        <v>5248</v>
      </c>
      <c r="C5050" s="579" t="s">
        <v>281</v>
      </c>
      <c r="D5050" s="579"/>
      <c r="E5050" s="583"/>
      <c r="F5050" s="596"/>
      <c r="G5050" s="65">
        <v>0</v>
      </c>
      <c r="H5050" s="591" t="s">
        <v>280</v>
      </c>
      <c r="I5050" s="591" t="s">
        <v>280</v>
      </c>
    </row>
    <row r="5051" spans="1:9">
      <c r="A5051" s="577"/>
      <c r="B5051" s="65">
        <v>5249</v>
      </c>
      <c r="C5051" s="579" t="s">
        <v>281</v>
      </c>
      <c r="D5051" s="579"/>
      <c r="E5051" s="583"/>
      <c r="F5051" s="596"/>
      <c r="G5051" s="65">
        <v>0</v>
      </c>
      <c r="H5051" s="591" t="s">
        <v>280</v>
      </c>
      <c r="I5051" s="591" t="s">
        <v>280</v>
      </c>
    </row>
    <row r="5052" spans="1:9">
      <c r="A5052" s="577"/>
      <c r="B5052" s="65">
        <v>5250</v>
      </c>
      <c r="C5052" s="579" t="s">
        <v>281</v>
      </c>
      <c r="D5052" s="579"/>
      <c r="E5052" s="583"/>
      <c r="F5052" s="596"/>
      <c r="G5052" s="65">
        <v>0</v>
      </c>
      <c r="H5052" s="591" t="s">
        <v>280</v>
      </c>
      <c r="I5052" s="591" t="s">
        <v>280</v>
      </c>
    </row>
    <row r="5053" spans="1:9">
      <c r="A5053" s="577"/>
      <c r="B5053" s="65">
        <v>5251</v>
      </c>
      <c r="C5053" s="579" t="s">
        <v>281</v>
      </c>
      <c r="D5053" s="579"/>
      <c r="E5053" s="583"/>
      <c r="F5053" s="596"/>
      <c r="G5053" s="65">
        <v>0</v>
      </c>
      <c r="H5053" s="591" t="s">
        <v>280</v>
      </c>
      <c r="I5053" s="591" t="s">
        <v>280</v>
      </c>
    </row>
    <row r="5054" spans="1:9">
      <c r="A5054" s="577"/>
      <c r="B5054" s="65">
        <v>5252</v>
      </c>
      <c r="C5054" s="579" t="s">
        <v>281</v>
      </c>
      <c r="D5054" s="579"/>
      <c r="E5054" s="583"/>
      <c r="F5054" s="596"/>
      <c r="G5054" s="65">
        <v>0</v>
      </c>
      <c r="H5054" s="591" t="s">
        <v>280</v>
      </c>
      <c r="I5054" s="591" t="s">
        <v>280</v>
      </c>
    </row>
    <row r="5055" spans="1:9">
      <c r="A5055" s="577"/>
      <c r="B5055" s="65">
        <v>5253</v>
      </c>
      <c r="C5055" s="579" t="s">
        <v>281</v>
      </c>
      <c r="D5055" s="579"/>
      <c r="E5055" s="583"/>
      <c r="F5055" s="596"/>
      <c r="G5055" s="65">
        <v>0</v>
      </c>
      <c r="H5055" s="591" t="s">
        <v>280</v>
      </c>
      <c r="I5055" s="591" t="s">
        <v>280</v>
      </c>
    </row>
    <row r="5056" spans="1:9">
      <c r="A5056" s="577"/>
      <c r="B5056" s="65">
        <v>5254</v>
      </c>
      <c r="C5056" s="579" t="s">
        <v>281</v>
      </c>
      <c r="D5056" s="579"/>
      <c r="E5056" s="583"/>
      <c r="F5056" s="596"/>
      <c r="G5056" s="65">
        <v>0</v>
      </c>
      <c r="H5056" s="591" t="s">
        <v>280</v>
      </c>
      <c r="I5056" s="591" t="s">
        <v>280</v>
      </c>
    </row>
    <row r="5057" spans="1:9">
      <c r="A5057" s="577"/>
      <c r="B5057" s="65">
        <v>5255</v>
      </c>
      <c r="C5057" s="579" t="s">
        <v>281</v>
      </c>
      <c r="D5057" s="579"/>
      <c r="E5057" s="583"/>
      <c r="F5057" s="596"/>
      <c r="G5057" s="65">
        <v>0</v>
      </c>
      <c r="H5057" s="591" t="s">
        <v>280</v>
      </c>
      <c r="I5057" s="591" t="s">
        <v>280</v>
      </c>
    </row>
    <row r="5058" spans="1:9">
      <c r="A5058" s="577"/>
      <c r="B5058" s="65">
        <v>5256</v>
      </c>
      <c r="C5058" s="579" t="s">
        <v>281</v>
      </c>
      <c r="D5058" s="579"/>
      <c r="E5058" s="583"/>
      <c r="F5058" s="596"/>
      <c r="G5058" s="65">
        <v>0</v>
      </c>
      <c r="H5058" s="591" t="s">
        <v>280</v>
      </c>
      <c r="I5058" s="591" t="s">
        <v>280</v>
      </c>
    </row>
    <row r="5059" spans="1:9">
      <c r="A5059" s="577"/>
      <c r="B5059" s="65">
        <v>5257</v>
      </c>
      <c r="C5059" s="579" t="s">
        <v>281</v>
      </c>
      <c r="D5059" s="579"/>
      <c r="E5059" s="583"/>
      <c r="F5059" s="596"/>
      <c r="G5059" s="65">
        <v>0</v>
      </c>
      <c r="H5059" s="591" t="s">
        <v>280</v>
      </c>
      <c r="I5059" s="591" t="s">
        <v>280</v>
      </c>
    </row>
    <row r="5060" spans="1:9">
      <c r="A5060" s="577"/>
      <c r="B5060" s="65">
        <v>5258</v>
      </c>
      <c r="C5060" s="579" t="s">
        <v>281</v>
      </c>
      <c r="D5060" s="579"/>
      <c r="E5060" s="583"/>
      <c r="F5060" s="596"/>
      <c r="G5060" s="65">
        <v>0</v>
      </c>
      <c r="H5060" s="591" t="s">
        <v>280</v>
      </c>
      <c r="I5060" s="591" t="s">
        <v>280</v>
      </c>
    </row>
    <row r="5061" spans="1:9">
      <c r="A5061" s="577"/>
      <c r="B5061" s="65">
        <v>5259</v>
      </c>
      <c r="C5061" s="579" t="s">
        <v>281</v>
      </c>
      <c r="D5061" s="579"/>
      <c r="E5061" s="583"/>
      <c r="F5061" s="596"/>
      <c r="G5061" s="65">
        <v>0</v>
      </c>
      <c r="H5061" s="591" t="s">
        <v>280</v>
      </c>
      <c r="I5061" s="591" t="s">
        <v>280</v>
      </c>
    </row>
    <row r="5062" spans="1:9">
      <c r="A5062" s="577"/>
      <c r="B5062" s="65">
        <v>5260</v>
      </c>
      <c r="C5062" s="579" t="s">
        <v>281</v>
      </c>
      <c r="D5062" s="579"/>
      <c r="E5062" s="583"/>
      <c r="F5062" s="596"/>
      <c r="G5062" s="65">
        <v>0</v>
      </c>
      <c r="H5062" s="591" t="s">
        <v>280</v>
      </c>
      <c r="I5062" s="591" t="s">
        <v>280</v>
      </c>
    </row>
    <row r="5063" spans="1:9">
      <c r="A5063" s="577"/>
      <c r="B5063" s="65">
        <v>5261</v>
      </c>
      <c r="C5063" s="579" t="s">
        <v>281</v>
      </c>
      <c r="D5063" s="579"/>
      <c r="E5063" s="583"/>
      <c r="F5063" s="596"/>
      <c r="G5063" s="65">
        <v>0</v>
      </c>
      <c r="H5063" s="591" t="s">
        <v>280</v>
      </c>
      <c r="I5063" s="591" t="s">
        <v>280</v>
      </c>
    </row>
    <row r="5064" spans="1:9">
      <c r="A5064" s="577"/>
      <c r="B5064" s="65">
        <v>5262</v>
      </c>
      <c r="C5064" s="579" t="s">
        <v>281</v>
      </c>
      <c r="D5064" s="579"/>
      <c r="E5064" s="583"/>
      <c r="F5064" s="596"/>
      <c r="G5064" s="65">
        <v>0</v>
      </c>
      <c r="H5064" s="591" t="s">
        <v>280</v>
      </c>
      <c r="I5064" s="591" t="s">
        <v>280</v>
      </c>
    </row>
    <row r="5065" spans="1:9">
      <c r="A5065" s="577"/>
      <c r="B5065" s="65">
        <v>5263</v>
      </c>
      <c r="C5065" s="579" t="s">
        <v>281</v>
      </c>
      <c r="D5065" s="579"/>
      <c r="E5065" s="583"/>
      <c r="F5065" s="596"/>
      <c r="G5065" s="65">
        <v>0</v>
      </c>
      <c r="H5065" s="591" t="s">
        <v>280</v>
      </c>
      <c r="I5065" s="591" t="s">
        <v>280</v>
      </c>
    </row>
    <row r="5066" spans="1:9">
      <c r="A5066" s="577"/>
      <c r="B5066" s="65">
        <v>5264</v>
      </c>
      <c r="C5066" s="579" t="s">
        <v>281</v>
      </c>
      <c r="D5066" s="579"/>
      <c r="E5066" s="583"/>
      <c r="F5066" s="596"/>
      <c r="G5066" s="65">
        <v>0</v>
      </c>
      <c r="H5066" s="591" t="s">
        <v>280</v>
      </c>
      <c r="I5066" s="591" t="s">
        <v>280</v>
      </c>
    </row>
    <row r="5067" spans="1:9">
      <c r="A5067" s="577"/>
      <c r="B5067" s="65">
        <v>5265</v>
      </c>
      <c r="C5067" s="579" t="s">
        <v>281</v>
      </c>
      <c r="D5067" s="579"/>
      <c r="E5067" s="583"/>
      <c r="F5067" s="596"/>
      <c r="G5067" s="65">
        <v>0</v>
      </c>
      <c r="H5067" s="591" t="s">
        <v>280</v>
      </c>
      <c r="I5067" s="591" t="s">
        <v>280</v>
      </c>
    </row>
    <row r="5068" spans="1:9">
      <c r="A5068" s="577"/>
      <c r="B5068" s="65">
        <v>5266</v>
      </c>
      <c r="C5068" s="579" t="s">
        <v>281</v>
      </c>
      <c r="D5068" s="579"/>
      <c r="E5068" s="583"/>
      <c r="F5068" s="596"/>
      <c r="G5068" s="65">
        <v>0</v>
      </c>
      <c r="H5068" s="591" t="s">
        <v>280</v>
      </c>
      <c r="I5068" s="591" t="s">
        <v>280</v>
      </c>
    </row>
    <row r="5069" spans="1:9">
      <c r="A5069" s="577"/>
      <c r="B5069" s="65">
        <v>5267</v>
      </c>
      <c r="C5069" s="579" t="s">
        <v>281</v>
      </c>
      <c r="D5069" s="579"/>
      <c r="E5069" s="583"/>
      <c r="F5069" s="596"/>
      <c r="G5069" s="65">
        <v>0</v>
      </c>
      <c r="H5069" s="591" t="s">
        <v>280</v>
      </c>
      <c r="I5069" s="591" t="s">
        <v>280</v>
      </c>
    </row>
    <row r="5070" spans="1:9">
      <c r="A5070" s="577"/>
      <c r="B5070" s="65">
        <v>5268</v>
      </c>
      <c r="C5070" s="579" t="s">
        <v>281</v>
      </c>
      <c r="D5070" s="579"/>
      <c r="E5070" s="583"/>
      <c r="F5070" s="596"/>
      <c r="G5070" s="65">
        <v>0</v>
      </c>
      <c r="H5070" s="591" t="s">
        <v>280</v>
      </c>
      <c r="I5070" s="591" t="s">
        <v>280</v>
      </c>
    </row>
    <row r="5071" spans="1:9">
      <c r="A5071" s="577"/>
      <c r="B5071" s="65">
        <v>5269</v>
      </c>
      <c r="C5071" s="579" t="s">
        <v>281</v>
      </c>
      <c r="D5071" s="579"/>
      <c r="E5071" s="583"/>
      <c r="F5071" s="596"/>
      <c r="G5071" s="65">
        <v>0</v>
      </c>
      <c r="H5071" s="591" t="s">
        <v>280</v>
      </c>
      <c r="I5071" s="591" t="s">
        <v>280</v>
      </c>
    </row>
    <row r="5072" spans="1:9">
      <c r="A5072" s="577"/>
      <c r="B5072" s="65">
        <v>5270</v>
      </c>
      <c r="C5072" s="579" t="s">
        <v>281</v>
      </c>
      <c r="D5072" s="579"/>
      <c r="E5072" s="583"/>
      <c r="F5072" s="596"/>
      <c r="G5072" s="65">
        <v>0</v>
      </c>
      <c r="H5072" s="591" t="s">
        <v>280</v>
      </c>
      <c r="I5072" s="591" t="s">
        <v>280</v>
      </c>
    </row>
    <row r="5073" spans="1:9">
      <c r="A5073" s="577"/>
      <c r="B5073" s="65">
        <v>5271</v>
      </c>
      <c r="C5073" s="579" t="s">
        <v>281</v>
      </c>
      <c r="D5073" s="579"/>
      <c r="E5073" s="583"/>
      <c r="F5073" s="596"/>
      <c r="G5073" s="65">
        <v>0</v>
      </c>
      <c r="H5073" s="591" t="s">
        <v>280</v>
      </c>
      <c r="I5073" s="591" t="s">
        <v>280</v>
      </c>
    </row>
    <row r="5074" spans="1:9">
      <c r="A5074" s="577"/>
      <c r="B5074" s="65">
        <v>5272</v>
      </c>
      <c r="C5074" s="579" t="s">
        <v>281</v>
      </c>
      <c r="D5074" s="579"/>
      <c r="E5074" s="583"/>
      <c r="F5074" s="596"/>
      <c r="G5074" s="65">
        <v>0</v>
      </c>
      <c r="H5074" s="591" t="s">
        <v>280</v>
      </c>
      <c r="I5074" s="591" t="s">
        <v>280</v>
      </c>
    </row>
    <row r="5075" spans="1:9">
      <c r="A5075" s="577"/>
      <c r="B5075" s="65">
        <v>5273</v>
      </c>
      <c r="C5075" s="579" t="s">
        <v>281</v>
      </c>
      <c r="D5075" s="579"/>
      <c r="E5075" s="583"/>
      <c r="F5075" s="596"/>
      <c r="G5075" s="65">
        <v>0</v>
      </c>
      <c r="H5075" s="591" t="s">
        <v>280</v>
      </c>
      <c r="I5075" s="591" t="s">
        <v>280</v>
      </c>
    </row>
    <row r="5076" spans="1:9">
      <c r="A5076" s="577"/>
      <c r="B5076" s="65">
        <v>5274</v>
      </c>
      <c r="C5076" s="579" t="s">
        <v>281</v>
      </c>
      <c r="D5076" s="579"/>
      <c r="E5076" s="583"/>
      <c r="F5076" s="596"/>
      <c r="G5076" s="65">
        <v>0</v>
      </c>
      <c r="H5076" s="591" t="s">
        <v>280</v>
      </c>
      <c r="I5076" s="591" t="s">
        <v>280</v>
      </c>
    </row>
    <row r="5077" spans="1:9">
      <c r="A5077" s="577"/>
      <c r="B5077" s="65">
        <v>5275</v>
      </c>
      <c r="C5077" s="579" t="s">
        <v>281</v>
      </c>
      <c r="D5077" s="579"/>
      <c r="E5077" s="583"/>
      <c r="F5077" s="596"/>
      <c r="G5077" s="65">
        <v>0</v>
      </c>
      <c r="H5077" s="591" t="s">
        <v>280</v>
      </c>
      <c r="I5077" s="591" t="s">
        <v>280</v>
      </c>
    </row>
    <row r="5078" spans="1:9">
      <c r="A5078" s="577"/>
      <c r="B5078" s="65">
        <v>5276</v>
      </c>
      <c r="C5078" s="579" t="s">
        <v>281</v>
      </c>
      <c r="D5078" s="579"/>
      <c r="E5078" s="583"/>
      <c r="F5078" s="596"/>
      <c r="G5078" s="65">
        <v>0</v>
      </c>
      <c r="H5078" s="591" t="s">
        <v>280</v>
      </c>
      <c r="I5078" s="591" t="s">
        <v>280</v>
      </c>
    </row>
    <row r="5079" spans="1:9">
      <c r="A5079" s="577"/>
      <c r="B5079" s="65">
        <v>5277</v>
      </c>
      <c r="C5079" s="579" t="s">
        <v>281</v>
      </c>
      <c r="D5079" s="579"/>
      <c r="E5079" s="583"/>
      <c r="F5079" s="596"/>
      <c r="G5079" s="65">
        <v>0</v>
      </c>
      <c r="H5079" s="591" t="s">
        <v>280</v>
      </c>
      <c r="I5079" s="591" t="s">
        <v>280</v>
      </c>
    </row>
    <row r="5080" spans="1:9">
      <c r="A5080" s="577"/>
      <c r="B5080" s="65">
        <v>5278</v>
      </c>
      <c r="C5080" s="579" t="s">
        <v>281</v>
      </c>
      <c r="D5080" s="579"/>
      <c r="E5080" s="583"/>
      <c r="F5080" s="596"/>
      <c r="G5080" s="65">
        <v>0</v>
      </c>
      <c r="H5080" s="591" t="s">
        <v>280</v>
      </c>
      <c r="I5080" s="591" t="s">
        <v>280</v>
      </c>
    </row>
    <row r="5081" spans="1:9">
      <c r="A5081" s="577"/>
      <c r="B5081" s="65">
        <v>5279</v>
      </c>
      <c r="C5081" s="579" t="s">
        <v>281</v>
      </c>
      <c r="D5081" s="579"/>
      <c r="E5081" s="583"/>
      <c r="F5081" s="596"/>
      <c r="G5081" s="65">
        <v>0</v>
      </c>
      <c r="H5081" s="591" t="s">
        <v>280</v>
      </c>
      <c r="I5081" s="591" t="s">
        <v>280</v>
      </c>
    </row>
    <row r="5082" spans="1:9">
      <c r="A5082" s="577"/>
      <c r="B5082" s="65">
        <v>5280</v>
      </c>
      <c r="C5082" s="579" t="s">
        <v>281</v>
      </c>
      <c r="D5082" s="579"/>
      <c r="E5082" s="583"/>
      <c r="F5082" s="596"/>
      <c r="G5082" s="65">
        <v>0</v>
      </c>
      <c r="H5082" s="591" t="s">
        <v>280</v>
      </c>
      <c r="I5082" s="591" t="s">
        <v>280</v>
      </c>
    </row>
    <row r="5083" spans="1:9">
      <c r="A5083" s="577"/>
      <c r="B5083" s="65">
        <v>5281</v>
      </c>
      <c r="C5083" s="579" t="s">
        <v>281</v>
      </c>
      <c r="D5083" s="579"/>
      <c r="E5083" s="583"/>
      <c r="F5083" s="596"/>
      <c r="G5083" s="65">
        <v>0</v>
      </c>
      <c r="H5083" s="591" t="s">
        <v>280</v>
      </c>
      <c r="I5083" s="591" t="s">
        <v>280</v>
      </c>
    </row>
    <row r="5084" spans="1:9">
      <c r="A5084" s="577"/>
      <c r="B5084" s="65">
        <v>5282</v>
      </c>
      <c r="C5084" s="579" t="s">
        <v>281</v>
      </c>
      <c r="D5084" s="579"/>
      <c r="E5084" s="583"/>
      <c r="F5084" s="596"/>
      <c r="G5084" s="65">
        <v>0</v>
      </c>
      <c r="H5084" s="591" t="s">
        <v>280</v>
      </c>
      <c r="I5084" s="591" t="s">
        <v>280</v>
      </c>
    </row>
    <row r="5085" spans="1:9">
      <c r="A5085" s="577"/>
      <c r="B5085" s="65">
        <v>5283</v>
      </c>
      <c r="C5085" s="579" t="s">
        <v>281</v>
      </c>
      <c r="D5085" s="579"/>
      <c r="E5085" s="583"/>
      <c r="F5085" s="596"/>
      <c r="G5085" s="65">
        <v>0</v>
      </c>
      <c r="H5085" s="591" t="s">
        <v>280</v>
      </c>
      <c r="I5085" s="591" t="s">
        <v>280</v>
      </c>
    </row>
    <row r="5086" spans="1:9">
      <c r="A5086" s="577"/>
      <c r="B5086" s="65">
        <v>5284</v>
      </c>
      <c r="C5086" s="579" t="s">
        <v>281</v>
      </c>
      <c r="D5086" s="579"/>
      <c r="E5086" s="583"/>
      <c r="F5086" s="596"/>
      <c r="G5086" s="65">
        <v>0</v>
      </c>
      <c r="H5086" s="591" t="s">
        <v>280</v>
      </c>
      <c r="I5086" s="591" t="s">
        <v>280</v>
      </c>
    </row>
    <row r="5087" spans="1:9">
      <c r="A5087" s="577"/>
      <c r="B5087" s="65">
        <v>5285</v>
      </c>
      <c r="C5087" s="579" t="s">
        <v>281</v>
      </c>
      <c r="D5087" s="579"/>
      <c r="E5087" s="583"/>
      <c r="F5087" s="596"/>
      <c r="G5087" s="65">
        <v>0</v>
      </c>
      <c r="H5087" s="591" t="s">
        <v>280</v>
      </c>
      <c r="I5087" s="591" t="s">
        <v>280</v>
      </c>
    </row>
    <row r="5088" spans="1:9">
      <c r="A5088" s="577"/>
      <c r="B5088" s="65">
        <v>5286</v>
      </c>
      <c r="C5088" s="579" t="s">
        <v>281</v>
      </c>
      <c r="D5088" s="579"/>
      <c r="E5088" s="583"/>
      <c r="F5088" s="596"/>
      <c r="G5088" s="65">
        <v>0</v>
      </c>
      <c r="H5088" s="591" t="s">
        <v>280</v>
      </c>
      <c r="I5088" s="591" t="s">
        <v>280</v>
      </c>
    </row>
    <row r="5089" spans="1:9">
      <c r="A5089" s="577"/>
      <c r="B5089" s="65">
        <v>5287</v>
      </c>
      <c r="C5089" s="579" t="s">
        <v>281</v>
      </c>
      <c r="D5089" s="579"/>
      <c r="E5089" s="583"/>
      <c r="F5089" s="596"/>
      <c r="G5089" s="65">
        <v>0</v>
      </c>
      <c r="H5089" s="591" t="s">
        <v>280</v>
      </c>
      <c r="I5089" s="591" t="s">
        <v>280</v>
      </c>
    </row>
    <row r="5090" spans="1:9">
      <c r="A5090" s="577"/>
      <c r="B5090" s="65">
        <v>5288</v>
      </c>
      <c r="C5090" s="579" t="s">
        <v>281</v>
      </c>
      <c r="D5090" s="579"/>
      <c r="E5090" s="583"/>
      <c r="F5090" s="596"/>
      <c r="G5090" s="65">
        <v>0</v>
      </c>
      <c r="H5090" s="591" t="s">
        <v>280</v>
      </c>
      <c r="I5090" s="591" t="s">
        <v>280</v>
      </c>
    </row>
    <row r="5091" spans="1:9">
      <c r="A5091" s="577"/>
      <c r="B5091" s="65">
        <v>5289</v>
      </c>
      <c r="C5091" s="579" t="s">
        <v>281</v>
      </c>
      <c r="D5091" s="579"/>
      <c r="E5091" s="583"/>
      <c r="F5091" s="596"/>
      <c r="G5091" s="65">
        <v>0</v>
      </c>
      <c r="H5091" s="591" t="s">
        <v>280</v>
      </c>
      <c r="I5091" s="591" t="s">
        <v>280</v>
      </c>
    </row>
    <row r="5092" spans="1:9">
      <c r="A5092" s="577"/>
      <c r="B5092" s="65">
        <v>5290</v>
      </c>
      <c r="C5092" s="579" t="s">
        <v>281</v>
      </c>
      <c r="D5092" s="579"/>
      <c r="E5092" s="583"/>
      <c r="F5092" s="596"/>
      <c r="G5092" s="65">
        <v>0</v>
      </c>
      <c r="H5092" s="591" t="s">
        <v>280</v>
      </c>
      <c r="I5092" s="591" t="s">
        <v>280</v>
      </c>
    </row>
    <row r="5093" spans="1:9">
      <c r="A5093" s="577"/>
      <c r="B5093" s="65">
        <v>5291</v>
      </c>
      <c r="C5093" s="579" t="s">
        <v>281</v>
      </c>
      <c r="D5093" s="579"/>
      <c r="E5093" s="583"/>
      <c r="F5093" s="596"/>
      <c r="G5093" s="65">
        <v>0</v>
      </c>
      <c r="H5093" s="591" t="s">
        <v>280</v>
      </c>
      <c r="I5093" s="591" t="s">
        <v>280</v>
      </c>
    </row>
    <row r="5094" spans="1:9">
      <c r="A5094" s="577"/>
      <c r="B5094" s="65">
        <v>5292</v>
      </c>
      <c r="C5094" s="579" t="s">
        <v>281</v>
      </c>
      <c r="D5094" s="579"/>
      <c r="E5094" s="583"/>
      <c r="F5094" s="596"/>
      <c r="G5094" s="65">
        <v>0</v>
      </c>
      <c r="H5094" s="591" t="s">
        <v>280</v>
      </c>
      <c r="I5094" s="591" t="s">
        <v>280</v>
      </c>
    </row>
    <row r="5095" spans="1:9">
      <c r="A5095" s="577"/>
      <c r="B5095" s="65">
        <v>5293</v>
      </c>
      <c r="C5095" s="579" t="s">
        <v>281</v>
      </c>
      <c r="D5095" s="579"/>
      <c r="E5095" s="583"/>
      <c r="F5095" s="596"/>
      <c r="G5095" s="65">
        <v>0</v>
      </c>
      <c r="H5095" s="591" t="s">
        <v>280</v>
      </c>
      <c r="I5095" s="591" t="s">
        <v>280</v>
      </c>
    </row>
    <row r="5096" spans="1:9">
      <c r="A5096" s="577"/>
      <c r="B5096" s="65">
        <v>5294</v>
      </c>
      <c r="C5096" s="579" t="s">
        <v>281</v>
      </c>
      <c r="D5096" s="579"/>
      <c r="E5096" s="583"/>
      <c r="F5096" s="596"/>
      <c r="G5096" s="65">
        <v>0</v>
      </c>
      <c r="H5096" s="591" t="s">
        <v>280</v>
      </c>
      <c r="I5096" s="591" t="s">
        <v>280</v>
      </c>
    </row>
    <row r="5097" spans="1:9">
      <c r="A5097" s="577"/>
      <c r="B5097" s="65">
        <v>5295</v>
      </c>
      <c r="C5097" s="579" t="s">
        <v>281</v>
      </c>
      <c r="D5097" s="579"/>
      <c r="E5097" s="583"/>
      <c r="F5097" s="596"/>
      <c r="G5097" s="65">
        <v>0</v>
      </c>
      <c r="H5097" s="591" t="s">
        <v>280</v>
      </c>
      <c r="I5097" s="591" t="s">
        <v>280</v>
      </c>
    </row>
    <row r="5098" spans="1:9">
      <c r="A5098" s="577"/>
      <c r="B5098" s="65">
        <v>5296</v>
      </c>
      <c r="C5098" s="579" t="s">
        <v>281</v>
      </c>
      <c r="D5098" s="579"/>
      <c r="E5098" s="583"/>
      <c r="F5098" s="596"/>
      <c r="G5098" s="65">
        <v>0</v>
      </c>
      <c r="H5098" s="591" t="s">
        <v>280</v>
      </c>
      <c r="I5098" s="591" t="s">
        <v>280</v>
      </c>
    </row>
    <row r="5099" spans="1:9">
      <c r="A5099" s="577"/>
      <c r="B5099" s="65">
        <v>5297</v>
      </c>
      <c r="C5099" s="579" t="s">
        <v>281</v>
      </c>
      <c r="D5099" s="579"/>
      <c r="E5099" s="583"/>
      <c r="F5099" s="596"/>
      <c r="G5099" s="65">
        <v>0</v>
      </c>
      <c r="H5099" s="591" t="s">
        <v>280</v>
      </c>
      <c r="I5099" s="591" t="s">
        <v>280</v>
      </c>
    </row>
    <row r="5100" spans="1:9">
      <c r="A5100" s="577"/>
      <c r="B5100" s="65">
        <v>5298</v>
      </c>
      <c r="C5100" s="579" t="s">
        <v>281</v>
      </c>
      <c r="D5100" s="579"/>
      <c r="E5100" s="583"/>
      <c r="F5100" s="596"/>
      <c r="G5100" s="65">
        <v>0</v>
      </c>
      <c r="H5100" s="591" t="s">
        <v>280</v>
      </c>
      <c r="I5100" s="591" t="s">
        <v>280</v>
      </c>
    </row>
    <row r="5101" spans="1:9">
      <c r="A5101" s="577"/>
      <c r="B5101" s="65">
        <v>5299</v>
      </c>
      <c r="C5101" s="579" t="s">
        <v>281</v>
      </c>
      <c r="D5101" s="579"/>
      <c r="E5101" s="583"/>
      <c r="F5101" s="596"/>
      <c r="G5101" s="65">
        <v>0</v>
      </c>
      <c r="H5101" s="591" t="s">
        <v>280</v>
      </c>
      <c r="I5101" s="591" t="s">
        <v>280</v>
      </c>
    </row>
    <row r="5102" spans="1:9">
      <c r="A5102" s="577"/>
      <c r="B5102" s="65">
        <v>5300</v>
      </c>
      <c r="C5102" s="579" t="s">
        <v>281</v>
      </c>
      <c r="D5102" s="579"/>
      <c r="E5102" s="583"/>
      <c r="F5102" s="596"/>
      <c r="G5102" s="65">
        <v>0</v>
      </c>
      <c r="H5102" s="591" t="s">
        <v>280</v>
      </c>
      <c r="I5102" s="591" t="s">
        <v>280</v>
      </c>
    </row>
    <row r="5103" spans="1:9">
      <c r="A5103" s="577"/>
      <c r="B5103" s="65">
        <v>5301</v>
      </c>
      <c r="C5103" s="579" t="s">
        <v>281</v>
      </c>
      <c r="D5103" s="579"/>
      <c r="E5103" s="583"/>
      <c r="F5103" s="596"/>
      <c r="G5103" s="65">
        <v>0</v>
      </c>
      <c r="H5103" s="591" t="s">
        <v>280</v>
      </c>
      <c r="I5103" s="591" t="s">
        <v>280</v>
      </c>
    </row>
    <row r="5104" spans="1:9">
      <c r="A5104" s="577"/>
      <c r="B5104" s="65">
        <v>5302</v>
      </c>
      <c r="C5104" s="579" t="s">
        <v>281</v>
      </c>
      <c r="D5104" s="579"/>
      <c r="E5104" s="583"/>
      <c r="F5104" s="596"/>
      <c r="G5104" s="65">
        <v>0</v>
      </c>
      <c r="H5104" s="591" t="s">
        <v>280</v>
      </c>
      <c r="I5104" s="591" t="s">
        <v>280</v>
      </c>
    </row>
    <row r="5105" spans="1:9">
      <c r="A5105" s="577"/>
      <c r="B5105" s="65">
        <v>5303</v>
      </c>
      <c r="C5105" s="579" t="s">
        <v>281</v>
      </c>
      <c r="D5105" s="579"/>
      <c r="E5105" s="583"/>
      <c r="F5105" s="596"/>
      <c r="G5105" s="65">
        <v>0</v>
      </c>
      <c r="H5105" s="591" t="s">
        <v>280</v>
      </c>
      <c r="I5105" s="591" t="s">
        <v>280</v>
      </c>
    </row>
    <row r="5106" spans="1:9">
      <c r="A5106" s="577"/>
      <c r="B5106" s="65">
        <v>5304</v>
      </c>
      <c r="C5106" s="579" t="s">
        <v>281</v>
      </c>
      <c r="D5106" s="579"/>
      <c r="E5106" s="583"/>
      <c r="F5106" s="596"/>
      <c r="G5106" s="65">
        <v>0</v>
      </c>
      <c r="H5106" s="591" t="s">
        <v>280</v>
      </c>
      <c r="I5106" s="591" t="s">
        <v>280</v>
      </c>
    </row>
    <row r="5107" spans="1:9">
      <c r="A5107" s="577"/>
      <c r="B5107" s="65">
        <v>5305</v>
      </c>
      <c r="C5107" s="579" t="s">
        <v>281</v>
      </c>
      <c r="D5107" s="579"/>
      <c r="E5107" s="583"/>
      <c r="F5107" s="596"/>
      <c r="G5107" s="65">
        <v>0</v>
      </c>
      <c r="H5107" s="591" t="s">
        <v>280</v>
      </c>
      <c r="I5107" s="591" t="s">
        <v>280</v>
      </c>
    </row>
    <row r="5108" spans="1:9">
      <c r="A5108" s="577"/>
      <c r="B5108" s="65">
        <v>5306</v>
      </c>
      <c r="C5108" s="579" t="s">
        <v>281</v>
      </c>
      <c r="D5108" s="579"/>
      <c r="E5108" s="583"/>
      <c r="F5108" s="596"/>
      <c r="G5108" s="65">
        <v>0</v>
      </c>
      <c r="H5108" s="591" t="s">
        <v>280</v>
      </c>
      <c r="I5108" s="591" t="s">
        <v>280</v>
      </c>
    </row>
    <row r="5109" spans="1:9">
      <c r="A5109" s="577"/>
      <c r="B5109" s="65">
        <v>5307</v>
      </c>
      <c r="C5109" s="579" t="s">
        <v>281</v>
      </c>
      <c r="D5109" s="579"/>
      <c r="E5109" s="583"/>
      <c r="F5109" s="596"/>
      <c r="G5109" s="65">
        <v>0</v>
      </c>
      <c r="H5109" s="591" t="s">
        <v>280</v>
      </c>
      <c r="I5109" s="591" t="s">
        <v>280</v>
      </c>
    </row>
    <row r="5110" spans="1:9">
      <c r="A5110" s="577"/>
      <c r="B5110" s="65">
        <v>5308</v>
      </c>
      <c r="C5110" s="579" t="s">
        <v>281</v>
      </c>
      <c r="D5110" s="579"/>
      <c r="E5110" s="583"/>
      <c r="F5110" s="596"/>
      <c r="G5110" s="65">
        <v>0</v>
      </c>
      <c r="H5110" s="591" t="s">
        <v>280</v>
      </c>
      <c r="I5110" s="591" t="s">
        <v>280</v>
      </c>
    </row>
    <row r="5111" spans="1:9">
      <c r="A5111" s="577"/>
      <c r="B5111" s="65">
        <v>5309</v>
      </c>
      <c r="C5111" s="579" t="s">
        <v>281</v>
      </c>
      <c r="D5111" s="579"/>
      <c r="E5111" s="583"/>
      <c r="F5111" s="596"/>
      <c r="G5111" s="65">
        <v>0</v>
      </c>
      <c r="H5111" s="591" t="s">
        <v>280</v>
      </c>
      <c r="I5111" s="591" t="s">
        <v>280</v>
      </c>
    </row>
    <row r="5112" spans="1:9">
      <c r="A5112" s="577"/>
      <c r="B5112" s="65">
        <v>5310</v>
      </c>
      <c r="C5112" s="579" t="s">
        <v>281</v>
      </c>
      <c r="D5112" s="579"/>
      <c r="E5112" s="583"/>
      <c r="F5112" s="596"/>
      <c r="G5112" s="65">
        <v>0</v>
      </c>
      <c r="H5112" s="591" t="s">
        <v>280</v>
      </c>
      <c r="I5112" s="591" t="s">
        <v>280</v>
      </c>
    </row>
    <row r="5113" spans="1:9">
      <c r="A5113" s="577"/>
      <c r="B5113" s="65">
        <v>5311</v>
      </c>
      <c r="C5113" s="579" t="s">
        <v>281</v>
      </c>
      <c r="D5113" s="579"/>
      <c r="E5113" s="583"/>
      <c r="F5113" s="596"/>
      <c r="G5113" s="65">
        <v>0</v>
      </c>
      <c r="H5113" s="591" t="s">
        <v>280</v>
      </c>
      <c r="I5113" s="591" t="s">
        <v>280</v>
      </c>
    </row>
    <row r="5114" spans="1:9">
      <c r="A5114" s="577"/>
      <c r="B5114" s="65">
        <v>5312</v>
      </c>
      <c r="C5114" s="579" t="s">
        <v>281</v>
      </c>
      <c r="D5114" s="579"/>
      <c r="E5114" s="583"/>
      <c r="F5114" s="596"/>
      <c r="G5114" s="65">
        <v>0</v>
      </c>
      <c r="H5114" s="591" t="s">
        <v>280</v>
      </c>
      <c r="I5114" s="591" t="s">
        <v>280</v>
      </c>
    </row>
    <row r="5115" spans="1:9">
      <c r="A5115" s="577"/>
      <c r="B5115" s="65">
        <v>5313</v>
      </c>
      <c r="C5115" s="579" t="s">
        <v>281</v>
      </c>
      <c r="D5115" s="579"/>
      <c r="E5115" s="583"/>
      <c r="F5115" s="596"/>
      <c r="G5115" s="65">
        <v>0</v>
      </c>
      <c r="H5115" s="591" t="s">
        <v>280</v>
      </c>
      <c r="I5115" s="591" t="s">
        <v>280</v>
      </c>
    </row>
    <row r="5116" spans="1:9">
      <c r="A5116" s="577"/>
      <c r="B5116" s="65">
        <v>5314</v>
      </c>
      <c r="C5116" s="579" t="s">
        <v>281</v>
      </c>
      <c r="D5116" s="579"/>
      <c r="E5116" s="583"/>
      <c r="F5116" s="596"/>
      <c r="G5116" s="65">
        <v>0</v>
      </c>
      <c r="H5116" s="591" t="s">
        <v>280</v>
      </c>
      <c r="I5116" s="591" t="s">
        <v>280</v>
      </c>
    </row>
    <row r="5117" spans="1:9">
      <c r="A5117" s="577"/>
      <c r="B5117" s="65">
        <v>5315</v>
      </c>
      <c r="C5117" s="579" t="s">
        <v>281</v>
      </c>
      <c r="D5117" s="579"/>
      <c r="E5117" s="583"/>
      <c r="F5117" s="596"/>
      <c r="G5117" s="65">
        <v>0</v>
      </c>
      <c r="H5117" s="591" t="s">
        <v>280</v>
      </c>
      <c r="I5117" s="591" t="s">
        <v>280</v>
      </c>
    </row>
    <row r="5118" spans="1:9">
      <c r="A5118" s="577"/>
      <c r="B5118" s="65">
        <v>5316</v>
      </c>
      <c r="C5118" s="579" t="s">
        <v>281</v>
      </c>
      <c r="D5118" s="579"/>
      <c r="E5118" s="583"/>
      <c r="F5118" s="596"/>
      <c r="G5118" s="65">
        <v>0</v>
      </c>
      <c r="H5118" s="591" t="s">
        <v>280</v>
      </c>
      <c r="I5118" s="591" t="s">
        <v>280</v>
      </c>
    </row>
    <row r="5119" spans="1:9">
      <c r="A5119" s="577"/>
      <c r="B5119" s="65">
        <v>5317</v>
      </c>
      <c r="C5119" s="579" t="s">
        <v>281</v>
      </c>
      <c r="D5119" s="579"/>
      <c r="E5119" s="583"/>
      <c r="F5119" s="596"/>
      <c r="G5119" s="65">
        <v>0</v>
      </c>
      <c r="H5119" s="591" t="s">
        <v>280</v>
      </c>
      <c r="I5119" s="591" t="s">
        <v>280</v>
      </c>
    </row>
    <row r="5120" spans="1:9">
      <c r="A5120" s="577"/>
      <c r="B5120" s="65">
        <v>5318</v>
      </c>
      <c r="C5120" s="579" t="s">
        <v>281</v>
      </c>
      <c r="D5120" s="579"/>
      <c r="E5120" s="583"/>
      <c r="F5120" s="596"/>
      <c r="G5120" s="65">
        <v>0</v>
      </c>
      <c r="H5120" s="591" t="s">
        <v>280</v>
      </c>
      <c r="I5120" s="591" t="s">
        <v>280</v>
      </c>
    </row>
    <row r="5121" spans="1:9">
      <c r="A5121" s="577"/>
      <c r="B5121" s="65">
        <v>5319</v>
      </c>
      <c r="C5121" s="579" t="s">
        <v>281</v>
      </c>
      <c r="D5121" s="579"/>
      <c r="E5121" s="583"/>
      <c r="F5121" s="596"/>
      <c r="G5121" s="65">
        <v>0</v>
      </c>
      <c r="H5121" s="591" t="s">
        <v>280</v>
      </c>
      <c r="I5121" s="591" t="s">
        <v>280</v>
      </c>
    </row>
    <row r="5122" spans="1:9">
      <c r="A5122" s="577"/>
      <c r="B5122" s="65">
        <v>5320</v>
      </c>
      <c r="C5122" s="579" t="s">
        <v>281</v>
      </c>
      <c r="D5122" s="579"/>
      <c r="E5122" s="583"/>
      <c r="F5122" s="596"/>
      <c r="G5122" s="65">
        <v>0</v>
      </c>
      <c r="H5122" s="591" t="s">
        <v>280</v>
      </c>
      <c r="I5122" s="591" t="s">
        <v>280</v>
      </c>
    </row>
    <row r="5123" spans="1:9">
      <c r="A5123" s="577"/>
      <c r="B5123" s="65">
        <v>5321</v>
      </c>
      <c r="C5123" s="579" t="s">
        <v>281</v>
      </c>
      <c r="D5123" s="579"/>
      <c r="E5123" s="583"/>
      <c r="F5123" s="596"/>
      <c r="G5123" s="65">
        <v>0</v>
      </c>
      <c r="H5123" s="591" t="s">
        <v>280</v>
      </c>
      <c r="I5123" s="591" t="s">
        <v>280</v>
      </c>
    </row>
    <row r="5124" spans="1:9">
      <c r="A5124" s="577"/>
      <c r="B5124" s="65">
        <v>5322</v>
      </c>
      <c r="C5124" s="579" t="s">
        <v>281</v>
      </c>
      <c r="D5124" s="579"/>
      <c r="E5124" s="583"/>
      <c r="F5124" s="596"/>
      <c r="G5124" s="65">
        <v>0</v>
      </c>
      <c r="H5124" s="591" t="s">
        <v>280</v>
      </c>
      <c r="I5124" s="591" t="s">
        <v>280</v>
      </c>
    </row>
    <row r="5125" spans="1:9">
      <c r="A5125" s="577"/>
      <c r="B5125" s="65">
        <v>5323</v>
      </c>
      <c r="C5125" s="579" t="s">
        <v>281</v>
      </c>
      <c r="D5125" s="579"/>
      <c r="E5125" s="583"/>
      <c r="F5125" s="596"/>
      <c r="G5125" s="65">
        <v>0</v>
      </c>
      <c r="H5125" s="591" t="s">
        <v>280</v>
      </c>
      <c r="I5125" s="591" t="s">
        <v>280</v>
      </c>
    </row>
    <row r="5126" spans="1:9">
      <c r="A5126" s="577"/>
      <c r="B5126" s="65">
        <v>5324</v>
      </c>
      <c r="C5126" s="579" t="s">
        <v>281</v>
      </c>
      <c r="D5126" s="579"/>
      <c r="E5126" s="583"/>
      <c r="F5126" s="596"/>
      <c r="G5126" s="65">
        <v>0</v>
      </c>
      <c r="H5126" s="591" t="s">
        <v>280</v>
      </c>
      <c r="I5126" s="591" t="s">
        <v>280</v>
      </c>
    </row>
    <row r="5127" spans="1:9">
      <c r="A5127" s="577"/>
      <c r="B5127" s="65">
        <v>5325</v>
      </c>
      <c r="C5127" s="579" t="s">
        <v>281</v>
      </c>
      <c r="D5127" s="579"/>
      <c r="E5127" s="583"/>
      <c r="F5127" s="596"/>
      <c r="G5127" s="65">
        <v>0</v>
      </c>
      <c r="H5127" s="591" t="s">
        <v>280</v>
      </c>
      <c r="I5127" s="591" t="s">
        <v>280</v>
      </c>
    </row>
    <row r="5128" spans="1:9">
      <c r="A5128" s="577"/>
      <c r="B5128" s="65">
        <v>5326</v>
      </c>
      <c r="C5128" s="579" t="s">
        <v>281</v>
      </c>
      <c r="D5128" s="579"/>
      <c r="E5128" s="583"/>
      <c r="F5128" s="596"/>
      <c r="G5128" s="65">
        <v>0</v>
      </c>
      <c r="H5128" s="591" t="s">
        <v>280</v>
      </c>
      <c r="I5128" s="591" t="s">
        <v>280</v>
      </c>
    </row>
    <row r="5129" spans="1:9">
      <c r="A5129" s="577"/>
      <c r="B5129" s="65">
        <v>5327</v>
      </c>
      <c r="C5129" s="579" t="s">
        <v>281</v>
      </c>
      <c r="D5129" s="579"/>
      <c r="E5129" s="583"/>
      <c r="F5129" s="596"/>
      <c r="G5129" s="65">
        <v>0</v>
      </c>
      <c r="H5129" s="591" t="s">
        <v>280</v>
      </c>
      <c r="I5129" s="591" t="s">
        <v>280</v>
      </c>
    </row>
    <row r="5130" spans="1:9">
      <c r="A5130" s="577"/>
      <c r="B5130" s="65">
        <v>5328</v>
      </c>
      <c r="C5130" s="579" t="s">
        <v>281</v>
      </c>
      <c r="D5130" s="579"/>
      <c r="E5130" s="583"/>
      <c r="F5130" s="596"/>
      <c r="G5130" s="65">
        <v>0</v>
      </c>
      <c r="H5130" s="591" t="s">
        <v>280</v>
      </c>
      <c r="I5130" s="591" t="s">
        <v>280</v>
      </c>
    </row>
    <row r="5131" spans="1:9">
      <c r="A5131" s="577"/>
      <c r="B5131" s="65">
        <v>5329</v>
      </c>
      <c r="C5131" s="579" t="s">
        <v>281</v>
      </c>
      <c r="D5131" s="579"/>
      <c r="E5131" s="583"/>
      <c r="F5131" s="596"/>
      <c r="G5131" s="65">
        <v>0</v>
      </c>
      <c r="H5131" s="591" t="s">
        <v>280</v>
      </c>
      <c r="I5131" s="591" t="s">
        <v>280</v>
      </c>
    </row>
    <row r="5132" spans="1:9">
      <c r="A5132" s="577"/>
      <c r="B5132" s="65">
        <v>5330</v>
      </c>
      <c r="C5132" s="579" t="s">
        <v>281</v>
      </c>
      <c r="D5132" s="579"/>
      <c r="E5132" s="583"/>
      <c r="F5132" s="596"/>
      <c r="G5132" s="65">
        <v>0</v>
      </c>
      <c r="H5132" s="591" t="s">
        <v>280</v>
      </c>
      <c r="I5132" s="591" t="s">
        <v>280</v>
      </c>
    </row>
    <row r="5133" spans="1:9">
      <c r="A5133" s="577"/>
      <c r="B5133" s="65">
        <v>5331</v>
      </c>
      <c r="C5133" s="579" t="s">
        <v>281</v>
      </c>
      <c r="D5133" s="579"/>
      <c r="E5133" s="583"/>
      <c r="F5133" s="596"/>
      <c r="G5133" s="65">
        <v>0</v>
      </c>
      <c r="H5133" s="591" t="s">
        <v>280</v>
      </c>
      <c r="I5133" s="591" t="s">
        <v>280</v>
      </c>
    </row>
    <row r="5134" spans="1:9">
      <c r="A5134" s="577"/>
      <c r="B5134" s="65">
        <v>5332</v>
      </c>
      <c r="C5134" s="579" t="s">
        <v>281</v>
      </c>
      <c r="D5134" s="579"/>
      <c r="E5134" s="583"/>
      <c r="F5134" s="596"/>
      <c r="G5134" s="65">
        <v>0</v>
      </c>
      <c r="H5134" s="591" t="s">
        <v>280</v>
      </c>
      <c r="I5134" s="591" t="s">
        <v>280</v>
      </c>
    </row>
    <row r="5135" spans="1:9">
      <c r="A5135" s="577"/>
      <c r="B5135" s="65">
        <v>5333</v>
      </c>
      <c r="C5135" s="579" t="s">
        <v>281</v>
      </c>
      <c r="D5135" s="579"/>
      <c r="E5135" s="583"/>
      <c r="F5135" s="596"/>
      <c r="G5135" s="65">
        <v>0</v>
      </c>
      <c r="H5135" s="591" t="s">
        <v>280</v>
      </c>
      <c r="I5135" s="591" t="s">
        <v>280</v>
      </c>
    </row>
    <row r="5136" spans="1:9">
      <c r="A5136" s="577"/>
      <c r="B5136" s="65">
        <v>5334</v>
      </c>
      <c r="C5136" s="579" t="s">
        <v>281</v>
      </c>
      <c r="D5136" s="579"/>
      <c r="E5136" s="583"/>
      <c r="F5136" s="596"/>
      <c r="G5136" s="65">
        <v>0</v>
      </c>
      <c r="H5136" s="591" t="s">
        <v>280</v>
      </c>
      <c r="I5136" s="591" t="s">
        <v>280</v>
      </c>
    </row>
    <row r="5137" spans="1:9">
      <c r="A5137" s="577"/>
      <c r="B5137" s="65">
        <v>5335</v>
      </c>
      <c r="C5137" s="579" t="s">
        <v>281</v>
      </c>
      <c r="D5137" s="579"/>
      <c r="E5137" s="583"/>
      <c r="F5137" s="596"/>
      <c r="G5137" s="65">
        <v>0</v>
      </c>
      <c r="H5137" s="591" t="s">
        <v>280</v>
      </c>
      <c r="I5137" s="591" t="s">
        <v>280</v>
      </c>
    </row>
    <row r="5138" spans="1:9">
      <c r="A5138" s="577"/>
      <c r="B5138" s="65">
        <v>5336</v>
      </c>
      <c r="C5138" s="579" t="s">
        <v>281</v>
      </c>
      <c r="D5138" s="579"/>
      <c r="E5138" s="583"/>
      <c r="F5138" s="596"/>
      <c r="G5138" s="65">
        <v>0</v>
      </c>
      <c r="H5138" s="591" t="s">
        <v>280</v>
      </c>
      <c r="I5138" s="591" t="s">
        <v>280</v>
      </c>
    </row>
    <row r="5139" spans="1:9">
      <c r="A5139" s="577"/>
      <c r="B5139" s="65">
        <v>5337</v>
      </c>
      <c r="C5139" s="579" t="s">
        <v>281</v>
      </c>
      <c r="D5139" s="579"/>
      <c r="E5139" s="583"/>
      <c r="F5139" s="596"/>
      <c r="G5139" s="65">
        <v>0</v>
      </c>
      <c r="H5139" s="591" t="s">
        <v>280</v>
      </c>
      <c r="I5139" s="591" t="s">
        <v>280</v>
      </c>
    </row>
    <row r="5140" spans="1:9">
      <c r="A5140" s="577"/>
      <c r="B5140" s="65">
        <v>5338</v>
      </c>
      <c r="C5140" s="579" t="s">
        <v>281</v>
      </c>
      <c r="D5140" s="579"/>
      <c r="E5140" s="583"/>
      <c r="F5140" s="596"/>
      <c r="G5140" s="65">
        <v>0</v>
      </c>
      <c r="H5140" s="591" t="s">
        <v>280</v>
      </c>
      <c r="I5140" s="591" t="s">
        <v>280</v>
      </c>
    </row>
    <row r="5141" spans="1:9">
      <c r="A5141" s="577"/>
      <c r="B5141" s="65">
        <v>5339</v>
      </c>
      <c r="C5141" s="579" t="s">
        <v>281</v>
      </c>
      <c r="D5141" s="579"/>
      <c r="E5141" s="583"/>
      <c r="F5141" s="596"/>
      <c r="G5141" s="65">
        <v>0</v>
      </c>
      <c r="H5141" s="591" t="s">
        <v>280</v>
      </c>
      <c r="I5141" s="591" t="s">
        <v>280</v>
      </c>
    </row>
    <row r="5142" spans="1:9">
      <c r="A5142" s="577"/>
      <c r="B5142" s="65">
        <v>5340</v>
      </c>
      <c r="C5142" s="579" t="s">
        <v>281</v>
      </c>
      <c r="D5142" s="579"/>
      <c r="E5142" s="583"/>
      <c r="F5142" s="596"/>
      <c r="G5142" s="65">
        <v>0</v>
      </c>
      <c r="H5142" s="591" t="s">
        <v>280</v>
      </c>
      <c r="I5142" s="591" t="s">
        <v>280</v>
      </c>
    </row>
    <row r="5143" spans="1:9">
      <c r="A5143" s="577"/>
      <c r="B5143" s="65">
        <v>5341</v>
      </c>
      <c r="C5143" s="579" t="s">
        <v>281</v>
      </c>
      <c r="D5143" s="579"/>
      <c r="E5143" s="583"/>
      <c r="F5143" s="596"/>
      <c r="G5143" s="65">
        <v>0</v>
      </c>
      <c r="H5143" s="591" t="s">
        <v>280</v>
      </c>
      <c r="I5143" s="591" t="s">
        <v>280</v>
      </c>
    </row>
    <row r="5144" spans="1:9">
      <c r="A5144" s="577"/>
      <c r="B5144" s="65">
        <v>5342</v>
      </c>
      <c r="C5144" s="579" t="s">
        <v>281</v>
      </c>
      <c r="D5144" s="579"/>
      <c r="E5144" s="583"/>
      <c r="F5144" s="596"/>
      <c r="G5144" s="65">
        <v>0</v>
      </c>
      <c r="H5144" s="591" t="s">
        <v>280</v>
      </c>
      <c r="I5144" s="591" t="s">
        <v>280</v>
      </c>
    </row>
    <row r="5145" spans="1:9">
      <c r="A5145" s="577"/>
      <c r="B5145" s="65">
        <v>5343</v>
      </c>
      <c r="C5145" s="579" t="s">
        <v>281</v>
      </c>
      <c r="D5145" s="579"/>
      <c r="E5145" s="583"/>
      <c r="F5145" s="596"/>
      <c r="G5145" s="65">
        <v>0</v>
      </c>
      <c r="H5145" s="591" t="s">
        <v>280</v>
      </c>
      <c r="I5145" s="591" t="s">
        <v>280</v>
      </c>
    </row>
    <row r="5146" spans="1:9">
      <c r="A5146" s="577"/>
      <c r="B5146" s="65">
        <v>5344</v>
      </c>
      <c r="C5146" s="579" t="s">
        <v>281</v>
      </c>
      <c r="D5146" s="579"/>
      <c r="E5146" s="583"/>
      <c r="F5146" s="596"/>
      <c r="G5146" s="65">
        <v>0</v>
      </c>
      <c r="H5146" s="591" t="s">
        <v>280</v>
      </c>
      <c r="I5146" s="591" t="s">
        <v>280</v>
      </c>
    </row>
    <row r="5147" spans="1:9">
      <c r="A5147" s="577"/>
      <c r="B5147" s="65">
        <v>5345</v>
      </c>
      <c r="C5147" s="579" t="s">
        <v>281</v>
      </c>
      <c r="D5147" s="579"/>
      <c r="E5147" s="583"/>
      <c r="F5147" s="596"/>
      <c r="G5147" s="65">
        <v>0</v>
      </c>
      <c r="H5147" s="591" t="s">
        <v>280</v>
      </c>
      <c r="I5147" s="591" t="s">
        <v>280</v>
      </c>
    </row>
    <row r="5148" spans="1:9">
      <c r="A5148" s="577"/>
      <c r="B5148" s="65">
        <v>5346</v>
      </c>
      <c r="C5148" s="579" t="s">
        <v>281</v>
      </c>
      <c r="D5148" s="579"/>
      <c r="E5148" s="583"/>
      <c r="F5148" s="596"/>
      <c r="G5148" s="65">
        <v>0</v>
      </c>
      <c r="H5148" s="591" t="s">
        <v>280</v>
      </c>
      <c r="I5148" s="591" t="s">
        <v>280</v>
      </c>
    </row>
    <row r="5149" spans="1:9">
      <c r="A5149" s="577"/>
      <c r="B5149" s="65">
        <v>5347</v>
      </c>
      <c r="C5149" s="579" t="s">
        <v>281</v>
      </c>
      <c r="D5149" s="579"/>
      <c r="E5149" s="583"/>
      <c r="F5149" s="596"/>
      <c r="G5149" s="65">
        <v>0</v>
      </c>
      <c r="H5149" s="591" t="s">
        <v>280</v>
      </c>
      <c r="I5149" s="591" t="s">
        <v>280</v>
      </c>
    </row>
    <row r="5150" spans="1:9">
      <c r="A5150" s="577"/>
      <c r="B5150" s="65">
        <v>5348</v>
      </c>
      <c r="C5150" s="579" t="s">
        <v>281</v>
      </c>
      <c r="D5150" s="579"/>
      <c r="E5150" s="583"/>
      <c r="F5150" s="596"/>
      <c r="G5150" s="65">
        <v>0</v>
      </c>
      <c r="H5150" s="591" t="s">
        <v>280</v>
      </c>
      <c r="I5150" s="591" t="s">
        <v>280</v>
      </c>
    </row>
    <row r="5151" spans="1:9">
      <c r="A5151" s="577"/>
      <c r="B5151" s="65">
        <v>5349</v>
      </c>
      <c r="C5151" s="579" t="s">
        <v>281</v>
      </c>
      <c r="D5151" s="579"/>
      <c r="E5151" s="583"/>
      <c r="F5151" s="596"/>
      <c r="G5151" s="65">
        <v>0</v>
      </c>
      <c r="H5151" s="591" t="s">
        <v>280</v>
      </c>
      <c r="I5151" s="591" t="s">
        <v>280</v>
      </c>
    </row>
    <row r="5152" spans="1:9">
      <c r="A5152" s="577"/>
      <c r="B5152" s="65">
        <v>5350</v>
      </c>
      <c r="C5152" s="579" t="s">
        <v>281</v>
      </c>
      <c r="D5152" s="579"/>
      <c r="E5152" s="583"/>
      <c r="F5152" s="596"/>
      <c r="G5152" s="65">
        <v>0</v>
      </c>
      <c r="H5152" s="591" t="s">
        <v>280</v>
      </c>
      <c r="I5152" s="591" t="s">
        <v>280</v>
      </c>
    </row>
    <row r="5153" spans="1:9">
      <c r="A5153" s="577"/>
      <c r="B5153" s="65">
        <v>5351</v>
      </c>
      <c r="C5153" s="579" t="s">
        <v>281</v>
      </c>
      <c r="D5153" s="579"/>
      <c r="E5153" s="583"/>
      <c r="F5153" s="596"/>
      <c r="G5153" s="65">
        <v>0</v>
      </c>
      <c r="H5153" s="591" t="s">
        <v>280</v>
      </c>
      <c r="I5153" s="591" t="s">
        <v>280</v>
      </c>
    </row>
    <row r="5154" spans="1:9">
      <c r="A5154" s="577"/>
      <c r="B5154" s="65">
        <v>5352</v>
      </c>
      <c r="C5154" s="579" t="s">
        <v>281</v>
      </c>
      <c r="D5154" s="579"/>
      <c r="E5154" s="583"/>
      <c r="F5154" s="596"/>
      <c r="G5154" s="65">
        <v>0</v>
      </c>
      <c r="H5154" s="591" t="s">
        <v>280</v>
      </c>
      <c r="I5154" s="591" t="s">
        <v>280</v>
      </c>
    </row>
    <row r="5155" spans="1:9">
      <c r="A5155" s="577"/>
      <c r="B5155" s="65">
        <v>5353</v>
      </c>
      <c r="C5155" s="579" t="s">
        <v>281</v>
      </c>
      <c r="D5155" s="579"/>
      <c r="E5155" s="583"/>
      <c r="F5155" s="596"/>
      <c r="G5155" s="65">
        <v>0</v>
      </c>
      <c r="H5155" s="591" t="s">
        <v>280</v>
      </c>
      <c r="I5155" s="591" t="s">
        <v>280</v>
      </c>
    </row>
    <row r="5156" spans="1:9">
      <c r="A5156" s="577"/>
      <c r="B5156" s="65">
        <v>5354</v>
      </c>
      <c r="C5156" s="579" t="s">
        <v>281</v>
      </c>
      <c r="D5156" s="579"/>
      <c r="E5156" s="583"/>
      <c r="F5156" s="596"/>
      <c r="G5156" s="65">
        <v>0</v>
      </c>
      <c r="H5156" s="591" t="s">
        <v>280</v>
      </c>
      <c r="I5156" s="591" t="s">
        <v>280</v>
      </c>
    </row>
    <row r="5157" spans="1:9">
      <c r="A5157" s="577"/>
      <c r="B5157" s="65">
        <v>5355</v>
      </c>
      <c r="C5157" s="579" t="s">
        <v>281</v>
      </c>
      <c r="D5157" s="579"/>
      <c r="E5157" s="583"/>
      <c r="F5157" s="596"/>
      <c r="G5157" s="65">
        <v>0</v>
      </c>
      <c r="H5157" s="591" t="s">
        <v>280</v>
      </c>
      <c r="I5157" s="591" t="s">
        <v>280</v>
      </c>
    </row>
    <row r="5158" spans="1:9">
      <c r="A5158" s="577"/>
      <c r="B5158" s="65">
        <v>5356</v>
      </c>
      <c r="C5158" s="579" t="s">
        <v>281</v>
      </c>
      <c r="D5158" s="579"/>
      <c r="E5158" s="583"/>
      <c r="F5158" s="596"/>
      <c r="G5158" s="65">
        <v>0</v>
      </c>
      <c r="H5158" s="591" t="s">
        <v>280</v>
      </c>
      <c r="I5158" s="591" t="s">
        <v>280</v>
      </c>
    </row>
    <row r="5159" spans="1:9">
      <c r="A5159" s="577"/>
      <c r="B5159" s="65">
        <v>5357</v>
      </c>
      <c r="C5159" s="579" t="s">
        <v>281</v>
      </c>
      <c r="D5159" s="579"/>
      <c r="E5159" s="583"/>
      <c r="F5159" s="596"/>
      <c r="G5159" s="65">
        <v>0</v>
      </c>
      <c r="H5159" s="591" t="s">
        <v>280</v>
      </c>
      <c r="I5159" s="591" t="s">
        <v>280</v>
      </c>
    </row>
    <row r="5160" spans="1:9">
      <c r="A5160" s="577"/>
      <c r="B5160" s="65">
        <v>5358</v>
      </c>
      <c r="C5160" s="579" t="s">
        <v>281</v>
      </c>
      <c r="D5160" s="579"/>
      <c r="E5160" s="583"/>
      <c r="F5160" s="596"/>
      <c r="G5160" s="65">
        <v>0</v>
      </c>
      <c r="H5160" s="591" t="s">
        <v>280</v>
      </c>
      <c r="I5160" s="591" t="s">
        <v>280</v>
      </c>
    </row>
    <row r="5161" spans="1:9">
      <c r="A5161" s="577"/>
      <c r="B5161" s="65">
        <v>5359</v>
      </c>
      <c r="C5161" s="579" t="s">
        <v>281</v>
      </c>
      <c r="D5161" s="579"/>
      <c r="E5161" s="583"/>
      <c r="F5161" s="596"/>
      <c r="G5161" s="65">
        <v>0</v>
      </c>
      <c r="H5161" s="591" t="s">
        <v>280</v>
      </c>
      <c r="I5161" s="591" t="s">
        <v>280</v>
      </c>
    </row>
    <row r="5162" spans="1:9">
      <c r="A5162" s="577"/>
      <c r="B5162" s="65">
        <v>5360</v>
      </c>
      <c r="C5162" s="579" t="s">
        <v>281</v>
      </c>
      <c r="D5162" s="579"/>
      <c r="E5162" s="583"/>
      <c r="F5162" s="596"/>
      <c r="G5162" s="65">
        <v>0</v>
      </c>
      <c r="H5162" s="591" t="s">
        <v>280</v>
      </c>
      <c r="I5162" s="591" t="s">
        <v>280</v>
      </c>
    </row>
    <row r="5163" spans="1:9">
      <c r="A5163" s="577"/>
      <c r="B5163" s="65">
        <v>5361</v>
      </c>
      <c r="C5163" s="579" t="s">
        <v>281</v>
      </c>
      <c r="D5163" s="579"/>
      <c r="E5163" s="583"/>
      <c r="F5163" s="596"/>
      <c r="G5163" s="65">
        <v>0</v>
      </c>
      <c r="H5163" s="591" t="s">
        <v>280</v>
      </c>
      <c r="I5163" s="591" t="s">
        <v>280</v>
      </c>
    </row>
    <row r="5164" spans="1:9">
      <c r="A5164" s="577"/>
      <c r="B5164" s="65">
        <v>5362</v>
      </c>
      <c r="C5164" s="579" t="s">
        <v>281</v>
      </c>
      <c r="D5164" s="579"/>
      <c r="E5164" s="583"/>
      <c r="F5164" s="596"/>
      <c r="G5164" s="65">
        <v>0</v>
      </c>
      <c r="H5164" s="591" t="s">
        <v>280</v>
      </c>
      <c r="I5164" s="591" t="s">
        <v>280</v>
      </c>
    </row>
    <row r="5165" spans="1:9">
      <c r="A5165" s="577"/>
      <c r="B5165" s="65">
        <v>5363</v>
      </c>
      <c r="C5165" s="579" t="s">
        <v>281</v>
      </c>
      <c r="D5165" s="579"/>
      <c r="E5165" s="583"/>
      <c r="F5165" s="596"/>
      <c r="G5165" s="65">
        <v>0</v>
      </c>
      <c r="H5165" s="591" t="s">
        <v>280</v>
      </c>
      <c r="I5165" s="591" t="s">
        <v>280</v>
      </c>
    </row>
    <row r="5166" spans="1:9">
      <c r="A5166" s="577"/>
      <c r="B5166" s="65">
        <v>5364</v>
      </c>
      <c r="C5166" s="579" t="s">
        <v>281</v>
      </c>
      <c r="D5166" s="579"/>
      <c r="E5166" s="583"/>
      <c r="F5166" s="596"/>
      <c r="G5166" s="65">
        <v>0</v>
      </c>
      <c r="H5166" s="591" t="s">
        <v>280</v>
      </c>
      <c r="I5166" s="591" t="s">
        <v>280</v>
      </c>
    </row>
    <row r="5167" spans="1:9">
      <c r="A5167" s="577"/>
      <c r="B5167" s="65">
        <v>5365</v>
      </c>
      <c r="C5167" s="579" t="s">
        <v>281</v>
      </c>
      <c r="D5167" s="579"/>
      <c r="E5167" s="583"/>
      <c r="F5167" s="596"/>
      <c r="G5167" s="65">
        <v>0</v>
      </c>
      <c r="H5167" s="591" t="s">
        <v>280</v>
      </c>
      <c r="I5167" s="591" t="s">
        <v>280</v>
      </c>
    </row>
    <row r="5168" spans="1:9">
      <c r="A5168" s="577"/>
      <c r="B5168" s="65">
        <v>5366</v>
      </c>
      <c r="C5168" s="579" t="s">
        <v>281</v>
      </c>
      <c r="D5168" s="579"/>
      <c r="E5168" s="583"/>
      <c r="F5168" s="596"/>
      <c r="G5168" s="65">
        <v>0</v>
      </c>
      <c r="H5168" s="591" t="s">
        <v>280</v>
      </c>
      <c r="I5168" s="591" t="s">
        <v>280</v>
      </c>
    </row>
    <row r="5169" spans="1:9">
      <c r="A5169" s="577"/>
      <c r="B5169" s="65">
        <v>5367</v>
      </c>
      <c r="C5169" s="579" t="s">
        <v>281</v>
      </c>
      <c r="D5169" s="579"/>
      <c r="E5169" s="583"/>
      <c r="F5169" s="596"/>
      <c r="G5169" s="65">
        <v>0</v>
      </c>
      <c r="H5169" s="591" t="s">
        <v>280</v>
      </c>
      <c r="I5169" s="591" t="s">
        <v>280</v>
      </c>
    </row>
    <row r="5170" spans="1:9">
      <c r="A5170" s="577"/>
      <c r="B5170" s="65">
        <v>5368</v>
      </c>
      <c r="C5170" s="579" t="s">
        <v>281</v>
      </c>
      <c r="D5170" s="579"/>
      <c r="E5170" s="583"/>
      <c r="F5170" s="596"/>
      <c r="G5170" s="65">
        <v>0</v>
      </c>
      <c r="H5170" s="591" t="s">
        <v>280</v>
      </c>
      <c r="I5170" s="591" t="s">
        <v>280</v>
      </c>
    </row>
    <row r="5171" spans="1:9">
      <c r="A5171" s="577"/>
      <c r="B5171" s="65">
        <v>5369</v>
      </c>
      <c r="C5171" s="579" t="s">
        <v>281</v>
      </c>
      <c r="D5171" s="579"/>
      <c r="E5171" s="583"/>
      <c r="F5171" s="596"/>
      <c r="G5171" s="65">
        <v>0</v>
      </c>
      <c r="H5171" s="591" t="s">
        <v>280</v>
      </c>
      <c r="I5171" s="591" t="s">
        <v>280</v>
      </c>
    </row>
    <row r="5172" spans="1:9">
      <c r="A5172" s="577"/>
      <c r="B5172" s="65">
        <v>5370</v>
      </c>
      <c r="C5172" s="579" t="s">
        <v>281</v>
      </c>
      <c r="D5172" s="579"/>
      <c r="E5172" s="583"/>
      <c r="F5172" s="596"/>
      <c r="G5172" s="65">
        <v>0</v>
      </c>
      <c r="H5172" s="591" t="s">
        <v>280</v>
      </c>
      <c r="I5172" s="591" t="s">
        <v>280</v>
      </c>
    </row>
    <row r="5173" spans="1:9">
      <c r="A5173" s="577"/>
      <c r="B5173" s="65">
        <v>5371</v>
      </c>
      <c r="C5173" s="579" t="s">
        <v>281</v>
      </c>
      <c r="D5173" s="579"/>
      <c r="E5173" s="583"/>
      <c r="F5173" s="596"/>
      <c r="G5173" s="65">
        <v>0</v>
      </c>
      <c r="H5173" s="591" t="s">
        <v>280</v>
      </c>
      <c r="I5173" s="591" t="s">
        <v>280</v>
      </c>
    </row>
    <row r="5174" spans="1:9">
      <c r="A5174" s="577"/>
      <c r="B5174" s="65">
        <v>5372</v>
      </c>
      <c r="C5174" s="579" t="s">
        <v>281</v>
      </c>
      <c r="D5174" s="579"/>
      <c r="E5174" s="583"/>
      <c r="F5174" s="596"/>
      <c r="G5174" s="65">
        <v>0</v>
      </c>
      <c r="H5174" s="591" t="s">
        <v>280</v>
      </c>
      <c r="I5174" s="591" t="s">
        <v>280</v>
      </c>
    </row>
    <row r="5175" spans="1:9">
      <c r="A5175" s="577"/>
      <c r="B5175" s="65">
        <v>5373</v>
      </c>
      <c r="C5175" s="579" t="s">
        <v>281</v>
      </c>
      <c r="D5175" s="579"/>
      <c r="E5175" s="583"/>
      <c r="F5175" s="596"/>
      <c r="G5175" s="65">
        <v>0</v>
      </c>
      <c r="H5175" s="591" t="s">
        <v>280</v>
      </c>
      <c r="I5175" s="591" t="s">
        <v>280</v>
      </c>
    </row>
    <row r="5176" spans="1:9">
      <c r="A5176" s="577"/>
      <c r="B5176" s="65">
        <v>5374</v>
      </c>
      <c r="C5176" s="579" t="s">
        <v>281</v>
      </c>
      <c r="D5176" s="579"/>
      <c r="E5176" s="583"/>
      <c r="F5176" s="596"/>
      <c r="G5176" s="65">
        <v>0</v>
      </c>
      <c r="H5176" s="591" t="s">
        <v>280</v>
      </c>
      <c r="I5176" s="591" t="s">
        <v>280</v>
      </c>
    </row>
    <row r="5177" spans="1:9">
      <c r="A5177" s="577"/>
      <c r="B5177" s="65">
        <v>5375</v>
      </c>
      <c r="C5177" s="579" t="s">
        <v>281</v>
      </c>
      <c r="D5177" s="579"/>
      <c r="E5177" s="583"/>
      <c r="F5177" s="596"/>
      <c r="G5177" s="65">
        <v>0</v>
      </c>
      <c r="H5177" s="591" t="s">
        <v>280</v>
      </c>
      <c r="I5177" s="591" t="s">
        <v>280</v>
      </c>
    </row>
    <row r="5178" spans="1:9">
      <c r="A5178" s="577"/>
      <c r="B5178" s="65">
        <v>5376</v>
      </c>
      <c r="C5178" s="579" t="s">
        <v>281</v>
      </c>
      <c r="D5178" s="579"/>
      <c r="E5178" s="583"/>
      <c r="F5178" s="596"/>
      <c r="G5178" s="65">
        <v>0</v>
      </c>
      <c r="H5178" s="591" t="s">
        <v>280</v>
      </c>
      <c r="I5178" s="591" t="s">
        <v>280</v>
      </c>
    </row>
    <row r="5179" spans="1:9">
      <c r="A5179" s="577"/>
      <c r="B5179" s="65">
        <v>5377</v>
      </c>
      <c r="C5179" s="579" t="s">
        <v>281</v>
      </c>
      <c r="D5179" s="579"/>
      <c r="E5179" s="583"/>
      <c r="F5179" s="596"/>
      <c r="G5179" s="65">
        <v>0</v>
      </c>
      <c r="H5179" s="591" t="s">
        <v>280</v>
      </c>
      <c r="I5179" s="591" t="s">
        <v>280</v>
      </c>
    </row>
    <row r="5180" spans="1:9">
      <c r="A5180" s="577"/>
      <c r="B5180" s="65">
        <v>5378</v>
      </c>
      <c r="C5180" s="579" t="s">
        <v>281</v>
      </c>
      <c r="D5180" s="579"/>
      <c r="E5180" s="583"/>
      <c r="F5180" s="596"/>
      <c r="G5180" s="65">
        <v>0</v>
      </c>
      <c r="H5180" s="591" t="s">
        <v>280</v>
      </c>
      <c r="I5180" s="591" t="s">
        <v>280</v>
      </c>
    </row>
    <row r="5181" spans="1:9">
      <c r="A5181" s="577"/>
      <c r="B5181" s="65">
        <v>5379</v>
      </c>
      <c r="C5181" s="579" t="s">
        <v>281</v>
      </c>
      <c r="D5181" s="579"/>
      <c r="E5181" s="583"/>
      <c r="F5181" s="596"/>
      <c r="G5181" s="65">
        <v>0</v>
      </c>
      <c r="H5181" s="591" t="s">
        <v>280</v>
      </c>
      <c r="I5181" s="591" t="s">
        <v>280</v>
      </c>
    </row>
    <row r="5182" spans="1:9">
      <c r="A5182" s="577"/>
      <c r="B5182" s="65">
        <v>5380</v>
      </c>
      <c r="C5182" s="579" t="s">
        <v>281</v>
      </c>
      <c r="D5182" s="579"/>
      <c r="E5182" s="583"/>
      <c r="F5182" s="596"/>
      <c r="G5182" s="65">
        <v>0</v>
      </c>
      <c r="H5182" s="591" t="s">
        <v>280</v>
      </c>
      <c r="I5182" s="591" t="s">
        <v>280</v>
      </c>
    </row>
    <row r="5183" spans="1:9">
      <c r="A5183" s="577"/>
      <c r="B5183" s="65">
        <v>5381</v>
      </c>
      <c r="C5183" s="579" t="s">
        <v>281</v>
      </c>
      <c r="D5183" s="579"/>
      <c r="E5183" s="583"/>
      <c r="F5183" s="596"/>
      <c r="G5183" s="65">
        <v>0</v>
      </c>
      <c r="H5183" s="591" t="s">
        <v>280</v>
      </c>
      <c r="I5183" s="591" t="s">
        <v>280</v>
      </c>
    </row>
    <row r="5184" spans="1:9">
      <c r="A5184" s="577"/>
      <c r="B5184" s="65">
        <v>5382</v>
      </c>
      <c r="C5184" s="579" t="s">
        <v>281</v>
      </c>
      <c r="D5184" s="579"/>
      <c r="E5184" s="583"/>
      <c r="F5184" s="596"/>
      <c r="G5184" s="65">
        <v>0</v>
      </c>
      <c r="H5184" s="591" t="s">
        <v>280</v>
      </c>
      <c r="I5184" s="591" t="s">
        <v>280</v>
      </c>
    </row>
    <row r="5185" spans="1:9">
      <c r="A5185" s="577"/>
      <c r="B5185" s="65">
        <v>5383</v>
      </c>
      <c r="C5185" s="579" t="s">
        <v>281</v>
      </c>
      <c r="D5185" s="579"/>
      <c r="E5185" s="583"/>
      <c r="F5185" s="596"/>
      <c r="G5185" s="65">
        <v>0</v>
      </c>
      <c r="H5185" s="591" t="s">
        <v>280</v>
      </c>
      <c r="I5185" s="591" t="s">
        <v>280</v>
      </c>
    </row>
    <row r="5186" spans="1:9">
      <c r="A5186" s="577"/>
      <c r="B5186" s="65">
        <v>5384</v>
      </c>
      <c r="C5186" s="579" t="s">
        <v>281</v>
      </c>
      <c r="D5186" s="579"/>
      <c r="E5186" s="583"/>
      <c r="F5186" s="596"/>
      <c r="G5186" s="65">
        <v>0</v>
      </c>
      <c r="H5186" s="591" t="s">
        <v>280</v>
      </c>
      <c r="I5186" s="591" t="s">
        <v>280</v>
      </c>
    </row>
    <row r="5187" spans="1:9">
      <c r="A5187" s="577"/>
      <c r="B5187" s="65">
        <v>5385</v>
      </c>
      <c r="C5187" s="579" t="s">
        <v>281</v>
      </c>
      <c r="D5187" s="579"/>
      <c r="E5187" s="583"/>
      <c r="F5187" s="596"/>
      <c r="G5187" s="65">
        <v>0</v>
      </c>
      <c r="H5187" s="591" t="s">
        <v>280</v>
      </c>
      <c r="I5187" s="591" t="s">
        <v>280</v>
      </c>
    </row>
    <row r="5188" spans="1:9">
      <c r="A5188" s="577"/>
      <c r="B5188" s="65">
        <v>5386</v>
      </c>
      <c r="C5188" s="579" t="s">
        <v>281</v>
      </c>
      <c r="D5188" s="579"/>
      <c r="E5188" s="583"/>
      <c r="F5188" s="596"/>
      <c r="G5188" s="65">
        <v>0</v>
      </c>
      <c r="H5188" s="591" t="s">
        <v>280</v>
      </c>
      <c r="I5188" s="591" t="s">
        <v>280</v>
      </c>
    </row>
    <row r="5189" spans="1:9">
      <c r="A5189" s="577"/>
      <c r="B5189" s="65">
        <v>5387</v>
      </c>
      <c r="C5189" s="579" t="s">
        <v>281</v>
      </c>
      <c r="D5189" s="579"/>
      <c r="E5189" s="583"/>
      <c r="F5189" s="596"/>
      <c r="G5189" s="65">
        <v>0</v>
      </c>
      <c r="H5189" s="591" t="s">
        <v>280</v>
      </c>
      <c r="I5189" s="591" t="s">
        <v>280</v>
      </c>
    </row>
    <row r="5190" spans="1:9">
      <c r="A5190" s="577"/>
      <c r="B5190" s="65">
        <v>5388</v>
      </c>
      <c r="C5190" s="579" t="s">
        <v>281</v>
      </c>
      <c r="D5190" s="579"/>
      <c r="E5190" s="583"/>
      <c r="F5190" s="596"/>
      <c r="G5190" s="65">
        <v>0</v>
      </c>
      <c r="H5190" s="591" t="s">
        <v>280</v>
      </c>
      <c r="I5190" s="591" t="s">
        <v>280</v>
      </c>
    </row>
    <row r="5191" spans="1:9">
      <c r="A5191" s="577"/>
      <c r="B5191" s="65">
        <v>5389</v>
      </c>
      <c r="C5191" s="579" t="s">
        <v>281</v>
      </c>
      <c r="D5191" s="579"/>
      <c r="E5191" s="583"/>
      <c r="F5191" s="596"/>
      <c r="G5191" s="65">
        <v>0</v>
      </c>
      <c r="H5191" s="591" t="s">
        <v>280</v>
      </c>
      <c r="I5191" s="591" t="s">
        <v>280</v>
      </c>
    </row>
    <row r="5192" spans="1:9">
      <c r="A5192" s="577"/>
      <c r="B5192" s="65">
        <v>5390</v>
      </c>
      <c r="C5192" s="579" t="s">
        <v>281</v>
      </c>
      <c r="D5192" s="579"/>
      <c r="E5192" s="583"/>
      <c r="F5192" s="596"/>
      <c r="G5192" s="65">
        <v>0</v>
      </c>
      <c r="H5192" s="591" t="s">
        <v>280</v>
      </c>
      <c r="I5192" s="591" t="s">
        <v>280</v>
      </c>
    </row>
    <row r="5193" spans="1:9">
      <c r="A5193" s="577"/>
      <c r="B5193" s="65">
        <v>5391</v>
      </c>
      <c r="C5193" s="579" t="s">
        <v>281</v>
      </c>
      <c r="D5193" s="579"/>
      <c r="E5193" s="583"/>
      <c r="F5193" s="596"/>
      <c r="G5193" s="65">
        <v>0</v>
      </c>
      <c r="H5193" s="591" t="s">
        <v>280</v>
      </c>
      <c r="I5193" s="591" t="s">
        <v>280</v>
      </c>
    </row>
    <row r="5194" spans="1:9">
      <c r="A5194" s="577"/>
      <c r="B5194" s="65">
        <v>5392</v>
      </c>
      <c r="C5194" s="579" t="s">
        <v>281</v>
      </c>
      <c r="D5194" s="579"/>
      <c r="E5194" s="583"/>
      <c r="F5194" s="596"/>
      <c r="G5194" s="65">
        <v>0</v>
      </c>
      <c r="H5194" s="591" t="s">
        <v>280</v>
      </c>
      <c r="I5194" s="591" t="s">
        <v>280</v>
      </c>
    </row>
    <row r="5195" spans="1:9">
      <c r="A5195" s="577"/>
      <c r="B5195" s="65">
        <v>5393</v>
      </c>
      <c r="C5195" s="579" t="s">
        <v>281</v>
      </c>
      <c r="D5195" s="579"/>
      <c r="E5195" s="583"/>
      <c r="F5195" s="596"/>
      <c r="G5195" s="65">
        <v>0</v>
      </c>
      <c r="H5195" s="591" t="s">
        <v>280</v>
      </c>
      <c r="I5195" s="591" t="s">
        <v>280</v>
      </c>
    </row>
    <row r="5196" spans="1:9">
      <c r="A5196" s="577"/>
      <c r="B5196" s="65">
        <v>5394</v>
      </c>
      <c r="C5196" s="579" t="s">
        <v>281</v>
      </c>
      <c r="D5196" s="579"/>
      <c r="E5196" s="583"/>
      <c r="F5196" s="596"/>
      <c r="G5196" s="65">
        <v>0</v>
      </c>
      <c r="H5196" s="591" t="s">
        <v>280</v>
      </c>
      <c r="I5196" s="591" t="s">
        <v>280</v>
      </c>
    </row>
    <row r="5197" spans="1:9">
      <c r="A5197" s="577"/>
      <c r="B5197" s="65">
        <v>5395</v>
      </c>
      <c r="C5197" s="579" t="s">
        <v>281</v>
      </c>
      <c r="D5197" s="579"/>
      <c r="E5197" s="583"/>
      <c r="F5197" s="596"/>
      <c r="G5197" s="65">
        <v>0</v>
      </c>
      <c r="H5197" s="591" t="s">
        <v>280</v>
      </c>
      <c r="I5197" s="591" t="s">
        <v>280</v>
      </c>
    </row>
    <row r="5198" spans="1:9">
      <c r="A5198" s="577"/>
      <c r="B5198" s="65">
        <v>5396</v>
      </c>
      <c r="C5198" s="579" t="s">
        <v>281</v>
      </c>
      <c r="D5198" s="579"/>
      <c r="E5198" s="583"/>
      <c r="F5198" s="596"/>
      <c r="G5198" s="65">
        <v>0</v>
      </c>
      <c r="H5198" s="591" t="s">
        <v>280</v>
      </c>
      <c r="I5198" s="591" t="s">
        <v>280</v>
      </c>
    </row>
    <row r="5199" spans="1:9">
      <c r="A5199" s="577"/>
      <c r="B5199" s="65">
        <v>5397</v>
      </c>
      <c r="C5199" s="579" t="s">
        <v>281</v>
      </c>
      <c r="D5199" s="579"/>
      <c r="E5199" s="583"/>
      <c r="F5199" s="596"/>
      <c r="G5199" s="65">
        <v>0</v>
      </c>
      <c r="H5199" s="591" t="s">
        <v>280</v>
      </c>
      <c r="I5199" s="591" t="s">
        <v>280</v>
      </c>
    </row>
    <row r="5200" spans="1:9">
      <c r="A5200" s="577"/>
      <c r="B5200" s="65">
        <v>5398</v>
      </c>
      <c r="C5200" s="579" t="s">
        <v>281</v>
      </c>
      <c r="D5200" s="579"/>
      <c r="E5200" s="583"/>
      <c r="F5200" s="596"/>
      <c r="G5200" s="65">
        <v>0</v>
      </c>
      <c r="H5200" s="591" t="s">
        <v>280</v>
      </c>
      <c r="I5200" s="591" t="s">
        <v>280</v>
      </c>
    </row>
    <row r="5201" spans="1:9">
      <c r="A5201" s="577"/>
      <c r="B5201" s="65">
        <v>5399</v>
      </c>
      <c r="C5201" s="579" t="s">
        <v>281</v>
      </c>
      <c r="D5201" s="579"/>
      <c r="E5201" s="583"/>
      <c r="F5201" s="596"/>
      <c r="G5201" s="65">
        <v>0</v>
      </c>
      <c r="H5201" s="591" t="s">
        <v>280</v>
      </c>
      <c r="I5201" s="591" t="s">
        <v>280</v>
      </c>
    </row>
    <row r="5202" spans="1:9">
      <c r="A5202" s="577"/>
      <c r="B5202" s="65">
        <v>5400</v>
      </c>
      <c r="C5202" s="579" t="s">
        <v>281</v>
      </c>
      <c r="D5202" s="579"/>
      <c r="E5202" s="583"/>
      <c r="F5202" s="596"/>
      <c r="G5202" s="65">
        <v>0</v>
      </c>
      <c r="H5202" s="591" t="s">
        <v>280</v>
      </c>
      <c r="I5202" s="591" t="s">
        <v>280</v>
      </c>
    </row>
    <row r="5203" spans="1:9">
      <c r="A5203" s="577"/>
      <c r="B5203" s="65">
        <v>5401</v>
      </c>
      <c r="C5203" s="579" t="s">
        <v>281</v>
      </c>
      <c r="D5203" s="579"/>
      <c r="E5203" s="583"/>
      <c r="F5203" s="596"/>
      <c r="G5203" s="65">
        <v>0</v>
      </c>
      <c r="H5203" s="591" t="s">
        <v>280</v>
      </c>
      <c r="I5203" s="591" t="s">
        <v>280</v>
      </c>
    </row>
    <row r="5204" spans="1:9">
      <c r="A5204" s="577"/>
      <c r="B5204" s="65">
        <v>5402</v>
      </c>
      <c r="C5204" s="579" t="s">
        <v>281</v>
      </c>
      <c r="D5204" s="579"/>
      <c r="E5204" s="583"/>
      <c r="F5204" s="596"/>
      <c r="G5204" s="65">
        <v>0</v>
      </c>
      <c r="H5204" s="591" t="s">
        <v>280</v>
      </c>
      <c r="I5204" s="591" t="s">
        <v>280</v>
      </c>
    </row>
    <row r="5205" spans="1:9">
      <c r="A5205" s="577"/>
      <c r="B5205" s="65">
        <v>5403</v>
      </c>
      <c r="C5205" s="579" t="s">
        <v>281</v>
      </c>
      <c r="D5205" s="579"/>
      <c r="E5205" s="583"/>
      <c r="F5205" s="596"/>
      <c r="G5205" s="65">
        <v>0</v>
      </c>
      <c r="H5205" s="591" t="s">
        <v>280</v>
      </c>
      <c r="I5205" s="591" t="s">
        <v>280</v>
      </c>
    </row>
    <row r="5206" spans="1:9">
      <c r="A5206" s="577"/>
      <c r="B5206" s="65">
        <v>5404</v>
      </c>
      <c r="C5206" s="579" t="s">
        <v>281</v>
      </c>
      <c r="D5206" s="579"/>
      <c r="E5206" s="583"/>
      <c r="F5206" s="596"/>
      <c r="G5206" s="65">
        <v>0</v>
      </c>
      <c r="H5206" s="591" t="s">
        <v>280</v>
      </c>
      <c r="I5206" s="591" t="s">
        <v>280</v>
      </c>
    </row>
    <row r="5207" spans="1:9">
      <c r="A5207" s="577"/>
      <c r="B5207" s="65">
        <v>5405</v>
      </c>
      <c r="C5207" s="579" t="s">
        <v>281</v>
      </c>
      <c r="D5207" s="579"/>
      <c r="E5207" s="583"/>
      <c r="F5207" s="596"/>
      <c r="G5207" s="65">
        <v>0</v>
      </c>
      <c r="H5207" s="591" t="s">
        <v>280</v>
      </c>
      <c r="I5207" s="591" t="s">
        <v>280</v>
      </c>
    </row>
    <row r="5208" spans="1:9">
      <c r="A5208" s="577"/>
      <c r="B5208" s="65">
        <v>5406</v>
      </c>
      <c r="C5208" s="579" t="s">
        <v>281</v>
      </c>
      <c r="D5208" s="579"/>
      <c r="E5208" s="583"/>
      <c r="F5208" s="596"/>
      <c r="G5208" s="65">
        <v>0</v>
      </c>
      <c r="H5208" s="591" t="s">
        <v>280</v>
      </c>
      <c r="I5208" s="591" t="s">
        <v>280</v>
      </c>
    </row>
    <row r="5209" spans="1:9">
      <c r="A5209" s="577"/>
      <c r="B5209" s="65">
        <v>5407</v>
      </c>
      <c r="C5209" s="579" t="s">
        <v>281</v>
      </c>
      <c r="D5209" s="579"/>
      <c r="E5209" s="583"/>
      <c r="F5209" s="596"/>
      <c r="G5209" s="65">
        <v>0</v>
      </c>
      <c r="H5209" s="591" t="s">
        <v>280</v>
      </c>
      <c r="I5209" s="591" t="s">
        <v>280</v>
      </c>
    </row>
    <row r="5210" spans="1:9">
      <c r="A5210" s="577"/>
      <c r="B5210" s="65">
        <v>5408</v>
      </c>
      <c r="C5210" s="579" t="s">
        <v>281</v>
      </c>
      <c r="D5210" s="579"/>
      <c r="E5210" s="583"/>
      <c r="F5210" s="596"/>
      <c r="G5210" s="65">
        <v>0</v>
      </c>
      <c r="H5210" s="591" t="s">
        <v>280</v>
      </c>
      <c r="I5210" s="591" t="s">
        <v>280</v>
      </c>
    </row>
    <row r="5211" spans="1:9">
      <c r="A5211" s="577"/>
      <c r="B5211" s="65">
        <v>5409</v>
      </c>
      <c r="C5211" s="579" t="s">
        <v>281</v>
      </c>
      <c r="D5211" s="579"/>
      <c r="E5211" s="583"/>
      <c r="F5211" s="596"/>
      <c r="G5211" s="65">
        <v>0</v>
      </c>
      <c r="H5211" s="591" t="s">
        <v>280</v>
      </c>
      <c r="I5211" s="591" t="s">
        <v>280</v>
      </c>
    </row>
    <row r="5212" spans="1:9">
      <c r="A5212" s="577"/>
      <c r="B5212" s="65">
        <v>5410</v>
      </c>
      <c r="C5212" s="579" t="s">
        <v>281</v>
      </c>
      <c r="D5212" s="579"/>
      <c r="E5212" s="583"/>
      <c r="F5212" s="596"/>
      <c r="G5212" s="65">
        <v>0</v>
      </c>
      <c r="H5212" s="591" t="s">
        <v>280</v>
      </c>
      <c r="I5212" s="591" t="s">
        <v>280</v>
      </c>
    </row>
    <row r="5213" spans="1:9">
      <c r="A5213" s="577"/>
      <c r="B5213" s="65">
        <v>5411</v>
      </c>
      <c r="C5213" s="579" t="s">
        <v>281</v>
      </c>
      <c r="D5213" s="579"/>
      <c r="E5213" s="583"/>
      <c r="F5213" s="596"/>
      <c r="G5213" s="65">
        <v>0</v>
      </c>
      <c r="H5213" s="591" t="s">
        <v>280</v>
      </c>
      <c r="I5213" s="591" t="s">
        <v>280</v>
      </c>
    </row>
    <row r="5214" spans="1:9">
      <c r="A5214" s="577"/>
      <c r="B5214" s="65">
        <v>5412</v>
      </c>
      <c r="C5214" s="579" t="s">
        <v>281</v>
      </c>
      <c r="D5214" s="579"/>
      <c r="E5214" s="583"/>
      <c r="F5214" s="596"/>
      <c r="G5214" s="65">
        <v>0</v>
      </c>
      <c r="H5214" s="591" t="s">
        <v>280</v>
      </c>
      <c r="I5214" s="591" t="s">
        <v>280</v>
      </c>
    </row>
    <row r="5215" spans="1:9">
      <c r="A5215" s="577"/>
      <c r="B5215" s="65">
        <v>5413</v>
      </c>
      <c r="C5215" s="579" t="s">
        <v>281</v>
      </c>
      <c r="D5215" s="579"/>
      <c r="E5215" s="583"/>
      <c r="F5215" s="596"/>
      <c r="G5215" s="65">
        <v>0</v>
      </c>
      <c r="H5215" s="591" t="s">
        <v>280</v>
      </c>
      <c r="I5215" s="591" t="s">
        <v>280</v>
      </c>
    </row>
    <row r="5216" spans="1:9">
      <c r="A5216" s="577"/>
      <c r="B5216" s="65">
        <v>5414</v>
      </c>
      <c r="C5216" s="579" t="s">
        <v>281</v>
      </c>
      <c r="D5216" s="579"/>
      <c r="E5216" s="583"/>
      <c r="F5216" s="596"/>
      <c r="G5216" s="65">
        <v>0</v>
      </c>
      <c r="H5216" s="591" t="s">
        <v>280</v>
      </c>
      <c r="I5216" s="591" t="s">
        <v>280</v>
      </c>
    </row>
    <row r="5217" spans="1:9">
      <c r="A5217" s="577"/>
      <c r="B5217" s="65">
        <v>5415</v>
      </c>
      <c r="C5217" s="579" t="s">
        <v>281</v>
      </c>
      <c r="D5217" s="579"/>
      <c r="E5217" s="583"/>
      <c r="F5217" s="596"/>
      <c r="G5217" s="65">
        <v>0</v>
      </c>
      <c r="H5217" s="591" t="s">
        <v>280</v>
      </c>
      <c r="I5217" s="591" t="s">
        <v>280</v>
      </c>
    </row>
    <row r="5218" spans="1:9">
      <c r="A5218" s="577"/>
      <c r="B5218" s="65">
        <v>5416</v>
      </c>
      <c r="C5218" s="579" t="s">
        <v>281</v>
      </c>
      <c r="D5218" s="579"/>
      <c r="E5218" s="583"/>
      <c r="F5218" s="596"/>
      <c r="G5218" s="65">
        <v>0</v>
      </c>
      <c r="H5218" s="591" t="s">
        <v>280</v>
      </c>
      <c r="I5218" s="591" t="s">
        <v>280</v>
      </c>
    </row>
    <row r="5219" spans="1:9">
      <c r="A5219" s="577"/>
      <c r="B5219" s="65">
        <v>5417</v>
      </c>
      <c r="C5219" s="579" t="s">
        <v>281</v>
      </c>
      <c r="D5219" s="579"/>
      <c r="E5219" s="583"/>
      <c r="F5219" s="596"/>
      <c r="G5219" s="65">
        <v>0</v>
      </c>
      <c r="H5219" s="591" t="s">
        <v>280</v>
      </c>
      <c r="I5219" s="591" t="s">
        <v>280</v>
      </c>
    </row>
    <row r="5220" spans="1:9">
      <c r="A5220" s="577"/>
      <c r="B5220" s="65">
        <v>5418</v>
      </c>
      <c r="C5220" s="579" t="s">
        <v>281</v>
      </c>
      <c r="D5220" s="579"/>
      <c r="E5220" s="583"/>
      <c r="F5220" s="596"/>
      <c r="G5220" s="65">
        <v>0</v>
      </c>
      <c r="H5220" s="591" t="s">
        <v>280</v>
      </c>
      <c r="I5220" s="591" t="s">
        <v>280</v>
      </c>
    </row>
    <row r="5221" spans="1:9">
      <c r="A5221" s="577"/>
      <c r="B5221" s="65">
        <v>5419</v>
      </c>
      <c r="C5221" s="579" t="s">
        <v>281</v>
      </c>
      <c r="D5221" s="579"/>
      <c r="E5221" s="583"/>
      <c r="F5221" s="596"/>
      <c r="G5221" s="65">
        <v>0</v>
      </c>
      <c r="H5221" s="591" t="s">
        <v>280</v>
      </c>
      <c r="I5221" s="591" t="s">
        <v>280</v>
      </c>
    </row>
    <row r="5222" spans="1:9">
      <c r="A5222" s="577"/>
      <c r="B5222" s="65">
        <v>5420</v>
      </c>
      <c r="C5222" s="579" t="s">
        <v>281</v>
      </c>
      <c r="D5222" s="579"/>
      <c r="E5222" s="583"/>
      <c r="F5222" s="596"/>
      <c r="G5222" s="65">
        <v>0</v>
      </c>
      <c r="H5222" s="591" t="s">
        <v>280</v>
      </c>
      <c r="I5222" s="591" t="s">
        <v>280</v>
      </c>
    </row>
    <row r="5223" spans="1:9">
      <c r="A5223" s="577"/>
      <c r="B5223" s="65">
        <v>5421</v>
      </c>
      <c r="C5223" s="579" t="s">
        <v>281</v>
      </c>
      <c r="D5223" s="579"/>
      <c r="E5223" s="583"/>
      <c r="F5223" s="596"/>
      <c r="G5223" s="65">
        <v>0</v>
      </c>
      <c r="H5223" s="591" t="s">
        <v>280</v>
      </c>
      <c r="I5223" s="591" t="s">
        <v>280</v>
      </c>
    </row>
    <row r="5224" spans="1:9">
      <c r="A5224" s="577"/>
      <c r="B5224" s="65">
        <v>5422</v>
      </c>
      <c r="C5224" s="579" t="s">
        <v>281</v>
      </c>
      <c r="D5224" s="579"/>
      <c r="E5224" s="583"/>
      <c r="F5224" s="596"/>
      <c r="G5224" s="65">
        <v>0</v>
      </c>
      <c r="H5224" s="591" t="s">
        <v>280</v>
      </c>
      <c r="I5224" s="591" t="s">
        <v>280</v>
      </c>
    </row>
    <row r="5225" spans="1:9">
      <c r="A5225" s="577"/>
      <c r="B5225" s="65">
        <v>5423</v>
      </c>
      <c r="C5225" s="579" t="s">
        <v>281</v>
      </c>
      <c r="D5225" s="579"/>
      <c r="E5225" s="583"/>
      <c r="F5225" s="596"/>
      <c r="G5225" s="65">
        <v>0</v>
      </c>
      <c r="H5225" s="591" t="s">
        <v>280</v>
      </c>
      <c r="I5225" s="591" t="s">
        <v>280</v>
      </c>
    </row>
    <row r="5226" spans="1:9">
      <c r="A5226" s="577"/>
      <c r="B5226" s="65">
        <v>5424</v>
      </c>
      <c r="C5226" s="579" t="s">
        <v>281</v>
      </c>
      <c r="D5226" s="579"/>
      <c r="E5226" s="583"/>
      <c r="F5226" s="596"/>
      <c r="G5226" s="65">
        <v>0</v>
      </c>
      <c r="H5226" s="591" t="s">
        <v>280</v>
      </c>
      <c r="I5226" s="591" t="s">
        <v>280</v>
      </c>
    </row>
    <row r="5227" spans="1:9">
      <c r="A5227" s="577"/>
      <c r="B5227" s="65">
        <v>5425</v>
      </c>
      <c r="C5227" s="579" t="s">
        <v>281</v>
      </c>
      <c r="D5227" s="579"/>
      <c r="E5227" s="583"/>
      <c r="F5227" s="596"/>
      <c r="G5227" s="65">
        <v>0</v>
      </c>
      <c r="H5227" s="591" t="s">
        <v>280</v>
      </c>
      <c r="I5227" s="591" t="s">
        <v>280</v>
      </c>
    </row>
    <row r="5228" spans="1:9">
      <c r="A5228" s="577"/>
      <c r="B5228" s="65">
        <v>5426</v>
      </c>
      <c r="C5228" s="579" t="s">
        <v>281</v>
      </c>
      <c r="D5228" s="579"/>
      <c r="E5228" s="583"/>
      <c r="F5228" s="596"/>
      <c r="G5228" s="65">
        <v>0</v>
      </c>
      <c r="H5228" s="591" t="s">
        <v>280</v>
      </c>
      <c r="I5228" s="591" t="s">
        <v>280</v>
      </c>
    </row>
    <row r="5229" spans="1:9">
      <c r="A5229" s="577"/>
      <c r="B5229" s="65">
        <v>5427</v>
      </c>
      <c r="C5229" s="579" t="s">
        <v>281</v>
      </c>
      <c r="D5229" s="579"/>
      <c r="E5229" s="583"/>
      <c r="F5229" s="596"/>
      <c r="G5229" s="65">
        <v>0</v>
      </c>
      <c r="H5229" s="591" t="s">
        <v>280</v>
      </c>
      <c r="I5229" s="591" t="s">
        <v>280</v>
      </c>
    </row>
    <row r="5230" spans="1:9">
      <c r="A5230" s="577"/>
      <c r="B5230" s="65">
        <v>5428</v>
      </c>
      <c r="C5230" s="579" t="s">
        <v>281</v>
      </c>
      <c r="D5230" s="579"/>
      <c r="E5230" s="583"/>
      <c r="F5230" s="596"/>
      <c r="G5230" s="65">
        <v>0</v>
      </c>
      <c r="H5230" s="591" t="s">
        <v>280</v>
      </c>
      <c r="I5230" s="591" t="s">
        <v>280</v>
      </c>
    </row>
    <row r="5231" spans="1:9">
      <c r="A5231" s="577"/>
      <c r="B5231" s="65">
        <v>5429</v>
      </c>
      <c r="C5231" s="579" t="s">
        <v>281</v>
      </c>
      <c r="D5231" s="579"/>
      <c r="E5231" s="583"/>
      <c r="F5231" s="596"/>
      <c r="G5231" s="65">
        <v>0</v>
      </c>
      <c r="H5231" s="591" t="s">
        <v>280</v>
      </c>
      <c r="I5231" s="591" t="s">
        <v>280</v>
      </c>
    </row>
    <row r="5232" spans="1:9">
      <c r="A5232" s="577"/>
      <c r="B5232" s="65">
        <v>5430</v>
      </c>
      <c r="C5232" s="579" t="s">
        <v>281</v>
      </c>
      <c r="D5232" s="579"/>
      <c r="E5232" s="583"/>
      <c r="F5232" s="596"/>
      <c r="G5232" s="65">
        <v>0</v>
      </c>
      <c r="H5232" s="591" t="s">
        <v>280</v>
      </c>
      <c r="I5232" s="591" t="s">
        <v>280</v>
      </c>
    </row>
    <row r="5233" spans="1:9">
      <c r="A5233" s="577"/>
      <c r="B5233" s="65">
        <v>5431</v>
      </c>
      <c r="C5233" s="579" t="s">
        <v>281</v>
      </c>
      <c r="D5233" s="579"/>
      <c r="E5233" s="583"/>
      <c r="F5233" s="596"/>
      <c r="G5233" s="65">
        <v>0</v>
      </c>
      <c r="H5233" s="591" t="s">
        <v>280</v>
      </c>
      <c r="I5233" s="591" t="s">
        <v>280</v>
      </c>
    </row>
    <row r="5234" spans="1:9">
      <c r="A5234" s="577"/>
      <c r="B5234" s="65">
        <v>5432</v>
      </c>
      <c r="C5234" s="579" t="s">
        <v>281</v>
      </c>
      <c r="D5234" s="579"/>
      <c r="E5234" s="583"/>
      <c r="F5234" s="596"/>
      <c r="G5234" s="65">
        <v>0</v>
      </c>
      <c r="H5234" s="591" t="s">
        <v>280</v>
      </c>
      <c r="I5234" s="591" t="s">
        <v>280</v>
      </c>
    </row>
    <row r="5235" spans="1:9">
      <c r="A5235" s="577"/>
      <c r="B5235" s="65">
        <v>5433</v>
      </c>
      <c r="C5235" s="579" t="s">
        <v>281</v>
      </c>
      <c r="D5235" s="579"/>
      <c r="E5235" s="583"/>
      <c r="F5235" s="596"/>
      <c r="G5235" s="65">
        <v>0</v>
      </c>
      <c r="H5235" s="591" t="s">
        <v>280</v>
      </c>
      <c r="I5235" s="591" t="s">
        <v>280</v>
      </c>
    </row>
    <row r="5236" spans="1:9">
      <c r="A5236" s="577"/>
      <c r="B5236" s="65">
        <v>5434</v>
      </c>
      <c r="C5236" s="579" t="s">
        <v>281</v>
      </c>
      <c r="D5236" s="579"/>
      <c r="E5236" s="583"/>
      <c r="F5236" s="596"/>
      <c r="G5236" s="65">
        <v>0</v>
      </c>
      <c r="H5236" s="591" t="s">
        <v>280</v>
      </c>
      <c r="I5236" s="591" t="s">
        <v>280</v>
      </c>
    </row>
    <row r="5237" spans="1:9">
      <c r="A5237" s="577"/>
      <c r="B5237" s="65">
        <v>5435</v>
      </c>
      <c r="C5237" s="579" t="s">
        <v>281</v>
      </c>
      <c r="D5237" s="579"/>
      <c r="E5237" s="583"/>
      <c r="F5237" s="596"/>
      <c r="G5237" s="65">
        <v>0</v>
      </c>
      <c r="H5237" s="591" t="s">
        <v>280</v>
      </c>
      <c r="I5237" s="591" t="s">
        <v>280</v>
      </c>
    </row>
    <row r="5238" spans="1:9">
      <c r="A5238" s="577"/>
      <c r="B5238" s="65">
        <v>5436</v>
      </c>
      <c r="C5238" s="579" t="s">
        <v>281</v>
      </c>
      <c r="D5238" s="579"/>
      <c r="E5238" s="583"/>
      <c r="F5238" s="596"/>
      <c r="G5238" s="65">
        <v>0</v>
      </c>
      <c r="H5238" s="591" t="s">
        <v>280</v>
      </c>
      <c r="I5238" s="591" t="s">
        <v>280</v>
      </c>
    </row>
    <row r="5239" spans="1:9">
      <c r="A5239" s="577"/>
      <c r="B5239" s="65">
        <v>5437</v>
      </c>
      <c r="C5239" s="579" t="s">
        <v>281</v>
      </c>
      <c r="D5239" s="579"/>
      <c r="E5239" s="583"/>
      <c r="F5239" s="596"/>
      <c r="G5239" s="65">
        <v>0</v>
      </c>
      <c r="H5239" s="591" t="s">
        <v>280</v>
      </c>
      <c r="I5239" s="591" t="s">
        <v>280</v>
      </c>
    </row>
    <row r="5240" spans="1:9">
      <c r="A5240" s="577"/>
      <c r="B5240" s="65">
        <v>5438</v>
      </c>
      <c r="C5240" s="579" t="s">
        <v>281</v>
      </c>
      <c r="D5240" s="579"/>
      <c r="E5240" s="583"/>
      <c r="F5240" s="596"/>
      <c r="G5240" s="65">
        <v>0</v>
      </c>
      <c r="H5240" s="591" t="s">
        <v>280</v>
      </c>
      <c r="I5240" s="591" t="s">
        <v>280</v>
      </c>
    </row>
    <row r="5241" spans="1:9">
      <c r="A5241" s="577"/>
      <c r="B5241" s="65">
        <v>5439</v>
      </c>
      <c r="C5241" s="579" t="s">
        <v>281</v>
      </c>
      <c r="D5241" s="579"/>
      <c r="E5241" s="583"/>
      <c r="F5241" s="596"/>
      <c r="G5241" s="65">
        <v>0</v>
      </c>
      <c r="H5241" s="591" t="s">
        <v>280</v>
      </c>
      <c r="I5241" s="591" t="s">
        <v>280</v>
      </c>
    </row>
    <row r="5242" spans="1:9">
      <c r="A5242" s="577"/>
      <c r="B5242" s="65">
        <v>5440</v>
      </c>
      <c r="C5242" s="579" t="s">
        <v>281</v>
      </c>
      <c r="D5242" s="579"/>
      <c r="E5242" s="583"/>
      <c r="F5242" s="596"/>
      <c r="G5242" s="65">
        <v>0</v>
      </c>
      <c r="H5242" s="591" t="s">
        <v>280</v>
      </c>
      <c r="I5242" s="591" t="s">
        <v>280</v>
      </c>
    </row>
    <row r="5243" spans="1:9">
      <c r="A5243" s="577"/>
      <c r="B5243" s="65">
        <v>5441</v>
      </c>
      <c r="C5243" s="579" t="s">
        <v>281</v>
      </c>
      <c r="D5243" s="579"/>
      <c r="E5243" s="583"/>
      <c r="F5243" s="596"/>
      <c r="G5243" s="65">
        <v>0</v>
      </c>
      <c r="H5243" s="591" t="s">
        <v>280</v>
      </c>
      <c r="I5243" s="591" t="s">
        <v>280</v>
      </c>
    </row>
    <row r="5244" spans="1:9">
      <c r="A5244" s="577"/>
      <c r="B5244" s="65">
        <v>5442</v>
      </c>
      <c r="C5244" s="579" t="s">
        <v>281</v>
      </c>
      <c r="D5244" s="579"/>
      <c r="E5244" s="583"/>
      <c r="F5244" s="596"/>
      <c r="G5244" s="65">
        <v>0</v>
      </c>
      <c r="H5244" s="591" t="s">
        <v>280</v>
      </c>
      <c r="I5244" s="591" t="s">
        <v>280</v>
      </c>
    </row>
    <row r="5245" spans="1:9">
      <c r="A5245" s="577"/>
      <c r="B5245" s="65">
        <v>5443</v>
      </c>
      <c r="C5245" s="579" t="s">
        <v>281</v>
      </c>
      <c r="D5245" s="579"/>
      <c r="E5245" s="583"/>
      <c r="F5245" s="596"/>
      <c r="G5245" s="65">
        <v>0</v>
      </c>
      <c r="H5245" s="591" t="s">
        <v>280</v>
      </c>
      <c r="I5245" s="591" t="s">
        <v>280</v>
      </c>
    </row>
    <row r="5246" spans="1:9">
      <c r="A5246" s="577"/>
      <c r="B5246" s="65">
        <v>5444</v>
      </c>
      <c r="C5246" s="579" t="s">
        <v>281</v>
      </c>
      <c r="D5246" s="579"/>
      <c r="E5246" s="583"/>
      <c r="F5246" s="596"/>
      <c r="G5246" s="65">
        <v>0</v>
      </c>
      <c r="H5246" s="591" t="s">
        <v>280</v>
      </c>
      <c r="I5246" s="591" t="s">
        <v>280</v>
      </c>
    </row>
    <row r="5247" spans="1:9">
      <c r="A5247" s="577"/>
      <c r="B5247" s="65">
        <v>5445</v>
      </c>
      <c r="C5247" s="579" t="s">
        <v>281</v>
      </c>
      <c r="D5247" s="579"/>
      <c r="E5247" s="583"/>
      <c r="F5247" s="596"/>
      <c r="G5247" s="65">
        <v>0</v>
      </c>
      <c r="H5247" s="591" t="s">
        <v>280</v>
      </c>
      <c r="I5247" s="591" t="s">
        <v>280</v>
      </c>
    </row>
    <row r="5248" spans="1:9">
      <c r="A5248" s="577"/>
      <c r="B5248" s="65">
        <v>5446</v>
      </c>
      <c r="C5248" s="579" t="s">
        <v>281</v>
      </c>
      <c r="D5248" s="579"/>
      <c r="E5248" s="583"/>
      <c r="F5248" s="596"/>
      <c r="G5248" s="65">
        <v>0</v>
      </c>
      <c r="H5248" s="591" t="s">
        <v>280</v>
      </c>
      <c r="I5248" s="591" t="s">
        <v>280</v>
      </c>
    </row>
    <row r="5249" spans="1:9">
      <c r="A5249" s="577"/>
      <c r="B5249" s="65">
        <v>5447</v>
      </c>
      <c r="C5249" s="579" t="s">
        <v>281</v>
      </c>
      <c r="D5249" s="579"/>
      <c r="E5249" s="583"/>
      <c r="F5249" s="596"/>
      <c r="G5249" s="65">
        <v>0</v>
      </c>
      <c r="H5249" s="591" t="s">
        <v>280</v>
      </c>
      <c r="I5249" s="591" t="s">
        <v>280</v>
      </c>
    </row>
    <row r="5250" spans="1:9">
      <c r="A5250" s="577"/>
      <c r="B5250" s="65">
        <v>5448</v>
      </c>
      <c r="C5250" s="579" t="s">
        <v>281</v>
      </c>
      <c r="D5250" s="579"/>
      <c r="E5250" s="583"/>
      <c r="F5250" s="596"/>
      <c r="G5250" s="65">
        <v>0</v>
      </c>
      <c r="H5250" s="591" t="s">
        <v>280</v>
      </c>
      <c r="I5250" s="591" t="s">
        <v>280</v>
      </c>
    </row>
    <row r="5251" spans="1:9">
      <c r="A5251" s="577"/>
      <c r="B5251" s="65">
        <v>5449</v>
      </c>
      <c r="C5251" s="579" t="s">
        <v>281</v>
      </c>
      <c r="D5251" s="579"/>
      <c r="E5251" s="583"/>
      <c r="F5251" s="596"/>
      <c r="G5251" s="65">
        <v>0</v>
      </c>
      <c r="H5251" s="591" t="s">
        <v>280</v>
      </c>
      <c r="I5251" s="591" t="s">
        <v>280</v>
      </c>
    </row>
    <row r="5252" spans="1:9">
      <c r="A5252" s="577"/>
      <c r="B5252" s="65">
        <v>5450</v>
      </c>
      <c r="C5252" s="579" t="s">
        <v>281</v>
      </c>
      <c r="D5252" s="579"/>
      <c r="E5252" s="583"/>
      <c r="F5252" s="596"/>
      <c r="G5252" s="65">
        <v>0</v>
      </c>
      <c r="H5252" s="591" t="s">
        <v>280</v>
      </c>
      <c r="I5252" s="591" t="s">
        <v>280</v>
      </c>
    </row>
    <row r="5253" spans="1:9">
      <c r="A5253" s="577"/>
      <c r="B5253" s="65">
        <v>5451</v>
      </c>
      <c r="C5253" s="579" t="s">
        <v>281</v>
      </c>
      <c r="D5253" s="579"/>
      <c r="E5253" s="583"/>
      <c r="F5253" s="596"/>
      <c r="G5253" s="65">
        <v>0</v>
      </c>
      <c r="H5253" s="591" t="s">
        <v>280</v>
      </c>
      <c r="I5253" s="591" t="s">
        <v>280</v>
      </c>
    </row>
    <row r="5254" spans="1:9">
      <c r="A5254" s="577"/>
      <c r="B5254" s="65">
        <v>5452</v>
      </c>
      <c r="C5254" s="579" t="s">
        <v>281</v>
      </c>
      <c r="D5254" s="579"/>
      <c r="E5254" s="583"/>
      <c r="F5254" s="596"/>
      <c r="G5254" s="65">
        <v>0</v>
      </c>
      <c r="H5254" s="591" t="s">
        <v>280</v>
      </c>
      <c r="I5254" s="591" t="s">
        <v>280</v>
      </c>
    </row>
    <row r="5255" spans="1:9">
      <c r="A5255" s="577"/>
      <c r="B5255" s="65">
        <v>5453</v>
      </c>
      <c r="C5255" s="579" t="s">
        <v>281</v>
      </c>
      <c r="D5255" s="579"/>
      <c r="E5255" s="583"/>
      <c r="F5255" s="596"/>
      <c r="G5255" s="65">
        <v>0</v>
      </c>
      <c r="H5255" s="591" t="s">
        <v>280</v>
      </c>
      <c r="I5255" s="591" t="s">
        <v>280</v>
      </c>
    </row>
    <row r="5256" spans="1:9">
      <c r="A5256" s="577"/>
      <c r="B5256" s="65">
        <v>5454</v>
      </c>
      <c r="C5256" s="579" t="s">
        <v>281</v>
      </c>
      <c r="D5256" s="579"/>
      <c r="E5256" s="583"/>
      <c r="F5256" s="596"/>
      <c r="G5256" s="65">
        <v>0</v>
      </c>
      <c r="H5256" s="591" t="s">
        <v>280</v>
      </c>
      <c r="I5256" s="591" t="s">
        <v>280</v>
      </c>
    </row>
    <row r="5257" spans="1:9">
      <c r="A5257" s="577"/>
      <c r="B5257" s="65">
        <v>5455</v>
      </c>
      <c r="C5257" s="579" t="s">
        <v>281</v>
      </c>
      <c r="D5257" s="579"/>
      <c r="E5257" s="583"/>
      <c r="F5257" s="596"/>
      <c r="G5257" s="65">
        <v>0</v>
      </c>
      <c r="H5257" s="591" t="s">
        <v>280</v>
      </c>
      <c r="I5257" s="591" t="s">
        <v>280</v>
      </c>
    </row>
    <row r="5258" spans="1:9">
      <c r="A5258" s="577"/>
      <c r="B5258" s="65">
        <v>5456</v>
      </c>
      <c r="C5258" s="579" t="s">
        <v>281</v>
      </c>
      <c r="D5258" s="579"/>
      <c r="E5258" s="583"/>
      <c r="F5258" s="596"/>
      <c r="G5258" s="65">
        <v>0</v>
      </c>
      <c r="H5258" s="591" t="s">
        <v>280</v>
      </c>
      <c r="I5258" s="591" t="s">
        <v>280</v>
      </c>
    </row>
    <row r="5259" spans="1:9">
      <c r="A5259" s="577"/>
      <c r="B5259" s="65">
        <v>5457</v>
      </c>
      <c r="C5259" s="579" t="s">
        <v>281</v>
      </c>
      <c r="D5259" s="579"/>
      <c r="E5259" s="583"/>
      <c r="F5259" s="596"/>
      <c r="G5259" s="65">
        <v>0</v>
      </c>
      <c r="H5259" s="591" t="s">
        <v>280</v>
      </c>
      <c r="I5259" s="591" t="s">
        <v>280</v>
      </c>
    </row>
    <row r="5260" spans="1:9">
      <c r="A5260" s="577"/>
      <c r="B5260" s="65">
        <v>5458</v>
      </c>
      <c r="C5260" s="579" t="s">
        <v>281</v>
      </c>
      <c r="D5260" s="579"/>
      <c r="E5260" s="583"/>
      <c r="F5260" s="596"/>
      <c r="G5260" s="65">
        <v>0</v>
      </c>
      <c r="H5260" s="591" t="s">
        <v>280</v>
      </c>
      <c r="I5260" s="591" t="s">
        <v>280</v>
      </c>
    </row>
    <row r="5261" spans="1:9">
      <c r="A5261" s="577"/>
      <c r="B5261" s="65">
        <v>5459</v>
      </c>
      <c r="C5261" s="579" t="s">
        <v>281</v>
      </c>
      <c r="D5261" s="579"/>
      <c r="E5261" s="583"/>
      <c r="F5261" s="596"/>
      <c r="G5261" s="65">
        <v>0</v>
      </c>
      <c r="H5261" s="591" t="s">
        <v>280</v>
      </c>
      <c r="I5261" s="591" t="s">
        <v>280</v>
      </c>
    </row>
    <row r="5262" spans="1:9">
      <c r="A5262" s="577"/>
      <c r="B5262" s="65">
        <v>5460</v>
      </c>
      <c r="C5262" s="579" t="s">
        <v>281</v>
      </c>
      <c r="D5262" s="579"/>
      <c r="E5262" s="583"/>
      <c r="F5262" s="596"/>
      <c r="G5262" s="65">
        <v>0</v>
      </c>
      <c r="H5262" s="591" t="s">
        <v>280</v>
      </c>
      <c r="I5262" s="591" t="s">
        <v>280</v>
      </c>
    </row>
    <row r="5263" spans="1:9">
      <c r="A5263" s="577"/>
      <c r="B5263" s="65">
        <v>5461</v>
      </c>
      <c r="C5263" s="579" t="s">
        <v>281</v>
      </c>
      <c r="D5263" s="579"/>
      <c r="E5263" s="583"/>
      <c r="F5263" s="596"/>
      <c r="G5263" s="65">
        <v>0</v>
      </c>
      <c r="H5263" s="591" t="s">
        <v>280</v>
      </c>
      <c r="I5263" s="591" t="s">
        <v>280</v>
      </c>
    </row>
    <row r="5264" spans="1:9">
      <c r="A5264" s="577"/>
      <c r="B5264" s="65">
        <v>5462</v>
      </c>
      <c r="C5264" s="579" t="s">
        <v>281</v>
      </c>
      <c r="D5264" s="579"/>
      <c r="E5264" s="583"/>
      <c r="F5264" s="596"/>
      <c r="G5264" s="65">
        <v>0</v>
      </c>
      <c r="H5264" s="591" t="s">
        <v>280</v>
      </c>
      <c r="I5264" s="591" t="s">
        <v>280</v>
      </c>
    </row>
    <row r="5265" spans="1:9">
      <c r="A5265" s="577"/>
      <c r="B5265" s="65">
        <v>5463</v>
      </c>
      <c r="C5265" s="579" t="s">
        <v>281</v>
      </c>
      <c r="D5265" s="579"/>
      <c r="E5265" s="583"/>
      <c r="F5265" s="596"/>
      <c r="G5265" s="65">
        <v>0</v>
      </c>
      <c r="H5265" s="591" t="s">
        <v>280</v>
      </c>
      <c r="I5265" s="591" t="s">
        <v>280</v>
      </c>
    </row>
    <row r="5266" spans="1:9">
      <c r="A5266" s="577"/>
      <c r="B5266" s="65">
        <v>5464</v>
      </c>
      <c r="C5266" s="579" t="s">
        <v>281</v>
      </c>
      <c r="D5266" s="579"/>
      <c r="E5266" s="583"/>
      <c r="F5266" s="596"/>
      <c r="G5266" s="65">
        <v>0</v>
      </c>
      <c r="H5266" s="591" t="s">
        <v>280</v>
      </c>
      <c r="I5266" s="591" t="s">
        <v>280</v>
      </c>
    </row>
    <row r="5267" spans="1:9">
      <c r="A5267" s="577"/>
      <c r="B5267" s="65">
        <v>5465</v>
      </c>
      <c r="C5267" s="579" t="s">
        <v>281</v>
      </c>
      <c r="D5267" s="579"/>
      <c r="E5267" s="583"/>
      <c r="F5267" s="596"/>
      <c r="G5267" s="65">
        <v>0</v>
      </c>
      <c r="H5267" s="591" t="s">
        <v>280</v>
      </c>
      <c r="I5267" s="591" t="s">
        <v>280</v>
      </c>
    </row>
    <row r="5268" spans="1:9">
      <c r="A5268" s="577"/>
      <c r="B5268" s="65">
        <v>5466</v>
      </c>
      <c r="C5268" s="579" t="s">
        <v>281</v>
      </c>
      <c r="D5268" s="579"/>
      <c r="E5268" s="583"/>
      <c r="F5268" s="596"/>
      <c r="G5268" s="65">
        <v>0</v>
      </c>
      <c r="H5268" s="591" t="s">
        <v>280</v>
      </c>
      <c r="I5268" s="591" t="s">
        <v>280</v>
      </c>
    </row>
    <row r="5269" spans="1:9">
      <c r="A5269" s="577"/>
      <c r="B5269" s="65">
        <v>5467</v>
      </c>
      <c r="C5269" s="579" t="s">
        <v>281</v>
      </c>
      <c r="D5269" s="579"/>
      <c r="E5269" s="583"/>
      <c r="F5269" s="596"/>
      <c r="G5269" s="65">
        <v>0</v>
      </c>
      <c r="H5269" s="591" t="s">
        <v>280</v>
      </c>
      <c r="I5269" s="591" t="s">
        <v>280</v>
      </c>
    </row>
    <row r="5270" spans="1:9">
      <c r="A5270" s="577"/>
      <c r="B5270" s="65">
        <v>5468</v>
      </c>
      <c r="C5270" s="579" t="s">
        <v>281</v>
      </c>
      <c r="D5270" s="579"/>
      <c r="E5270" s="583"/>
      <c r="F5270" s="596"/>
      <c r="G5270" s="65">
        <v>0</v>
      </c>
      <c r="H5270" s="591" t="s">
        <v>280</v>
      </c>
      <c r="I5270" s="591" t="s">
        <v>280</v>
      </c>
    </row>
    <row r="5271" spans="1:9">
      <c r="A5271" s="577"/>
      <c r="B5271" s="65">
        <v>5469</v>
      </c>
      <c r="C5271" s="579" t="s">
        <v>281</v>
      </c>
      <c r="D5271" s="579"/>
      <c r="E5271" s="583"/>
      <c r="F5271" s="596"/>
      <c r="G5271" s="65">
        <v>0</v>
      </c>
      <c r="H5271" s="591" t="s">
        <v>280</v>
      </c>
      <c r="I5271" s="591" t="s">
        <v>280</v>
      </c>
    </row>
    <row r="5272" spans="1:9">
      <c r="A5272" s="577"/>
      <c r="B5272" s="65">
        <v>5470</v>
      </c>
      <c r="C5272" s="579" t="s">
        <v>281</v>
      </c>
      <c r="D5272" s="579"/>
      <c r="E5272" s="583"/>
      <c r="F5272" s="596"/>
      <c r="G5272" s="65">
        <v>0</v>
      </c>
      <c r="H5272" s="591" t="s">
        <v>280</v>
      </c>
      <c r="I5272" s="591" t="s">
        <v>280</v>
      </c>
    </row>
    <row r="5273" spans="1:9">
      <c r="A5273" s="577"/>
      <c r="B5273" s="65">
        <v>5471</v>
      </c>
      <c r="C5273" s="579" t="s">
        <v>281</v>
      </c>
      <c r="D5273" s="579"/>
      <c r="E5273" s="583"/>
      <c r="F5273" s="596"/>
      <c r="G5273" s="65">
        <v>0</v>
      </c>
      <c r="H5273" s="591" t="s">
        <v>280</v>
      </c>
      <c r="I5273" s="591" t="s">
        <v>280</v>
      </c>
    </row>
    <row r="5274" spans="1:9">
      <c r="A5274" s="577"/>
      <c r="B5274" s="65">
        <v>5472</v>
      </c>
      <c r="C5274" s="579" t="s">
        <v>281</v>
      </c>
      <c r="D5274" s="579"/>
      <c r="E5274" s="583"/>
      <c r="F5274" s="596"/>
      <c r="G5274" s="65">
        <v>0</v>
      </c>
      <c r="H5274" s="591" t="s">
        <v>280</v>
      </c>
      <c r="I5274" s="591" t="s">
        <v>280</v>
      </c>
    </row>
    <row r="5275" spans="1:9">
      <c r="A5275" s="577"/>
      <c r="B5275" s="65">
        <v>5473</v>
      </c>
      <c r="C5275" s="579" t="s">
        <v>281</v>
      </c>
      <c r="D5275" s="579"/>
      <c r="E5275" s="583"/>
      <c r="F5275" s="596"/>
      <c r="G5275" s="65">
        <v>0</v>
      </c>
      <c r="H5275" s="591" t="s">
        <v>280</v>
      </c>
      <c r="I5275" s="591" t="s">
        <v>280</v>
      </c>
    </row>
    <row r="5276" spans="1:9">
      <c r="A5276" s="577"/>
      <c r="B5276" s="65">
        <v>5474</v>
      </c>
      <c r="C5276" s="579" t="s">
        <v>281</v>
      </c>
      <c r="D5276" s="579"/>
      <c r="E5276" s="583"/>
      <c r="F5276" s="596"/>
      <c r="G5276" s="65">
        <v>0</v>
      </c>
      <c r="H5276" s="591" t="s">
        <v>280</v>
      </c>
      <c r="I5276" s="591" t="s">
        <v>280</v>
      </c>
    </row>
    <row r="5277" spans="1:9">
      <c r="A5277" s="577"/>
      <c r="B5277" s="65">
        <v>5475</v>
      </c>
      <c r="C5277" s="579" t="s">
        <v>281</v>
      </c>
      <c r="D5277" s="579"/>
      <c r="E5277" s="583"/>
      <c r="F5277" s="596"/>
      <c r="G5277" s="65">
        <v>0</v>
      </c>
      <c r="H5277" s="591" t="s">
        <v>280</v>
      </c>
      <c r="I5277" s="591" t="s">
        <v>280</v>
      </c>
    </row>
    <row r="5278" spans="1:9">
      <c r="A5278" s="577"/>
      <c r="B5278" s="65">
        <v>5476</v>
      </c>
      <c r="C5278" s="579" t="s">
        <v>281</v>
      </c>
      <c r="D5278" s="579"/>
      <c r="E5278" s="583"/>
      <c r="F5278" s="596"/>
      <c r="G5278" s="65">
        <v>0</v>
      </c>
      <c r="H5278" s="591" t="s">
        <v>280</v>
      </c>
      <c r="I5278" s="591" t="s">
        <v>280</v>
      </c>
    </row>
    <row r="5279" spans="1:9">
      <c r="A5279" s="577"/>
      <c r="B5279" s="65">
        <v>5477</v>
      </c>
      <c r="C5279" s="579" t="s">
        <v>281</v>
      </c>
      <c r="D5279" s="579"/>
      <c r="E5279" s="583"/>
      <c r="F5279" s="596"/>
      <c r="G5279" s="65">
        <v>0</v>
      </c>
      <c r="H5279" s="591" t="s">
        <v>280</v>
      </c>
      <c r="I5279" s="591" t="s">
        <v>280</v>
      </c>
    </row>
    <row r="5280" spans="1:9">
      <c r="A5280" s="577"/>
      <c r="B5280" s="65">
        <v>5478</v>
      </c>
      <c r="C5280" s="579" t="s">
        <v>281</v>
      </c>
      <c r="D5280" s="579"/>
      <c r="E5280" s="583"/>
      <c r="F5280" s="596"/>
      <c r="G5280" s="65">
        <v>0</v>
      </c>
      <c r="H5280" s="591" t="s">
        <v>280</v>
      </c>
      <c r="I5280" s="591" t="s">
        <v>280</v>
      </c>
    </row>
    <row r="5281" spans="1:9">
      <c r="A5281" s="577"/>
      <c r="B5281" s="65">
        <v>5479</v>
      </c>
      <c r="C5281" s="579" t="s">
        <v>281</v>
      </c>
      <c r="D5281" s="579"/>
      <c r="E5281" s="583"/>
      <c r="F5281" s="596"/>
      <c r="G5281" s="65">
        <v>0</v>
      </c>
      <c r="H5281" s="591" t="s">
        <v>280</v>
      </c>
      <c r="I5281" s="591" t="s">
        <v>280</v>
      </c>
    </row>
    <row r="5282" spans="1:9">
      <c r="A5282" s="577"/>
      <c r="B5282" s="65">
        <v>5480</v>
      </c>
      <c r="C5282" s="579" t="s">
        <v>281</v>
      </c>
      <c r="D5282" s="579"/>
      <c r="E5282" s="583"/>
      <c r="F5282" s="596"/>
      <c r="G5282" s="65">
        <v>0</v>
      </c>
      <c r="H5282" s="591" t="s">
        <v>280</v>
      </c>
      <c r="I5282" s="591" t="s">
        <v>280</v>
      </c>
    </row>
    <row r="5283" spans="1:9">
      <c r="A5283" s="577"/>
      <c r="B5283" s="65">
        <v>5481</v>
      </c>
      <c r="C5283" s="579" t="s">
        <v>281</v>
      </c>
      <c r="D5283" s="579"/>
      <c r="E5283" s="583"/>
      <c r="F5283" s="596"/>
      <c r="G5283" s="65">
        <v>0</v>
      </c>
      <c r="H5283" s="591" t="s">
        <v>280</v>
      </c>
      <c r="I5283" s="591" t="s">
        <v>280</v>
      </c>
    </row>
    <row r="5284" spans="1:9">
      <c r="A5284" s="577"/>
      <c r="B5284" s="65">
        <v>5482</v>
      </c>
      <c r="C5284" s="579" t="s">
        <v>281</v>
      </c>
      <c r="D5284" s="579"/>
      <c r="E5284" s="583"/>
      <c r="F5284" s="596"/>
      <c r="G5284" s="65">
        <v>0</v>
      </c>
      <c r="H5284" s="591" t="s">
        <v>280</v>
      </c>
      <c r="I5284" s="591" t="s">
        <v>280</v>
      </c>
    </row>
    <row r="5285" spans="1:9">
      <c r="A5285" s="577"/>
      <c r="B5285" s="65">
        <v>5483</v>
      </c>
      <c r="C5285" s="579" t="s">
        <v>281</v>
      </c>
      <c r="D5285" s="579"/>
      <c r="E5285" s="583"/>
      <c r="F5285" s="596"/>
      <c r="G5285" s="65">
        <v>0</v>
      </c>
      <c r="H5285" s="591" t="s">
        <v>280</v>
      </c>
      <c r="I5285" s="591" t="s">
        <v>280</v>
      </c>
    </row>
    <row r="5286" spans="1:9">
      <c r="A5286" s="577"/>
      <c r="B5286" s="65">
        <v>5484</v>
      </c>
      <c r="C5286" s="579" t="s">
        <v>281</v>
      </c>
      <c r="D5286" s="579"/>
      <c r="E5286" s="583"/>
      <c r="F5286" s="596"/>
      <c r="G5286" s="65">
        <v>0</v>
      </c>
      <c r="H5286" s="591" t="s">
        <v>280</v>
      </c>
      <c r="I5286" s="591" t="s">
        <v>280</v>
      </c>
    </row>
    <row r="5287" spans="1:9">
      <c r="A5287" s="577"/>
      <c r="B5287" s="65">
        <v>5485</v>
      </c>
      <c r="C5287" s="579" t="s">
        <v>281</v>
      </c>
      <c r="D5287" s="579"/>
      <c r="E5287" s="583"/>
      <c r="F5287" s="596"/>
      <c r="G5287" s="65">
        <v>0</v>
      </c>
      <c r="H5287" s="591" t="s">
        <v>280</v>
      </c>
      <c r="I5287" s="591" t="s">
        <v>280</v>
      </c>
    </row>
    <row r="5288" spans="1:9">
      <c r="A5288" s="577"/>
      <c r="B5288" s="65">
        <v>5486</v>
      </c>
      <c r="C5288" s="579" t="s">
        <v>281</v>
      </c>
      <c r="D5288" s="579"/>
      <c r="E5288" s="583"/>
      <c r="F5288" s="596"/>
      <c r="G5288" s="65">
        <v>0</v>
      </c>
      <c r="H5288" s="591" t="s">
        <v>280</v>
      </c>
      <c r="I5288" s="591" t="s">
        <v>280</v>
      </c>
    </row>
    <row r="5289" spans="1:9">
      <c r="A5289" s="577"/>
      <c r="B5289" s="65">
        <v>5487</v>
      </c>
      <c r="C5289" s="579" t="s">
        <v>281</v>
      </c>
      <c r="D5289" s="579"/>
      <c r="E5289" s="583"/>
      <c r="F5289" s="596"/>
      <c r="G5289" s="65">
        <v>0</v>
      </c>
      <c r="H5289" s="591" t="s">
        <v>280</v>
      </c>
      <c r="I5289" s="591" t="s">
        <v>280</v>
      </c>
    </row>
    <row r="5290" spans="1:9">
      <c r="A5290" s="577"/>
      <c r="B5290" s="65">
        <v>5488</v>
      </c>
      <c r="C5290" s="579" t="s">
        <v>281</v>
      </c>
      <c r="D5290" s="579"/>
      <c r="E5290" s="583"/>
      <c r="F5290" s="596"/>
      <c r="G5290" s="65">
        <v>0</v>
      </c>
      <c r="H5290" s="591" t="s">
        <v>280</v>
      </c>
      <c r="I5290" s="591" t="s">
        <v>280</v>
      </c>
    </row>
    <row r="5291" spans="1:9">
      <c r="A5291" s="577"/>
      <c r="B5291" s="65">
        <v>5489</v>
      </c>
      <c r="C5291" s="579" t="s">
        <v>281</v>
      </c>
      <c r="D5291" s="579"/>
      <c r="E5291" s="583"/>
      <c r="F5291" s="596"/>
      <c r="G5291" s="65">
        <v>0</v>
      </c>
      <c r="H5291" s="591" t="s">
        <v>280</v>
      </c>
      <c r="I5291" s="591" t="s">
        <v>280</v>
      </c>
    </row>
    <row r="5292" spans="1:9">
      <c r="A5292" s="577"/>
      <c r="B5292" s="65">
        <v>5490</v>
      </c>
      <c r="C5292" s="579" t="s">
        <v>281</v>
      </c>
      <c r="D5292" s="579"/>
      <c r="E5292" s="583"/>
      <c r="F5292" s="596"/>
      <c r="G5292" s="65">
        <v>0</v>
      </c>
      <c r="H5292" s="591" t="s">
        <v>280</v>
      </c>
      <c r="I5292" s="591" t="s">
        <v>280</v>
      </c>
    </row>
    <row r="5293" spans="1:9">
      <c r="A5293" s="577"/>
      <c r="B5293" s="65">
        <v>5491</v>
      </c>
      <c r="C5293" s="579" t="s">
        <v>281</v>
      </c>
      <c r="D5293" s="579"/>
      <c r="E5293" s="583"/>
      <c r="F5293" s="596"/>
      <c r="G5293" s="65">
        <v>0</v>
      </c>
      <c r="H5293" s="591" t="s">
        <v>280</v>
      </c>
      <c r="I5293" s="591" t="s">
        <v>280</v>
      </c>
    </row>
    <row r="5294" spans="1:9">
      <c r="A5294" s="577"/>
      <c r="B5294" s="65">
        <v>5492</v>
      </c>
      <c r="C5294" s="579" t="s">
        <v>281</v>
      </c>
      <c r="D5294" s="579"/>
      <c r="E5294" s="583"/>
      <c r="F5294" s="596"/>
      <c r="G5294" s="65">
        <v>0</v>
      </c>
      <c r="H5294" s="591" t="s">
        <v>280</v>
      </c>
      <c r="I5294" s="591" t="s">
        <v>280</v>
      </c>
    </row>
    <row r="5295" spans="1:9">
      <c r="A5295" s="577"/>
      <c r="B5295" s="65">
        <v>5493</v>
      </c>
      <c r="C5295" s="579" t="s">
        <v>281</v>
      </c>
      <c r="D5295" s="579"/>
      <c r="E5295" s="583"/>
      <c r="F5295" s="596"/>
      <c r="G5295" s="65">
        <v>0</v>
      </c>
      <c r="H5295" s="591" t="s">
        <v>280</v>
      </c>
      <c r="I5295" s="591" t="s">
        <v>280</v>
      </c>
    </row>
    <row r="5296" spans="1:9">
      <c r="A5296" s="577"/>
      <c r="B5296" s="65">
        <v>5494</v>
      </c>
      <c r="C5296" s="579" t="s">
        <v>281</v>
      </c>
      <c r="D5296" s="579"/>
      <c r="E5296" s="583"/>
      <c r="F5296" s="596"/>
      <c r="G5296" s="65">
        <v>0</v>
      </c>
      <c r="H5296" s="591" t="s">
        <v>280</v>
      </c>
      <c r="I5296" s="591" t="s">
        <v>280</v>
      </c>
    </row>
    <row r="5297" spans="1:9">
      <c r="A5297" s="577"/>
      <c r="B5297" s="65">
        <v>5495</v>
      </c>
      <c r="C5297" s="579" t="s">
        <v>281</v>
      </c>
      <c r="D5297" s="579"/>
      <c r="E5297" s="583"/>
      <c r="F5297" s="596"/>
      <c r="G5297" s="65">
        <v>0</v>
      </c>
      <c r="H5297" s="591" t="s">
        <v>280</v>
      </c>
      <c r="I5297" s="591" t="s">
        <v>280</v>
      </c>
    </row>
    <row r="5298" spans="1:9">
      <c r="A5298" s="577"/>
      <c r="B5298" s="65">
        <v>5496</v>
      </c>
      <c r="C5298" s="579" t="s">
        <v>281</v>
      </c>
      <c r="D5298" s="579"/>
      <c r="E5298" s="583"/>
      <c r="F5298" s="596"/>
      <c r="G5298" s="65">
        <v>0</v>
      </c>
      <c r="H5298" s="591" t="s">
        <v>280</v>
      </c>
      <c r="I5298" s="591" t="s">
        <v>280</v>
      </c>
    </row>
    <row r="5299" spans="1:9">
      <c r="A5299" s="577"/>
      <c r="B5299" s="65">
        <v>5497</v>
      </c>
      <c r="C5299" s="579" t="s">
        <v>281</v>
      </c>
      <c r="D5299" s="579"/>
      <c r="E5299" s="583"/>
      <c r="F5299" s="596"/>
      <c r="G5299" s="65">
        <v>0</v>
      </c>
      <c r="H5299" s="591" t="s">
        <v>280</v>
      </c>
      <c r="I5299" s="591" t="s">
        <v>280</v>
      </c>
    </row>
    <row r="5300" spans="1:9">
      <c r="A5300" s="577"/>
      <c r="B5300" s="65">
        <v>5498</v>
      </c>
      <c r="C5300" s="579" t="s">
        <v>281</v>
      </c>
      <c r="D5300" s="579"/>
      <c r="E5300" s="583"/>
      <c r="F5300" s="596"/>
      <c r="G5300" s="65">
        <v>0</v>
      </c>
      <c r="H5300" s="591" t="s">
        <v>280</v>
      </c>
      <c r="I5300" s="591" t="s">
        <v>280</v>
      </c>
    </row>
    <row r="5301" spans="1:9">
      <c r="A5301" s="577"/>
      <c r="B5301" s="65">
        <v>5499</v>
      </c>
      <c r="C5301" s="579" t="s">
        <v>281</v>
      </c>
      <c r="D5301" s="579"/>
      <c r="E5301" s="583"/>
      <c r="F5301" s="596"/>
      <c r="G5301" s="65">
        <v>0</v>
      </c>
      <c r="H5301" s="591" t="s">
        <v>280</v>
      </c>
      <c r="I5301" s="591" t="s">
        <v>280</v>
      </c>
    </row>
    <row r="5302" spans="1:9">
      <c r="A5302" s="577"/>
      <c r="B5302" s="65">
        <v>5500</v>
      </c>
      <c r="C5302" s="579" t="s">
        <v>281</v>
      </c>
      <c r="D5302" s="579"/>
      <c r="E5302" s="583"/>
      <c r="F5302" s="596"/>
      <c r="G5302" s="65">
        <v>0</v>
      </c>
      <c r="H5302" s="591" t="s">
        <v>280</v>
      </c>
      <c r="I5302" s="591" t="s">
        <v>280</v>
      </c>
    </row>
    <row r="5303" spans="1:9">
      <c r="A5303" s="577"/>
      <c r="B5303" s="65">
        <v>5501</v>
      </c>
      <c r="C5303" s="579" t="s">
        <v>281</v>
      </c>
      <c r="D5303" s="579"/>
      <c r="E5303" s="583"/>
      <c r="F5303" s="596"/>
      <c r="G5303" s="65">
        <v>0</v>
      </c>
      <c r="H5303" s="591" t="s">
        <v>280</v>
      </c>
      <c r="I5303" s="591" t="s">
        <v>280</v>
      </c>
    </row>
    <row r="5304" spans="1:9">
      <c r="A5304" s="577"/>
      <c r="B5304" s="65">
        <v>5502</v>
      </c>
      <c r="C5304" s="579" t="s">
        <v>281</v>
      </c>
      <c r="D5304" s="579"/>
      <c r="E5304" s="583"/>
      <c r="F5304" s="596"/>
      <c r="G5304" s="65">
        <v>0</v>
      </c>
      <c r="H5304" s="591" t="s">
        <v>280</v>
      </c>
      <c r="I5304" s="591" t="s">
        <v>280</v>
      </c>
    </row>
    <row r="5305" spans="1:9">
      <c r="A5305" s="577"/>
      <c r="B5305" s="65">
        <v>5503</v>
      </c>
      <c r="C5305" s="579" t="s">
        <v>281</v>
      </c>
      <c r="D5305" s="579"/>
      <c r="E5305" s="583"/>
      <c r="F5305" s="596"/>
      <c r="G5305" s="65">
        <v>0</v>
      </c>
      <c r="H5305" s="591" t="s">
        <v>280</v>
      </c>
      <c r="I5305" s="591" t="s">
        <v>280</v>
      </c>
    </row>
    <row r="5306" spans="1:9">
      <c r="A5306" s="577"/>
      <c r="B5306" s="65">
        <v>5504</v>
      </c>
      <c r="C5306" s="579" t="s">
        <v>281</v>
      </c>
      <c r="D5306" s="579"/>
      <c r="E5306" s="583"/>
      <c r="F5306" s="596"/>
      <c r="G5306" s="65">
        <v>0</v>
      </c>
      <c r="H5306" s="591" t="s">
        <v>280</v>
      </c>
      <c r="I5306" s="591" t="s">
        <v>280</v>
      </c>
    </row>
    <row r="5307" spans="1:9">
      <c r="A5307" s="577"/>
      <c r="B5307" s="65">
        <v>5505</v>
      </c>
      <c r="C5307" s="579" t="s">
        <v>281</v>
      </c>
      <c r="D5307" s="579"/>
      <c r="E5307" s="583"/>
      <c r="F5307" s="596"/>
      <c r="G5307" s="65">
        <v>0</v>
      </c>
      <c r="H5307" s="591" t="s">
        <v>280</v>
      </c>
      <c r="I5307" s="591" t="s">
        <v>280</v>
      </c>
    </row>
    <row r="5308" spans="1:9">
      <c r="A5308" s="577"/>
      <c r="B5308" s="65">
        <v>5506</v>
      </c>
      <c r="C5308" s="579" t="s">
        <v>281</v>
      </c>
      <c r="D5308" s="579"/>
      <c r="E5308" s="583"/>
      <c r="F5308" s="596"/>
      <c r="G5308" s="65">
        <v>0</v>
      </c>
      <c r="H5308" s="591" t="s">
        <v>280</v>
      </c>
      <c r="I5308" s="591" t="s">
        <v>280</v>
      </c>
    </row>
    <row r="5309" spans="1:9">
      <c r="A5309" s="577"/>
      <c r="B5309" s="65">
        <v>5507</v>
      </c>
      <c r="C5309" s="579" t="s">
        <v>281</v>
      </c>
      <c r="D5309" s="579"/>
      <c r="E5309" s="583"/>
      <c r="F5309" s="596"/>
      <c r="G5309" s="65">
        <v>0</v>
      </c>
      <c r="H5309" s="591" t="s">
        <v>280</v>
      </c>
      <c r="I5309" s="591" t="s">
        <v>280</v>
      </c>
    </row>
    <row r="5310" spans="1:9">
      <c r="A5310" s="577"/>
      <c r="B5310" s="65">
        <v>5508</v>
      </c>
      <c r="C5310" s="579" t="s">
        <v>281</v>
      </c>
      <c r="D5310" s="579"/>
      <c r="E5310" s="583"/>
      <c r="F5310" s="596"/>
      <c r="G5310" s="65">
        <v>0</v>
      </c>
      <c r="H5310" s="591" t="s">
        <v>280</v>
      </c>
      <c r="I5310" s="591" t="s">
        <v>280</v>
      </c>
    </row>
    <row r="5311" spans="1:9">
      <c r="A5311" s="577"/>
      <c r="B5311" s="65">
        <v>5509</v>
      </c>
      <c r="C5311" s="579" t="s">
        <v>281</v>
      </c>
      <c r="D5311" s="579"/>
      <c r="E5311" s="583"/>
      <c r="F5311" s="596"/>
      <c r="G5311" s="65">
        <v>0</v>
      </c>
      <c r="H5311" s="591" t="s">
        <v>280</v>
      </c>
      <c r="I5311" s="591" t="s">
        <v>280</v>
      </c>
    </row>
    <row r="5312" spans="1:9">
      <c r="A5312" s="577"/>
      <c r="B5312" s="65">
        <v>5510</v>
      </c>
      <c r="C5312" s="579" t="s">
        <v>281</v>
      </c>
      <c r="D5312" s="579"/>
      <c r="E5312" s="583"/>
      <c r="F5312" s="596"/>
      <c r="G5312" s="65">
        <v>0</v>
      </c>
      <c r="H5312" s="591" t="s">
        <v>280</v>
      </c>
      <c r="I5312" s="591" t="s">
        <v>280</v>
      </c>
    </row>
    <row r="5313" spans="1:9">
      <c r="A5313" s="577"/>
      <c r="B5313" s="65">
        <v>5511</v>
      </c>
      <c r="C5313" s="579" t="s">
        <v>281</v>
      </c>
      <c r="D5313" s="579"/>
      <c r="E5313" s="583"/>
      <c r="F5313" s="596"/>
      <c r="G5313" s="65">
        <v>0</v>
      </c>
      <c r="H5313" s="591" t="s">
        <v>280</v>
      </c>
      <c r="I5313" s="591" t="s">
        <v>280</v>
      </c>
    </row>
    <row r="5314" spans="1:9">
      <c r="A5314" s="577"/>
      <c r="B5314" s="65">
        <v>5512</v>
      </c>
      <c r="C5314" s="579" t="s">
        <v>281</v>
      </c>
      <c r="D5314" s="579"/>
      <c r="E5314" s="583"/>
      <c r="F5314" s="596"/>
      <c r="G5314" s="65">
        <v>0</v>
      </c>
      <c r="H5314" s="591" t="s">
        <v>280</v>
      </c>
      <c r="I5314" s="591" t="s">
        <v>280</v>
      </c>
    </row>
    <row r="5315" spans="1:9">
      <c r="A5315" s="577"/>
      <c r="B5315" s="65">
        <v>5513</v>
      </c>
      <c r="C5315" s="579" t="s">
        <v>281</v>
      </c>
      <c r="D5315" s="579"/>
      <c r="E5315" s="583"/>
      <c r="F5315" s="596"/>
      <c r="G5315" s="65">
        <v>0</v>
      </c>
      <c r="H5315" s="591" t="s">
        <v>280</v>
      </c>
      <c r="I5315" s="591" t="s">
        <v>280</v>
      </c>
    </row>
    <row r="5316" spans="1:9">
      <c r="A5316" s="577"/>
      <c r="B5316" s="65">
        <v>5514</v>
      </c>
      <c r="C5316" s="579" t="s">
        <v>281</v>
      </c>
      <c r="D5316" s="579"/>
      <c r="E5316" s="583"/>
      <c r="F5316" s="596"/>
      <c r="G5316" s="65">
        <v>0</v>
      </c>
      <c r="H5316" s="591" t="s">
        <v>280</v>
      </c>
      <c r="I5316" s="591" t="s">
        <v>280</v>
      </c>
    </row>
    <row r="5317" spans="1:9">
      <c r="A5317" s="577"/>
      <c r="B5317" s="65">
        <v>5515</v>
      </c>
      <c r="C5317" s="579" t="s">
        <v>281</v>
      </c>
      <c r="D5317" s="579"/>
      <c r="E5317" s="583"/>
      <c r="F5317" s="596"/>
      <c r="G5317" s="65">
        <v>0</v>
      </c>
      <c r="H5317" s="591" t="s">
        <v>280</v>
      </c>
      <c r="I5317" s="591" t="s">
        <v>280</v>
      </c>
    </row>
    <row r="5318" spans="1:9">
      <c r="A5318" s="577"/>
      <c r="B5318" s="65">
        <v>5516</v>
      </c>
      <c r="C5318" s="579" t="s">
        <v>281</v>
      </c>
      <c r="D5318" s="579"/>
      <c r="E5318" s="583"/>
      <c r="F5318" s="596"/>
      <c r="G5318" s="65">
        <v>0</v>
      </c>
      <c r="H5318" s="591" t="s">
        <v>280</v>
      </c>
      <c r="I5318" s="591" t="s">
        <v>280</v>
      </c>
    </row>
    <row r="5319" spans="1:9">
      <c r="A5319" s="577"/>
      <c r="B5319" s="65">
        <v>5517</v>
      </c>
      <c r="C5319" s="579" t="s">
        <v>281</v>
      </c>
      <c r="D5319" s="579"/>
      <c r="E5319" s="583"/>
      <c r="F5319" s="596"/>
      <c r="G5319" s="65">
        <v>0</v>
      </c>
      <c r="H5319" s="591" t="s">
        <v>280</v>
      </c>
      <c r="I5319" s="591" t="s">
        <v>280</v>
      </c>
    </row>
    <row r="5320" spans="1:9">
      <c r="A5320" s="577"/>
      <c r="B5320" s="65">
        <v>5518</v>
      </c>
      <c r="C5320" s="579" t="s">
        <v>281</v>
      </c>
      <c r="D5320" s="579"/>
      <c r="E5320" s="583"/>
      <c r="F5320" s="596"/>
      <c r="G5320" s="65">
        <v>0</v>
      </c>
      <c r="H5320" s="591" t="s">
        <v>280</v>
      </c>
      <c r="I5320" s="591" t="s">
        <v>280</v>
      </c>
    </row>
    <row r="5321" spans="1:9">
      <c r="A5321" s="577"/>
      <c r="B5321" s="65">
        <v>5519</v>
      </c>
      <c r="C5321" s="579" t="s">
        <v>281</v>
      </c>
      <c r="D5321" s="579"/>
      <c r="E5321" s="583"/>
      <c r="F5321" s="596"/>
      <c r="G5321" s="65">
        <v>0</v>
      </c>
      <c r="H5321" s="591" t="s">
        <v>280</v>
      </c>
      <c r="I5321" s="591" t="s">
        <v>280</v>
      </c>
    </row>
    <row r="5322" spans="1:9">
      <c r="A5322" s="577"/>
      <c r="B5322" s="65">
        <v>5520</v>
      </c>
      <c r="C5322" s="579" t="s">
        <v>281</v>
      </c>
      <c r="D5322" s="579"/>
      <c r="E5322" s="583"/>
      <c r="F5322" s="596"/>
      <c r="G5322" s="65">
        <v>0</v>
      </c>
      <c r="H5322" s="591" t="s">
        <v>280</v>
      </c>
      <c r="I5322" s="591" t="s">
        <v>280</v>
      </c>
    </row>
    <row r="5323" spans="1:9">
      <c r="A5323" s="577"/>
      <c r="B5323" s="65">
        <v>5521</v>
      </c>
      <c r="C5323" s="579" t="s">
        <v>281</v>
      </c>
      <c r="D5323" s="579"/>
      <c r="E5323" s="583"/>
      <c r="F5323" s="596"/>
      <c r="G5323" s="65">
        <v>0</v>
      </c>
      <c r="H5323" s="591" t="s">
        <v>280</v>
      </c>
      <c r="I5323" s="591" t="s">
        <v>280</v>
      </c>
    </row>
    <row r="5324" spans="1:9">
      <c r="A5324" s="577"/>
      <c r="B5324" s="65">
        <v>5522</v>
      </c>
      <c r="C5324" s="579" t="s">
        <v>281</v>
      </c>
      <c r="D5324" s="579"/>
      <c r="E5324" s="583"/>
      <c r="F5324" s="596"/>
      <c r="G5324" s="65">
        <v>0</v>
      </c>
      <c r="H5324" s="591" t="s">
        <v>280</v>
      </c>
      <c r="I5324" s="591" t="s">
        <v>280</v>
      </c>
    </row>
    <row r="5325" spans="1:9">
      <c r="A5325" s="577"/>
      <c r="B5325" s="65">
        <v>5523</v>
      </c>
      <c r="C5325" s="579" t="s">
        <v>281</v>
      </c>
      <c r="D5325" s="579"/>
      <c r="E5325" s="583"/>
      <c r="F5325" s="596"/>
      <c r="G5325" s="65">
        <v>0</v>
      </c>
      <c r="H5325" s="591" t="s">
        <v>280</v>
      </c>
      <c r="I5325" s="591" t="s">
        <v>280</v>
      </c>
    </row>
    <row r="5326" spans="1:9">
      <c r="A5326" s="577"/>
      <c r="B5326" s="65">
        <v>5524</v>
      </c>
      <c r="C5326" s="579" t="s">
        <v>281</v>
      </c>
      <c r="D5326" s="579"/>
      <c r="E5326" s="583"/>
      <c r="F5326" s="596"/>
      <c r="G5326" s="65">
        <v>0</v>
      </c>
      <c r="H5326" s="591" t="s">
        <v>280</v>
      </c>
      <c r="I5326" s="591" t="s">
        <v>280</v>
      </c>
    </row>
    <row r="5327" spans="1:9">
      <c r="A5327" s="577"/>
      <c r="B5327" s="65">
        <v>5525</v>
      </c>
      <c r="C5327" s="579" t="s">
        <v>281</v>
      </c>
      <c r="D5327" s="579"/>
      <c r="E5327" s="583"/>
      <c r="F5327" s="596"/>
      <c r="G5327" s="65">
        <v>0</v>
      </c>
      <c r="H5327" s="591" t="s">
        <v>280</v>
      </c>
      <c r="I5327" s="591" t="s">
        <v>280</v>
      </c>
    </row>
    <row r="5328" spans="1:9">
      <c r="A5328" s="577"/>
      <c r="B5328" s="65">
        <v>5526</v>
      </c>
      <c r="C5328" s="579" t="s">
        <v>281</v>
      </c>
      <c r="D5328" s="579"/>
      <c r="E5328" s="583"/>
      <c r="F5328" s="596"/>
      <c r="G5328" s="65">
        <v>0</v>
      </c>
      <c r="H5328" s="591" t="s">
        <v>280</v>
      </c>
      <c r="I5328" s="591" t="s">
        <v>280</v>
      </c>
    </row>
    <row r="5329" spans="1:9">
      <c r="A5329" s="577"/>
      <c r="B5329" s="65">
        <v>5527</v>
      </c>
      <c r="C5329" s="579" t="s">
        <v>281</v>
      </c>
      <c r="D5329" s="579"/>
      <c r="E5329" s="583"/>
      <c r="F5329" s="596"/>
      <c r="G5329" s="65">
        <v>0</v>
      </c>
      <c r="H5329" s="591" t="s">
        <v>280</v>
      </c>
      <c r="I5329" s="591" t="s">
        <v>280</v>
      </c>
    </row>
    <row r="5330" spans="1:9">
      <c r="A5330" s="577"/>
      <c r="B5330" s="65">
        <v>5528</v>
      </c>
      <c r="C5330" s="579" t="s">
        <v>281</v>
      </c>
      <c r="D5330" s="579"/>
      <c r="E5330" s="583"/>
      <c r="F5330" s="596"/>
      <c r="G5330" s="65">
        <v>0</v>
      </c>
      <c r="H5330" s="591" t="s">
        <v>280</v>
      </c>
      <c r="I5330" s="591" t="s">
        <v>280</v>
      </c>
    </row>
    <row r="5331" spans="1:9">
      <c r="A5331" s="577"/>
      <c r="B5331" s="65">
        <v>5529</v>
      </c>
      <c r="C5331" s="579" t="s">
        <v>281</v>
      </c>
      <c r="D5331" s="579"/>
      <c r="E5331" s="583"/>
      <c r="F5331" s="596"/>
      <c r="G5331" s="65">
        <v>0</v>
      </c>
      <c r="H5331" s="591" t="s">
        <v>280</v>
      </c>
      <c r="I5331" s="591" t="s">
        <v>280</v>
      </c>
    </row>
    <row r="5332" spans="1:9">
      <c r="A5332" s="577"/>
      <c r="B5332" s="65">
        <v>5530</v>
      </c>
      <c r="C5332" s="579" t="s">
        <v>281</v>
      </c>
      <c r="D5332" s="579"/>
      <c r="E5332" s="583"/>
      <c r="F5332" s="596"/>
      <c r="G5332" s="65">
        <v>0</v>
      </c>
      <c r="H5332" s="591" t="s">
        <v>280</v>
      </c>
      <c r="I5332" s="591" t="s">
        <v>280</v>
      </c>
    </row>
    <row r="5333" spans="1:9">
      <c r="A5333" s="577"/>
      <c r="B5333" s="65">
        <v>5531</v>
      </c>
      <c r="C5333" s="579" t="s">
        <v>281</v>
      </c>
      <c r="D5333" s="579"/>
      <c r="E5333" s="583"/>
      <c r="F5333" s="596"/>
      <c r="G5333" s="65">
        <v>0</v>
      </c>
      <c r="H5333" s="591" t="s">
        <v>280</v>
      </c>
      <c r="I5333" s="591" t="s">
        <v>280</v>
      </c>
    </row>
    <row r="5334" spans="1:9">
      <c r="A5334" s="577"/>
      <c r="B5334" s="65">
        <v>5532</v>
      </c>
      <c r="C5334" s="579" t="s">
        <v>281</v>
      </c>
      <c r="D5334" s="579"/>
      <c r="E5334" s="583"/>
      <c r="F5334" s="596"/>
      <c r="G5334" s="65">
        <v>0</v>
      </c>
      <c r="H5334" s="591" t="s">
        <v>280</v>
      </c>
      <c r="I5334" s="591" t="s">
        <v>280</v>
      </c>
    </row>
    <row r="5335" spans="1:9">
      <c r="A5335" s="577"/>
      <c r="B5335" s="65">
        <v>5533</v>
      </c>
      <c r="C5335" s="579" t="s">
        <v>281</v>
      </c>
      <c r="D5335" s="579"/>
      <c r="E5335" s="583"/>
      <c r="F5335" s="596"/>
      <c r="G5335" s="65">
        <v>0</v>
      </c>
      <c r="H5335" s="591" t="s">
        <v>280</v>
      </c>
      <c r="I5335" s="591" t="s">
        <v>280</v>
      </c>
    </row>
    <row r="5336" spans="1:9">
      <c r="A5336" s="577"/>
      <c r="B5336" s="65">
        <v>5534</v>
      </c>
      <c r="C5336" s="579" t="s">
        <v>281</v>
      </c>
      <c r="D5336" s="579"/>
      <c r="E5336" s="583"/>
      <c r="F5336" s="596"/>
      <c r="G5336" s="65">
        <v>0</v>
      </c>
      <c r="H5336" s="591" t="s">
        <v>280</v>
      </c>
      <c r="I5336" s="591" t="s">
        <v>280</v>
      </c>
    </row>
    <row r="5337" spans="1:9">
      <c r="A5337" s="577"/>
      <c r="B5337" s="65">
        <v>5535</v>
      </c>
      <c r="C5337" s="579" t="s">
        <v>281</v>
      </c>
      <c r="D5337" s="579"/>
      <c r="E5337" s="583"/>
      <c r="F5337" s="596"/>
      <c r="G5337" s="65">
        <v>0</v>
      </c>
      <c r="H5337" s="591" t="s">
        <v>280</v>
      </c>
      <c r="I5337" s="591" t="s">
        <v>280</v>
      </c>
    </row>
    <row r="5338" spans="1:9">
      <c r="A5338" s="577"/>
      <c r="B5338" s="65">
        <v>5536</v>
      </c>
      <c r="C5338" s="579" t="s">
        <v>281</v>
      </c>
      <c r="D5338" s="579"/>
      <c r="E5338" s="583"/>
      <c r="F5338" s="596"/>
      <c r="G5338" s="65">
        <v>0</v>
      </c>
      <c r="H5338" s="591" t="s">
        <v>280</v>
      </c>
      <c r="I5338" s="591" t="s">
        <v>280</v>
      </c>
    </row>
    <row r="5339" spans="1:9">
      <c r="A5339" s="577"/>
      <c r="B5339" s="65">
        <v>5537</v>
      </c>
      <c r="C5339" s="579" t="s">
        <v>281</v>
      </c>
      <c r="D5339" s="579"/>
      <c r="E5339" s="583"/>
      <c r="F5339" s="596"/>
      <c r="G5339" s="65">
        <v>0</v>
      </c>
      <c r="H5339" s="591" t="s">
        <v>280</v>
      </c>
      <c r="I5339" s="591" t="s">
        <v>280</v>
      </c>
    </row>
    <row r="5340" spans="1:9">
      <c r="A5340" s="577"/>
      <c r="B5340" s="65">
        <v>5538</v>
      </c>
      <c r="C5340" s="579" t="s">
        <v>281</v>
      </c>
      <c r="D5340" s="579"/>
      <c r="E5340" s="583"/>
      <c r="F5340" s="596"/>
      <c r="G5340" s="65">
        <v>0</v>
      </c>
      <c r="H5340" s="591" t="s">
        <v>280</v>
      </c>
      <c r="I5340" s="591" t="s">
        <v>280</v>
      </c>
    </row>
    <row r="5341" spans="1:9">
      <c r="A5341" s="577"/>
      <c r="B5341" s="65">
        <v>5539</v>
      </c>
      <c r="C5341" s="579" t="s">
        <v>281</v>
      </c>
      <c r="D5341" s="579"/>
      <c r="E5341" s="583"/>
      <c r="F5341" s="596"/>
      <c r="G5341" s="65">
        <v>0</v>
      </c>
      <c r="H5341" s="591" t="s">
        <v>280</v>
      </c>
      <c r="I5341" s="591" t="s">
        <v>280</v>
      </c>
    </row>
    <row r="5342" spans="1:9">
      <c r="A5342" s="577"/>
      <c r="B5342" s="65">
        <v>5540</v>
      </c>
      <c r="C5342" s="579" t="s">
        <v>281</v>
      </c>
      <c r="D5342" s="579"/>
      <c r="E5342" s="583"/>
      <c r="F5342" s="596"/>
      <c r="G5342" s="65">
        <v>0</v>
      </c>
      <c r="H5342" s="591" t="s">
        <v>280</v>
      </c>
      <c r="I5342" s="591" t="s">
        <v>280</v>
      </c>
    </row>
    <row r="5343" spans="1:9">
      <c r="A5343" s="577"/>
      <c r="B5343" s="65">
        <v>5541</v>
      </c>
      <c r="C5343" s="579" t="s">
        <v>281</v>
      </c>
      <c r="D5343" s="579"/>
      <c r="E5343" s="583"/>
      <c r="F5343" s="596"/>
      <c r="G5343" s="65">
        <v>0</v>
      </c>
      <c r="H5343" s="591" t="s">
        <v>280</v>
      </c>
      <c r="I5343" s="591" t="s">
        <v>280</v>
      </c>
    </row>
    <row r="5344" spans="1:9">
      <c r="A5344" s="577"/>
      <c r="B5344" s="65">
        <v>5542</v>
      </c>
      <c r="C5344" s="579" t="s">
        <v>281</v>
      </c>
      <c r="D5344" s="579"/>
      <c r="E5344" s="583"/>
      <c r="F5344" s="596"/>
      <c r="G5344" s="65">
        <v>0</v>
      </c>
      <c r="H5344" s="591" t="s">
        <v>280</v>
      </c>
      <c r="I5344" s="591" t="s">
        <v>280</v>
      </c>
    </row>
    <row r="5345" spans="1:9">
      <c r="A5345" s="577"/>
      <c r="B5345" s="65">
        <v>5543</v>
      </c>
      <c r="C5345" s="579" t="s">
        <v>281</v>
      </c>
      <c r="D5345" s="579"/>
      <c r="E5345" s="583"/>
      <c r="F5345" s="596"/>
      <c r="G5345" s="65">
        <v>0</v>
      </c>
      <c r="H5345" s="591" t="s">
        <v>280</v>
      </c>
      <c r="I5345" s="591" t="s">
        <v>280</v>
      </c>
    </row>
    <row r="5346" spans="1:9">
      <c r="A5346" s="577"/>
      <c r="B5346" s="65">
        <v>5544</v>
      </c>
      <c r="C5346" s="579" t="s">
        <v>281</v>
      </c>
      <c r="D5346" s="579"/>
      <c r="E5346" s="583"/>
      <c r="F5346" s="596"/>
      <c r="G5346" s="65">
        <v>0</v>
      </c>
      <c r="H5346" s="591" t="s">
        <v>280</v>
      </c>
      <c r="I5346" s="591" t="s">
        <v>280</v>
      </c>
    </row>
    <row r="5347" spans="1:9">
      <c r="A5347" s="577"/>
      <c r="B5347" s="65">
        <v>5545</v>
      </c>
      <c r="C5347" s="579" t="s">
        <v>281</v>
      </c>
      <c r="D5347" s="579"/>
      <c r="E5347" s="583"/>
      <c r="F5347" s="596"/>
      <c r="G5347" s="65">
        <v>0</v>
      </c>
      <c r="H5347" s="591" t="s">
        <v>280</v>
      </c>
      <c r="I5347" s="591" t="s">
        <v>280</v>
      </c>
    </row>
    <row r="5348" spans="1:9">
      <c r="A5348" s="577"/>
      <c r="B5348" s="65">
        <v>5546</v>
      </c>
      <c r="C5348" s="579" t="s">
        <v>281</v>
      </c>
      <c r="D5348" s="579"/>
      <c r="E5348" s="583"/>
      <c r="F5348" s="596"/>
      <c r="G5348" s="65">
        <v>0</v>
      </c>
      <c r="H5348" s="591" t="s">
        <v>280</v>
      </c>
      <c r="I5348" s="591" t="s">
        <v>280</v>
      </c>
    </row>
    <row r="5349" spans="1:9">
      <c r="A5349" s="577"/>
      <c r="B5349" s="65">
        <v>5547</v>
      </c>
      <c r="C5349" s="579" t="s">
        <v>281</v>
      </c>
      <c r="D5349" s="579"/>
      <c r="E5349" s="583"/>
      <c r="F5349" s="596"/>
      <c r="G5349" s="65">
        <v>0</v>
      </c>
      <c r="H5349" s="591" t="s">
        <v>280</v>
      </c>
      <c r="I5349" s="591" t="s">
        <v>280</v>
      </c>
    </row>
    <row r="5350" spans="1:9">
      <c r="A5350" s="577"/>
      <c r="B5350" s="65">
        <v>5548</v>
      </c>
      <c r="C5350" s="579" t="s">
        <v>281</v>
      </c>
      <c r="D5350" s="579"/>
      <c r="E5350" s="583"/>
      <c r="F5350" s="596"/>
      <c r="G5350" s="65">
        <v>0</v>
      </c>
      <c r="H5350" s="591" t="s">
        <v>280</v>
      </c>
      <c r="I5350" s="591" t="s">
        <v>280</v>
      </c>
    </row>
    <row r="5351" spans="1:9">
      <c r="A5351" s="577"/>
      <c r="B5351" s="65">
        <v>5549</v>
      </c>
      <c r="C5351" s="579" t="s">
        <v>281</v>
      </c>
      <c r="D5351" s="579"/>
      <c r="E5351" s="583"/>
      <c r="F5351" s="596"/>
      <c r="G5351" s="65">
        <v>0</v>
      </c>
      <c r="H5351" s="591" t="s">
        <v>280</v>
      </c>
      <c r="I5351" s="591" t="s">
        <v>280</v>
      </c>
    </row>
    <row r="5352" spans="1:9">
      <c r="A5352" s="577"/>
      <c r="B5352" s="65">
        <v>5550</v>
      </c>
      <c r="C5352" s="579" t="s">
        <v>281</v>
      </c>
      <c r="D5352" s="579"/>
      <c r="E5352" s="583"/>
      <c r="F5352" s="596"/>
      <c r="G5352" s="65">
        <v>0</v>
      </c>
      <c r="H5352" s="591" t="s">
        <v>280</v>
      </c>
      <c r="I5352" s="591" t="s">
        <v>280</v>
      </c>
    </row>
    <row r="5353" spans="1:9">
      <c r="A5353" s="577"/>
      <c r="B5353" s="65">
        <v>5551</v>
      </c>
      <c r="C5353" s="579" t="s">
        <v>281</v>
      </c>
      <c r="D5353" s="579"/>
      <c r="E5353" s="583"/>
      <c r="F5353" s="596"/>
      <c r="G5353" s="65">
        <v>0</v>
      </c>
      <c r="H5353" s="591" t="s">
        <v>280</v>
      </c>
      <c r="I5353" s="591" t="s">
        <v>280</v>
      </c>
    </row>
    <row r="5354" spans="1:9">
      <c r="A5354" s="577"/>
      <c r="B5354" s="65">
        <v>5552</v>
      </c>
      <c r="C5354" s="579" t="s">
        <v>281</v>
      </c>
      <c r="D5354" s="579"/>
      <c r="E5354" s="583"/>
      <c r="F5354" s="596"/>
      <c r="G5354" s="65">
        <v>0</v>
      </c>
      <c r="H5354" s="591" t="s">
        <v>280</v>
      </c>
      <c r="I5354" s="591" t="s">
        <v>280</v>
      </c>
    </row>
    <row r="5355" spans="1:9">
      <c r="A5355" s="577"/>
      <c r="B5355" s="65">
        <v>5553</v>
      </c>
      <c r="C5355" s="579" t="s">
        <v>281</v>
      </c>
      <c r="D5355" s="579"/>
      <c r="E5355" s="583"/>
      <c r="F5355" s="596"/>
      <c r="G5355" s="65">
        <v>0</v>
      </c>
      <c r="H5355" s="591" t="s">
        <v>280</v>
      </c>
      <c r="I5355" s="591" t="s">
        <v>280</v>
      </c>
    </row>
    <row r="5356" spans="1:9">
      <c r="A5356" s="577"/>
      <c r="B5356" s="65">
        <v>5554</v>
      </c>
      <c r="C5356" s="579" t="s">
        <v>281</v>
      </c>
      <c r="D5356" s="579"/>
      <c r="E5356" s="583"/>
      <c r="F5356" s="596"/>
      <c r="G5356" s="65">
        <v>0</v>
      </c>
      <c r="H5356" s="591" t="s">
        <v>280</v>
      </c>
      <c r="I5356" s="591" t="s">
        <v>280</v>
      </c>
    </row>
    <row r="5357" spans="1:9">
      <c r="A5357" s="577"/>
      <c r="B5357" s="65">
        <v>5555</v>
      </c>
      <c r="C5357" s="579" t="s">
        <v>281</v>
      </c>
      <c r="D5357" s="579"/>
      <c r="E5357" s="583"/>
      <c r="F5357" s="596"/>
      <c r="G5357" s="65">
        <v>0</v>
      </c>
      <c r="H5357" s="591" t="s">
        <v>280</v>
      </c>
      <c r="I5357" s="591" t="s">
        <v>280</v>
      </c>
    </row>
    <row r="5358" spans="1:9">
      <c r="A5358" s="577"/>
      <c r="B5358" s="65">
        <v>5556</v>
      </c>
      <c r="C5358" s="579" t="s">
        <v>281</v>
      </c>
      <c r="D5358" s="579"/>
      <c r="E5358" s="583"/>
      <c r="F5358" s="596"/>
      <c r="G5358" s="65">
        <v>0</v>
      </c>
      <c r="H5358" s="591" t="s">
        <v>280</v>
      </c>
      <c r="I5358" s="591" t="s">
        <v>280</v>
      </c>
    </row>
    <row r="5359" spans="1:9">
      <c r="A5359" s="577"/>
      <c r="B5359" s="65">
        <v>5557</v>
      </c>
      <c r="C5359" s="579" t="s">
        <v>281</v>
      </c>
      <c r="D5359" s="579"/>
      <c r="E5359" s="583"/>
      <c r="F5359" s="596"/>
      <c r="G5359" s="65">
        <v>0</v>
      </c>
      <c r="H5359" s="591" t="s">
        <v>280</v>
      </c>
      <c r="I5359" s="591" t="s">
        <v>280</v>
      </c>
    </row>
    <row r="5360" spans="1:9">
      <c r="A5360" s="577"/>
      <c r="B5360" s="65">
        <v>5558</v>
      </c>
      <c r="C5360" s="579" t="s">
        <v>281</v>
      </c>
      <c r="D5360" s="579"/>
      <c r="E5360" s="583"/>
      <c r="F5360" s="596"/>
      <c r="G5360" s="65">
        <v>0</v>
      </c>
      <c r="H5360" s="591" t="s">
        <v>280</v>
      </c>
      <c r="I5360" s="591" t="s">
        <v>280</v>
      </c>
    </row>
    <row r="5361" spans="1:9">
      <c r="A5361" s="577"/>
      <c r="B5361" s="65">
        <v>5559</v>
      </c>
      <c r="C5361" s="579" t="s">
        <v>281</v>
      </c>
      <c r="D5361" s="579"/>
      <c r="E5361" s="583"/>
      <c r="F5361" s="596"/>
      <c r="G5361" s="65">
        <v>0</v>
      </c>
      <c r="H5361" s="591" t="s">
        <v>280</v>
      </c>
      <c r="I5361" s="591" t="s">
        <v>280</v>
      </c>
    </row>
    <row r="5362" spans="1:9">
      <c r="A5362" s="577"/>
      <c r="B5362" s="65">
        <v>5560</v>
      </c>
      <c r="C5362" s="579" t="s">
        <v>281</v>
      </c>
      <c r="D5362" s="579"/>
      <c r="E5362" s="583"/>
      <c r="F5362" s="596"/>
      <c r="G5362" s="65">
        <v>0</v>
      </c>
      <c r="H5362" s="591" t="s">
        <v>280</v>
      </c>
      <c r="I5362" s="591" t="s">
        <v>280</v>
      </c>
    </row>
    <row r="5363" spans="1:9">
      <c r="A5363" s="577"/>
      <c r="B5363" s="65">
        <v>5561</v>
      </c>
      <c r="C5363" s="579" t="s">
        <v>281</v>
      </c>
      <c r="D5363" s="579"/>
      <c r="E5363" s="583"/>
      <c r="F5363" s="596"/>
      <c r="G5363" s="65">
        <v>0</v>
      </c>
      <c r="H5363" s="591" t="s">
        <v>280</v>
      </c>
      <c r="I5363" s="591" t="s">
        <v>280</v>
      </c>
    </row>
    <row r="5364" spans="1:9">
      <c r="A5364" s="577"/>
      <c r="B5364" s="65">
        <v>5562</v>
      </c>
      <c r="C5364" s="579" t="s">
        <v>281</v>
      </c>
      <c r="D5364" s="579"/>
      <c r="E5364" s="583"/>
      <c r="F5364" s="596"/>
      <c r="G5364" s="65">
        <v>0</v>
      </c>
      <c r="H5364" s="591" t="s">
        <v>280</v>
      </c>
      <c r="I5364" s="591" t="s">
        <v>280</v>
      </c>
    </row>
    <row r="5365" spans="1:9">
      <c r="A5365" s="577"/>
      <c r="B5365" s="65">
        <v>5563</v>
      </c>
      <c r="C5365" s="579" t="s">
        <v>281</v>
      </c>
      <c r="D5365" s="579"/>
      <c r="E5365" s="583"/>
      <c r="F5365" s="596"/>
      <c r="G5365" s="65">
        <v>0</v>
      </c>
      <c r="H5365" s="591" t="s">
        <v>280</v>
      </c>
      <c r="I5365" s="591" t="s">
        <v>280</v>
      </c>
    </row>
    <row r="5366" spans="1:9">
      <c r="A5366" s="577"/>
      <c r="B5366" s="65">
        <v>5564</v>
      </c>
      <c r="C5366" s="579" t="s">
        <v>281</v>
      </c>
      <c r="D5366" s="579"/>
      <c r="E5366" s="583"/>
      <c r="F5366" s="596"/>
      <c r="G5366" s="65">
        <v>0</v>
      </c>
      <c r="H5366" s="591" t="s">
        <v>280</v>
      </c>
      <c r="I5366" s="591" t="s">
        <v>280</v>
      </c>
    </row>
    <row r="5367" spans="1:9">
      <c r="A5367" s="577"/>
      <c r="B5367" s="65">
        <v>5565</v>
      </c>
      <c r="C5367" s="579" t="s">
        <v>281</v>
      </c>
      <c r="D5367" s="579"/>
      <c r="E5367" s="583"/>
      <c r="F5367" s="596"/>
      <c r="G5367" s="65">
        <v>0</v>
      </c>
      <c r="H5367" s="591" t="s">
        <v>280</v>
      </c>
      <c r="I5367" s="591" t="s">
        <v>280</v>
      </c>
    </row>
    <row r="5368" spans="1:9">
      <c r="A5368" s="577"/>
      <c r="B5368" s="65">
        <v>5566</v>
      </c>
      <c r="C5368" s="579" t="s">
        <v>281</v>
      </c>
      <c r="D5368" s="579"/>
      <c r="E5368" s="583"/>
      <c r="F5368" s="596"/>
      <c r="G5368" s="65">
        <v>0</v>
      </c>
      <c r="H5368" s="591" t="s">
        <v>280</v>
      </c>
      <c r="I5368" s="591" t="s">
        <v>280</v>
      </c>
    </row>
    <row r="5369" spans="1:9">
      <c r="A5369" s="577"/>
      <c r="B5369" s="65">
        <v>5567</v>
      </c>
      <c r="C5369" s="579" t="s">
        <v>281</v>
      </c>
      <c r="D5369" s="579"/>
      <c r="E5369" s="583"/>
      <c r="F5369" s="596"/>
      <c r="G5369" s="65">
        <v>0</v>
      </c>
      <c r="H5369" s="591" t="s">
        <v>280</v>
      </c>
      <c r="I5369" s="591" t="s">
        <v>280</v>
      </c>
    </row>
    <row r="5370" spans="1:9">
      <c r="A5370" s="577"/>
      <c r="B5370" s="65">
        <v>5568</v>
      </c>
      <c r="C5370" s="579" t="s">
        <v>281</v>
      </c>
      <c r="D5370" s="579"/>
      <c r="E5370" s="583"/>
      <c r="F5370" s="596"/>
      <c r="G5370" s="65">
        <v>0</v>
      </c>
      <c r="H5370" s="591" t="s">
        <v>280</v>
      </c>
      <c r="I5370" s="591" t="s">
        <v>280</v>
      </c>
    </row>
    <row r="5371" spans="1:9">
      <c r="A5371" s="577"/>
      <c r="B5371" s="65">
        <v>5569</v>
      </c>
      <c r="C5371" s="579" t="s">
        <v>281</v>
      </c>
      <c r="D5371" s="579"/>
      <c r="E5371" s="583"/>
      <c r="F5371" s="596"/>
      <c r="G5371" s="65">
        <v>0</v>
      </c>
      <c r="H5371" s="591" t="s">
        <v>280</v>
      </c>
      <c r="I5371" s="591" t="s">
        <v>280</v>
      </c>
    </row>
    <row r="5372" spans="1:9">
      <c r="A5372" s="577"/>
      <c r="B5372" s="65">
        <v>5570</v>
      </c>
      <c r="C5372" s="579" t="s">
        <v>281</v>
      </c>
      <c r="D5372" s="579"/>
      <c r="E5372" s="583"/>
      <c r="F5372" s="596"/>
      <c r="G5372" s="65">
        <v>0</v>
      </c>
      <c r="H5372" s="591" t="s">
        <v>280</v>
      </c>
      <c r="I5372" s="591" t="s">
        <v>280</v>
      </c>
    </row>
    <row r="5373" spans="1:9">
      <c r="A5373" s="577"/>
      <c r="B5373" s="65">
        <v>5571</v>
      </c>
      <c r="C5373" s="579" t="s">
        <v>281</v>
      </c>
      <c r="D5373" s="579"/>
      <c r="E5373" s="583"/>
      <c r="F5373" s="596"/>
      <c r="G5373" s="65">
        <v>0</v>
      </c>
      <c r="H5373" s="591" t="s">
        <v>280</v>
      </c>
      <c r="I5373" s="591" t="s">
        <v>280</v>
      </c>
    </row>
    <row r="5374" spans="1:9">
      <c r="A5374" s="577"/>
      <c r="B5374" s="65">
        <v>5572</v>
      </c>
      <c r="C5374" s="579" t="s">
        <v>281</v>
      </c>
      <c r="D5374" s="579"/>
      <c r="E5374" s="583"/>
      <c r="F5374" s="596"/>
      <c r="G5374" s="65">
        <v>0</v>
      </c>
      <c r="H5374" s="591" t="s">
        <v>280</v>
      </c>
      <c r="I5374" s="591" t="s">
        <v>280</v>
      </c>
    </row>
    <row r="5375" spans="1:9">
      <c r="A5375" s="577"/>
      <c r="B5375" s="65">
        <v>5573</v>
      </c>
      <c r="C5375" s="579" t="s">
        <v>281</v>
      </c>
      <c r="D5375" s="579"/>
      <c r="E5375" s="583"/>
      <c r="F5375" s="596"/>
      <c r="G5375" s="65">
        <v>0</v>
      </c>
      <c r="H5375" s="591" t="s">
        <v>280</v>
      </c>
      <c r="I5375" s="591" t="s">
        <v>280</v>
      </c>
    </row>
    <row r="5376" spans="1:9">
      <c r="A5376" s="577"/>
      <c r="B5376" s="65">
        <v>5574</v>
      </c>
      <c r="C5376" s="579" t="s">
        <v>281</v>
      </c>
      <c r="D5376" s="579"/>
      <c r="E5376" s="583"/>
      <c r="F5376" s="596"/>
      <c r="G5376" s="65">
        <v>0</v>
      </c>
      <c r="H5376" s="591" t="s">
        <v>280</v>
      </c>
      <c r="I5376" s="591" t="s">
        <v>280</v>
      </c>
    </row>
    <row r="5377" spans="1:9">
      <c r="A5377" s="577"/>
      <c r="B5377" s="65">
        <v>5575</v>
      </c>
      <c r="C5377" s="579" t="s">
        <v>281</v>
      </c>
      <c r="D5377" s="579"/>
      <c r="E5377" s="583"/>
      <c r="F5377" s="596"/>
      <c r="G5377" s="65">
        <v>0</v>
      </c>
      <c r="H5377" s="591" t="s">
        <v>280</v>
      </c>
      <c r="I5377" s="591" t="s">
        <v>280</v>
      </c>
    </row>
    <row r="5378" spans="1:9">
      <c r="A5378" s="577"/>
      <c r="B5378" s="65">
        <v>5576</v>
      </c>
      <c r="C5378" s="579" t="s">
        <v>281</v>
      </c>
      <c r="D5378" s="579"/>
      <c r="E5378" s="583"/>
      <c r="F5378" s="596"/>
      <c r="G5378" s="65">
        <v>0</v>
      </c>
      <c r="H5378" s="591" t="s">
        <v>280</v>
      </c>
      <c r="I5378" s="591" t="s">
        <v>280</v>
      </c>
    </row>
    <row r="5379" spans="1:9">
      <c r="A5379" s="577"/>
      <c r="B5379" s="65">
        <v>5577</v>
      </c>
      <c r="C5379" s="579" t="s">
        <v>281</v>
      </c>
      <c r="D5379" s="579"/>
      <c r="E5379" s="583"/>
      <c r="F5379" s="596"/>
      <c r="G5379" s="65">
        <v>0</v>
      </c>
      <c r="H5379" s="591" t="s">
        <v>280</v>
      </c>
      <c r="I5379" s="591" t="s">
        <v>280</v>
      </c>
    </row>
    <row r="5380" spans="1:9">
      <c r="A5380" s="577"/>
      <c r="B5380" s="65">
        <v>5578</v>
      </c>
      <c r="C5380" s="579" t="s">
        <v>281</v>
      </c>
      <c r="D5380" s="579"/>
      <c r="E5380" s="583"/>
      <c r="F5380" s="596"/>
      <c r="G5380" s="65">
        <v>0</v>
      </c>
      <c r="H5380" s="591" t="s">
        <v>280</v>
      </c>
      <c r="I5380" s="591" t="s">
        <v>280</v>
      </c>
    </row>
    <row r="5381" spans="1:9">
      <c r="A5381" s="577"/>
      <c r="B5381" s="65">
        <v>5579</v>
      </c>
      <c r="C5381" s="579" t="s">
        <v>281</v>
      </c>
      <c r="D5381" s="579"/>
      <c r="E5381" s="583"/>
      <c r="F5381" s="596"/>
      <c r="G5381" s="65">
        <v>0</v>
      </c>
      <c r="H5381" s="591" t="s">
        <v>280</v>
      </c>
      <c r="I5381" s="591" t="s">
        <v>280</v>
      </c>
    </row>
    <row r="5382" spans="1:9">
      <c r="A5382" s="577"/>
      <c r="B5382" s="65">
        <v>5580</v>
      </c>
      <c r="C5382" s="579" t="s">
        <v>281</v>
      </c>
      <c r="D5382" s="579"/>
      <c r="E5382" s="583"/>
      <c r="F5382" s="596"/>
      <c r="G5382" s="65">
        <v>0</v>
      </c>
      <c r="H5382" s="591" t="s">
        <v>280</v>
      </c>
      <c r="I5382" s="591" t="s">
        <v>280</v>
      </c>
    </row>
    <row r="5383" spans="1:9">
      <c r="A5383" s="577"/>
      <c r="B5383" s="65">
        <v>5581</v>
      </c>
      <c r="C5383" s="579" t="s">
        <v>281</v>
      </c>
      <c r="D5383" s="579"/>
      <c r="E5383" s="583"/>
      <c r="F5383" s="596"/>
      <c r="G5383" s="65">
        <v>0</v>
      </c>
      <c r="H5383" s="591" t="s">
        <v>280</v>
      </c>
      <c r="I5383" s="591" t="s">
        <v>280</v>
      </c>
    </row>
    <row r="5384" spans="1:9">
      <c r="A5384" s="577"/>
      <c r="B5384" s="65">
        <v>5582</v>
      </c>
      <c r="C5384" s="579" t="s">
        <v>281</v>
      </c>
      <c r="D5384" s="579"/>
      <c r="E5384" s="583"/>
      <c r="F5384" s="596"/>
      <c r="G5384" s="65">
        <v>0</v>
      </c>
      <c r="H5384" s="591" t="s">
        <v>280</v>
      </c>
      <c r="I5384" s="591" t="s">
        <v>280</v>
      </c>
    </row>
    <row r="5385" spans="1:9">
      <c r="A5385" s="577"/>
      <c r="B5385" s="65">
        <v>5583</v>
      </c>
      <c r="C5385" s="579" t="s">
        <v>281</v>
      </c>
      <c r="D5385" s="579"/>
      <c r="E5385" s="583"/>
      <c r="F5385" s="596"/>
      <c r="G5385" s="65">
        <v>0</v>
      </c>
      <c r="H5385" s="591" t="s">
        <v>280</v>
      </c>
      <c r="I5385" s="591" t="s">
        <v>280</v>
      </c>
    </row>
    <row r="5386" spans="1:9">
      <c r="A5386" s="577"/>
      <c r="B5386" s="65">
        <v>5584</v>
      </c>
      <c r="C5386" s="579" t="s">
        <v>281</v>
      </c>
      <c r="D5386" s="579"/>
      <c r="E5386" s="583"/>
      <c r="F5386" s="596"/>
      <c r="G5386" s="65">
        <v>0</v>
      </c>
      <c r="H5386" s="591" t="s">
        <v>280</v>
      </c>
      <c r="I5386" s="591" t="s">
        <v>280</v>
      </c>
    </row>
    <row r="5387" spans="1:9">
      <c r="A5387" s="577"/>
      <c r="B5387" s="65">
        <v>5585</v>
      </c>
      <c r="C5387" s="579" t="s">
        <v>281</v>
      </c>
      <c r="D5387" s="579"/>
      <c r="E5387" s="583"/>
      <c r="F5387" s="596"/>
      <c r="G5387" s="65">
        <v>0</v>
      </c>
      <c r="H5387" s="591" t="s">
        <v>280</v>
      </c>
      <c r="I5387" s="591" t="s">
        <v>280</v>
      </c>
    </row>
    <row r="5388" spans="1:9">
      <c r="A5388" s="577"/>
      <c r="B5388" s="65">
        <v>5586</v>
      </c>
      <c r="C5388" s="579" t="s">
        <v>281</v>
      </c>
      <c r="D5388" s="579"/>
      <c r="E5388" s="583"/>
      <c r="F5388" s="596"/>
      <c r="G5388" s="65">
        <v>0</v>
      </c>
      <c r="H5388" s="591" t="s">
        <v>280</v>
      </c>
      <c r="I5388" s="591" t="s">
        <v>280</v>
      </c>
    </row>
    <row r="5389" spans="1:9">
      <c r="A5389" s="577"/>
      <c r="B5389" s="65">
        <v>5587</v>
      </c>
      <c r="C5389" s="579" t="s">
        <v>281</v>
      </c>
      <c r="D5389" s="579"/>
      <c r="E5389" s="583"/>
      <c r="F5389" s="596"/>
      <c r="G5389" s="65">
        <v>0</v>
      </c>
      <c r="H5389" s="591" t="s">
        <v>280</v>
      </c>
      <c r="I5389" s="591" t="s">
        <v>280</v>
      </c>
    </row>
    <row r="5390" spans="1:9">
      <c r="A5390" s="577"/>
      <c r="B5390" s="65">
        <v>5588</v>
      </c>
      <c r="C5390" s="579" t="s">
        <v>281</v>
      </c>
      <c r="D5390" s="579"/>
      <c r="E5390" s="583"/>
      <c r="F5390" s="596"/>
      <c r="G5390" s="65">
        <v>0</v>
      </c>
      <c r="H5390" s="591" t="s">
        <v>280</v>
      </c>
      <c r="I5390" s="591" t="s">
        <v>280</v>
      </c>
    </row>
    <row r="5391" spans="1:9">
      <c r="A5391" s="577"/>
      <c r="B5391" s="65">
        <v>5589</v>
      </c>
      <c r="C5391" s="579" t="s">
        <v>281</v>
      </c>
      <c r="D5391" s="579"/>
      <c r="E5391" s="583"/>
      <c r="F5391" s="596"/>
      <c r="G5391" s="65">
        <v>0</v>
      </c>
      <c r="H5391" s="591" t="s">
        <v>280</v>
      </c>
      <c r="I5391" s="591" t="s">
        <v>280</v>
      </c>
    </row>
    <row r="5392" spans="1:9">
      <c r="A5392" s="577"/>
      <c r="B5392" s="65">
        <v>5590</v>
      </c>
      <c r="C5392" s="579" t="s">
        <v>281</v>
      </c>
      <c r="D5392" s="579"/>
      <c r="E5392" s="583"/>
      <c r="F5392" s="596"/>
      <c r="G5392" s="65">
        <v>0</v>
      </c>
      <c r="H5392" s="591" t="s">
        <v>280</v>
      </c>
      <c r="I5392" s="591" t="s">
        <v>280</v>
      </c>
    </row>
    <row r="5393" spans="1:9">
      <c r="A5393" s="577"/>
      <c r="B5393" s="65">
        <v>5591</v>
      </c>
      <c r="C5393" s="579" t="s">
        <v>281</v>
      </c>
      <c r="D5393" s="579"/>
      <c r="E5393" s="583"/>
      <c r="F5393" s="596"/>
      <c r="G5393" s="65">
        <v>0</v>
      </c>
      <c r="H5393" s="591" t="s">
        <v>280</v>
      </c>
      <c r="I5393" s="591" t="s">
        <v>280</v>
      </c>
    </row>
    <row r="5394" spans="1:9">
      <c r="A5394" s="577"/>
      <c r="B5394" s="65">
        <v>5592</v>
      </c>
      <c r="C5394" s="579" t="s">
        <v>281</v>
      </c>
      <c r="D5394" s="579"/>
      <c r="E5394" s="583"/>
      <c r="F5394" s="596"/>
      <c r="G5394" s="65">
        <v>0</v>
      </c>
      <c r="H5394" s="591" t="s">
        <v>280</v>
      </c>
      <c r="I5394" s="591" t="s">
        <v>280</v>
      </c>
    </row>
    <row r="5395" spans="1:9">
      <c r="A5395" s="577"/>
      <c r="B5395" s="65">
        <v>5593</v>
      </c>
      <c r="C5395" s="579" t="s">
        <v>281</v>
      </c>
      <c r="D5395" s="579"/>
      <c r="E5395" s="583"/>
      <c r="F5395" s="596"/>
      <c r="G5395" s="65">
        <v>0</v>
      </c>
      <c r="H5395" s="591" t="s">
        <v>280</v>
      </c>
      <c r="I5395" s="591" t="s">
        <v>280</v>
      </c>
    </row>
    <row r="5396" spans="1:9">
      <c r="A5396" s="577"/>
      <c r="B5396" s="65">
        <v>5594</v>
      </c>
      <c r="C5396" s="579" t="s">
        <v>281</v>
      </c>
      <c r="D5396" s="579"/>
      <c r="E5396" s="583"/>
      <c r="F5396" s="596"/>
      <c r="G5396" s="65">
        <v>0</v>
      </c>
      <c r="H5396" s="591" t="s">
        <v>280</v>
      </c>
      <c r="I5396" s="591" t="s">
        <v>280</v>
      </c>
    </row>
    <row r="5397" spans="1:9">
      <c r="A5397" s="577"/>
      <c r="B5397" s="65">
        <v>5595</v>
      </c>
      <c r="C5397" s="579" t="s">
        <v>281</v>
      </c>
      <c r="D5397" s="579"/>
      <c r="E5397" s="583"/>
      <c r="F5397" s="596"/>
      <c r="G5397" s="65">
        <v>0</v>
      </c>
      <c r="H5397" s="591" t="s">
        <v>280</v>
      </c>
      <c r="I5397" s="591" t="s">
        <v>280</v>
      </c>
    </row>
    <row r="5398" spans="1:9">
      <c r="A5398" s="577"/>
      <c r="B5398" s="65">
        <v>5596</v>
      </c>
      <c r="C5398" s="579" t="s">
        <v>281</v>
      </c>
      <c r="D5398" s="579"/>
      <c r="E5398" s="583"/>
      <c r="F5398" s="596"/>
      <c r="G5398" s="65">
        <v>0</v>
      </c>
      <c r="H5398" s="591" t="s">
        <v>280</v>
      </c>
      <c r="I5398" s="591" t="s">
        <v>280</v>
      </c>
    </row>
    <row r="5399" spans="1:9">
      <c r="A5399" s="577"/>
      <c r="B5399" s="65">
        <v>5597</v>
      </c>
      <c r="C5399" s="579" t="s">
        <v>281</v>
      </c>
      <c r="D5399" s="579"/>
      <c r="E5399" s="583"/>
      <c r="F5399" s="596"/>
      <c r="G5399" s="65">
        <v>0</v>
      </c>
      <c r="H5399" s="591" t="s">
        <v>280</v>
      </c>
      <c r="I5399" s="591" t="s">
        <v>280</v>
      </c>
    </row>
    <row r="5400" spans="1:9">
      <c r="A5400" s="577"/>
      <c r="B5400" s="65">
        <v>5598</v>
      </c>
      <c r="C5400" s="579" t="s">
        <v>281</v>
      </c>
      <c r="D5400" s="579"/>
      <c r="E5400" s="583"/>
      <c r="F5400" s="596"/>
      <c r="G5400" s="65">
        <v>0</v>
      </c>
      <c r="H5400" s="591" t="s">
        <v>280</v>
      </c>
      <c r="I5400" s="591" t="s">
        <v>280</v>
      </c>
    </row>
    <row r="5401" spans="1:9">
      <c r="A5401" s="577"/>
      <c r="B5401" s="65">
        <v>5599</v>
      </c>
      <c r="C5401" s="579" t="s">
        <v>281</v>
      </c>
      <c r="D5401" s="579"/>
      <c r="E5401" s="583"/>
      <c r="F5401" s="596"/>
      <c r="G5401" s="65">
        <v>0</v>
      </c>
      <c r="H5401" s="591" t="s">
        <v>280</v>
      </c>
      <c r="I5401" s="591" t="s">
        <v>280</v>
      </c>
    </row>
    <row r="5402" spans="1:9">
      <c r="A5402" s="577"/>
      <c r="B5402" s="65">
        <v>5600</v>
      </c>
      <c r="C5402" s="579" t="s">
        <v>281</v>
      </c>
      <c r="D5402" s="579"/>
      <c r="E5402" s="583"/>
      <c r="F5402" s="596"/>
      <c r="G5402" s="65">
        <v>0</v>
      </c>
      <c r="H5402" s="591" t="s">
        <v>280</v>
      </c>
      <c r="I5402" s="591" t="s">
        <v>280</v>
      </c>
    </row>
    <row r="5403" spans="1:9">
      <c r="A5403" s="577"/>
      <c r="B5403" s="65">
        <v>5601</v>
      </c>
      <c r="C5403" s="579" t="s">
        <v>281</v>
      </c>
      <c r="D5403" s="579"/>
      <c r="E5403" s="583"/>
      <c r="F5403" s="596"/>
      <c r="G5403" s="65">
        <v>0</v>
      </c>
      <c r="H5403" s="591" t="s">
        <v>280</v>
      </c>
      <c r="I5403" s="591" t="s">
        <v>280</v>
      </c>
    </row>
    <row r="5404" spans="1:9">
      <c r="A5404" s="577"/>
      <c r="B5404" s="65">
        <v>5602</v>
      </c>
      <c r="C5404" s="579" t="s">
        <v>281</v>
      </c>
      <c r="D5404" s="579"/>
      <c r="E5404" s="583"/>
      <c r="F5404" s="596"/>
      <c r="G5404" s="65">
        <v>0</v>
      </c>
      <c r="H5404" s="591" t="s">
        <v>280</v>
      </c>
      <c r="I5404" s="591" t="s">
        <v>280</v>
      </c>
    </row>
    <row r="5405" spans="1:9">
      <c r="A5405" s="577"/>
      <c r="B5405" s="65">
        <v>5603</v>
      </c>
      <c r="C5405" s="579" t="s">
        <v>281</v>
      </c>
      <c r="D5405" s="579"/>
      <c r="E5405" s="583"/>
      <c r="F5405" s="596"/>
      <c r="G5405" s="65">
        <v>0</v>
      </c>
      <c r="H5405" s="591" t="s">
        <v>280</v>
      </c>
      <c r="I5405" s="591" t="s">
        <v>280</v>
      </c>
    </row>
    <row r="5406" spans="1:9">
      <c r="A5406" s="577"/>
      <c r="B5406" s="65">
        <v>5604</v>
      </c>
      <c r="C5406" s="579" t="s">
        <v>281</v>
      </c>
      <c r="D5406" s="579"/>
      <c r="E5406" s="583"/>
      <c r="F5406" s="596"/>
      <c r="G5406" s="65">
        <v>0</v>
      </c>
      <c r="H5406" s="591" t="s">
        <v>280</v>
      </c>
      <c r="I5406" s="591" t="s">
        <v>280</v>
      </c>
    </row>
    <row r="5407" spans="1:9">
      <c r="A5407" s="577"/>
      <c r="B5407" s="65">
        <v>5605</v>
      </c>
      <c r="C5407" s="579" t="s">
        <v>281</v>
      </c>
      <c r="D5407" s="579"/>
      <c r="E5407" s="583"/>
      <c r="F5407" s="596"/>
      <c r="G5407" s="65">
        <v>0</v>
      </c>
      <c r="H5407" s="591" t="s">
        <v>280</v>
      </c>
      <c r="I5407" s="591" t="s">
        <v>280</v>
      </c>
    </row>
    <row r="5408" spans="1:9">
      <c r="A5408" s="577"/>
      <c r="B5408" s="65">
        <v>5606</v>
      </c>
      <c r="C5408" s="579" t="s">
        <v>281</v>
      </c>
      <c r="D5408" s="579"/>
      <c r="E5408" s="583"/>
      <c r="F5408" s="596"/>
      <c r="G5408" s="65">
        <v>0</v>
      </c>
      <c r="H5408" s="591" t="s">
        <v>280</v>
      </c>
      <c r="I5408" s="591" t="s">
        <v>280</v>
      </c>
    </row>
    <row r="5409" spans="1:9">
      <c r="A5409" s="577"/>
      <c r="B5409" s="65">
        <v>5607</v>
      </c>
      <c r="C5409" s="579" t="s">
        <v>281</v>
      </c>
      <c r="D5409" s="579"/>
      <c r="E5409" s="583"/>
      <c r="F5409" s="596"/>
      <c r="G5409" s="65">
        <v>0</v>
      </c>
      <c r="H5409" s="591" t="s">
        <v>280</v>
      </c>
      <c r="I5409" s="591" t="s">
        <v>280</v>
      </c>
    </row>
    <row r="5410" spans="1:9">
      <c r="A5410" s="577"/>
      <c r="B5410" s="65">
        <v>5608</v>
      </c>
      <c r="C5410" s="579" t="s">
        <v>281</v>
      </c>
      <c r="D5410" s="579"/>
      <c r="E5410" s="583"/>
      <c r="F5410" s="596"/>
      <c r="G5410" s="65">
        <v>0</v>
      </c>
      <c r="H5410" s="591" t="s">
        <v>280</v>
      </c>
      <c r="I5410" s="591" t="s">
        <v>280</v>
      </c>
    </row>
    <row r="5411" spans="1:9">
      <c r="A5411" s="577"/>
      <c r="B5411" s="65">
        <v>5609</v>
      </c>
      <c r="C5411" s="579" t="s">
        <v>281</v>
      </c>
      <c r="D5411" s="579"/>
      <c r="E5411" s="583"/>
      <c r="F5411" s="596"/>
      <c r="G5411" s="65">
        <v>0</v>
      </c>
      <c r="H5411" s="591" t="s">
        <v>280</v>
      </c>
      <c r="I5411" s="591" t="s">
        <v>280</v>
      </c>
    </row>
    <row r="5412" spans="1:9">
      <c r="A5412" s="577"/>
      <c r="B5412" s="65">
        <v>5610</v>
      </c>
      <c r="C5412" s="579" t="s">
        <v>281</v>
      </c>
      <c r="D5412" s="579"/>
      <c r="E5412" s="583"/>
      <c r="F5412" s="596"/>
      <c r="G5412" s="65">
        <v>0</v>
      </c>
      <c r="H5412" s="591" t="s">
        <v>280</v>
      </c>
      <c r="I5412" s="591" t="s">
        <v>280</v>
      </c>
    </row>
    <row r="5413" spans="1:9">
      <c r="A5413" s="577"/>
      <c r="B5413" s="65">
        <v>5611</v>
      </c>
      <c r="C5413" s="579" t="s">
        <v>281</v>
      </c>
      <c r="D5413" s="579"/>
      <c r="E5413" s="583"/>
      <c r="F5413" s="596"/>
      <c r="G5413" s="65">
        <v>0</v>
      </c>
      <c r="H5413" s="591" t="s">
        <v>280</v>
      </c>
      <c r="I5413" s="591" t="s">
        <v>280</v>
      </c>
    </row>
    <row r="5414" spans="1:9">
      <c r="A5414" s="577"/>
      <c r="B5414" s="65">
        <v>5612</v>
      </c>
      <c r="C5414" s="579" t="s">
        <v>281</v>
      </c>
      <c r="D5414" s="579"/>
      <c r="E5414" s="583"/>
      <c r="F5414" s="596"/>
      <c r="G5414" s="65">
        <v>0</v>
      </c>
      <c r="H5414" s="591" t="s">
        <v>280</v>
      </c>
      <c r="I5414" s="591" t="s">
        <v>280</v>
      </c>
    </row>
    <row r="5415" spans="1:9">
      <c r="A5415" s="577"/>
      <c r="B5415" s="65">
        <v>5613</v>
      </c>
      <c r="C5415" s="579" t="s">
        <v>281</v>
      </c>
      <c r="D5415" s="579"/>
      <c r="E5415" s="583"/>
      <c r="F5415" s="596"/>
      <c r="G5415" s="65">
        <v>0</v>
      </c>
      <c r="H5415" s="591" t="s">
        <v>280</v>
      </c>
      <c r="I5415" s="591" t="s">
        <v>280</v>
      </c>
    </row>
    <row r="5416" spans="1:9">
      <c r="A5416" s="577"/>
      <c r="B5416" s="65">
        <v>5614</v>
      </c>
      <c r="C5416" s="579" t="s">
        <v>281</v>
      </c>
      <c r="D5416" s="579"/>
      <c r="E5416" s="583"/>
      <c r="F5416" s="596"/>
      <c r="G5416" s="65">
        <v>0</v>
      </c>
      <c r="H5416" s="591" t="s">
        <v>280</v>
      </c>
      <c r="I5416" s="591" t="s">
        <v>280</v>
      </c>
    </row>
    <row r="5417" spans="1:9">
      <c r="A5417" s="577"/>
      <c r="B5417" s="65">
        <v>5615</v>
      </c>
      <c r="C5417" s="579" t="s">
        <v>281</v>
      </c>
      <c r="D5417" s="579"/>
      <c r="E5417" s="583"/>
      <c r="F5417" s="596"/>
      <c r="G5417" s="65">
        <v>0</v>
      </c>
      <c r="H5417" s="591" t="s">
        <v>280</v>
      </c>
      <c r="I5417" s="591" t="s">
        <v>280</v>
      </c>
    </row>
    <row r="5418" spans="1:9">
      <c r="A5418" s="577"/>
      <c r="B5418" s="65">
        <v>5616</v>
      </c>
      <c r="C5418" s="579" t="s">
        <v>281</v>
      </c>
      <c r="D5418" s="579"/>
      <c r="E5418" s="583"/>
      <c r="F5418" s="596"/>
      <c r="G5418" s="65">
        <v>0</v>
      </c>
      <c r="H5418" s="591" t="s">
        <v>280</v>
      </c>
      <c r="I5418" s="591" t="s">
        <v>280</v>
      </c>
    </row>
    <row r="5419" spans="1:9">
      <c r="A5419" s="577"/>
      <c r="B5419" s="65">
        <v>5617</v>
      </c>
      <c r="C5419" s="579" t="s">
        <v>281</v>
      </c>
      <c r="D5419" s="579"/>
      <c r="E5419" s="583"/>
      <c r="F5419" s="596"/>
      <c r="G5419" s="65">
        <v>0</v>
      </c>
      <c r="H5419" s="591" t="s">
        <v>280</v>
      </c>
      <c r="I5419" s="591" t="s">
        <v>280</v>
      </c>
    </row>
    <row r="5420" spans="1:9">
      <c r="A5420" s="577"/>
      <c r="B5420" s="65">
        <v>5618</v>
      </c>
      <c r="C5420" s="579" t="s">
        <v>281</v>
      </c>
      <c r="D5420" s="579"/>
      <c r="E5420" s="583"/>
      <c r="F5420" s="596"/>
      <c r="G5420" s="65">
        <v>0</v>
      </c>
      <c r="H5420" s="591" t="s">
        <v>280</v>
      </c>
      <c r="I5420" s="591" t="s">
        <v>280</v>
      </c>
    </row>
    <row r="5421" spans="1:9">
      <c r="A5421" s="577"/>
      <c r="B5421" s="65">
        <v>5619</v>
      </c>
      <c r="C5421" s="579" t="s">
        <v>281</v>
      </c>
      <c r="D5421" s="579"/>
      <c r="E5421" s="583"/>
      <c r="F5421" s="596"/>
      <c r="G5421" s="65">
        <v>0</v>
      </c>
      <c r="H5421" s="591" t="s">
        <v>280</v>
      </c>
      <c r="I5421" s="591" t="s">
        <v>280</v>
      </c>
    </row>
    <row r="5422" spans="1:9">
      <c r="A5422" s="577"/>
      <c r="B5422" s="65">
        <v>5620</v>
      </c>
      <c r="C5422" s="579" t="s">
        <v>281</v>
      </c>
      <c r="D5422" s="579"/>
      <c r="E5422" s="583"/>
      <c r="F5422" s="596"/>
      <c r="G5422" s="65">
        <v>0</v>
      </c>
      <c r="H5422" s="591" t="s">
        <v>280</v>
      </c>
      <c r="I5422" s="591" t="s">
        <v>280</v>
      </c>
    </row>
    <row r="5423" spans="1:9">
      <c r="A5423" s="577"/>
      <c r="B5423" s="65">
        <v>5621</v>
      </c>
      <c r="C5423" s="579" t="s">
        <v>281</v>
      </c>
      <c r="D5423" s="579"/>
      <c r="E5423" s="583"/>
      <c r="F5423" s="596"/>
      <c r="G5423" s="65">
        <v>0</v>
      </c>
      <c r="H5423" s="591" t="s">
        <v>280</v>
      </c>
      <c r="I5423" s="591" t="s">
        <v>280</v>
      </c>
    </row>
    <row r="5424" spans="1:9">
      <c r="A5424" s="577"/>
      <c r="B5424" s="65">
        <v>5622</v>
      </c>
      <c r="C5424" s="579" t="s">
        <v>281</v>
      </c>
      <c r="D5424" s="579"/>
      <c r="E5424" s="583"/>
      <c r="F5424" s="596"/>
      <c r="G5424" s="65">
        <v>0</v>
      </c>
      <c r="H5424" s="591" t="s">
        <v>280</v>
      </c>
      <c r="I5424" s="591" t="s">
        <v>280</v>
      </c>
    </row>
    <row r="5425" spans="1:9">
      <c r="A5425" s="577"/>
      <c r="B5425" s="65">
        <v>5623</v>
      </c>
      <c r="C5425" s="579" t="s">
        <v>281</v>
      </c>
      <c r="D5425" s="579"/>
      <c r="E5425" s="583"/>
      <c r="F5425" s="596"/>
      <c r="G5425" s="65">
        <v>0</v>
      </c>
      <c r="H5425" s="591" t="s">
        <v>280</v>
      </c>
      <c r="I5425" s="591" t="s">
        <v>280</v>
      </c>
    </row>
    <row r="5426" spans="1:9">
      <c r="A5426" s="577"/>
      <c r="B5426" s="65">
        <v>5624</v>
      </c>
      <c r="C5426" s="579" t="s">
        <v>281</v>
      </c>
      <c r="D5426" s="579"/>
      <c r="E5426" s="583"/>
      <c r="F5426" s="596"/>
      <c r="G5426" s="65">
        <v>0</v>
      </c>
      <c r="H5426" s="591" t="s">
        <v>280</v>
      </c>
      <c r="I5426" s="591" t="s">
        <v>280</v>
      </c>
    </row>
    <row r="5427" spans="1:9">
      <c r="A5427" s="577"/>
      <c r="B5427" s="65">
        <v>5625</v>
      </c>
      <c r="C5427" s="579" t="s">
        <v>281</v>
      </c>
      <c r="D5427" s="579"/>
      <c r="E5427" s="583"/>
      <c r="F5427" s="596"/>
      <c r="G5427" s="65">
        <v>0</v>
      </c>
      <c r="H5427" s="591" t="s">
        <v>280</v>
      </c>
      <c r="I5427" s="591" t="s">
        <v>280</v>
      </c>
    </row>
    <row r="5428" spans="1:9">
      <c r="A5428" s="577"/>
      <c r="B5428" s="65">
        <v>5626</v>
      </c>
      <c r="C5428" s="579" t="s">
        <v>281</v>
      </c>
      <c r="D5428" s="579"/>
      <c r="E5428" s="583"/>
      <c r="F5428" s="596"/>
      <c r="G5428" s="65">
        <v>0</v>
      </c>
      <c r="H5428" s="591" t="s">
        <v>280</v>
      </c>
      <c r="I5428" s="591" t="s">
        <v>280</v>
      </c>
    </row>
    <row r="5429" spans="1:9">
      <c r="A5429" s="577"/>
      <c r="B5429" s="65">
        <v>5627</v>
      </c>
      <c r="C5429" s="579" t="s">
        <v>281</v>
      </c>
      <c r="D5429" s="579"/>
      <c r="E5429" s="583"/>
      <c r="F5429" s="596"/>
      <c r="G5429" s="65">
        <v>0</v>
      </c>
      <c r="H5429" s="591" t="s">
        <v>280</v>
      </c>
      <c r="I5429" s="591" t="s">
        <v>280</v>
      </c>
    </row>
    <row r="5430" spans="1:9">
      <c r="A5430" s="577"/>
      <c r="B5430" s="65">
        <v>5628</v>
      </c>
      <c r="C5430" s="579" t="s">
        <v>281</v>
      </c>
      <c r="D5430" s="579"/>
      <c r="E5430" s="583"/>
      <c r="F5430" s="596"/>
      <c r="G5430" s="65">
        <v>0</v>
      </c>
      <c r="H5430" s="591" t="s">
        <v>280</v>
      </c>
      <c r="I5430" s="591" t="s">
        <v>280</v>
      </c>
    </row>
    <row r="5431" spans="1:9">
      <c r="A5431" s="577"/>
      <c r="B5431" s="65">
        <v>5629</v>
      </c>
      <c r="C5431" s="579" t="s">
        <v>281</v>
      </c>
      <c r="D5431" s="579"/>
      <c r="E5431" s="583"/>
      <c r="F5431" s="596"/>
      <c r="G5431" s="65">
        <v>0</v>
      </c>
      <c r="H5431" s="591" t="s">
        <v>280</v>
      </c>
      <c r="I5431" s="591" t="s">
        <v>280</v>
      </c>
    </row>
    <row r="5432" spans="1:9">
      <c r="A5432" s="577"/>
      <c r="B5432" s="65">
        <v>5630</v>
      </c>
      <c r="C5432" s="579" t="s">
        <v>281</v>
      </c>
      <c r="D5432" s="579"/>
      <c r="E5432" s="583"/>
      <c r="F5432" s="596"/>
      <c r="G5432" s="65">
        <v>0</v>
      </c>
      <c r="H5432" s="591" t="s">
        <v>280</v>
      </c>
      <c r="I5432" s="591" t="s">
        <v>280</v>
      </c>
    </row>
    <row r="5433" spans="1:9">
      <c r="A5433" s="577"/>
      <c r="B5433" s="65">
        <v>5631</v>
      </c>
      <c r="C5433" s="579" t="s">
        <v>281</v>
      </c>
      <c r="D5433" s="579"/>
      <c r="E5433" s="583"/>
      <c r="F5433" s="596"/>
      <c r="G5433" s="65">
        <v>0</v>
      </c>
      <c r="H5433" s="591" t="s">
        <v>280</v>
      </c>
      <c r="I5433" s="591" t="s">
        <v>280</v>
      </c>
    </row>
    <row r="5434" spans="1:9">
      <c r="A5434" s="577"/>
      <c r="B5434" s="65">
        <v>5632</v>
      </c>
      <c r="C5434" s="579" t="s">
        <v>281</v>
      </c>
      <c r="D5434" s="579"/>
      <c r="E5434" s="583"/>
      <c r="F5434" s="596"/>
      <c r="G5434" s="65">
        <v>0</v>
      </c>
      <c r="H5434" s="591" t="s">
        <v>280</v>
      </c>
      <c r="I5434" s="591" t="s">
        <v>280</v>
      </c>
    </row>
    <row r="5435" spans="1:9">
      <c r="A5435" s="577"/>
      <c r="B5435" s="65">
        <v>5633</v>
      </c>
      <c r="C5435" s="579" t="s">
        <v>281</v>
      </c>
      <c r="D5435" s="579"/>
      <c r="E5435" s="583"/>
      <c r="F5435" s="596"/>
      <c r="G5435" s="65">
        <v>0</v>
      </c>
      <c r="H5435" s="591" t="s">
        <v>280</v>
      </c>
      <c r="I5435" s="591" t="s">
        <v>280</v>
      </c>
    </row>
    <row r="5436" spans="1:9">
      <c r="A5436" s="577"/>
      <c r="B5436" s="65">
        <v>5634</v>
      </c>
      <c r="C5436" s="579" t="s">
        <v>281</v>
      </c>
      <c r="D5436" s="579"/>
      <c r="E5436" s="583"/>
      <c r="F5436" s="596"/>
      <c r="G5436" s="65">
        <v>0</v>
      </c>
      <c r="H5436" s="591" t="s">
        <v>280</v>
      </c>
      <c r="I5436" s="591" t="s">
        <v>280</v>
      </c>
    </row>
    <row r="5437" spans="1:9">
      <c r="A5437" s="577"/>
      <c r="B5437" s="65">
        <v>5635</v>
      </c>
      <c r="C5437" s="579" t="s">
        <v>281</v>
      </c>
      <c r="D5437" s="579"/>
      <c r="E5437" s="583"/>
      <c r="F5437" s="596"/>
      <c r="G5437" s="65">
        <v>0</v>
      </c>
      <c r="H5437" s="591" t="s">
        <v>280</v>
      </c>
      <c r="I5437" s="591" t="s">
        <v>280</v>
      </c>
    </row>
    <row r="5438" spans="1:9">
      <c r="A5438" s="577"/>
      <c r="B5438" s="65">
        <v>5636</v>
      </c>
      <c r="C5438" s="579" t="s">
        <v>281</v>
      </c>
      <c r="D5438" s="579"/>
      <c r="E5438" s="583"/>
      <c r="F5438" s="596"/>
      <c r="G5438" s="65">
        <v>0</v>
      </c>
      <c r="H5438" s="591" t="s">
        <v>280</v>
      </c>
      <c r="I5438" s="591" t="s">
        <v>280</v>
      </c>
    </row>
    <row r="5439" spans="1:9">
      <c r="A5439" s="577"/>
      <c r="B5439" s="65">
        <v>5637</v>
      </c>
      <c r="C5439" s="579" t="s">
        <v>281</v>
      </c>
      <c r="D5439" s="579"/>
      <c r="E5439" s="583"/>
      <c r="F5439" s="596"/>
      <c r="G5439" s="65">
        <v>0</v>
      </c>
      <c r="H5439" s="591" t="s">
        <v>280</v>
      </c>
      <c r="I5439" s="591" t="s">
        <v>280</v>
      </c>
    </row>
    <row r="5440" spans="1:9">
      <c r="A5440" s="577"/>
      <c r="B5440" s="65">
        <v>5638</v>
      </c>
      <c r="C5440" s="579" t="s">
        <v>281</v>
      </c>
      <c r="D5440" s="579"/>
      <c r="E5440" s="583"/>
      <c r="F5440" s="596"/>
      <c r="G5440" s="65">
        <v>0</v>
      </c>
      <c r="H5440" s="591" t="s">
        <v>280</v>
      </c>
      <c r="I5440" s="591" t="s">
        <v>280</v>
      </c>
    </row>
    <row r="5441" spans="1:9">
      <c r="A5441" s="577"/>
      <c r="B5441" s="65">
        <v>5639</v>
      </c>
      <c r="C5441" s="579" t="s">
        <v>281</v>
      </c>
      <c r="D5441" s="579"/>
      <c r="E5441" s="583"/>
      <c r="F5441" s="596"/>
      <c r="G5441" s="65">
        <v>0</v>
      </c>
      <c r="H5441" s="591" t="s">
        <v>280</v>
      </c>
      <c r="I5441" s="591" t="s">
        <v>280</v>
      </c>
    </row>
    <row r="5442" spans="1:9">
      <c r="A5442" s="577"/>
      <c r="B5442" s="65">
        <v>5640</v>
      </c>
      <c r="C5442" s="579" t="s">
        <v>281</v>
      </c>
      <c r="D5442" s="579"/>
      <c r="E5442" s="583"/>
      <c r="F5442" s="596"/>
      <c r="G5442" s="65">
        <v>0</v>
      </c>
      <c r="H5442" s="591" t="s">
        <v>280</v>
      </c>
      <c r="I5442" s="591" t="s">
        <v>280</v>
      </c>
    </row>
    <row r="5443" spans="1:9">
      <c r="A5443" s="577"/>
      <c r="B5443" s="65">
        <v>5641</v>
      </c>
      <c r="C5443" s="579" t="s">
        <v>281</v>
      </c>
      <c r="D5443" s="579"/>
      <c r="E5443" s="583"/>
      <c r="F5443" s="596"/>
      <c r="G5443" s="65">
        <v>0</v>
      </c>
      <c r="H5443" s="591" t="s">
        <v>280</v>
      </c>
      <c r="I5443" s="591" t="s">
        <v>280</v>
      </c>
    </row>
    <row r="5444" spans="1:9">
      <c r="A5444" s="577"/>
      <c r="B5444" s="65">
        <v>5642</v>
      </c>
      <c r="C5444" s="579" t="s">
        <v>281</v>
      </c>
      <c r="D5444" s="579"/>
      <c r="E5444" s="583"/>
      <c r="F5444" s="596"/>
      <c r="G5444" s="65">
        <v>0</v>
      </c>
      <c r="H5444" s="591" t="s">
        <v>280</v>
      </c>
      <c r="I5444" s="591" t="s">
        <v>280</v>
      </c>
    </row>
    <row r="5445" spans="1:9">
      <c r="A5445" s="577"/>
      <c r="B5445" s="65">
        <v>5643</v>
      </c>
      <c r="C5445" s="579" t="s">
        <v>281</v>
      </c>
      <c r="D5445" s="579"/>
      <c r="E5445" s="583"/>
      <c r="F5445" s="596"/>
      <c r="G5445" s="65">
        <v>0</v>
      </c>
      <c r="H5445" s="591" t="s">
        <v>280</v>
      </c>
      <c r="I5445" s="591" t="s">
        <v>280</v>
      </c>
    </row>
    <row r="5446" spans="1:9">
      <c r="A5446" s="577"/>
      <c r="B5446" s="65">
        <v>5644</v>
      </c>
      <c r="C5446" s="579" t="s">
        <v>281</v>
      </c>
      <c r="D5446" s="579"/>
      <c r="E5446" s="583"/>
      <c r="F5446" s="596"/>
      <c r="G5446" s="65">
        <v>0</v>
      </c>
      <c r="H5446" s="591" t="s">
        <v>280</v>
      </c>
      <c r="I5446" s="591" t="s">
        <v>280</v>
      </c>
    </row>
    <row r="5447" spans="1:9">
      <c r="A5447" s="577"/>
      <c r="B5447" s="65">
        <v>5645</v>
      </c>
      <c r="C5447" s="579" t="s">
        <v>281</v>
      </c>
      <c r="D5447" s="579"/>
      <c r="E5447" s="583"/>
      <c r="F5447" s="596"/>
      <c r="G5447" s="65">
        <v>0</v>
      </c>
      <c r="H5447" s="591" t="s">
        <v>280</v>
      </c>
      <c r="I5447" s="591" t="s">
        <v>280</v>
      </c>
    </row>
    <row r="5448" spans="1:9">
      <c r="A5448" s="577"/>
      <c r="B5448" s="65">
        <v>5646</v>
      </c>
      <c r="C5448" s="579" t="s">
        <v>281</v>
      </c>
      <c r="D5448" s="579"/>
      <c r="E5448" s="583"/>
      <c r="F5448" s="596"/>
      <c r="G5448" s="65">
        <v>0</v>
      </c>
      <c r="H5448" s="591" t="s">
        <v>280</v>
      </c>
      <c r="I5448" s="591" t="s">
        <v>280</v>
      </c>
    </row>
    <row r="5449" spans="1:9">
      <c r="A5449" s="577"/>
      <c r="B5449" s="65">
        <v>5647</v>
      </c>
      <c r="C5449" s="579" t="s">
        <v>281</v>
      </c>
      <c r="D5449" s="579"/>
      <c r="E5449" s="583"/>
      <c r="F5449" s="596"/>
      <c r="G5449" s="65">
        <v>0</v>
      </c>
      <c r="H5449" s="591" t="s">
        <v>280</v>
      </c>
      <c r="I5449" s="591" t="s">
        <v>280</v>
      </c>
    </row>
    <row r="5450" spans="1:9">
      <c r="A5450" s="577"/>
      <c r="B5450" s="65">
        <v>5648</v>
      </c>
      <c r="C5450" s="579" t="s">
        <v>281</v>
      </c>
      <c r="D5450" s="579"/>
      <c r="E5450" s="583"/>
      <c r="F5450" s="596"/>
      <c r="G5450" s="65">
        <v>0</v>
      </c>
      <c r="H5450" s="591" t="s">
        <v>280</v>
      </c>
      <c r="I5450" s="591" t="s">
        <v>280</v>
      </c>
    </row>
    <row r="5451" spans="1:9">
      <c r="A5451" s="577"/>
      <c r="B5451" s="65">
        <v>5649</v>
      </c>
      <c r="C5451" s="579" t="s">
        <v>281</v>
      </c>
      <c r="D5451" s="579"/>
      <c r="E5451" s="583"/>
      <c r="F5451" s="596"/>
      <c r="G5451" s="65">
        <v>0</v>
      </c>
      <c r="H5451" s="591" t="s">
        <v>280</v>
      </c>
      <c r="I5451" s="591" t="s">
        <v>280</v>
      </c>
    </row>
    <row r="5452" spans="1:9">
      <c r="A5452" s="577"/>
      <c r="B5452" s="65">
        <v>5650</v>
      </c>
      <c r="C5452" s="579" t="s">
        <v>281</v>
      </c>
      <c r="D5452" s="579"/>
      <c r="E5452" s="583"/>
      <c r="F5452" s="596"/>
      <c r="G5452" s="65">
        <v>0</v>
      </c>
      <c r="H5452" s="591" t="s">
        <v>280</v>
      </c>
      <c r="I5452" s="591" t="s">
        <v>280</v>
      </c>
    </row>
    <row r="5453" spans="1:9">
      <c r="A5453" s="577"/>
      <c r="B5453" s="65">
        <v>5651</v>
      </c>
      <c r="C5453" s="579" t="s">
        <v>281</v>
      </c>
      <c r="D5453" s="579"/>
      <c r="E5453" s="583"/>
      <c r="F5453" s="596"/>
      <c r="G5453" s="65">
        <v>0</v>
      </c>
      <c r="H5453" s="591" t="s">
        <v>280</v>
      </c>
      <c r="I5453" s="591" t="s">
        <v>280</v>
      </c>
    </row>
    <row r="5454" spans="1:9">
      <c r="A5454" s="577"/>
      <c r="B5454" s="65">
        <v>5652</v>
      </c>
      <c r="C5454" s="579" t="s">
        <v>281</v>
      </c>
      <c r="D5454" s="579"/>
      <c r="E5454" s="583"/>
      <c r="F5454" s="596"/>
      <c r="G5454" s="65">
        <v>0</v>
      </c>
      <c r="H5454" s="591" t="s">
        <v>280</v>
      </c>
      <c r="I5454" s="591" t="s">
        <v>280</v>
      </c>
    </row>
    <row r="5455" spans="1:9">
      <c r="A5455" s="577"/>
      <c r="B5455" s="65">
        <v>5653</v>
      </c>
      <c r="C5455" s="579" t="s">
        <v>281</v>
      </c>
      <c r="D5455" s="579"/>
      <c r="E5455" s="583"/>
      <c r="F5455" s="596"/>
      <c r="G5455" s="65">
        <v>0</v>
      </c>
      <c r="H5455" s="591" t="s">
        <v>280</v>
      </c>
      <c r="I5455" s="591" t="s">
        <v>280</v>
      </c>
    </row>
    <row r="5456" spans="1:9">
      <c r="A5456" s="577"/>
      <c r="B5456" s="65">
        <v>5654</v>
      </c>
      <c r="C5456" s="579" t="s">
        <v>281</v>
      </c>
      <c r="D5456" s="579"/>
      <c r="E5456" s="583"/>
      <c r="F5456" s="596"/>
      <c r="G5456" s="65">
        <v>0</v>
      </c>
      <c r="H5456" s="591" t="s">
        <v>280</v>
      </c>
      <c r="I5456" s="591" t="s">
        <v>280</v>
      </c>
    </row>
    <row r="5457" spans="1:9">
      <c r="A5457" s="577"/>
      <c r="B5457" s="65">
        <v>5655</v>
      </c>
      <c r="C5457" s="579" t="s">
        <v>281</v>
      </c>
      <c r="D5457" s="579"/>
      <c r="E5457" s="583"/>
      <c r="F5457" s="596"/>
      <c r="G5457" s="65">
        <v>0</v>
      </c>
      <c r="H5457" s="591" t="s">
        <v>280</v>
      </c>
      <c r="I5457" s="591" t="s">
        <v>280</v>
      </c>
    </row>
    <row r="5458" spans="1:9">
      <c r="A5458" s="577"/>
      <c r="B5458" s="65">
        <v>5656</v>
      </c>
      <c r="C5458" s="579" t="s">
        <v>281</v>
      </c>
      <c r="D5458" s="579"/>
      <c r="E5458" s="583"/>
      <c r="F5458" s="596"/>
      <c r="G5458" s="65">
        <v>0</v>
      </c>
      <c r="H5458" s="591" t="s">
        <v>280</v>
      </c>
      <c r="I5458" s="591" t="s">
        <v>280</v>
      </c>
    </row>
    <row r="5459" spans="1:9">
      <c r="A5459" s="577"/>
      <c r="B5459" s="65">
        <v>5657</v>
      </c>
      <c r="C5459" s="579" t="s">
        <v>281</v>
      </c>
      <c r="D5459" s="579"/>
      <c r="E5459" s="583"/>
      <c r="F5459" s="596"/>
      <c r="G5459" s="65">
        <v>0</v>
      </c>
      <c r="H5459" s="591" t="s">
        <v>280</v>
      </c>
      <c r="I5459" s="591" t="s">
        <v>280</v>
      </c>
    </row>
    <row r="5460" spans="1:9">
      <c r="A5460" s="577"/>
      <c r="B5460" s="65">
        <v>5658</v>
      </c>
      <c r="C5460" s="579" t="s">
        <v>281</v>
      </c>
      <c r="D5460" s="579"/>
      <c r="E5460" s="583"/>
      <c r="F5460" s="596"/>
      <c r="G5460" s="65">
        <v>0</v>
      </c>
      <c r="H5460" s="591" t="s">
        <v>280</v>
      </c>
      <c r="I5460" s="591" t="s">
        <v>280</v>
      </c>
    </row>
    <row r="5461" spans="1:9">
      <c r="A5461" s="577"/>
      <c r="B5461" s="65">
        <v>5659</v>
      </c>
      <c r="C5461" s="579" t="s">
        <v>281</v>
      </c>
      <c r="D5461" s="579"/>
      <c r="E5461" s="583"/>
      <c r="F5461" s="596"/>
      <c r="G5461" s="65">
        <v>0</v>
      </c>
      <c r="H5461" s="591" t="s">
        <v>280</v>
      </c>
      <c r="I5461" s="591" t="s">
        <v>280</v>
      </c>
    </row>
    <row r="5462" spans="1:9">
      <c r="A5462" s="577"/>
      <c r="B5462" s="65">
        <v>5660</v>
      </c>
      <c r="C5462" s="579" t="s">
        <v>281</v>
      </c>
      <c r="D5462" s="579"/>
      <c r="E5462" s="583"/>
      <c r="F5462" s="596"/>
      <c r="G5462" s="65">
        <v>0</v>
      </c>
      <c r="H5462" s="591" t="s">
        <v>280</v>
      </c>
      <c r="I5462" s="591" t="s">
        <v>280</v>
      </c>
    </row>
    <row r="5463" spans="1:9">
      <c r="A5463" s="577"/>
      <c r="B5463" s="65">
        <v>5661</v>
      </c>
      <c r="C5463" s="579" t="s">
        <v>281</v>
      </c>
      <c r="D5463" s="579"/>
      <c r="E5463" s="583"/>
      <c r="F5463" s="596"/>
      <c r="G5463" s="65">
        <v>0</v>
      </c>
      <c r="H5463" s="591" t="s">
        <v>280</v>
      </c>
      <c r="I5463" s="591" t="s">
        <v>280</v>
      </c>
    </row>
    <row r="5464" spans="1:9">
      <c r="A5464" s="577"/>
      <c r="B5464" s="65">
        <v>5662</v>
      </c>
      <c r="C5464" s="579" t="s">
        <v>281</v>
      </c>
      <c r="D5464" s="579"/>
      <c r="E5464" s="583"/>
      <c r="F5464" s="596"/>
      <c r="G5464" s="65">
        <v>0</v>
      </c>
      <c r="H5464" s="591" t="s">
        <v>280</v>
      </c>
      <c r="I5464" s="591" t="s">
        <v>280</v>
      </c>
    </row>
    <row r="5465" spans="1:9">
      <c r="A5465" s="577"/>
      <c r="B5465" s="65">
        <v>5663</v>
      </c>
      <c r="C5465" s="579" t="s">
        <v>281</v>
      </c>
      <c r="D5465" s="579"/>
      <c r="E5465" s="583"/>
      <c r="F5465" s="596"/>
      <c r="G5465" s="65">
        <v>0</v>
      </c>
      <c r="H5465" s="591" t="s">
        <v>280</v>
      </c>
      <c r="I5465" s="591" t="s">
        <v>280</v>
      </c>
    </row>
    <row r="5466" spans="1:9">
      <c r="A5466" s="577"/>
      <c r="B5466" s="65">
        <v>5664</v>
      </c>
      <c r="C5466" s="579" t="s">
        <v>281</v>
      </c>
      <c r="D5466" s="579"/>
      <c r="E5466" s="583"/>
      <c r="F5466" s="596"/>
      <c r="G5466" s="65">
        <v>0</v>
      </c>
      <c r="H5466" s="591" t="s">
        <v>280</v>
      </c>
      <c r="I5466" s="591" t="s">
        <v>280</v>
      </c>
    </row>
    <row r="5467" spans="1:9">
      <c r="A5467" s="577"/>
      <c r="B5467" s="65">
        <v>5665</v>
      </c>
      <c r="C5467" s="579" t="s">
        <v>281</v>
      </c>
      <c r="D5467" s="579"/>
      <c r="E5467" s="583"/>
      <c r="F5467" s="596"/>
      <c r="G5467" s="65">
        <v>0</v>
      </c>
      <c r="H5467" s="591" t="s">
        <v>280</v>
      </c>
      <c r="I5467" s="591" t="s">
        <v>280</v>
      </c>
    </row>
    <row r="5468" spans="1:9">
      <c r="A5468" s="577"/>
      <c r="B5468" s="65">
        <v>5666</v>
      </c>
      <c r="C5468" s="579" t="s">
        <v>281</v>
      </c>
      <c r="D5468" s="579"/>
      <c r="E5468" s="583"/>
      <c r="F5468" s="596"/>
      <c r="G5468" s="65">
        <v>0</v>
      </c>
      <c r="H5468" s="591" t="s">
        <v>280</v>
      </c>
      <c r="I5468" s="591" t="s">
        <v>280</v>
      </c>
    </row>
    <row r="5469" spans="1:9">
      <c r="A5469" s="577"/>
      <c r="B5469" s="65">
        <v>5667</v>
      </c>
      <c r="C5469" s="579" t="s">
        <v>281</v>
      </c>
      <c r="D5469" s="579"/>
      <c r="E5469" s="583"/>
      <c r="F5469" s="596"/>
      <c r="G5469" s="65">
        <v>0</v>
      </c>
      <c r="H5469" s="591" t="s">
        <v>280</v>
      </c>
      <c r="I5469" s="591" t="s">
        <v>280</v>
      </c>
    </row>
    <row r="5470" spans="1:9">
      <c r="A5470" s="577"/>
      <c r="B5470" s="65">
        <v>5668</v>
      </c>
      <c r="C5470" s="579" t="s">
        <v>281</v>
      </c>
      <c r="D5470" s="579"/>
      <c r="E5470" s="583"/>
      <c r="F5470" s="596"/>
      <c r="G5470" s="65">
        <v>0</v>
      </c>
      <c r="H5470" s="591" t="s">
        <v>280</v>
      </c>
      <c r="I5470" s="591" t="s">
        <v>280</v>
      </c>
    </row>
    <row r="5471" spans="1:9">
      <c r="A5471" s="577"/>
      <c r="B5471" s="65">
        <v>5669</v>
      </c>
      <c r="C5471" s="579" t="s">
        <v>281</v>
      </c>
      <c r="D5471" s="579"/>
      <c r="E5471" s="583"/>
      <c r="F5471" s="596"/>
      <c r="G5471" s="65">
        <v>0</v>
      </c>
      <c r="H5471" s="591" t="s">
        <v>280</v>
      </c>
      <c r="I5471" s="591" t="s">
        <v>280</v>
      </c>
    </row>
    <row r="5472" spans="1:9">
      <c r="A5472" s="577"/>
      <c r="B5472" s="65">
        <v>5670</v>
      </c>
      <c r="C5472" s="579" t="s">
        <v>281</v>
      </c>
      <c r="D5472" s="579"/>
      <c r="E5472" s="583"/>
      <c r="F5472" s="596"/>
      <c r="G5472" s="65">
        <v>0</v>
      </c>
      <c r="H5472" s="591" t="s">
        <v>280</v>
      </c>
      <c r="I5472" s="591" t="s">
        <v>280</v>
      </c>
    </row>
    <row r="5473" spans="1:9">
      <c r="A5473" s="577"/>
      <c r="B5473" s="65">
        <v>5671</v>
      </c>
      <c r="C5473" s="579" t="s">
        <v>281</v>
      </c>
      <c r="D5473" s="579"/>
      <c r="E5473" s="583"/>
      <c r="F5473" s="596"/>
      <c r="G5473" s="65">
        <v>0</v>
      </c>
      <c r="H5473" s="591" t="s">
        <v>280</v>
      </c>
      <c r="I5473" s="591" t="s">
        <v>280</v>
      </c>
    </row>
    <row r="5474" spans="1:9">
      <c r="A5474" s="577"/>
      <c r="B5474" s="65">
        <v>5672</v>
      </c>
      <c r="C5474" s="579" t="s">
        <v>281</v>
      </c>
      <c r="D5474" s="579"/>
      <c r="E5474" s="583"/>
      <c r="F5474" s="596"/>
      <c r="G5474" s="65">
        <v>0</v>
      </c>
      <c r="H5474" s="591" t="s">
        <v>280</v>
      </c>
      <c r="I5474" s="591" t="s">
        <v>280</v>
      </c>
    </row>
    <row r="5475" spans="1:9">
      <c r="A5475" s="577"/>
      <c r="B5475" s="65">
        <v>5673</v>
      </c>
      <c r="C5475" s="579" t="s">
        <v>281</v>
      </c>
      <c r="D5475" s="579"/>
      <c r="E5475" s="583"/>
      <c r="F5475" s="596"/>
      <c r="G5475" s="65">
        <v>0</v>
      </c>
      <c r="H5475" s="591" t="s">
        <v>280</v>
      </c>
      <c r="I5475" s="591" t="s">
        <v>280</v>
      </c>
    </row>
    <row r="5476" spans="1:9">
      <c r="A5476" s="577"/>
      <c r="B5476" s="65">
        <v>5674</v>
      </c>
      <c r="C5476" s="579" t="s">
        <v>281</v>
      </c>
      <c r="D5476" s="579"/>
      <c r="E5476" s="583"/>
      <c r="F5476" s="596"/>
      <c r="G5476" s="65">
        <v>0</v>
      </c>
      <c r="H5476" s="591" t="s">
        <v>280</v>
      </c>
      <c r="I5476" s="591" t="s">
        <v>280</v>
      </c>
    </row>
    <row r="5477" spans="1:9">
      <c r="A5477" s="577"/>
      <c r="B5477" s="65">
        <v>5675</v>
      </c>
      <c r="C5477" s="579" t="s">
        <v>281</v>
      </c>
      <c r="D5477" s="579"/>
      <c r="E5477" s="583"/>
      <c r="F5477" s="596"/>
      <c r="G5477" s="65">
        <v>0</v>
      </c>
      <c r="H5477" s="591" t="s">
        <v>280</v>
      </c>
      <c r="I5477" s="591" t="s">
        <v>280</v>
      </c>
    </row>
    <row r="5478" spans="1:9">
      <c r="A5478" s="577"/>
      <c r="B5478" s="65">
        <v>5676</v>
      </c>
      <c r="C5478" s="579" t="s">
        <v>281</v>
      </c>
      <c r="D5478" s="579"/>
      <c r="E5478" s="583"/>
      <c r="F5478" s="596"/>
      <c r="G5478" s="65">
        <v>0</v>
      </c>
      <c r="H5478" s="591" t="s">
        <v>280</v>
      </c>
      <c r="I5478" s="591" t="s">
        <v>280</v>
      </c>
    </row>
    <row r="5479" spans="1:9">
      <c r="A5479" s="577"/>
      <c r="B5479" s="65">
        <v>5677</v>
      </c>
      <c r="C5479" s="579" t="s">
        <v>281</v>
      </c>
      <c r="D5479" s="579"/>
      <c r="E5479" s="583"/>
      <c r="F5479" s="596"/>
      <c r="G5479" s="65">
        <v>0</v>
      </c>
      <c r="H5479" s="591" t="s">
        <v>280</v>
      </c>
      <c r="I5479" s="591" t="s">
        <v>280</v>
      </c>
    </row>
    <row r="5480" spans="1:9">
      <c r="A5480" s="577"/>
      <c r="B5480" s="65">
        <v>5678</v>
      </c>
      <c r="C5480" s="579" t="s">
        <v>281</v>
      </c>
      <c r="D5480" s="579"/>
      <c r="E5480" s="583"/>
      <c r="F5480" s="596"/>
      <c r="G5480" s="65">
        <v>0</v>
      </c>
      <c r="H5480" s="591" t="s">
        <v>280</v>
      </c>
      <c r="I5480" s="591" t="s">
        <v>280</v>
      </c>
    </row>
    <row r="5481" spans="1:9">
      <c r="A5481" s="577"/>
      <c r="B5481" s="65">
        <v>5679</v>
      </c>
      <c r="C5481" s="579" t="s">
        <v>281</v>
      </c>
      <c r="D5481" s="579"/>
      <c r="E5481" s="583"/>
      <c r="F5481" s="596"/>
      <c r="G5481" s="65">
        <v>0</v>
      </c>
      <c r="H5481" s="591" t="s">
        <v>280</v>
      </c>
      <c r="I5481" s="591" t="s">
        <v>280</v>
      </c>
    </row>
    <row r="5482" spans="1:9">
      <c r="A5482" s="577"/>
      <c r="B5482" s="65">
        <v>5680</v>
      </c>
      <c r="C5482" s="579" t="s">
        <v>281</v>
      </c>
      <c r="D5482" s="579"/>
      <c r="E5482" s="583"/>
      <c r="F5482" s="596"/>
      <c r="G5482" s="65">
        <v>0</v>
      </c>
      <c r="H5482" s="591" t="s">
        <v>280</v>
      </c>
      <c r="I5482" s="591" t="s">
        <v>280</v>
      </c>
    </row>
    <row r="5483" spans="1:9">
      <c r="A5483" s="577"/>
      <c r="B5483" s="65">
        <v>5681</v>
      </c>
      <c r="C5483" s="579" t="s">
        <v>281</v>
      </c>
      <c r="D5483" s="579"/>
      <c r="E5483" s="583"/>
      <c r="F5483" s="596"/>
      <c r="G5483" s="65">
        <v>0</v>
      </c>
      <c r="H5483" s="591" t="s">
        <v>280</v>
      </c>
      <c r="I5483" s="591" t="s">
        <v>280</v>
      </c>
    </row>
    <row r="5484" spans="1:9">
      <c r="A5484" s="577"/>
      <c r="B5484" s="65">
        <v>5682</v>
      </c>
      <c r="C5484" s="579" t="s">
        <v>281</v>
      </c>
      <c r="D5484" s="579"/>
      <c r="E5484" s="583"/>
      <c r="F5484" s="596"/>
      <c r="G5484" s="65">
        <v>0</v>
      </c>
      <c r="H5484" s="591" t="s">
        <v>280</v>
      </c>
      <c r="I5484" s="591" t="s">
        <v>280</v>
      </c>
    </row>
    <row r="5485" spans="1:9">
      <c r="A5485" s="577"/>
      <c r="B5485" s="65">
        <v>5683</v>
      </c>
      <c r="C5485" s="579" t="s">
        <v>281</v>
      </c>
      <c r="D5485" s="579"/>
      <c r="E5485" s="583"/>
      <c r="F5485" s="596"/>
      <c r="G5485" s="65">
        <v>0</v>
      </c>
      <c r="H5485" s="591" t="s">
        <v>280</v>
      </c>
      <c r="I5485" s="591" t="s">
        <v>280</v>
      </c>
    </row>
    <row r="5486" spans="1:9">
      <c r="A5486" s="577"/>
      <c r="B5486" s="65">
        <v>5684</v>
      </c>
      <c r="C5486" s="579" t="s">
        <v>281</v>
      </c>
      <c r="D5486" s="579"/>
      <c r="E5486" s="583"/>
      <c r="F5486" s="596"/>
      <c r="G5486" s="65">
        <v>0</v>
      </c>
      <c r="H5486" s="591" t="s">
        <v>280</v>
      </c>
      <c r="I5486" s="591" t="s">
        <v>280</v>
      </c>
    </row>
    <row r="5487" spans="1:9">
      <c r="A5487" s="577"/>
      <c r="B5487" s="65">
        <v>5685</v>
      </c>
      <c r="C5487" s="579" t="s">
        <v>281</v>
      </c>
      <c r="D5487" s="579"/>
      <c r="E5487" s="583"/>
      <c r="F5487" s="596"/>
      <c r="G5487" s="65">
        <v>0</v>
      </c>
      <c r="H5487" s="591" t="s">
        <v>280</v>
      </c>
      <c r="I5487" s="591" t="s">
        <v>280</v>
      </c>
    </row>
    <row r="5488" spans="1:9">
      <c r="A5488" s="577"/>
      <c r="B5488" s="65">
        <v>5686</v>
      </c>
      <c r="C5488" s="579" t="s">
        <v>281</v>
      </c>
      <c r="D5488" s="579"/>
      <c r="E5488" s="583"/>
      <c r="F5488" s="596"/>
      <c r="G5488" s="65">
        <v>0</v>
      </c>
      <c r="H5488" s="591" t="s">
        <v>280</v>
      </c>
      <c r="I5488" s="591" t="s">
        <v>280</v>
      </c>
    </row>
    <row r="5489" spans="1:9">
      <c r="A5489" s="577"/>
      <c r="B5489" s="65">
        <v>5687</v>
      </c>
      <c r="C5489" s="579" t="s">
        <v>281</v>
      </c>
      <c r="D5489" s="579"/>
      <c r="E5489" s="583"/>
      <c r="F5489" s="596"/>
      <c r="G5489" s="65">
        <v>0</v>
      </c>
      <c r="H5489" s="591" t="s">
        <v>280</v>
      </c>
      <c r="I5489" s="591" t="s">
        <v>280</v>
      </c>
    </row>
    <row r="5490" spans="1:9">
      <c r="A5490" s="577"/>
      <c r="B5490" s="65">
        <v>5688</v>
      </c>
      <c r="C5490" s="579" t="s">
        <v>281</v>
      </c>
      <c r="D5490" s="579"/>
      <c r="E5490" s="583"/>
      <c r="F5490" s="596"/>
      <c r="G5490" s="65">
        <v>0</v>
      </c>
      <c r="H5490" s="591" t="s">
        <v>280</v>
      </c>
      <c r="I5490" s="591" t="s">
        <v>280</v>
      </c>
    </row>
    <row r="5491" spans="1:9">
      <c r="A5491" s="577"/>
      <c r="B5491" s="65">
        <v>5689</v>
      </c>
      <c r="C5491" s="579" t="s">
        <v>281</v>
      </c>
      <c r="D5491" s="579"/>
      <c r="E5491" s="583"/>
      <c r="F5491" s="596"/>
      <c r="G5491" s="65">
        <v>0</v>
      </c>
      <c r="H5491" s="591" t="s">
        <v>280</v>
      </c>
      <c r="I5491" s="591" t="s">
        <v>280</v>
      </c>
    </row>
    <row r="5492" spans="1:9">
      <c r="A5492" s="577"/>
      <c r="B5492" s="65">
        <v>5690</v>
      </c>
      <c r="C5492" s="579" t="s">
        <v>281</v>
      </c>
      <c r="D5492" s="579"/>
      <c r="E5492" s="583"/>
      <c r="F5492" s="596"/>
      <c r="G5492" s="65">
        <v>0</v>
      </c>
      <c r="H5492" s="591" t="s">
        <v>280</v>
      </c>
      <c r="I5492" s="591" t="s">
        <v>280</v>
      </c>
    </row>
    <row r="5493" spans="1:9">
      <c r="A5493" s="577"/>
      <c r="B5493" s="65">
        <v>5691</v>
      </c>
      <c r="C5493" s="579" t="s">
        <v>281</v>
      </c>
      <c r="D5493" s="579"/>
      <c r="E5493" s="583"/>
      <c r="F5493" s="596"/>
      <c r="G5493" s="65">
        <v>0</v>
      </c>
      <c r="H5493" s="591" t="s">
        <v>280</v>
      </c>
      <c r="I5493" s="591" t="s">
        <v>280</v>
      </c>
    </row>
    <row r="5494" spans="1:9">
      <c r="A5494" s="577"/>
      <c r="B5494" s="65">
        <v>5692</v>
      </c>
      <c r="C5494" s="579" t="s">
        <v>281</v>
      </c>
      <c r="D5494" s="579"/>
      <c r="E5494" s="583"/>
      <c r="F5494" s="596"/>
      <c r="G5494" s="65">
        <v>0</v>
      </c>
      <c r="H5494" s="591" t="s">
        <v>280</v>
      </c>
      <c r="I5494" s="591" t="s">
        <v>280</v>
      </c>
    </row>
    <row r="5495" spans="1:9">
      <c r="A5495" s="577"/>
      <c r="B5495" s="65">
        <v>5693</v>
      </c>
      <c r="C5495" s="579" t="s">
        <v>281</v>
      </c>
      <c r="D5495" s="579"/>
      <c r="E5495" s="583"/>
      <c r="F5495" s="596"/>
      <c r="G5495" s="65">
        <v>0</v>
      </c>
      <c r="H5495" s="591" t="s">
        <v>280</v>
      </c>
      <c r="I5495" s="591" t="s">
        <v>280</v>
      </c>
    </row>
    <row r="5496" spans="1:9">
      <c r="A5496" s="577"/>
      <c r="B5496" s="65">
        <v>5694</v>
      </c>
      <c r="C5496" s="579" t="s">
        <v>281</v>
      </c>
      <c r="D5496" s="579"/>
      <c r="E5496" s="583"/>
      <c r="F5496" s="596"/>
      <c r="G5496" s="65">
        <v>0</v>
      </c>
      <c r="H5496" s="591" t="s">
        <v>280</v>
      </c>
      <c r="I5496" s="591" t="s">
        <v>280</v>
      </c>
    </row>
    <row r="5497" spans="1:9">
      <c r="A5497" s="577"/>
      <c r="B5497" s="65">
        <v>5695</v>
      </c>
      <c r="C5497" s="579" t="s">
        <v>281</v>
      </c>
      <c r="D5497" s="579"/>
      <c r="E5497" s="583"/>
      <c r="F5497" s="596"/>
      <c r="G5497" s="65">
        <v>0</v>
      </c>
      <c r="H5497" s="591" t="s">
        <v>280</v>
      </c>
      <c r="I5497" s="591" t="s">
        <v>280</v>
      </c>
    </row>
    <row r="5498" spans="1:9">
      <c r="A5498" s="577"/>
      <c r="B5498" s="65">
        <v>5696</v>
      </c>
      <c r="C5498" s="579" t="s">
        <v>281</v>
      </c>
      <c r="D5498" s="579"/>
      <c r="E5498" s="583"/>
      <c r="F5498" s="596"/>
      <c r="G5498" s="65">
        <v>0</v>
      </c>
      <c r="H5498" s="591" t="s">
        <v>280</v>
      </c>
      <c r="I5498" s="591" t="s">
        <v>280</v>
      </c>
    </row>
    <row r="5499" spans="1:9">
      <c r="A5499" s="577"/>
      <c r="B5499" s="65">
        <v>5697</v>
      </c>
      <c r="C5499" s="579" t="s">
        <v>281</v>
      </c>
      <c r="D5499" s="579"/>
      <c r="E5499" s="583"/>
      <c r="F5499" s="596"/>
      <c r="G5499" s="65">
        <v>0</v>
      </c>
      <c r="H5499" s="591" t="s">
        <v>280</v>
      </c>
      <c r="I5499" s="591" t="s">
        <v>280</v>
      </c>
    </row>
    <row r="5500" spans="1:9">
      <c r="A5500" s="577"/>
      <c r="B5500" s="65">
        <v>5698</v>
      </c>
      <c r="C5500" s="579" t="s">
        <v>281</v>
      </c>
      <c r="D5500" s="579"/>
      <c r="E5500" s="583"/>
      <c r="F5500" s="596"/>
      <c r="G5500" s="65">
        <v>0</v>
      </c>
      <c r="H5500" s="591" t="s">
        <v>280</v>
      </c>
      <c r="I5500" s="591" t="s">
        <v>280</v>
      </c>
    </row>
    <row r="5501" spans="1:9">
      <c r="A5501" s="577"/>
      <c r="B5501" s="65">
        <v>5699</v>
      </c>
      <c r="C5501" s="579" t="s">
        <v>281</v>
      </c>
      <c r="D5501" s="579"/>
      <c r="E5501" s="583"/>
      <c r="F5501" s="596"/>
      <c r="G5501" s="65">
        <v>0</v>
      </c>
      <c r="H5501" s="591" t="s">
        <v>280</v>
      </c>
      <c r="I5501" s="591" t="s">
        <v>280</v>
      </c>
    </row>
    <row r="5502" spans="1:9">
      <c r="A5502" s="577"/>
      <c r="B5502" s="65">
        <v>5700</v>
      </c>
      <c r="C5502" s="579" t="s">
        <v>281</v>
      </c>
      <c r="D5502" s="579"/>
      <c r="E5502" s="583"/>
      <c r="F5502" s="596"/>
      <c r="G5502" s="65">
        <v>0</v>
      </c>
      <c r="H5502" s="591" t="s">
        <v>280</v>
      </c>
      <c r="I5502" s="591" t="s">
        <v>280</v>
      </c>
    </row>
    <row r="5503" spans="1:9">
      <c r="A5503" s="577"/>
      <c r="B5503" s="65">
        <v>5701</v>
      </c>
      <c r="C5503" s="579" t="s">
        <v>281</v>
      </c>
      <c r="D5503" s="579"/>
      <c r="E5503" s="583"/>
      <c r="F5503" s="596"/>
      <c r="G5503" s="65">
        <v>0</v>
      </c>
      <c r="H5503" s="591" t="s">
        <v>280</v>
      </c>
      <c r="I5503" s="591" t="s">
        <v>280</v>
      </c>
    </row>
    <row r="5504" spans="1:9">
      <c r="A5504" s="577"/>
      <c r="B5504" s="65">
        <v>5702</v>
      </c>
      <c r="C5504" s="579" t="s">
        <v>281</v>
      </c>
      <c r="D5504" s="579"/>
      <c r="E5504" s="583"/>
      <c r="F5504" s="596"/>
      <c r="G5504" s="65">
        <v>0</v>
      </c>
      <c r="H5504" s="591" t="s">
        <v>280</v>
      </c>
      <c r="I5504" s="591" t="s">
        <v>280</v>
      </c>
    </row>
    <row r="5505" spans="1:9">
      <c r="A5505" s="577"/>
      <c r="B5505" s="65">
        <v>5703</v>
      </c>
      <c r="C5505" s="579" t="s">
        <v>281</v>
      </c>
      <c r="D5505" s="579"/>
      <c r="E5505" s="583"/>
      <c r="F5505" s="596"/>
      <c r="G5505" s="65">
        <v>0</v>
      </c>
      <c r="H5505" s="591" t="s">
        <v>280</v>
      </c>
      <c r="I5505" s="591" t="s">
        <v>280</v>
      </c>
    </row>
    <row r="5506" spans="1:9">
      <c r="A5506" s="577"/>
      <c r="B5506" s="65">
        <v>5704</v>
      </c>
      <c r="C5506" s="579" t="s">
        <v>281</v>
      </c>
      <c r="D5506" s="579"/>
      <c r="E5506" s="583"/>
      <c r="F5506" s="596"/>
      <c r="G5506" s="65">
        <v>0</v>
      </c>
      <c r="H5506" s="591" t="s">
        <v>280</v>
      </c>
      <c r="I5506" s="591" t="s">
        <v>280</v>
      </c>
    </row>
    <row r="5507" spans="1:9">
      <c r="A5507" s="577"/>
      <c r="B5507" s="65">
        <v>5705</v>
      </c>
      <c r="C5507" s="579" t="s">
        <v>281</v>
      </c>
      <c r="D5507" s="579"/>
      <c r="E5507" s="583"/>
      <c r="F5507" s="596"/>
      <c r="G5507" s="65">
        <v>0</v>
      </c>
      <c r="H5507" s="591" t="s">
        <v>280</v>
      </c>
      <c r="I5507" s="591" t="s">
        <v>280</v>
      </c>
    </row>
    <row r="5508" spans="1:9">
      <c r="A5508" s="577"/>
      <c r="B5508" s="65">
        <v>5706</v>
      </c>
      <c r="C5508" s="579" t="s">
        <v>281</v>
      </c>
      <c r="D5508" s="579"/>
      <c r="E5508" s="583"/>
      <c r="F5508" s="596"/>
      <c r="G5508" s="65">
        <v>0</v>
      </c>
      <c r="H5508" s="591" t="s">
        <v>280</v>
      </c>
      <c r="I5508" s="591" t="s">
        <v>280</v>
      </c>
    </row>
    <row r="5509" spans="1:9">
      <c r="A5509" s="577"/>
      <c r="B5509" s="65">
        <v>5707</v>
      </c>
      <c r="C5509" s="579" t="s">
        <v>281</v>
      </c>
      <c r="D5509" s="579"/>
      <c r="E5509" s="583"/>
      <c r="F5509" s="596"/>
      <c r="G5509" s="65">
        <v>0</v>
      </c>
      <c r="H5509" s="591" t="s">
        <v>280</v>
      </c>
      <c r="I5509" s="591" t="s">
        <v>280</v>
      </c>
    </row>
    <row r="5510" spans="1:9">
      <c r="A5510" s="577"/>
      <c r="B5510" s="65">
        <v>5708</v>
      </c>
      <c r="C5510" s="579" t="s">
        <v>281</v>
      </c>
      <c r="D5510" s="579"/>
      <c r="E5510" s="583"/>
      <c r="F5510" s="596"/>
      <c r="G5510" s="65">
        <v>0</v>
      </c>
      <c r="H5510" s="591" t="s">
        <v>280</v>
      </c>
      <c r="I5510" s="591" t="s">
        <v>280</v>
      </c>
    </row>
    <row r="5511" spans="1:9">
      <c r="A5511" s="577"/>
      <c r="B5511" s="65">
        <v>5709</v>
      </c>
      <c r="C5511" s="579" t="s">
        <v>281</v>
      </c>
      <c r="D5511" s="579"/>
      <c r="E5511" s="583"/>
      <c r="F5511" s="596"/>
      <c r="G5511" s="65">
        <v>0</v>
      </c>
      <c r="H5511" s="591" t="s">
        <v>280</v>
      </c>
      <c r="I5511" s="591" t="s">
        <v>280</v>
      </c>
    </row>
    <row r="5512" spans="1:9">
      <c r="A5512" s="577"/>
      <c r="B5512" s="65">
        <v>5710</v>
      </c>
      <c r="C5512" s="579" t="s">
        <v>281</v>
      </c>
      <c r="D5512" s="579"/>
      <c r="E5512" s="583"/>
      <c r="F5512" s="596"/>
      <c r="G5512" s="65">
        <v>0</v>
      </c>
      <c r="H5512" s="591" t="s">
        <v>280</v>
      </c>
      <c r="I5512" s="591" t="s">
        <v>280</v>
      </c>
    </row>
    <row r="5513" spans="1:9">
      <c r="A5513" s="577"/>
      <c r="B5513" s="65">
        <v>5711</v>
      </c>
      <c r="C5513" s="579" t="s">
        <v>281</v>
      </c>
      <c r="D5513" s="579"/>
      <c r="E5513" s="583"/>
      <c r="F5513" s="596"/>
      <c r="G5513" s="65">
        <v>0</v>
      </c>
      <c r="H5513" s="591" t="s">
        <v>280</v>
      </c>
      <c r="I5513" s="591" t="s">
        <v>280</v>
      </c>
    </row>
    <row r="5514" spans="1:9">
      <c r="A5514" s="577"/>
      <c r="B5514" s="65">
        <v>5712</v>
      </c>
      <c r="C5514" s="579" t="s">
        <v>281</v>
      </c>
      <c r="D5514" s="579"/>
      <c r="E5514" s="583"/>
      <c r="F5514" s="596"/>
      <c r="G5514" s="65">
        <v>0</v>
      </c>
      <c r="H5514" s="591" t="s">
        <v>280</v>
      </c>
      <c r="I5514" s="591" t="s">
        <v>280</v>
      </c>
    </row>
    <row r="5515" spans="1:9">
      <c r="A5515" s="577"/>
      <c r="B5515" s="65">
        <v>5713</v>
      </c>
      <c r="C5515" s="579" t="s">
        <v>281</v>
      </c>
      <c r="D5515" s="579"/>
      <c r="E5515" s="583"/>
      <c r="F5515" s="596"/>
      <c r="G5515" s="65">
        <v>0</v>
      </c>
      <c r="H5515" s="591" t="s">
        <v>280</v>
      </c>
      <c r="I5515" s="591" t="s">
        <v>280</v>
      </c>
    </row>
    <row r="5516" spans="1:9">
      <c r="A5516" s="577"/>
      <c r="B5516" s="65">
        <v>5714</v>
      </c>
      <c r="C5516" s="579" t="s">
        <v>281</v>
      </c>
      <c r="D5516" s="579"/>
      <c r="E5516" s="583"/>
      <c r="F5516" s="596"/>
      <c r="G5516" s="65">
        <v>0</v>
      </c>
      <c r="H5516" s="591" t="s">
        <v>280</v>
      </c>
      <c r="I5516" s="591" t="s">
        <v>280</v>
      </c>
    </row>
    <row r="5517" spans="1:9">
      <c r="A5517" s="577"/>
      <c r="B5517" s="65">
        <v>5715</v>
      </c>
      <c r="C5517" s="579" t="s">
        <v>281</v>
      </c>
      <c r="D5517" s="579"/>
      <c r="E5517" s="583"/>
      <c r="F5517" s="596"/>
      <c r="G5517" s="65">
        <v>0</v>
      </c>
      <c r="H5517" s="591" t="s">
        <v>280</v>
      </c>
      <c r="I5517" s="591" t="s">
        <v>280</v>
      </c>
    </row>
    <row r="5518" spans="1:9">
      <c r="A5518" s="577"/>
      <c r="B5518" s="65">
        <v>5716</v>
      </c>
      <c r="C5518" s="579" t="s">
        <v>281</v>
      </c>
      <c r="D5518" s="579"/>
      <c r="E5518" s="583"/>
      <c r="F5518" s="596"/>
      <c r="G5518" s="65">
        <v>0</v>
      </c>
      <c r="H5518" s="591" t="s">
        <v>280</v>
      </c>
      <c r="I5518" s="591" t="s">
        <v>280</v>
      </c>
    </row>
    <row r="5519" spans="1:9">
      <c r="A5519" s="577"/>
      <c r="B5519" s="65">
        <v>5717</v>
      </c>
      <c r="C5519" s="579" t="s">
        <v>281</v>
      </c>
      <c r="D5519" s="579"/>
      <c r="E5519" s="583"/>
      <c r="F5519" s="596"/>
      <c r="G5519" s="65">
        <v>0</v>
      </c>
      <c r="H5519" s="591" t="s">
        <v>280</v>
      </c>
      <c r="I5519" s="591" t="s">
        <v>280</v>
      </c>
    </row>
    <row r="5520" spans="1:9">
      <c r="A5520" s="577"/>
      <c r="B5520" s="65">
        <v>5718</v>
      </c>
      <c r="C5520" s="579" t="s">
        <v>281</v>
      </c>
      <c r="D5520" s="579"/>
      <c r="E5520" s="583"/>
      <c r="F5520" s="596"/>
      <c r="G5520" s="65">
        <v>0</v>
      </c>
      <c r="H5520" s="591" t="s">
        <v>280</v>
      </c>
      <c r="I5520" s="591" t="s">
        <v>280</v>
      </c>
    </row>
    <row r="5521" spans="1:9">
      <c r="A5521" s="577"/>
      <c r="B5521" s="65">
        <v>5719</v>
      </c>
      <c r="C5521" s="579" t="s">
        <v>281</v>
      </c>
      <c r="D5521" s="579"/>
      <c r="E5521" s="583"/>
      <c r="F5521" s="596"/>
      <c r="G5521" s="65">
        <v>0</v>
      </c>
      <c r="H5521" s="591" t="s">
        <v>280</v>
      </c>
      <c r="I5521" s="591" t="s">
        <v>280</v>
      </c>
    </row>
    <row r="5522" spans="1:9">
      <c r="A5522" s="577"/>
      <c r="B5522" s="65">
        <v>5720</v>
      </c>
      <c r="C5522" s="579" t="s">
        <v>281</v>
      </c>
      <c r="D5522" s="579"/>
      <c r="E5522" s="583"/>
      <c r="F5522" s="596"/>
      <c r="G5522" s="65">
        <v>0</v>
      </c>
      <c r="H5522" s="591" t="s">
        <v>280</v>
      </c>
      <c r="I5522" s="591" t="s">
        <v>280</v>
      </c>
    </row>
    <row r="5523" spans="1:9">
      <c r="A5523" s="577"/>
      <c r="B5523" s="65">
        <v>5721</v>
      </c>
      <c r="C5523" s="579" t="s">
        <v>281</v>
      </c>
      <c r="D5523" s="579"/>
      <c r="E5523" s="583"/>
      <c r="F5523" s="596"/>
      <c r="G5523" s="65">
        <v>0</v>
      </c>
      <c r="H5523" s="591" t="s">
        <v>280</v>
      </c>
      <c r="I5523" s="591" t="s">
        <v>280</v>
      </c>
    </row>
    <row r="5524" spans="1:9">
      <c r="A5524" s="577"/>
      <c r="B5524" s="65">
        <v>5722</v>
      </c>
      <c r="C5524" s="579" t="s">
        <v>281</v>
      </c>
      <c r="D5524" s="579"/>
      <c r="E5524" s="583"/>
      <c r="F5524" s="596"/>
      <c r="G5524" s="65">
        <v>0</v>
      </c>
      <c r="H5524" s="591" t="s">
        <v>280</v>
      </c>
      <c r="I5524" s="591" t="s">
        <v>280</v>
      </c>
    </row>
    <row r="5525" spans="1:9">
      <c r="A5525" s="577"/>
      <c r="B5525" s="65">
        <v>5723</v>
      </c>
      <c r="C5525" s="579" t="s">
        <v>281</v>
      </c>
      <c r="D5525" s="579"/>
      <c r="E5525" s="583"/>
      <c r="F5525" s="596"/>
      <c r="G5525" s="65">
        <v>0</v>
      </c>
      <c r="H5525" s="591" t="s">
        <v>280</v>
      </c>
      <c r="I5525" s="591" t="s">
        <v>280</v>
      </c>
    </row>
    <row r="5526" spans="1:9">
      <c r="A5526" s="577"/>
      <c r="B5526" s="65">
        <v>5724</v>
      </c>
      <c r="C5526" s="579" t="s">
        <v>281</v>
      </c>
      <c r="D5526" s="579"/>
      <c r="E5526" s="583"/>
      <c r="F5526" s="596"/>
      <c r="G5526" s="65">
        <v>0</v>
      </c>
      <c r="H5526" s="591" t="s">
        <v>280</v>
      </c>
      <c r="I5526" s="591" t="s">
        <v>280</v>
      </c>
    </row>
    <row r="5527" spans="1:9">
      <c r="A5527" s="577"/>
      <c r="B5527" s="65">
        <v>5725</v>
      </c>
      <c r="C5527" s="579" t="s">
        <v>281</v>
      </c>
      <c r="D5527" s="579"/>
      <c r="E5527" s="583"/>
      <c r="F5527" s="596"/>
      <c r="G5527" s="65">
        <v>0</v>
      </c>
      <c r="H5527" s="591" t="s">
        <v>280</v>
      </c>
      <c r="I5527" s="591" t="s">
        <v>280</v>
      </c>
    </row>
    <row r="5528" spans="1:9">
      <c r="A5528" s="577"/>
      <c r="B5528" s="65">
        <v>5726</v>
      </c>
      <c r="C5528" s="579" t="s">
        <v>281</v>
      </c>
      <c r="D5528" s="579"/>
      <c r="E5528" s="583"/>
      <c r="F5528" s="596"/>
      <c r="G5528" s="65">
        <v>0</v>
      </c>
      <c r="H5528" s="591" t="s">
        <v>280</v>
      </c>
      <c r="I5528" s="591" t="s">
        <v>280</v>
      </c>
    </row>
    <row r="5529" spans="1:9">
      <c r="A5529" s="577"/>
      <c r="B5529" s="65">
        <v>5727</v>
      </c>
      <c r="C5529" s="579" t="s">
        <v>281</v>
      </c>
      <c r="D5529" s="579"/>
      <c r="E5529" s="583"/>
      <c r="F5529" s="596"/>
      <c r="G5529" s="65">
        <v>0</v>
      </c>
      <c r="H5529" s="591" t="s">
        <v>280</v>
      </c>
      <c r="I5529" s="591" t="s">
        <v>280</v>
      </c>
    </row>
    <row r="5530" spans="1:9">
      <c r="A5530" s="577"/>
      <c r="B5530" s="65">
        <v>5728</v>
      </c>
      <c r="C5530" s="579" t="s">
        <v>281</v>
      </c>
      <c r="D5530" s="579"/>
      <c r="E5530" s="583"/>
      <c r="F5530" s="596"/>
      <c r="G5530" s="65">
        <v>0</v>
      </c>
      <c r="H5530" s="591" t="s">
        <v>280</v>
      </c>
      <c r="I5530" s="591" t="s">
        <v>280</v>
      </c>
    </row>
    <row r="5531" spans="1:9">
      <c r="A5531" s="577"/>
      <c r="B5531" s="65">
        <v>5729</v>
      </c>
      <c r="C5531" s="579" t="s">
        <v>281</v>
      </c>
      <c r="D5531" s="579"/>
      <c r="E5531" s="583"/>
      <c r="F5531" s="596"/>
      <c r="G5531" s="65">
        <v>0</v>
      </c>
      <c r="H5531" s="591" t="s">
        <v>280</v>
      </c>
      <c r="I5531" s="591" t="s">
        <v>280</v>
      </c>
    </row>
    <row r="5532" spans="1:9">
      <c r="A5532" s="577"/>
      <c r="B5532" s="65">
        <v>5730</v>
      </c>
      <c r="C5532" s="579" t="s">
        <v>281</v>
      </c>
      <c r="D5532" s="579"/>
      <c r="E5532" s="583"/>
      <c r="F5532" s="596"/>
      <c r="G5532" s="65">
        <v>0</v>
      </c>
      <c r="H5532" s="591" t="s">
        <v>280</v>
      </c>
      <c r="I5532" s="591" t="s">
        <v>280</v>
      </c>
    </row>
    <row r="5533" spans="1:9">
      <c r="A5533" s="577"/>
      <c r="B5533" s="65">
        <v>5731</v>
      </c>
      <c r="C5533" s="579" t="s">
        <v>281</v>
      </c>
      <c r="D5533" s="579"/>
      <c r="E5533" s="583"/>
      <c r="F5533" s="596"/>
      <c r="G5533" s="65">
        <v>0</v>
      </c>
      <c r="H5533" s="591" t="s">
        <v>280</v>
      </c>
      <c r="I5533" s="591" t="s">
        <v>280</v>
      </c>
    </row>
    <row r="5534" spans="1:9">
      <c r="A5534" s="577"/>
      <c r="B5534" s="65">
        <v>5732</v>
      </c>
      <c r="C5534" s="579" t="s">
        <v>281</v>
      </c>
      <c r="D5534" s="579"/>
      <c r="E5534" s="583"/>
      <c r="F5534" s="596"/>
      <c r="G5534" s="65">
        <v>0</v>
      </c>
      <c r="H5534" s="591" t="s">
        <v>280</v>
      </c>
      <c r="I5534" s="591" t="s">
        <v>280</v>
      </c>
    </row>
    <row r="5535" spans="1:9">
      <c r="A5535" s="577"/>
      <c r="B5535" s="65">
        <v>5733</v>
      </c>
      <c r="C5535" s="579" t="s">
        <v>281</v>
      </c>
      <c r="D5535" s="579"/>
      <c r="E5535" s="583"/>
      <c r="F5535" s="596"/>
      <c r="G5535" s="65">
        <v>0</v>
      </c>
      <c r="H5535" s="591" t="s">
        <v>280</v>
      </c>
      <c r="I5535" s="591" t="s">
        <v>280</v>
      </c>
    </row>
    <row r="5536" spans="1:9">
      <c r="A5536" s="577"/>
      <c r="B5536" s="65">
        <v>5734</v>
      </c>
      <c r="C5536" s="579" t="s">
        <v>281</v>
      </c>
      <c r="D5536" s="579"/>
      <c r="E5536" s="583"/>
      <c r="F5536" s="596"/>
      <c r="G5536" s="65">
        <v>0</v>
      </c>
      <c r="H5536" s="591" t="s">
        <v>280</v>
      </c>
      <c r="I5536" s="591" t="s">
        <v>280</v>
      </c>
    </row>
    <row r="5537" spans="1:9">
      <c r="A5537" s="577"/>
      <c r="B5537" s="65">
        <v>5735</v>
      </c>
      <c r="C5537" s="579" t="s">
        <v>281</v>
      </c>
      <c r="D5537" s="579"/>
      <c r="E5537" s="583"/>
      <c r="F5537" s="596"/>
      <c r="G5537" s="65">
        <v>0</v>
      </c>
      <c r="H5537" s="591" t="s">
        <v>280</v>
      </c>
      <c r="I5537" s="591" t="s">
        <v>280</v>
      </c>
    </row>
    <row r="5538" spans="1:9">
      <c r="A5538" s="577"/>
      <c r="B5538" s="65">
        <v>5736</v>
      </c>
      <c r="C5538" s="579" t="s">
        <v>281</v>
      </c>
      <c r="D5538" s="579"/>
      <c r="E5538" s="583"/>
      <c r="F5538" s="596"/>
      <c r="G5538" s="65">
        <v>0</v>
      </c>
      <c r="H5538" s="591" t="s">
        <v>280</v>
      </c>
      <c r="I5538" s="591" t="s">
        <v>280</v>
      </c>
    </row>
    <row r="5539" spans="1:9">
      <c r="A5539" s="577"/>
      <c r="B5539" s="65">
        <v>5737</v>
      </c>
      <c r="C5539" s="579" t="s">
        <v>281</v>
      </c>
      <c r="D5539" s="579"/>
      <c r="E5539" s="583"/>
      <c r="F5539" s="596"/>
      <c r="G5539" s="65">
        <v>0</v>
      </c>
      <c r="H5539" s="591" t="s">
        <v>280</v>
      </c>
      <c r="I5539" s="591" t="s">
        <v>280</v>
      </c>
    </row>
    <row r="5540" spans="1:9">
      <c r="A5540" s="577"/>
      <c r="B5540" s="65">
        <v>5738</v>
      </c>
      <c r="C5540" s="579" t="s">
        <v>281</v>
      </c>
      <c r="D5540" s="579"/>
      <c r="E5540" s="583"/>
      <c r="F5540" s="596"/>
      <c r="G5540" s="65">
        <v>0</v>
      </c>
      <c r="H5540" s="591" t="s">
        <v>280</v>
      </c>
      <c r="I5540" s="591" t="s">
        <v>280</v>
      </c>
    </row>
    <row r="5541" spans="1:9">
      <c r="A5541" s="577"/>
      <c r="B5541" s="65">
        <v>5739</v>
      </c>
      <c r="C5541" s="579" t="s">
        <v>281</v>
      </c>
      <c r="D5541" s="579"/>
      <c r="E5541" s="583"/>
      <c r="F5541" s="596"/>
      <c r="G5541" s="65">
        <v>0</v>
      </c>
      <c r="H5541" s="591" t="s">
        <v>280</v>
      </c>
      <c r="I5541" s="591" t="s">
        <v>280</v>
      </c>
    </row>
    <row r="5542" spans="1:9">
      <c r="A5542" s="577"/>
      <c r="B5542" s="65">
        <v>5740</v>
      </c>
      <c r="C5542" s="579" t="s">
        <v>281</v>
      </c>
      <c r="D5542" s="579"/>
      <c r="E5542" s="583"/>
      <c r="F5542" s="596"/>
      <c r="G5542" s="65">
        <v>0</v>
      </c>
      <c r="H5542" s="591" t="s">
        <v>280</v>
      </c>
      <c r="I5542" s="591" t="s">
        <v>280</v>
      </c>
    </row>
    <row r="5543" spans="1:9">
      <c r="A5543" s="577"/>
      <c r="B5543" s="65">
        <v>5741</v>
      </c>
      <c r="C5543" s="579" t="s">
        <v>281</v>
      </c>
      <c r="D5543" s="579"/>
      <c r="E5543" s="583"/>
      <c r="F5543" s="596"/>
      <c r="G5543" s="65">
        <v>0</v>
      </c>
      <c r="H5543" s="591" t="s">
        <v>280</v>
      </c>
      <c r="I5543" s="591" t="s">
        <v>280</v>
      </c>
    </row>
    <row r="5544" spans="1:9">
      <c r="A5544" s="577"/>
      <c r="B5544" s="65">
        <v>5742</v>
      </c>
      <c r="C5544" s="579" t="s">
        <v>281</v>
      </c>
      <c r="D5544" s="579"/>
      <c r="E5544" s="583"/>
      <c r="F5544" s="596"/>
      <c r="G5544" s="65">
        <v>0</v>
      </c>
      <c r="H5544" s="591" t="s">
        <v>280</v>
      </c>
      <c r="I5544" s="591" t="s">
        <v>280</v>
      </c>
    </row>
    <row r="5545" spans="1:9">
      <c r="A5545" s="577"/>
      <c r="B5545" s="65">
        <v>5743</v>
      </c>
      <c r="C5545" s="579" t="s">
        <v>281</v>
      </c>
      <c r="D5545" s="579"/>
      <c r="E5545" s="583"/>
      <c r="F5545" s="596"/>
      <c r="G5545" s="65">
        <v>0</v>
      </c>
      <c r="H5545" s="591" t="s">
        <v>280</v>
      </c>
      <c r="I5545" s="591" t="s">
        <v>280</v>
      </c>
    </row>
    <row r="5546" spans="1:9">
      <c r="A5546" s="577"/>
      <c r="B5546" s="65">
        <v>5744</v>
      </c>
      <c r="C5546" s="579" t="s">
        <v>281</v>
      </c>
      <c r="D5546" s="579"/>
      <c r="E5546" s="583"/>
      <c r="F5546" s="596"/>
      <c r="G5546" s="65">
        <v>0</v>
      </c>
      <c r="H5546" s="591" t="s">
        <v>280</v>
      </c>
      <c r="I5546" s="591" t="s">
        <v>280</v>
      </c>
    </row>
    <row r="5547" spans="1:9">
      <c r="A5547" s="577"/>
      <c r="B5547" s="65">
        <v>5745</v>
      </c>
      <c r="C5547" s="579" t="s">
        <v>281</v>
      </c>
      <c r="D5547" s="579"/>
      <c r="E5547" s="583"/>
      <c r="F5547" s="596"/>
      <c r="G5547" s="65">
        <v>0</v>
      </c>
      <c r="H5547" s="591" t="s">
        <v>280</v>
      </c>
      <c r="I5547" s="591" t="s">
        <v>280</v>
      </c>
    </row>
    <row r="5548" spans="1:9">
      <c r="A5548" s="577"/>
      <c r="B5548" s="65">
        <v>5746</v>
      </c>
      <c r="C5548" s="579" t="s">
        <v>281</v>
      </c>
      <c r="D5548" s="579"/>
      <c r="E5548" s="583"/>
      <c r="F5548" s="596"/>
      <c r="G5548" s="65">
        <v>0</v>
      </c>
      <c r="H5548" s="591" t="s">
        <v>280</v>
      </c>
      <c r="I5548" s="591" t="s">
        <v>280</v>
      </c>
    </row>
    <row r="5549" spans="1:9">
      <c r="A5549" s="577"/>
      <c r="B5549" s="65">
        <v>5747</v>
      </c>
      <c r="C5549" s="579" t="s">
        <v>281</v>
      </c>
      <c r="D5549" s="579"/>
      <c r="E5549" s="583"/>
      <c r="F5549" s="596"/>
      <c r="G5549" s="65">
        <v>0</v>
      </c>
      <c r="H5549" s="591" t="s">
        <v>280</v>
      </c>
      <c r="I5549" s="591" t="s">
        <v>280</v>
      </c>
    </row>
    <row r="5550" spans="1:9">
      <c r="A5550" s="577"/>
      <c r="B5550" s="65">
        <v>5748</v>
      </c>
      <c r="C5550" s="579" t="s">
        <v>281</v>
      </c>
      <c r="D5550" s="579"/>
      <c r="E5550" s="583"/>
      <c r="F5550" s="596"/>
      <c r="G5550" s="65">
        <v>0</v>
      </c>
      <c r="H5550" s="591" t="s">
        <v>280</v>
      </c>
      <c r="I5550" s="591" t="s">
        <v>280</v>
      </c>
    </row>
    <row r="5551" spans="1:9">
      <c r="A5551" s="577"/>
      <c r="B5551" s="65">
        <v>5749</v>
      </c>
      <c r="C5551" s="579" t="s">
        <v>281</v>
      </c>
      <c r="D5551" s="579"/>
      <c r="E5551" s="583"/>
      <c r="F5551" s="596"/>
      <c r="G5551" s="65">
        <v>0</v>
      </c>
      <c r="H5551" s="591" t="s">
        <v>280</v>
      </c>
      <c r="I5551" s="591" t="s">
        <v>280</v>
      </c>
    </row>
    <row r="5552" spans="1:9">
      <c r="A5552" s="577"/>
      <c r="B5552" s="65">
        <v>5750</v>
      </c>
      <c r="C5552" s="579" t="s">
        <v>281</v>
      </c>
      <c r="D5552" s="579"/>
      <c r="E5552" s="583"/>
      <c r="F5552" s="596"/>
      <c r="G5552" s="65">
        <v>0</v>
      </c>
      <c r="H5552" s="591" t="s">
        <v>280</v>
      </c>
      <c r="I5552" s="591" t="s">
        <v>280</v>
      </c>
    </row>
    <row r="5553" spans="1:9">
      <c r="A5553" s="577"/>
      <c r="B5553" s="65">
        <v>5751</v>
      </c>
      <c r="C5553" s="579" t="s">
        <v>281</v>
      </c>
      <c r="D5553" s="579"/>
      <c r="E5553" s="583"/>
      <c r="F5553" s="596"/>
      <c r="G5553" s="65">
        <v>0</v>
      </c>
      <c r="H5553" s="591" t="s">
        <v>280</v>
      </c>
      <c r="I5553" s="591" t="s">
        <v>280</v>
      </c>
    </row>
    <row r="5554" spans="1:9">
      <c r="A5554" s="577"/>
      <c r="B5554" s="65">
        <v>5752</v>
      </c>
      <c r="C5554" s="579" t="s">
        <v>281</v>
      </c>
      <c r="D5554" s="579"/>
      <c r="E5554" s="583"/>
      <c r="F5554" s="596"/>
      <c r="G5554" s="65">
        <v>0</v>
      </c>
      <c r="H5554" s="591" t="s">
        <v>280</v>
      </c>
      <c r="I5554" s="591" t="s">
        <v>280</v>
      </c>
    </row>
    <row r="5555" spans="1:9">
      <c r="A5555" s="577"/>
      <c r="B5555" s="65">
        <v>5753</v>
      </c>
      <c r="C5555" s="579" t="s">
        <v>281</v>
      </c>
      <c r="D5555" s="579"/>
      <c r="E5555" s="583"/>
      <c r="F5555" s="596"/>
      <c r="G5555" s="65">
        <v>0</v>
      </c>
      <c r="H5555" s="591" t="s">
        <v>280</v>
      </c>
      <c r="I5555" s="591" t="s">
        <v>280</v>
      </c>
    </row>
    <row r="5556" spans="1:9">
      <c r="A5556" s="577"/>
      <c r="B5556" s="65">
        <v>5754</v>
      </c>
      <c r="C5556" s="579" t="s">
        <v>281</v>
      </c>
      <c r="D5556" s="579"/>
      <c r="E5556" s="583"/>
      <c r="F5556" s="596"/>
      <c r="G5556" s="65">
        <v>0</v>
      </c>
      <c r="H5556" s="591" t="s">
        <v>280</v>
      </c>
      <c r="I5556" s="591" t="s">
        <v>280</v>
      </c>
    </row>
    <row r="5557" spans="1:9">
      <c r="A5557" s="577"/>
      <c r="B5557" s="65">
        <v>5755</v>
      </c>
      <c r="C5557" s="579" t="s">
        <v>281</v>
      </c>
      <c r="D5557" s="579"/>
      <c r="E5557" s="583"/>
      <c r="F5557" s="596"/>
      <c r="G5557" s="65">
        <v>0</v>
      </c>
      <c r="H5557" s="591" t="s">
        <v>280</v>
      </c>
      <c r="I5557" s="591" t="s">
        <v>280</v>
      </c>
    </row>
    <row r="5558" spans="1:9">
      <c r="A5558" s="577"/>
      <c r="B5558" s="65">
        <v>5756</v>
      </c>
      <c r="C5558" s="579" t="s">
        <v>281</v>
      </c>
      <c r="D5558" s="579"/>
      <c r="E5558" s="583"/>
      <c r="F5558" s="596"/>
      <c r="G5558" s="65">
        <v>0</v>
      </c>
      <c r="H5558" s="591" t="s">
        <v>280</v>
      </c>
      <c r="I5558" s="591" t="s">
        <v>280</v>
      </c>
    </row>
    <row r="5559" spans="1:9">
      <c r="A5559" s="577"/>
      <c r="B5559" s="65">
        <v>5757</v>
      </c>
      <c r="C5559" s="579" t="s">
        <v>281</v>
      </c>
      <c r="D5559" s="579"/>
      <c r="E5559" s="583"/>
      <c r="F5559" s="596"/>
      <c r="G5559" s="65">
        <v>0</v>
      </c>
      <c r="H5559" s="591" t="s">
        <v>280</v>
      </c>
      <c r="I5559" s="591" t="s">
        <v>280</v>
      </c>
    </row>
    <row r="5560" spans="1:9">
      <c r="A5560" s="577"/>
      <c r="B5560" s="65">
        <v>5758</v>
      </c>
      <c r="C5560" s="579" t="s">
        <v>281</v>
      </c>
      <c r="D5560" s="579"/>
      <c r="E5560" s="583"/>
      <c r="F5560" s="596"/>
      <c r="G5560" s="65">
        <v>0</v>
      </c>
      <c r="H5560" s="591" t="s">
        <v>280</v>
      </c>
      <c r="I5560" s="591" t="s">
        <v>280</v>
      </c>
    </row>
    <row r="5561" spans="1:9">
      <c r="A5561" s="577"/>
      <c r="B5561" s="65">
        <v>5759</v>
      </c>
      <c r="C5561" s="579" t="s">
        <v>281</v>
      </c>
      <c r="D5561" s="579"/>
      <c r="E5561" s="583"/>
      <c r="F5561" s="596"/>
      <c r="G5561" s="65">
        <v>0</v>
      </c>
      <c r="H5561" s="591" t="s">
        <v>280</v>
      </c>
      <c r="I5561" s="591" t="s">
        <v>280</v>
      </c>
    </row>
    <row r="5562" spans="1:9">
      <c r="A5562" s="577"/>
      <c r="B5562" s="65">
        <v>5760</v>
      </c>
      <c r="C5562" s="579" t="s">
        <v>281</v>
      </c>
      <c r="D5562" s="579"/>
      <c r="E5562" s="583"/>
      <c r="F5562" s="596"/>
      <c r="G5562" s="65">
        <v>0</v>
      </c>
      <c r="H5562" s="591" t="s">
        <v>280</v>
      </c>
      <c r="I5562" s="591" t="s">
        <v>280</v>
      </c>
    </row>
    <row r="5563" spans="1:9">
      <c r="A5563" s="577"/>
      <c r="B5563" s="65">
        <v>5761</v>
      </c>
      <c r="C5563" s="579" t="s">
        <v>281</v>
      </c>
      <c r="D5563" s="579"/>
      <c r="E5563" s="583"/>
      <c r="F5563" s="596"/>
      <c r="G5563" s="65">
        <v>0</v>
      </c>
      <c r="H5563" s="591" t="s">
        <v>280</v>
      </c>
      <c r="I5563" s="591" t="s">
        <v>280</v>
      </c>
    </row>
    <row r="5564" spans="1:9">
      <c r="A5564" s="577"/>
      <c r="B5564" s="65">
        <v>5762</v>
      </c>
      <c r="C5564" s="579" t="s">
        <v>281</v>
      </c>
      <c r="D5564" s="579"/>
      <c r="E5564" s="583"/>
      <c r="F5564" s="596"/>
      <c r="G5564" s="65">
        <v>0</v>
      </c>
      <c r="H5564" s="591" t="s">
        <v>280</v>
      </c>
      <c r="I5564" s="591" t="s">
        <v>280</v>
      </c>
    </row>
    <row r="5565" spans="1:9">
      <c r="A5565" s="577"/>
      <c r="B5565" s="65">
        <v>5763</v>
      </c>
      <c r="C5565" s="579" t="s">
        <v>281</v>
      </c>
      <c r="D5565" s="579"/>
      <c r="E5565" s="583"/>
      <c r="F5565" s="596"/>
      <c r="G5565" s="65">
        <v>0</v>
      </c>
      <c r="H5565" s="591" t="s">
        <v>280</v>
      </c>
      <c r="I5565" s="591" t="s">
        <v>280</v>
      </c>
    </row>
    <row r="5566" spans="1:9">
      <c r="A5566" s="577"/>
      <c r="B5566" s="65">
        <v>5764</v>
      </c>
      <c r="C5566" s="579" t="s">
        <v>281</v>
      </c>
      <c r="D5566" s="579"/>
      <c r="E5566" s="583"/>
      <c r="F5566" s="596"/>
      <c r="G5566" s="65">
        <v>0</v>
      </c>
      <c r="H5566" s="591" t="s">
        <v>280</v>
      </c>
      <c r="I5566" s="591" t="s">
        <v>280</v>
      </c>
    </row>
    <row r="5567" spans="1:9">
      <c r="A5567" s="577"/>
      <c r="B5567" s="65">
        <v>5765</v>
      </c>
      <c r="C5567" s="579" t="s">
        <v>281</v>
      </c>
      <c r="D5567" s="579"/>
      <c r="E5567" s="583"/>
      <c r="F5567" s="596"/>
      <c r="G5567" s="65">
        <v>0</v>
      </c>
      <c r="H5567" s="591" t="s">
        <v>280</v>
      </c>
      <c r="I5567" s="591" t="s">
        <v>280</v>
      </c>
    </row>
    <row r="5568" spans="1:9">
      <c r="A5568" s="577"/>
      <c r="B5568" s="65">
        <v>5766</v>
      </c>
      <c r="C5568" s="579" t="s">
        <v>281</v>
      </c>
      <c r="D5568" s="579"/>
      <c r="E5568" s="583"/>
      <c r="F5568" s="596"/>
      <c r="G5568" s="65">
        <v>0</v>
      </c>
      <c r="H5568" s="591" t="s">
        <v>280</v>
      </c>
      <c r="I5568" s="591" t="s">
        <v>280</v>
      </c>
    </row>
    <row r="5569" spans="1:9">
      <c r="A5569" s="577"/>
      <c r="B5569" s="65">
        <v>5767</v>
      </c>
      <c r="C5569" s="579" t="s">
        <v>281</v>
      </c>
      <c r="D5569" s="579"/>
      <c r="E5569" s="583"/>
      <c r="F5569" s="596"/>
      <c r="G5569" s="65">
        <v>0</v>
      </c>
      <c r="H5569" s="591" t="s">
        <v>280</v>
      </c>
      <c r="I5569" s="591" t="s">
        <v>280</v>
      </c>
    </row>
    <row r="5570" spans="1:9">
      <c r="A5570" s="577"/>
      <c r="B5570" s="65">
        <v>5768</v>
      </c>
      <c r="C5570" s="579" t="s">
        <v>281</v>
      </c>
      <c r="D5570" s="579"/>
      <c r="E5570" s="583"/>
      <c r="F5570" s="596"/>
      <c r="G5570" s="65">
        <v>0</v>
      </c>
      <c r="H5570" s="591" t="s">
        <v>280</v>
      </c>
      <c r="I5570" s="591" t="s">
        <v>280</v>
      </c>
    </row>
    <row r="5571" spans="1:9">
      <c r="A5571" s="577"/>
      <c r="B5571" s="65">
        <v>5769</v>
      </c>
      <c r="C5571" s="579" t="s">
        <v>281</v>
      </c>
      <c r="D5571" s="579"/>
      <c r="E5571" s="583"/>
      <c r="F5571" s="596"/>
      <c r="G5571" s="65">
        <v>0</v>
      </c>
      <c r="H5571" s="591" t="s">
        <v>280</v>
      </c>
      <c r="I5571" s="591" t="s">
        <v>280</v>
      </c>
    </row>
    <row r="5572" spans="1:9">
      <c r="A5572" s="577"/>
      <c r="B5572" s="65">
        <v>5770</v>
      </c>
      <c r="C5572" s="579" t="s">
        <v>281</v>
      </c>
      <c r="D5572" s="579"/>
      <c r="E5572" s="583"/>
      <c r="F5572" s="596"/>
      <c r="G5572" s="65">
        <v>0</v>
      </c>
      <c r="H5572" s="591" t="s">
        <v>280</v>
      </c>
      <c r="I5572" s="591" t="s">
        <v>280</v>
      </c>
    </row>
    <row r="5573" spans="1:9">
      <c r="A5573" s="577"/>
      <c r="B5573" s="65">
        <v>5771</v>
      </c>
      <c r="C5573" s="579" t="s">
        <v>281</v>
      </c>
      <c r="D5573" s="579"/>
      <c r="E5573" s="583"/>
      <c r="F5573" s="596"/>
      <c r="G5573" s="65">
        <v>0</v>
      </c>
      <c r="H5573" s="591" t="s">
        <v>280</v>
      </c>
      <c r="I5573" s="591" t="s">
        <v>280</v>
      </c>
    </row>
    <row r="5574" spans="1:9">
      <c r="A5574" s="577"/>
      <c r="B5574" s="65">
        <v>5772</v>
      </c>
      <c r="C5574" s="579" t="s">
        <v>281</v>
      </c>
      <c r="D5574" s="579"/>
      <c r="E5574" s="583"/>
      <c r="F5574" s="596"/>
      <c r="G5574" s="65">
        <v>0</v>
      </c>
      <c r="H5574" s="591" t="s">
        <v>280</v>
      </c>
      <c r="I5574" s="591" t="s">
        <v>280</v>
      </c>
    </row>
    <row r="5575" spans="1:9">
      <c r="A5575" s="577"/>
      <c r="B5575" s="65">
        <v>5773</v>
      </c>
      <c r="C5575" s="579" t="s">
        <v>281</v>
      </c>
      <c r="D5575" s="579"/>
      <c r="E5575" s="583"/>
      <c r="F5575" s="596"/>
      <c r="G5575" s="65">
        <v>0</v>
      </c>
      <c r="H5575" s="591" t="s">
        <v>280</v>
      </c>
      <c r="I5575" s="591" t="s">
        <v>280</v>
      </c>
    </row>
    <row r="5576" spans="1:9">
      <c r="A5576" s="577"/>
      <c r="B5576" s="65">
        <v>5774</v>
      </c>
      <c r="C5576" s="579" t="s">
        <v>281</v>
      </c>
      <c r="D5576" s="579"/>
      <c r="E5576" s="583"/>
      <c r="F5576" s="596"/>
      <c r="G5576" s="65">
        <v>0</v>
      </c>
      <c r="H5576" s="591" t="s">
        <v>280</v>
      </c>
      <c r="I5576" s="591" t="s">
        <v>280</v>
      </c>
    </row>
    <row r="5577" spans="1:9">
      <c r="A5577" s="577"/>
      <c r="B5577" s="65">
        <v>5775</v>
      </c>
      <c r="C5577" s="579" t="s">
        <v>281</v>
      </c>
      <c r="D5577" s="579"/>
      <c r="E5577" s="583"/>
      <c r="F5577" s="596"/>
      <c r="G5577" s="65">
        <v>0</v>
      </c>
      <c r="H5577" s="591" t="s">
        <v>280</v>
      </c>
      <c r="I5577" s="591" t="s">
        <v>280</v>
      </c>
    </row>
    <row r="5578" spans="1:9">
      <c r="A5578" s="577"/>
      <c r="B5578" s="65">
        <v>5776</v>
      </c>
      <c r="C5578" s="579" t="s">
        <v>281</v>
      </c>
      <c r="D5578" s="579"/>
      <c r="E5578" s="583"/>
      <c r="F5578" s="596"/>
      <c r="G5578" s="65">
        <v>0</v>
      </c>
      <c r="H5578" s="591" t="s">
        <v>280</v>
      </c>
      <c r="I5578" s="591" t="s">
        <v>280</v>
      </c>
    </row>
    <row r="5579" spans="1:9">
      <c r="A5579" s="577"/>
      <c r="B5579" s="65">
        <v>5777</v>
      </c>
      <c r="C5579" s="579" t="s">
        <v>281</v>
      </c>
      <c r="D5579" s="579"/>
      <c r="E5579" s="583"/>
      <c r="F5579" s="596"/>
      <c r="G5579" s="65">
        <v>0</v>
      </c>
      <c r="H5579" s="591" t="s">
        <v>280</v>
      </c>
      <c r="I5579" s="591" t="s">
        <v>280</v>
      </c>
    </row>
    <row r="5580" spans="1:9">
      <c r="A5580" s="577"/>
      <c r="B5580" s="65">
        <v>5778</v>
      </c>
      <c r="C5580" s="579" t="s">
        <v>281</v>
      </c>
      <c r="D5580" s="579"/>
      <c r="E5580" s="583"/>
      <c r="F5580" s="596"/>
      <c r="G5580" s="65">
        <v>0</v>
      </c>
      <c r="H5580" s="591" t="s">
        <v>280</v>
      </c>
      <c r="I5580" s="591" t="s">
        <v>280</v>
      </c>
    </row>
    <row r="5581" spans="1:9">
      <c r="A5581" s="577"/>
      <c r="B5581" s="65">
        <v>5779</v>
      </c>
      <c r="C5581" s="579" t="s">
        <v>281</v>
      </c>
      <c r="D5581" s="579"/>
      <c r="E5581" s="583"/>
      <c r="F5581" s="596"/>
      <c r="G5581" s="65">
        <v>0</v>
      </c>
      <c r="H5581" s="591" t="s">
        <v>280</v>
      </c>
      <c r="I5581" s="591" t="s">
        <v>280</v>
      </c>
    </row>
    <row r="5582" spans="1:9">
      <c r="A5582" s="577"/>
      <c r="B5582" s="65">
        <v>5780</v>
      </c>
      <c r="C5582" s="579" t="s">
        <v>281</v>
      </c>
      <c r="D5582" s="579"/>
      <c r="E5582" s="583"/>
      <c r="F5582" s="596"/>
      <c r="G5582" s="65">
        <v>0</v>
      </c>
      <c r="H5582" s="591" t="s">
        <v>280</v>
      </c>
      <c r="I5582" s="591" t="s">
        <v>280</v>
      </c>
    </row>
    <row r="5583" spans="1:9">
      <c r="A5583" s="577"/>
      <c r="B5583" s="65">
        <v>5781</v>
      </c>
      <c r="C5583" s="579" t="s">
        <v>281</v>
      </c>
      <c r="D5583" s="579"/>
      <c r="E5583" s="583"/>
      <c r="F5583" s="596"/>
      <c r="G5583" s="65">
        <v>0</v>
      </c>
      <c r="H5583" s="591" t="s">
        <v>280</v>
      </c>
      <c r="I5583" s="591" t="s">
        <v>280</v>
      </c>
    </row>
    <row r="5584" spans="1:9">
      <c r="A5584" s="577"/>
      <c r="B5584" s="65">
        <v>5782</v>
      </c>
      <c r="C5584" s="579" t="s">
        <v>281</v>
      </c>
      <c r="D5584" s="579"/>
      <c r="E5584" s="583"/>
      <c r="F5584" s="596"/>
      <c r="G5584" s="65">
        <v>0</v>
      </c>
      <c r="H5584" s="591" t="s">
        <v>280</v>
      </c>
      <c r="I5584" s="591" t="s">
        <v>280</v>
      </c>
    </row>
    <row r="5585" spans="1:9">
      <c r="A5585" s="577"/>
      <c r="B5585" s="65">
        <v>5783</v>
      </c>
      <c r="C5585" s="579" t="s">
        <v>281</v>
      </c>
      <c r="D5585" s="579"/>
      <c r="E5585" s="583"/>
      <c r="F5585" s="596"/>
      <c r="G5585" s="65">
        <v>0</v>
      </c>
      <c r="H5585" s="591" t="s">
        <v>280</v>
      </c>
      <c r="I5585" s="591" t="s">
        <v>280</v>
      </c>
    </row>
    <row r="5586" spans="1:9">
      <c r="A5586" s="577"/>
      <c r="B5586" s="65">
        <v>5784</v>
      </c>
      <c r="C5586" s="579" t="s">
        <v>281</v>
      </c>
      <c r="D5586" s="579"/>
      <c r="E5586" s="583"/>
      <c r="F5586" s="596"/>
      <c r="G5586" s="65">
        <v>0</v>
      </c>
      <c r="H5586" s="591" t="s">
        <v>280</v>
      </c>
      <c r="I5586" s="591" t="s">
        <v>280</v>
      </c>
    </row>
    <row r="5587" spans="1:9">
      <c r="A5587" s="577"/>
      <c r="B5587" s="65">
        <v>5785</v>
      </c>
      <c r="C5587" s="579" t="s">
        <v>281</v>
      </c>
      <c r="D5587" s="579"/>
      <c r="E5587" s="583"/>
      <c r="F5587" s="596"/>
      <c r="G5587" s="65">
        <v>0</v>
      </c>
      <c r="H5587" s="591" t="s">
        <v>280</v>
      </c>
      <c r="I5587" s="591" t="s">
        <v>280</v>
      </c>
    </row>
    <row r="5588" spans="1:9">
      <c r="A5588" s="577"/>
      <c r="B5588" s="65">
        <v>5786</v>
      </c>
      <c r="C5588" s="579" t="s">
        <v>281</v>
      </c>
      <c r="D5588" s="579"/>
      <c r="E5588" s="583"/>
      <c r="F5588" s="596"/>
      <c r="G5588" s="65">
        <v>0</v>
      </c>
      <c r="H5588" s="591" t="s">
        <v>280</v>
      </c>
      <c r="I5588" s="591" t="s">
        <v>280</v>
      </c>
    </row>
    <row r="5589" spans="1:9">
      <c r="A5589" s="577"/>
      <c r="B5589" s="65">
        <v>5787</v>
      </c>
      <c r="C5589" s="579" t="s">
        <v>281</v>
      </c>
      <c r="D5589" s="579"/>
      <c r="E5589" s="583"/>
      <c r="F5589" s="596"/>
      <c r="G5589" s="65">
        <v>0</v>
      </c>
      <c r="H5589" s="591" t="s">
        <v>280</v>
      </c>
      <c r="I5589" s="591" t="s">
        <v>280</v>
      </c>
    </row>
    <row r="5590" spans="1:9">
      <c r="A5590" s="577"/>
      <c r="B5590" s="65">
        <v>5788</v>
      </c>
      <c r="C5590" s="579" t="s">
        <v>281</v>
      </c>
      <c r="D5590" s="579"/>
      <c r="E5590" s="583"/>
      <c r="F5590" s="596"/>
      <c r="G5590" s="65">
        <v>0</v>
      </c>
      <c r="H5590" s="591" t="s">
        <v>280</v>
      </c>
      <c r="I5590" s="591" t="s">
        <v>280</v>
      </c>
    </row>
    <row r="5591" spans="1:9">
      <c r="A5591" s="577"/>
      <c r="B5591" s="65">
        <v>5789</v>
      </c>
      <c r="C5591" s="579" t="s">
        <v>281</v>
      </c>
      <c r="D5591" s="579"/>
      <c r="E5591" s="583"/>
      <c r="F5591" s="596"/>
      <c r="G5591" s="65">
        <v>0</v>
      </c>
      <c r="H5591" s="591" t="s">
        <v>280</v>
      </c>
      <c r="I5591" s="591" t="s">
        <v>280</v>
      </c>
    </row>
    <row r="5592" spans="1:9">
      <c r="A5592" s="577"/>
      <c r="B5592" s="65">
        <v>5790</v>
      </c>
      <c r="C5592" s="579" t="s">
        <v>281</v>
      </c>
      <c r="D5592" s="579"/>
      <c r="E5592" s="583"/>
      <c r="F5592" s="596"/>
      <c r="G5592" s="65">
        <v>0</v>
      </c>
      <c r="H5592" s="591" t="s">
        <v>280</v>
      </c>
      <c r="I5592" s="591" t="s">
        <v>280</v>
      </c>
    </row>
    <row r="5593" spans="1:9">
      <c r="A5593" s="577"/>
      <c r="B5593" s="65">
        <v>5791</v>
      </c>
      <c r="C5593" s="579" t="s">
        <v>281</v>
      </c>
      <c r="D5593" s="579"/>
      <c r="E5593" s="583"/>
      <c r="F5593" s="596"/>
      <c r="G5593" s="65">
        <v>0</v>
      </c>
      <c r="H5593" s="591" t="s">
        <v>280</v>
      </c>
      <c r="I5593" s="591" t="s">
        <v>280</v>
      </c>
    </row>
    <row r="5594" spans="1:9">
      <c r="A5594" s="577"/>
      <c r="B5594" s="65">
        <v>5792</v>
      </c>
      <c r="C5594" s="579" t="s">
        <v>281</v>
      </c>
      <c r="D5594" s="579"/>
      <c r="E5594" s="583"/>
      <c r="F5594" s="596"/>
      <c r="G5594" s="65">
        <v>0</v>
      </c>
      <c r="H5594" s="591" t="s">
        <v>280</v>
      </c>
      <c r="I5594" s="591" t="s">
        <v>280</v>
      </c>
    </row>
    <row r="5595" spans="1:9">
      <c r="A5595" s="577"/>
      <c r="B5595" s="65">
        <v>5793</v>
      </c>
      <c r="C5595" s="579" t="s">
        <v>281</v>
      </c>
      <c r="D5595" s="579"/>
      <c r="E5595" s="583"/>
      <c r="F5595" s="596"/>
      <c r="G5595" s="65">
        <v>0</v>
      </c>
      <c r="H5595" s="591" t="s">
        <v>280</v>
      </c>
      <c r="I5595" s="591" t="s">
        <v>280</v>
      </c>
    </row>
    <row r="5596" spans="1:9">
      <c r="A5596" s="577"/>
      <c r="B5596" s="65">
        <v>5794</v>
      </c>
      <c r="C5596" s="579" t="s">
        <v>281</v>
      </c>
      <c r="D5596" s="579"/>
      <c r="E5596" s="583"/>
      <c r="F5596" s="596"/>
      <c r="G5596" s="65">
        <v>0</v>
      </c>
      <c r="H5596" s="591" t="s">
        <v>280</v>
      </c>
      <c r="I5596" s="591" t="s">
        <v>280</v>
      </c>
    </row>
    <row r="5597" spans="1:9">
      <c r="A5597" s="577"/>
      <c r="B5597" s="65">
        <v>5795</v>
      </c>
      <c r="C5597" s="579" t="s">
        <v>281</v>
      </c>
      <c r="D5597" s="579"/>
      <c r="E5597" s="583"/>
      <c r="F5597" s="596"/>
      <c r="G5597" s="65">
        <v>0</v>
      </c>
      <c r="H5597" s="591" t="s">
        <v>280</v>
      </c>
      <c r="I5597" s="591" t="s">
        <v>280</v>
      </c>
    </row>
    <row r="5598" spans="1:9">
      <c r="A5598" s="577"/>
      <c r="B5598" s="65">
        <v>5796</v>
      </c>
      <c r="C5598" s="579" t="s">
        <v>281</v>
      </c>
      <c r="D5598" s="579"/>
      <c r="E5598" s="583"/>
      <c r="F5598" s="596"/>
      <c r="G5598" s="65">
        <v>0</v>
      </c>
      <c r="H5598" s="591" t="s">
        <v>280</v>
      </c>
      <c r="I5598" s="591" t="s">
        <v>280</v>
      </c>
    </row>
    <row r="5599" spans="1:9">
      <c r="A5599" s="577"/>
      <c r="B5599" s="65">
        <v>5797</v>
      </c>
      <c r="C5599" s="579" t="s">
        <v>281</v>
      </c>
      <c r="D5599" s="579"/>
      <c r="E5599" s="583"/>
      <c r="F5599" s="596"/>
      <c r="G5599" s="65">
        <v>0</v>
      </c>
      <c r="H5599" s="591" t="s">
        <v>280</v>
      </c>
      <c r="I5599" s="591" t="s">
        <v>280</v>
      </c>
    </row>
    <row r="5600" spans="1:9">
      <c r="A5600" s="577"/>
      <c r="B5600" s="65">
        <v>5798</v>
      </c>
      <c r="C5600" s="579" t="s">
        <v>281</v>
      </c>
      <c r="D5600" s="579"/>
      <c r="E5600" s="583"/>
      <c r="F5600" s="596"/>
      <c r="G5600" s="65">
        <v>0</v>
      </c>
      <c r="H5600" s="591" t="s">
        <v>280</v>
      </c>
      <c r="I5600" s="591" t="s">
        <v>280</v>
      </c>
    </row>
    <row r="5601" spans="1:9">
      <c r="A5601" s="577"/>
      <c r="B5601" s="65">
        <v>5799</v>
      </c>
      <c r="C5601" s="579" t="s">
        <v>281</v>
      </c>
      <c r="D5601" s="579"/>
      <c r="E5601" s="583"/>
      <c r="F5601" s="596"/>
      <c r="G5601" s="65">
        <v>0</v>
      </c>
      <c r="H5601" s="591" t="s">
        <v>280</v>
      </c>
      <c r="I5601" s="591" t="s">
        <v>280</v>
      </c>
    </row>
    <row r="5602" spans="1:9">
      <c r="A5602" s="577"/>
      <c r="B5602" s="65">
        <v>5800</v>
      </c>
      <c r="C5602" s="579" t="s">
        <v>281</v>
      </c>
      <c r="D5602" s="579"/>
      <c r="E5602" s="583"/>
      <c r="F5602" s="596"/>
      <c r="G5602" s="65">
        <v>0</v>
      </c>
      <c r="H5602" s="591" t="s">
        <v>280</v>
      </c>
      <c r="I5602" s="591" t="s">
        <v>280</v>
      </c>
    </row>
    <row r="5603" spans="1:9">
      <c r="A5603" s="577"/>
      <c r="B5603" s="65">
        <v>5801</v>
      </c>
      <c r="C5603" s="579" t="s">
        <v>281</v>
      </c>
      <c r="D5603" s="579"/>
      <c r="E5603" s="583"/>
      <c r="F5603" s="596"/>
      <c r="G5603" s="65">
        <v>0</v>
      </c>
      <c r="H5603" s="591" t="s">
        <v>280</v>
      </c>
      <c r="I5603" s="591" t="s">
        <v>280</v>
      </c>
    </row>
    <row r="5604" spans="1:9">
      <c r="A5604" s="577"/>
      <c r="B5604" s="65">
        <v>5802</v>
      </c>
      <c r="C5604" s="579" t="s">
        <v>281</v>
      </c>
      <c r="D5604" s="579"/>
      <c r="E5604" s="583"/>
      <c r="F5604" s="596"/>
      <c r="G5604" s="65">
        <v>0</v>
      </c>
      <c r="H5604" s="591" t="s">
        <v>280</v>
      </c>
      <c r="I5604" s="591" t="s">
        <v>280</v>
      </c>
    </row>
    <row r="5605" spans="1:9">
      <c r="A5605" s="577"/>
      <c r="B5605" s="65">
        <v>5803</v>
      </c>
      <c r="C5605" s="579" t="s">
        <v>281</v>
      </c>
      <c r="D5605" s="579"/>
      <c r="E5605" s="583"/>
      <c r="F5605" s="596"/>
      <c r="G5605" s="65">
        <v>0</v>
      </c>
      <c r="H5605" s="591" t="s">
        <v>280</v>
      </c>
      <c r="I5605" s="591" t="s">
        <v>280</v>
      </c>
    </row>
    <row r="5606" spans="1:9">
      <c r="A5606" s="577"/>
      <c r="B5606" s="65">
        <v>5804</v>
      </c>
      <c r="C5606" s="579" t="s">
        <v>281</v>
      </c>
      <c r="D5606" s="579"/>
      <c r="E5606" s="583"/>
      <c r="F5606" s="596"/>
      <c r="G5606" s="65">
        <v>0</v>
      </c>
      <c r="H5606" s="591" t="s">
        <v>280</v>
      </c>
      <c r="I5606" s="591" t="s">
        <v>280</v>
      </c>
    </row>
    <row r="5607" spans="1:9">
      <c r="A5607" s="577"/>
      <c r="B5607" s="65">
        <v>5805</v>
      </c>
      <c r="C5607" s="579" t="s">
        <v>281</v>
      </c>
      <c r="D5607" s="579"/>
      <c r="E5607" s="583"/>
      <c r="F5607" s="596"/>
      <c r="G5607" s="65">
        <v>0</v>
      </c>
      <c r="H5607" s="591" t="s">
        <v>280</v>
      </c>
      <c r="I5607" s="591" t="s">
        <v>280</v>
      </c>
    </row>
    <row r="5608" spans="1:9">
      <c r="A5608" s="577"/>
      <c r="B5608" s="65">
        <v>5806</v>
      </c>
      <c r="C5608" s="579" t="s">
        <v>281</v>
      </c>
      <c r="D5608" s="579"/>
      <c r="E5608" s="583"/>
      <c r="F5608" s="596"/>
      <c r="G5608" s="65">
        <v>0</v>
      </c>
      <c r="H5608" s="591" t="s">
        <v>280</v>
      </c>
      <c r="I5608" s="591" t="s">
        <v>280</v>
      </c>
    </row>
    <row r="5609" spans="1:9">
      <c r="A5609" s="577"/>
      <c r="B5609" s="65">
        <v>5807</v>
      </c>
      <c r="C5609" s="579" t="s">
        <v>281</v>
      </c>
      <c r="D5609" s="579"/>
      <c r="E5609" s="583"/>
      <c r="F5609" s="596"/>
      <c r="G5609" s="65">
        <v>0</v>
      </c>
      <c r="H5609" s="591" t="s">
        <v>280</v>
      </c>
      <c r="I5609" s="591" t="s">
        <v>280</v>
      </c>
    </row>
    <row r="5610" spans="1:9">
      <c r="A5610" s="577"/>
      <c r="B5610" s="65">
        <v>5808</v>
      </c>
      <c r="C5610" s="579" t="s">
        <v>281</v>
      </c>
      <c r="D5610" s="579"/>
      <c r="E5610" s="583"/>
      <c r="F5610" s="596"/>
      <c r="G5610" s="65">
        <v>0</v>
      </c>
      <c r="H5610" s="591" t="s">
        <v>280</v>
      </c>
      <c r="I5610" s="591" t="s">
        <v>280</v>
      </c>
    </row>
    <row r="5611" spans="1:9">
      <c r="A5611" s="577"/>
      <c r="B5611" s="65">
        <v>5809</v>
      </c>
      <c r="C5611" s="579" t="s">
        <v>281</v>
      </c>
      <c r="D5611" s="579"/>
      <c r="E5611" s="583"/>
      <c r="F5611" s="596"/>
      <c r="G5611" s="65">
        <v>0</v>
      </c>
      <c r="H5611" s="591" t="s">
        <v>280</v>
      </c>
      <c r="I5611" s="591" t="s">
        <v>280</v>
      </c>
    </row>
    <row r="5612" spans="1:9">
      <c r="A5612" s="577"/>
      <c r="B5612" s="65">
        <v>5810</v>
      </c>
      <c r="C5612" s="579" t="s">
        <v>281</v>
      </c>
      <c r="D5612" s="579"/>
      <c r="E5612" s="583"/>
      <c r="F5612" s="596"/>
      <c r="G5612" s="65">
        <v>0</v>
      </c>
      <c r="H5612" s="591" t="s">
        <v>280</v>
      </c>
      <c r="I5612" s="591" t="s">
        <v>280</v>
      </c>
    </row>
    <row r="5613" spans="1:9">
      <c r="A5613" s="577"/>
      <c r="B5613" s="65">
        <v>5811</v>
      </c>
      <c r="C5613" s="579" t="s">
        <v>281</v>
      </c>
      <c r="D5613" s="579"/>
      <c r="E5613" s="583"/>
      <c r="F5613" s="596"/>
      <c r="G5613" s="65">
        <v>0</v>
      </c>
      <c r="H5613" s="591" t="s">
        <v>280</v>
      </c>
      <c r="I5613" s="591" t="s">
        <v>280</v>
      </c>
    </row>
    <row r="5614" spans="1:9">
      <c r="A5614" s="577"/>
      <c r="B5614" s="65">
        <v>5812</v>
      </c>
      <c r="C5614" s="579" t="s">
        <v>281</v>
      </c>
      <c r="D5614" s="579"/>
      <c r="E5614" s="583"/>
      <c r="F5614" s="596"/>
      <c r="G5614" s="65">
        <v>0</v>
      </c>
      <c r="H5614" s="591" t="s">
        <v>280</v>
      </c>
      <c r="I5614" s="591" t="s">
        <v>280</v>
      </c>
    </row>
    <row r="5615" spans="1:9">
      <c r="A5615" s="577"/>
      <c r="B5615" s="65">
        <v>5813</v>
      </c>
      <c r="C5615" s="579" t="s">
        <v>281</v>
      </c>
      <c r="D5615" s="579"/>
      <c r="E5615" s="583"/>
      <c r="F5615" s="596"/>
      <c r="G5615" s="65">
        <v>0</v>
      </c>
      <c r="H5615" s="591" t="s">
        <v>280</v>
      </c>
      <c r="I5615" s="591" t="s">
        <v>280</v>
      </c>
    </row>
    <row r="5616" spans="1:9">
      <c r="A5616" s="577"/>
      <c r="B5616" s="65">
        <v>5814</v>
      </c>
      <c r="C5616" s="579" t="s">
        <v>281</v>
      </c>
      <c r="D5616" s="579"/>
      <c r="E5616" s="583"/>
      <c r="F5616" s="596"/>
      <c r="G5616" s="65">
        <v>0</v>
      </c>
      <c r="H5616" s="591" t="s">
        <v>280</v>
      </c>
      <c r="I5616" s="591" t="s">
        <v>280</v>
      </c>
    </row>
    <row r="5617" spans="1:9">
      <c r="A5617" s="577"/>
      <c r="B5617" s="65">
        <v>5815</v>
      </c>
      <c r="C5617" s="579" t="s">
        <v>281</v>
      </c>
      <c r="D5617" s="579"/>
      <c r="E5617" s="583"/>
      <c r="F5617" s="596"/>
      <c r="G5617" s="65">
        <v>0</v>
      </c>
      <c r="H5617" s="591" t="s">
        <v>280</v>
      </c>
      <c r="I5617" s="591" t="s">
        <v>280</v>
      </c>
    </row>
    <row r="5618" spans="1:9">
      <c r="A5618" s="577"/>
      <c r="B5618" s="65">
        <v>5816</v>
      </c>
      <c r="C5618" s="579" t="s">
        <v>281</v>
      </c>
      <c r="D5618" s="579"/>
      <c r="E5618" s="583"/>
      <c r="F5618" s="596"/>
      <c r="G5618" s="65">
        <v>0</v>
      </c>
      <c r="H5618" s="591" t="s">
        <v>280</v>
      </c>
      <c r="I5618" s="591" t="s">
        <v>280</v>
      </c>
    </row>
    <row r="5619" spans="1:9">
      <c r="A5619" s="577"/>
      <c r="B5619" s="65">
        <v>5817</v>
      </c>
      <c r="C5619" s="579" t="s">
        <v>281</v>
      </c>
      <c r="D5619" s="579"/>
      <c r="E5619" s="583"/>
      <c r="F5619" s="596"/>
      <c r="G5619" s="65">
        <v>0</v>
      </c>
      <c r="H5619" s="591" t="s">
        <v>280</v>
      </c>
      <c r="I5619" s="591" t="s">
        <v>280</v>
      </c>
    </row>
    <row r="5620" spans="1:9">
      <c r="A5620" s="577"/>
      <c r="B5620" s="65">
        <v>5818</v>
      </c>
      <c r="C5620" s="579" t="s">
        <v>281</v>
      </c>
      <c r="D5620" s="579"/>
      <c r="E5620" s="583"/>
      <c r="F5620" s="596"/>
      <c r="G5620" s="65">
        <v>0</v>
      </c>
      <c r="H5620" s="591" t="s">
        <v>280</v>
      </c>
      <c r="I5620" s="591" t="s">
        <v>280</v>
      </c>
    </row>
    <row r="5621" spans="1:9">
      <c r="A5621" s="577"/>
      <c r="B5621" s="65">
        <v>5819</v>
      </c>
      <c r="C5621" s="579" t="s">
        <v>281</v>
      </c>
      <c r="D5621" s="579"/>
      <c r="E5621" s="583"/>
      <c r="F5621" s="596"/>
      <c r="G5621" s="65">
        <v>0</v>
      </c>
      <c r="H5621" s="591" t="s">
        <v>280</v>
      </c>
      <c r="I5621" s="591" t="s">
        <v>280</v>
      </c>
    </row>
    <row r="5622" spans="1:9">
      <c r="A5622" s="577"/>
      <c r="B5622" s="65">
        <v>5820</v>
      </c>
      <c r="C5622" s="579" t="s">
        <v>281</v>
      </c>
      <c r="D5622" s="579"/>
      <c r="E5622" s="583"/>
      <c r="F5622" s="596"/>
      <c r="G5622" s="65">
        <v>0</v>
      </c>
      <c r="H5622" s="591" t="s">
        <v>280</v>
      </c>
      <c r="I5622" s="591" t="s">
        <v>280</v>
      </c>
    </row>
    <row r="5623" spans="1:9">
      <c r="A5623" s="577"/>
      <c r="B5623" s="65">
        <v>5821</v>
      </c>
      <c r="C5623" s="579" t="s">
        <v>281</v>
      </c>
      <c r="D5623" s="579"/>
      <c r="E5623" s="583"/>
      <c r="F5623" s="596"/>
      <c r="G5623" s="65">
        <v>0</v>
      </c>
      <c r="H5623" s="591" t="s">
        <v>280</v>
      </c>
      <c r="I5623" s="591" t="s">
        <v>280</v>
      </c>
    </row>
    <row r="5624" spans="1:9">
      <c r="A5624" s="577"/>
      <c r="B5624" s="65">
        <v>5822</v>
      </c>
      <c r="C5624" s="579" t="s">
        <v>281</v>
      </c>
      <c r="D5624" s="579"/>
      <c r="E5624" s="583"/>
      <c r="F5624" s="596"/>
      <c r="G5624" s="65">
        <v>0</v>
      </c>
      <c r="H5624" s="591" t="s">
        <v>280</v>
      </c>
      <c r="I5624" s="591" t="s">
        <v>280</v>
      </c>
    </row>
    <row r="5625" spans="1:9">
      <c r="A5625" s="577"/>
      <c r="B5625" s="65">
        <v>5823</v>
      </c>
      <c r="C5625" s="579" t="s">
        <v>281</v>
      </c>
      <c r="D5625" s="579"/>
      <c r="E5625" s="583"/>
      <c r="F5625" s="596"/>
      <c r="G5625" s="65">
        <v>0</v>
      </c>
      <c r="H5625" s="591" t="s">
        <v>280</v>
      </c>
      <c r="I5625" s="591" t="s">
        <v>280</v>
      </c>
    </row>
    <row r="5626" spans="1:9">
      <c r="A5626" s="577"/>
      <c r="B5626" s="65">
        <v>5824</v>
      </c>
      <c r="C5626" s="579" t="s">
        <v>281</v>
      </c>
      <c r="D5626" s="579"/>
      <c r="E5626" s="583"/>
      <c r="F5626" s="596"/>
      <c r="G5626" s="65">
        <v>0</v>
      </c>
      <c r="H5626" s="591" t="s">
        <v>280</v>
      </c>
      <c r="I5626" s="591" t="s">
        <v>280</v>
      </c>
    </row>
    <row r="5627" spans="1:9">
      <c r="A5627" s="577"/>
      <c r="B5627" s="65">
        <v>5825</v>
      </c>
      <c r="C5627" s="579" t="s">
        <v>281</v>
      </c>
      <c r="D5627" s="579"/>
      <c r="E5627" s="583"/>
      <c r="F5627" s="596"/>
      <c r="G5627" s="65">
        <v>0</v>
      </c>
      <c r="H5627" s="591" t="s">
        <v>280</v>
      </c>
      <c r="I5627" s="591" t="s">
        <v>280</v>
      </c>
    </row>
    <row r="5628" spans="1:9">
      <c r="A5628" s="577"/>
      <c r="B5628" s="65">
        <v>5826</v>
      </c>
      <c r="C5628" s="579" t="s">
        <v>281</v>
      </c>
      <c r="D5628" s="579"/>
      <c r="E5628" s="583"/>
      <c r="F5628" s="596"/>
      <c r="G5628" s="65">
        <v>0</v>
      </c>
      <c r="H5628" s="591" t="s">
        <v>280</v>
      </c>
      <c r="I5628" s="591" t="s">
        <v>280</v>
      </c>
    </row>
    <row r="5629" spans="1:9">
      <c r="A5629" s="577"/>
      <c r="B5629" s="65">
        <v>5827</v>
      </c>
      <c r="C5629" s="579" t="s">
        <v>281</v>
      </c>
      <c r="D5629" s="579"/>
      <c r="E5629" s="583"/>
      <c r="F5629" s="596"/>
      <c r="G5629" s="65">
        <v>0</v>
      </c>
      <c r="H5629" s="591" t="s">
        <v>280</v>
      </c>
      <c r="I5629" s="591" t="s">
        <v>280</v>
      </c>
    </row>
    <row r="5630" spans="1:9">
      <c r="A5630" s="577"/>
      <c r="B5630" s="65">
        <v>5828</v>
      </c>
      <c r="C5630" s="579" t="s">
        <v>281</v>
      </c>
      <c r="D5630" s="579"/>
      <c r="E5630" s="583"/>
      <c r="F5630" s="596"/>
      <c r="G5630" s="65">
        <v>0</v>
      </c>
      <c r="H5630" s="591" t="s">
        <v>280</v>
      </c>
      <c r="I5630" s="591" t="s">
        <v>280</v>
      </c>
    </row>
    <row r="5631" spans="1:9">
      <c r="A5631" s="577"/>
      <c r="B5631" s="65">
        <v>5829</v>
      </c>
      <c r="C5631" s="579" t="s">
        <v>281</v>
      </c>
      <c r="D5631" s="579"/>
      <c r="E5631" s="583"/>
      <c r="F5631" s="596"/>
      <c r="G5631" s="65">
        <v>0</v>
      </c>
      <c r="H5631" s="591" t="s">
        <v>280</v>
      </c>
      <c r="I5631" s="591" t="s">
        <v>280</v>
      </c>
    </row>
    <row r="5632" spans="1:9">
      <c r="A5632" s="577"/>
      <c r="B5632" s="65">
        <v>5830</v>
      </c>
      <c r="C5632" s="579" t="s">
        <v>281</v>
      </c>
      <c r="D5632" s="579"/>
      <c r="E5632" s="583"/>
      <c r="F5632" s="596"/>
      <c r="G5632" s="65">
        <v>0</v>
      </c>
      <c r="H5632" s="591" t="s">
        <v>280</v>
      </c>
      <c r="I5632" s="591" t="s">
        <v>280</v>
      </c>
    </row>
    <row r="5633" spans="1:9">
      <c r="A5633" s="577"/>
      <c r="B5633" s="65">
        <v>5831</v>
      </c>
      <c r="C5633" s="579" t="s">
        <v>281</v>
      </c>
      <c r="D5633" s="579"/>
      <c r="E5633" s="583"/>
      <c r="F5633" s="596"/>
      <c r="G5633" s="65">
        <v>0</v>
      </c>
      <c r="H5633" s="591" t="s">
        <v>280</v>
      </c>
      <c r="I5633" s="591" t="s">
        <v>280</v>
      </c>
    </row>
    <row r="5634" spans="1:9">
      <c r="A5634" s="577"/>
      <c r="B5634" s="65">
        <v>5832</v>
      </c>
      <c r="C5634" s="579" t="s">
        <v>281</v>
      </c>
      <c r="D5634" s="579"/>
      <c r="E5634" s="583"/>
      <c r="F5634" s="596"/>
      <c r="G5634" s="65">
        <v>0</v>
      </c>
      <c r="H5634" s="591" t="s">
        <v>280</v>
      </c>
      <c r="I5634" s="591" t="s">
        <v>280</v>
      </c>
    </row>
    <row r="5635" spans="1:9">
      <c r="A5635" s="577"/>
      <c r="B5635" s="65">
        <v>5833</v>
      </c>
      <c r="C5635" s="579" t="s">
        <v>281</v>
      </c>
      <c r="D5635" s="579"/>
      <c r="E5635" s="583"/>
      <c r="F5635" s="596"/>
      <c r="G5635" s="65">
        <v>0</v>
      </c>
      <c r="H5635" s="591" t="s">
        <v>280</v>
      </c>
      <c r="I5635" s="591" t="s">
        <v>280</v>
      </c>
    </row>
    <row r="5636" spans="1:9">
      <c r="A5636" s="577"/>
      <c r="B5636" s="65">
        <v>5834</v>
      </c>
      <c r="C5636" s="579" t="s">
        <v>281</v>
      </c>
      <c r="D5636" s="579"/>
      <c r="E5636" s="583"/>
      <c r="F5636" s="596"/>
      <c r="G5636" s="65">
        <v>0</v>
      </c>
      <c r="H5636" s="591" t="s">
        <v>280</v>
      </c>
      <c r="I5636" s="591" t="s">
        <v>280</v>
      </c>
    </row>
    <row r="5637" spans="1:9">
      <c r="A5637" s="577"/>
      <c r="B5637" s="65">
        <v>5835</v>
      </c>
      <c r="C5637" s="579" t="s">
        <v>281</v>
      </c>
      <c r="D5637" s="579"/>
      <c r="E5637" s="583"/>
      <c r="F5637" s="596"/>
      <c r="G5637" s="65">
        <v>0</v>
      </c>
      <c r="H5637" s="591" t="s">
        <v>280</v>
      </c>
      <c r="I5637" s="591" t="s">
        <v>280</v>
      </c>
    </row>
    <row r="5638" spans="1:9">
      <c r="A5638" s="577"/>
      <c r="B5638" s="65">
        <v>5836</v>
      </c>
      <c r="C5638" s="579" t="s">
        <v>281</v>
      </c>
      <c r="D5638" s="579"/>
      <c r="E5638" s="583"/>
      <c r="F5638" s="596"/>
      <c r="G5638" s="65">
        <v>0</v>
      </c>
      <c r="H5638" s="591" t="s">
        <v>280</v>
      </c>
      <c r="I5638" s="591" t="s">
        <v>280</v>
      </c>
    </row>
    <row r="5639" spans="1:9">
      <c r="A5639" s="577"/>
      <c r="B5639" s="65">
        <v>5837</v>
      </c>
      <c r="C5639" s="579" t="s">
        <v>281</v>
      </c>
      <c r="D5639" s="579"/>
      <c r="E5639" s="583"/>
      <c r="F5639" s="596"/>
      <c r="G5639" s="65">
        <v>0</v>
      </c>
      <c r="H5639" s="591" t="s">
        <v>280</v>
      </c>
      <c r="I5639" s="591" t="s">
        <v>280</v>
      </c>
    </row>
    <row r="5640" spans="1:9">
      <c r="A5640" s="577"/>
      <c r="B5640" s="65">
        <v>5838</v>
      </c>
      <c r="C5640" s="579" t="s">
        <v>281</v>
      </c>
      <c r="D5640" s="579"/>
      <c r="E5640" s="583"/>
      <c r="F5640" s="596"/>
      <c r="G5640" s="65">
        <v>0</v>
      </c>
      <c r="H5640" s="591" t="s">
        <v>280</v>
      </c>
      <c r="I5640" s="591" t="s">
        <v>280</v>
      </c>
    </row>
    <row r="5641" spans="1:9">
      <c r="A5641" s="577"/>
      <c r="B5641" s="65">
        <v>5839</v>
      </c>
      <c r="C5641" s="579" t="s">
        <v>281</v>
      </c>
      <c r="D5641" s="579"/>
      <c r="E5641" s="583"/>
      <c r="F5641" s="596"/>
      <c r="G5641" s="65">
        <v>0</v>
      </c>
      <c r="H5641" s="591" t="s">
        <v>280</v>
      </c>
      <c r="I5641" s="591" t="s">
        <v>280</v>
      </c>
    </row>
    <row r="5642" spans="1:9">
      <c r="A5642" s="577"/>
      <c r="B5642" s="65">
        <v>5840</v>
      </c>
      <c r="C5642" s="579" t="s">
        <v>281</v>
      </c>
      <c r="D5642" s="579"/>
      <c r="E5642" s="583"/>
      <c r="F5642" s="596"/>
      <c r="G5642" s="65">
        <v>0</v>
      </c>
      <c r="H5642" s="591" t="s">
        <v>280</v>
      </c>
      <c r="I5642" s="591" t="s">
        <v>280</v>
      </c>
    </row>
    <row r="5643" spans="1:9">
      <c r="A5643" s="577"/>
      <c r="B5643" s="65">
        <v>5841</v>
      </c>
      <c r="C5643" s="579" t="s">
        <v>281</v>
      </c>
      <c r="D5643" s="579"/>
      <c r="E5643" s="583"/>
      <c r="F5643" s="596"/>
      <c r="G5643" s="65">
        <v>0</v>
      </c>
      <c r="H5643" s="591" t="s">
        <v>280</v>
      </c>
      <c r="I5643" s="591" t="s">
        <v>280</v>
      </c>
    </row>
    <row r="5644" spans="1:9">
      <c r="A5644" s="577"/>
      <c r="B5644" s="65">
        <v>5842</v>
      </c>
      <c r="C5644" s="579" t="s">
        <v>281</v>
      </c>
      <c r="D5644" s="579"/>
      <c r="E5644" s="583"/>
      <c r="F5644" s="596"/>
      <c r="G5644" s="65">
        <v>0</v>
      </c>
      <c r="H5644" s="591" t="s">
        <v>280</v>
      </c>
      <c r="I5644" s="591" t="s">
        <v>280</v>
      </c>
    </row>
    <row r="5645" spans="1:9">
      <c r="A5645" s="577"/>
      <c r="B5645" s="65">
        <v>5843</v>
      </c>
      <c r="C5645" s="579" t="s">
        <v>281</v>
      </c>
      <c r="D5645" s="579"/>
      <c r="E5645" s="583"/>
      <c r="F5645" s="596"/>
      <c r="G5645" s="65">
        <v>0</v>
      </c>
      <c r="H5645" s="591" t="s">
        <v>280</v>
      </c>
      <c r="I5645" s="591" t="s">
        <v>280</v>
      </c>
    </row>
    <row r="5646" spans="1:9">
      <c r="A5646" s="577"/>
      <c r="B5646" s="65">
        <v>5844</v>
      </c>
      <c r="C5646" s="579" t="s">
        <v>281</v>
      </c>
      <c r="D5646" s="579"/>
      <c r="E5646" s="583"/>
      <c r="F5646" s="596"/>
      <c r="G5646" s="65">
        <v>0</v>
      </c>
      <c r="H5646" s="591" t="s">
        <v>280</v>
      </c>
      <c r="I5646" s="591" t="s">
        <v>280</v>
      </c>
    </row>
    <row r="5647" spans="1:9">
      <c r="A5647" s="577"/>
      <c r="B5647" s="65">
        <v>5845</v>
      </c>
      <c r="C5647" s="579" t="s">
        <v>281</v>
      </c>
      <c r="D5647" s="579"/>
      <c r="E5647" s="583"/>
      <c r="F5647" s="596"/>
      <c r="G5647" s="65">
        <v>0</v>
      </c>
      <c r="H5647" s="591" t="s">
        <v>280</v>
      </c>
      <c r="I5647" s="591" t="s">
        <v>280</v>
      </c>
    </row>
    <row r="5648" spans="1:9">
      <c r="A5648" s="577"/>
      <c r="B5648" s="65">
        <v>5846</v>
      </c>
      <c r="C5648" s="579" t="s">
        <v>281</v>
      </c>
      <c r="D5648" s="579"/>
      <c r="E5648" s="583"/>
      <c r="F5648" s="596"/>
      <c r="G5648" s="65">
        <v>0</v>
      </c>
      <c r="H5648" s="591" t="s">
        <v>280</v>
      </c>
      <c r="I5648" s="591" t="s">
        <v>280</v>
      </c>
    </row>
    <row r="5649" spans="1:9">
      <c r="A5649" s="577"/>
      <c r="B5649" s="65">
        <v>5847</v>
      </c>
      <c r="C5649" s="579" t="s">
        <v>281</v>
      </c>
      <c r="D5649" s="579"/>
      <c r="E5649" s="583"/>
      <c r="F5649" s="596"/>
      <c r="G5649" s="65">
        <v>0</v>
      </c>
      <c r="H5649" s="591" t="s">
        <v>280</v>
      </c>
      <c r="I5649" s="591" t="s">
        <v>280</v>
      </c>
    </row>
    <row r="5650" spans="1:9">
      <c r="A5650" s="577"/>
      <c r="B5650" s="65">
        <v>5848</v>
      </c>
      <c r="C5650" s="579" t="s">
        <v>281</v>
      </c>
      <c r="D5650" s="579"/>
      <c r="E5650" s="583"/>
      <c r="F5650" s="596"/>
      <c r="G5650" s="65">
        <v>0</v>
      </c>
      <c r="H5650" s="591" t="s">
        <v>280</v>
      </c>
      <c r="I5650" s="591" t="s">
        <v>280</v>
      </c>
    </row>
    <row r="5651" spans="1:9">
      <c r="A5651" s="577"/>
      <c r="B5651" s="65">
        <v>5849</v>
      </c>
      <c r="C5651" s="579" t="s">
        <v>281</v>
      </c>
      <c r="D5651" s="579"/>
      <c r="E5651" s="583"/>
      <c r="F5651" s="596"/>
      <c r="G5651" s="65">
        <v>0</v>
      </c>
      <c r="H5651" s="591" t="s">
        <v>280</v>
      </c>
      <c r="I5651" s="591" t="s">
        <v>280</v>
      </c>
    </row>
    <row r="5652" spans="1:9">
      <c r="A5652" s="577"/>
      <c r="B5652" s="65">
        <v>5850</v>
      </c>
      <c r="C5652" s="579" t="s">
        <v>281</v>
      </c>
      <c r="D5652" s="579"/>
      <c r="E5652" s="583"/>
      <c r="F5652" s="596"/>
      <c r="G5652" s="65">
        <v>0</v>
      </c>
      <c r="H5652" s="591" t="s">
        <v>280</v>
      </c>
      <c r="I5652" s="591" t="s">
        <v>280</v>
      </c>
    </row>
    <row r="5653" spans="1:9">
      <c r="A5653" s="577"/>
      <c r="B5653" s="65">
        <v>5851</v>
      </c>
      <c r="C5653" s="579" t="s">
        <v>281</v>
      </c>
      <c r="D5653" s="579"/>
      <c r="E5653" s="583"/>
      <c r="F5653" s="596"/>
      <c r="G5653" s="65">
        <v>0</v>
      </c>
      <c r="H5653" s="591" t="s">
        <v>280</v>
      </c>
      <c r="I5653" s="591" t="s">
        <v>280</v>
      </c>
    </row>
    <row r="5654" spans="1:9">
      <c r="A5654" s="577"/>
      <c r="B5654" s="65">
        <v>5852</v>
      </c>
      <c r="C5654" s="579" t="s">
        <v>281</v>
      </c>
      <c r="D5654" s="579"/>
      <c r="E5654" s="583"/>
      <c r="F5654" s="596"/>
      <c r="G5654" s="65">
        <v>0</v>
      </c>
      <c r="H5654" s="591" t="s">
        <v>280</v>
      </c>
      <c r="I5654" s="591" t="s">
        <v>280</v>
      </c>
    </row>
    <row r="5655" spans="1:9">
      <c r="A5655" s="577"/>
      <c r="B5655" s="65">
        <v>5853</v>
      </c>
      <c r="C5655" s="579" t="s">
        <v>281</v>
      </c>
      <c r="D5655" s="579"/>
      <c r="E5655" s="583"/>
      <c r="F5655" s="596"/>
      <c r="G5655" s="65">
        <v>0</v>
      </c>
      <c r="H5655" s="591" t="s">
        <v>280</v>
      </c>
      <c r="I5655" s="591" t="s">
        <v>280</v>
      </c>
    </row>
    <row r="5656" spans="1:9">
      <c r="A5656" s="577"/>
      <c r="B5656" s="65">
        <v>5854</v>
      </c>
      <c r="C5656" s="579" t="s">
        <v>281</v>
      </c>
      <c r="D5656" s="579"/>
      <c r="E5656" s="583"/>
      <c r="F5656" s="596"/>
      <c r="G5656" s="65">
        <v>0</v>
      </c>
      <c r="H5656" s="591" t="s">
        <v>280</v>
      </c>
      <c r="I5656" s="591" t="s">
        <v>280</v>
      </c>
    </row>
    <row r="5657" spans="1:9">
      <c r="A5657" s="577"/>
      <c r="B5657" s="65">
        <v>5855</v>
      </c>
      <c r="C5657" s="579" t="s">
        <v>281</v>
      </c>
      <c r="D5657" s="579"/>
      <c r="E5657" s="583"/>
      <c r="F5657" s="596"/>
      <c r="G5657" s="65">
        <v>0</v>
      </c>
      <c r="H5657" s="591" t="s">
        <v>280</v>
      </c>
      <c r="I5657" s="591" t="s">
        <v>280</v>
      </c>
    </row>
    <row r="5658" spans="1:9">
      <c r="A5658" s="577"/>
      <c r="B5658" s="65">
        <v>5856</v>
      </c>
      <c r="C5658" s="579" t="s">
        <v>281</v>
      </c>
      <c r="D5658" s="579"/>
      <c r="E5658" s="583"/>
      <c r="F5658" s="596"/>
      <c r="G5658" s="65">
        <v>0</v>
      </c>
      <c r="H5658" s="591" t="s">
        <v>280</v>
      </c>
      <c r="I5658" s="591" t="s">
        <v>280</v>
      </c>
    </row>
    <row r="5659" spans="1:9">
      <c r="A5659" s="577"/>
      <c r="B5659" s="65">
        <v>5857</v>
      </c>
      <c r="C5659" s="579" t="s">
        <v>281</v>
      </c>
      <c r="D5659" s="579"/>
      <c r="E5659" s="583"/>
      <c r="F5659" s="596"/>
      <c r="G5659" s="65">
        <v>0</v>
      </c>
      <c r="H5659" s="591" t="s">
        <v>280</v>
      </c>
      <c r="I5659" s="591" t="s">
        <v>280</v>
      </c>
    </row>
    <row r="5660" spans="1:9">
      <c r="A5660" s="577"/>
      <c r="B5660" s="65">
        <v>5858</v>
      </c>
      <c r="C5660" s="579" t="s">
        <v>281</v>
      </c>
      <c r="D5660" s="579"/>
      <c r="E5660" s="583"/>
      <c r="F5660" s="596"/>
      <c r="G5660" s="65">
        <v>0</v>
      </c>
      <c r="H5660" s="591" t="s">
        <v>280</v>
      </c>
      <c r="I5660" s="591" t="s">
        <v>280</v>
      </c>
    </row>
    <row r="5661" spans="1:9">
      <c r="A5661" s="577"/>
      <c r="B5661" s="65">
        <v>5859</v>
      </c>
      <c r="C5661" s="579" t="s">
        <v>281</v>
      </c>
      <c r="D5661" s="579"/>
      <c r="E5661" s="583"/>
      <c r="F5661" s="596"/>
      <c r="G5661" s="65">
        <v>0</v>
      </c>
      <c r="H5661" s="591" t="s">
        <v>280</v>
      </c>
      <c r="I5661" s="591" t="s">
        <v>280</v>
      </c>
    </row>
    <row r="5662" spans="1:9">
      <c r="A5662" s="577"/>
      <c r="B5662" s="65">
        <v>5860</v>
      </c>
      <c r="C5662" s="579" t="s">
        <v>281</v>
      </c>
      <c r="D5662" s="579"/>
      <c r="E5662" s="583"/>
      <c r="F5662" s="596"/>
      <c r="G5662" s="65">
        <v>0</v>
      </c>
      <c r="H5662" s="591" t="s">
        <v>280</v>
      </c>
      <c r="I5662" s="591" t="s">
        <v>280</v>
      </c>
    </row>
    <row r="5663" spans="1:9">
      <c r="A5663" s="577"/>
      <c r="B5663" s="65">
        <v>5861</v>
      </c>
      <c r="C5663" s="579" t="s">
        <v>281</v>
      </c>
      <c r="D5663" s="579"/>
      <c r="E5663" s="583"/>
      <c r="F5663" s="596"/>
      <c r="G5663" s="65">
        <v>0</v>
      </c>
      <c r="H5663" s="591" t="s">
        <v>280</v>
      </c>
      <c r="I5663" s="591" t="s">
        <v>280</v>
      </c>
    </row>
    <row r="5664" spans="1:9">
      <c r="A5664" s="577"/>
      <c r="B5664" s="65">
        <v>5862</v>
      </c>
      <c r="C5664" s="579" t="s">
        <v>281</v>
      </c>
      <c r="D5664" s="579"/>
      <c r="E5664" s="583"/>
      <c r="F5664" s="596"/>
      <c r="G5664" s="65">
        <v>0</v>
      </c>
      <c r="H5664" s="591" t="s">
        <v>280</v>
      </c>
      <c r="I5664" s="591" t="s">
        <v>280</v>
      </c>
    </row>
    <row r="5665" spans="1:9">
      <c r="A5665" s="577"/>
      <c r="B5665" s="65">
        <v>5863</v>
      </c>
      <c r="C5665" s="579" t="s">
        <v>281</v>
      </c>
      <c r="D5665" s="579"/>
      <c r="E5665" s="583"/>
      <c r="F5665" s="596"/>
      <c r="G5665" s="65">
        <v>0</v>
      </c>
      <c r="H5665" s="591" t="s">
        <v>280</v>
      </c>
      <c r="I5665" s="591" t="s">
        <v>280</v>
      </c>
    </row>
    <row r="5666" spans="1:9">
      <c r="A5666" s="577"/>
      <c r="B5666" s="65">
        <v>5864</v>
      </c>
      <c r="C5666" s="579" t="s">
        <v>281</v>
      </c>
      <c r="D5666" s="579"/>
      <c r="E5666" s="583"/>
      <c r="F5666" s="596"/>
      <c r="G5666" s="65">
        <v>0</v>
      </c>
      <c r="H5666" s="591" t="s">
        <v>280</v>
      </c>
      <c r="I5666" s="591" t="s">
        <v>280</v>
      </c>
    </row>
    <row r="5667" spans="1:9">
      <c r="A5667" s="577"/>
      <c r="B5667" s="65">
        <v>5865</v>
      </c>
      <c r="C5667" s="579" t="s">
        <v>281</v>
      </c>
      <c r="D5667" s="579"/>
      <c r="E5667" s="583"/>
      <c r="F5667" s="596"/>
      <c r="G5667" s="65">
        <v>0</v>
      </c>
      <c r="H5667" s="591" t="s">
        <v>280</v>
      </c>
      <c r="I5667" s="591" t="s">
        <v>280</v>
      </c>
    </row>
    <row r="5668" spans="1:9">
      <c r="A5668" s="577"/>
      <c r="B5668" s="65">
        <v>5866</v>
      </c>
      <c r="C5668" s="579" t="s">
        <v>281</v>
      </c>
      <c r="D5668" s="579"/>
      <c r="E5668" s="583"/>
      <c r="F5668" s="596"/>
      <c r="G5668" s="65">
        <v>0</v>
      </c>
      <c r="H5668" s="591" t="s">
        <v>280</v>
      </c>
      <c r="I5668" s="591" t="s">
        <v>280</v>
      </c>
    </row>
    <row r="5669" spans="1:9">
      <c r="A5669" s="577"/>
      <c r="B5669" s="65">
        <v>5867</v>
      </c>
      <c r="C5669" s="579" t="s">
        <v>281</v>
      </c>
      <c r="D5669" s="579"/>
      <c r="E5669" s="583"/>
      <c r="F5669" s="596"/>
      <c r="G5669" s="65">
        <v>0</v>
      </c>
      <c r="H5669" s="591" t="s">
        <v>280</v>
      </c>
      <c r="I5669" s="591" t="s">
        <v>280</v>
      </c>
    </row>
    <row r="5670" spans="1:9">
      <c r="A5670" s="577"/>
      <c r="B5670" s="65">
        <v>5868</v>
      </c>
      <c r="C5670" s="579" t="s">
        <v>281</v>
      </c>
      <c r="D5670" s="579"/>
      <c r="E5670" s="583"/>
      <c r="F5670" s="596"/>
      <c r="G5670" s="65">
        <v>0</v>
      </c>
      <c r="H5670" s="591" t="s">
        <v>280</v>
      </c>
      <c r="I5670" s="591" t="s">
        <v>280</v>
      </c>
    </row>
    <row r="5671" spans="1:9">
      <c r="A5671" s="577"/>
      <c r="B5671" s="65">
        <v>5869</v>
      </c>
      <c r="C5671" s="579" t="s">
        <v>281</v>
      </c>
      <c r="D5671" s="579"/>
      <c r="E5671" s="583"/>
      <c r="F5671" s="596"/>
      <c r="G5671" s="65">
        <v>0</v>
      </c>
      <c r="H5671" s="591" t="s">
        <v>280</v>
      </c>
      <c r="I5671" s="591" t="s">
        <v>280</v>
      </c>
    </row>
    <row r="5672" spans="1:9">
      <c r="A5672" s="577"/>
      <c r="B5672" s="65">
        <v>5870</v>
      </c>
      <c r="C5672" s="579" t="s">
        <v>281</v>
      </c>
      <c r="D5672" s="579"/>
      <c r="E5672" s="583"/>
      <c r="F5672" s="596"/>
      <c r="G5672" s="65">
        <v>0</v>
      </c>
      <c r="H5672" s="591" t="s">
        <v>280</v>
      </c>
      <c r="I5672" s="591" t="s">
        <v>280</v>
      </c>
    </row>
    <row r="5673" spans="1:9">
      <c r="A5673" s="577"/>
      <c r="B5673" s="65">
        <v>5871</v>
      </c>
      <c r="C5673" s="579" t="s">
        <v>281</v>
      </c>
      <c r="D5673" s="579"/>
      <c r="E5673" s="583"/>
      <c r="F5673" s="596"/>
      <c r="G5673" s="65">
        <v>0</v>
      </c>
      <c r="H5673" s="591" t="s">
        <v>280</v>
      </c>
      <c r="I5673" s="591" t="s">
        <v>280</v>
      </c>
    </row>
    <row r="5674" spans="1:9">
      <c r="A5674" s="577"/>
      <c r="B5674" s="65">
        <v>5872</v>
      </c>
      <c r="C5674" s="579" t="s">
        <v>281</v>
      </c>
      <c r="D5674" s="579"/>
      <c r="E5674" s="583"/>
      <c r="F5674" s="596"/>
      <c r="G5674" s="65">
        <v>0</v>
      </c>
      <c r="H5674" s="591" t="s">
        <v>280</v>
      </c>
      <c r="I5674" s="591" t="s">
        <v>280</v>
      </c>
    </row>
    <row r="5675" spans="1:9">
      <c r="A5675" s="577"/>
      <c r="B5675" s="65">
        <v>5873</v>
      </c>
      <c r="C5675" s="579" t="s">
        <v>281</v>
      </c>
      <c r="D5675" s="579"/>
      <c r="E5675" s="583"/>
      <c r="F5675" s="596"/>
      <c r="G5675" s="65">
        <v>0</v>
      </c>
      <c r="H5675" s="591" t="s">
        <v>280</v>
      </c>
      <c r="I5675" s="591" t="s">
        <v>280</v>
      </c>
    </row>
    <row r="5676" spans="1:9">
      <c r="A5676" s="577"/>
      <c r="B5676" s="65">
        <v>5874</v>
      </c>
      <c r="C5676" s="579" t="s">
        <v>281</v>
      </c>
      <c r="D5676" s="579"/>
      <c r="E5676" s="583"/>
      <c r="F5676" s="596"/>
      <c r="G5676" s="65">
        <v>0</v>
      </c>
      <c r="H5676" s="591" t="s">
        <v>280</v>
      </c>
      <c r="I5676" s="591" t="s">
        <v>280</v>
      </c>
    </row>
    <row r="5677" spans="1:9">
      <c r="A5677" s="577"/>
      <c r="B5677" s="65">
        <v>5875</v>
      </c>
      <c r="C5677" s="579" t="s">
        <v>281</v>
      </c>
      <c r="D5677" s="579"/>
      <c r="E5677" s="583"/>
      <c r="F5677" s="596"/>
      <c r="G5677" s="65">
        <v>0</v>
      </c>
      <c r="H5677" s="591" t="s">
        <v>280</v>
      </c>
      <c r="I5677" s="591" t="s">
        <v>280</v>
      </c>
    </row>
    <row r="5678" spans="1:9">
      <c r="A5678" s="577"/>
      <c r="B5678" s="65">
        <v>5876</v>
      </c>
      <c r="C5678" s="579" t="s">
        <v>281</v>
      </c>
      <c r="D5678" s="579"/>
      <c r="E5678" s="583"/>
      <c r="F5678" s="596"/>
      <c r="G5678" s="65">
        <v>0</v>
      </c>
      <c r="H5678" s="591" t="s">
        <v>280</v>
      </c>
      <c r="I5678" s="591" t="s">
        <v>280</v>
      </c>
    </row>
    <row r="5679" spans="1:9">
      <c r="A5679" s="577"/>
      <c r="B5679" s="65">
        <v>5877</v>
      </c>
      <c r="C5679" s="579" t="s">
        <v>281</v>
      </c>
      <c r="D5679" s="579"/>
      <c r="E5679" s="583"/>
      <c r="F5679" s="596"/>
      <c r="G5679" s="65">
        <v>0</v>
      </c>
      <c r="H5679" s="591" t="s">
        <v>280</v>
      </c>
      <c r="I5679" s="591" t="s">
        <v>280</v>
      </c>
    </row>
    <row r="5680" spans="1:9">
      <c r="A5680" s="577"/>
      <c r="B5680" s="65">
        <v>5878</v>
      </c>
      <c r="C5680" s="579" t="s">
        <v>281</v>
      </c>
      <c r="D5680" s="579"/>
      <c r="E5680" s="583"/>
      <c r="F5680" s="596"/>
      <c r="G5680" s="65">
        <v>0</v>
      </c>
      <c r="H5680" s="591" t="s">
        <v>280</v>
      </c>
      <c r="I5680" s="591" t="s">
        <v>280</v>
      </c>
    </row>
    <row r="5681" spans="1:9">
      <c r="A5681" s="577"/>
      <c r="B5681" s="65">
        <v>5879</v>
      </c>
      <c r="C5681" s="579" t="s">
        <v>281</v>
      </c>
      <c r="D5681" s="579"/>
      <c r="E5681" s="583"/>
      <c r="F5681" s="596"/>
      <c r="G5681" s="65">
        <v>0</v>
      </c>
      <c r="H5681" s="591" t="s">
        <v>280</v>
      </c>
      <c r="I5681" s="591" t="s">
        <v>280</v>
      </c>
    </row>
    <row r="5682" spans="1:9">
      <c r="A5682" s="577"/>
      <c r="B5682" s="65">
        <v>5880</v>
      </c>
      <c r="C5682" s="579" t="s">
        <v>281</v>
      </c>
      <c r="D5682" s="579"/>
      <c r="E5682" s="583"/>
      <c r="F5682" s="596"/>
      <c r="G5682" s="65">
        <v>0</v>
      </c>
      <c r="H5682" s="591" t="s">
        <v>280</v>
      </c>
      <c r="I5682" s="591" t="s">
        <v>280</v>
      </c>
    </row>
    <row r="5683" spans="1:9">
      <c r="A5683" s="577"/>
      <c r="B5683" s="65">
        <v>5881</v>
      </c>
      <c r="C5683" s="579" t="s">
        <v>281</v>
      </c>
      <c r="D5683" s="579"/>
      <c r="E5683" s="583"/>
      <c r="F5683" s="596"/>
      <c r="G5683" s="65">
        <v>0</v>
      </c>
      <c r="H5683" s="591" t="s">
        <v>280</v>
      </c>
      <c r="I5683" s="591" t="s">
        <v>280</v>
      </c>
    </row>
    <row r="5684" spans="1:9">
      <c r="A5684" s="577"/>
      <c r="B5684" s="65">
        <v>5882</v>
      </c>
      <c r="C5684" s="579" t="s">
        <v>281</v>
      </c>
      <c r="D5684" s="579"/>
      <c r="E5684" s="583"/>
      <c r="F5684" s="596"/>
      <c r="G5684" s="65">
        <v>0</v>
      </c>
      <c r="H5684" s="591" t="s">
        <v>280</v>
      </c>
      <c r="I5684" s="591" t="s">
        <v>280</v>
      </c>
    </row>
    <row r="5685" spans="1:9">
      <c r="A5685" s="577"/>
      <c r="B5685" s="65">
        <v>5883</v>
      </c>
      <c r="C5685" s="579" t="s">
        <v>281</v>
      </c>
      <c r="D5685" s="579"/>
      <c r="E5685" s="583"/>
      <c r="F5685" s="596"/>
      <c r="G5685" s="65">
        <v>0</v>
      </c>
      <c r="H5685" s="591" t="s">
        <v>280</v>
      </c>
      <c r="I5685" s="591" t="s">
        <v>280</v>
      </c>
    </row>
    <row r="5686" spans="1:9">
      <c r="A5686" s="577"/>
      <c r="B5686" s="65">
        <v>5884</v>
      </c>
      <c r="C5686" s="579" t="s">
        <v>281</v>
      </c>
      <c r="D5686" s="579"/>
      <c r="E5686" s="583"/>
      <c r="F5686" s="596"/>
      <c r="G5686" s="65">
        <v>0</v>
      </c>
      <c r="H5686" s="591" t="s">
        <v>280</v>
      </c>
      <c r="I5686" s="591" t="s">
        <v>280</v>
      </c>
    </row>
    <row r="5687" spans="1:9">
      <c r="A5687" s="577"/>
      <c r="B5687" s="65">
        <v>5885</v>
      </c>
      <c r="C5687" s="579" t="s">
        <v>281</v>
      </c>
      <c r="D5687" s="579"/>
      <c r="E5687" s="583"/>
      <c r="F5687" s="596"/>
      <c r="G5687" s="65">
        <v>0</v>
      </c>
      <c r="H5687" s="591" t="s">
        <v>280</v>
      </c>
      <c r="I5687" s="591" t="s">
        <v>280</v>
      </c>
    </row>
    <row r="5688" spans="1:9">
      <c r="A5688" s="577"/>
      <c r="B5688" s="65">
        <v>5886</v>
      </c>
      <c r="C5688" s="579" t="s">
        <v>281</v>
      </c>
      <c r="D5688" s="579"/>
      <c r="E5688" s="583"/>
      <c r="F5688" s="596"/>
      <c r="G5688" s="65">
        <v>0</v>
      </c>
      <c r="H5688" s="591" t="s">
        <v>280</v>
      </c>
      <c r="I5688" s="591" t="s">
        <v>280</v>
      </c>
    </row>
    <row r="5689" spans="1:9">
      <c r="A5689" s="577"/>
      <c r="B5689" s="65">
        <v>5887</v>
      </c>
      <c r="C5689" s="579" t="s">
        <v>281</v>
      </c>
      <c r="D5689" s="579"/>
      <c r="E5689" s="583"/>
      <c r="F5689" s="596"/>
      <c r="G5689" s="65">
        <v>0</v>
      </c>
      <c r="H5689" s="591" t="s">
        <v>280</v>
      </c>
      <c r="I5689" s="591" t="s">
        <v>280</v>
      </c>
    </row>
    <row r="5690" spans="1:9">
      <c r="A5690" s="577"/>
      <c r="B5690" s="65">
        <v>5888</v>
      </c>
      <c r="C5690" s="579" t="s">
        <v>281</v>
      </c>
      <c r="D5690" s="579"/>
      <c r="E5690" s="583"/>
      <c r="F5690" s="596"/>
      <c r="G5690" s="65">
        <v>0</v>
      </c>
      <c r="H5690" s="591" t="s">
        <v>280</v>
      </c>
      <c r="I5690" s="591" t="s">
        <v>280</v>
      </c>
    </row>
    <row r="5691" spans="1:9">
      <c r="A5691" s="577"/>
      <c r="B5691" s="65">
        <v>5889</v>
      </c>
      <c r="C5691" s="579" t="s">
        <v>281</v>
      </c>
      <c r="D5691" s="579"/>
      <c r="E5691" s="583"/>
      <c r="F5691" s="596"/>
      <c r="G5691" s="65">
        <v>0</v>
      </c>
      <c r="H5691" s="591" t="s">
        <v>280</v>
      </c>
      <c r="I5691" s="591" t="s">
        <v>280</v>
      </c>
    </row>
    <row r="5692" spans="1:9">
      <c r="A5692" s="577"/>
      <c r="B5692" s="65">
        <v>5890</v>
      </c>
      <c r="C5692" s="579" t="s">
        <v>281</v>
      </c>
      <c r="D5692" s="579"/>
      <c r="E5692" s="583"/>
      <c r="F5692" s="596"/>
      <c r="G5692" s="65">
        <v>0</v>
      </c>
      <c r="H5692" s="591" t="s">
        <v>280</v>
      </c>
      <c r="I5692" s="591" t="s">
        <v>280</v>
      </c>
    </row>
    <row r="5693" spans="1:9">
      <c r="A5693" s="577"/>
      <c r="B5693" s="65">
        <v>5891</v>
      </c>
      <c r="C5693" s="579" t="s">
        <v>281</v>
      </c>
      <c r="D5693" s="579"/>
      <c r="E5693" s="583"/>
      <c r="F5693" s="596"/>
      <c r="G5693" s="65">
        <v>0</v>
      </c>
      <c r="H5693" s="591" t="s">
        <v>280</v>
      </c>
      <c r="I5693" s="591" t="s">
        <v>280</v>
      </c>
    </row>
    <row r="5694" spans="1:9">
      <c r="A5694" s="577"/>
      <c r="B5694" s="65">
        <v>5892</v>
      </c>
      <c r="C5694" s="579" t="s">
        <v>281</v>
      </c>
      <c r="D5694" s="579"/>
      <c r="E5694" s="583"/>
      <c r="F5694" s="596"/>
      <c r="G5694" s="65">
        <v>0</v>
      </c>
      <c r="H5694" s="591" t="s">
        <v>280</v>
      </c>
      <c r="I5694" s="591" t="s">
        <v>280</v>
      </c>
    </row>
    <row r="5695" spans="1:9">
      <c r="A5695" s="577"/>
      <c r="B5695" s="65">
        <v>5893</v>
      </c>
      <c r="C5695" s="579" t="s">
        <v>281</v>
      </c>
      <c r="D5695" s="579"/>
      <c r="E5695" s="583"/>
      <c r="F5695" s="596"/>
      <c r="G5695" s="65">
        <v>0</v>
      </c>
      <c r="H5695" s="591" t="s">
        <v>280</v>
      </c>
      <c r="I5695" s="591" t="s">
        <v>280</v>
      </c>
    </row>
    <row r="5696" spans="1:9">
      <c r="A5696" s="577"/>
      <c r="B5696" s="65">
        <v>5894</v>
      </c>
      <c r="C5696" s="579" t="s">
        <v>281</v>
      </c>
      <c r="D5696" s="579"/>
      <c r="E5696" s="583"/>
      <c r="F5696" s="596"/>
      <c r="G5696" s="65">
        <v>0</v>
      </c>
      <c r="H5696" s="591" t="s">
        <v>280</v>
      </c>
      <c r="I5696" s="591" t="s">
        <v>280</v>
      </c>
    </row>
    <row r="5697" spans="1:9">
      <c r="A5697" s="577"/>
      <c r="B5697" s="65">
        <v>5895</v>
      </c>
      <c r="C5697" s="579" t="s">
        <v>281</v>
      </c>
      <c r="D5697" s="579"/>
      <c r="E5697" s="583"/>
      <c r="F5697" s="596"/>
      <c r="G5697" s="65">
        <v>0</v>
      </c>
      <c r="H5697" s="591" t="s">
        <v>280</v>
      </c>
      <c r="I5697" s="591" t="s">
        <v>280</v>
      </c>
    </row>
    <row r="5698" spans="1:9">
      <c r="A5698" s="577"/>
      <c r="B5698" s="65">
        <v>5896</v>
      </c>
      <c r="C5698" s="579" t="s">
        <v>281</v>
      </c>
      <c r="D5698" s="579"/>
      <c r="E5698" s="583"/>
      <c r="F5698" s="596"/>
      <c r="G5698" s="65">
        <v>0</v>
      </c>
      <c r="H5698" s="591" t="s">
        <v>280</v>
      </c>
      <c r="I5698" s="591" t="s">
        <v>280</v>
      </c>
    </row>
    <row r="5699" spans="1:9">
      <c r="A5699" s="577"/>
      <c r="B5699" s="65">
        <v>5897</v>
      </c>
      <c r="C5699" s="579" t="s">
        <v>281</v>
      </c>
      <c r="D5699" s="579"/>
      <c r="E5699" s="583"/>
      <c r="F5699" s="596"/>
      <c r="G5699" s="65">
        <v>0</v>
      </c>
      <c r="H5699" s="591" t="s">
        <v>280</v>
      </c>
      <c r="I5699" s="591" t="s">
        <v>280</v>
      </c>
    </row>
    <row r="5700" spans="1:9">
      <c r="A5700" s="577"/>
      <c r="B5700" s="65">
        <v>5898</v>
      </c>
      <c r="C5700" s="579" t="s">
        <v>281</v>
      </c>
      <c r="D5700" s="579"/>
      <c r="E5700" s="583"/>
      <c r="F5700" s="596"/>
      <c r="G5700" s="65">
        <v>0</v>
      </c>
      <c r="H5700" s="591" t="s">
        <v>280</v>
      </c>
      <c r="I5700" s="591" t="s">
        <v>280</v>
      </c>
    </row>
    <row r="5701" spans="1:9">
      <c r="A5701" s="577"/>
      <c r="B5701" s="65">
        <v>5899</v>
      </c>
      <c r="C5701" s="579" t="s">
        <v>281</v>
      </c>
      <c r="D5701" s="579"/>
      <c r="E5701" s="583"/>
      <c r="F5701" s="596"/>
      <c r="G5701" s="65">
        <v>0</v>
      </c>
      <c r="H5701" s="591" t="s">
        <v>280</v>
      </c>
      <c r="I5701" s="591" t="s">
        <v>280</v>
      </c>
    </row>
    <row r="5702" spans="1:9">
      <c r="A5702" s="577"/>
      <c r="B5702" s="65">
        <v>5900</v>
      </c>
      <c r="C5702" s="579" t="s">
        <v>281</v>
      </c>
      <c r="D5702" s="579"/>
      <c r="E5702" s="583"/>
      <c r="F5702" s="596"/>
      <c r="G5702" s="65">
        <v>0</v>
      </c>
      <c r="H5702" s="591" t="s">
        <v>280</v>
      </c>
      <c r="I5702" s="591" t="s">
        <v>280</v>
      </c>
    </row>
    <row r="5703" spans="1:9">
      <c r="A5703" s="577"/>
      <c r="B5703" s="65">
        <v>5901</v>
      </c>
      <c r="C5703" s="579" t="s">
        <v>281</v>
      </c>
      <c r="D5703" s="579"/>
      <c r="E5703" s="583"/>
      <c r="F5703" s="596"/>
      <c r="G5703" s="65">
        <v>0</v>
      </c>
      <c r="H5703" s="591" t="s">
        <v>280</v>
      </c>
      <c r="I5703" s="591" t="s">
        <v>280</v>
      </c>
    </row>
    <row r="5704" spans="1:9">
      <c r="A5704" s="577"/>
      <c r="B5704" s="65">
        <v>5902</v>
      </c>
      <c r="C5704" s="579" t="s">
        <v>281</v>
      </c>
      <c r="D5704" s="579"/>
      <c r="E5704" s="583"/>
      <c r="F5704" s="596"/>
      <c r="G5704" s="65">
        <v>0</v>
      </c>
      <c r="H5704" s="591" t="s">
        <v>280</v>
      </c>
      <c r="I5704" s="591" t="s">
        <v>280</v>
      </c>
    </row>
    <row r="5705" spans="1:9">
      <c r="A5705" s="577"/>
      <c r="B5705" s="65">
        <v>5903</v>
      </c>
      <c r="C5705" s="579" t="s">
        <v>281</v>
      </c>
      <c r="D5705" s="579"/>
      <c r="E5705" s="583"/>
      <c r="F5705" s="596"/>
      <c r="G5705" s="65">
        <v>0</v>
      </c>
      <c r="H5705" s="591" t="s">
        <v>280</v>
      </c>
      <c r="I5705" s="591" t="s">
        <v>280</v>
      </c>
    </row>
    <row r="5706" spans="1:9">
      <c r="A5706" s="577"/>
      <c r="B5706" s="65">
        <v>5904</v>
      </c>
      <c r="C5706" s="579" t="s">
        <v>281</v>
      </c>
      <c r="D5706" s="579"/>
      <c r="E5706" s="583"/>
      <c r="F5706" s="596"/>
      <c r="G5706" s="65">
        <v>0</v>
      </c>
      <c r="H5706" s="591" t="s">
        <v>280</v>
      </c>
      <c r="I5706" s="591" t="s">
        <v>280</v>
      </c>
    </row>
    <row r="5707" spans="1:9">
      <c r="A5707" s="577"/>
      <c r="B5707" s="65">
        <v>5905</v>
      </c>
      <c r="C5707" s="579" t="s">
        <v>281</v>
      </c>
      <c r="D5707" s="579"/>
      <c r="E5707" s="583"/>
      <c r="F5707" s="596"/>
      <c r="G5707" s="65">
        <v>0</v>
      </c>
      <c r="H5707" s="591" t="s">
        <v>280</v>
      </c>
      <c r="I5707" s="591" t="s">
        <v>280</v>
      </c>
    </row>
    <row r="5708" spans="1:9">
      <c r="A5708" s="577"/>
      <c r="B5708" s="65">
        <v>5906</v>
      </c>
      <c r="C5708" s="579" t="s">
        <v>281</v>
      </c>
      <c r="D5708" s="579"/>
      <c r="E5708" s="583"/>
      <c r="F5708" s="596"/>
      <c r="G5708" s="65">
        <v>0</v>
      </c>
      <c r="H5708" s="591" t="s">
        <v>280</v>
      </c>
      <c r="I5708" s="591" t="s">
        <v>280</v>
      </c>
    </row>
    <row r="5709" spans="1:9">
      <c r="A5709" s="577"/>
      <c r="B5709" s="65">
        <v>5907</v>
      </c>
      <c r="C5709" s="579" t="s">
        <v>281</v>
      </c>
      <c r="D5709" s="579"/>
      <c r="E5709" s="583"/>
      <c r="F5709" s="596"/>
      <c r="G5709" s="65">
        <v>0</v>
      </c>
      <c r="H5709" s="591" t="s">
        <v>280</v>
      </c>
      <c r="I5709" s="591" t="s">
        <v>280</v>
      </c>
    </row>
    <row r="5710" spans="1:9">
      <c r="A5710" s="577"/>
      <c r="B5710" s="65">
        <v>5908</v>
      </c>
      <c r="C5710" s="579" t="s">
        <v>281</v>
      </c>
      <c r="D5710" s="579"/>
      <c r="E5710" s="583"/>
      <c r="F5710" s="596"/>
      <c r="G5710" s="65">
        <v>0</v>
      </c>
      <c r="H5710" s="591" t="s">
        <v>280</v>
      </c>
      <c r="I5710" s="591" t="s">
        <v>280</v>
      </c>
    </row>
    <row r="5711" spans="1:9">
      <c r="A5711" s="577"/>
      <c r="B5711" s="65">
        <v>5909</v>
      </c>
      <c r="C5711" s="579" t="s">
        <v>281</v>
      </c>
      <c r="D5711" s="579"/>
      <c r="E5711" s="583"/>
      <c r="F5711" s="596"/>
      <c r="G5711" s="65">
        <v>0</v>
      </c>
      <c r="H5711" s="591" t="s">
        <v>280</v>
      </c>
      <c r="I5711" s="591" t="s">
        <v>280</v>
      </c>
    </row>
    <row r="5712" spans="1:9">
      <c r="A5712" s="577"/>
      <c r="B5712" s="65">
        <v>5910</v>
      </c>
      <c r="C5712" s="579" t="s">
        <v>281</v>
      </c>
      <c r="D5712" s="579"/>
      <c r="E5712" s="583"/>
      <c r="F5712" s="596"/>
      <c r="G5712" s="65">
        <v>0</v>
      </c>
      <c r="H5712" s="591" t="s">
        <v>280</v>
      </c>
      <c r="I5712" s="591" t="s">
        <v>280</v>
      </c>
    </row>
    <row r="5713" spans="1:9">
      <c r="A5713" s="577"/>
      <c r="B5713" s="65">
        <v>5911</v>
      </c>
      <c r="C5713" s="579" t="s">
        <v>281</v>
      </c>
      <c r="D5713" s="579"/>
      <c r="E5713" s="583"/>
      <c r="F5713" s="596"/>
      <c r="G5713" s="65">
        <v>0</v>
      </c>
      <c r="H5713" s="591" t="s">
        <v>280</v>
      </c>
      <c r="I5713" s="591" t="s">
        <v>280</v>
      </c>
    </row>
    <row r="5714" spans="1:9">
      <c r="A5714" s="577"/>
      <c r="B5714" s="65">
        <v>5912</v>
      </c>
      <c r="C5714" s="579" t="s">
        <v>281</v>
      </c>
      <c r="D5714" s="579"/>
      <c r="E5714" s="583"/>
      <c r="F5714" s="596"/>
      <c r="G5714" s="65">
        <v>0</v>
      </c>
      <c r="H5714" s="591" t="s">
        <v>280</v>
      </c>
      <c r="I5714" s="591" t="s">
        <v>280</v>
      </c>
    </row>
    <row r="5715" spans="1:9">
      <c r="A5715" s="577"/>
      <c r="B5715" s="65">
        <v>5913</v>
      </c>
      <c r="C5715" s="579" t="s">
        <v>281</v>
      </c>
      <c r="D5715" s="579"/>
      <c r="E5715" s="583"/>
      <c r="F5715" s="596"/>
      <c r="G5715" s="65">
        <v>0</v>
      </c>
      <c r="H5715" s="591" t="s">
        <v>280</v>
      </c>
      <c r="I5715" s="591" t="s">
        <v>280</v>
      </c>
    </row>
    <row r="5716" spans="1:9">
      <c r="A5716" s="577"/>
      <c r="B5716" s="65">
        <v>5914</v>
      </c>
      <c r="C5716" s="579" t="s">
        <v>281</v>
      </c>
      <c r="D5716" s="579"/>
      <c r="E5716" s="583"/>
      <c r="F5716" s="596"/>
      <c r="G5716" s="65">
        <v>0</v>
      </c>
      <c r="H5716" s="591" t="s">
        <v>280</v>
      </c>
      <c r="I5716" s="591" t="s">
        <v>280</v>
      </c>
    </row>
    <row r="5717" spans="1:9">
      <c r="A5717" s="577"/>
      <c r="B5717" s="65">
        <v>5915</v>
      </c>
      <c r="C5717" s="579" t="s">
        <v>281</v>
      </c>
      <c r="D5717" s="579"/>
      <c r="E5717" s="583"/>
      <c r="F5717" s="596"/>
      <c r="G5717" s="65">
        <v>0</v>
      </c>
      <c r="H5717" s="591" t="s">
        <v>280</v>
      </c>
      <c r="I5717" s="591" t="s">
        <v>280</v>
      </c>
    </row>
    <row r="5718" spans="1:9">
      <c r="A5718" s="577"/>
      <c r="B5718" s="65">
        <v>5916</v>
      </c>
      <c r="C5718" s="579" t="s">
        <v>281</v>
      </c>
      <c r="D5718" s="579"/>
      <c r="E5718" s="583"/>
      <c r="F5718" s="596"/>
      <c r="G5718" s="65">
        <v>0</v>
      </c>
      <c r="H5718" s="591" t="s">
        <v>280</v>
      </c>
      <c r="I5718" s="591" t="s">
        <v>280</v>
      </c>
    </row>
    <row r="5719" spans="1:9">
      <c r="A5719" s="577"/>
      <c r="B5719" s="65">
        <v>5917</v>
      </c>
      <c r="C5719" s="579" t="s">
        <v>281</v>
      </c>
      <c r="D5719" s="579"/>
      <c r="E5719" s="583"/>
      <c r="F5719" s="596"/>
      <c r="G5719" s="65">
        <v>0</v>
      </c>
      <c r="H5719" s="591" t="s">
        <v>280</v>
      </c>
      <c r="I5719" s="591" t="s">
        <v>280</v>
      </c>
    </row>
    <row r="5720" spans="1:9">
      <c r="A5720" s="577"/>
      <c r="B5720" s="65">
        <v>5918</v>
      </c>
      <c r="C5720" s="579" t="s">
        <v>281</v>
      </c>
      <c r="D5720" s="579"/>
      <c r="E5720" s="583"/>
      <c r="F5720" s="596"/>
      <c r="G5720" s="65">
        <v>0</v>
      </c>
      <c r="H5720" s="591" t="s">
        <v>280</v>
      </c>
      <c r="I5720" s="591" t="s">
        <v>280</v>
      </c>
    </row>
    <row r="5721" spans="1:9">
      <c r="A5721" s="577"/>
      <c r="B5721" s="65">
        <v>5919</v>
      </c>
      <c r="C5721" s="579" t="s">
        <v>281</v>
      </c>
      <c r="D5721" s="579"/>
      <c r="E5721" s="583"/>
      <c r="F5721" s="596"/>
      <c r="G5721" s="65">
        <v>0</v>
      </c>
      <c r="H5721" s="591" t="s">
        <v>280</v>
      </c>
      <c r="I5721" s="591" t="s">
        <v>280</v>
      </c>
    </row>
    <row r="5722" spans="1:9">
      <c r="A5722" s="577"/>
      <c r="B5722" s="65">
        <v>5920</v>
      </c>
      <c r="C5722" s="579" t="s">
        <v>281</v>
      </c>
      <c r="D5722" s="579"/>
      <c r="E5722" s="583"/>
      <c r="F5722" s="596"/>
      <c r="G5722" s="65">
        <v>0</v>
      </c>
      <c r="H5722" s="591" t="s">
        <v>280</v>
      </c>
      <c r="I5722" s="591" t="s">
        <v>280</v>
      </c>
    </row>
    <row r="5723" spans="1:9">
      <c r="A5723" s="577"/>
      <c r="B5723" s="65">
        <v>5921</v>
      </c>
      <c r="C5723" s="579" t="s">
        <v>281</v>
      </c>
      <c r="D5723" s="579"/>
      <c r="E5723" s="583"/>
      <c r="F5723" s="596"/>
      <c r="G5723" s="65">
        <v>0</v>
      </c>
      <c r="H5723" s="591" t="s">
        <v>280</v>
      </c>
      <c r="I5723" s="591" t="s">
        <v>280</v>
      </c>
    </row>
    <row r="5724" spans="1:9">
      <c r="A5724" s="577"/>
      <c r="B5724" s="65">
        <v>5922</v>
      </c>
      <c r="C5724" s="579" t="s">
        <v>281</v>
      </c>
      <c r="D5724" s="579"/>
      <c r="E5724" s="583"/>
      <c r="F5724" s="596"/>
      <c r="G5724" s="65">
        <v>0</v>
      </c>
      <c r="H5724" s="591" t="s">
        <v>280</v>
      </c>
      <c r="I5724" s="591" t="s">
        <v>280</v>
      </c>
    </row>
    <row r="5725" spans="1:9">
      <c r="A5725" s="577"/>
      <c r="B5725" s="65">
        <v>5923</v>
      </c>
      <c r="C5725" s="579" t="s">
        <v>281</v>
      </c>
      <c r="D5725" s="579"/>
      <c r="E5725" s="583"/>
      <c r="F5725" s="596"/>
      <c r="G5725" s="65">
        <v>0</v>
      </c>
      <c r="H5725" s="591" t="s">
        <v>280</v>
      </c>
      <c r="I5725" s="591" t="s">
        <v>280</v>
      </c>
    </row>
    <row r="5726" spans="1:9">
      <c r="A5726" s="577"/>
      <c r="B5726" s="65">
        <v>5924</v>
      </c>
      <c r="C5726" s="579" t="s">
        <v>281</v>
      </c>
      <c r="D5726" s="579"/>
      <c r="E5726" s="583"/>
      <c r="F5726" s="596"/>
      <c r="G5726" s="65">
        <v>0</v>
      </c>
      <c r="H5726" s="591" t="s">
        <v>280</v>
      </c>
      <c r="I5726" s="591" t="s">
        <v>280</v>
      </c>
    </row>
    <row r="5727" spans="1:9">
      <c r="A5727" s="577"/>
      <c r="B5727" s="65">
        <v>5925</v>
      </c>
      <c r="C5727" s="579" t="s">
        <v>281</v>
      </c>
      <c r="D5727" s="579"/>
      <c r="E5727" s="583"/>
      <c r="F5727" s="596"/>
      <c r="G5727" s="65">
        <v>0</v>
      </c>
      <c r="H5727" s="591" t="s">
        <v>280</v>
      </c>
      <c r="I5727" s="591" t="s">
        <v>280</v>
      </c>
    </row>
    <row r="5728" spans="1:9">
      <c r="A5728" s="577"/>
      <c r="B5728" s="65">
        <v>5926</v>
      </c>
      <c r="C5728" s="579" t="s">
        <v>281</v>
      </c>
      <c r="D5728" s="579"/>
      <c r="E5728" s="583"/>
      <c r="F5728" s="596"/>
      <c r="G5728" s="65">
        <v>0</v>
      </c>
      <c r="H5728" s="591" t="s">
        <v>280</v>
      </c>
      <c r="I5728" s="591" t="s">
        <v>280</v>
      </c>
    </row>
    <row r="5729" spans="1:9">
      <c r="A5729" s="577"/>
      <c r="B5729" s="65">
        <v>5927</v>
      </c>
      <c r="C5729" s="579" t="s">
        <v>281</v>
      </c>
      <c r="D5729" s="579"/>
      <c r="E5729" s="583"/>
      <c r="F5729" s="596"/>
      <c r="G5729" s="65">
        <v>0</v>
      </c>
      <c r="H5729" s="591" t="s">
        <v>280</v>
      </c>
      <c r="I5729" s="591" t="s">
        <v>280</v>
      </c>
    </row>
    <row r="5730" spans="1:9">
      <c r="A5730" s="577"/>
      <c r="B5730" s="65">
        <v>5928</v>
      </c>
      <c r="C5730" s="579" t="s">
        <v>281</v>
      </c>
      <c r="D5730" s="579"/>
      <c r="E5730" s="583"/>
      <c r="F5730" s="596"/>
      <c r="G5730" s="65">
        <v>0</v>
      </c>
      <c r="H5730" s="591" t="s">
        <v>280</v>
      </c>
      <c r="I5730" s="591" t="s">
        <v>280</v>
      </c>
    </row>
    <row r="5731" spans="1:9">
      <c r="A5731" s="577"/>
      <c r="B5731" s="65">
        <v>5929</v>
      </c>
      <c r="C5731" s="579" t="s">
        <v>281</v>
      </c>
      <c r="D5731" s="579"/>
      <c r="E5731" s="583"/>
      <c r="F5731" s="596"/>
      <c r="G5731" s="65">
        <v>0</v>
      </c>
      <c r="H5731" s="591" t="s">
        <v>280</v>
      </c>
      <c r="I5731" s="591" t="s">
        <v>280</v>
      </c>
    </row>
    <row r="5732" spans="1:9">
      <c r="A5732" s="577"/>
      <c r="B5732" s="65">
        <v>5930</v>
      </c>
      <c r="C5732" s="579" t="s">
        <v>281</v>
      </c>
      <c r="D5732" s="579"/>
      <c r="E5732" s="583"/>
      <c r="F5732" s="596"/>
      <c r="G5732" s="65">
        <v>0</v>
      </c>
      <c r="H5732" s="591" t="s">
        <v>280</v>
      </c>
      <c r="I5732" s="591" t="s">
        <v>280</v>
      </c>
    </row>
    <row r="5733" spans="1:9">
      <c r="A5733" s="577"/>
      <c r="B5733" s="65">
        <v>5931</v>
      </c>
      <c r="C5733" s="579" t="s">
        <v>281</v>
      </c>
      <c r="D5733" s="579"/>
      <c r="E5733" s="583"/>
      <c r="F5733" s="596"/>
      <c r="G5733" s="65">
        <v>0</v>
      </c>
      <c r="H5733" s="591" t="s">
        <v>280</v>
      </c>
      <c r="I5733" s="591" t="s">
        <v>280</v>
      </c>
    </row>
    <row r="5734" spans="1:9">
      <c r="A5734" s="577"/>
      <c r="B5734" s="65">
        <v>5932</v>
      </c>
      <c r="C5734" s="579" t="s">
        <v>281</v>
      </c>
      <c r="D5734" s="579"/>
      <c r="E5734" s="583"/>
      <c r="F5734" s="596"/>
      <c r="G5734" s="65">
        <v>0</v>
      </c>
      <c r="H5734" s="591" t="s">
        <v>280</v>
      </c>
      <c r="I5734" s="591" t="s">
        <v>280</v>
      </c>
    </row>
    <row r="5735" spans="1:9">
      <c r="A5735" s="577"/>
      <c r="B5735" s="65">
        <v>5933</v>
      </c>
      <c r="C5735" s="579" t="s">
        <v>281</v>
      </c>
      <c r="D5735" s="579"/>
      <c r="E5735" s="583"/>
      <c r="F5735" s="596"/>
      <c r="G5735" s="65">
        <v>0</v>
      </c>
      <c r="H5735" s="591" t="s">
        <v>280</v>
      </c>
      <c r="I5735" s="591" t="s">
        <v>280</v>
      </c>
    </row>
    <row r="5736" spans="1:9">
      <c r="A5736" s="577"/>
      <c r="B5736" s="65">
        <v>5934</v>
      </c>
      <c r="C5736" s="579" t="s">
        <v>281</v>
      </c>
      <c r="D5736" s="579"/>
      <c r="E5736" s="583"/>
      <c r="F5736" s="596"/>
      <c r="G5736" s="65">
        <v>0</v>
      </c>
      <c r="H5736" s="591" t="s">
        <v>280</v>
      </c>
      <c r="I5736" s="591" t="s">
        <v>280</v>
      </c>
    </row>
    <row r="5737" spans="1:9">
      <c r="A5737" s="577"/>
      <c r="B5737" s="65">
        <v>5935</v>
      </c>
      <c r="C5737" s="579" t="s">
        <v>281</v>
      </c>
      <c r="D5737" s="579"/>
      <c r="E5737" s="583"/>
      <c r="F5737" s="596"/>
      <c r="G5737" s="65">
        <v>0</v>
      </c>
      <c r="H5737" s="591" t="s">
        <v>280</v>
      </c>
      <c r="I5737" s="591" t="s">
        <v>280</v>
      </c>
    </row>
    <row r="5738" spans="1:9">
      <c r="A5738" s="577"/>
      <c r="B5738" s="65">
        <v>5936</v>
      </c>
      <c r="C5738" s="579" t="s">
        <v>281</v>
      </c>
      <c r="D5738" s="579"/>
      <c r="E5738" s="583"/>
      <c r="F5738" s="596"/>
      <c r="G5738" s="65">
        <v>0</v>
      </c>
      <c r="H5738" s="591" t="s">
        <v>280</v>
      </c>
      <c r="I5738" s="591" t="s">
        <v>280</v>
      </c>
    </row>
    <row r="5739" spans="1:9">
      <c r="A5739" s="577"/>
      <c r="B5739" s="65">
        <v>5937</v>
      </c>
      <c r="C5739" s="579" t="s">
        <v>281</v>
      </c>
      <c r="D5739" s="579"/>
      <c r="E5739" s="583"/>
      <c r="F5739" s="596"/>
      <c r="G5739" s="65">
        <v>0</v>
      </c>
      <c r="H5739" s="591" t="s">
        <v>280</v>
      </c>
      <c r="I5739" s="591" t="s">
        <v>280</v>
      </c>
    </row>
    <row r="5740" spans="1:9">
      <c r="A5740" s="577"/>
      <c r="B5740" s="65">
        <v>5938</v>
      </c>
      <c r="C5740" s="579" t="s">
        <v>281</v>
      </c>
      <c r="D5740" s="579"/>
      <c r="E5740" s="583"/>
      <c r="F5740" s="596"/>
      <c r="G5740" s="65">
        <v>0</v>
      </c>
      <c r="H5740" s="591" t="s">
        <v>280</v>
      </c>
      <c r="I5740" s="591" t="s">
        <v>280</v>
      </c>
    </row>
    <row r="5741" spans="1:9">
      <c r="A5741" s="577"/>
      <c r="B5741" s="65">
        <v>5939</v>
      </c>
      <c r="C5741" s="579" t="s">
        <v>281</v>
      </c>
      <c r="D5741" s="579"/>
      <c r="E5741" s="583"/>
      <c r="F5741" s="596"/>
      <c r="G5741" s="65">
        <v>0</v>
      </c>
      <c r="H5741" s="591" t="s">
        <v>280</v>
      </c>
      <c r="I5741" s="591" t="s">
        <v>280</v>
      </c>
    </row>
    <row r="5742" spans="1:9">
      <c r="A5742" s="577"/>
      <c r="B5742" s="65">
        <v>5940</v>
      </c>
      <c r="C5742" s="579" t="s">
        <v>281</v>
      </c>
      <c r="D5742" s="579"/>
      <c r="E5742" s="583"/>
      <c r="F5742" s="596"/>
      <c r="G5742" s="65">
        <v>0</v>
      </c>
      <c r="H5742" s="591" t="s">
        <v>280</v>
      </c>
      <c r="I5742" s="591" t="s">
        <v>280</v>
      </c>
    </row>
    <row r="5743" spans="1:9">
      <c r="A5743" s="577"/>
      <c r="B5743" s="65">
        <v>5941</v>
      </c>
      <c r="C5743" s="579" t="s">
        <v>281</v>
      </c>
      <c r="D5743" s="579"/>
      <c r="E5743" s="583"/>
      <c r="F5743" s="596"/>
      <c r="G5743" s="65">
        <v>0</v>
      </c>
      <c r="H5743" s="591" t="s">
        <v>280</v>
      </c>
      <c r="I5743" s="591" t="s">
        <v>280</v>
      </c>
    </row>
    <row r="5744" spans="1:9">
      <c r="A5744" s="577"/>
      <c r="B5744" s="65">
        <v>5942</v>
      </c>
      <c r="C5744" s="579" t="s">
        <v>281</v>
      </c>
      <c r="D5744" s="579"/>
      <c r="E5744" s="583"/>
      <c r="F5744" s="596"/>
      <c r="G5744" s="65">
        <v>0</v>
      </c>
      <c r="H5744" s="591" t="s">
        <v>280</v>
      </c>
      <c r="I5744" s="591" t="s">
        <v>280</v>
      </c>
    </row>
    <row r="5745" spans="1:9">
      <c r="A5745" s="577"/>
      <c r="B5745" s="65">
        <v>5943</v>
      </c>
      <c r="C5745" s="579" t="s">
        <v>281</v>
      </c>
      <c r="D5745" s="579"/>
      <c r="E5745" s="583"/>
      <c r="F5745" s="596"/>
      <c r="G5745" s="65">
        <v>0</v>
      </c>
      <c r="H5745" s="591" t="s">
        <v>280</v>
      </c>
      <c r="I5745" s="591" t="s">
        <v>280</v>
      </c>
    </row>
    <row r="5746" spans="1:9">
      <c r="A5746" s="577"/>
      <c r="B5746" s="65">
        <v>5944</v>
      </c>
      <c r="C5746" s="579" t="s">
        <v>281</v>
      </c>
      <c r="D5746" s="579"/>
      <c r="E5746" s="583"/>
      <c r="F5746" s="596"/>
      <c r="G5746" s="65">
        <v>0</v>
      </c>
      <c r="H5746" s="591" t="s">
        <v>280</v>
      </c>
      <c r="I5746" s="591" t="s">
        <v>280</v>
      </c>
    </row>
    <row r="5747" spans="1:9">
      <c r="A5747" s="577"/>
      <c r="B5747" s="65">
        <v>5945</v>
      </c>
      <c r="C5747" s="579" t="s">
        <v>281</v>
      </c>
      <c r="D5747" s="579"/>
      <c r="E5747" s="583"/>
      <c r="F5747" s="596"/>
      <c r="G5747" s="65">
        <v>0</v>
      </c>
      <c r="H5747" s="591" t="s">
        <v>280</v>
      </c>
      <c r="I5747" s="591" t="s">
        <v>280</v>
      </c>
    </row>
    <row r="5748" spans="1:9">
      <c r="A5748" s="577"/>
      <c r="B5748" s="65">
        <v>5946</v>
      </c>
      <c r="C5748" s="579" t="s">
        <v>281</v>
      </c>
      <c r="D5748" s="579"/>
      <c r="E5748" s="583"/>
      <c r="F5748" s="596"/>
      <c r="G5748" s="65">
        <v>0</v>
      </c>
      <c r="H5748" s="591" t="s">
        <v>280</v>
      </c>
      <c r="I5748" s="591" t="s">
        <v>280</v>
      </c>
    </row>
    <row r="5749" spans="1:9">
      <c r="A5749" s="577"/>
      <c r="B5749" s="65">
        <v>5947</v>
      </c>
      <c r="C5749" s="579" t="s">
        <v>281</v>
      </c>
      <c r="D5749" s="579"/>
      <c r="E5749" s="583"/>
      <c r="F5749" s="596"/>
      <c r="G5749" s="65">
        <v>0</v>
      </c>
      <c r="H5749" s="591" t="s">
        <v>280</v>
      </c>
      <c r="I5749" s="591" t="s">
        <v>280</v>
      </c>
    </row>
    <row r="5750" spans="1:9">
      <c r="A5750" s="577"/>
      <c r="B5750" s="65">
        <v>5948</v>
      </c>
      <c r="C5750" s="579" t="s">
        <v>281</v>
      </c>
      <c r="D5750" s="579"/>
      <c r="E5750" s="583"/>
      <c r="F5750" s="596"/>
      <c r="G5750" s="65">
        <v>0</v>
      </c>
      <c r="H5750" s="591" t="s">
        <v>280</v>
      </c>
      <c r="I5750" s="591" t="s">
        <v>280</v>
      </c>
    </row>
    <row r="5751" spans="1:9">
      <c r="A5751" s="577"/>
      <c r="B5751" s="65">
        <v>5949</v>
      </c>
      <c r="C5751" s="579" t="s">
        <v>281</v>
      </c>
      <c r="D5751" s="579"/>
      <c r="E5751" s="583"/>
      <c r="F5751" s="596"/>
      <c r="G5751" s="65">
        <v>0</v>
      </c>
      <c r="H5751" s="591" t="s">
        <v>280</v>
      </c>
      <c r="I5751" s="591" t="s">
        <v>280</v>
      </c>
    </row>
    <row r="5752" spans="1:9">
      <c r="A5752" s="577"/>
      <c r="B5752" s="65">
        <v>5950</v>
      </c>
      <c r="C5752" s="579" t="s">
        <v>281</v>
      </c>
      <c r="D5752" s="579"/>
      <c r="E5752" s="583"/>
      <c r="F5752" s="596"/>
      <c r="G5752" s="65">
        <v>0</v>
      </c>
      <c r="H5752" s="591" t="s">
        <v>280</v>
      </c>
      <c r="I5752" s="591" t="s">
        <v>280</v>
      </c>
    </row>
    <row r="5753" spans="1:9">
      <c r="A5753" s="577"/>
      <c r="B5753" s="65">
        <v>5951</v>
      </c>
      <c r="C5753" s="579" t="s">
        <v>281</v>
      </c>
      <c r="D5753" s="579"/>
      <c r="E5753" s="583"/>
      <c r="F5753" s="596"/>
      <c r="G5753" s="65">
        <v>0</v>
      </c>
      <c r="H5753" s="591" t="s">
        <v>280</v>
      </c>
      <c r="I5753" s="591" t="s">
        <v>280</v>
      </c>
    </row>
    <row r="5754" spans="1:9">
      <c r="A5754" s="577"/>
      <c r="B5754" s="65">
        <v>5952</v>
      </c>
      <c r="C5754" s="579" t="s">
        <v>281</v>
      </c>
      <c r="D5754" s="579"/>
      <c r="E5754" s="583"/>
      <c r="F5754" s="596"/>
      <c r="G5754" s="65">
        <v>0</v>
      </c>
      <c r="H5754" s="591" t="s">
        <v>280</v>
      </c>
      <c r="I5754" s="591" t="s">
        <v>280</v>
      </c>
    </row>
    <row r="5755" spans="1:9">
      <c r="A5755" s="577"/>
      <c r="B5755" s="65">
        <v>5953</v>
      </c>
      <c r="C5755" s="579" t="s">
        <v>281</v>
      </c>
      <c r="D5755" s="579"/>
      <c r="E5755" s="583"/>
      <c r="F5755" s="596"/>
      <c r="G5755" s="65">
        <v>0</v>
      </c>
      <c r="H5755" s="591" t="s">
        <v>280</v>
      </c>
      <c r="I5755" s="591" t="s">
        <v>280</v>
      </c>
    </row>
    <row r="5756" spans="1:9">
      <c r="A5756" s="577"/>
      <c r="B5756" s="65">
        <v>5954</v>
      </c>
      <c r="C5756" s="579" t="s">
        <v>281</v>
      </c>
      <c r="D5756" s="579"/>
      <c r="E5756" s="583"/>
      <c r="F5756" s="596"/>
      <c r="G5756" s="65">
        <v>0</v>
      </c>
      <c r="H5756" s="591" t="s">
        <v>280</v>
      </c>
      <c r="I5756" s="591" t="s">
        <v>280</v>
      </c>
    </row>
    <row r="5757" spans="1:9">
      <c r="A5757" s="577"/>
      <c r="B5757" s="65">
        <v>5955</v>
      </c>
      <c r="C5757" s="579" t="s">
        <v>281</v>
      </c>
      <c r="D5757" s="579"/>
      <c r="E5757" s="583"/>
      <c r="F5757" s="596"/>
      <c r="G5757" s="65">
        <v>0</v>
      </c>
      <c r="H5757" s="591" t="s">
        <v>280</v>
      </c>
      <c r="I5757" s="591" t="s">
        <v>280</v>
      </c>
    </row>
    <row r="5758" spans="1:9">
      <c r="A5758" s="577"/>
      <c r="B5758" s="65">
        <v>5956</v>
      </c>
      <c r="C5758" s="579" t="s">
        <v>281</v>
      </c>
      <c r="D5758" s="579"/>
      <c r="E5758" s="583"/>
      <c r="F5758" s="596"/>
      <c r="G5758" s="65">
        <v>0</v>
      </c>
      <c r="H5758" s="591" t="s">
        <v>280</v>
      </c>
      <c r="I5758" s="591" t="s">
        <v>280</v>
      </c>
    </row>
    <row r="5759" spans="1:9">
      <c r="A5759" s="577"/>
      <c r="B5759" s="65">
        <v>5957</v>
      </c>
      <c r="C5759" s="579" t="s">
        <v>281</v>
      </c>
      <c r="D5759" s="579"/>
      <c r="E5759" s="583"/>
      <c r="F5759" s="596"/>
      <c r="G5759" s="65">
        <v>0</v>
      </c>
      <c r="H5759" s="591" t="s">
        <v>280</v>
      </c>
      <c r="I5759" s="591" t="s">
        <v>280</v>
      </c>
    </row>
    <row r="5760" spans="1:9">
      <c r="A5760" s="577"/>
      <c r="B5760" s="65">
        <v>5958</v>
      </c>
      <c r="C5760" s="579" t="s">
        <v>281</v>
      </c>
      <c r="D5760" s="579"/>
      <c r="E5760" s="583"/>
      <c r="F5760" s="596"/>
      <c r="G5760" s="65">
        <v>0</v>
      </c>
      <c r="H5760" s="591" t="s">
        <v>280</v>
      </c>
      <c r="I5760" s="591" t="s">
        <v>280</v>
      </c>
    </row>
    <row r="5761" spans="1:9">
      <c r="A5761" s="577"/>
      <c r="B5761" s="65">
        <v>5959</v>
      </c>
      <c r="C5761" s="579" t="s">
        <v>281</v>
      </c>
      <c r="D5761" s="579"/>
      <c r="E5761" s="583"/>
      <c r="F5761" s="596"/>
      <c r="G5761" s="65">
        <v>0</v>
      </c>
      <c r="H5761" s="591" t="s">
        <v>280</v>
      </c>
      <c r="I5761" s="591" t="s">
        <v>280</v>
      </c>
    </row>
    <row r="5762" spans="1:9">
      <c r="A5762" s="577"/>
      <c r="B5762" s="65">
        <v>5960</v>
      </c>
      <c r="C5762" s="579" t="s">
        <v>281</v>
      </c>
      <c r="D5762" s="579"/>
      <c r="E5762" s="583"/>
      <c r="F5762" s="596"/>
      <c r="G5762" s="65">
        <v>0</v>
      </c>
      <c r="H5762" s="591" t="s">
        <v>280</v>
      </c>
      <c r="I5762" s="591" t="s">
        <v>280</v>
      </c>
    </row>
    <row r="5763" spans="1:9">
      <c r="A5763" s="577"/>
      <c r="B5763" s="65">
        <v>5961</v>
      </c>
      <c r="C5763" s="579" t="s">
        <v>281</v>
      </c>
      <c r="D5763" s="579"/>
      <c r="E5763" s="583"/>
      <c r="F5763" s="596"/>
      <c r="G5763" s="65">
        <v>0</v>
      </c>
      <c r="H5763" s="591" t="s">
        <v>280</v>
      </c>
      <c r="I5763" s="591" t="s">
        <v>280</v>
      </c>
    </row>
    <row r="5764" spans="1:9">
      <c r="A5764" s="577"/>
      <c r="B5764" s="65">
        <v>5962</v>
      </c>
      <c r="C5764" s="579" t="s">
        <v>281</v>
      </c>
      <c r="D5764" s="579"/>
      <c r="E5764" s="583"/>
      <c r="F5764" s="596"/>
      <c r="G5764" s="65">
        <v>0</v>
      </c>
      <c r="H5764" s="591" t="s">
        <v>280</v>
      </c>
      <c r="I5764" s="591" t="s">
        <v>280</v>
      </c>
    </row>
    <row r="5765" spans="1:9">
      <c r="A5765" s="577"/>
      <c r="B5765" s="65">
        <v>5963</v>
      </c>
      <c r="C5765" s="579" t="s">
        <v>281</v>
      </c>
      <c r="D5765" s="579"/>
      <c r="E5765" s="583"/>
      <c r="F5765" s="596"/>
      <c r="G5765" s="65">
        <v>0</v>
      </c>
      <c r="H5765" s="591" t="s">
        <v>280</v>
      </c>
      <c r="I5765" s="591" t="s">
        <v>280</v>
      </c>
    </row>
    <row r="5766" spans="1:9">
      <c r="A5766" s="577"/>
      <c r="B5766" s="65">
        <v>5964</v>
      </c>
      <c r="C5766" s="579" t="s">
        <v>281</v>
      </c>
      <c r="D5766" s="579"/>
      <c r="E5766" s="583"/>
      <c r="F5766" s="596"/>
      <c r="G5766" s="65">
        <v>0</v>
      </c>
      <c r="H5766" s="591" t="s">
        <v>280</v>
      </c>
      <c r="I5766" s="591" t="s">
        <v>280</v>
      </c>
    </row>
    <row r="5767" spans="1:9">
      <c r="A5767" s="577"/>
      <c r="B5767" s="65">
        <v>5965</v>
      </c>
      <c r="C5767" s="579" t="s">
        <v>281</v>
      </c>
      <c r="D5767" s="579"/>
      <c r="E5767" s="583"/>
      <c r="F5767" s="596"/>
      <c r="G5767" s="65">
        <v>0</v>
      </c>
      <c r="H5767" s="591" t="s">
        <v>280</v>
      </c>
      <c r="I5767" s="591" t="s">
        <v>280</v>
      </c>
    </row>
    <row r="5768" spans="1:9">
      <c r="A5768" s="577"/>
      <c r="B5768" s="65">
        <v>5966</v>
      </c>
      <c r="C5768" s="579" t="s">
        <v>281</v>
      </c>
      <c r="D5768" s="579"/>
      <c r="E5768" s="583"/>
      <c r="F5768" s="596"/>
      <c r="G5768" s="65">
        <v>0</v>
      </c>
      <c r="H5768" s="591" t="s">
        <v>280</v>
      </c>
      <c r="I5768" s="591" t="s">
        <v>280</v>
      </c>
    </row>
    <row r="5769" spans="1:9">
      <c r="A5769" s="577"/>
      <c r="B5769" s="65">
        <v>5967</v>
      </c>
      <c r="C5769" s="579" t="s">
        <v>281</v>
      </c>
      <c r="D5769" s="579"/>
      <c r="E5769" s="583"/>
      <c r="F5769" s="596"/>
      <c r="G5769" s="65">
        <v>0</v>
      </c>
      <c r="H5769" s="591" t="s">
        <v>280</v>
      </c>
      <c r="I5769" s="591" t="s">
        <v>280</v>
      </c>
    </row>
    <row r="5770" spans="1:9">
      <c r="A5770" s="577"/>
      <c r="B5770" s="65">
        <v>5968</v>
      </c>
      <c r="C5770" s="579" t="s">
        <v>281</v>
      </c>
      <c r="D5770" s="579"/>
      <c r="E5770" s="583"/>
      <c r="F5770" s="596"/>
      <c r="G5770" s="65">
        <v>0</v>
      </c>
      <c r="H5770" s="591" t="s">
        <v>280</v>
      </c>
      <c r="I5770" s="591" t="s">
        <v>280</v>
      </c>
    </row>
    <row r="5771" spans="1:9">
      <c r="A5771" s="577"/>
      <c r="B5771" s="65">
        <v>5969</v>
      </c>
      <c r="C5771" s="579" t="s">
        <v>281</v>
      </c>
      <c r="D5771" s="579"/>
      <c r="E5771" s="583"/>
      <c r="F5771" s="596"/>
      <c r="G5771" s="65">
        <v>0</v>
      </c>
      <c r="H5771" s="591" t="s">
        <v>280</v>
      </c>
      <c r="I5771" s="591" t="s">
        <v>280</v>
      </c>
    </row>
    <row r="5772" spans="1:9">
      <c r="A5772" s="577"/>
      <c r="B5772" s="65">
        <v>5970</v>
      </c>
      <c r="C5772" s="579" t="s">
        <v>281</v>
      </c>
      <c r="D5772" s="579"/>
      <c r="E5772" s="583"/>
      <c r="F5772" s="596"/>
      <c r="G5772" s="65">
        <v>0</v>
      </c>
      <c r="H5772" s="591" t="s">
        <v>280</v>
      </c>
      <c r="I5772" s="591" t="s">
        <v>280</v>
      </c>
    </row>
    <row r="5773" spans="1:9">
      <c r="A5773" s="577"/>
      <c r="B5773" s="65">
        <v>5971</v>
      </c>
      <c r="C5773" s="579" t="s">
        <v>281</v>
      </c>
      <c r="D5773" s="579"/>
      <c r="E5773" s="583"/>
      <c r="F5773" s="596"/>
      <c r="G5773" s="65">
        <v>0</v>
      </c>
      <c r="H5773" s="591" t="s">
        <v>280</v>
      </c>
      <c r="I5773" s="591" t="s">
        <v>280</v>
      </c>
    </row>
    <row r="5774" spans="1:9">
      <c r="A5774" s="577"/>
      <c r="B5774" s="65">
        <v>5972</v>
      </c>
      <c r="C5774" s="579" t="s">
        <v>281</v>
      </c>
      <c r="D5774" s="579"/>
      <c r="E5774" s="583"/>
      <c r="F5774" s="596"/>
      <c r="G5774" s="65">
        <v>0</v>
      </c>
      <c r="H5774" s="591" t="s">
        <v>280</v>
      </c>
      <c r="I5774" s="591" t="s">
        <v>280</v>
      </c>
    </row>
    <row r="5775" spans="1:9">
      <c r="A5775" s="577"/>
      <c r="B5775" s="65">
        <v>5973</v>
      </c>
      <c r="C5775" s="579" t="s">
        <v>281</v>
      </c>
      <c r="D5775" s="579"/>
      <c r="E5775" s="583"/>
      <c r="F5775" s="596"/>
      <c r="G5775" s="65">
        <v>0</v>
      </c>
      <c r="H5775" s="591" t="s">
        <v>280</v>
      </c>
      <c r="I5775" s="591" t="s">
        <v>280</v>
      </c>
    </row>
    <row r="5776" spans="1:9">
      <c r="A5776" s="577"/>
      <c r="B5776" s="65">
        <v>5974</v>
      </c>
      <c r="C5776" s="579" t="s">
        <v>281</v>
      </c>
      <c r="D5776" s="579"/>
      <c r="E5776" s="583"/>
      <c r="F5776" s="596"/>
      <c r="G5776" s="65">
        <v>0</v>
      </c>
      <c r="H5776" s="591" t="s">
        <v>280</v>
      </c>
      <c r="I5776" s="591" t="s">
        <v>280</v>
      </c>
    </row>
    <row r="5777" spans="1:9">
      <c r="A5777" s="577"/>
      <c r="B5777" s="65">
        <v>5975</v>
      </c>
      <c r="C5777" s="579" t="s">
        <v>281</v>
      </c>
      <c r="D5777" s="579"/>
      <c r="E5777" s="583"/>
      <c r="F5777" s="596"/>
      <c r="G5777" s="65">
        <v>0</v>
      </c>
      <c r="H5777" s="591" t="s">
        <v>280</v>
      </c>
      <c r="I5777" s="591" t="s">
        <v>280</v>
      </c>
    </row>
    <row r="5778" spans="1:9">
      <c r="A5778" s="577"/>
      <c r="B5778" s="65">
        <v>5976</v>
      </c>
      <c r="C5778" s="579" t="s">
        <v>281</v>
      </c>
      <c r="D5778" s="579"/>
      <c r="E5778" s="583"/>
      <c r="F5778" s="596"/>
      <c r="G5778" s="65">
        <v>0</v>
      </c>
      <c r="H5778" s="591" t="s">
        <v>280</v>
      </c>
      <c r="I5778" s="591" t="s">
        <v>280</v>
      </c>
    </row>
    <row r="5779" spans="1:9">
      <c r="A5779" s="577"/>
      <c r="B5779" s="65">
        <v>5977</v>
      </c>
      <c r="C5779" s="579" t="s">
        <v>281</v>
      </c>
      <c r="D5779" s="579"/>
      <c r="E5779" s="583"/>
      <c r="F5779" s="596"/>
      <c r="G5779" s="65">
        <v>0</v>
      </c>
      <c r="H5779" s="591" t="s">
        <v>280</v>
      </c>
      <c r="I5779" s="591" t="s">
        <v>280</v>
      </c>
    </row>
    <row r="5780" spans="1:9">
      <c r="A5780" s="577"/>
      <c r="B5780" s="65">
        <v>5978</v>
      </c>
      <c r="C5780" s="579" t="s">
        <v>281</v>
      </c>
      <c r="D5780" s="579"/>
      <c r="E5780" s="583"/>
      <c r="F5780" s="596"/>
      <c r="G5780" s="65">
        <v>0</v>
      </c>
      <c r="H5780" s="591" t="s">
        <v>280</v>
      </c>
      <c r="I5780" s="591" t="s">
        <v>280</v>
      </c>
    </row>
    <row r="5781" spans="1:9">
      <c r="A5781" s="577"/>
      <c r="B5781" s="65">
        <v>5979</v>
      </c>
      <c r="C5781" s="579" t="s">
        <v>281</v>
      </c>
      <c r="D5781" s="579"/>
      <c r="E5781" s="583"/>
      <c r="F5781" s="596"/>
      <c r="G5781" s="65">
        <v>0</v>
      </c>
      <c r="H5781" s="591" t="s">
        <v>280</v>
      </c>
      <c r="I5781" s="591" t="s">
        <v>280</v>
      </c>
    </row>
    <row r="5782" spans="1:9">
      <c r="A5782" s="577"/>
      <c r="B5782" s="65">
        <v>5980</v>
      </c>
      <c r="C5782" s="579" t="s">
        <v>281</v>
      </c>
      <c r="D5782" s="579"/>
      <c r="E5782" s="583"/>
      <c r="F5782" s="596"/>
      <c r="G5782" s="65">
        <v>0</v>
      </c>
      <c r="H5782" s="591" t="s">
        <v>280</v>
      </c>
      <c r="I5782" s="591" t="s">
        <v>280</v>
      </c>
    </row>
    <row r="5783" spans="1:9">
      <c r="A5783" s="577"/>
      <c r="B5783" s="65">
        <v>5981</v>
      </c>
      <c r="C5783" s="579" t="s">
        <v>281</v>
      </c>
      <c r="D5783" s="579"/>
      <c r="E5783" s="583"/>
      <c r="F5783" s="596"/>
      <c r="G5783" s="65">
        <v>0</v>
      </c>
      <c r="H5783" s="591" t="s">
        <v>280</v>
      </c>
      <c r="I5783" s="591" t="s">
        <v>280</v>
      </c>
    </row>
    <row r="5784" spans="1:9">
      <c r="A5784" s="577"/>
      <c r="B5784" s="65">
        <v>5982</v>
      </c>
      <c r="C5784" s="579" t="s">
        <v>281</v>
      </c>
      <c r="D5784" s="579"/>
      <c r="E5784" s="583"/>
      <c r="F5784" s="596"/>
      <c r="G5784" s="65">
        <v>0</v>
      </c>
      <c r="H5784" s="591" t="s">
        <v>280</v>
      </c>
      <c r="I5784" s="591" t="s">
        <v>280</v>
      </c>
    </row>
    <row r="5785" spans="1:9">
      <c r="A5785" s="577"/>
      <c r="B5785" s="65">
        <v>5983</v>
      </c>
      <c r="C5785" s="579" t="s">
        <v>281</v>
      </c>
      <c r="D5785" s="579"/>
      <c r="E5785" s="583"/>
      <c r="F5785" s="596"/>
      <c r="G5785" s="65">
        <v>0</v>
      </c>
      <c r="H5785" s="591" t="s">
        <v>280</v>
      </c>
      <c r="I5785" s="591" t="s">
        <v>280</v>
      </c>
    </row>
    <row r="5786" spans="1:9">
      <c r="A5786" s="577"/>
      <c r="B5786" s="65">
        <v>5984</v>
      </c>
      <c r="C5786" s="579" t="s">
        <v>281</v>
      </c>
      <c r="D5786" s="579"/>
      <c r="E5786" s="583"/>
      <c r="F5786" s="596"/>
      <c r="G5786" s="65">
        <v>0</v>
      </c>
      <c r="H5786" s="591" t="s">
        <v>280</v>
      </c>
      <c r="I5786" s="591" t="s">
        <v>280</v>
      </c>
    </row>
    <row r="5787" spans="1:9">
      <c r="A5787" s="577"/>
      <c r="B5787" s="65">
        <v>5985</v>
      </c>
      <c r="C5787" s="579" t="s">
        <v>281</v>
      </c>
      <c r="D5787" s="579"/>
      <c r="E5787" s="583"/>
      <c r="F5787" s="596"/>
      <c r="G5787" s="65">
        <v>0</v>
      </c>
      <c r="H5787" s="591" t="s">
        <v>280</v>
      </c>
      <c r="I5787" s="591" t="s">
        <v>280</v>
      </c>
    </row>
    <row r="5788" spans="1:9">
      <c r="A5788" s="577"/>
      <c r="B5788" s="65">
        <v>5986</v>
      </c>
      <c r="C5788" s="579" t="s">
        <v>281</v>
      </c>
      <c r="D5788" s="579"/>
      <c r="E5788" s="583"/>
      <c r="F5788" s="596"/>
      <c r="G5788" s="65">
        <v>0</v>
      </c>
      <c r="H5788" s="591" t="s">
        <v>280</v>
      </c>
      <c r="I5788" s="591" t="s">
        <v>280</v>
      </c>
    </row>
    <row r="5789" spans="1:9">
      <c r="A5789" s="577"/>
      <c r="B5789" s="65">
        <v>5987</v>
      </c>
      <c r="C5789" s="579" t="s">
        <v>281</v>
      </c>
      <c r="D5789" s="579"/>
      <c r="E5789" s="583"/>
      <c r="F5789" s="596"/>
      <c r="G5789" s="65">
        <v>0</v>
      </c>
      <c r="H5789" s="591" t="s">
        <v>280</v>
      </c>
      <c r="I5789" s="591" t="s">
        <v>280</v>
      </c>
    </row>
    <row r="5790" spans="1:9">
      <c r="A5790" s="577"/>
      <c r="B5790" s="65">
        <v>5988</v>
      </c>
      <c r="C5790" s="579" t="s">
        <v>281</v>
      </c>
      <c r="D5790" s="579"/>
      <c r="E5790" s="583"/>
      <c r="F5790" s="596"/>
      <c r="G5790" s="65">
        <v>0</v>
      </c>
      <c r="H5790" s="591" t="s">
        <v>280</v>
      </c>
      <c r="I5790" s="591" t="s">
        <v>280</v>
      </c>
    </row>
    <row r="5791" spans="1:9">
      <c r="A5791" s="577"/>
      <c r="B5791" s="65">
        <v>5989</v>
      </c>
      <c r="C5791" s="579" t="s">
        <v>281</v>
      </c>
      <c r="D5791" s="579"/>
      <c r="E5791" s="583"/>
      <c r="F5791" s="596"/>
      <c r="G5791" s="65">
        <v>0</v>
      </c>
      <c r="H5791" s="591" t="s">
        <v>280</v>
      </c>
      <c r="I5791" s="591" t="s">
        <v>280</v>
      </c>
    </row>
    <row r="5792" spans="1:9">
      <c r="A5792" s="577"/>
      <c r="B5792" s="65">
        <v>5990</v>
      </c>
      <c r="C5792" s="579" t="s">
        <v>281</v>
      </c>
      <c r="D5792" s="579"/>
      <c r="E5792" s="583"/>
      <c r="F5792" s="596"/>
      <c r="G5792" s="65">
        <v>0</v>
      </c>
      <c r="H5792" s="591" t="s">
        <v>280</v>
      </c>
      <c r="I5792" s="591" t="s">
        <v>280</v>
      </c>
    </row>
    <row r="5793" spans="1:9">
      <c r="A5793" s="577"/>
      <c r="B5793" s="65">
        <v>5991</v>
      </c>
      <c r="C5793" s="579" t="s">
        <v>281</v>
      </c>
      <c r="D5793" s="579"/>
      <c r="E5793" s="583"/>
      <c r="F5793" s="596"/>
      <c r="G5793" s="65">
        <v>0</v>
      </c>
      <c r="H5793" s="591" t="s">
        <v>280</v>
      </c>
      <c r="I5793" s="591" t="s">
        <v>280</v>
      </c>
    </row>
    <row r="5794" spans="1:9">
      <c r="A5794" s="577"/>
      <c r="B5794" s="65">
        <v>5992</v>
      </c>
      <c r="C5794" s="579" t="s">
        <v>281</v>
      </c>
      <c r="D5794" s="579"/>
      <c r="E5794" s="583"/>
      <c r="F5794" s="596"/>
      <c r="G5794" s="65">
        <v>0</v>
      </c>
      <c r="H5794" s="591" t="s">
        <v>280</v>
      </c>
      <c r="I5794" s="591" t="s">
        <v>280</v>
      </c>
    </row>
    <row r="5795" spans="1:9">
      <c r="A5795" s="577"/>
      <c r="B5795" s="65">
        <v>5993</v>
      </c>
      <c r="C5795" s="579" t="s">
        <v>281</v>
      </c>
      <c r="D5795" s="579"/>
      <c r="E5795" s="583"/>
      <c r="F5795" s="596"/>
      <c r="G5795" s="65">
        <v>0</v>
      </c>
      <c r="H5795" s="591" t="s">
        <v>280</v>
      </c>
      <c r="I5795" s="591" t="s">
        <v>280</v>
      </c>
    </row>
    <row r="5796" spans="1:9">
      <c r="A5796" s="577"/>
      <c r="B5796" s="65">
        <v>5994</v>
      </c>
      <c r="C5796" s="579" t="s">
        <v>281</v>
      </c>
      <c r="D5796" s="579"/>
      <c r="E5796" s="583"/>
      <c r="F5796" s="596"/>
      <c r="G5796" s="65">
        <v>0</v>
      </c>
      <c r="H5796" s="591" t="s">
        <v>280</v>
      </c>
      <c r="I5796" s="591" t="s">
        <v>280</v>
      </c>
    </row>
    <row r="5797" spans="1:9">
      <c r="A5797" s="577"/>
      <c r="B5797" s="65">
        <v>5995</v>
      </c>
      <c r="C5797" s="579" t="s">
        <v>281</v>
      </c>
      <c r="D5797" s="579"/>
      <c r="E5797" s="583"/>
      <c r="F5797" s="596"/>
      <c r="G5797" s="65">
        <v>0</v>
      </c>
      <c r="H5797" s="591" t="s">
        <v>280</v>
      </c>
      <c r="I5797" s="591" t="s">
        <v>280</v>
      </c>
    </row>
    <row r="5798" spans="1:9">
      <c r="A5798" s="577"/>
      <c r="B5798" s="65">
        <v>5996</v>
      </c>
      <c r="C5798" s="579" t="s">
        <v>281</v>
      </c>
      <c r="D5798" s="579"/>
      <c r="E5798" s="583"/>
      <c r="F5798" s="596"/>
      <c r="G5798" s="65">
        <v>0</v>
      </c>
      <c r="H5798" s="591" t="s">
        <v>280</v>
      </c>
      <c r="I5798" s="591" t="s">
        <v>280</v>
      </c>
    </row>
    <row r="5799" spans="1:9">
      <c r="A5799" s="577"/>
      <c r="B5799" s="65">
        <v>5997</v>
      </c>
      <c r="C5799" s="579" t="s">
        <v>281</v>
      </c>
      <c r="D5799" s="579"/>
      <c r="E5799" s="583"/>
      <c r="F5799" s="596"/>
      <c r="G5799" s="65">
        <v>0</v>
      </c>
      <c r="H5799" s="591" t="s">
        <v>280</v>
      </c>
      <c r="I5799" s="591" t="s">
        <v>280</v>
      </c>
    </row>
    <row r="5800" spans="1:9">
      <c r="A5800" s="577"/>
      <c r="B5800" s="65">
        <v>5998</v>
      </c>
      <c r="C5800" s="579" t="s">
        <v>281</v>
      </c>
      <c r="D5800" s="579"/>
      <c r="E5800" s="583"/>
      <c r="F5800" s="596"/>
      <c r="G5800" s="65">
        <v>0</v>
      </c>
      <c r="H5800" s="591" t="s">
        <v>280</v>
      </c>
      <c r="I5800" s="591" t="s">
        <v>280</v>
      </c>
    </row>
    <row r="5801" spans="1:9">
      <c r="A5801" s="577"/>
      <c r="B5801" s="65">
        <v>5999</v>
      </c>
      <c r="C5801" s="579" t="s">
        <v>281</v>
      </c>
      <c r="D5801" s="579"/>
      <c r="E5801" s="583"/>
      <c r="F5801" s="596"/>
      <c r="G5801" s="65">
        <v>0</v>
      </c>
      <c r="H5801" s="591" t="s">
        <v>280</v>
      </c>
      <c r="I5801" s="591" t="s">
        <v>280</v>
      </c>
    </row>
    <row r="5802" spans="1:9">
      <c r="A5802" s="577"/>
      <c r="B5802" s="65">
        <v>6000</v>
      </c>
      <c r="C5802" s="579" t="s">
        <v>281</v>
      </c>
      <c r="D5802" s="579"/>
      <c r="E5802" s="583"/>
      <c r="F5802" s="596"/>
      <c r="G5802" s="65">
        <v>0</v>
      </c>
      <c r="H5802" s="591" t="s">
        <v>280</v>
      </c>
      <c r="I5802" s="591" t="s">
        <v>280</v>
      </c>
    </row>
    <row r="5803" spans="1:9">
      <c r="A5803" s="577"/>
      <c r="B5803" s="65">
        <v>6001</v>
      </c>
      <c r="C5803" s="579" t="s">
        <v>281</v>
      </c>
      <c r="D5803" s="579"/>
      <c r="E5803" s="583"/>
      <c r="F5803" s="596"/>
      <c r="G5803" s="65">
        <v>0</v>
      </c>
      <c r="H5803" s="591" t="s">
        <v>280</v>
      </c>
      <c r="I5803" s="591" t="s">
        <v>280</v>
      </c>
    </row>
    <row r="5804" spans="1:9">
      <c r="A5804" s="577"/>
      <c r="B5804" s="65">
        <v>6002</v>
      </c>
      <c r="C5804" s="579" t="s">
        <v>281</v>
      </c>
      <c r="D5804" s="579"/>
      <c r="E5804" s="583"/>
      <c r="F5804" s="596"/>
      <c r="G5804" s="65">
        <v>0</v>
      </c>
      <c r="H5804" s="591" t="s">
        <v>280</v>
      </c>
      <c r="I5804" s="591" t="s">
        <v>280</v>
      </c>
    </row>
    <row r="5805" spans="1:9">
      <c r="A5805" s="577"/>
      <c r="B5805" s="65">
        <v>6003</v>
      </c>
      <c r="C5805" s="579" t="s">
        <v>281</v>
      </c>
      <c r="D5805" s="579"/>
      <c r="E5805" s="583"/>
      <c r="F5805" s="596"/>
      <c r="G5805" s="65">
        <v>0</v>
      </c>
      <c r="H5805" s="591" t="s">
        <v>280</v>
      </c>
      <c r="I5805" s="591" t="s">
        <v>280</v>
      </c>
    </row>
    <row r="5806" spans="1:9">
      <c r="A5806" s="577"/>
      <c r="B5806" s="65">
        <v>6004</v>
      </c>
      <c r="C5806" s="579" t="s">
        <v>281</v>
      </c>
      <c r="D5806" s="579"/>
      <c r="E5806" s="583"/>
      <c r="F5806" s="596"/>
      <c r="G5806" s="65">
        <v>0</v>
      </c>
      <c r="H5806" s="591" t="s">
        <v>280</v>
      </c>
      <c r="I5806" s="591" t="s">
        <v>280</v>
      </c>
    </row>
    <row r="5807" spans="1:9">
      <c r="A5807" s="577"/>
      <c r="B5807" s="65">
        <v>6005</v>
      </c>
      <c r="C5807" s="579" t="s">
        <v>281</v>
      </c>
      <c r="D5807" s="579"/>
      <c r="E5807" s="583"/>
      <c r="F5807" s="596"/>
      <c r="G5807" s="65">
        <v>0</v>
      </c>
      <c r="H5807" s="591" t="s">
        <v>280</v>
      </c>
      <c r="I5807" s="591" t="s">
        <v>280</v>
      </c>
    </row>
    <row r="5808" spans="1:9">
      <c r="A5808" s="577"/>
      <c r="B5808" s="65">
        <v>6006</v>
      </c>
      <c r="C5808" s="579" t="s">
        <v>281</v>
      </c>
      <c r="D5808" s="579"/>
      <c r="E5808" s="583"/>
      <c r="F5808" s="596"/>
      <c r="G5808" s="65">
        <v>0</v>
      </c>
      <c r="H5808" s="591" t="s">
        <v>280</v>
      </c>
      <c r="I5808" s="591" t="s">
        <v>280</v>
      </c>
    </row>
    <row r="5809" spans="1:9">
      <c r="A5809" s="577"/>
      <c r="B5809" s="65">
        <v>6007</v>
      </c>
      <c r="C5809" s="579" t="s">
        <v>281</v>
      </c>
      <c r="D5809" s="579"/>
      <c r="E5809" s="583"/>
      <c r="F5809" s="596"/>
      <c r="G5809" s="65">
        <v>0</v>
      </c>
      <c r="H5809" s="591" t="s">
        <v>280</v>
      </c>
      <c r="I5809" s="591" t="s">
        <v>280</v>
      </c>
    </row>
    <row r="5810" spans="1:9">
      <c r="A5810" s="577"/>
      <c r="B5810" s="65">
        <v>6008</v>
      </c>
      <c r="C5810" s="579" t="s">
        <v>281</v>
      </c>
      <c r="D5810" s="579"/>
      <c r="E5810" s="583"/>
      <c r="F5810" s="596"/>
      <c r="G5810" s="65">
        <v>0</v>
      </c>
      <c r="H5810" s="591" t="s">
        <v>280</v>
      </c>
      <c r="I5810" s="591" t="s">
        <v>280</v>
      </c>
    </row>
    <row r="5811" spans="1:9">
      <c r="A5811" s="577"/>
      <c r="B5811" s="65">
        <v>6009</v>
      </c>
      <c r="C5811" s="579" t="s">
        <v>281</v>
      </c>
      <c r="D5811" s="579"/>
      <c r="E5811" s="583"/>
      <c r="F5811" s="596"/>
      <c r="G5811" s="65">
        <v>0</v>
      </c>
      <c r="H5811" s="591" t="s">
        <v>280</v>
      </c>
      <c r="I5811" s="591" t="s">
        <v>280</v>
      </c>
    </row>
    <row r="5812" spans="1:9">
      <c r="A5812" s="577"/>
      <c r="B5812" s="65">
        <v>6010</v>
      </c>
      <c r="C5812" s="579" t="s">
        <v>281</v>
      </c>
      <c r="D5812" s="579"/>
      <c r="E5812" s="583"/>
      <c r="F5812" s="596"/>
      <c r="G5812" s="65">
        <v>0</v>
      </c>
      <c r="H5812" s="591" t="s">
        <v>280</v>
      </c>
      <c r="I5812" s="591" t="s">
        <v>280</v>
      </c>
    </row>
    <row r="5813" spans="1:9">
      <c r="A5813" s="577"/>
      <c r="B5813" s="65">
        <v>6011</v>
      </c>
      <c r="C5813" s="579" t="s">
        <v>281</v>
      </c>
      <c r="D5813" s="579"/>
      <c r="E5813" s="583"/>
      <c r="F5813" s="596"/>
      <c r="G5813" s="65">
        <v>0</v>
      </c>
      <c r="H5813" s="591" t="s">
        <v>280</v>
      </c>
      <c r="I5813" s="591" t="s">
        <v>280</v>
      </c>
    </row>
    <row r="5814" spans="1:9">
      <c r="A5814" s="577"/>
      <c r="B5814" s="65">
        <v>6012</v>
      </c>
      <c r="C5814" s="579" t="s">
        <v>281</v>
      </c>
      <c r="D5814" s="579"/>
      <c r="E5814" s="583"/>
      <c r="F5814" s="596"/>
      <c r="G5814" s="65">
        <v>0</v>
      </c>
      <c r="H5814" s="591" t="s">
        <v>280</v>
      </c>
      <c r="I5814" s="591" t="s">
        <v>280</v>
      </c>
    </row>
    <row r="5815" spans="1:9">
      <c r="A5815" s="577"/>
      <c r="B5815" s="65">
        <v>6013</v>
      </c>
      <c r="C5815" s="579" t="s">
        <v>281</v>
      </c>
      <c r="D5815" s="579"/>
      <c r="E5815" s="583"/>
      <c r="F5815" s="596"/>
      <c r="G5815" s="65">
        <v>0</v>
      </c>
      <c r="H5815" s="591" t="s">
        <v>280</v>
      </c>
      <c r="I5815" s="591" t="s">
        <v>280</v>
      </c>
    </row>
    <row r="5816" spans="1:9">
      <c r="A5816" s="577"/>
      <c r="B5816" s="65">
        <v>6014</v>
      </c>
      <c r="C5816" s="579" t="s">
        <v>281</v>
      </c>
      <c r="D5816" s="579"/>
      <c r="E5816" s="583"/>
      <c r="F5816" s="596"/>
      <c r="G5816" s="65">
        <v>0</v>
      </c>
      <c r="H5816" s="591" t="s">
        <v>280</v>
      </c>
      <c r="I5816" s="591" t="s">
        <v>280</v>
      </c>
    </row>
    <row r="5817" spans="1:9">
      <c r="A5817" s="577"/>
      <c r="B5817" s="65">
        <v>6015</v>
      </c>
      <c r="C5817" s="579" t="s">
        <v>281</v>
      </c>
      <c r="D5817" s="579"/>
      <c r="E5817" s="583"/>
      <c r="F5817" s="596"/>
      <c r="G5817" s="65">
        <v>0</v>
      </c>
      <c r="H5817" s="591" t="s">
        <v>280</v>
      </c>
      <c r="I5817" s="591" t="s">
        <v>280</v>
      </c>
    </row>
    <row r="5818" spans="1:9">
      <c r="A5818" s="577"/>
      <c r="B5818" s="65">
        <v>6016</v>
      </c>
      <c r="C5818" s="579" t="s">
        <v>281</v>
      </c>
      <c r="D5818" s="579"/>
      <c r="E5818" s="583"/>
      <c r="F5818" s="596"/>
      <c r="G5818" s="65">
        <v>0</v>
      </c>
      <c r="H5818" s="591" t="s">
        <v>280</v>
      </c>
      <c r="I5818" s="591" t="s">
        <v>280</v>
      </c>
    </row>
    <row r="5819" spans="1:9">
      <c r="A5819" s="577"/>
      <c r="B5819" s="65">
        <v>6017</v>
      </c>
      <c r="C5819" s="579" t="s">
        <v>281</v>
      </c>
      <c r="D5819" s="579"/>
      <c r="E5819" s="583"/>
      <c r="F5819" s="596"/>
      <c r="G5819" s="65">
        <v>0</v>
      </c>
      <c r="H5819" s="591" t="s">
        <v>280</v>
      </c>
      <c r="I5819" s="591" t="s">
        <v>280</v>
      </c>
    </row>
    <row r="5820" spans="1:9">
      <c r="A5820" s="577"/>
      <c r="B5820" s="65">
        <v>6018</v>
      </c>
      <c r="C5820" s="579" t="s">
        <v>281</v>
      </c>
      <c r="D5820" s="579"/>
      <c r="E5820" s="583"/>
      <c r="F5820" s="596"/>
      <c r="G5820" s="65">
        <v>0</v>
      </c>
      <c r="H5820" s="591" t="s">
        <v>280</v>
      </c>
      <c r="I5820" s="591" t="s">
        <v>280</v>
      </c>
    </row>
    <row r="5821" spans="1:9">
      <c r="A5821" s="577"/>
      <c r="B5821" s="65">
        <v>6019</v>
      </c>
      <c r="C5821" s="579" t="s">
        <v>281</v>
      </c>
      <c r="D5821" s="579"/>
      <c r="E5821" s="583"/>
      <c r="F5821" s="596"/>
      <c r="G5821" s="65">
        <v>0</v>
      </c>
      <c r="H5821" s="591" t="s">
        <v>280</v>
      </c>
      <c r="I5821" s="591" t="s">
        <v>280</v>
      </c>
    </row>
    <row r="5822" spans="1:9">
      <c r="A5822" s="577"/>
      <c r="B5822" s="65">
        <v>6020</v>
      </c>
      <c r="C5822" s="579" t="s">
        <v>281</v>
      </c>
      <c r="D5822" s="579"/>
      <c r="E5822" s="583"/>
      <c r="F5822" s="596"/>
      <c r="G5822" s="65">
        <v>0</v>
      </c>
      <c r="H5822" s="591" t="s">
        <v>280</v>
      </c>
      <c r="I5822" s="591" t="s">
        <v>280</v>
      </c>
    </row>
    <row r="5823" spans="1:9">
      <c r="A5823" s="577"/>
      <c r="B5823" s="65">
        <v>6021</v>
      </c>
      <c r="C5823" s="579" t="s">
        <v>281</v>
      </c>
      <c r="D5823" s="579"/>
      <c r="E5823" s="583"/>
      <c r="F5823" s="596"/>
      <c r="G5823" s="65">
        <v>0</v>
      </c>
      <c r="H5823" s="591" t="s">
        <v>280</v>
      </c>
      <c r="I5823" s="591" t="s">
        <v>280</v>
      </c>
    </row>
    <row r="5824" spans="1:9">
      <c r="A5824" s="577"/>
      <c r="B5824" s="65">
        <v>6022</v>
      </c>
      <c r="C5824" s="579" t="s">
        <v>281</v>
      </c>
      <c r="D5824" s="579"/>
      <c r="E5824" s="583"/>
      <c r="F5824" s="596"/>
      <c r="G5824" s="65">
        <v>0</v>
      </c>
      <c r="H5824" s="591" t="s">
        <v>280</v>
      </c>
      <c r="I5824" s="591" t="s">
        <v>280</v>
      </c>
    </row>
    <row r="5825" spans="1:9">
      <c r="A5825" s="577"/>
      <c r="B5825" s="65">
        <v>6023</v>
      </c>
      <c r="C5825" s="579" t="s">
        <v>281</v>
      </c>
      <c r="D5825" s="579"/>
      <c r="E5825" s="583"/>
      <c r="F5825" s="596"/>
      <c r="G5825" s="65">
        <v>0</v>
      </c>
      <c r="H5825" s="591" t="s">
        <v>280</v>
      </c>
      <c r="I5825" s="591" t="s">
        <v>280</v>
      </c>
    </row>
    <row r="5826" spans="1:9">
      <c r="A5826" s="577"/>
      <c r="B5826" s="65">
        <v>6024</v>
      </c>
      <c r="C5826" s="579" t="s">
        <v>281</v>
      </c>
      <c r="D5826" s="579"/>
      <c r="E5826" s="583"/>
      <c r="F5826" s="596"/>
      <c r="G5826" s="65">
        <v>0</v>
      </c>
      <c r="H5826" s="591" t="s">
        <v>280</v>
      </c>
      <c r="I5826" s="591" t="s">
        <v>280</v>
      </c>
    </row>
    <row r="5827" spans="1:9">
      <c r="A5827" s="577"/>
      <c r="B5827" s="65">
        <v>6025</v>
      </c>
      <c r="C5827" s="579" t="s">
        <v>281</v>
      </c>
      <c r="D5827" s="579"/>
      <c r="E5827" s="583"/>
      <c r="F5827" s="596"/>
      <c r="G5827" s="65">
        <v>0</v>
      </c>
      <c r="H5827" s="591" t="s">
        <v>280</v>
      </c>
      <c r="I5827" s="591" t="s">
        <v>280</v>
      </c>
    </row>
    <row r="5828" spans="1:9">
      <c r="A5828" s="577"/>
      <c r="B5828" s="65">
        <v>6026</v>
      </c>
      <c r="C5828" s="579" t="s">
        <v>281</v>
      </c>
      <c r="D5828" s="579"/>
      <c r="E5828" s="583"/>
      <c r="F5828" s="596"/>
      <c r="G5828" s="65">
        <v>0</v>
      </c>
      <c r="H5828" s="591" t="s">
        <v>280</v>
      </c>
      <c r="I5828" s="591" t="s">
        <v>280</v>
      </c>
    </row>
    <row r="5829" spans="1:9">
      <c r="A5829" s="577"/>
      <c r="B5829" s="65">
        <v>6027</v>
      </c>
      <c r="C5829" s="579" t="s">
        <v>281</v>
      </c>
      <c r="D5829" s="579"/>
      <c r="E5829" s="583"/>
      <c r="F5829" s="596"/>
      <c r="G5829" s="65">
        <v>0</v>
      </c>
      <c r="H5829" s="591" t="s">
        <v>280</v>
      </c>
      <c r="I5829" s="591" t="s">
        <v>280</v>
      </c>
    </row>
    <row r="5830" spans="1:9">
      <c r="A5830" s="577"/>
      <c r="B5830" s="65">
        <v>6028</v>
      </c>
      <c r="C5830" s="579" t="s">
        <v>281</v>
      </c>
      <c r="D5830" s="579"/>
      <c r="E5830" s="583"/>
      <c r="F5830" s="596"/>
      <c r="G5830" s="65">
        <v>0</v>
      </c>
      <c r="H5830" s="591" t="s">
        <v>280</v>
      </c>
      <c r="I5830" s="591" t="s">
        <v>280</v>
      </c>
    </row>
    <row r="5831" spans="1:9">
      <c r="A5831" s="577"/>
      <c r="B5831" s="65">
        <v>6029</v>
      </c>
      <c r="C5831" s="579" t="s">
        <v>281</v>
      </c>
      <c r="D5831" s="579"/>
      <c r="E5831" s="583"/>
      <c r="F5831" s="596"/>
      <c r="G5831" s="65">
        <v>0</v>
      </c>
      <c r="H5831" s="591" t="s">
        <v>280</v>
      </c>
      <c r="I5831" s="591" t="s">
        <v>280</v>
      </c>
    </row>
    <row r="5832" spans="1:9">
      <c r="A5832" s="577"/>
      <c r="B5832" s="65">
        <v>6030</v>
      </c>
      <c r="C5832" s="579" t="s">
        <v>281</v>
      </c>
      <c r="D5832" s="579"/>
      <c r="E5832" s="583"/>
      <c r="F5832" s="596"/>
      <c r="G5832" s="65">
        <v>0</v>
      </c>
      <c r="H5832" s="591" t="s">
        <v>280</v>
      </c>
      <c r="I5832" s="591" t="s">
        <v>280</v>
      </c>
    </row>
    <row r="5833" spans="1:9">
      <c r="A5833" s="577"/>
      <c r="B5833" s="65">
        <v>6031</v>
      </c>
      <c r="C5833" s="579" t="s">
        <v>281</v>
      </c>
      <c r="D5833" s="579"/>
      <c r="E5833" s="583"/>
      <c r="F5833" s="596"/>
      <c r="G5833" s="65">
        <v>0</v>
      </c>
      <c r="H5833" s="591" t="s">
        <v>280</v>
      </c>
      <c r="I5833" s="591" t="s">
        <v>280</v>
      </c>
    </row>
    <row r="5834" spans="1:9">
      <c r="A5834" s="577"/>
      <c r="B5834" s="65">
        <v>6032</v>
      </c>
      <c r="C5834" s="579" t="s">
        <v>281</v>
      </c>
      <c r="D5834" s="579"/>
      <c r="E5834" s="583"/>
      <c r="F5834" s="596"/>
      <c r="G5834" s="65">
        <v>0</v>
      </c>
      <c r="H5834" s="591" t="s">
        <v>280</v>
      </c>
      <c r="I5834" s="591" t="s">
        <v>280</v>
      </c>
    </row>
    <row r="5835" spans="1:9">
      <c r="A5835" s="577"/>
      <c r="B5835" s="65">
        <v>6033</v>
      </c>
      <c r="C5835" s="579" t="s">
        <v>281</v>
      </c>
      <c r="D5835" s="579"/>
      <c r="E5835" s="583"/>
      <c r="F5835" s="596"/>
      <c r="G5835" s="65">
        <v>0</v>
      </c>
      <c r="H5835" s="591" t="s">
        <v>280</v>
      </c>
      <c r="I5835" s="591" t="s">
        <v>280</v>
      </c>
    </row>
    <row r="5836" spans="1:9">
      <c r="A5836" s="577"/>
      <c r="B5836" s="65">
        <v>6034</v>
      </c>
      <c r="C5836" s="579" t="s">
        <v>281</v>
      </c>
      <c r="D5836" s="579"/>
      <c r="E5836" s="583"/>
      <c r="F5836" s="596"/>
      <c r="G5836" s="65">
        <v>0</v>
      </c>
      <c r="H5836" s="591" t="s">
        <v>280</v>
      </c>
      <c r="I5836" s="591" t="s">
        <v>280</v>
      </c>
    </row>
    <row r="5837" spans="1:9">
      <c r="A5837" s="577"/>
      <c r="B5837" s="65">
        <v>6035</v>
      </c>
      <c r="C5837" s="579" t="s">
        <v>281</v>
      </c>
      <c r="D5837" s="579"/>
      <c r="E5837" s="583"/>
      <c r="F5837" s="596"/>
      <c r="G5837" s="65">
        <v>0</v>
      </c>
      <c r="H5837" s="591" t="s">
        <v>280</v>
      </c>
      <c r="I5837" s="591" t="s">
        <v>280</v>
      </c>
    </row>
    <row r="5838" spans="1:9">
      <c r="A5838" s="577"/>
      <c r="B5838" s="65">
        <v>6036</v>
      </c>
      <c r="C5838" s="579" t="s">
        <v>281</v>
      </c>
      <c r="D5838" s="579"/>
      <c r="E5838" s="583"/>
      <c r="F5838" s="596"/>
      <c r="G5838" s="65">
        <v>0</v>
      </c>
      <c r="H5838" s="591" t="s">
        <v>280</v>
      </c>
      <c r="I5838" s="591" t="s">
        <v>280</v>
      </c>
    </row>
    <row r="5839" spans="1:9">
      <c r="A5839" s="577"/>
      <c r="B5839" s="65">
        <v>6037</v>
      </c>
      <c r="C5839" s="579" t="s">
        <v>281</v>
      </c>
      <c r="D5839" s="579"/>
      <c r="E5839" s="583"/>
      <c r="F5839" s="596"/>
      <c r="G5839" s="65">
        <v>0</v>
      </c>
      <c r="H5839" s="591" t="s">
        <v>280</v>
      </c>
      <c r="I5839" s="591" t="s">
        <v>280</v>
      </c>
    </row>
    <row r="5840" spans="1:9">
      <c r="A5840" s="577"/>
      <c r="B5840" s="65">
        <v>6038</v>
      </c>
      <c r="C5840" s="579" t="s">
        <v>281</v>
      </c>
      <c r="D5840" s="579"/>
      <c r="E5840" s="583"/>
      <c r="F5840" s="596"/>
      <c r="G5840" s="65">
        <v>0</v>
      </c>
      <c r="H5840" s="591" t="s">
        <v>280</v>
      </c>
      <c r="I5840" s="591" t="s">
        <v>280</v>
      </c>
    </row>
    <row r="5841" spans="1:9">
      <c r="A5841" s="577"/>
      <c r="B5841" s="65">
        <v>6039</v>
      </c>
      <c r="C5841" s="579" t="s">
        <v>281</v>
      </c>
      <c r="D5841" s="579"/>
      <c r="E5841" s="583"/>
      <c r="F5841" s="596"/>
      <c r="G5841" s="65">
        <v>0</v>
      </c>
      <c r="H5841" s="591" t="s">
        <v>280</v>
      </c>
      <c r="I5841" s="591" t="s">
        <v>280</v>
      </c>
    </row>
    <row r="5842" spans="1:9">
      <c r="A5842" s="577"/>
      <c r="B5842" s="65">
        <v>6040</v>
      </c>
      <c r="C5842" s="579" t="s">
        <v>281</v>
      </c>
      <c r="D5842" s="579"/>
      <c r="E5842" s="583"/>
      <c r="F5842" s="596"/>
      <c r="G5842" s="65">
        <v>0</v>
      </c>
      <c r="H5842" s="591" t="s">
        <v>280</v>
      </c>
      <c r="I5842" s="591" t="s">
        <v>280</v>
      </c>
    </row>
    <row r="5843" spans="1:9">
      <c r="A5843" s="577"/>
      <c r="B5843" s="65">
        <v>6041</v>
      </c>
      <c r="C5843" s="579" t="s">
        <v>281</v>
      </c>
      <c r="D5843" s="579"/>
      <c r="E5843" s="583"/>
      <c r="F5843" s="596"/>
      <c r="G5843" s="65">
        <v>0</v>
      </c>
      <c r="H5843" s="591" t="s">
        <v>280</v>
      </c>
      <c r="I5843" s="591" t="s">
        <v>280</v>
      </c>
    </row>
    <row r="5844" spans="1:9">
      <c r="A5844" s="577"/>
      <c r="B5844" s="65">
        <v>6042</v>
      </c>
      <c r="C5844" s="579" t="s">
        <v>281</v>
      </c>
      <c r="D5844" s="579"/>
      <c r="E5844" s="583"/>
      <c r="F5844" s="596"/>
      <c r="G5844" s="65">
        <v>0</v>
      </c>
      <c r="H5844" s="591" t="s">
        <v>280</v>
      </c>
      <c r="I5844" s="591" t="s">
        <v>280</v>
      </c>
    </row>
    <row r="5845" spans="1:9">
      <c r="A5845" s="577"/>
      <c r="B5845" s="65">
        <v>6043</v>
      </c>
      <c r="C5845" s="579" t="s">
        <v>281</v>
      </c>
      <c r="D5845" s="579"/>
      <c r="E5845" s="583"/>
      <c r="F5845" s="596"/>
      <c r="G5845" s="65">
        <v>0</v>
      </c>
      <c r="H5845" s="591" t="s">
        <v>280</v>
      </c>
      <c r="I5845" s="591" t="s">
        <v>280</v>
      </c>
    </row>
    <row r="5846" spans="1:9">
      <c r="A5846" s="577"/>
      <c r="B5846" s="65">
        <v>6044</v>
      </c>
      <c r="C5846" s="579" t="s">
        <v>281</v>
      </c>
      <c r="D5846" s="579"/>
      <c r="E5846" s="583"/>
      <c r="F5846" s="596"/>
      <c r="G5846" s="65">
        <v>0</v>
      </c>
      <c r="H5846" s="591" t="s">
        <v>280</v>
      </c>
      <c r="I5846" s="591" t="s">
        <v>280</v>
      </c>
    </row>
    <row r="5847" spans="1:9">
      <c r="A5847" s="577"/>
      <c r="B5847" s="65">
        <v>6045</v>
      </c>
      <c r="C5847" s="579" t="s">
        <v>281</v>
      </c>
      <c r="D5847" s="579"/>
      <c r="E5847" s="583"/>
      <c r="F5847" s="596"/>
      <c r="G5847" s="65">
        <v>0</v>
      </c>
      <c r="H5847" s="591" t="s">
        <v>280</v>
      </c>
      <c r="I5847" s="591" t="s">
        <v>280</v>
      </c>
    </row>
    <row r="5848" spans="1:9">
      <c r="A5848" s="577"/>
      <c r="B5848" s="65">
        <v>6046</v>
      </c>
      <c r="C5848" s="579" t="s">
        <v>281</v>
      </c>
      <c r="D5848" s="579"/>
      <c r="E5848" s="583"/>
      <c r="F5848" s="596"/>
      <c r="G5848" s="65">
        <v>0</v>
      </c>
      <c r="H5848" s="591" t="s">
        <v>280</v>
      </c>
      <c r="I5848" s="591" t="s">
        <v>280</v>
      </c>
    </row>
    <row r="5849" spans="1:9">
      <c r="A5849" s="577"/>
      <c r="B5849" s="65">
        <v>6047</v>
      </c>
      <c r="C5849" s="579" t="s">
        <v>281</v>
      </c>
      <c r="D5849" s="579"/>
      <c r="E5849" s="583"/>
      <c r="F5849" s="596"/>
      <c r="G5849" s="65">
        <v>0</v>
      </c>
      <c r="H5849" s="591" t="s">
        <v>280</v>
      </c>
      <c r="I5849" s="591" t="s">
        <v>280</v>
      </c>
    </row>
    <row r="5850" spans="1:9">
      <c r="A5850" s="577"/>
      <c r="B5850" s="65">
        <v>6048</v>
      </c>
      <c r="C5850" s="579" t="s">
        <v>281</v>
      </c>
      <c r="D5850" s="579"/>
      <c r="E5850" s="583"/>
      <c r="F5850" s="596"/>
      <c r="G5850" s="65">
        <v>0</v>
      </c>
      <c r="H5850" s="591" t="s">
        <v>280</v>
      </c>
      <c r="I5850" s="591" t="s">
        <v>280</v>
      </c>
    </row>
    <row r="5851" spans="1:9">
      <c r="A5851" s="577"/>
      <c r="B5851" s="65">
        <v>6049</v>
      </c>
      <c r="C5851" s="579" t="s">
        <v>281</v>
      </c>
      <c r="D5851" s="579"/>
      <c r="E5851" s="583"/>
      <c r="F5851" s="596"/>
      <c r="G5851" s="65">
        <v>0</v>
      </c>
      <c r="H5851" s="591" t="s">
        <v>280</v>
      </c>
      <c r="I5851" s="591" t="s">
        <v>280</v>
      </c>
    </row>
    <row r="5852" spans="1:9">
      <c r="A5852" s="577"/>
      <c r="B5852" s="65">
        <v>6050</v>
      </c>
      <c r="C5852" s="579" t="s">
        <v>281</v>
      </c>
      <c r="D5852" s="579"/>
      <c r="E5852" s="583"/>
      <c r="F5852" s="596"/>
      <c r="G5852" s="65">
        <v>0</v>
      </c>
      <c r="H5852" s="591" t="s">
        <v>280</v>
      </c>
      <c r="I5852" s="591" t="s">
        <v>280</v>
      </c>
    </row>
    <row r="5853" spans="1:9">
      <c r="A5853" s="577"/>
      <c r="B5853" s="65">
        <v>6051</v>
      </c>
      <c r="C5853" s="579" t="s">
        <v>281</v>
      </c>
      <c r="D5853" s="579"/>
      <c r="E5853" s="583"/>
      <c r="F5853" s="596"/>
      <c r="G5853" s="65">
        <v>0</v>
      </c>
      <c r="H5853" s="591" t="s">
        <v>280</v>
      </c>
      <c r="I5853" s="591" t="s">
        <v>280</v>
      </c>
    </row>
    <row r="5854" spans="1:9">
      <c r="A5854" s="577"/>
      <c r="B5854" s="65">
        <v>6052</v>
      </c>
      <c r="C5854" s="579" t="s">
        <v>281</v>
      </c>
      <c r="D5854" s="579"/>
      <c r="E5854" s="583"/>
      <c r="F5854" s="596"/>
      <c r="G5854" s="65">
        <v>0</v>
      </c>
      <c r="H5854" s="591" t="s">
        <v>280</v>
      </c>
      <c r="I5854" s="591" t="s">
        <v>280</v>
      </c>
    </row>
    <row r="5855" spans="1:9">
      <c r="A5855" s="577"/>
      <c r="B5855" s="65">
        <v>6053</v>
      </c>
      <c r="C5855" s="579" t="s">
        <v>281</v>
      </c>
      <c r="D5855" s="579"/>
      <c r="E5855" s="583"/>
      <c r="F5855" s="596"/>
      <c r="G5855" s="65">
        <v>0</v>
      </c>
      <c r="H5855" s="591" t="s">
        <v>280</v>
      </c>
      <c r="I5855" s="591" t="s">
        <v>280</v>
      </c>
    </row>
    <row r="5856" spans="1:9">
      <c r="A5856" s="577"/>
      <c r="B5856" s="65">
        <v>6054</v>
      </c>
      <c r="C5856" s="579" t="s">
        <v>281</v>
      </c>
      <c r="D5856" s="579"/>
      <c r="E5856" s="583"/>
      <c r="F5856" s="596"/>
      <c r="G5856" s="65">
        <v>0</v>
      </c>
      <c r="H5856" s="591" t="s">
        <v>280</v>
      </c>
      <c r="I5856" s="591" t="s">
        <v>280</v>
      </c>
    </row>
    <row r="5857" spans="1:9">
      <c r="A5857" s="577"/>
      <c r="B5857" s="65">
        <v>6055</v>
      </c>
      <c r="C5857" s="579" t="s">
        <v>281</v>
      </c>
      <c r="D5857" s="579"/>
      <c r="E5857" s="583"/>
      <c r="F5857" s="596"/>
      <c r="G5857" s="65">
        <v>0</v>
      </c>
      <c r="H5857" s="591" t="s">
        <v>280</v>
      </c>
      <c r="I5857" s="591" t="s">
        <v>280</v>
      </c>
    </row>
    <row r="5858" spans="1:9">
      <c r="A5858" s="577"/>
      <c r="B5858" s="65">
        <v>6056</v>
      </c>
      <c r="C5858" s="579" t="s">
        <v>281</v>
      </c>
      <c r="D5858" s="579"/>
      <c r="E5858" s="583"/>
      <c r="F5858" s="596"/>
      <c r="G5858" s="65">
        <v>0</v>
      </c>
      <c r="H5858" s="591" t="s">
        <v>280</v>
      </c>
      <c r="I5858" s="591" t="s">
        <v>280</v>
      </c>
    </row>
    <row r="5859" spans="1:9">
      <c r="A5859" s="577"/>
      <c r="B5859" s="65">
        <v>6057</v>
      </c>
      <c r="C5859" s="579" t="s">
        <v>281</v>
      </c>
      <c r="D5859" s="579"/>
      <c r="E5859" s="583"/>
      <c r="F5859" s="596"/>
      <c r="G5859" s="65">
        <v>0</v>
      </c>
      <c r="H5859" s="591" t="s">
        <v>280</v>
      </c>
      <c r="I5859" s="591" t="s">
        <v>280</v>
      </c>
    </row>
    <row r="5860" spans="1:9">
      <c r="A5860" s="577"/>
      <c r="B5860" s="65">
        <v>6058</v>
      </c>
      <c r="C5860" s="579" t="s">
        <v>281</v>
      </c>
      <c r="D5860" s="579"/>
      <c r="E5860" s="583"/>
      <c r="F5860" s="596"/>
      <c r="G5860" s="65">
        <v>0</v>
      </c>
      <c r="H5860" s="591" t="s">
        <v>280</v>
      </c>
      <c r="I5860" s="591" t="s">
        <v>280</v>
      </c>
    </row>
    <row r="5861" spans="1:9">
      <c r="A5861" s="577"/>
      <c r="B5861" s="65">
        <v>6059</v>
      </c>
      <c r="C5861" s="579" t="s">
        <v>281</v>
      </c>
      <c r="D5861" s="579"/>
      <c r="E5861" s="583"/>
      <c r="F5861" s="596"/>
      <c r="G5861" s="65">
        <v>0</v>
      </c>
      <c r="H5861" s="591" t="s">
        <v>280</v>
      </c>
      <c r="I5861" s="591" t="s">
        <v>280</v>
      </c>
    </row>
    <row r="5862" spans="1:9">
      <c r="A5862" s="577"/>
      <c r="B5862" s="65">
        <v>6060</v>
      </c>
      <c r="C5862" s="579" t="s">
        <v>281</v>
      </c>
      <c r="D5862" s="579"/>
      <c r="E5862" s="583"/>
      <c r="F5862" s="596"/>
      <c r="G5862" s="65">
        <v>0</v>
      </c>
      <c r="H5862" s="591" t="s">
        <v>280</v>
      </c>
      <c r="I5862" s="591" t="s">
        <v>280</v>
      </c>
    </row>
    <row r="5863" spans="1:9">
      <c r="A5863" s="577"/>
      <c r="B5863" s="65">
        <v>6061</v>
      </c>
      <c r="C5863" s="579" t="s">
        <v>281</v>
      </c>
      <c r="D5863" s="579"/>
      <c r="E5863" s="583"/>
      <c r="F5863" s="596"/>
      <c r="G5863" s="65">
        <v>0</v>
      </c>
      <c r="H5863" s="591" t="s">
        <v>280</v>
      </c>
      <c r="I5863" s="591" t="s">
        <v>280</v>
      </c>
    </row>
    <row r="5864" spans="1:9">
      <c r="A5864" s="577"/>
      <c r="B5864" s="65">
        <v>6062</v>
      </c>
      <c r="C5864" s="579" t="s">
        <v>281</v>
      </c>
      <c r="D5864" s="579"/>
      <c r="E5864" s="583"/>
      <c r="F5864" s="596"/>
      <c r="G5864" s="65">
        <v>0</v>
      </c>
      <c r="H5864" s="591" t="s">
        <v>280</v>
      </c>
      <c r="I5864" s="591" t="s">
        <v>280</v>
      </c>
    </row>
    <row r="5865" spans="1:9">
      <c r="A5865" s="577"/>
      <c r="B5865" s="65">
        <v>6063</v>
      </c>
      <c r="C5865" s="579" t="s">
        <v>281</v>
      </c>
      <c r="D5865" s="579"/>
      <c r="E5865" s="583"/>
      <c r="F5865" s="596"/>
      <c r="G5865" s="65">
        <v>0</v>
      </c>
      <c r="H5865" s="591" t="s">
        <v>280</v>
      </c>
      <c r="I5865" s="591" t="s">
        <v>280</v>
      </c>
    </row>
    <row r="5866" spans="1:9">
      <c r="A5866" s="577"/>
      <c r="B5866" s="65">
        <v>6064</v>
      </c>
      <c r="C5866" s="579" t="s">
        <v>281</v>
      </c>
      <c r="D5866" s="579"/>
      <c r="E5866" s="583"/>
      <c r="F5866" s="596"/>
      <c r="G5866" s="65">
        <v>0</v>
      </c>
      <c r="H5866" s="591" t="s">
        <v>280</v>
      </c>
      <c r="I5866" s="591" t="s">
        <v>280</v>
      </c>
    </row>
    <row r="5867" spans="1:9">
      <c r="A5867" s="577"/>
      <c r="B5867" s="65">
        <v>6065</v>
      </c>
      <c r="C5867" s="579" t="s">
        <v>281</v>
      </c>
      <c r="D5867" s="579"/>
      <c r="E5867" s="583"/>
      <c r="F5867" s="596"/>
      <c r="G5867" s="65">
        <v>0</v>
      </c>
      <c r="H5867" s="591" t="s">
        <v>280</v>
      </c>
      <c r="I5867" s="591" t="s">
        <v>280</v>
      </c>
    </row>
    <row r="5868" spans="1:9">
      <c r="A5868" s="577"/>
      <c r="B5868" s="65">
        <v>6066</v>
      </c>
      <c r="C5868" s="579" t="s">
        <v>281</v>
      </c>
      <c r="D5868" s="579"/>
      <c r="E5868" s="583"/>
      <c r="F5868" s="596"/>
      <c r="G5868" s="65">
        <v>0</v>
      </c>
      <c r="H5868" s="591" t="s">
        <v>280</v>
      </c>
      <c r="I5868" s="591" t="s">
        <v>280</v>
      </c>
    </row>
    <row r="5869" spans="1:9">
      <c r="A5869" s="577"/>
      <c r="B5869" s="65">
        <v>6067</v>
      </c>
      <c r="C5869" s="579" t="s">
        <v>281</v>
      </c>
      <c r="D5869" s="579"/>
      <c r="E5869" s="583"/>
      <c r="F5869" s="596"/>
      <c r="G5869" s="65">
        <v>0</v>
      </c>
      <c r="H5869" s="591" t="s">
        <v>280</v>
      </c>
      <c r="I5869" s="591" t="s">
        <v>280</v>
      </c>
    </row>
    <row r="5870" spans="1:9">
      <c r="A5870" s="577"/>
      <c r="B5870" s="65">
        <v>6068</v>
      </c>
      <c r="C5870" s="579" t="s">
        <v>281</v>
      </c>
      <c r="D5870" s="579"/>
      <c r="E5870" s="583"/>
      <c r="F5870" s="596"/>
      <c r="G5870" s="65">
        <v>0</v>
      </c>
      <c r="H5870" s="591" t="s">
        <v>280</v>
      </c>
      <c r="I5870" s="591" t="s">
        <v>280</v>
      </c>
    </row>
    <row r="5871" spans="1:9">
      <c r="A5871" s="577"/>
      <c r="B5871" s="65">
        <v>6069</v>
      </c>
      <c r="C5871" s="579" t="s">
        <v>281</v>
      </c>
      <c r="D5871" s="579"/>
      <c r="E5871" s="583"/>
      <c r="F5871" s="596"/>
      <c r="G5871" s="65">
        <v>0</v>
      </c>
      <c r="H5871" s="591" t="s">
        <v>280</v>
      </c>
      <c r="I5871" s="591" t="s">
        <v>280</v>
      </c>
    </row>
    <row r="5872" spans="1:9">
      <c r="A5872" s="577"/>
      <c r="B5872" s="65">
        <v>6070</v>
      </c>
      <c r="C5872" s="579" t="s">
        <v>281</v>
      </c>
      <c r="D5872" s="579"/>
      <c r="E5872" s="583"/>
      <c r="F5872" s="596"/>
      <c r="G5872" s="65">
        <v>0</v>
      </c>
      <c r="H5872" s="591" t="s">
        <v>280</v>
      </c>
      <c r="I5872" s="591" t="s">
        <v>280</v>
      </c>
    </row>
    <row r="5873" spans="1:9">
      <c r="A5873" s="577"/>
      <c r="B5873" s="65">
        <v>6071</v>
      </c>
      <c r="C5873" s="579" t="s">
        <v>281</v>
      </c>
      <c r="D5873" s="579"/>
      <c r="E5873" s="583"/>
      <c r="F5873" s="596"/>
      <c r="G5873" s="65">
        <v>0</v>
      </c>
      <c r="H5873" s="591" t="s">
        <v>280</v>
      </c>
      <c r="I5873" s="591" t="s">
        <v>280</v>
      </c>
    </row>
    <row r="5874" spans="1:9">
      <c r="A5874" s="577"/>
      <c r="B5874" s="65">
        <v>6072</v>
      </c>
      <c r="C5874" s="579" t="s">
        <v>281</v>
      </c>
      <c r="D5874" s="579"/>
      <c r="E5874" s="583"/>
      <c r="F5874" s="596"/>
      <c r="G5874" s="65">
        <v>0</v>
      </c>
      <c r="H5874" s="591" t="s">
        <v>280</v>
      </c>
      <c r="I5874" s="591" t="s">
        <v>280</v>
      </c>
    </row>
    <row r="5875" spans="1:9">
      <c r="A5875" s="577"/>
      <c r="B5875" s="65">
        <v>6073</v>
      </c>
      <c r="C5875" s="579" t="s">
        <v>281</v>
      </c>
      <c r="D5875" s="579"/>
      <c r="E5875" s="583"/>
      <c r="F5875" s="596"/>
      <c r="G5875" s="65">
        <v>0</v>
      </c>
      <c r="H5875" s="591" t="s">
        <v>280</v>
      </c>
      <c r="I5875" s="591" t="s">
        <v>280</v>
      </c>
    </row>
    <row r="5876" spans="1:9">
      <c r="A5876" s="577"/>
      <c r="B5876" s="65">
        <v>6074</v>
      </c>
      <c r="C5876" s="579" t="s">
        <v>281</v>
      </c>
      <c r="D5876" s="579"/>
      <c r="E5876" s="583"/>
      <c r="F5876" s="596"/>
      <c r="G5876" s="65">
        <v>0</v>
      </c>
      <c r="H5876" s="591" t="s">
        <v>280</v>
      </c>
      <c r="I5876" s="591" t="s">
        <v>280</v>
      </c>
    </row>
    <row r="5877" spans="1:9">
      <c r="A5877" s="577"/>
      <c r="B5877" s="65">
        <v>6075</v>
      </c>
      <c r="C5877" s="579" t="s">
        <v>281</v>
      </c>
      <c r="D5877" s="579"/>
      <c r="E5877" s="583"/>
      <c r="F5877" s="596"/>
      <c r="G5877" s="65">
        <v>0</v>
      </c>
      <c r="H5877" s="591" t="s">
        <v>280</v>
      </c>
      <c r="I5877" s="591" t="s">
        <v>280</v>
      </c>
    </row>
    <row r="5878" spans="1:9">
      <c r="A5878" s="577"/>
      <c r="B5878" s="65">
        <v>6076</v>
      </c>
      <c r="C5878" s="579" t="s">
        <v>281</v>
      </c>
      <c r="D5878" s="579"/>
      <c r="E5878" s="583"/>
      <c r="F5878" s="596"/>
      <c r="G5878" s="65">
        <v>0</v>
      </c>
      <c r="H5878" s="591" t="s">
        <v>280</v>
      </c>
      <c r="I5878" s="591" t="s">
        <v>280</v>
      </c>
    </row>
    <row r="5879" spans="1:9">
      <c r="A5879" s="577"/>
      <c r="B5879" s="65">
        <v>6077</v>
      </c>
      <c r="C5879" s="579" t="s">
        <v>281</v>
      </c>
      <c r="D5879" s="579"/>
      <c r="E5879" s="583"/>
      <c r="F5879" s="596"/>
      <c r="G5879" s="65">
        <v>0</v>
      </c>
      <c r="H5879" s="591" t="s">
        <v>280</v>
      </c>
      <c r="I5879" s="591" t="s">
        <v>280</v>
      </c>
    </row>
    <row r="5880" spans="1:9">
      <c r="A5880" s="577"/>
      <c r="B5880" s="65">
        <v>6078</v>
      </c>
      <c r="C5880" s="579" t="s">
        <v>281</v>
      </c>
      <c r="D5880" s="579"/>
      <c r="E5880" s="583"/>
      <c r="F5880" s="596"/>
      <c r="G5880" s="65">
        <v>0</v>
      </c>
      <c r="H5880" s="591" t="s">
        <v>280</v>
      </c>
      <c r="I5880" s="591" t="s">
        <v>280</v>
      </c>
    </row>
    <row r="5881" spans="1:9">
      <c r="A5881" s="577"/>
      <c r="B5881" s="65">
        <v>6079</v>
      </c>
      <c r="C5881" s="579" t="s">
        <v>281</v>
      </c>
      <c r="D5881" s="579"/>
      <c r="E5881" s="583"/>
      <c r="F5881" s="596"/>
      <c r="G5881" s="65">
        <v>0</v>
      </c>
      <c r="H5881" s="591" t="s">
        <v>280</v>
      </c>
      <c r="I5881" s="591" t="s">
        <v>280</v>
      </c>
    </row>
    <row r="5882" spans="1:9">
      <c r="A5882" s="577"/>
      <c r="B5882" s="65">
        <v>6080</v>
      </c>
      <c r="C5882" s="579" t="s">
        <v>281</v>
      </c>
      <c r="D5882" s="579"/>
      <c r="E5882" s="583"/>
      <c r="F5882" s="596"/>
      <c r="G5882" s="65">
        <v>0</v>
      </c>
      <c r="H5882" s="591" t="s">
        <v>280</v>
      </c>
      <c r="I5882" s="591" t="s">
        <v>280</v>
      </c>
    </row>
    <row r="5883" spans="1:9">
      <c r="A5883" s="577"/>
      <c r="B5883" s="65">
        <v>6081</v>
      </c>
      <c r="C5883" s="579" t="s">
        <v>281</v>
      </c>
      <c r="D5883" s="579"/>
      <c r="E5883" s="583"/>
      <c r="F5883" s="596"/>
      <c r="G5883" s="65">
        <v>0</v>
      </c>
      <c r="H5883" s="591" t="s">
        <v>280</v>
      </c>
      <c r="I5883" s="591" t="s">
        <v>280</v>
      </c>
    </row>
    <row r="5884" spans="1:9">
      <c r="A5884" s="577"/>
      <c r="B5884" s="65">
        <v>6082</v>
      </c>
      <c r="C5884" s="579" t="s">
        <v>281</v>
      </c>
      <c r="D5884" s="579"/>
      <c r="E5884" s="583"/>
      <c r="F5884" s="596"/>
      <c r="G5884" s="65">
        <v>0</v>
      </c>
      <c r="H5884" s="591" t="s">
        <v>280</v>
      </c>
      <c r="I5884" s="591" t="s">
        <v>280</v>
      </c>
    </row>
    <row r="5885" spans="1:9">
      <c r="A5885" s="577"/>
      <c r="B5885" s="65">
        <v>6083</v>
      </c>
      <c r="C5885" s="579" t="s">
        <v>281</v>
      </c>
      <c r="D5885" s="579"/>
      <c r="E5885" s="583"/>
      <c r="F5885" s="596"/>
      <c r="G5885" s="65">
        <v>0</v>
      </c>
      <c r="H5885" s="591" t="s">
        <v>280</v>
      </c>
      <c r="I5885" s="591" t="s">
        <v>280</v>
      </c>
    </row>
    <row r="5886" spans="1:9">
      <c r="A5886" s="577"/>
      <c r="B5886" s="65">
        <v>6084</v>
      </c>
      <c r="C5886" s="579" t="s">
        <v>281</v>
      </c>
      <c r="D5886" s="579"/>
      <c r="E5886" s="583"/>
      <c r="F5886" s="596"/>
      <c r="G5886" s="65">
        <v>0</v>
      </c>
      <c r="H5886" s="591" t="s">
        <v>280</v>
      </c>
      <c r="I5886" s="591" t="s">
        <v>280</v>
      </c>
    </row>
    <row r="5887" spans="1:9">
      <c r="A5887" s="577"/>
      <c r="B5887" s="65">
        <v>6085</v>
      </c>
      <c r="C5887" s="579" t="s">
        <v>281</v>
      </c>
      <c r="D5887" s="579"/>
      <c r="E5887" s="583"/>
      <c r="F5887" s="596"/>
      <c r="G5887" s="65">
        <v>0</v>
      </c>
      <c r="H5887" s="591" t="s">
        <v>280</v>
      </c>
      <c r="I5887" s="591" t="s">
        <v>280</v>
      </c>
    </row>
    <row r="5888" spans="1:9">
      <c r="A5888" s="577"/>
      <c r="B5888" s="65">
        <v>6086</v>
      </c>
      <c r="C5888" s="579" t="s">
        <v>281</v>
      </c>
      <c r="D5888" s="579"/>
      <c r="E5888" s="583"/>
      <c r="F5888" s="596"/>
      <c r="G5888" s="65">
        <v>0</v>
      </c>
      <c r="H5888" s="591" t="s">
        <v>280</v>
      </c>
      <c r="I5888" s="591" t="s">
        <v>280</v>
      </c>
    </row>
    <row r="5889" spans="1:9">
      <c r="A5889" s="577"/>
      <c r="B5889" s="65">
        <v>6087</v>
      </c>
      <c r="C5889" s="579" t="s">
        <v>281</v>
      </c>
      <c r="D5889" s="579"/>
      <c r="E5889" s="583"/>
      <c r="F5889" s="596"/>
      <c r="G5889" s="65">
        <v>0</v>
      </c>
      <c r="H5889" s="591" t="s">
        <v>280</v>
      </c>
      <c r="I5889" s="591" t="s">
        <v>280</v>
      </c>
    </row>
    <row r="5890" spans="1:9">
      <c r="A5890" s="577"/>
      <c r="B5890" s="65">
        <v>6088</v>
      </c>
      <c r="C5890" s="579" t="s">
        <v>281</v>
      </c>
      <c r="D5890" s="579"/>
      <c r="E5890" s="583"/>
      <c r="F5890" s="596"/>
      <c r="G5890" s="65">
        <v>0</v>
      </c>
      <c r="H5890" s="591" t="s">
        <v>280</v>
      </c>
      <c r="I5890" s="591" t="s">
        <v>280</v>
      </c>
    </row>
    <row r="5891" spans="1:9">
      <c r="A5891" s="577"/>
      <c r="B5891" s="65">
        <v>6089</v>
      </c>
      <c r="C5891" s="579" t="s">
        <v>281</v>
      </c>
      <c r="D5891" s="579"/>
      <c r="E5891" s="583"/>
      <c r="F5891" s="596"/>
      <c r="G5891" s="65">
        <v>0</v>
      </c>
      <c r="H5891" s="591" t="s">
        <v>280</v>
      </c>
      <c r="I5891" s="591" t="s">
        <v>280</v>
      </c>
    </row>
    <row r="5892" spans="1:9">
      <c r="A5892" s="577"/>
      <c r="B5892" s="65">
        <v>6090</v>
      </c>
      <c r="C5892" s="579" t="s">
        <v>281</v>
      </c>
      <c r="D5892" s="579"/>
      <c r="E5892" s="583"/>
      <c r="F5892" s="596"/>
      <c r="G5892" s="65">
        <v>0</v>
      </c>
      <c r="H5892" s="591" t="s">
        <v>280</v>
      </c>
      <c r="I5892" s="591" t="s">
        <v>280</v>
      </c>
    </row>
    <row r="5893" spans="1:9">
      <c r="A5893" s="577"/>
      <c r="B5893" s="65">
        <v>6091</v>
      </c>
      <c r="C5893" s="579" t="s">
        <v>281</v>
      </c>
      <c r="D5893" s="579"/>
      <c r="E5893" s="583"/>
      <c r="F5893" s="596"/>
      <c r="G5893" s="65">
        <v>0</v>
      </c>
      <c r="H5893" s="591" t="s">
        <v>280</v>
      </c>
      <c r="I5893" s="591" t="s">
        <v>280</v>
      </c>
    </row>
    <row r="5894" spans="1:9">
      <c r="A5894" s="577"/>
      <c r="B5894" s="65">
        <v>6092</v>
      </c>
      <c r="C5894" s="579" t="s">
        <v>281</v>
      </c>
      <c r="D5894" s="579"/>
      <c r="E5894" s="583"/>
      <c r="F5894" s="596"/>
      <c r="G5894" s="65">
        <v>0</v>
      </c>
      <c r="H5894" s="591" t="s">
        <v>280</v>
      </c>
      <c r="I5894" s="591" t="s">
        <v>280</v>
      </c>
    </row>
    <row r="5895" spans="1:9">
      <c r="A5895" s="577"/>
      <c r="B5895" s="65">
        <v>6093</v>
      </c>
      <c r="C5895" s="579" t="s">
        <v>281</v>
      </c>
      <c r="D5895" s="579"/>
      <c r="E5895" s="583"/>
      <c r="F5895" s="596"/>
      <c r="G5895" s="65">
        <v>0</v>
      </c>
      <c r="H5895" s="591" t="s">
        <v>280</v>
      </c>
      <c r="I5895" s="591" t="s">
        <v>280</v>
      </c>
    </row>
    <row r="5896" spans="1:9">
      <c r="A5896" s="577"/>
      <c r="B5896" s="65">
        <v>6094</v>
      </c>
      <c r="C5896" s="579" t="s">
        <v>281</v>
      </c>
      <c r="D5896" s="579"/>
      <c r="E5896" s="583"/>
      <c r="F5896" s="596"/>
      <c r="G5896" s="65">
        <v>0</v>
      </c>
      <c r="H5896" s="591" t="s">
        <v>280</v>
      </c>
      <c r="I5896" s="591" t="s">
        <v>280</v>
      </c>
    </row>
    <row r="5897" spans="1:9">
      <c r="A5897" s="577"/>
      <c r="B5897" s="65">
        <v>6095</v>
      </c>
      <c r="C5897" s="579" t="s">
        <v>281</v>
      </c>
      <c r="D5897" s="579"/>
      <c r="E5897" s="583"/>
      <c r="F5897" s="596"/>
      <c r="G5897" s="65">
        <v>0</v>
      </c>
      <c r="H5897" s="591" t="s">
        <v>280</v>
      </c>
      <c r="I5897" s="591" t="s">
        <v>280</v>
      </c>
    </row>
    <row r="5898" spans="1:9">
      <c r="A5898" s="577"/>
      <c r="B5898" s="65">
        <v>6096</v>
      </c>
      <c r="C5898" s="579" t="s">
        <v>281</v>
      </c>
      <c r="D5898" s="579"/>
      <c r="E5898" s="583"/>
      <c r="F5898" s="596"/>
      <c r="G5898" s="65">
        <v>0</v>
      </c>
      <c r="H5898" s="591" t="s">
        <v>280</v>
      </c>
      <c r="I5898" s="591" t="s">
        <v>280</v>
      </c>
    </row>
    <row r="5899" spans="1:9">
      <c r="A5899" s="577"/>
      <c r="B5899" s="65">
        <v>6097</v>
      </c>
      <c r="C5899" s="579" t="s">
        <v>281</v>
      </c>
      <c r="D5899" s="579"/>
      <c r="E5899" s="583"/>
      <c r="F5899" s="596"/>
      <c r="G5899" s="65">
        <v>0</v>
      </c>
      <c r="H5899" s="591" t="s">
        <v>280</v>
      </c>
      <c r="I5899" s="591" t="s">
        <v>280</v>
      </c>
    </row>
    <row r="5900" spans="1:9">
      <c r="A5900" s="577"/>
      <c r="B5900" s="65">
        <v>6098</v>
      </c>
      <c r="C5900" s="579" t="s">
        <v>281</v>
      </c>
      <c r="D5900" s="579"/>
      <c r="E5900" s="583"/>
      <c r="F5900" s="596"/>
      <c r="G5900" s="65">
        <v>0</v>
      </c>
      <c r="H5900" s="591" t="s">
        <v>280</v>
      </c>
      <c r="I5900" s="591" t="s">
        <v>280</v>
      </c>
    </row>
    <row r="5901" spans="1:9">
      <c r="A5901" s="577"/>
      <c r="B5901" s="65">
        <v>6099</v>
      </c>
      <c r="C5901" s="579" t="s">
        <v>281</v>
      </c>
      <c r="D5901" s="579"/>
      <c r="E5901" s="583"/>
      <c r="F5901" s="596"/>
      <c r="G5901" s="65">
        <v>0</v>
      </c>
      <c r="H5901" s="591" t="s">
        <v>280</v>
      </c>
      <c r="I5901" s="591" t="s">
        <v>280</v>
      </c>
    </row>
    <row r="5902" spans="1:9">
      <c r="A5902" s="577"/>
      <c r="B5902" s="65">
        <v>6100</v>
      </c>
      <c r="C5902" s="579" t="s">
        <v>281</v>
      </c>
      <c r="D5902" s="579"/>
      <c r="E5902" s="583"/>
      <c r="F5902" s="596"/>
      <c r="G5902" s="65">
        <v>0</v>
      </c>
      <c r="H5902" s="591" t="s">
        <v>280</v>
      </c>
      <c r="I5902" s="591" t="s">
        <v>280</v>
      </c>
    </row>
    <row r="5903" spans="1:9">
      <c r="A5903" s="577"/>
      <c r="B5903" s="65">
        <v>6101</v>
      </c>
      <c r="C5903" s="579" t="s">
        <v>281</v>
      </c>
      <c r="D5903" s="579"/>
      <c r="E5903" s="583"/>
      <c r="F5903" s="596"/>
      <c r="G5903" s="65">
        <v>0</v>
      </c>
      <c r="H5903" s="591" t="s">
        <v>280</v>
      </c>
      <c r="I5903" s="591" t="s">
        <v>280</v>
      </c>
    </row>
    <row r="5904" spans="1:9">
      <c r="A5904" s="577"/>
      <c r="B5904" s="65">
        <v>6102</v>
      </c>
      <c r="C5904" s="579" t="s">
        <v>281</v>
      </c>
      <c r="D5904" s="579"/>
      <c r="E5904" s="583"/>
      <c r="F5904" s="596"/>
      <c r="G5904" s="65">
        <v>0</v>
      </c>
      <c r="H5904" s="591" t="s">
        <v>280</v>
      </c>
      <c r="I5904" s="591" t="s">
        <v>280</v>
      </c>
    </row>
    <row r="5905" spans="1:9">
      <c r="A5905" s="577"/>
      <c r="B5905" s="65">
        <v>6103</v>
      </c>
      <c r="C5905" s="579" t="s">
        <v>281</v>
      </c>
      <c r="D5905" s="579"/>
      <c r="E5905" s="583"/>
      <c r="F5905" s="596"/>
      <c r="G5905" s="65">
        <v>0</v>
      </c>
      <c r="H5905" s="591" t="s">
        <v>280</v>
      </c>
      <c r="I5905" s="591" t="s">
        <v>280</v>
      </c>
    </row>
    <row r="5906" spans="1:9">
      <c r="A5906" s="577"/>
      <c r="B5906" s="65">
        <v>6104</v>
      </c>
      <c r="C5906" s="579" t="s">
        <v>281</v>
      </c>
      <c r="D5906" s="579"/>
      <c r="E5906" s="583"/>
      <c r="F5906" s="596"/>
      <c r="G5906" s="65">
        <v>0</v>
      </c>
      <c r="H5906" s="591" t="s">
        <v>280</v>
      </c>
      <c r="I5906" s="591" t="s">
        <v>280</v>
      </c>
    </row>
    <row r="5907" spans="1:9">
      <c r="A5907" s="577"/>
      <c r="B5907" s="65">
        <v>6105</v>
      </c>
      <c r="C5907" s="579" t="s">
        <v>281</v>
      </c>
      <c r="D5907" s="579"/>
      <c r="E5907" s="583"/>
      <c r="F5907" s="596"/>
      <c r="G5907" s="65">
        <v>0</v>
      </c>
      <c r="H5907" s="591" t="s">
        <v>280</v>
      </c>
      <c r="I5907" s="591" t="s">
        <v>280</v>
      </c>
    </row>
    <row r="5908" spans="1:9">
      <c r="A5908" s="577"/>
      <c r="B5908" s="65">
        <v>6106</v>
      </c>
      <c r="C5908" s="579" t="s">
        <v>281</v>
      </c>
      <c r="D5908" s="579"/>
      <c r="E5908" s="583"/>
      <c r="F5908" s="596"/>
      <c r="G5908" s="65">
        <v>0</v>
      </c>
      <c r="H5908" s="591" t="s">
        <v>280</v>
      </c>
      <c r="I5908" s="591" t="s">
        <v>280</v>
      </c>
    </row>
    <row r="5909" spans="1:9">
      <c r="A5909" s="577"/>
      <c r="B5909" s="65">
        <v>6107</v>
      </c>
      <c r="C5909" s="579" t="s">
        <v>281</v>
      </c>
      <c r="D5909" s="579"/>
      <c r="E5909" s="583"/>
      <c r="F5909" s="596"/>
      <c r="G5909" s="65">
        <v>0</v>
      </c>
      <c r="H5909" s="591" t="s">
        <v>280</v>
      </c>
      <c r="I5909" s="591" t="s">
        <v>280</v>
      </c>
    </row>
    <row r="5910" spans="1:9">
      <c r="A5910" s="577"/>
      <c r="B5910" s="65">
        <v>6108</v>
      </c>
      <c r="C5910" s="579" t="s">
        <v>281</v>
      </c>
      <c r="D5910" s="579"/>
      <c r="E5910" s="583"/>
      <c r="F5910" s="596"/>
      <c r="G5910" s="65">
        <v>0</v>
      </c>
      <c r="H5910" s="591" t="s">
        <v>280</v>
      </c>
      <c r="I5910" s="591" t="s">
        <v>280</v>
      </c>
    </row>
    <row r="5911" spans="1:9">
      <c r="A5911" s="577"/>
      <c r="B5911" s="65">
        <v>6109</v>
      </c>
      <c r="C5911" s="579" t="s">
        <v>281</v>
      </c>
      <c r="D5911" s="579"/>
      <c r="E5911" s="583"/>
      <c r="F5911" s="596"/>
      <c r="G5911" s="65">
        <v>0</v>
      </c>
      <c r="H5911" s="591" t="s">
        <v>280</v>
      </c>
      <c r="I5911" s="591" t="s">
        <v>280</v>
      </c>
    </row>
    <row r="5912" spans="1:9">
      <c r="A5912" s="577"/>
      <c r="B5912" s="65">
        <v>6110</v>
      </c>
      <c r="C5912" s="579" t="s">
        <v>281</v>
      </c>
      <c r="D5912" s="579"/>
      <c r="E5912" s="583"/>
      <c r="F5912" s="596"/>
      <c r="G5912" s="65">
        <v>0</v>
      </c>
      <c r="H5912" s="591" t="s">
        <v>280</v>
      </c>
      <c r="I5912" s="591" t="s">
        <v>280</v>
      </c>
    </row>
    <row r="5913" spans="1:9">
      <c r="A5913" s="577"/>
      <c r="B5913" s="65">
        <v>6111</v>
      </c>
      <c r="C5913" s="579" t="s">
        <v>281</v>
      </c>
      <c r="D5913" s="579"/>
      <c r="E5913" s="583"/>
      <c r="F5913" s="596"/>
      <c r="G5913" s="65">
        <v>0</v>
      </c>
      <c r="H5913" s="591" t="s">
        <v>280</v>
      </c>
      <c r="I5913" s="591" t="s">
        <v>280</v>
      </c>
    </row>
    <row r="5914" spans="1:9">
      <c r="A5914" s="577"/>
      <c r="B5914" s="65">
        <v>6112</v>
      </c>
      <c r="C5914" s="579" t="s">
        <v>281</v>
      </c>
      <c r="D5914" s="579"/>
      <c r="E5914" s="583"/>
      <c r="F5914" s="596"/>
      <c r="G5914" s="65">
        <v>0</v>
      </c>
      <c r="H5914" s="591" t="s">
        <v>280</v>
      </c>
      <c r="I5914" s="591" t="s">
        <v>280</v>
      </c>
    </row>
    <row r="5915" spans="1:9">
      <c r="A5915" s="577"/>
      <c r="B5915" s="65">
        <v>6113</v>
      </c>
      <c r="C5915" s="579" t="s">
        <v>281</v>
      </c>
      <c r="D5915" s="579"/>
      <c r="E5915" s="583"/>
      <c r="F5915" s="596"/>
      <c r="G5915" s="65">
        <v>0</v>
      </c>
      <c r="H5915" s="591" t="s">
        <v>280</v>
      </c>
      <c r="I5915" s="591" t="s">
        <v>280</v>
      </c>
    </row>
    <row r="5916" spans="1:9">
      <c r="A5916" s="577"/>
      <c r="B5916" s="65">
        <v>6114</v>
      </c>
      <c r="C5916" s="579" t="s">
        <v>281</v>
      </c>
      <c r="D5916" s="579"/>
      <c r="E5916" s="583"/>
      <c r="F5916" s="596"/>
      <c r="G5916" s="65">
        <v>0</v>
      </c>
      <c r="H5916" s="591" t="s">
        <v>280</v>
      </c>
      <c r="I5916" s="591" t="s">
        <v>280</v>
      </c>
    </row>
    <row r="5917" spans="1:9">
      <c r="A5917" s="577"/>
      <c r="B5917" s="65">
        <v>6115</v>
      </c>
      <c r="C5917" s="579" t="s">
        <v>281</v>
      </c>
      <c r="D5917" s="579"/>
      <c r="E5917" s="583"/>
      <c r="F5917" s="596"/>
      <c r="G5917" s="65">
        <v>0</v>
      </c>
      <c r="H5917" s="591" t="s">
        <v>280</v>
      </c>
      <c r="I5917" s="591" t="s">
        <v>280</v>
      </c>
    </row>
    <row r="5918" spans="1:9">
      <c r="A5918" s="577"/>
      <c r="B5918" s="65">
        <v>6116</v>
      </c>
      <c r="C5918" s="579" t="s">
        <v>281</v>
      </c>
      <c r="D5918" s="579"/>
      <c r="E5918" s="583"/>
      <c r="F5918" s="596"/>
      <c r="G5918" s="65">
        <v>0</v>
      </c>
      <c r="H5918" s="591" t="s">
        <v>280</v>
      </c>
      <c r="I5918" s="591" t="s">
        <v>280</v>
      </c>
    </row>
    <row r="5919" spans="1:9">
      <c r="A5919" s="577"/>
      <c r="B5919" s="65">
        <v>6117</v>
      </c>
      <c r="C5919" s="579" t="s">
        <v>281</v>
      </c>
      <c r="D5919" s="579"/>
      <c r="E5919" s="583"/>
      <c r="F5919" s="596"/>
      <c r="G5919" s="65">
        <v>0</v>
      </c>
      <c r="H5919" s="591" t="s">
        <v>280</v>
      </c>
      <c r="I5919" s="591" t="s">
        <v>280</v>
      </c>
    </row>
    <row r="5920" spans="1:9">
      <c r="A5920" s="577"/>
      <c r="B5920" s="65">
        <v>6118</v>
      </c>
      <c r="C5920" s="579" t="s">
        <v>281</v>
      </c>
      <c r="D5920" s="579"/>
      <c r="E5920" s="583"/>
      <c r="F5920" s="596"/>
      <c r="G5920" s="65">
        <v>0</v>
      </c>
      <c r="H5920" s="591" t="s">
        <v>280</v>
      </c>
      <c r="I5920" s="591" t="s">
        <v>280</v>
      </c>
    </row>
    <row r="5921" spans="1:9">
      <c r="A5921" s="577"/>
      <c r="B5921" s="65">
        <v>6119</v>
      </c>
      <c r="C5921" s="579" t="s">
        <v>281</v>
      </c>
      <c r="D5921" s="579"/>
      <c r="E5921" s="583"/>
      <c r="F5921" s="596"/>
      <c r="G5921" s="65">
        <v>0</v>
      </c>
      <c r="H5921" s="591" t="s">
        <v>280</v>
      </c>
      <c r="I5921" s="591" t="s">
        <v>280</v>
      </c>
    </row>
    <row r="5922" spans="1:9">
      <c r="A5922" s="577"/>
      <c r="B5922" s="65">
        <v>6120</v>
      </c>
      <c r="C5922" s="579" t="s">
        <v>281</v>
      </c>
      <c r="D5922" s="579"/>
      <c r="E5922" s="583"/>
      <c r="F5922" s="596"/>
      <c r="G5922" s="65">
        <v>0</v>
      </c>
      <c r="H5922" s="591" t="s">
        <v>280</v>
      </c>
      <c r="I5922" s="591" t="s">
        <v>280</v>
      </c>
    </row>
    <row r="5923" spans="1:9">
      <c r="A5923" s="577"/>
      <c r="B5923" s="65">
        <v>6121</v>
      </c>
      <c r="C5923" s="579" t="s">
        <v>281</v>
      </c>
      <c r="D5923" s="579"/>
      <c r="E5923" s="583"/>
      <c r="F5923" s="596"/>
      <c r="G5923" s="65">
        <v>0</v>
      </c>
      <c r="H5923" s="591" t="s">
        <v>280</v>
      </c>
      <c r="I5923" s="591" t="s">
        <v>280</v>
      </c>
    </row>
    <row r="5924" spans="1:9">
      <c r="A5924" s="577"/>
      <c r="B5924" s="65">
        <v>6122</v>
      </c>
      <c r="C5924" s="579" t="s">
        <v>281</v>
      </c>
      <c r="D5924" s="579"/>
      <c r="E5924" s="583"/>
      <c r="F5924" s="596"/>
      <c r="G5924" s="65">
        <v>0</v>
      </c>
      <c r="H5924" s="591" t="s">
        <v>280</v>
      </c>
      <c r="I5924" s="591" t="s">
        <v>280</v>
      </c>
    </row>
    <row r="5925" spans="1:9">
      <c r="A5925" s="577"/>
      <c r="B5925" s="65">
        <v>6123</v>
      </c>
      <c r="C5925" s="579" t="s">
        <v>281</v>
      </c>
      <c r="D5925" s="579"/>
      <c r="E5925" s="583"/>
      <c r="F5925" s="596"/>
      <c r="G5925" s="65">
        <v>0</v>
      </c>
      <c r="H5925" s="591" t="s">
        <v>280</v>
      </c>
      <c r="I5925" s="591" t="s">
        <v>280</v>
      </c>
    </row>
    <row r="5926" spans="1:9">
      <c r="A5926" s="577"/>
      <c r="B5926" s="65">
        <v>6124</v>
      </c>
      <c r="C5926" s="579" t="s">
        <v>281</v>
      </c>
      <c r="D5926" s="579"/>
      <c r="E5926" s="583"/>
      <c r="F5926" s="596"/>
      <c r="G5926" s="65">
        <v>0</v>
      </c>
      <c r="H5926" s="591" t="s">
        <v>280</v>
      </c>
      <c r="I5926" s="591" t="s">
        <v>280</v>
      </c>
    </row>
    <row r="5927" spans="1:9">
      <c r="A5927" s="577"/>
      <c r="B5927" s="65">
        <v>6125</v>
      </c>
      <c r="C5927" s="579" t="s">
        <v>281</v>
      </c>
      <c r="D5927" s="579"/>
      <c r="E5927" s="583"/>
      <c r="F5927" s="596"/>
      <c r="G5927" s="65">
        <v>0</v>
      </c>
      <c r="H5927" s="591" t="s">
        <v>280</v>
      </c>
      <c r="I5927" s="591" t="s">
        <v>280</v>
      </c>
    </row>
    <row r="5928" spans="1:9">
      <c r="A5928" s="577"/>
      <c r="B5928" s="65">
        <v>6126</v>
      </c>
      <c r="C5928" s="579" t="s">
        <v>281</v>
      </c>
      <c r="D5928" s="579"/>
      <c r="E5928" s="583"/>
      <c r="F5928" s="596"/>
      <c r="G5928" s="65">
        <v>0</v>
      </c>
      <c r="H5928" s="591" t="s">
        <v>280</v>
      </c>
      <c r="I5928" s="591" t="s">
        <v>280</v>
      </c>
    </row>
    <row r="5929" spans="1:9">
      <c r="A5929" s="577"/>
      <c r="B5929" s="65">
        <v>6127</v>
      </c>
      <c r="C5929" s="579" t="s">
        <v>281</v>
      </c>
      <c r="D5929" s="579"/>
      <c r="E5929" s="583"/>
      <c r="F5929" s="596"/>
      <c r="G5929" s="65">
        <v>0</v>
      </c>
      <c r="H5929" s="591" t="s">
        <v>280</v>
      </c>
      <c r="I5929" s="591" t="s">
        <v>280</v>
      </c>
    </row>
    <row r="5930" spans="1:9">
      <c r="A5930" s="577"/>
      <c r="B5930" s="65">
        <v>6128</v>
      </c>
      <c r="C5930" s="579" t="s">
        <v>281</v>
      </c>
      <c r="D5930" s="579"/>
      <c r="E5930" s="583"/>
      <c r="F5930" s="596"/>
      <c r="G5930" s="65">
        <v>0</v>
      </c>
      <c r="H5930" s="591" t="s">
        <v>280</v>
      </c>
      <c r="I5930" s="591" t="s">
        <v>280</v>
      </c>
    </row>
    <row r="5931" spans="1:9">
      <c r="A5931" s="577"/>
      <c r="B5931" s="65">
        <v>6129</v>
      </c>
      <c r="C5931" s="579" t="s">
        <v>281</v>
      </c>
      <c r="D5931" s="579"/>
      <c r="E5931" s="583"/>
      <c r="F5931" s="596"/>
      <c r="G5931" s="65">
        <v>0</v>
      </c>
      <c r="H5931" s="591" t="s">
        <v>280</v>
      </c>
      <c r="I5931" s="591" t="s">
        <v>280</v>
      </c>
    </row>
    <row r="5932" spans="1:9">
      <c r="A5932" s="577"/>
      <c r="B5932" s="65">
        <v>6130</v>
      </c>
      <c r="C5932" s="579" t="s">
        <v>281</v>
      </c>
      <c r="D5932" s="579"/>
      <c r="E5932" s="583"/>
      <c r="F5932" s="596"/>
      <c r="G5932" s="65">
        <v>0</v>
      </c>
      <c r="H5932" s="591" t="s">
        <v>280</v>
      </c>
      <c r="I5932" s="591" t="s">
        <v>280</v>
      </c>
    </row>
    <row r="5933" spans="1:9">
      <c r="A5933" s="577"/>
      <c r="B5933" s="65">
        <v>6131</v>
      </c>
      <c r="C5933" s="579" t="s">
        <v>281</v>
      </c>
      <c r="D5933" s="579"/>
      <c r="E5933" s="583"/>
      <c r="F5933" s="596"/>
      <c r="G5933" s="65">
        <v>0</v>
      </c>
      <c r="H5933" s="591" t="s">
        <v>280</v>
      </c>
      <c r="I5933" s="591" t="s">
        <v>280</v>
      </c>
    </row>
    <row r="5934" spans="1:9">
      <c r="A5934" s="577"/>
      <c r="B5934" s="65">
        <v>6132</v>
      </c>
      <c r="C5934" s="579" t="s">
        <v>281</v>
      </c>
      <c r="D5934" s="579"/>
      <c r="E5934" s="583"/>
      <c r="F5934" s="596"/>
      <c r="G5934" s="65">
        <v>0</v>
      </c>
      <c r="H5934" s="591" t="s">
        <v>280</v>
      </c>
      <c r="I5934" s="591" t="s">
        <v>280</v>
      </c>
    </row>
    <row r="5935" spans="1:9">
      <c r="A5935" s="577"/>
      <c r="B5935" s="65">
        <v>6133</v>
      </c>
      <c r="C5935" s="579" t="s">
        <v>281</v>
      </c>
      <c r="D5935" s="579"/>
      <c r="E5935" s="583"/>
      <c r="F5935" s="596"/>
      <c r="G5935" s="65">
        <v>0</v>
      </c>
      <c r="H5935" s="591" t="s">
        <v>280</v>
      </c>
      <c r="I5935" s="591" t="s">
        <v>280</v>
      </c>
    </row>
    <row r="5936" spans="1:9">
      <c r="A5936" s="577"/>
      <c r="B5936" s="65">
        <v>6134</v>
      </c>
      <c r="C5936" s="579" t="s">
        <v>281</v>
      </c>
      <c r="D5936" s="579"/>
      <c r="E5936" s="583"/>
      <c r="F5936" s="596"/>
      <c r="G5936" s="65">
        <v>0</v>
      </c>
      <c r="H5936" s="591" t="s">
        <v>280</v>
      </c>
      <c r="I5936" s="591" t="s">
        <v>280</v>
      </c>
    </row>
    <row r="5937" spans="1:9">
      <c r="A5937" s="577"/>
      <c r="B5937" s="65">
        <v>6135</v>
      </c>
      <c r="C5937" s="579" t="s">
        <v>281</v>
      </c>
      <c r="D5937" s="579"/>
      <c r="E5937" s="583"/>
      <c r="F5937" s="596"/>
      <c r="G5937" s="65">
        <v>0</v>
      </c>
      <c r="H5937" s="591" t="s">
        <v>280</v>
      </c>
      <c r="I5937" s="591" t="s">
        <v>280</v>
      </c>
    </row>
    <row r="5938" spans="1:9">
      <c r="A5938" s="577"/>
      <c r="B5938" s="65">
        <v>6136</v>
      </c>
      <c r="C5938" s="579" t="s">
        <v>281</v>
      </c>
      <c r="D5938" s="579"/>
      <c r="E5938" s="583"/>
      <c r="F5938" s="596"/>
      <c r="G5938" s="65">
        <v>0</v>
      </c>
      <c r="H5938" s="591" t="s">
        <v>280</v>
      </c>
      <c r="I5938" s="591" t="s">
        <v>280</v>
      </c>
    </row>
    <row r="5939" spans="1:9">
      <c r="A5939" s="577"/>
      <c r="B5939" s="65">
        <v>6137</v>
      </c>
      <c r="C5939" s="579" t="s">
        <v>281</v>
      </c>
      <c r="D5939" s="579"/>
      <c r="E5939" s="583"/>
      <c r="F5939" s="596"/>
      <c r="G5939" s="65">
        <v>0</v>
      </c>
      <c r="H5939" s="591" t="s">
        <v>280</v>
      </c>
      <c r="I5939" s="591" t="s">
        <v>280</v>
      </c>
    </row>
    <row r="5940" spans="1:9">
      <c r="A5940" s="577"/>
      <c r="B5940" s="65">
        <v>6138</v>
      </c>
      <c r="C5940" s="579" t="s">
        <v>281</v>
      </c>
      <c r="D5940" s="579"/>
      <c r="E5940" s="583"/>
      <c r="F5940" s="596"/>
      <c r="G5940" s="65">
        <v>0</v>
      </c>
      <c r="H5940" s="591" t="s">
        <v>280</v>
      </c>
      <c r="I5940" s="591" t="s">
        <v>280</v>
      </c>
    </row>
    <row r="5941" spans="1:9">
      <c r="A5941" s="577"/>
      <c r="B5941" s="65">
        <v>6139</v>
      </c>
      <c r="C5941" s="579" t="s">
        <v>281</v>
      </c>
      <c r="D5941" s="579"/>
      <c r="E5941" s="583"/>
      <c r="F5941" s="596"/>
      <c r="G5941" s="65">
        <v>0</v>
      </c>
      <c r="H5941" s="591" t="s">
        <v>280</v>
      </c>
      <c r="I5941" s="591" t="s">
        <v>280</v>
      </c>
    </row>
    <row r="5942" spans="1:9">
      <c r="A5942" s="577"/>
      <c r="B5942" s="65">
        <v>6140</v>
      </c>
      <c r="C5942" s="579" t="s">
        <v>281</v>
      </c>
      <c r="D5942" s="579"/>
      <c r="E5942" s="583"/>
      <c r="F5942" s="596"/>
      <c r="G5942" s="65">
        <v>0</v>
      </c>
      <c r="H5942" s="591" t="s">
        <v>280</v>
      </c>
      <c r="I5942" s="591" t="s">
        <v>280</v>
      </c>
    </row>
    <row r="5943" spans="1:9">
      <c r="A5943" s="577"/>
      <c r="B5943" s="65">
        <v>6141</v>
      </c>
      <c r="C5943" s="579" t="s">
        <v>281</v>
      </c>
      <c r="D5943" s="579"/>
      <c r="E5943" s="583"/>
      <c r="F5943" s="596"/>
      <c r="G5943" s="65">
        <v>0</v>
      </c>
      <c r="H5943" s="591" t="s">
        <v>280</v>
      </c>
      <c r="I5943" s="591" t="s">
        <v>280</v>
      </c>
    </row>
    <row r="5944" spans="1:9">
      <c r="A5944" s="577"/>
      <c r="B5944" s="65">
        <v>6142</v>
      </c>
      <c r="C5944" s="579" t="s">
        <v>281</v>
      </c>
      <c r="D5944" s="579"/>
      <c r="E5944" s="583"/>
      <c r="F5944" s="596"/>
      <c r="G5944" s="65">
        <v>0</v>
      </c>
      <c r="H5944" s="591" t="s">
        <v>280</v>
      </c>
      <c r="I5944" s="591" t="s">
        <v>280</v>
      </c>
    </row>
    <row r="5945" spans="1:9">
      <c r="A5945" s="577"/>
      <c r="B5945" s="65">
        <v>6143</v>
      </c>
      <c r="C5945" s="579" t="s">
        <v>281</v>
      </c>
      <c r="D5945" s="579"/>
      <c r="E5945" s="583"/>
      <c r="F5945" s="596"/>
      <c r="G5945" s="65">
        <v>0</v>
      </c>
      <c r="H5945" s="591" t="s">
        <v>280</v>
      </c>
      <c r="I5945" s="591" t="s">
        <v>280</v>
      </c>
    </row>
    <row r="5946" spans="1:9">
      <c r="A5946" s="577"/>
      <c r="B5946" s="65">
        <v>6144</v>
      </c>
      <c r="C5946" s="579" t="s">
        <v>281</v>
      </c>
      <c r="D5946" s="579"/>
      <c r="E5946" s="583"/>
      <c r="F5946" s="596"/>
      <c r="G5946" s="65">
        <v>0</v>
      </c>
      <c r="H5946" s="591" t="s">
        <v>280</v>
      </c>
      <c r="I5946" s="591" t="s">
        <v>280</v>
      </c>
    </row>
    <row r="5947" spans="1:9">
      <c r="A5947" s="577"/>
      <c r="B5947" s="65">
        <v>6145</v>
      </c>
      <c r="C5947" s="579" t="s">
        <v>281</v>
      </c>
      <c r="D5947" s="579"/>
      <c r="E5947" s="583"/>
      <c r="F5947" s="596"/>
      <c r="G5947" s="65">
        <v>0</v>
      </c>
      <c r="H5947" s="591" t="s">
        <v>280</v>
      </c>
      <c r="I5947" s="591" t="s">
        <v>280</v>
      </c>
    </row>
    <row r="5948" spans="1:9">
      <c r="A5948" s="577"/>
      <c r="B5948" s="65">
        <v>6146</v>
      </c>
      <c r="C5948" s="579" t="s">
        <v>281</v>
      </c>
      <c r="D5948" s="579"/>
      <c r="E5948" s="583"/>
      <c r="F5948" s="596"/>
      <c r="G5948" s="65">
        <v>0</v>
      </c>
      <c r="H5948" s="591" t="s">
        <v>280</v>
      </c>
      <c r="I5948" s="591" t="s">
        <v>280</v>
      </c>
    </row>
    <row r="5949" spans="1:9">
      <c r="A5949" s="577"/>
      <c r="B5949" s="65">
        <v>6147</v>
      </c>
      <c r="C5949" s="579" t="s">
        <v>281</v>
      </c>
      <c r="D5949" s="579"/>
      <c r="E5949" s="583"/>
      <c r="F5949" s="596"/>
      <c r="G5949" s="65">
        <v>0</v>
      </c>
      <c r="H5949" s="591" t="s">
        <v>280</v>
      </c>
      <c r="I5949" s="591" t="s">
        <v>280</v>
      </c>
    </row>
    <row r="5950" spans="1:9">
      <c r="A5950" s="577"/>
      <c r="B5950" s="65">
        <v>6148</v>
      </c>
      <c r="C5950" s="579" t="s">
        <v>281</v>
      </c>
      <c r="D5950" s="579"/>
      <c r="E5950" s="583"/>
      <c r="F5950" s="596"/>
      <c r="G5950" s="65">
        <v>0</v>
      </c>
      <c r="H5950" s="591" t="s">
        <v>280</v>
      </c>
      <c r="I5950" s="591" t="s">
        <v>280</v>
      </c>
    </row>
    <row r="5951" spans="1:9">
      <c r="A5951" s="577"/>
      <c r="B5951" s="65">
        <v>6149</v>
      </c>
      <c r="C5951" s="579" t="s">
        <v>281</v>
      </c>
      <c r="D5951" s="579"/>
      <c r="E5951" s="583"/>
      <c r="F5951" s="596"/>
      <c r="G5951" s="65">
        <v>0</v>
      </c>
      <c r="H5951" s="591" t="s">
        <v>280</v>
      </c>
      <c r="I5951" s="591" t="s">
        <v>280</v>
      </c>
    </row>
    <row r="5952" spans="1:9">
      <c r="A5952" s="577"/>
      <c r="B5952" s="65">
        <v>6150</v>
      </c>
      <c r="C5952" s="579" t="s">
        <v>281</v>
      </c>
      <c r="D5952" s="579"/>
      <c r="E5952" s="583"/>
      <c r="F5952" s="596"/>
      <c r="G5952" s="65">
        <v>0</v>
      </c>
      <c r="H5952" s="591" t="s">
        <v>280</v>
      </c>
      <c r="I5952" s="591" t="s">
        <v>280</v>
      </c>
    </row>
    <row r="5953" spans="1:9">
      <c r="A5953" s="577"/>
      <c r="B5953" s="65">
        <v>6151</v>
      </c>
      <c r="C5953" s="579" t="s">
        <v>281</v>
      </c>
      <c r="D5953" s="579"/>
      <c r="E5953" s="583"/>
      <c r="F5953" s="596"/>
      <c r="G5953" s="65">
        <v>0</v>
      </c>
      <c r="H5953" s="591" t="s">
        <v>280</v>
      </c>
      <c r="I5953" s="591" t="s">
        <v>280</v>
      </c>
    </row>
    <row r="5954" spans="1:9">
      <c r="A5954" s="577"/>
      <c r="B5954" s="65">
        <v>6152</v>
      </c>
      <c r="C5954" s="579" t="s">
        <v>281</v>
      </c>
      <c r="D5954" s="579"/>
      <c r="E5954" s="583"/>
      <c r="F5954" s="596"/>
      <c r="G5954" s="65">
        <v>0</v>
      </c>
      <c r="H5954" s="591" t="s">
        <v>280</v>
      </c>
      <c r="I5954" s="591" t="s">
        <v>280</v>
      </c>
    </row>
    <row r="5955" spans="1:9">
      <c r="A5955" s="577"/>
      <c r="B5955" s="65">
        <v>6153</v>
      </c>
      <c r="C5955" s="579" t="s">
        <v>281</v>
      </c>
      <c r="D5955" s="579"/>
      <c r="E5955" s="583"/>
      <c r="F5955" s="596"/>
      <c r="G5955" s="65">
        <v>0</v>
      </c>
      <c r="H5955" s="591" t="s">
        <v>280</v>
      </c>
      <c r="I5955" s="591" t="s">
        <v>280</v>
      </c>
    </row>
    <row r="5956" spans="1:9">
      <c r="A5956" s="577"/>
      <c r="B5956" s="65">
        <v>6154</v>
      </c>
      <c r="C5956" s="579" t="s">
        <v>281</v>
      </c>
      <c r="D5956" s="579"/>
      <c r="E5956" s="583"/>
      <c r="F5956" s="596"/>
      <c r="G5956" s="65">
        <v>0</v>
      </c>
      <c r="H5956" s="591" t="s">
        <v>280</v>
      </c>
      <c r="I5956" s="591" t="s">
        <v>280</v>
      </c>
    </row>
    <row r="5957" spans="1:9">
      <c r="A5957" s="577"/>
      <c r="B5957" s="65">
        <v>6155</v>
      </c>
      <c r="C5957" s="579" t="s">
        <v>281</v>
      </c>
      <c r="D5957" s="579"/>
      <c r="E5957" s="583"/>
      <c r="F5957" s="596"/>
      <c r="G5957" s="65">
        <v>0</v>
      </c>
      <c r="H5957" s="591" t="s">
        <v>280</v>
      </c>
      <c r="I5957" s="591" t="s">
        <v>280</v>
      </c>
    </row>
    <row r="5958" spans="1:9">
      <c r="A5958" s="577"/>
      <c r="B5958" s="65">
        <v>6156</v>
      </c>
      <c r="C5958" s="579" t="s">
        <v>281</v>
      </c>
      <c r="D5958" s="579"/>
      <c r="E5958" s="583"/>
      <c r="F5958" s="596"/>
      <c r="G5958" s="65">
        <v>0</v>
      </c>
      <c r="H5958" s="591" t="s">
        <v>280</v>
      </c>
      <c r="I5958" s="591" t="s">
        <v>280</v>
      </c>
    </row>
    <row r="5959" spans="1:9">
      <c r="A5959" s="577"/>
      <c r="B5959" s="65">
        <v>6157</v>
      </c>
      <c r="C5959" s="579" t="s">
        <v>281</v>
      </c>
      <c r="D5959" s="579"/>
      <c r="E5959" s="583"/>
      <c r="F5959" s="596"/>
      <c r="G5959" s="65">
        <v>0</v>
      </c>
      <c r="H5959" s="591" t="s">
        <v>280</v>
      </c>
      <c r="I5959" s="591" t="s">
        <v>280</v>
      </c>
    </row>
    <row r="5960" spans="1:9">
      <c r="A5960" s="577"/>
      <c r="B5960" s="65">
        <v>6158</v>
      </c>
      <c r="C5960" s="579" t="s">
        <v>281</v>
      </c>
      <c r="D5960" s="579"/>
      <c r="E5960" s="583"/>
      <c r="F5960" s="596"/>
      <c r="G5960" s="65">
        <v>0</v>
      </c>
      <c r="H5960" s="591" t="s">
        <v>280</v>
      </c>
      <c r="I5960" s="591" t="s">
        <v>280</v>
      </c>
    </row>
    <row r="5961" spans="1:9">
      <c r="A5961" s="577"/>
      <c r="B5961" s="65">
        <v>6159</v>
      </c>
      <c r="C5961" s="579" t="s">
        <v>281</v>
      </c>
      <c r="D5961" s="579"/>
      <c r="E5961" s="583"/>
      <c r="F5961" s="596"/>
      <c r="G5961" s="65">
        <v>0</v>
      </c>
      <c r="H5961" s="591" t="s">
        <v>280</v>
      </c>
      <c r="I5961" s="591" t="s">
        <v>280</v>
      </c>
    </row>
    <row r="5962" spans="1:9">
      <c r="A5962" s="577"/>
      <c r="B5962" s="65">
        <v>6160</v>
      </c>
      <c r="C5962" s="579" t="s">
        <v>281</v>
      </c>
      <c r="D5962" s="579"/>
      <c r="E5962" s="583"/>
      <c r="F5962" s="596"/>
      <c r="G5962" s="65">
        <v>0</v>
      </c>
      <c r="H5962" s="591" t="s">
        <v>280</v>
      </c>
      <c r="I5962" s="591" t="s">
        <v>280</v>
      </c>
    </row>
    <row r="5963" spans="1:9">
      <c r="A5963" s="577"/>
      <c r="B5963" s="65">
        <v>6161</v>
      </c>
      <c r="C5963" s="579" t="s">
        <v>281</v>
      </c>
      <c r="D5963" s="579"/>
      <c r="E5963" s="583"/>
      <c r="F5963" s="596"/>
      <c r="G5963" s="65">
        <v>0</v>
      </c>
      <c r="H5963" s="591" t="s">
        <v>280</v>
      </c>
      <c r="I5963" s="591" t="s">
        <v>280</v>
      </c>
    </row>
    <row r="5964" spans="1:9">
      <c r="A5964" s="577"/>
      <c r="B5964" s="65">
        <v>6162</v>
      </c>
      <c r="C5964" s="579" t="s">
        <v>281</v>
      </c>
      <c r="D5964" s="579"/>
      <c r="E5964" s="583"/>
      <c r="F5964" s="596"/>
      <c r="G5964" s="65">
        <v>0</v>
      </c>
      <c r="H5964" s="591" t="s">
        <v>280</v>
      </c>
      <c r="I5964" s="591" t="s">
        <v>280</v>
      </c>
    </row>
    <row r="5965" spans="1:9">
      <c r="A5965" s="577"/>
      <c r="B5965" s="65">
        <v>6163</v>
      </c>
      <c r="C5965" s="579" t="s">
        <v>281</v>
      </c>
      <c r="D5965" s="579"/>
      <c r="E5965" s="583"/>
      <c r="F5965" s="596"/>
      <c r="G5965" s="65">
        <v>0</v>
      </c>
      <c r="H5965" s="591" t="s">
        <v>280</v>
      </c>
      <c r="I5965" s="591" t="s">
        <v>280</v>
      </c>
    </row>
    <row r="5966" spans="1:9">
      <c r="A5966" s="577"/>
      <c r="B5966" s="65">
        <v>6164</v>
      </c>
      <c r="C5966" s="579" t="s">
        <v>281</v>
      </c>
      <c r="D5966" s="579"/>
      <c r="E5966" s="583"/>
      <c r="F5966" s="596"/>
      <c r="G5966" s="65">
        <v>0</v>
      </c>
      <c r="H5966" s="591" t="s">
        <v>280</v>
      </c>
      <c r="I5966" s="591" t="s">
        <v>280</v>
      </c>
    </row>
    <row r="5967" spans="1:9">
      <c r="A5967" s="577"/>
      <c r="B5967" s="65">
        <v>6165</v>
      </c>
      <c r="C5967" s="579" t="s">
        <v>281</v>
      </c>
      <c r="D5967" s="579"/>
      <c r="E5967" s="583"/>
      <c r="F5967" s="596"/>
      <c r="G5967" s="65">
        <v>0</v>
      </c>
      <c r="H5967" s="591" t="s">
        <v>280</v>
      </c>
      <c r="I5967" s="591" t="s">
        <v>280</v>
      </c>
    </row>
    <row r="5968" spans="1:9">
      <c r="A5968" s="577"/>
      <c r="B5968" s="65">
        <v>6166</v>
      </c>
      <c r="C5968" s="579" t="s">
        <v>281</v>
      </c>
      <c r="D5968" s="579"/>
      <c r="E5968" s="583"/>
      <c r="F5968" s="596"/>
      <c r="G5968" s="65">
        <v>0</v>
      </c>
      <c r="H5968" s="591" t="s">
        <v>280</v>
      </c>
      <c r="I5968" s="591" t="s">
        <v>280</v>
      </c>
    </row>
    <row r="5969" spans="1:9">
      <c r="A5969" s="577"/>
      <c r="B5969" s="65">
        <v>6167</v>
      </c>
      <c r="C5969" s="579" t="s">
        <v>281</v>
      </c>
      <c r="D5969" s="579"/>
      <c r="E5969" s="583"/>
      <c r="F5969" s="596"/>
      <c r="G5969" s="65">
        <v>0</v>
      </c>
      <c r="H5969" s="591" t="s">
        <v>280</v>
      </c>
      <c r="I5969" s="591" t="s">
        <v>280</v>
      </c>
    </row>
    <row r="5970" spans="1:9">
      <c r="A5970" s="577"/>
      <c r="B5970" s="65">
        <v>6168</v>
      </c>
      <c r="C5970" s="579" t="s">
        <v>281</v>
      </c>
      <c r="D5970" s="579"/>
      <c r="E5970" s="583"/>
      <c r="F5970" s="596"/>
      <c r="G5970" s="65">
        <v>0</v>
      </c>
      <c r="H5970" s="591" t="s">
        <v>280</v>
      </c>
      <c r="I5970" s="591" t="s">
        <v>280</v>
      </c>
    </row>
    <row r="5971" spans="1:9">
      <c r="A5971" s="577"/>
      <c r="B5971" s="65">
        <v>6169</v>
      </c>
      <c r="C5971" s="579" t="s">
        <v>281</v>
      </c>
      <c r="D5971" s="579"/>
      <c r="E5971" s="583"/>
      <c r="F5971" s="596"/>
      <c r="G5971" s="65">
        <v>0</v>
      </c>
      <c r="H5971" s="591" t="s">
        <v>280</v>
      </c>
      <c r="I5971" s="591" t="s">
        <v>280</v>
      </c>
    </row>
    <row r="5972" spans="1:9">
      <c r="A5972" s="577"/>
      <c r="B5972" s="65">
        <v>6170</v>
      </c>
      <c r="C5972" s="579" t="s">
        <v>281</v>
      </c>
      <c r="D5972" s="579"/>
      <c r="E5972" s="583"/>
      <c r="F5972" s="596"/>
      <c r="G5972" s="65">
        <v>0</v>
      </c>
      <c r="H5972" s="591" t="s">
        <v>280</v>
      </c>
      <c r="I5972" s="591" t="s">
        <v>280</v>
      </c>
    </row>
    <row r="5973" spans="1:9">
      <c r="A5973" s="577"/>
      <c r="B5973" s="65">
        <v>6171</v>
      </c>
      <c r="C5973" s="579" t="s">
        <v>281</v>
      </c>
      <c r="D5973" s="579"/>
      <c r="E5973" s="583"/>
      <c r="F5973" s="596"/>
      <c r="G5973" s="65">
        <v>0</v>
      </c>
      <c r="H5973" s="591" t="s">
        <v>280</v>
      </c>
      <c r="I5973" s="591" t="s">
        <v>280</v>
      </c>
    </row>
    <row r="5974" spans="1:9">
      <c r="A5974" s="577"/>
      <c r="B5974" s="65">
        <v>6172</v>
      </c>
      <c r="C5974" s="579" t="s">
        <v>281</v>
      </c>
      <c r="D5974" s="579"/>
      <c r="E5974" s="583"/>
      <c r="F5974" s="596"/>
      <c r="G5974" s="65">
        <v>0</v>
      </c>
      <c r="H5974" s="591" t="s">
        <v>280</v>
      </c>
      <c r="I5974" s="591" t="s">
        <v>280</v>
      </c>
    </row>
    <row r="5975" spans="1:9">
      <c r="A5975" s="577"/>
      <c r="B5975" s="65">
        <v>6173</v>
      </c>
      <c r="C5975" s="579" t="s">
        <v>281</v>
      </c>
      <c r="D5975" s="579"/>
      <c r="E5975" s="583"/>
      <c r="F5975" s="596"/>
      <c r="G5975" s="65">
        <v>0</v>
      </c>
      <c r="H5975" s="591" t="s">
        <v>280</v>
      </c>
      <c r="I5975" s="591" t="s">
        <v>280</v>
      </c>
    </row>
    <row r="5976" spans="1:9">
      <c r="A5976" s="577"/>
      <c r="B5976" s="65">
        <v>6174</v>
      </c>
      <c r="C5976" s="579" t="s">
        <v>281</v>
      </c>
      <c r="D5976" s="579"/>
      <c r="E5976" s="583"/>
      <c r="F5976" s="596"/>
      <c r="G5976" s="65">
        <v>0</v>
      </c>
      <c r="H5976" s="591" t="s">
        <v>280</v>
      </c>
      <c r="I5976" s="591" t="s">
        <v>280</v>
      </c>
    </row>
    <row r="5977" spans="1:9">
      <c r="A5977" s="577"/>
      <c r="B5977" s="65">
        <v>6175</v>
      </c>
      <c r="C5977" s="579" t="s">
        <v>281</v>
      </c>
      <c r="D5977" s="579"/>
      <c r="E5977" s="583"/>
      <c r="F5977" s="596"/>
      <c r="G5977" s="65">
        <v>0</v>
      </c>
      <c r="H5977" s="591" t="s">
        <v>280</v>
      </c>
      <c r="I5977" s="591" t="s">
        <v>280</v>
      </c>
    </row>
    <row r="5978" spans="1:9">
      <c r="A5978" s="577"/>
      <c r="B5978" s="65">
        <v>6176</v>
      </c>
      <c r="C5978" s="579" t="s">
        <v>281</v>
      </c>
      <c r="D5978" s="579"/>
      <c r="E5978" s="583"/>
      <c r="F5978" s="596"/>
      <c r="G5978" s="65">
        <v>0</v>
      </c>
      <c r="H5978" s="591" t="s">
        <v>280</v>
      </c>
      <c r="I5978" s="591" t="s">
        <v>280</v>
      </c>
    </row>
    <row r="5979" spans="1:9">
      <c r="A5979" s="577"/>
      <c r="B5979" s="65">
        <v>6177</v>
      </c>
      <c r="C5979" s="579" t="s">
        <v>281</v>
      </c>
      <c r="D5979" s="579"/>
      <c r="E5979" s="583"/>
      <c r="F5979" s="596"/>
      <c r="G5979" s="65">
        <v>0</v>
      </c>
      <c r="H5979" s="591" t="s">
        <v>280</v>
      </c>
      <c r="I5979" s="591" t="s">
        <v>280</v>
      </c>
    </row>
    <row r="5980" spans="1:9">
      <c r="A5980" s="577"/>
      <c r="B5980" s="65">
        <v>6178</v>
      </c>
      <c r="C5980" s="579" t="s">
        <v>281</v>
      </c>
      <c r="D5980" s="579"/>
      <c r="E5980" s="583"/>
      <c r="F5980" s="596"/>
      <c r="G5980" s="65">
        <v>0</v>
      </c>
      <c r="H5980" s="591" t="s">
        <v>280</v>
      </c>
      <c r="I5980" s="591" t="s">
        <v>280</v>
      </c>
    </row>
    <row r="5981" spans="1:9">
      <c r="A5981" s="577"/>
      <c r="B5981" s="65">
        <v>6179</v>
      </c>
      <c r="C5981" s="579" t="s">
        <v>281</v>
      </c>
      <c r="D5981" s="579"/>
      <c r="E5981" s="583"/>
      <c r="F5981" s="596"/>
      <c r="G5981" s="65">
        <v>0</v>
      </c>
      <c r="H5981" s="591" t="s">
        <v>280</v>
      </c>
      <c r="I5981" s="591" t="s">
        <v>280</v>
      </c>
    </row>
    <row r="5982" spans="1:9">
      <c r="A5982" s="577"/>
      <c r="B5982" s="65">
        <v>6180</v>
      </c>
      <c r="C5982" s="579" t="s">
        <v>281</v>
      </c>
      <c r="D5982" s="579"/>
      <c r="E5982" s="583"/>
      <c r="F5982" s="596"/>
      <c r="G5982" s="65">
        <v>0</v>
      </c>
      <c r="H5982" s="591" t="s">
        <v>280</v>
      </c>
      <c r="I5982" s="591" t="s">
        <v>280</v>
      </c>
    </row>
    <row r="5983" spans="1:9">
      <c r="A5983" s="577"/>
      <c r="B5983" s="65">
        <v>6181</v>
      </c>
      <c r="C5983" s="579" t="s">
        <v>281</v>
      </c>
      <c r="D5983" s="579"/>
      <c r="E5983" s="583"/>
      <c r="F5983" s="596"/>
      <c r="G5983" s="65">
        <v>0</v>
      </c>
      <c r="H5983" s="591" t="s">
        <v>280</v>
      </c>
      <c r="I5983" s="591" t="s">
        <v>280</v>
      </c>
    </row>
    <row r="5984" spans="1:9">
      <c r="A5984" s="577"/>
      <c r="B5984" s="65">
        <v>6182</v>
      </c>
      <c r="C5984" s="579" t="s">
        <v>281</v>
      </c>
      <c r="D5984" s="579"/>
      <c r="E5984" s="583"/>
      <c r="F5984" s="596"/>
      <c r="G5984" s="65">
        <v>0</v>
      </c>
      <c r="H5984" s="591" t="s">
        <v>280</v>
      </c>
      <c r="I5984" s="591" t="s">
        <v>280</v>
      </c>
    </row>
    <row r="5985" spans="1:9">
      <c r="A5985" s="577"/>
      <c r="B5985" s="65">
        <v>6183</v>
      </c>
      <c r="C5985" s="579" t="s">
        <v>281</v>
      </c>
      <c r="D5985" s="579"/>
      <c r="E5985" s="583"/>
      <c r="F5985" s="596"/>
      <c r="G5985" s="65">
        <v>0</v>
      </c>
      <c r="H5985" s="591" t="s">
        <v>280</v>
      </c>
      <c r="I5985" s="591" t="s">
        <v>280</v>
      </c>
    </row>
    <row r="5986" spans="1:9">
      <c r="A5986" s="577"/>
      <c r="B5986" s="65">
        <v>6184</v>
      </c>
      <c r="C5986" s="579" t="s">
        <v>281</v>
      </c>
      <c r="D5986" s="579"/>
      <c r="E5986" s="583"/>
      <c r="F5986" s="596"/>
      <c r="G5986" s="65">
        <v>0</v>
      </c>
      <c r="H5986" s="591" t="s">
        <v>280</v>
      </c>
      <c r="I5986" s="591" t="s">
        <v>280</v>
      </c>
    </row>
    <row r="5987" spans="1:9">
      <c r="A5987" s="577"/>
      <c r="B5987" s="65">
        <v>6185</v>
      </c>
      <c r="C5987" s="579" t="s">
        <v>281</v>
      </c>
      <c r="D5987" s="579"/>
      <c r="E5987" s="583"/>
      <c r="F5987" s="596"/>
      <c r="G5987" s="65">
        <v>0</v>
      </c>
      <c r="H5987" s="591" t="s">
        <v>280</v>
      </c>
      <c r="I5987" s="591" t="s">
        <v>280</v>
      </c>
    </row>
    <row r="5988" spans="1:9">
      <c r="A5988" s="577"/>
      <c r="B5988" s="65">
        <v>6186</v>
      </c>
      <c r="C5988" s="579" t="s">
        <v>281</v>
      </c>
      <c r="D5988" s="579"/>
      <c r="E5988" s="583"/>
      <c r="F5988" s="596"/>
      <c r="G5988" s="65">
        <v>0</v>
      </c>
      <c r="H5988" s="591" t="s">
        <v>280</v>
      </c>
      <c r="I5988" s="591" t="s">
        <v>280</v>
      </c>
    </row>
    <row r="5989" spans="1:9">
      <c r="A5989" s="577"/>
      <c r="B5989" s="65">
        <v>6187</v>
      </c>
      <c r="C5989" s="579" t="s">
        <v>281</v>
      </c>
      <c r="D5989" s="579"/>
      <c r="E5989" s="583"/>
      <c r="F5989" s="596"/>
      <c r="G5989" s="65">
        <v>0</v>
      </c>
      <c r="H5989" s="591" t="s">
        <v>280</v>
      </c>
      <c r="I5989" s="591" t="s">
        <v>280</v>
      </c>
    </row>
    <row r="5990" spans="1:9">
      <c r="A5990" s="577"/>
      <c r="B5990" s="65">
        <v>6188</v>
      </c>
      <c r="C5990" s="579" t="s">
        <v>281</v>
      </c>
      <c r="D5990" s="579"/>
      <c r="E5990" s="583"/>
      <c r="F5990" s="596"/>
      <c r="G5990" s="65">
        <v>0</v>
      </c>
      <c r="H5990" s="591" t="s">
        <v>280</v>
      </c>
      <c r="I5990" s="591" t="s">
        <v>280</v>
      </c>
    </row>
    <row r="5991" spans="1:9">
      <c r="A5991" s="577"/>
      <c r="B5991" s="65">
        <v>6189</v>
      </c>
      <c r="C5991" s="579" t="s">
        <v>281</v>
      </c>
      <c r="D5991" s="579"/>
      <c r="E5991" s="583"/>
      <c r="F5991" s="596"/>
      <c r="G5991" s="65">
        <v>0</v>
      </c>
      <c r="H5991" s="591" t="s">
        <v>280</v>
      </c>
      <c r="I5991" s="591" t="s">
        <v>280</v>
      </c>
    </row>
    <row r="5992" spans="1:9">
      <c r="A5992" s="577"/>
      <c r="B5992" s="65">
        <v>6190</v>
      </c>
      <c r="C5992" s="579" t="s">
        <v>281</v>
      </c>
      <c r="D5992" s="579"/>
      <c r="E5992" s="583"/>
      <c r="F5992" s="596"/>
      <c r="G5992" s="65">
        <v>0</v>
      </c>
      <c r="H5992" s="591" t="s">
        <v>280</v>
      </c>
      <c r="I5992" s="591" t="s">
        <v>280</v>
      </c>
    </row>
    <row r="5993" spans="1:9">
      <c r="A5993" s="577"/>
      <c r="B5993" s="65">
        <v>6191</v>
      </c>
      <c r="C5993" s="579" t="s">
        <v>281</v>
      </c>
      <c r="D5993" s="579"/>
      <c r="E5993" s="583"/>
      <c r="F5993" s="596"/>
      <c r="G5993" s="65">
        <v>0</v>
      </c>
      <c r="H5993" s="591" t="s">
        <v>280</v>
      </c>
      <c r="I5993" s="591" t="s">
        <v>280</v>
      </c>
    </row>
    <row r="5994" spans="1:9">
      <c r="A5994" s="577"/>
      <c r="B5994" s="65">
        <v>6192</v>
      </c>
      <c r="C5994" s="579" t="s">
        <v>281</v>
      </c>
      <c r="D5994" s="579"/>
      <c r="E5994" s="583"/>
      <c r="F5994" s="596"/>
      <c r="G5994" s="65">
        <v>0</v>
      </c>
      <c r="H5994" s="591" t="s">
        <v>280</v>
      </c>
      <c r="I5994" s="591" t="s">
        <v>280</v>
      </c>
    </row>
    <row r="5995" spans="1:9">
      <c r="A5995" s="577"/>
      <c r="B5995" s="65">
        <v>6193</v>
      </c>
      <c r="C5995" s="579" t="s">
        <v>281</v>
      </c>
      <c r="D5995" s="579"/>
      <c r="E5995" s="583"/>
      <c r="F5995" s="596"/>
      <c r="G5995" s="65">
        <v>0</v>
      </c>
      <c r="H5995" s="591" t="s">
        <v>280</v>
      </c>
      <c r="I5995" s="591" t="s">
        <v>280</v>
      </c>
    </row>
    <row r="5996" spans="1:9">
      <c r="A5996" s="577"/>
      <c r="B5996" s="65">
        <v>6194</v>
      </c>
      <c r="C5996" s="579" t="s">
        <v>281</v>
      </c>
      <c r="D5996" s="579"/>
      <c r="E5996" s="583"/>
      <c r="F5996" s="596"/>
      <c r="G5996" s="65">
        <v>0</v>
      </c>
      <c r="H5996" s="591" t="s">
        <v>280</v>
      </c>
      <c r="I5996" s="591" t="s">
        <v>280</v>
      </c>
    </row>
    <row r="5997" spans="1:9">
      <c r="A5997" s="577"/>
      <c r="B5997" s="65">
        <v>6195</v>
      </c>
      <c r="C5997" s="579" t="s">
        <v>281</v>
      </c>
      <c r="D5997" s="579"/>
      <c r="E5997" s="583"/>
      <c r="F5997" s="596"/>
      <c r="G5997" s="65">
        <v>0</v>
      </c>
      <c r="H5997" s="591" t="s">
        <v>280</v>
      </c>
      <c r="I5997" s="591" t="s">
        <v>280</v>
      </c>
    </row>
    <row r="5998" spans="1:9">
      <c r="A5998" s="577"/>
      <c r="B5998" s="65">
        <v>6196</v>
      </c>
      <c r="C5998" s="579" t="s">
        <v>281</v>
      </c>
      <c r="D5998" s="579"/>
      <c r="E5998" s="583"/>
      <c r="F5998" s="596"/>
      <c r="G5998" s="65">
        <v>0</v>
      </c>
      <c r="H5998" s="591" t="s">
        <v>280</v>
      </c>
      <c r="I5998" s="591" t="s">
        <v>280</v>
      </c>
    </row>
    <row r="5999" spans="1:9">
      <c r="A5999" s="577"/>
      <c r="B5999" s="65">
        <v>6197</v>
      </c>
      <c r="C5999" s="579" t="s">
        <v>281</v>
      </c>
      <c r="D5999" s="579"/>
      <c r="E5999" s="583"/>
      <c r="F5999" s="596"/>
      <c r="G5999" s="65">
        <v>0</v>
      </c>
      <c r="H5999" s="591" t="s">
        <v>280</v>
      </c>
      <c r="I5999" s="591" t="s">
        <v>280</v>
      </c>
    </row>
    <row r="6000" spans="1:9">
      <c r="A6000" s="577"/>
      <c r="B6000" s="65">
        <v>6198</v>
      </c>
      <c r="C6000" s="579" t="s">
        <v>281</v>
      </c>
      <c r="D6000" s="579"/>
      <c r="E6000" s="583"/>
      <c r="F6000" s="596"/>
      <c r="G6000" s="65">
        <v>0</v>
      </c>
      <c r="H6000" s="591" t="s">
        <v>280</v>
      </c>
      <c r="I6000" s="591" t="s">
        <v>280</v>
      </c>
    </row>
    <row r="6001" spans="1:9">
      <c r="A6001" s="577"/>
      <c r="B6001" s="65">
        <v>6199</v>
      </c>
      <c r="C6001" s="579" t="s">
        <v>281</v>
      </c>
      <c r="D6001" s="579"/>
      <c r="E6001" s="583"/>
      <c r="F6001" s="596"/>
      <c r="G6001" s="65">
        <v>0</v>
      </c>
      <c r="H6001" s="591" t="s">
        <v>280</v>
      </c>
      <c r="I6001" s="591" t="s">
        <v>280</v>
      </c>
    </row>
    <row r="6002" spans="1:9">
      <c r="A6002" s="577"/>
      <c r="B6002" s="65">
        <v>6200</v>
      </c>
      <c r="C6002" s="579" t="s">
        <v>281</v>
      </c>
      <c r="D6002" s="579"/>
      <c r="E6002" s="583"/>
      <c r="F6002" s="596"/>
      <c r="G6002" s="65">
        <v>0</v>
      </c>
      <c r="H6002" s="591" t="s">
        <v>280</v>
      </c>
      <c r="I6002" s="591" t="s">
        <v>280</v>
      </c>
    </row>
    <row r="6003" spans="1:9">
      <c r="A6003" s="577"/>
      <c r="B6003" s="65">
        <v>6201</v>
      </c>
      <c r="C6003" s="579" t="s">
        <v>281</v>
      </c>
      <c r="D6003" s="579"/>
      <c r="E6003" s="583"/>
      <c r="F6003" s="596"/>
      <c r="G6003" s="65">
        <v>0</v>
      </c>
      <c r="H6003" s="591" t="s">
        <v>280</v>
      </c>
      <c r="I6003" s="591" t="s">
        <v>280</v>
      </c>
    </row>
    <row r="6004" spans="1:9">
      <c r="A6004" s="577"/>
      <c r="B6004" s="65">
        <v>6202</v>
      </c>
      <c r="C6004" s="579" t="s">
        <v>281</v>
      </c>
      <c r="D6004" s="579"/>
      <c r="E6004" s="583"/>
      <c r="F6004" s="596"/>
      <c r="G6004" s="65">
        <v>0</v>
      </c>
      <c r="H6004" s="591" t="s">
        <v>280</v>
      </c>
      <c r="I6004" s="591" t="s">
        <v>280</v>
      </c>
    </row>
    <row r="6005" spans="1:9">
      <c r="A6005" s="577"/>
      <c r="B6005" s="65">
        <v>6203</v>
      </c>
      <c r="C6005" s="579" t="s">
        <v>281</v>
      </c>
      <c r="D6005" s="579"/>
      <c r="E6005" s="583"/>
      <c r="F6005" s="596"/>
      <c r="G6005" s="65">
        <v>0</v>
      </c>
      <c r="H6005" s="591" t="s">
        <v>280</v>
      </c>
      <c r="I6005" s="591" t="s">
        <v>280</v>
      </c>
    </row>
    <row r="6006" spans="1:9">
      <c r="A6006" s="577"/>
      <c r="B6006" s="65">
        <v>6204</v>
      </c>
      <c r="C6006" s="579" t="s">
        <v>281</v>
      </c>
      <c r="D6006" s="579"/>
      <c r="E6006" s="583"/>
      <c r="F6006" s="596"/>
      <c r="G6006" s="65">
        <v>0</v>
      </c>
      <c r="H6006" s="591" t="s">
        <v>280</v>
      </c>
      <c r="I6006" s="591" t="s">
        <v>280</v>
      </c>
    </row>
    <row r="6007" spans="1:9">
      <c r="A6007" s="577"/>
      <c r="B6007" s="65">
        <v>6205</v>
      </c>
      <c r="C6007" s="579" t="s">
        <v>281</v>
      </c>
      <c r="D6007" s="579"/>
      <c r="E6007" s="583"/>
      <c r="F6007" s="596"/>
      <c r="G6007" s="65">
        <v>0</v>
      </c>
      <c r="H6007" s="591" t="s">
        <v>280</v>
      </c>
      <c r="I6007" s="591" t="s">
        <v>280</v>
      </c>
    </row>
    <row r="6008" spans="1:9">
      <c r="A6008" s="577"/>
      <c r="B6008" s="65">
        <v>6206</v>
      </c>
      <c r="C6008" s="579" t="s">
        <v>281</v>
      </c>
      <c r="D6008" s="579"/>
      <c r="E6008" s="583"/>
      <c r="F6008" s="596"/>
      <c r="G6008" s="65">
        <v>0</v>
      </c>
      <c r="H6008" s="591" t="s">
        <v>280</v>
      </c>
      <c r="I6008" s="591" t="s">
        <v>280</v>
      </c>
    </row>
    <row r="6009" spans="1:9">
      <c r="A6009" s="577"/>
      <c r="B6009" s="65">
        <v>6207</v>
      </c>
      <c r="C6009" s="579" t="s">
        <v>281</v>
      </c>
      <c r="D6009" s="579"/>
      <c r="E6009" s="583"/>
      <c r="F6009" s="596"/>
      <c r="G6009" s="65">
        <v>0</v>
      </c>
      <c r="H6009" s="591" t="s">
        <v>280</v>
      </c>
      <c r="I6009" s="591" t="s">
        <v>280</v>
      </c>
    </row>
    <row r="6010" spans="1:9">
      <c r="A6010" s="577"/>
      <c r="B6010" s="65">
        <v>6208</v>
      </c>
      <c r="C6010" s="579" t="s">
        <v>281</v>
      </c>
      <c r="D6010" s="579"/>
      <c r="E6010" s="583"/>
      <c r="F6010" s="596"/>
      <c r="G6010" s="65">
        <v>0</v>
      </c>
      <c r="H6010" s="591" t="s">
        <v>280</v>
      </c>
      <c r="I6010" s="591" t="s">
        <v>280</v>
      </c>
    </row>
    <row r="6011" spans="1:9">
      <c r="A6011" s="577"/>
      <c r="B6011" s="65">
        <v>6209</v>
      </c>
      <c r="C6011" s="579" t="s">
        <v>281</v>
      </c>
      <c r="D6011" s="579"/>
      <c r="E6011" s="583"/>
      <c r="F6011" s="596"/>
      <c r="G6011" s="65">
        <v>0</v>
      </c>
      <c r="H6011" s="591" t="s">
        <v>280</v>
      </c>
      <c r="I6011" s="591" t="s">
        <v>280</v>
      </c>
    </row>
    <row r="6012" spans="1:9">
      <c r="A6012" s="577"/>
      <c r="B6012" s="65">
        <v>6210</v>
      </c>
      <c r="C6012" s="579" t="s">
        <v>281</v>
      </c>
      <c r="D6012" s="579"/>
      <c r="E6012" s="583"/>
      <c r="F6012" s="596"/>
      <c r="G6012" s="65">
        <v>0</v>
      </c>
      <c r="H6012" s="591" t="s">
        <v>280</v>
      </c>
      <c r="I6012" s="591" t="s">
        <v>280</v>
      </c>
    </row>
    <row r="6013" spans="1:9">
      <c r="A6013" s="577"/>
      <c r="B6013" s="65">
        <v>6211</v>
      </c>
      <c r="C6013" s="579" t="s">
        <v>281</v>
      </c>
      <c r="D6013" s="579"/>
      <c r="E6013" s="583"/>
      <c r="F6013" s="596"/>
      <c r="G6013" s="65">
        <v>0</v>
      </c>
      <c r="H6013" s="591" t="s">
        <v>280</v>
      </c>
      <c r="I6013" s="591" t="s">
        <v>280</v>
      </c>
    </row>
    <row r="6014" spans="1:9">
      <c r="A6014" s="577"/>
      <c r="B6014" s="65">
        <v>6212</v>
      </c>
      <c r="C6014" s="579" t="s">
        <v>281</v>
      </c>
      <c r="D6014" s="579"/>
      <c r="E6014" s="583"/>
      <c r="F6014" s="596"/>
      <c r="G6014" s="65">
        <v>0</v>
      </c>
      <c r="H6014" s="591" t="s">
        <v>280</v>
      </c>
      <c r="I6014" s="591" t="s">
        <v>280</v>
      </c>
    </row>
    <row r="6015" spans="1:9">
      <c r="A6015" s="577"/>
      <c r="B6015" s="65">
        <v>6213</v>
      </c>
      <c r="C6015" s="579" t="s">
        <v>281</v>
      </c>
      <c r="D6015" s="579"/>
      <c r="E6015" s="583"/>
      <c r="F6015" s="596"/>
      <c r="G6015" s="65">
        <v>0</v>
      </c>
      <c r="H6015" s="591" t="s">
        <v>280</v>
      </c>
      <c r="I6015" s="591" t="s">
        <v>280</v>
      </c>
    </row>
    <row r="6016" spans="1:9">
      <c r="A6016" s="577"/>
      <c r="B6016" s="65">
        <v>6214</v>
      </c>
      <c r="C6016" s="579" t="s">
        <v>281</v>
      </c>
      <c r="D6016" s="579"/>
      <c r="E6016" s="583"/>
      <c r="F6016" s="596"/>
      <c r="G6016" s="65">
        <v>0</v>
      </c>
      <c r="H6016" s="591" t="s">
        <v>280</v>
      </c>
      <c r="I6016" s="591" t="s">
        <v>280</v>
      </c>
    </row>
    <row r="6017" spans="1:9">
      <c r="A6017" s="577"/>
      <c r="B6017" s="65">
        <v>6215</v>
      </c>
      <c r="C6017" s="579" t="s">
        <v>281</v>
      </c>
      <c r="D6017" s="579"/>
      <c r="E6017" s="583"/>
      <c r="F6017" s="596"/>
      <c r="G6017" s="65">
        <v>0</v>
      </c>
      <c r="H6017" s="591" t="s">
        <v>280</v>
      </c>
      <c r="I6017" s="591" t="s">
        <v>280</v>
      </c>
    </row>
    <row r="6018" spans="1:9">
      <c r="A6018" s="577"/>
      <c r="B6018" s="65">
        <v>6216</v>
      </c>
      <c r="C6018" s="579" t="s">
        <v>281</v>
      </c>
      <c r="D6018" s="579"/>
      <c r="E6018" s="583"/>
      <c r="F6018" s="596"/>
      <c r="G6018" s="65">
        <v>0</v>
      </c>
      <c r="H6018" s="591" t="s">
        <v>280</v>
      </c>
      <c r="I6018" s="591" t="s">
        <v>280</v>
      </c>
    </row>
    <row r="6019" spans="1:9">
      <c r="A6019" s="577"/>
      <c r="B6019" s="65">
        <v>6217</v>
      </c>
      <c r="C6019" s="579" t="s">
        <v>281</v>
      </c>
      <c r="D6019" s="579"/>
      <c r="E6019" s="583"/>
      <c r="F6019" s="596"/>
      <c r="G6019" s="65">
        <v>0</v>
      </c>
      <c r="H6019" s="591" t="s">
        <v>280</v>
      </c>
      <c r="I6019" s="591" t="s">
        <v>280</v>
      </c>
    </row>
    <row r="6020" spans="1:9">
      <c r="A6020" s="577"/>
      <c r="B6020" s="65">
        <v>6218</v>
      </c>
      <c r="C6020" s="579" t="s">
        <v>281</v>
      </c>
      <c r="D6020" s="579"/>
      <c r="E6020" s="583"/>
      <c r="F6020" s="596"/>
      <c r="G6020" s="65">
        <v>0</v>
      </c>
      <c r="H6020" s="591" t="s">
        <v>280</v>
      </c>
      <c r="I6020" s="591" t="s">
        <v>280</v>
      </c>
    </row>
    <row r="6021" spans="1:9">
      <c r="A6021" s="577"/>
      <c r="B6021" s="65">
        <v>6219</v>
      </c>
      <c r="C6021" s="579" t="s">
        <v>281</v>
      </c>
      <c r="D6021" s="579"/>
      <c r="E6021" s="583"/>
      <c r="F6021" s="596"/>
      <c r="G6021" s="65">
        <v>0</v>
      </c>
      <c r="H6021" s="591" t="s">
        <v>280</v>
      </c>
      <c r="I6021" s="591" t="s">
        <v>280</v>
      </c>
    </row>
    <row r="6022" spans="1:9">
      <c r="A6022" s="577"/>
      <c r="B6022" s="65">
        <v>6220</v>
      </c>
      <c r="C6022" s="579" t="s">
        <v>281</v>
      </c>
      <c r="D6022" s="579"/>
      <c r="E6022" s="583"/>
      <c r="F6022" s="596"/>
      <c r="G6022" s="65">
        <v>0</v>
      </c>
      <c r="H6022" s="591" t="s">
        <v>280</v>
      </c>
      <c r="I6022" s="591" t="s">
        <v>280</v>
      </c>
    </row>
    <row r="6023" spans="1:9">
      <c r="A6023" s="577"/>
      <c r="B6023" s="65">
        <v>6221</v>
      </c>
      <c r="C6023" s="579" t="s">
        <v>281</v>
      </c>
      <c r="D6023" s="579"/>
      <c r="E6023" s="583"/>
      <c r="F6023" s="596"/>
      <c r="G6023" s="65">
        <v>0</v>
      </c>
      <c r="H6023" s="591" t="s">
        <v>280</v>
      </c>
      <c r="I6023" s="591" t="s">
        <v>280</v>
      </c>
    </row>
    <row r="6024" spans="1:9">
      <c r="A6024" s="577"/>
      <c r="B6024" s="65">
        <v>6222</v>
      </c>
      <c r="C6024" s="579" t="s">
        <v>281</v>
      </c>
      <c r="D6024" s="579"/>
      <c r="E6024" s="583"/>
      <c r="F6024" s="596"/>
      <c r="G6024" s="65">
        <v>0</v>
      </c>
      <c r="H6024" s="591" t="s">
        <v>280</v>
      </c>
      <c r="I6024" s="591" t="s">
        <v>280</v>
      </c>
    </row>
    <row r="6025" spans="1:9">
      <c r="A6025" s="577"/>
      <c r="B6025" s="65">
        <v>6223</v>
      </c>
      <c r="C6025" s="579" t="s">
        <v>281</v>
      </c>
      <c r="D6025" s="579"/>
      <c r="E6025" s="583"/>
      <c r="F6025" s="596"/>
      <c r="G6025" s="65">
        <v>0</v>
      </c>
      <c r="H6025" s="591" t="s">
        <v>280</v>
      </c>
      <c r="I6025" s="591" t="s">
        <v>280</v>
      </c>
    </row>
    <row r="6026" spans="1:9">
      <c r="A6026" s="577"/>
      <c r="B6026" s="65">
        <v>6224</v>
      </c>
      <c r="C6026" s="579" t="s">
        <v>281</v>
      </c>
      <c r="D6026" s="579"/>
      <c r="E6026" s="583"/>
      <c r="F6026" s="596"/>
      <c r="G6026" s="65">
        <v>0</v>
      </c>
      <c r="H6026" s="591" t="s">
        <v>280</v>
      </c>
      <c r="I6026" s="591" t="s">
        <v>280</v>
      </c>
    </row>
    <row r="6027" spans="1:9">
      <c r="A6027" s="577"/>
      <c r="B6027" s="65">
        <v>6225</v>
      </c>
      <c r="C6027" s="579" t="s">
        <v>281</v>
      </c>
      <c r="D6027" s="579"/>
      <c r="E6027" s="583"/>
      <c r="F6027" s="596"/>
      <c r="G6027" s="65">
        <v>0</v>
      </c>
      <c r="H6027" s="591" t="s">
        <v>280</v>
      </c>
      <c r="I6027" s="591" t="s">
        <v>280</v>
      </c>
    </row>
    <row r="6028" spans="1:9">
      <c r="A6028" s="577"/>
      <c r="B6028" s="65">
        <v>6226</v>
      </c>
      <c r="C6028" s="579" t="s">
        <v>281</v>
      </c>
      <c r="D6028" s="579"/>
      <c r="E6028" s="583"/>
      <c r="F6028" s="596"/>
      <c r="G6028" s="65">
        <v>0</v>
      </c>
      <c r="H6028" s="591" t="s">
        <v>280</v>
      </c>
      <c r="I6028" s="591" t="s">
        <v>280</v>
      </c>
    </row>
    <row r="6029" spans="1:9">
      <c r="A6029" s="577"/>
      <c r="B6029" s="65">
        <v>6227</v>
      </c>
      <c r="C6029" s="579" t="s">
        <v>281</v>
      </c>
      <c r="D6029" s="579"/>
      <c r="E6029" s="583"/>
      <c r="F6029" s="596"/>
      <c r="G6029" s="65">
        <v>0</v>
      </c>
      <c r="H6029" s="591" t="s">
        <v>280</v>
      </c>
      <c r="I6029" s="591" t="s">
        <v>280</v>
      </c>
    </row>
    <row r="6030" spans="1:9">
      <c r="A6030" s="577"/>
      <c r="B6030" s="65">
        <v>6228</v>
      </c>
      <c r="C6030" s="579" t="s">
        <v>281</v>
      </c>
      <c r="D6030" s="579"/>
      <c r="E6030" s="583"/>
      <c r="F6030" s="596"/>
      <c r="G6030" s="65">
        <v>0</v>
      </c>
      <c r="H6030" s="591" t="s">
        <v>280</v>
      </c>
      <c r="I6030" s="591" t="s">
        <v>280</v>
      </c>
    </row>
    <row r="6031" spans="1:9">
      <c r="A6031" s="577"/>
      <c r="B6031" s="65">
        <v>6229</v>
      </c>
      <c r="C6031" s="579" t="s">
        <v>281</v>
      </c>
      <c r="D6031" s="579"/>
      <c r="E6031" s="583"/>
      <c r="F6031" s="596"/>
      <c r="G6031" s="65">
        <v>0</v>
      </c>
      <c r="H6031" s="591" t="s">
        <v>280</v>
      </c>
      <c r="I6031" s="591" t="s">
        <v>280</v>
      </c>
    </row>
    <row r="6032" spans="1:9">
      <c r="A6032" s="577"/>
      <c r="B6032" s="65">
        <v>6230</v>
      </c>
      <c r="C6032" s="579" t="s">
        <v>281</v>
      </c>
      <c r="D6032" s="579"/>
      <c r="E6032" s="583"/>
      <c r="F6032" s="596"/>
      <c r="G6032" s="65">
        <v>0</v>
      </c>
      <c r="H6032" s="591" t="s">
        <v>280</v>
      </c>
      <c r="I6032" s="591" t="s">
        <v>280</v>
      </c>
    </row>
    <row r="6033" spans="1:9">
      <c r="A6033" s="577"/>
      <c r="B6033" s="65">
        <v>6231</v>
      </c>
      <c r="C6033" s="579" t="s">
        <v>281</v>
      </c>
      <c r="D6033" s="579"/>
      <c r="E6033" s="583"/>
      <c r="F6033" s="596"/>
      <c r="G6033" s="65">
        <v>0</v>
      </c>
      <c r="H6033" s="591" t="s">
        <v>280</v>
      </c>
      <c r="I6033" s="591" t="s">
        <v>280</v>
      </c>
    </row>
    <row r="6034" spans="1:9">
      <c r="A6034" s="577"/>
      <c r="B6034" s="65">
        <v>6232</v>
      </c>
      <c r="C6034" s="579" t="s">
        <v>281</v>
      </c>
      <c r="D6034" s="579"/>
      <c r="E6034" s="583"/>
      <c r="F6034" s="596"/>
      <c r="G6034" s="65">
        <v>0</v>
      </c>
      <c r="H6034" s="591" t="s">
        <v>280</v>
      </c>
      <c r="I6034" s="591" t="s">
        <v>280</v>
      </c>
    </row>
    <row r="6035" spans="1:9">
      <c r="A6035" s="577"/>
      <c r="B6035" s="65">
        <v>6233</v>
      </c>
      <c r="C6035" s="579" t="s">
        <v>281</v>
      </c>
      <c r="D6035" s="579"/>
      <c r="E6035" s="583"/>
      <c r="F6035" s="596"/>
      <c r="G6035" s="65">
        <v>0</v>
      </c>
      <c r="H6035" s="591" t="s">
        <v>280</v>
      </c>
      <c r="I6035" s="591" t="s">
        <v>280</v>
      </c>
    </row>
    <row r="6036" spans="1:9">
      <c r="A6036" s="577"/>
      <c r="B6036" s="65">
        <v>6234</v>
      </c>
      <c r="C6036" s="579" t="s">
        <v>281</v>
      </c>
      <c r="D6036" s="579"/>
      <c r="E6036" s="583"/>
      <c r="F6036" s="596"/>
      <c r="G6036" s="65">
        <v>0</v>
      </c>
      <c r="H6036" s="591" t="s">
        <v>280</v>
      </c>
      <c r="I6036" s="591" t="s">
        <v>280</v>
      </c>
    </row>
    <row r="6037" spans="1:9">
      <c r="A6037" s="577"/>
      <c r="B6037" s="65">
        <v>6235</v>
      </c>
      <c r="C6037" s="579" t="s">
        <v>281</v>
      </c>
      <c r="D6037" s="579"/>
      <c r="E6037" s="583"/>
      <c r="F6037" s="596"/>
      <c r="G6037" s="65">
        <v>0</v>
      </c>
      <c r="H6037" s="591" t="s">
        <v>280</v>
      </c>
      <c r="I6037" s="591" t="s">
        <v>280</v>
      </c>
    </row>
    <row r="6038" spans="1:9">
      <c r="A6038" s="577"/>
      <c r="B6038" s="65">
        <v>6236</v>
      </c>
      <c r="C6038" s="579" t="s">
        <v>281</v>
      </c>
      <c r="D6038" s="579"/>
      <c r="E6038" s="583"/>
      <c r="F6038" s="596"/>
      <c r="G6038" s="65">
        <v>0</v>
      </c>
      <c r="H6038" s="591" t="s">
        <v>280</v>
      </c>
      <c r="I6038" s="591" t="s">
        <v>280</v>
      </c>
    </row>
    <row r="6039" spans="1:9">
      <c r="A6039" s="577"/>
      <c r="B6039" s="65">
        <v>6237</v>
      </c>
      <c r="C6039" s="579" t="s">
        <v>281</v>
      </c>
      <c r="D6039" s="579"/>
      <c r="E6039" s="583"/>
      <c r="F6039" s="596"/>
      <c r="G6039" s="65">
        <v>0</v>
      </c>
      <c r="H6039" s="591" t="s">
        <v>280</v>
      </c>
      <c r="I6039" s="591" t="s">
        <v>280</v>
      </c>
    </row>
    <row r="6040" spans="1:9">
      <c r="A6040" s="577"/>
      <c r="B6040" s="65">
        <v>6238</v>
      </c>
      <c r="C6040" s="579" t="s">
        <v>281</v>
      </c>
      <c r="D6040" s="579"/>
      <c r="E6040" s="583"/>
      <c r="F6040" s="596"/>
      <c r="G6040" s="65">
        <v>0</v>
      </c>
      <c r="H6040" s="591" t="s">
        <v>280</v>
      </c>
      <c r="I6040" s="591" t="s">
        <v>280</v>
      </c>
    </row>
    <row r="6041" spans="1:9">
      <c r="A6041" s="577"/>
      <c r="B6041" s="65">
        <v>6239</v>
      </c>
      <c r="C6041" s="579" t="s">
        <v>281</v>
      </c>
      <c r="D6041" s="579"/>
      <c r="E6041" s="583"/>
      <c r="F6041" s="596"/>
      <c r="G6041" s="65">
        <v>0</v>
      </c>
      <c r="H6041" s="591" t="s">
        <v>280</v>
      </c>
      <c r="I6041" s="591" t="s">
        <v>280</v>
      </c>
    </row>
    <row r="6042" spans="1:9">
      <c r="A6042" s="577"/>
      <c r="B6042" s="65">
        <v>6240</v>
      </c>
      <c r="C6042" s="579" t="s">
        <v>281</v>
      </c>
      <c r="D6042" s="579"/>
      <c r="E6042" s="583"/>
      <c r="F6042" s="596"/>
      <c r="G6042" s="65">
        <v>0</v>
      </c>
      <c r="H6042" s="591" t="s">
        <v>280</v>
      </c>
      <c r="I6042" s="591" t="s">
        <v>280</v>
      </c>
    </row>
    <row r="6043" spans="1:9">
      <c r="A6043" s="577"/>
      <c r="B6043" s="65">
        <v>6241</v>
      </c>
      <c r="C6043" s="579" t="s">
        <v>281</v>
      </c>
      <c r="D6043" s="579"/>
      <c r="E6043" s="583"/>
      <c r="F6043" s="596"/>
      <c r="G6043" s="65">
        <v>0</v>
      </c>
      <c r="H6043" s="591" t="s">
        <v>280</v>
      </c>
      <c r="I6043" s="591" t="s">
        <v>280</v>
      </c>
    </row>
    <row r="6044" spans="1:9">
      <c r="A6044" s="577"/>
      <c r="B6044" s="65">
        <v>6242</v>
      </c>
      <c r="C6044" s="579" t="s">
        <v>281</v>
      </c>
      <c r="D6044" s="579"/>
      <c r="E6044" s="583"/>
      <c r="F6044" s="596"/>
      <c r="G6044" s="65">
        <v>0</v>
      </c>
      <c r="H6044" s="591" t="s">
        <v>280</v>
      </c>
      <c r="I6044" s="591" t="s">
        <v>280</v>
      </c>
    </row>
    <row r="6045" spans="1:9">
      <c r="A6045" s="577"/>
      <c r="B6045" s="65">
        <v>6243</v>
      </c>
      <c r="C6045" s="579" t="s">
        <v>281</v>
      </c>
      <c r="D6045" s="579"/>
      <c r="E6045" s="583"/>
      <c r="F6045" s="596"/>
      <c r="G6045" s="65">
        <v>0</v>
      </c>
      <c r="H6045" s="591" t="s">
        <v>280</v>
      </c>
      <c r="I6045" s="591" t="s">
        <v>280</v>
      </c>
    </row>
    <row r="6046" spans="1:9">
      <c r="A6046" s="577"/>
      <c r="B6046" s="65">
        <v>6244</v>
      </c>
      <c r="C6046" s="579" t="s">
        <v>281</v>
      </c>
      <c r="D6046" s="579"/>
      <c r="E6046" s="583"/>
      <c r="F6046" s="596"/>
      <c r="G6046" s="65">
        <v>0</v>
      </c>
      <c r="H6046" s="591" t="s">
        <v>280</v>
      </c>
      <c r="I6046" s="591" t="s">
        <v>280</v>
      </c>
    </row>
    <row r="6047" spans="1:9">
      <c r="A6047" s="577"/>
      <c r="B6047" s="65">
        <v>6245</v>
      </c>
      <c r="C6047" s="579" t="s">
        <v>281</v>
      </c>
      <c r="D6047" s="579"/>
      <c r="E6047" s="583"/>
      <c r="F6047" s="596"/>
      <c r="G6047" s="65">
        <v>0</v>
      </c>
      <c r="H6047" s="591" t="s">
        <v>280</v>
      </c>
      <c r="I6047" s="591" t="s">
        <v>280</v>
      </c>
    </row>
    <row r="6048" spans="1:9">
      <c r="A6048" s="577"/>
      <c r="B6048" s="65">
        <v>6246</v>
      </c>
      <c r="C6048" s="579" t="s">
        <v>281</v>
      </c>
      <c r="D6048" s="579"/>
      <c r="E6048" s="583"/>
      <c r="F6048" s="596"/>
      <c r="G6048" s="65">
        <v>0</v>
      </c>
      <c r="H6048" s="591" t="s">
        <v>280</v>
      </c>
      <c r="I6048" s="591" t="s">
        <v>280</v>
      </c>
    </row>
    <row r="6049" spans="1:9">
      <c r="A6049" s="577"/>
      <c r="B6049" s="65">
        <v>6247</v>
      </c>
      <c r="C6049" s="579" t="s">
        <v>281</v>
      </c>
      <c r="D6049" s="579"/>
      <c r="E6049" s="583"/>
      <c r="F6049" s="596"/>
      <c r="G6049" s="65">
        <v>0</v>
      </c>
      <c r="H6049" s="591" t="s">
        <v>280</v>
      </c>
      <c r="I6049" s="591" t="s">
        <v>280</v>
      </c>
    </row>
    <row r="6050" spans="1:9">
      <c r="A6050" s="577"/>
      <c r="B6050" s="65">
        <v>6248</v>
      </c>
      <c r="C6050" s="579" t="s">
        <v>281</v>
      </c>
      <c r="D6050" s="579"/>
      <c r="E6050" s="583"/>
      <c r="F6050" s="596"/>
      <c r="G6050" s="65">
        <v>0</v>
      </c>
      <c r="H6050" s="591" t="s">
        <v>280</v>
      </c>
      <c r="I6050" s="591" t="s">
        <v>280</v>
      </c>
    </row>
    <row r="6051" spans="1:9">
      <c r="A6051" s="577"/>
      <c r="B6051" s="65">
        <v>6249</v>
      </c>
      <c r="C6051" s="579" t="s">
        <v>281</v>
      </c>
      <c r="D6051" s="579"/>
      <c r="E6051" s="583"/>
      <c r="F6051" s="596"/>
      <c r="G6051" s="65">
        <v>0</v>
      </c>
      <c r="H6051" s="591" t="s">
        <v>280</v>
      </c>
      <c r="I6051" s="591" t="s">
        <v>280</v>
      </c>
    </row>
    <row r="6052" spans="1:9">
      <c r="A6052" s="577"/>
      <c r="B6052" s="65">
        <v>6250</v>
      </c>
      <c r="C6052" s="579" t="s">
        <v>281</v>
      </c>
      <c r="D6052" s="579"/>
      <c r="E6052" s="583"/>
      <c r="F6052" s="596"/>
      <c r="G6052" s="65">
        <v>0</v>
      </c>
      <c r="H6052" s="591" t="s">
        <v>280</v>
      </c>
      <c r="I6052" s="591" t="s">
        <v>280</v>
      </c>
    </row>
    <row r="6053" spans="1:9">
      <c r="A6053" s="577"/>
      <c r="B6053" s="65">
        <v>6251</v>
      </c>
      <c r="C6053" s="579" t="s">
        <v>281</v>
      </c>
      <c r="D6053" s="579"/>
      <c r="E6053" s="583"/>
      <c r="F6053" s="596"/>
      <c r="G6053" s="65">
        <v>0</v>
      </c>
      <c r="H6053" s="591" t="s">
        <v>280</v>
      </c>
      <c r="I6053" s="591" t="s">
        <v>280</v>
      </c>
    </row>
    <row r="6054" spans="1:9">
      <c r="A6054" s="577"/>
      <c r="B6054" s="65">
        <v>6252</v>
      </c>
      <c r="C6054" s="579" t="s">
        <v>281</v>
      </c>
      <c r="D6054" s="579"/>
      <c r="E6054" s="583"/>
      <c r="F6054" s="596"/>
      <c r="G6054" s="65">
        <v>0</v>
      </c>
      <c r="H6054" s="591" t="s">
        <v>280</v>
      </c>
      <c r="I6054" s="591" t="s">
        <v>280</v>
      </c>
    </row>
    <row r="6055" spans="1:9">
      <c r="A6055" s="577"/>
      <c r="B6055" s="65">
        <v>6253</v>
      </c>
      <c r="C6055" s="579" t="s">
        <v>281</v>
      </c>
      <c r="D6055" s="579"/>
      <c r="E6055" s="583"/>
      <c r="F6055" s="596"/>
      <c r="G6055" s="65">
        <v>0</v>
      </c>
      <c r="H6055" s="591" t="s">
        <v>280</v>
      </c>
      <c r="I6055" s="591" t="s">
        <v>280</v>
      </c>
    </row>
    <row r="6056" spans="1:9">
      <c r="A6056" s="577"/>
      <c r="B6056" s="65">
        <v>6254</v>
      </c>
      <c r="C6056" s="579" t="s">
        <v>281</v>
      </c>
      <c r="D6056" s="579"/>
      <c r="E6056" s="583"/>
      <c r="F6056" s="596"/>
      <c r="G6056" s="65">
        <v>0</v>
      </c>
      <c r="H6056" s="591" t="s">
        <v>280</v>
      </c>
      <c r="I6056" s="591" t="s">
        <v>280</v>
      </c>
    </row>
    <row r="6057" spans="1:9">
      <c r="A6057" s="577"/>
      <c r="B6057" s="65">
        <v>6255</v>
      </c>
      <c r="C6057" s="579" t="s">
        <v>281</v>
      </c>
      <c r="D6057" s="579"/>
      <c r="E6057" s="583"/>
      <c r="F6057" s="596"/>
      <c r="G6057" s="65">
        <v>0</v>
      </c>
      <c r="H6057" s="591" t="s">
        <v>280</v>
      </c>
      <c r="I6057" s="591" t="s">
        <v>280</v>
      </c>
    </row>
    <row r="6058" spans="1:9">
      <c r="A6058" s="577"/>
      <c r="B6058" s="65">
        <v>6256</v>
      </c>
      <c r="C6058" s="579" t="s">
        <v>281</v>
      </c>
      <c r="D6058" s="579"/>
      <c r="E6058" s="583"/>
      <c r="F6058" s="596"/>
      <c r="G6058" s="65">
        <v>0</v>
      </c>
      <c r="H6058" s="591" t="s">
        <v>280</v>
      </c>
      <c r="I6058" s="591" t="s">
        <v>280</v>
      </c>
    </row>
    <row r="6059" spans="1:9">
      <c r="A6059" s="577"/>
      <c r="B6059" s="65">
        <v>6257</v>
      </c>
      <c r="C6059" s="579" t="s">
        <v>281</v>
      </c>
      <c r="D6059" s="579"/>
      <c r="E6059" s="583"/>
      <c r="F6059" s="596"/>
      <c r="G6059" s="65">
        <v>0</v>
      </c>
      <c r="H6059" s="591" t="s">
        <v>280</v>
      </c>
      <c r="I6059" s="591" t="s">
        <v>280</v>
      </c>
    </row>
    <row r="6060" spans="1:9">
      <c r="A6060" s="577"/>
      <c r="B6060" s="65">
        <v>6258</v>
      </c>
      <c r="C6060" s="579" t="s">
        <v>281</v>
      </c>
      <c r="D6060" s="579"/>
      <c r="E6060" s="583"/>
      <c r="F6060" s="596"/>
      <c r="G6060" s="65">
        <v>0</v>
      </c>
      <c r="H6060" s="591" t="s">
        <v>280</v>
      </c>
      <c r="I6060" s="591" t="s">
        <v>280</v>
      </c>
    </row>
    <row r="6061" spans="1:9">
      <c r="A6061" s="577"/>
      <c r="B6061" s="65">
        <v>6259</v>
      </c>
      <c r="C6061" s="579" t="s">
        <v>281</v>
      </c>
      <c r="D6061" s="579"/>
      <c r="E6061" s="583"/>
      <c r="F6061" s="596"/>
      <c r="G6061" s="65">
        <v>0</v>
      </c>
      <c r="H6061" s="591" t="s">
        <v>280</v>
      </c>
      <c r="I6061" s="591" t="s">
        <v>280</v>
      </c>
    </row>
    <row r="6062" spans="1:9">
      <c r="A6062" s="577"/>
      <c r="B6062" s="65">
        <v>6260</v>
      </c>
      <c r="C6062" s="579" t="s">
        <v>281</v>
      </c>
      <c r="D6062" s="579"/>
      <c r="E6062" s="583"/>
      <c r="F6062" s="596"/>
      <c r="G6062" s="65">
        <v>0</v>
      </c>
      <c r="H6062" s="591" t="s">
        <v>280</v>
      </c>
      <c r="I6062" s="591" t="s">
        <v>280</v>
      </c>
    </row>
    <row r="6063" spans="1:9">
      <c r="A6063" s="577"/>
      <c r="B6063" s="65">
        <v>6261</v>
      </c>
      <c r="C6063" s="579" t="s">
        <v>281</v>
      </c>
      <c r="D6063" s="579"/>
      <c r="E6063" s="583"/>
      <c r="F6063" s="596"/>
      <c r="G6063" s="65">
        <v>0</v>
      </c>
      <c r="H6063" s="591" t="s">
        <v>280</v>
      </c>
      <c r="I6063" s="591" t="s">
        <v>280</v>
      </c>
    </row>
    <row r="6064" spans="1:9">
      <c r="A6064" s="577"/>
      <c r="B6064" s="65">
        <v>6262</v>
      </c>
      <c r="C6064" s="579" t="s">
        <v>281</v>
      </c>
      <c r="D6064" s="579"/>
      <c r="E6064" s="583"/>
      <c r="F6064" s="596"/>
      <c r="G6064" s="65">
        <v>0</v>
      </c>
      <c r="H6064" s="591" t="s">
        <v>280</v>
      </c>
      <c r="I6064" s="591" t="s">
        <v>280</v>
      </c>
    </row>
    <row r="6065" spans="1:9">
      <c r="A6065" s="577"/>
      <c r="B6065" s="65">
        <v>6263</v>
      </c>
      <c r="C6065" s="579" t="s">
        <v>281</v>
      </c>
      <c r="D6065" s="579"/>
      <c r="E6065" s="583"/>
      <c r="F6065" s="596"/>
      <c r="G6065" s="65">
        <v>0</v>
      </c>
      <c r="H6065" s="591" t="s">
        <v>280</v>
      </c>
      <c r="I6065" s="591" t="s">
        <v>280</v>
      </c>
    </row>
    <row r="6066" spans="1:9">
      <c r="A6066" s="577"/>
      <c r="B6066" s="65">
        <v>6264</v>
      </c>
      <c r="C6066" s="579" t="s">
        <v>281</v>
      </c>
      <c r="D6066" s="579"/>
      <c r="E6066" s="583"/>
      <c r="F6066" s="596"/>
      <c r="G6066" s="65">
        <v>0</v>
      </c>
      <c r="H6066" s="591" t="s">
        <v>280</v>
      </c>
      <c r="I6066" s="591" t="s">
        <v>280</v>
      </c>
    </row>
    <row r="6067" spans="1:9">
      <c r="A6067" s="577"/>
      <c r="B6067" s="65">
        <v>6265</v>
      </c>
      <c r="C6067" s="579" t="s">
        <v>281</v>
      </c>
      <c r="D6067" s="579"/>
      <c r="E6067" s="583"/>
      <c r="F6067" s="596"/>
      <c r="G6067" s="65">
        <v>0</v>
      </c>
      <c r="H6067" s="591" t="s">
        <v>280</v>
      </c>
      <c r="I6067" s="591" t="s">
        <v>280</v>
      </c>
    </row>
    <row r="6068" spans="1:9">
      <c r="A6068" s="577"/>
      <c r="B6068" s="65">
        <v>6266</v>
      </c>
      <c r="C6068" s="579" t="s">
        <v>281</v>
      </c>
      <c r="D6068" s="579"/>
      <c r="E6068" s="583"/>
      <c r="F6068" s="596"/>
      <c r="G6068" s="65">
        <v>0</v>
      </c>
      <c r="H6068" s="591" t="s">
        <v>280</v>
      </c>
      <c r="I6068" s="591" t="s">
        <v>280</v>
      </c>
    </row>
    <row r="6069" spans="1:9">
      <c r="A6069" s="577"/>
      <c r="B6069" s="65">
        <v>6267</v>
      </c>
      <c r="C6069" s="579" t="s">
        <v>281</v>
      </c>
      <c r="D6069" s="579"/>
      <c r="E6069" s="583"/>
      <c r="F6069" s="596"/>
      <c r="G6069" s="65">
        <v>0</v>
      </c>
      <c r="H6069" s="591" t="s">
        <v>280</v>
      </c>
      <c r="I6069" s="591" t="s">
        <v>280</v>
      </c>
    </row>
    <row r="6070" spans="1:9">
      <c r="A6070" s="577"/>
      <c r="B6070" s="65">
        <v>6268</v>
      </c>
      <c r="C6070" s="579" t="s">
        <v>281</v>
      </c>
      <c r="D6070" s="579"/>
      <c r="E6070" s="583"/>
      <c r="F6070" s="596"/>
      <c r="G6070" s="65">
        <v>0</v>
      </c>
      <c r="H6070" s="591" t="s">
        <v>280</v>
      </c>
      <c r="I6070" s="591" t="s">
        <v>280</v>
      </c>
    </row>
    <row r="6071" spans="1:9">
      <c r="A6071" s="577"/>
      <c r="B6071" s="65">
        <v>6269</v>
      </c>
      <c r="C6071" s="579" t="s">
        <v>281</v>
      </c>
      <c r="D6071" s="579"/>
      <c r="E6071" s="583"/>
      <c r="F6071" s="596"/>
      <c r="G6071" s="65">
        <v>0</v>
      </c>
      <c r="H6071" s="591" t="s">
        <v>280</v>
      </c>
      <c r="I6071" s="591" t="s">
        <v>280</v>
      </c>
    </row>
    <row r="6072" spans="1:9">
      <c r="A6072" s="577"/>
      <c r="B6072" s="65">
        <v>6270</v>
      </c>
      <c r="C6072" s="579" t="s">
        <v>281</v>
      </c>
      <c r="D6072" s="579"/>
      <c r="E6072" s="583"/>
      <c r="F6072" s="596"/>
      <c r="G6072" s="65">
        <v>0</v>
      </c>
      <c r="H6072" s="591" t="s">
        <v>280</v>
      </c>
      <c r="I6072" s="591" t="s">
        <v>280</v>
      </c>
    </row>
    <row r="6073" spans="1:9">
      <c r="A6073" s="577"/>
      <c r="B6073" s="65">
        <v>6271</v>
      </c>
      <c r="C6073" s="579" t="s">
        <v>281</v>
      </c>
      <c r="D6073" s="579"/>
      <c r="E6073" s="583"/>
      <c r="F6073" s="596"/>
      <c r="G6073" s="65">
        <v>0</v>
      </c>
      <c r="H6073" s="591" t="s">
        <v>280</v>
      </c>
      <c r="I6073" s="591" t="s">
        <v>280</v>
      </c>
    </row>
    <row r="6074" spans="1:9">
      <c r="A6074" s="577"/>
      <c r="B6074" s="65">
        <v>6272</v>
      </c>
      <c r="C6074" s="579" t="s">
        <v>281</v>
      </c>
      <c r="D6074" s="579"/>
      <c r="E6074" s="583"/>
      <c r="F6074" s="596"/>
      <c r="G6074" s="65">
        <v>0</v>
      </c>
      <c r="H6074" s="591" t="s">
        <v>280</v>
      </c>
      <c r="I6074" s="591" t="s">
        <v>280</v>
      </c>
    </row>
    <row r="6075" spans="1:9">
      <c r="A6075" s="577"/>
      <c r="B6075" s="65">
        <v>6273</v>
      </c>
      <c r="C6075" s="579" t="s">
        <v>281</v>
      </c>
      <c r="D6075" s="579"/>
      <c r="E6075" s="583"/>
      <c r="F6075" s="596"/>
      <c r="G6075" s="65">
        <v>0</v>
      </c>
      <c r="H6075" s="591" t="s">
        <v>280</v>
      </c>
      <c r="I6075" s="591" t="s">
        <v>280</v>
      </c>
    </row>
    <row r="6076" spans="1:9">
      <c r="A6076" s="577"/>
      <c r="B6076" s="65">
        <v>6274</v>
      </c>
      <c r="C6076" s="579" t="s">
        <v>281</v>
      </c>
      <c r="D6076" s="579"/>
      <c r="E6076" s="583"/>
      <c r="F6076" s="596"/>
      <c r="G6076" s="65">
        <v>0</v>
      </c>
      <c r="H6076" s="591" t="s">
        <v>280</v>
      </c>
      <c r="I6076" s="591" t="s">
        <v>280</v>
      </c>
    </row>
    <row r="6077" spans="1:9">
      <c r="A6077" s="577"/>
      <c r="B6077" s="65">
        <v>6275</v>
      </c>
      <c r="C6077" s="579" t="s">
        <v>281</v>
      </c>
      <c r="D6077" s="579"/>
      <c r="E6077" s="583"/>
      <c r="F6077" s="596"/>
      <c r="G6077" s="65">
        <v>0</v>
      </c>
      <c r="H6077" s="591" t="s">
        <v>280</v>
      </c>
      <c r="I6077" s="591" t="s">
        <v>280</v>
      </c>
    </row>
    <row r="6078" spans="1:9">
      <c r="A6078" s="577"/>
      <c r="B6078" s="65">
        <v>6276</v>
      </c>
      <c r="C6078" s="579" t="s">
        <v>281</v>
      </c>
      <c r="D6078" s="579"/>
      <c r="E6078" s="583"/>
      <c r="F6078" s="596"/>
      <c r="G6078" s="65">
        <v>0</v>
      </c>
      <c r="H6078" s="591" t="s">
        <v>280</v>
      </c>
      <c r="I6078" s="591" t="s">
        <v>280</v>
      </c>
    </row>
    <row r="6079" spans="1:9">
      <c r="A6079" s="577"/>
      <c r="B6079" s="65">
        <v>6277</v>
      </c>
      <c r="C6079" s="579" t="s">
        <v>281</v>
      </c>
      <c r="D6079" s="579"/>
      <c r="E6079" s="583"/>
      <c r="F6079" s="596"/>
      <c r="G6079" s="65">
        <v>0</v>
      </c>
      <c r="H6079" s="591" t="s">
        <v>280</v>
      </c>
      <c r="I6079" s="591" t="s">
        <v>280</v>
      </c>
    </row>
    <row r="6080" spans="1:9">
      <c r="A6080" s="577"/>
      <c r="B6080" s="65">
        <v>6278</v>
      </c>
      <c r="C6080" s="579" t="s">
        <v>281</v>
      </c>
      <c r="D6080" s="579"/>
      <c r="E6080" s="583"/>
      <c r="F6080" s="596"/>
      <c r="G6080" s="65">
        <v>0</v>
      </c>
      <c r="H6080" s="591" t="s">
        <v>280</v>
      </c>
      <c r="I6080" s="591" t="s">
        <v>280</v>
      </c>
    </row>
    <row r="6081" spans="1:9">
      <c r="A6081" s="577"/>
      <c r="B6081" s="65">
        <v>6279</v>
      </c>
      <c r="C6081" s="579" t="s">
        <v>281</v>
      </c>
      <c r="D6081" s="579"/>
      <c r="E6081" s="583"/>
      <c r="F6081" s="596"/>
      <c r="G6081" s="65">
        <v>0</v>
      </c>
      <c r="H6081" s="591" t="s">
        <v>280</v>
      </c>
      <c r="I6081" s="591" t="s">
        <v>280</v>
      </c>
    </row>
    <row r="6082" spans="1:9">
      <c r="A6082" s="577"/>
      <c r="B6082" s="65">
        <v>6280</v>
      </c>
      <c r="C6082" s="579" t="s">
        <v>281</v>
      </c>
      <c r="D6082" s="579"/>
      <c r="E6082" s="583"/>
      <c r="F6082" s="596"/>
      <c r="G6082" s="65">
        <v>0</v>
      </c>
      <c r="H6082" s="591" t="s">
        <v>280</v>
      </c>
      <c r="I6082" s="591" t="s">
        <v>280</v>
      </c>
    </row>
    <row r="6083" spans="1:9">
      <c r="A6083" s="577"/>
      <c r="B6083" s="65">
        <v>6281</v>
      </c>
      <c r="C6083" s="579" t="s">
        <v>281</v>
      </c>
      <c r="D6083" s="579"/>
      <c r="E6083" s="583"/>
      <c r="F6083" s="596"/>
      <c r="G6083" s="65">
        <v>0</v>
      </c>
      <c r="H6083" s="591" t="s">
        <v>280</v>
      </c>
      <c r="I6083" s="591" t="s">
        <v>280</v>
      </c>
    </row>
    <row r="6084" spans="1:9">
      <c r="A6084" s="577"/>
      <c r="B6084" s="65">
        <v>6282</v>
      </c>
      <c r="C6084" s="579" t="s">
        <v>281</v>
      </c>
      <c r="D6084" s="579"/>
      <c r="E6084" s="583"/>
      <c r="F6084" s="596"/>
      <c r="G6084" s="65">
        <v>0</v>
      </c>
      <c r="H6084" s="591" t="s">
        <v>280</v>
      </c>
      <c r="I6084" s="591" t="s">
        <v>280</v>
      </c>
    </row>
    <row r="6085" spans="1:9">
      <c r="A6085" s="577"/>
      <c r="B6085" s="65">
        <v>6283</v>
      </c>
      <c r="C6085" s="579" t="s">
        <v>281</v>
      </c>
      <c r="D6085" s="579"/>
      <c r="E6085" s="583"/>
      <c r="F6085" s="596"/>
      <c r="G6085" s="65">
        <v>0</v>
      </c>
      <c r="H6085" s="591" t="s">
        <v>280</v>
      </c>
      <c r="I6085" s="591" t="s">
        <v>280</v>
      </c>
    </row>
    <row r="6086" spans="1:9">
      <c r="A6086" s="577"/>
      <c r="B6086" s="65">
        <v>6284</v>
      </c>
      <c r="C6086" s="579" t="s">
        <v>281</v>
      </c>
      <c r="D6086" s="579"/>
      <c r="E6086" s="583"/>
      <c r="F6086" s="596"/>
      <c r="G6086" s="65">
        <v>0</v>
      </c>
      <c r="H6086" s="591" t="s">
        <v>280</v>
      </c>
      <c r="I6086" s="591" t="s">
        <v>280</v>
      </c>
    </row>
    <row r="6087" spans="1:9">
      <c r="A6087" s="577"/>
      <c r="B6087" s="65">
        <v>6285</v>
      </c>
      <c r="C6087" s="579" t="s">
        <v>281</v>
      </c>
      <c r="D6087" s="579"/>
      <c r="E6087" s="583"/>
      <c r="F6087" s="596"/>
      <c r="G6087" s="65">
        <v>0</v>
      </c>
      <c r="H6087" s="591" t="s">
        <v>280</v>
      </c>
      <c r="I6087" s="591" t="s">
        <v>280</v>
      </c>
    </row>
    <row r="6088" spans="1:9">
      <c r="A6088" s="577"/>
      <c r="B6088" s="65">
        <v>6286</v>
      </c>
      <c r="C6088" s="579" t="s">
        <v>281</v>
      </c>
      <c r="D6088" s="579"/>
      <c r="E6088" s="583"/>
      <c r="F6088" s="596"/>
      <c r="G6088" s="65">
        <v>0</v>
      </c>
      <c r="H6088" s="591" t="s">
        <v>280</v>
      </c>
      <c r="I6088" s="591" t="s">
        <v>280</v>
      </c>
    </row>
    <row r="6089" spans="1:9">
      <c r="A6089" s="577"/>
      <c r="B6089" s="65">
        <v>6287</v>
      </c>
      <c r="C6089" s="579" t="s">
        <v>281</v>
      </c>
      <c r="D6089" s="579"/>
      <c r="E6089" s="583"/>
      <c r="F6089" s="596"/>
      <c r="G6089" s="65">
        <v>0</v>
      </c>
      <c r="H6089" s="591" t="s">
        <v>280</v>
      </c>
      <c r="I6089" s="591" t="s">
        <v>280</v>
      </c>
    </row>
    <row r="6090" spans="1:9">
      <c r="A6090" s="577"/>
      <c r="B6090" s="65">
        <v>6288</v>
      </c>
      <c r="C6090" s="579" t="s">
        <v>281</v>
      </c>
      <c r="D6090" s="579"/>
      <c r="E6090" s="583"/>
      <c r="F6090" s="596"/>
      <c r="G6090" s="65">
        <v>0</v>
      </c>
      <c r="H6090" s="591" t="s">
        <v>280</v>
      </c>
      <c r="I6090" s="591" t="s">
        <v>280</v>
      </c>
    </row>
    <row r="6091" spans="1:9">
      <c r="A6091" s="577"/>
      <c r="B6091" s="65">
        <v>6289</v>
      </c>
      <c r="C6091" s="579" t="s">
        <v>281</v>
      </c>
      <c r="D6091" s="579"/>
      <c r="E6091" s="583"/>
      <c r="F6091" s="596"/>
      <c r="G6091" s="65">
        <v>0</v>
      </c>
      <c r="H6091" s="591" t="s">
        <v>280</v>
      </c>
      <c r="I6091" s="591" t="s">
        <v>280</v>
      </c>
    </row>
    <row r="6092" spans="1:9">
      <c r="A6092" s="577"/>
      <c r="B6092" s="65">
        <v>6290</v>
      </c>
      <c r="C6092" s="579" t="s">
        <v>281</v>
      </c>
      <c r="D6092" s="579"/>
      <c r="E6092" s="583"/>
      <c r="F6092" s="596"/>
      <c r="G6092" s="65">
        <v>0</v>
      </c>
      <c r="H6092" s="591" t="s">
        <v>280</v>
      </c>
      <c r="I6092" s="591" t="s">
        <v>280</v>
      </c>
    </row>
    <row r="6093" spans="1:9">
      <c r="A6093" s="577"/>
      <c r="B6093" s="65">
        <v>6291</v>
      </c>
      <c r="C6093" s="579" t="s">
        <v>281</v>
      </c>
      <c r="D6093" s="579"/>
      <c r="E6093" s="583"/>
      <c r="F6093" s="596"/>
      <c r="G6093" s="65">
        <v>0</v>
      </c>
      <c r="H6093" s="591" t="s">
        <v>280</v>
      </c>
      <c r="I6093" s="591" t="s">
        <v>280</v>
      </c>
    </row>
    <row r="6094" spans="1:9">
      <c r="A6094" s="577"/>
      <c r="B6094" s="65">
        <v>6292</v>
      </c>
      <c r="C6094" s="579" t="s">
        <v>281</v>
      </c>
      <c r="D6094" s="579"/>
      <c r="E6094" s="583"/>
      <c r="F6094" s="596"/>
      <c r="G6094" s="65">
        <v>0</v>
      </c>
      <c r="H6094" s="591" t="s">
        <v>280</v>
      </c>
      <c r="I6094" s="591" t="s">
        <v>280</v>
      </c>
    </row>
    <row r="6095" spans="1:9">
      <c r="A6095" s="577"/>
      <c r="B6095" s="65">
        <v>6293</v>
      </c>
      <c r="C6095" s="579" t="s">
        <v>281</v>
      </c>
      <c r="D6095" s="579"/>
      <c r="E6095" s="583"/>
      <c r="F6095" s="596"/>
      <c r="G6095" s="65">
        <v>0</v>
      </c>
      <c r="H6095" s="591" t="s">
        <v>280</v>
      </c>
      <c r="I6095" s="591" t="s">
        <v>280</v>
      </c>
    </row>
    <row r="6096" spans="1:9">
      <c r="A6096" s="577"/>
      <c r="B6096" s="65">
        <v>6294</v>
      </c>
      <c r="C6096" s="579" t="s">
        <v>281</v>
      </c>
      <c r="D6096" s="579"/>
      <c r="E6096" s="583"/>
      <c r="F6096" s="596"/>
      <c r="G6096" s="65">
        <v>0</v>
      </c>
      <c r="H6096" s="591" t="s">
        <v>280</v>
      </c>
      <c r="I6096" s="591" t="s">
        <v>280</v>
      </c>
    </row>
    <row r="6097" spans="1:9">
      <c r="A6097" s="577"/>
      <c r="B6097" s="65">
        <v>6295</v>
      </c>
      <c r="C6097" s="579" t="s">
        <v>281</v>
      </c>
      <c r="D6097" s="579"/>
      <c r="E6097" s="583"/>
      <c r="F6097" s="596"/>
      <c r="G6097" s="65">
        <v>0</v>
      </c>
      <c r="H6097" s="591" t="s">
        <v>280</v>
      </c>
      <c r="I6097" s="591" t="s">
        <v>280</v>
      </c>
    </row>
    <row r="6098" spans="1:9">
      <c r="A6098" s="577"/>
      <c r="B6098" s="65">
        <v>6296</v>
      </c>
      <c r="C6098" s="579" t="s">
        <v>281</v>
      </c>
      <c r="D6098" s="579"/>
      <c r="E6098" s="583"/>
      <c r="F6098" s="596"/>
      <c r="G6098" s="65">
        <v>0</v>
      </c>
      <c r="H6098" s="591" t="s">
        <v>280</v>
      </c>
      <c r="I6098" s="591" t="s">
        <v>280</v>
      </c>
    </row>
    <row r="6099" spans="1:9">
      <c r="A6099" s="577"/>
      <c r="B6099" s="65">
        <v>6297</v>
      </c>
      <c r="C6099" s="579" t="s">
        <v>281</v>
      </c>
      <c r="D6099" s="579"/>
      <c r="E6099" s="583"/>
      <c r="F6099" s="596"/>
      <c r="G6099" s="65">
        <v>0</v>
      </c>
      <c r="H6099" s="591" t="s">
        <v>280</v>
      </c>
      <c r="I6099" s="591" t="s">
        <v>280</v>
      </c>
    </row>
    <row r="6100" spans="1:9">
      <c r="A6100" s="577"/>
      <c r="B6100" s="65">
        <v>6298</v>
      </c>
      <c r="C6100" s="579" t="s">
        <v>281</v>
      </c>
      <c r="D6100" s="579"/>
      <c r="E6100" s="583"/>
      <c r="F6100" s="596"/>
      <c r="G6100" s="65">
        <v>0</v>
      </c>
      <c r="H6100" s="591" t="s">
        <v>280</v>
      </c>
      <c r="I6100" s="591" t="s">
        <v>280</v>
      </c>
    </row>
    <row r="6101" spans="1:9">
      <c r="A6101" s="577"/>
      <c r="B6101" s="65">
        <v>6299</v>
      </c>
      <c r="C6101" s="579" t="s">
        <v>281</v>
      </c>
      <c r="D6101" s="579"/>
      <c r="E6101" s="583"/>
      <c r="F6101" s="596"/>
      <c r="G6101" s="65">
        <v>0</v>
      </c>
      <c r="H6101" s="591" t="s">
        <v>280</v>
      </c>
      <c r="I6101" s="591" t="s">
        <v>280</v>
      </c>
    </row>
    <row r="6102" spans="1:9">
      <c r="A6102" s="577"/>
      <c r="B6102" s="65">
        <v>6300</v>
      </c>
      <c r="C6102" s="579" t="s">
        <v>281</v>
      </c>
      <c r="D6102" s="579"/>
      <c r="E6102" s="583"/>
      <c r="F6102" s="596"/>
      <c r="G6102" s="65">
        <v>0</v>
      </c>
      <c r="H6102" s="591" t="s">
        <v>280</v>
      </c>
      <c r="I6102" s="591" t="s">
        <v>280</v>
      </c>
    </row>
    <row r="6103" spans="1:9">
      <c r="A6103" s="577"/>
      <c r="B6103" s="65">
        <v>6301</v>
      </c>
      <c r="C6103" s="579" t="s">
        <v>281</v>
      </c>
      <c r="D6103" s="579"/>
      <c r="E6103" s="583"/>
      <c r="F6103" s="596"/>
      <c r="G6103" s="65">
        <v>0</v>
      </c>
      <c r="H6103" s="591" t="s">
        <v>280</v>
      </c>
      <c r="I6103" s="591" t="s">
        <v>280</v>
      </c>
    </row>
    <row r="6104" spans="1:9">
      <c r="A6104" s="577"/>
      <c r="B6104" s="65">
        <v>6302</v>
      </c>
      <c r="C6104" s="579" t="s">
        <v>281</v>
      </c>
      <c r="D6104" s="579"/>
      <c r="E6104" s="583"/>
      <c r="F6104" s="596"/>
      <c r="G6104" s="65">
        <v>0</v>
      </c>
      <c r="H6104" s="591" t="s">
        <v>280</v>
      </c>
      <c r="I6104" s="591" t="s">
        <v>280</v>
      </c>
    </row>
    <row r="6105" spans="1:9">
      <c r="A6105" s="577"/>
      <c r="B6105" s="65">
        <v>6303</v>
      </c>
      <c r="C6105" s="579" t="s">
        <v>281</v>
      </c>
      <c r="D6105" s="579"/>
      <c r="E6105" s="583"/>
      <c r="F6105" s="596"/>
      <c r="G6105" s="65">
        <v>0</v>
      </c>
      <c r="H6105" s="591" t="s">
        <v>280</v>
      </c>
      <c r="I6105" s="591" t="s">
        <v>280</v>
      </c>
    </row>
    <row r="6106" spans="1:9">
      <c r="A6106" s="577"/>
      <c r="B6106" s="65">
        <v>6304</v>
      </c>
      <c r="C6106" s="579" t="s">
        <v>281</v>
      </c>
      <c r="D6106" s="579"/>
      <c r="E6106" s="583"/>
      <c r="F6106" s="596"/>
      <c r="G6106" s="65">
        <v>0</v>
      </c>
      <c r="H6106" s="591" t="s">
        <v>280</v>
      </c>
      <c r="I6106" s="591" t="s">
        <v>280</v>
      </c>
    </row>
    <row r="6107" spans="1:9">
      <c r="A6107" s="577"/>
      <c r="B6107" s="65">
        <v>6305</v>
      </c>
      <c r="C6107" s="579" t="s">
        <v>281</v>
      </c>
      <c r="D6107" s="579"/>
      <c r="E6107" s="583"/>
      <c r="F6107" s="596"/>
      <c r="G6107" s="65">
        <v>0</v>
      </c>
      <c r="H6107" s="591" t="s">
        <v>280</v>
      </c>
      <c r="I6107" s="591" t="s">
        <v>280</v>
      </c>
    </row>
    <row r="6108" spans="1:9">
      <c r="A6108" s="577"/>
      <c r="B6108" s="65">
        <v>6306</v>
      </c>
      <c r="C6108" s="579" t="s">
        <v>281</v>
      </c>
      <c r="D6108" s="579"/>
      <c r="E6108" s="583"/>
      <c r="F6108" s="596"/>
      <c r="G6108" s="65">
        <v>0</v>
      </c>
      <c r="H6108" s="591" t="s">
        <v>280</v>
      </c>
      <c r="I6108" s="591" t="s">
        <v>280</v>
      </c>
    </row>
    <row r="6109" spans="1:9">
      <c r="A6109" s="577"/>
      <c r="B6109" s="65">
        <v>6307</v>
      </c>
      <c r="C6109" s="579" t="s">
        <v>281</v>
      </c>
      <c r="D6109" s="579"/>
      <c r="E6109" s="583"/>
      <c r="F6109" s="596"/>
      <c r="G6109" s="65">
        <v>0</v>
      </c>
      <c r="H6109" s="591" t="s">
        <v>280</v>
      </c>
      <c r="I6109" s="591" t="s">
        <v>280</v>
      </c>
    </row>
    <row r="6110" spans="1:9">
      <c r="A6110" s="577"/>
      <c r="B6110" s="65">
        <v>6308</v>
      </c>
      <c r="C6110" s="579" t="s">
        <v>281</v>
      </c>
      <c r="D6110" s="579"/>
      <c r="E6110" s="583"/>
      <c r="F6110" s="596"/>
      <c r="G6110" s="65">
        <v>0</v>
      </c>
      <c r="H6110" s="591" t="s">
        <v>280</v>
      </c>
      <c r="I6110" s="591" t="s">
        <v>280</v>
      </c>
    </row>
    <row r="6111" spans="1:9">
      <c r="A6111" s="577"/>
      <c r="B6111" s="65">
        <v>6309</v>
      </c>
      <c r="C6111" s="579" t="s">
        <v>281</v>
      </c>
      <c r="D6111" s="579"/>
      <c r="E6111" s="583"/>
      <c r="F6111" s="596"/>
      <c r="G6111" s="65">
        <v>0</v>
      </c>
      <c r="H6111" s="591" t="s">
        <v>280</v>
      </c>
      <c r="I6111" s="591" t="s">
        <v>280</v>
      </c>
    </row>
    <row r="6112" spans="1:9">
      <c r="A6112" s="577"/>
      <c r="B6112" s="65">
        <v>6310</v>
      </c>
      <c r="C6112" s="579" t="s">
        <v>281</v>
      </c>
      <c r="D6112" s="579"/>
      <c r="E6112" s="583"/>
      <c r="F6112" s="596"/>
      <c r="G6112" s="65">
        <v>0</v>
      </c>
      <c r="H6112" s="591" t="s">
        <v>280</v>
      </c>
      <c r="I6112" s="591" t="s">
        <v>280</v>
      </c>
    </row>
    <row r="6113" spans="1:9">
      <c r="A6113" s="577"/>
      <c r="B6113" s="65">
        <v>6311</v>
      </c>
      <c r="C6113" s="579" t="s">
        <v>281</v>
      </c>
      <c r="D6113" s="579"/>
      <c r="E6113" s="583"/>
      <c r="F6113" s="596"/>
      <c r="G6113" s="65">
        <v>0</v>
      </c>
      <c r="H6113" s="591" t="s">
        <v>280</v>
      </c>
      <c r="I6113" s="591" t="s">
        <v>280</v>
      </c>
    </row>
    <row r="6114" spans="1:9">
      <c r="A6114" s="577"/>
      <c r="B6114" s="65">
        <v>6312</v>
      </c>
      <c r="C6114" s="579" t="s">
        <v>281</v>
      </c>
      <c r="D6114" s="579"/>
      <c r="E6114" s="583"/>
      <c r="F6114" s="596"/>
      <c r="G6114" s="65">
        <v>0</v>
      </c>
      <c r="H6114" s="591" t="s">
        <v>280</v>
      </c>
      <c r="I6114" s="591" t="s">
        <v>280</v>
      </c>
    </row>
    <row r="6115" spans="1:9">
      <c r="A6115" s="577"/>
      <c r="B6115" s="65">
        <v>6313</v>
      </c>
      <c r="C6115" s="579" t="s">
        <v>281</v>
      </c>
      <c r="D6115" s="579"/>
      <c r="E6115" s="583"/>
      <c r="F6115" s="596"/>
      <c r="G6115" s="65">
        <v>0</v>
      </c>
      <c r="H6115" s="591" t="s">
        <v>280</v>
      </c>
      <c r="I6115" s="591" t="s">
        <v>280</v>
      </c>
    </row>
    <row r="6116" spans="1:9">
      <c r="A6116" s="577"/>
      <c r="B6116" s="65">
        <v>6314</v>
      </c>
      <c r="C6116" s="579" t="s">
        <v>281</v>
      </c>
      <c r="D6116" s="579"/>
      <c r="E6116" s="583"/>
      <c r="F6116" s="596"/>
      <c r="G6116" s="65">
        <v>0</v>
      </c>
      <c r="H6116" s="591" t="s">
        <v>280</v>
      </c>
      <c r="I6116" s="591" t="s">
        <v>280</v>
      </c>
    </row>
    <row r="6117" spans="1:9">
      <c r="A6117" s="577"/>
      <c r="B6117" s="65">
        <v>6315</v>
      </c>
      <c r="C6117" s="579" t="s">
        <v>281</v>
      </c>
      <c r="D6117" s="579"/>
      <c r="E6117" s="583"/>
      <c r="F6117" s="596"/>
      <c r="G6117" s="65">
        <v>0</v>
      </c>
      <c r="H6117" s="591" t="s">
        <v>280</v>
      </c>
      <c r="I6117" s="591" t="s">
        <v>280</v>
      </c>
    </row>
    <row r="6118" spans="1:9">
      <c r="A6118" s="577"/>
      <c r="B6118" s="65">
        <v>6316</v>
      </c>
      <c r="C6118" s="579" t="s">
        <v>281</v>
      </c>
      <c r="D6118" s="579"/>
      <c r="E6118" s="583"/>
      <c r="F6118" s="596"/>
      <c r="G6118" s="65">
        <v>0</v>
      </c>
      <c r="H6118" s="591" t="s">
        <v>280</v>
      </c>
      <c r="I6118" s="591" t="s">
        <v>280</v>
      </c>
    </row>
    <row r="6119" spans="1:9">
      <c r="A6119" s="577"/>
      <c r="B6119" s="65">
        <v>6317</v>
      </c>
      <c r="C6119" s="579" t="s">
        <v>281</v>
      </c>
      <c r="D6119" s="579"/>
      <c r="E6119" s="583"/>
      <c r="F6119" s="596"/>
      <c r="G6119" s="65">
        <v>0</v>
      </c>
      <c r="H6119" s="591" t="s">
        <v>280</v>
      </c>
      <c r="I6119" s="591" t="s">
        <v>280</v>
      </c>
    </row>
    <row r="6120" spans="1:9">
      <c r="A6120" s="577"/>
      <c r="B6120" s="65">
        <v>6318</v>
      </c>
      <c r="C6120" s="579" t="s">
        <v>281</v>
      </c>
      <c r="D6120" s="579"/>
      <c r="E6120" s="583"/>
      <c r="F6120" s="596"/>
      <c r="G6120" s="65">
        <v>0</v>
      </c>
      <c r="H6120" s="591" t="s">
        <v>280</v>
      </c>
      <c r="I6120" s="591" t="s">
        <v>280</v>
      </c>
    </row>
    <row r="6121" spans="1:9">
      <c r="A6121" s="577"/>
      <c r="B6121" s="65">
        <v>6319</v>
      </c>
      <c r="C6121" s="579" t="s">
        <v>281</v>
      </c>
      <c r="D6121" s="579"/>
      <c r="E6121" s="583"/>
      <c r="F6121" s="596"/>
      <c r="G6121" s="65">
        <v>0</v>
      </c>
      <c r="H6121" s="591" t="s">
        <v>280</v>
      </c>
      <c r="I6121" s="591" t="s">
        <v>280</v>
      </c>
    </row>
    <row r="6122" spans="1:9">
      <c r="A6122" s="577"/>
      <c r="B6122" s="65">
        <v>6320</v>
      </c>
      <c r="C6122" s="579" t="s">
        <v>281</v>
      </c>
      <c r="D6122" s="579"/>
      <c r="E6122" s="583"/>
      <c r="F6122" s="596"/>
      <c r="G6122" s="65">
        <v>0</v>
      </c>
      <c r="H6122" s="591" t="s">
        <v>280</v>
      </c>
      <c r="I6122" s="591" t="s">
        <v>280</v>
      </c>
    </row>
    <row r="6123" spans="1:9">
      <c r="A6123" s="577"/>
      <c r="B6123" s="65">
        <v>6321</v>
      </c>
      <c r="C6123" s="579" t="s">
        <v>281</v>
      </c>
      <c r="D6123" s="579"/>
      <c r="E6123" s="583"/>
      <c r="F6123" s="596"/>
      <c r="G6123" s="65">
        <v>0</v>
      </c>
      <c r="H6123" s="591" t="s">
        <v>280</v>
      </c>
      <c r="I6123" s="591" t="s">
        <v>280</v>
      </c>
    </row>
    <row r="6124" spans="1:9">
      <c r="A6124" s="577"/>
      <c r="B6124" s="65">
        <v>6322</v>
      </c>
      <c r="C6124" s="579" t="s">
        <v>281</v>
      </c>
      <c r="D6124" s="579"/>
      <c r="E6124" s="583"/>
      <c r="F6124" s="596"/>
      <c r="G6124" s="65">
        <v>0</v>
      </c>
      <c r="H6124" s="591" t="s">
        <v>280</v>
      </c>
      <c r="I6124" s="591" t="s">
        <v>280</v>
      </c>
    </row>
    <row r="6125" spans="1:9">
      <c r="A6125" s="577"/>
      <c r="B6125" s="65">
        <v>6323</v>
      </c>
      <c r="C6125" s="579" t="s">
        <v>281</v>
      </c>
      <c r="D6125" s="579"/>
      <c r="E6125" s="583"/>
      <c r="F6125" s="596"/>
      <c r="G6125" s="65">
        <v>0</v>
      </c>
      <c r="H6125" s="591" t="s">
        <v>280</v>
      </c>
      <c r="I6125" s="591" t="s">
        <v>280</v>
      </c>
    </row>
    <row r="6126" spans="1:9">
      <c r="A6126" s="577"/>
      <c r="B6126" s="65">
        <v>6324</v>
      </c>
      <c r="C6126" s="579" t="s">
        <v>281</v>
      </c>
      <c r="D6126" s="579"/>
      <c r="E6126" s="583"/>
      <c r="F6126" s="596"/>
      <c r="G6126" s="65">
        <v>0</v>
      </c>
      <c r="H6126" s="591" t="s">
        <v>280</v>
      </c>
      <c r="I6126" s="591" t="s">
        <v>280</v>
      </c>
    </row>
    <row r="6127" spans="1:9">
      <c r="A6127" s="577"/>
      <c r="B6127" s="65">
        <v>6325</v>
      </c>
      <c r="C6127" s="579" t="s">
        <v>281</v>
      </c>
      <c r="D6127" s="579"/>
      <c r="E6127" s="583"/>
      <c r="F6127" s="596"/>
      <c r="G6127" s="65">
        <v>0</v>
      </c>
      <c r="H6127" s="591" t="s">
        <v>280</v>
      </c>
      <c r="I6127" s="591" t="s">
        <v>280</v>
      </c>
    </row>
    <row r="6128" spans="1:9">
      <c r="A6128" s="577"/>
      <c r="B6128" s="65">
        <v>6326</v>
      </c>
      <c r="C6128" s="579" t="s">
        <v>281</v>
      </c>
      <c r="D6128" s="579"/>
      <c r="E6128" s="583"/>
      <c r="F6128" s="596"/>
      <c r="G6128" s="65">
        <v>0</v>
      </c>
      <c r="H6128" s="591" t="s">
        <v>280</v>
      </c>
      <c r="I6128" s="591" t="s">
        <v>280</v>
      </c>
    </row>
    <row r="6129" spans="1:9">
      <c r="A6129" s="577"/>
      <c r="B6129" s="65">
        <v>6327</v>
      </c>
      <c r="C6129" s="579" t="s">
        <v>281</v>
      </c>
      <c r="D6129" s="579"/>
      <c r="E6129" s="583"/>
      <c r="F6129" s="596"/>
      <c r="G6129" s="65">
        <v>0</v>
      </c>
      <c r="H6129" s="591" t="s">
        <v>280</v>
      </c>
      <c r="I6129" s="591" t="s">
        <v>280</v>
      </c>
    </row>
    <row r="6130" spans="1:9">
      <c r="A6130" s="577"/>
      <c r="B6130" s="65">
        <v>6328</v>
      </c>
      <c r="C6130" s="579" t="s">
        <v>281</v>
      </c>
      <c r="D6130" s="579"/>
      <c r="E6130" s="583"/>
      <c r="F6130" s="596"/>
      <c r="G6130" s="65">
        <v>0</v>
      </c>
      <c r="H6130" s="591" t="s">
        <v>280</v>
      </c>
      <c r="I6130" s="591" t="s">
        <v>280</v>
      </c>
    </row>
    <row r="6131" spans="1:9">
      <c r="A6131" s="577"/>
      <c r="B6131" s="65">
        <v>6329</v>
      </c>
      <c r="C6131" s="579" t="s">
        <v>281</v>
      </c>
      <c r="D6131" s="579"/>
      <c r="E6131" s="583"/>
      <c r="F6131" s="596"/>
      <c r="G6131" s="65">
        <v>0</v>
      </c>
      <c r="H6131" s="591" t="s">
        <v>280</v>
      </c>
      <c r="I6131" s="591" t="s">
        <v>280</v>
      </c>
    </row>
    <row r="6132" spans="1:9">
      <c r="A6132" s="577"/>
      <c r="B6132" s="65">
        <v>6330</v>
      </c>
      <c r="C6132" s="579" t="s">
        <v>281</v>
      </c>
      <c r="D6132" s="579"/>
      <c r="E6132" s="583"/>
      <c r="F6132" s="596"/>
      <c r="G6132" s="65">
        <v>0</v>
      </c>
      <c r="H6132" s="591" t="s">
        <v>280</v>
      </c>
      <c r="I6132" s="591" t="s">
        <v>280</v>
      </c>
    </row>
    <row r="6133" spans="1:9">
      <c r="A6133" s="577"/>
      <c r="B6133" s="65">
        <v>6331</v>
      </c>
      <c r="C6133" s="579" t="s">
        <v>281</v>
      </c>
      <c r="D6133" s="579"/>
      <c r="E6133" s="583"/>
      <c r="F6133" s="596"/>
      <c r="G6133" s="65">
        <v>0</v>
      </c>
      <c r="H6133" s="591" t="s">
        <v>280</v>
      </c>
      <c r="I6133" s="591" t="s">
        <v>280</v>
      </c>
    </row>
    <row r="6134" spans="1:9">
      <c r="A6134" s="577"/>
      <c r="B6134" s="65">
        <v>6332</v>
      </c>
      <c r="C6134" s="579" t="s">
        <v>281</v>
      </c>
      <c r="D6134" s="579"/>
      <c r="E6134" s="583"/>
      <c r="F6134" s="596"/>
      <c r="G6134" s="65">
        <v>0</v>
      </c>
      <c r="H6134" s="591" t="s">
        <v>280</v>
      </c>
      <c r="I6134" s="591" t="s">
        <v>280</v>
      </c>
    </row>
    <row r="6135" spans="1:9">
      <c r="A6135" s="577"/>
      <c r="B6135" s="65">
        <v>6333</v>
      </c>
      <c r="C6135" s="579" t="s">
        <v>281</v>
      </c>
      <c r="D6135" s="579"/>
      <c r="E6135" s="583"/>
      <c r="F6135" s="596"/>
      <c r="G6135" s="65">
        <v>0</v>
      </c>
      <c r="H6135" s="591" t="s">
        <v>280</v>
      </c>
      <c r="I6135" s="591" t="s">
        <v>280</v>
      </c>
    </row>
    <row r="6136" spans="1:9">
      <c r="A6136" s="577"/>
      <c r="B6136" s="65">
        <v>6334</v>
      </c>
      <c r="C6136" s="579" t="s">
        <v>281</v>
      </c>
      <c r="D6136" s="579"/>
      <c r="E6136" s="583"/>
      <c r="F6136" s="596"/>
      <c r="G6136" s="65">
        <v>0</v>
      </c>
      <c r="H6136" s="591" t="s">
        <v>280</v>
      </c>
      <c r="I6136" s="591" t="s">
        <v>280</v>
      </c>
    </row>
    <row r="6137" spans="1:9">
      <c r="A6137" s="577"/>
      <c r="B6137" s="65">
        <v>6335</v>
      </c>
      <c r="C6137" s="579" t="s">
        <v>281</v>
      </c>
      <c r="D6137" s="579"/>
      <c r="E6137" s="583"/>
      <c r="F6137" s="596"/>
      <c r="G6137" s="65">
        <v>0</v>
      </c>
      <c r="H6137" s="591" t="s">
        <v>280</v>
      </c>
      <c r="I6137" s="591" t="s">
        <v>280</v>
      </c>
    </row>
    <row r="6138" spans="1:9">
      <c r="A6138" s="577"/>
      <c r="B6138" s="65">
        <v>6336</v>
      </c>
      <c r="C6138" s="579" t="s">
        <v>281</v>
      </c>
      <c r="D6138" s="579"/>
      <c r="E6138" s="583"/>
      <c r="F6138" s="596"/>
      <c r="G6138" s="65">
        <v>0</v>
      </c>
      <c r="H6138" s="591" t="s">
        <v>280</v>
      </c>
      <c r="I6138" s="591" t="s">
        <v>280</v>
      </c>
    </row>
    <row r="6139" spans="1:9">
      <c r="A6139" s="577"/>
      <c r="B6139" s="65">
        <v>6337</v>
      </c>
      <c r="C6139" s="579" t="s">
        <v>281</v>
      </c>
      <c r="D6139" s="579"/>
      <c r="E6139" s="583"/>
      <c r="F6139" s="596"/>
      <c r="G6139" s="65">
        <v>0</v>
      </c>
      <c r="H6139" s="591" t="s">
        <v>280</v>
      </c>
      <c r="I6139" s="591" t="s">
        <v>280</v>
      </c>
    </row>
    <row r="6140" spans="1:9">
      <c r="A6140" s="577"/>
      <c r="B6140" s="65">
        <v>6338</v>
      </c>
      <c r="C6140" s="579" t="s">
        <v>281</v>
      </c>
      <c r="D6140" s="579"/>
      <c r="E6140" s="583"/>
      <c r="F6140" s="596"/>
      <c r="G6140" s="65">
        <v>0</v>
      </c>
      <c r="H6140" s="591" t="s">
        <v>280</v>
      </c>
      <c r="I6140" s="591" t="s">
        <v>280</v>
      </c>
    </row>
    <row r="6141" spans="1:9">
      <c r="A6141" s="577"/>
      <c r="B6141" s="65">
        <v>6339</v>
      </c>
      <c r="C6141" s="579" t="s">
        <v>281</v>
      </c>
      <c r="D6141" s="579"/>
      <c r="E6141" s="583"/>
      <c r="F6141" s="596"/>
      <c r="G6141" s="65">
        <v>0</v>
      </c>
      <c r="H6141" s="591" t="s">
        <v>280</v>
      </c>
      <c r="I6141" s="591" t="s">
        <v>280</v>
      </c>
    </row>
    <row r="6142" spans="1:9">
      <c r="A6142" s="577"/>
      <c r="B6142" s="65">
        <v>6340</v>
      </c>
      <c r="C6142" s="579" t="s">
        <v>281</v>
      </c>
      <c r="D6142" s="579"/>
      <c r="E6142" s="583"/>
      <c r="F6142" s="596"/>
      <c r="G6142" s="65">
        <v>0</v>
      </c>
      <c r="H6142" s="591" t="s">
        <v>280</v>
      </c>
      <c r="I6142" s="591" t="s">
        <v>280</v>
      </c>
    </row>
    <row r="6143" spans="1:9">
      <c r="A6143" s="577"/>
      <c r="B6143" s="65">
        <v>6341</v>
      </c>
      <c r="C6143" s="579" t="s">
        <v>281</v>
      </c>
      <c r="D6143" s="579"/>
      <c r="E6143" s="583"/>
      <c r="F6143" s="596"/>
      <c r="G6143" s="65">
        <v>0</v>
      </c>
      <c r="H6143" s="591" t="s">
        <v>280</v>
      </c>
      <c r="I6143" s="591" t="s">
        <v>280</v>
      </c>
    </row>
    <row r="6144" spans="1:9">
      <c r="A6144" s="577"/>
      <c r="B6144" s="65">
        <v>6342</v>
      </c>
      <c r="C6144" s="579" t="s">
        <v>281</v>
      </c>
      <c r="D6144" s="579"/>
      <c r="E6144" s="583"/>
      <c r="F6144" s="596"/>
      <c r="G6144" s="65">
        <v>0</v>
      </c>
      <c r="H6144" s="591" t="s">
        <v>280</v>
      </c>
      <c r="I6144" s="591" t="s">
        <v>280</v>
      </c>
    </row>
    <row r="6145" spans="1:9">
      <c r="A6145" s="577"/>
      <c r="B6145" s="65">
        <v>6343</v>
      </c>
      <c r="C6145" s="579" t="s">
        <v>281</v>
      </c>
      <c r="D6145" s="579"/>
      <c r="E6145" s="583"/>
      <c r="F6145" s="596"/>
      <c r="G6145" s="65">
        <v>0</v>
      </c>
      <c r="H6145" s="591" t="s">
        <v>280</v>
      </c>
      <c r="I6145" s="591" t="s">
        <v>280</v>
      </c>
    </row>
    <row r="6146" spans="1:9">
      <c r="A6146" s="577"/>
      <c r="B6146" s="65">
        <v>6344</v>
      </c>
      <c r="C6146" s="579" t="s">
        <v>281</v>
      </c>
      <c r="D6146" s="579"/>
      <c r="E6146" s="583"/>
      <c r="F6146" s="596"/>
      <c r="G6146" s="65">
        <v>0</v>
      </c>
      <c r="H6146" s="591" t="s">
        <v>280</v>
      </c>
      <c r="I6146" s="591" t="s">
        <v>280</v>
      </c>
    </row>
    <row r="6147" spans="1:9">
      <c r="A6147" s="577"/>
      <c r="B6147" s="65">
        <v>6345</v>
      </c>
      <c r="C6147" s="579" t="s">
        <v>281</v>
      </c>
      <c r="D6147" s="579"/>
      <c r="E6147" s="583"/>
      <c r="F6147" s="596"/>
      <c r="G6147" s="65">
        <v>0</v>
      </c>
      <c r="H6147" s="591" t="s">
        <v>280</v>
      </c>
      <c r="I6147" s="591" t="s">
        <v>280</v>
      </c>
    </row>
    <row r="6148" spans="1:9">
      <c r="A6148" s="577"/>
      <c r="B6148" s="65">
        <v>6346</v>
      </c>
      <c r="C6148" s="579" t="s">
        <v>281</v>
      </c>
      <c r="D6148" s="579"/>
      <c r="E6148" s="583"/>
      <c r="F6148" s="596"/>
      <c r="G6148" s="65">
        <v>0</v>
      </c>
      <c r="H6148" s="591" t="s">
        <v>280</v>
      </c>
      <c r="I6148" s="591" t="s">
        <v>280</v>
      </c>
    </row>
    <row r="6149" spans="1:9">
      <c r="A6149" s="577"/>
      <c r="B6149" s="65">
        <v>6347</v>
      </c>
      <c r="C6149" s="579" t="s">
        <v>281</v>
      </c>
      <c r="D6149" s="579"/>
      <c r="E6149" s="583"/>
      <c r="F6149" s="596"/>
      <c r="G6149" s="65">
        <v>0</v>
      </c>
      <c r="H6149" s="591" t="s">
        <v>280</v>
      </c>
      <c r="I6149" s="591" t="s">
        <v>280</v>
      </c>
    </row>
    <row r="6150" spans="1:9">
      <c r="A6150" s="577"/>
      <c r="B6150" s="65">
        <v>6348</v>
      </c>
      <c r="C6150" s="579" t="s">
        <v>281</v>
      </c>
      <c r="D6150" s="579"/>
      <c r="E6150" s="583"/>
      <c r="F6150" s="596"/>
      <c r="G6150" s="65">
        <v>0</v>
      </c>
      <c r="H6150" s="591" t="s">
        <v>280</v>
      </c>
      <c r="I6150" s="591" t="s">
        <v>280</v>
      </c>
    </row>
    <row r="6151" spans="1:9">
      <c r="A6151" s="577"/>
      <c r="B6151" s="65">
        <v>6349</v>
      </c>
      <c r="C6151" s="579" t="s">
        <v>281</v>
      </c>
      <c r="D6151" s="579"/>
      <c r="E6151" s="583"/>
      <c r="F6151" s="596"/>
      <c r="G6151" s="65">
        <v>0</v>
      </c>
      <c r="H6151" s="591" t="s">
        <v>280</v>
      </c>
      <c r="I6151" s="591" t="s">
        <v>280</v>
      </c>
    </row>
    <row r="6152" spans="1:9">
      <c r="A6152" s="577"/>
      <c r="B6152" s="65">
        <v>6350</v>
      </c>
      <c r="C6152" s="579" t="s">
        <v>281</v>
      </c>
      <c r="D6152" s="579"/>
      <c r="E6152" s="583"/>
      <c r="F6152" s="596"/>
      <c r="G6152" s="65">
        <v>0</v>
      </c>
      <c r="H6152" s="591" t="s">
        <v>280</v>
      </c>
      <c r="I6152" s="591" t="s">
        <v>280</v>
      </c>
    </row>
    <row r="6153" spans="1:9">
      <c r="A6153" s="577"/>
      <c r="B6153" s="65">
        <v>6351</v>
      </c>
      <c r="C6153" s="579" t="s">
        <v>281</v>
      </c>
      <c r="D6153" s="579"/>
      <c r="E6153" s="583"/>
      <c r="F6153" s="596"/>
      <c r="G6153" s="65">
        <v>0</v>
      </c>
      <c r="H6153" s="591" t="s">
        <v>280</v>
      </c>
      <c r="I6153" s="591" t="s">
        <v>280</v>
      </c>
    </row>
    <row r="6154" spans="1:9">
      <c r="A6154" s="577"/>
      <c r="B6154" s="65">
        <v>6352</v>
      </c>
      <c r="C6154" s="579" t="s">
        <v>281</v>
      </c>
      <c r="D6154" s="579"/>
      <c r="E6154" s="583"/>
      <c r="F6154" s="596"/>
      <c r="G6154" s="65">
        <v>0</v>
      </c>
      <c r="H6154" s="591" t="s">
        <v>280</v>
      </c>
      <c r="I6154" s="591" t="s">
        <v>280</v>
      </c>
    </row>
    <row r="6155" spans="1:9">
      <c r="A6155" s="577"/>
      <c r="B6155" s="65">
        <v>6353</v>
      </c>
      <c r="C6155" s="579" t="s">
        <v>281</v>
      </c>
      <c r="D6155" s="579"/>
      <c r="E6155" s="583"/>
      <c r="F6155" s="596"/>
      <c r="G6155" s="65">
        <v>0</v>
      </c>
      <c r="H6155" s="591" t="s">
        <v>280</v>
      </c>
      <c r="I6155" s="591" t="s">
        <v>280</v>
      </c>
    </row>
    <row r="6156" spans="1:9">
      <c r="A6156" s="577"/>
      <c r="B6156" s="65">
        <v>6354</v>
      </c>
      <c r="C6156" s="579" t="s">
        <v>281</v>
      </c>
      <c r="D6156" s="579"/>
      <c r="E6156" s="583"/>
      <c r="F6156" s="596"/>
      <c r="G6156" s="65">
        <v>0</v>
      </c>
      <c r="H6156" s="591" t="s">
        <v>280</v>
      </c>
      <c r="I6156" s="591" t="s">
        <v>280</v>
      </c>
    </row>
    <row r="6157" spans="1:9">
      <c r="A6157" s="577"/>
      <c r="B6157" s="65">
        <v>6355</v>
      </c>
      <c r="C6157" s="579" t="s">
        <v>281</v>
      </c>
      <c r="D6157" s="579"/>
      <c r="E6157" s="583"/>
      <c r="F6157" s="596"/>
      <c r="G6157" s="65">
        <v>0</v>
      </c>
      <c r="H6157" s="591" t="s">
        <v>280</v>
      </c>
      <c r="I6157" s="591" t="s">
        <v>280</v>
      </c>
    </row>
    <row r="6158" spans="1:9">
      <c r="A6158" s="577"/>
      <c r="B6158" s="65">
        <v>6356</v>
      </c>
      <c r="C6158" s="579" t="s">
        <v>281</v>
      </c>
      <c r="D6158" s="579"/>
      <c r="E6158" s="583"/>
      <c r="F6158" s="596"/>
      <c r="G6158" s="65">
        <v>0</v>
      </c>
      <c r="H6158" s="591" t="s">
        <v>280</v>
      </c>
      <c r="I6158" s="591" t="s">
        <v>280</v>
      </c>
    </row>
    <row r="6159" spans="1:9">
      <c r="A6159" s="577"/>
      <c r="B6159" s="65">
        <v>6357</v>
      </c>
      <c r="C6159" s="579" t="s">
        <v>281</v>
      </c>
      <c r="D6159" s="579"/>
      <c r="E6159" s="583"/>
      <c r="F6159" s="596"/>
      <c r="G6159" s="65">
        <v>0</v>
      </c>
      <c r="H6159" s="591" t="s">
        <v>280</v>
      </c>
      <c r="I6159" s="591" t="s">
        <v>280</v>
      </c>
    </row>
    <row r="6160" spans="1:9">
      <c r="A6160" s="577"/>
      <c r="B6160" s="65">
        <v>6358</v>
      </c>
      <c r="C6160" s="579" t="s">
        <v>281</v>
      </c>
      <c r="D6160" s="579"/>
      <c r="E6160" s="583"/>
      <c r="F6160" s="596"/>
      <c r="G6160" s="65">
        <v>0</v>
      </c>
      <c r="H6160" s="591" t="s">
        <v>280</v>
      </c>
      <c r="I6160" s="591" t="s">
        <v>280</v>
      </c>
    </row>
    <row r="6161" spans="1:9">
      <c r="A6161" s="577"/>
      <c r="B6161" s="65">
        <v>6359</v>
      </c>
      <c r="C6161" s="579" t="s">
        <v>281</v>
      </c>
      <c r="D6161" s="579"/>
      <c r="E6161" s="583"/>
      <c r="F6161" s="596"/>
      <c r="G6161" s="65">
        <v>0</v>
      </c>
      <c r="H6161" s="591" t="s">
        <v>280</v>
      </c>
      <c r="I6161" s="591" t="s">
        <v>280</v>
      </c>
    </row>
    <row r="6162" spans="1:9">
      <c r="A6162" s="577"/>
      <c r="B6162" s="65">
        <v>6360</v>
      </c>
      <c r="C6162" s="579" t="s">
        <v>281</v>
      </c>
      <c r="D6162" s="579"/>
      <c r="E6162" s="583"/>
      <c r="F6162" s="596"/>
      <c r="G6162" s="65">
        <v>0</v>
      </c>
      <c r="H6162" s="591" t="s">
        <v>280</v>
      </c>
      <c r="I6162" s="591" t="s">
        <v>280</v>
      </c>
    </row>
    <row r="6163" spans="1:9">
      <c r="A6163" s="577"/>
      <c r="B6163" s="65">
        <v>6361</v>
      </c>
      <c r="C6163" s="579" t="s">
        <v>281</v>
      </c>
      <c r="D6163" s="579"/>
      <c r="E6163" s="583"/>
      <c r="F6163" s="596"/>
      <c r="G6163" s="65">
        <v>0</v>
      </c>
      <c r="H6163" s="591" t="s">
        <v>280</v>
      </c>
      <c r="I6163" s="591" t="s">
        <v>280</v>
      </c>
    </row>
    <row r="6164" spans="1:9">
      <c r="A6164" s="577"/>
      <c r="B6164" s="65">
        <v>6362</v>
      </c>
      <c r="C6164" s="579" t="s">
        <v>281</v>
      </c>
      <c r="D6164" s="579"/>
      <c r="E6164" s="583"/>
      <c r="F6164" s="596"/>
      <c r="G6164" s="65">
        <v>0</v>
      </c>
      <c r="H6164" s="591" t="s">
        <v>280</v>
      </c>
      <c r="I6164" s="591" t="s">
        <v>280</v>
      </c>
    </row>
    <row r="6165" spans="1:9">
      <c r="A6165" s="577"/>
      <c r="B6165" s="65">
        <v>6363</v>
      </c>
      <c r="C6165" s="579" t="s">
        <v>281</v>
      </c>
      <c r="D6165" s="579"/>
      <c r="E6165" s="583"/>
      <c r="F6165" s="596"/>
      <c r="G6165" s="65">
        <v>0</v>
      </c>
      <c r="H6165" s="591" t="s">
        <v>280</v>
      </c>
      <c r="I6165" s="591" t="s">
        <v>280</v>
      </c>
    </row>
    <row r="6166" spans="1:9">
      <c r="A6166" s="577"/>
      <c r="B6166" s="65">
        <v>6364</v>
      </c>
      <c r="C6166" s="579" t="s">
        <v>281</v>
      </c>
      <c r="D6166" s="579"/>
      <c r="E6166" s="583"/>
      <c r="F6166" s="596"/>
      <c r="G6166" s="65">
        <v>0</v>
      </c>
      <c r="H6166" s="591" t="s">
        <v>280</v>
      </c>
      <c r="I6166" s="591" t="s">
        <v>280</v>
      </c>
    </row>
    <row r="6167" spans="1:9">
      <c r="A6167" s="577"/>
      <c r="B6167" s="65">
        <v>6365</v>
      </c>
      <c r="C6167" s="579" t="s">
        <v>281</v>
      </c>
      <c r="D6167" s="579"/>
      <c r="E6167" s="583"/>
      <c r="F6167" s="596"/>
      <c r="G6167" s="65">
        <v>0</v>
      </c>
      <c r="H6167" s="591" t="s">
        <v>280</v>
      </c>
      <c r="I6167" s="591" t="s">
        <v>280</v>
      </c>
    </row>
    <row r="6168" spans="1:9">
      <c r="A6168" s="577"/>
      <c r="B6168" s="65">
        <v>6366</v>
      </c>
      <c r="C6168" s="579" t="s">
        <v>281</v>
      </c>
      <c r="D6168" s="579"/>
      <c r="E6168" s="583"/>
      <c r="F6168" s="596"/>
      <c r="G6168" s="65">
        <v>0</v>
      </c>
      <c r="H6168" s="591" t="s">
        <v>280</v>
      </c>
      <c r="I6168" s="591" t="s">
        <v>280</v>
      </c>
    </row>
    <row r="6169" spans="1:9">
      <c r="A6169" s="577"/>
      <c r="B6169" s="65">
        <v>6367</v>
      </c>
      <c r="C6169" s="579" t="s">
        <v>281</v>
      </c>
      <c r="D6169" s="579"/>
      <c r="E6169" s="583"/>
      <c r="F6169" s="596"/>
      <c r="G6169" s="65">
        <v>0</v>
      </c>
      <c r="H6169" s="591" t="s">
        <v>280</v>
      </c>
      <c r="I6169" s="591" t="s">
        <v>280</v>
      </c>
    </row>
    <row r="6170" spans="1:9">
      <c r="A6170" s="577"/>
      <c r="B6170" s="65">
        <v>6368</v>
      </c>
      <c r="C6170" s="579" t="s">
        <v>281</v>
      </c>
      <c r="D6170" s="579"/>
      <c r="E6170" s="583"/>
      <c r="F6170" s="596"/>
      <c r="G6170" s="65">
        <v>0</v>
      </c>
      <c r="H6170" s="591" t="s">
        <v>280</v>
      </c>
      <c r="I6170" s="591" t="s">
        <v>280</v>
      </c>
    </row>
    <row r="6171" spans="1:9">
      <c r="A6171" s="577"/>
      <c r="B6171" s="65">
        <v>6369</v>
      </c>
      <c r="C6171" s="579" t="s">
        <v>281</v>
      </c>
      <c r="D6171" s="579"/>
      <c r="E6171" s="583"/>
      <c r="F6171" s="596"/>
      <c r="G6171" s="65">
        <v>0</v>
      </c>
      <c r="H6171" s="591" t="s">
        <v>280</v>
      </c>
      <c r="I6171" s="591" t="s">
        <v>280</v>
      </c>
    </row>
    <row r="6172" spans="1:9">
      <c r="A6172" s="577"/>
      <c r="B6172" s="65">
        <v>6370</v>
      </c>
      <c r="C6172" s="579" t="s">
        <v>281</v>
      </c>
      <c r="D6172" s="579"/>
      <c r="E6172" s="583"/>
      <c r="F6172" s="596"/>
      <c r="G6172" s="65">
        <v>0</v>
      </c>
      <c r="H6172" s="591" t="s">
        <v>280</v>
      </c>
      <c r="I6172" s="591" t="s">
        <v>280</v>
      </c>
    </row>
    <row r="6173" spans="1:9">
      <c r="A6173" s="577"/>
      <c r="B6173" s="65">
        <v>6371</v>
      </c>
      <c r="C6173" s="579" t="s">
        <v>281</v>
      </c>
      <c r="D6173" s="579"/>
      <c r="E6173" s="583"/>
      <c r="F6173" s="596"/>
      <c r="G6173" s="65">
        <v>0</v>
      </c>
      <c r="H6173" s="591" t="s">
        <v>280</v>
      </c>
      <c r="I6173" s="591" t="s">
        <v>280</v>
      </c>
    </row>
    <row r="6174" spans="1:9">
      <c r="A6174" s="577"/>
      <c r="B6174" s="65">
        <v>6372</v>
      </c>
      <c r="C6174" s="579" t="s">
        <v>281</v>
      </c>
      <c r="D6174" s="579"/>
      <c r="E6174" s="583"/>
      <c r="F6174" s="596"/>
      <c r="G6174" s="65">
        <v>0</v>
      </c>
      <c r="H6174" s="591" t="s">
        <v>280</v>
      </c>
      <c r="I6174" s="591" t="s">
        <v>280</v>
      </c>
    </row>
    <row r="6175" spans="1:9">
      <c r="A6175" s="577"/>
      <c r="B6175" s="65">
        <v>6373</v>
      </c>
      <c r="C6175" s="579" t="s">
        <v>281</v>
      </c>
      <c r="D6175" s="579"/>
      <c r="E6175" s="583"/>
      <c r="F6175" s="596"/>
      <c r="G6175" s="65">
        <v>0</v>
      </c>
      <c r="H6175" s="591" t="s">
        <v>280</v>
      </c>
      <c r="I6175" s="591" t="s">
        <v>280</v>
      </c>
    </row>
    <row r="6176" spans="1:9">
      <c r="A6176" s="577"/>
      <c r="B6176" s="65">
        <v>6374</v>
      </c>
      <c r="C6176" s="579" t="s">
        <v>281</v>
      </c>
      <c r="D6176" s="579"/>
      <c r="E6176" s="583"/>
      <c r="F6176" s="596"/>
      <c r="G6176" s="65">
        <v>0</v>
      </c>
      <c r="H6176" s="591" t="s">
        <v>280</v>
      </c>
      <c r="I6176" s="591" t="s">
        <v>280</v>
      </c>
    </row>
    <row r="6177" spans="1:9">
      <c r="A6177" s="577"/>
      <c r="B6177" s="65">
        <v>6375</v>
      </c>
      <c r="C6177" s="579" t="s">
        <v>281</v>
      </c>
      <c r="D6177" s="579"/>
      <c r="E6177" s="583"/>
      <c r="F6177" s="596"/>
      <c r="G6177" s="65">
        <v>0</v>
      </c>
      <c r="H6177" s="591" t="s">
        <v>280</v>
      </c>
      <c r="I6177" s="591" t="s">
        <v>280</v>
      </c>
    </row>
    <row r="6178" spans="1:9">
      <c r="A6178" s="577"/>
      <c r="B6178" s="65">
        <v>6376</v>
      </c>
      <c r="C6178" s="579" t="s">
        <v>281</v>
      </c>
      <c r="D6178" s="579"/>
      <c r="E6178" s="583"/>
      <c r="F6178" s="596"/>
      <c r="G6178" s="65">
        <v>0</v>
      </c>
      <c r="H6178" s="591" t="s">
        <v>280</v>
      </c>
      <c r="I6178" s="591" t="s">
        <v>280</v>
      </c>
    </row>
    <row r="6179" spans="1:9">
      <c r="A6179" s="577"/>
      <c r="B6179" s="65">
        <v>6377</v>
      </c>
      <c r="C6179" s="579" t="s">
        <v>281</v>
      </c>
      <c r="D6179" s="579"/>
      <c r="E6179" s="583"/>
      <c r="F6179" s="596"/>
      <c r="G6179" s="65">
        <v>0</v>
      </c>
      <c r="H6179" s="591" t="s">
        <v>280</v>
      </c>
      <c r="I6179" s="591" t="s">
        <v>280</v>
      </c>
    </row>
    <row r="6180" spans="1:9">
      <c r="A6180" s="577"/>
      <c r="B6180" s="65">
        <v>6378</v>
      </c>
      <c r="C6180" s="579" t="s">
        <v>281</v>
      </c>
      <c r="D6180" s="579"/>
      <c r="E6180" s="583"/>
      <c r="F6180" s="596"/>
      <c r="G6180" s="65">
        <v>0</v>
      </c>
      <c r="H6180" s="591" t="s">
        <v>280</v>
      </c>
      <c r="I6180" s="591" t="s">
        <v>280</v>
      </c>
    </row>
    <row r="6181" spans="1:9">
      <c r="A6181" s="577"/>
      <c r="B6181" s="65">
        <v>6379</v>
      </c>
      <c r="C6181" s="579" t="s">
        <v>281</v>
      </c>
      <c r="D6181" s="579"/>
      <c r="E6181" s="583"/>
      <c r="F6181" s="596"/>
      <c r="G6181" s="65">
        <v>0</v>
      </c>
      <c r="H6181" s="591" t="s">
        <v>280</v>
      </c>
      <c r="I6181" s="591" t="s">
        <v>280</v>
      </c>
    </row>
    <row r="6182" spans="1:9">
      <c r="A6182" s="577"/>
      <c r="B6182" s="65">
        <v>6380</v>
      </c>
      <c r="C6182" s="579" t="s">
        <v>281</v>
      </c>
      <c r="D6182" s="579"/>
      <c r="E6182" s="583"/>
      <c r="F6182" s="596"/>
      <c r="G6182" s="65">
        <v>0</v>
      </c>
      <c r="H6182" s="591" t="s">
        <v>280</v>
      </c>
      <c r="I6182" s="591" t="s">
        <v>280</v>
      </c>
    </row>
    <row r="6183" spans="1:9">
      <c r="A6183" s="577"/>
      <c r="B6183" s="65">
        <v>6381</v>
      </c>
      <c r="C6183" s="579" t="s">
        <v>281</v>
      </c>
      <c r="D6183" s="579"/>
      <c r="E6183" s="583"/>
      <c r="F6183" s="596"/>
      <c r="G6183" s="65">
        <v>0</v>
      </c>
      <c r="H6183" s="591" t="s">
        <v>280</v>
      </c>
      <c r="I6183" s="591" t="s">
        <v>280</v>
      </c>
    </row>
    <row r="6184" spans="1:9">
      <c r="A6184" s="577"/>
      <c r="B6184" s="65">
        <v>6382</v>
      </c>
      <c r="C6184" s="579" t="s">
        <v>281</v>
      </c>
      <c r="D6184" s="579"/>
      <c r="E6184" s="583"/>
      <c r="F6184" s="596"/>
      <c r="G6184" s="65">
        <v>0</v>
      </c>
      <c r="H6184" s="591" t="s">
        <v>280</v>
      </c>
      <c r="I6184" s="591" t="s">
        <v>280</v>
      </c>
    </row>
    <row r="6185" spans="1:9">
      <c r="A6185" s="577"/>
      <c r="B6185" s="65">
        <v>6383</v>
      </c>
      <c r="C6185" s="579" t="s">
        <v>281</v>
      </c>
      <c r="D6185" s="579"/>
      <c r="E6185" s="583"/>
      <c r="F6185" s="596"/>
      <c r="G6185" s="65">
        <v>0</v>
      </c>
      <c r="H6185" s="591" t="s">
        <v>280</v>
      </c>
      <c r="I6185" s="591" t="s">
        <v>280</v>
      </c>
    </row>
    <row r="6186" spans="1:9">
      <c r="A6186" s="577"/>
      <c r="B6186" s="65">
        <v>6384</v>
      </c>
      <c r="C6186" s="579" t="s">
        <v>281</v>
      </c>
      <c r="D6186" s="579"/>
      <c r="E6186" s="583"/>
      <c r="F6186" s="596"/>
      <c r="G6186" s="65">
        <v>0</v>
      </c>
      <c r="H6186" s="591" t="s">
        <v>280</v>
      </c>
      <c r="I6186" s="591" t="s">
        <v>280</v>
      </c>
    </row>
    <row r="6187" spans="1:9">
      <c r="A6187" s="577"/>
      <c r="B6187" s="65">
        <v>6385</v>
      </c>
      <c r="C6187" s="579" t="s">
        <v>281</v>
      </c>
      <c r="D6187" s="579"/>
      <c r="E6187" s="583"/>
      <c r="F6187" s="596"/>
      <c r="G6187" s="65">
        <v>0</v>
      </c>
      <c r="H6187" s="591" t="s">
        <v>280</v>
      </c>
      <c r="I6187" s="591" t="s">
        <v>280</v>
      </c>
    </row>
    <row r="6188" spans="1:9">
      <c r="A6188" s="577"/>
      <c r="B6188" s="65">
        <v>6386</v>
      </c>
      <c r="C6188" s="579" t="s">
        <v>281</v>
      </c>
      <c r="D6188" s="579"/>
      <c r="E6188" s="583"/>
      <c r="F6188" s="596"/>
      <c r="G6188" s="65">
        <v>0</v>
      </c>
      <c r="H6188" s="591" t="s">
        <v>280</v>
      </c>
      <c r="I6188" s="591" t="s">
        <v>280</v>
      </c>
    </row>
    <row r="6189" spans="1:9">
      <c r="A6189" s="577"/>
      <c r="B6189" s="65">
        <v>6387</v>
      </c>
      <c r="C6189" s="579" t="s">
        <v>281</v>
      </c>
      <c r="D6189" s="579"/>
      <c r="E6189" s="583"/>
      <c r="F6189" s="596"/>
      <c r="G6189" s="65">
        <v>0</v>
      </c>
      <c r="H6189" s="591" t="s">
        <v>280</v>
      </c>
      <c r="I6189" s="591" t="s">
        <v>280</v>
      </c>
    </row>
    <row r="6190" spans="1:9">
      <c r="A6190" s="577"/>
      <c r="B6190" s="65">
        <v>6388</v>
      </c>
      <c r="C6190" s="579" t="s">
        <v>281</v>
      </c>
      <c r="D6190" s="579"/>
      <c r="E6190" s="583"/>
      <c r="F6190" s="596"/>
      <c r="G6190" s="65">
        <v>0</v>
      </c>
      <c r="H6190" s="591" t="s">
        <v>280</v>
      </c>
      <c r="I6190" s="591" t="s">
        <v>280</v>
      </c>
    </row>
    <row r="6191" spans="1:9">
      <c r="A6191" s="577"/>
      <c r="B6191" s="65">
        <v>6389</v>
      </c>
      <c r="C6191" s="579" t="s">
        <v>281</v>
      </c>
      <c r="D6191" s="579"/>
      <c r="E6191" s="583"/>
      <c r="F6191" s="596"/>
      <c r="G6191" s="65">
        <v>0</v>
      </c>
      <c r="H6191" s="591" t="s">
        <v>280</v>
      </c>
      <c r="I6191" s="591" t="s">
        <v>280</v>
      </c>
    </row>
    <row r="6192" spans="1:9">
      <c r="A6192" s="577"/>
      <c r="B6192" s="65">
        <v>6390</v>
      </c>
      <c r="C6192" s="579" t="s">
        <v>281</v>
      </c>
      <c r="D6192" s="579"/>
      <c r="E6192" s="583"/>
      <c r="F6192" s="596"/>
      <c r="G6192" s="65">
        <v>0</v>
      </c>
      <c r="H6192" s="591" t="s">
        <v>280</v>
      </c>
      <c r="I6192" s="591" t="s">
        <v>280</v>
      </c>
    </row>
    <row r="6193" spans="1:9">
      <c r="A6193" s="577"/>
      <c r="B6193" s="65">
        <v>6391</v>
      </c>
      <c r="C6193" s="579" t="s">
        <v>281</v>
      </c>
      <c r="D6193" s="579"/>
      <c r="E6193" s="583"/>
      <c r="F6193" s="596"/>
      <c r="G6193" s="65">
        <v>0</v>
      </c>
      <c r="H6193" s="591" t="s">
        <v>280</v>
      </c>
      <c r="I6193" s="591" t="s">
        <v>280</v>
      </c>
    </row>
    <row r="6194" spans="1:9">
      <c r="A6194" s="577"/>
      <c r="B6194" s="65">
        <v>6392</v>
      </c>
      <c r="C6194" s="579" t="s">
        <v>281</v>
      </c>
      <c r="D6194" s="579"/>
      <c r="E6194" s="583"/>
      <c r="F6194" s="596"/>
      <c r="G6194" s="65">
        <v>0</v>
      </c>
      <c r="H6194" s="591" t="s">
        <v>280</v>
      </c>
      <c r="I6194" s="591" t="s">
        <v>280</v>
      </c>
    </row>
    <row r="6195" spans="1:9">
      <c r="A6195" s="577"/>
      <c r="B6195" s="65">
        <v>6393</v>
      </c>
      <c r="C6195" s="579" t="s">
        <v>281</v>
      </c>
      <c r="D6195" s="579"/>
      <c r="E6195" s="583"/>
      <c r="F6195" s="596"/>
      <c r="G6195" s="65">
        <v>0</v>
      </c>
      <c r="H6195" s="591" t="s">
        <v>280</v>
      </c>
      <c r="I6195" s="591" t="s">
        <v>280</v>
      </c>
    </row>
    <row r="6196" spans="1:9">
      <c r="A6196" s="577"/>
      <c r="B6196" s="65">
        <v>6394</v>
      </c>
      <c r="C6196" s="579" t="s">
        <v>281</v>
      </c>
      <c r="D6196" s="579"/>
      <c r="E6196" s="583"/>
      <c r="F6196" s="596"/>
      <c r="G6196" s="65">
        <v>0</v>
      </c>
      <c r="H6196" s="591" t="s">
        <v>280</v>
      </c>
      <c r="I6196" s="591" t="s">
        <v>280</v>
      </c>
    </row>
    <row r="6197" spans="1:9">
      <c r="A6197" s="577"/>
      <c r="B6197" s="65">
        <v>6395</v>
      </c>
      <c r="C6197" s="579" t="s">
        <v>281</v>
      </c>
      <c r="D6197" s="579"/>
      <c r="E6197" s="583"/>
      <c r="F6197" s="596"/>
      <c r="G6197" s="65">
        <v>0</v>
      </c>
      <c r="H6197" s="591" t="s">
        <v>280</v>
      </c>
      <c r="I6197" s="591" t="s">
        <v>280</v>
      </c>
    </row>
    <row r="6198" spans="1:9">
      <c r="A6198" s="577"/>
      <c r="B6198" s="65">
        <v>6396</v>
      </c>
      <c r="C6198" s="579" t="s">
        <v>281</v>
      </c>
      <c r="D6198" s="579"/>
      <c r="E6198" s="583"/>
      <c r="F6198" s="596"/>
      <c r="G6198" s="65">
        <v>0</v>
      </c>
      <c r="H6198" s="591" t="s">
        <v>280</v>
      </c>
      <c r="I6198" s="591" t="s">
        <v>280</v>
      </c>
    </row>
    <row r="6199" spans="1:9">
      <c r="A6199" s="577"/>
      <c r="B6199" s="65">
        <v>6397</v>
      </c>
      <c r="C6199" s="579" t="s">
        <v>281</v>
      </c>
      <c r="D6199" s="579"/>
      <c r="E6199" s="583"/>
      <c r="F6199" s="596"/>
      <c r="G6199" s="65">
        <v>0</v>
      </c>
      <c r="H6199" s="591" t="s">
        <v>280</v>
      </c>
      <c r="I6199" s="591" t="s">
        <v>280</v>
      </c>
    </row>
    <row r="6200" spans="1:9">
      <c r="A6200" s="577"/>
      <c r="B6200" s="65">
        <v>6398</v>
      </c>
      <c r="C6200" s="579" t="s">
        <v>281</v>
      </c>
      <c r="D6200" s="579"/>
      <c r="E6200" s="583"/>
      <c r="F6200" s="596"/>
      <c r="G6200" s="65">
        <v>0</v>
      </c>
      <c r="H6200" s="591" t="s">
        <v>280</v>
      </c>
      <c r="I6200" s="591" t="s">
        <v>280</v>
      </c>
    </row>
    <row r="6201" spans="1:9">
      <c r="A6201" s="577"/>
      <c r="B6201" s="65">
        <v>6399</v>
      </c>
      <c r="C6201" s="579" t="s">
        <v>281</v>
      </c>
      <c r="D6201" s="579"/>
      <c r="E6201" s="583"/>
      <c r="F6201" s="596"/>
      <c r="G6201" s="65">
        <v>0</v>
      </c>
      <c r="H6201" s="591" t="s">
        <v>280</v>
      </c>
      <c r="I6201" s="591" t="s">
        <v>280</v>
      </c>
    </row>
    <row r="6202" spans="1:9">
      <c r="A6202" s="577"/>
      <c r="B6202" s="65">
        <v>6400</v>
      </c>
      <c r="C6202" s="579" t="s">
        <v>281</v>
      </c>
      <c r="D6202" s="579"/>
      <c r="E6202" s="583"/>
      <c r="F6202" s="596"/>
      <c r="G6202" s="65">
        <v>0</v>
      </c>
      <c r="H6202" s="591" t="s">
        <v>280</v>
      </c>
      <c r="I6202" s="591" t="s">
        <v>280</v>
      </c>
    </row>
    <row r="6203" spans="1:9">
      <c r="A6203" s="577"/>
      <c r="B6203" s="65">
        <v>6401</v>
      </c>
      <c r="C6203" s="579" t="s">
        <v>281</v>
      </c>
      <c r="D6203" s="579"/>
      <c r="E6203" s="583"/>
      <c r="F6203" s="596"/>
      <c r="G6203" s="65">
        <v>0</v>
      </c>
      <c r="H6203" s="591" t="s">
        <v>280</v>
      </c>
      <c r="I6203" s="591" t="s">
        <v>280</v>
      </c>
    </row>
    <row r="6204" spans="1:9">
      <c r="A6204" s="577"/>
      <c r="B6204" s="65">
        <v>6402</v>
      </c>
      <c r="C6204" s="579" t="s">
        <v>281</v>
      </c>
      <c r="D6204" s="579"/>
      <c r="E6204" s="583"/>
      <c r="F6204" s="596"/>
      <c r="G6204" s="65">
        <v>0</v>
      </c>
      <c r="H6204" s="591" t="s">
        <v>280</v>
      </c>
      <c r="I6204" s="591" t="s">
        <v>280</v>
      </c>
    </row>
    <row r="6205" spans="1:9">
      <c r="A6205" s="577"/>
      <c r="B6205" s="65">
        <v>6403</v>
      </c>
      <c r="C6205" s="579" t="s">
        <v>281</v>
      </c>
      <c r="D6205" s="579"/>
      <c r="E6205" s="583"/>
      <c r="F6205" s="596"/>
      <c r="G6205" s="65">
        <v>0</v>
      </c>
      <c r="H6205" s="591" t="s">
        <v>280</v>
      </c>
      <c r="I6205" s="591" t="s">
        <v>280</v>
      </c>
    </row>
    <row r="6206" spans="1:9">
      <c r="A6206" s="577"/>
      <c r="B6206" s="65">
        <v>6404</v>
      </c>
      <c r="C6206" s="579" t="s">
        <v>281</v>
      </c>
      <c r="D6206" s="579"/>
      <c r="E6206" s="583"/>
      <c r="F6206" s="596"/>
      <c r="G6206" s="65">
        <v>0</v>
      </c>
      <c r="H6206" s="591" t="s">
        <v>280</v>
      </c>
      <c r="I6206" s="591" t="s">
        <v>280</v>
      </c>
    </row>
    <row r="6207" spans="1:9">
      <c r="A6207" s="577"/>
      <c r="B6207" s="65">
        <v>6405</v>
      </c>
      <c r="C6207" s="579" t="s">
        <v>281</v>
      </c>
      <c r="D6207" s="579"/>
      <c r="E6207" s="583"/>
      <c r="F6207" s="596"/>
      <c r="G6207" s="65">
        <v>0</v>
      </c>
      <c r="H6207" s="591" t="s">
        <v>280</v>
      </c>
      <c r="I6207" s="591" t="s">
        <v>280</v>
      </c>
    </row>
    <row r="6208" spans="1:9">
      <c r="A6208" s="577"/>
      <c r="B6208" s="65">
        <v>6406</v>
      </c>
      <c r="C6208" s="579" t="s">
        <v>281</v>
      </c>
      <c r="D6208" s="579"/>
      <c r="E6208" s="583"/>
      <c r="F6208" s="596"/>
      <c r="G6208" s="65">
        <v>0</v>
      </c>
      <c r="H6208" s="591" t="s">
        <v>280</v>
      </c>
      <c r="I6208" s="591" t="s">
        <v>280</v>
      </c>
    </row>
    <row r="6209" spans="1:9">
      <c r="A6209" s="577"/>
      <c r="B6209" s="65">
        <v>6407</v>
      </c>
      <c r="C6209" s="579" t="s">
        <v>281</v>
      </c>
      <c r="D6209" s="579"/>
      <c r="E6209" s="583"/>
      <c r="F6209" s="596"/>
      <c r="G6209" s="65">
        <v>0</v>
      </c>
      <c r="H6209" s="591" t="s">
        <v>280</v>
      </c>
      <c r="I6209" s="591" t="s">
        <v>280</v>
      </c>
    </row>
    <row r="6210" spans="1:9">
      <c r="A6210" s="577"/>
      <c r="B6210" s="65">
        <v>6408</v>
      </c>
      <c r="C6210" s="579" t="s">
        <v>281</v>
      </c>
      <c r="D6210" s="579"/>
      <c r="E6210" s="583"/>
      <c r="F6210" s="596"/>
      <c r="G6210" s="65">
        <v>0</v>
      </c>
      <c r="H6210" s="591" t="s">
        <v>280</v>
      </c>
      <c r="I6210" s="591" t="s">
        <v>280</v>
      </c>
    </row>
    <row r="6211" spans="1:9">
      <c r="A6211" s="577"/>
      <c r="B6211" s="65">
        <v>6409</v>
      </c>
      <c r="C6211" s="579" t="s">
        <v>281</v>
      </c>
      <c r="D6211" s="579"/>
      <c r="E6211" s="583"/>
      <c r="F6211" s="596"/>
      <c r="G6211" s="65">
        <v>0</v>
      </c>
      <c r="H6211" s="591" t="s">
        <v>280</v>
      </c>
      <c r="I6211" s="591" t="s">
        <v>280</v>
      </c>
    </row>
    <row r="6212" spans="1:9">
      <c r="A6212" s="577"/>
      <c r="B6212" s="65">
        <v>6410</v>
      </c>
      <c r="C6212" s="579" t="s">
        <v>281</v>
      </c>
      <c r="D6212" s="579"/>
      <c r="E6212" s="583"/>
      <c r="F6212" s="596"/>
      <c r="G6212" s="65">
        <v>0</v>
      </c>
      <c r="H6212" s="591" t="s">
        <v>280</v>
      </c>
      <c r="I6212" s="591" t="s">
        <v>280</v>
      </c>
    </row>
    <row r="6213" spans="1:9">
      <c r="A6213" s="577"/>
      <c r="B6213" s="65">
        <v>6411</v>
      </c>
      <c r="C6213" s="579" t="s">
        <v>281</v>
      </c>
      <c r="D6213" s="579"/>
      <c r="E6213" s="583"/>
      <c r="F6213" s="596"/>
      <c r="G6213" s="65">
        <v>0</v>
      </c>
      <c r="H6213" s="591" t="s">
        <v>280</v>
      </c>
      <c r="I6213" s="591" t="s">
        <v>280</v>
      </c>
    </row>
    <row r="6214" spans="1:9">
      <c r="A6214" s="577"/>
      <c r="B6214" s="65">
        <v>6412</v>
      </c>
      <c r="C6214" s="579" t="s">
        <v>281</v>
      </c>
      <c r="D6214" s="579"/>
      <c r="E6214" s="583"/>
      <c r="F6214" s="596"/>
      <c r="G6214" s="65">
        <v>0</v>
      </c>
      <c r="H6214" s="591" t="s">
        <v>280</v>
      </c>
      <c r="I6214" s="591" t="s">
        <v>280</v>
      </c>
    </row>
    <row r="6215" spans="1:9">
      <c r="A6215" s="577"/>
      <c r="B6215" s="65">
        <v>6413</v>
      </c>
      <c r="C6215" s="579" t="s">
        <v>281</v>
      </c>
      <c r="D6215" s="579"/>
      <c r="E6215" s="583"/>
      <c r="F6215" s="596"/>
      <c r="G6215" s="65">
        <v>0</v>
      </c>
      <c r="H6215" s="591" t="s">
        <v>280</v>
      </c>
      <c r="I6215" s="591" t="s">
        <v>280</v>
      </c>
    </row>
    <row r="6216" spans="1:9">
      <c r="A6216" s="577"/>
      <c r="B6216" s="65">
        <v>6414</v>
      </c>
      <c r="C6216" s="579" t="s">
        <v>281</v>
      </c>
      <c r="D6216" s="579"/>
      <c r="E6216" s="583"/>
      <c r="F6216" s="596"/>
      <c r="G6216" s="65">
        <v>0</v>
      </c>
      <c r="H6216" s="591" t="s">
        <v>280</v>
      </c>
      <c r="I6216" s="591" t="s">
        <v>280</v>
      </c>
    </row>
    <row r="6217" spans="1:9">
      <c r="A6217" s="577"/>
      <c r="B6217" s="65">
        <v>6415</v>
      </c>
      <c r="C6217" s="579" t="s">
        <v>281</v>
      </c>
      <c r="D6217" s="579"/>
      <c r="E6217" s="583"/>
      <c r="F6217" s="596"/>
      <c r="G6217" s="65">
        <v>0</v>
      </c>
      <c r="H6217" s="591" t="s">
        <v>280</v>
      </c>
      <c r="I6217" s="591" t="s">
        <v>280</v>
      </c>
    </row>
    <row r="6218" spans="1:9">
      <c r="A6218" s="577"/>
      <c r="B6218" s="65">
        <v>6416</v>
      </c>
      <c r="C6218" s="579" t="s">
        <v>281</v>
      </c>
      <c r="D6218" s="579"/>
      <c r="E6218" s="583"/>
      <c r="F6218" s="596"/>
      <c r="G6218" s="65">
        <v>0</v>
      </c>
      <c r="H6218" s="591" t="s">
        <v>280</v>
      </c>
      <c r="I6218" s="591" t="s">
        <v>280</v>
      </c>
    </row>
    <row r="6219" spans="1:9">
      <c r="A6219" s="577"/>
      <c r="B6219" s="65">
        <v>6417</v>
      </c>
      <c r="C6219" s="579" t="s">
        <v>281</v>
      </c>
      <c r="D6219" s="579"/>
      <c r="E6219" s="583"/>
      <c r="F6219" s="596"/>
      <c r="G6219" s="65">
        <v>0</v>
      </c>
      <c r="H6219" s="591" t="s">
        <v>280</v>
      </c>
      <c r="I6219" s="591" t="s">
        <v>280</v>
      </c>
    </row>
    <row r="6220" spans="1:9">
      <c r="A6220" s="577"/>
      <c r="B6220" s="65">
        <v>6418</v>
      </c>
      <c r="C6220" s="579" t="s">
        <v>281</v>
      </c>
      <c r="D6220" s="579"/>
      <c r="E6220" s="583"/>
      <c r="F6220" s="596"/>
      <c r="G6220" s="65">
        <v>0</v>
      </c>
      <c r="H6220" s="591" t="s">
        <v>280</v>
      </c>
      <c r="I6220" s="591" t="s">
        <v>280</v>
      </c>
    </row>
    <row r="6221" spans="1:9">
      <c r="A6221" s="577"/>
      <c r="B6221" s="65">
        <v>6419</v>
      </c>
      <c r="C6221" s="579" t="s">
        <v>281</v>
      </c>
      <c r="D6221" s="579"/>
      <c r="E6221" s="583"/>
      <c r="F6221" s="596"/>
      <c r="G6221" s="65">
        <v>0</v>
      </c>
      <c r="H6221" s="591" t="s">
        <v>280</v>
      </c>
      <c r="I6221" s="591" t="s">
        <v>280</v>
      </c>
    </row>
    <row r="6222" spans="1:9">
      <c r="A6222" s="577"/>
      <c r="B6222" s="65">
        <v>6420</v>
      </c>
      <c r="C6222" s="579" t="s">
        <v>281</v>
      </c>
      <c r="D6222" s="579"/>
      <c r="E6222" s="583"/>
      <c r="F6222" s="596"/>
      <c r="G6222" s="65">
        <v>0</v>
      </c>
      <c r="H6222" s="591" t="s">
        <v>280</v>
      </c>
      <c r="I6222" s="591" t="s">
        <v>280</v>
      </c>
    </row>
    <row r="6223" spans="1:9">
      <c r="A6223" s="577"/>
      <c r="B6223" s="65">
        <v>6421</v>
      </c>
      <c r="C6223" s="579" t="s">
        <v>281</v>
      </c>
      <c r="D6223" s="579"/>
      <c r="E6223" s="583"/>
      <c r="F6223" s="596"/>
      <c r="G6223" s="65">
        <v>0</v>
      </c>
      <c r="H6223" s="591" t="s">
        <v>280</v>
      </c>
      <c r="I6223" s="591" t="s">
        <v>280</v>
      </c>
    </row>
    <row r="6224" spans="1:9">
      <c r="A6224" s="577"/>
      <c r="B6224" s="65">
        <v>6422</v>
      </c>
      <c r="C6224" s="579" t="s">
        <v>281</v>
      </c>
      <c r="D6224" s="579"/>
      <c r="E6224" s="583"/>
      <c r="F6224" s="596"/>
      <c r="G6224" s="65">
        <v>0</v>
      </c>
      <c r="H6224" s="591" t="s">
        <v>280</v>
      </c>
      <c r="I6224" s="591" t="s">
        <v>280</v>
      </c>
    </row>
    <row r="6225" spans="1:9">
      <c r="A6225" s="577"/>
      <c r="B6225" s="65">
        <v>6423</v>
      </c>
      <c r="C6225" s="579" t="s">
        <v>281</v>
      </c>
      <c r="D6225" s="579"/>
      <c r="E6225" s="583"/>
      <c r="F6225" s="596"/>
      <c r="G6225" s="65">
        <v>0</v>
      </c>
      <c r="H6225" s="591" t="s">
        <v>280</v>
      </c>
      <c r="I6225" s="591" t="s">
        <v>280</v>
      </c>
    </row>
    <row r="6226" spans="1:9">
      <c r="A6226" s="577"/>
      <c r="B6226" s="65">
        <v>6424</v>
      </c>
      <c r="C6226" s="579" t="s">
        <v>281</v>
      </c>
      <c r="D6226" s="579"/>
      <c r="E6226" s="583"/>
      <c r="F6226" s="596"/>
      <c r="G6226" s="65">
        <v>0</v>
      </c>
      <c r="H6226" s="591" t="s">
        <v>280</v>
      </c>
      <c r="I6226" s="591" t="s">
        <v>280</v>
      </c>
    </row>
    <row r="6227" spans="1:9">
      <c r="A6227" s="577"/>
      <c r="B6227" s="65">
        <v>6425</v>
      </c>
      <c r="C6227" s="579" t="s">
        <v>281</v>
      </c>
      <c r="D6227" s="579"/>
      <c r="E6227" s="583"/>
      <c r="F6227" s="596"/>
      <c r="G6227" s="65">
        <v>0</v>
      </c>
      <c r="H6227" s="591" t="s">
        <v>280</v>
      </c>
      <c r="I6227" s="591" t="s">
        <v>280</v>
      </c>
    </row>
    <row r="6228" spans="1:9">
      <c r="A6228" s="577"/>
      <c r="B6228" s="65">
        <v>6426</v>
      </c>
      <c r="C6228" s="579" t="s">
        <v>281</v>
      </c>
      <c r="D6228" s="579"/>
      <c r="E6228" s="583"/>
      <c r="F6228" s="596"/>
      <c r="G6228" s="65">
        <v>0</v>
      </c>
      <c r="H6228" s="591" t="s">
        <v>280</v>
      </c>
      <c r="I6228" s="591" t="s">
        <v>280</v>
      </c>
    </row>
    <row r="6229" spans="1:9">
      <c r="A6229" s="577"/>
      <c r="B6229" s="65">
        <v>6427</v>
      </c>
      <c r="C6229" s="579" t="s">
        <v>281</v>
      </c>
      <c r="D6229" s="579"/>
      <c r="E6229" s="583"/>
      <c r="F6229" s="596"/>
      <c r="G6229" s="65">
        <v>0</v>
      </c>
      <c r="H6229" s="591" t="s">
        <v>280</v>
      </c>
      <c r="I6229" s="591" t="s">
        <v>280</v>
      </c>
    </row>
    <row r="6230" spans="1:9">
      <c r="A6230" s="577"/>
      <c r="B6230" s="65">
        <v>6428</v>
      </c>
      <c r="C6230" s="579" t="s">
        <v>281</v>
      </c>
      <c r="D6230" s="579"/>
      <c r="E6230" s="583"/>
      <c r="F6230" s="596"/>
      <c r="G6230" s="65">
        <v>0</v>
      </c>
      <c r="H6230" s="591" t="s">
        <v>280</v>
      </c>
      <c r="I6230" s="591" t="s">
        <v>280</v>
      </c>
    </row>
    <row r="6231" spans="1:9">
      <c r="A6231" s="577"/>
      <c r="B6231" s="65">
        <v>6429</v>
      </c>
      <c r="C6231" s="579" t="s">
        <v>281</v>
      </c>
      <c r="D6231" s="579"/>
      <c r="E6231" s="583"/>
      <c r="F6231" s="596"/>
      <c r="G6231" s="65">
        <v>0</v>
      </c>
      <c r="H6231" s="591" t="s">
        <v>280</v>
      </c>
      <c r="I6231" s="591" t="s">
        <v>280</v>
      </c>
    </row>
    <row r="6232" spans="1:9">
      <c r="A6232" s="577"/>
      <c r="B6232" s="65">
        <v>6430</v>
      </c>
      <c r="C6232" s="579" t="s">
        <v>281</v>
      </c>
      <c r="D6232" s="579"/>
      <c r="E6232" s="583"/>
      <c r="F6232" s="596"/>
      <c r="G6232" s="65">
        <v>0</v>
      </c>
      <c r="H6232" s="591" t="s">
        <v>280</v>
      </c>
      <c r="I6232" s="591" t="s">
        <v>280</v>
      </c>
    </row>
    <row r="6233" spans="1:9">
      <c r="A6233" s="577"/>
      <c r="B6233" s="65">
        <v>6431</v>
      </c>
      <c r="C6233" s="579" t="s">
        <v>281</v>
      </c>
      <c r="D6233" s="579"/>
      <c r="E6233" s="583"/>
      <c r="F6233" s="596"/>
      <c r="G6233" s="65">
        <v>0</v>
      </c>
      <c r="H6233" s="591" t="s">
        <v>280</v>
      </c>
      <c r="I6233" s="591" t="s">
        <v>280</v>
      </c>
    </row>
    <row r="6234" spans="1:9">
      <c r="A6234" s="577"/>
      <c r="B6234" s="65">
        <v>6432</v>
      </c>
      <c r="C6234" s="579" t="s">
        <v>281</v>
      </c>
      <c r="D6234" s="579"/>
      <c r="E6234" s="583"/>
      <c r="F6234" s="596"/>
      <c r="G6234" s="65">
        <v>0</v>
      </c>
      <c r="H6234" s="591" t="s">
        <v>280</v>
      </c>
      <c r="I6234" s="591" t="s">
        <v>280</v>
      </c>
    </row>
    <row r="6235" spans="1:9">
      <c r="A6235" s="577"/>
      <c r="B6235" s="65">
        <v>6433</v>
      </c>
      <c r="C6235" s="579" t="s">
        <v>281</v>
      </c>
      <c r="D6235" s="579"/>
      <c r="E6235" s="583"/>
      <c r="F6235" s="596"/>
      <c r="G6235" s="65">
        <v>0</v>
      </c>
      <c r="H6235" s="591" t="s">
        <v>280</v>
      </c>
      <c r="I6235" s="591" t="s">
        <v>280</v>
      </c>
    </row>
    <row r="6236" spans="1:9">
      <c r="A6236" s="577"/>
      <c r="B6236" s="65">
        <v>6434</v>
      </c>
      <c r="C6236" s="579" t="s">
        <v>281</v>
      </c>
      <c r="D6236" s="579"/>
      <c r="E6236" s="583"/>
      <c r="F6236" s="596"/>
      <c r="G6236" s="65">
        <v>0</v>
      </c>
      <c r="H6236" s="591" t="s">
        <v>280</v>
      </c>
      <c r="I6236" s="591" t="s">
        <v>280</v>
      </c>
    </row>
    <row r="6237" spans="1:9">
      <c r="A6237" s="577"/>
      <c r="B6237" s="65">
        <v>6435</v>
      </c>
      <c r="C6237" s="579" t="s">
        <v>281</v>
      </c>
      <c r="D6237" s="579"/>
      <c r="E6237" s="583"/>
      <c r="F6237" s="596"/>
      <c r="G6237" s="65">
        <v>0</v>
      </c>
      <c r="H6237" s="591" t="s">
        <v>280</v>
      </c>
      <c r="I6237" s="591" t="s">
        <v>280</v>
      </c>
    </row>
    <row r="6238" spans="1:9">
      <c r="A6238" s="577"/>
      <c r="B6238" s="65">
        <v>6436</v>
      </c>
      <c r="C6238" s="579" t="s">
        <v>281</v>
      </c>
      <c r="D6238" s="579"/>
      <c r="E6238" s="583"/>
      <c r="F6238" s="596"/>
      <c r="G6238" s="65">
        <v>0</v>
      </c>
      <c r="H6238" s="591" t="s">
        <v>280</v>
      </c>
      <c r="I6238" s="591" t="s">
        <v>280</v>
      </c>
    </row>
    <row r="6239" spans="1:9">
      <c r="A6239" s="577"/>
      <c r="B6239" s="65">
        <v>6437</v>
      </c>
      <c r="C6239" s="579" t="s">
        <v>281</v>
      </c>
      <c r="D6239" s="579"/>
      <c r="E6239" s="583"/>
      <c r="F6239" s="596"/>
      <c r="G6239" s="65">
        <v>0</v>
      </c>
      <c r="H6239" s="591" t="s">
        <v>280</v>
      </c>
      <c r="I6239" s="591" t="s">
        <v>280</v>
      </c>
    </row>
    <row r="6240" spans="1:9">
      <c r="A6240" s="577"/>
      <c r="B6240" s="65">
        <v>6438</v>
      </c>
      <c r="C6240" s="579" t="s">
        <v>281</v>
      </c>
      <c r="D6240" s="579"/>
      <c r="E6240" s="583"/>
      <c r="F6240" s="596"/>
      <c r="G6240" s="65">
        <v>0</v>
      </c>
      <c r="H6240" s="591" t="s">
        <v>280</v>
      </c>
      <c r="I6240" s="591" t="s">
        <v>280</v>
      </c>
    </row>
    <row r="6241" spans="1:9">
      <c r="A6241" s="577"/>
      <c r="B6241" s="65">
        <v>6439</v>
      </c>
      <c r="C6241" s="579" t="s">
        <v>281</v>
      </c>
      <c r="D6241" s="579"/>
      <c r="E6241" s="583"/>
      <c r="F6241" s="596"/>
      <c r="G6241" s="65">
        <v>0</v>
      </c>
      <c r="H6241" s="591" t="s">
        <v>280</v>
      </c>
      <c r="I6241" s="591" t="s">
        <v>280</v>
      </c>
    </row>
    <row r="6242" spans="1:9">
      <c r="A6242" s="577"/>
      <c r="B6242" s="65">
        <v>6440</v>
      </c>
      <c r="C6242" s="579" t="s">
        <v>281</v>
      </c>
      <c r="D6242" s="579"/>
      <c r="E6242" s="583"/>
      <c r="F6242" s="596"/>
      <c r="G6242" s="65">
        <v>0</v>
      </c>
      <c r="H6242" s="591" t="s">
        <v>280</v>
      </c>
      <c r="I6242" s="591" t="s">
        <v>280</v>
      </c>
    </row>
    <row r="6243" spans="1:9">
      <c r="A6243" s="577"/>
      <c r="B6243" s="65">
        <v>6441</v>
      </c>
      <c r="C6243" s="579" t="s">
        <v>281</v>
      </c>
      <c r="D6243" s="579"/>
      <c r="E6243" s="583"/>
      <c r="F6243" s="596"/>
      <c r="G6243" s="65">
        <v>0</v>
      </c>
      <c r="H6243" s="591" t="s">
        <v>280</v>
      </c>
      <c r="I6243" s="591" t="s">
        <v>280</v>
      </c>
    </row>
    <row r="6244" spans="1:9">
      <c r="A6244" s="577"/>
      <c r="B6244" s="65">
        <v>6442</v>
      </c>
      <c r="C6244" s="579" t="s">
        <v>281</v>
      </c>
      <c r="D6244" s="579"/>
      <c r="E6244" s="583"/>
      <c r="F6244" s="596"/>
      <c r="G6244" s="65">
        <v>0</v>
      </c>
      <c r="H6244" s="591" t="s">
        <v>280</v>
      </c>
      <c r="I6244" s="591" t="s">
        <v>280</v>
      </c>
    </row>
    <row r="6245" spans="1:9">
      <c r="A6245" s="577"/>
      <c r="B6245" s="65">
        <v>6443</v>
      </c>
      <c r="C6245" s="579" t="s">
        <v>281</v>
      </c>
      <c r="D6245" s="579"/>
      <c r="E6245" s="583"/>
      <c r="F6245" s="596"/>
      <c r="G6245" s="65">
        <v>0</v>
      </c>
      <c r="H6245" s="591" t="s">
        <v>280</v>
      </c>
      <c r="I6245" s="591" t="s">
        <v>280</v>
      </c>
    </row>
    <row r="6246" spans="1:9">
      <c r="A6246" s="577"/>
      <c r="B6246" s="65">
        <v>6444</v>
      </c>
      <c r="C6246" s="579" t="s">
        <v>281</v>
      </c>
      <c r="D6246" s="579"/>
      <c r="E6246" s="583"/>
      <c r="F6246" s="596"/>
      <c r="G6246" s="65">
        <v>0</v>
      </c>
      <c r="H6246" s="591" t="s">
        <v>280</v>
      </c>
      <c r="I6246" s="591" t="s">
        <v>280</v>
      </c>
    </row>
    <row r="6247" spans="1:9">
      <c r="A6247" s="577"/>
      <c r="B6247" s="65">
        <v>6445</v>
      </c>
      <c r="C6247" s="579" t="s">
        <v>281</v>
      </c>
      <c r="D6247" s="579"/>
      <c r="E6247" s="583"/>
      <c r="F6247" s="596"/>
      <c r="G6247" s="65">
        <v>0</v>
      </c>
      <c r="H6247" s="591" t="s">
        <v>280</v>
      </c>
      <c r="I6247" s="591" t="s">
        <v>280</v>
      </c>
    </row>
    <row r="6248" spans="1:9">
      <c r="A6248" s="577"/>
      <c r="B6248" s="65">
        <v>6446</v>
      </c>
      <c r="C6248" s="579" t="s">
        <v>281</v>
      </c>
      <c r="D6248" s="579"/>
      <c r="E6248" s="583"/>
      <c r="F6248" s="596"/>
      <c r="G6248" s="65">
        <v>0</v>
      </c>
      <c r="H6248" s="591" t="s">
        <v>280</v>
      </c>
      <c r="I6248" s="591" t="s">
        <v>280</v>
      </c>
    </row>
    <row r="6249" spans="1:9">
      <c r="A6249" s="577"/>
      <c r="B6249" s="65">
        <v>6447</v>
      </c>
      <c r="C6249" s="579" t="s">
        <v>281</v>
      </c>
      <c r="D6249" s="579"/>
      <c r="E6249" s="583"/>
      <c r="F6249" s="596"/>
      <c r="G6249" s="65">
        <v>0</v>
      </c>
      <c r="H6249" s="591" t="s">
        <v>280</v>
      </c>
      <c r="I6249" s="591" t="s">
        <v>280</v>
      </c>
    </row>
    <row r="6250" spans="1:9">
      <c r="A6250" s="577"/>
      <c r="B6250" s="65">
        <v>6448</v>
      </c>
      <c r="C6250" s="579" t="s">
        <v>281</v>
      </c>
      <c r="D6250" s="579"/>
      <c r="E6250" s="583"/>
      <c r="F6250" s="596"/>
      <c r="G6250" s="65">
        <v>0</v>
      </c>
      <c r="H6250" s="591" t="s">
        <v>280</v>
      </c>
      <c r="I6250" s="591" t="s">
        <v>280</v>
      </c>
    </row>
    <row r="6251" spans="1:9">
      <c r="A6251" s="577"/>
      <c r="B6251" s="65">
        <v>6449</v>
      </c>
      <c r="C6251" s="579" t="s">
        <v>281</v>
      </c>
      <c r="D6251" s="579"/>
      <c r="E6251" s="583"/>
      <c r="F6251" s="596"/>
      <c r="G6251" s="65">
        <v>0</v>
      </c>
      <c r="H6251" s="591" t="s">
        <v>280</v>
      </c>
      <c r="I6251" s="591" t="s">
        <v>280</v>
      </c>
    </row>
    <row r="6252" spans="1:9">
      <c r="A6252" s="577"/>
      <c r="B6252" s="65">
        <v>6450</v>
      </c>
      <c r="C6252" s="579" t="s">
        <v>281</v>
      </c>
      <c r="D6252" s="579"/>
      <c r="E6252" s="583"/>
      <c r="F6252" s="596"/>
      <c r="G6252" s="65">
        <v>0</v>
      </c>
      <c r="H6252" s="591" t="s">
        <v>280</v>
      </c>
      <c r="I6252" s="591" t="s">
        <v>280</v>
      </c>
    </row>
    <row r="6253" spans="1:9">
      <c r="A6253" s="577"/>
      <c r="B6253" s="65">
        <v>6451</v>
      </c>
      <c r="C6253" s="579" t="s">
        <v>281</v>
      </c>
      <c r="D6253" s="579"/>
      <c r="E6253" s="583"/>
      <c r="F6253" s="596"/>
      <c r="G6253" s="65">
        <v>0</v>
      </c>
      <c r="H6253" s="591" t="s">
        <v>280</v>
      </c>
      <c r="I6253" s="591" t="s">
        <v>280</v>
      </c>
    </row>
    <row r="6254" spans="1:9">
      <c r="A6254" s="577"/>
      <c r="B6254" s="65">
        <v>6452</v>
      </c>
      <c r="C6254" s="579" t="s">
        <v>281</v>
      </c>
      <c r="D6254" s="579"/>
      <c r="E6254" s="583"/>
      <c r="F6254" s="596"/>
      <c r="G6254" s="65">
        <v>0</v>
      </c>
      <c r="H6254" s="591" t="s">
        <v>280</v>
      </c>
      <c r="I6254" s="591" t="s">
        <v>280</v>
      </c>
    </row>
    <row r="6255" spans="1:9">
      <c r="A6255" s="577"/>
      <c r="B6255" s="65">
        <v>6453</v>
      </c>
      <c r="C6255" s="579" t="s">
        <v>281</v>
      </c>
      <c r="D6255" s="579"/>
      <c r="E6255" s="583"/>
      <c r="F6255" s="596"/>
      <c r="G6255" s="65">
        <v>0</v>
      </c>
      <c r="H6255" s="591" t="s">
        <v>280</v>
      </c>
      <c r="I6255" s="591" t="s">
        <v>280</v>
      </c>
    </row>
    <row r="6256" spans="1:9">
      <c r="A6256" s="577"/>
      <c r="B6256" s="65">
        <v>6454</v>
      </c>
      <c r="C6256" s="579" t="s">
        <v>281</v>
      </c>
      <c r="D6256" s="579"/>
      <c r="E6256" s="583"/>
      <c r="F6256" s="596"/>
      <c r="G6256" s="65">
        <v>0</v>
      </c>
      <c r="H6256" s="591" t="s">
        <v>280</v>
      </c>
      <c r="I6256" s="591" t="s">
        <v>280</v>
      </c>
    </row>
    <row r="6257" spans="1:9">
      <c r="A6257" s="577"/>
      <c r="B6257" s="65">
        <v>6455</v>
      </c>
      <c r="C6257" s="579" t="s">
        <v>281</v>
      </c>
      <c r="D6257" s="579"/>
      <c r="E6257" s="583"/>
      <c r="F6257" s="596"/>
      <c r="G6257" s="65">
        <v>0</v>
      </c>
      <c r="H6257" s="591" t="s">
        <v>280</v>
      </c>
      <c r="I6257" s="591" t="s">
        <v>280</v>
      </c>
    </row>
    <row r="6258" spans="1:9">
      <c r="A6258" s="577"/>
      <c r="B6258" s="65">
        <v>6456</v>
      </c>
      <c r="C6258" s="579" t="s">
        <v>281</v>
      </c>
      <c r="D6258" s="579"/>
      <c r="E6258" s="583"/>
      <c r="F6258" s="596"/>
      <c r="G6258" s="65">
        <v>0</v>
      </c>
      <c r="H6258" s="591" t="s">
        <v>280</v>
      </c>
      <c r="I6258" s="591" t="s">
        <v>280</v>
      </c>
    </row>
    <row r="6259" spans="1:9">
      <c r="A6259" s="577"/>
      <c r="B6259" s="65">
        <v>6457</v>
      </c>
      <c r="C6259" s="579" t="s">
        <v>281</v>
      </c>
      <c r="D6259" s="579"/>
      <c r="E6259" s="583"/>
      <c r="F6259" s="596"/>
      <c r="G6259" s="65">
        <v>0</v>
      </c>
      <c r="H6259" s="591" t="s">
        <v>280</v>
      </c>
      <c r="I6259" s="591" t="s">
        <v>280</v>
      </c>
    </row>
    <row r="6260" spans="1:9">
      <c r="A6260" s="577"/>
      <c r="B6260" s="65">
        <v>6458</v>
      </c>
      <c r="C6260" s="579" t="s">
        <v>281</v>
      </c>
      <c r="D6260" s="579"/>
      <c r="E6260" s="583"/>
      <c r="F6260" s="596"/>
      <c r="G6260" s="65">
        <v>0</v>
      </c>
      <c r="H6260" s="591" t="s">
        <v>280</v>
      </c>
      <c r="I6260" s="591" t="s">
        <v>280</v>
      </c>
    </row>
    <row r="6261" spans="1:9">
      <c r="A6261" s="577"/>
      <c r="B6261" s="65">
        <v>6459</v>
      </c>
      <c r="C6261" s="579" t="s">
        <v>281</v>
      </c>
      <c r="D6261" s="579"/>
      <c r="E6261" s="583"/>
      <c r="F6261" s="596"/>
      <c r="G6261" s="65">
        <v>0</v>
      </c>
      <c r="H6261" s="591" t="s">
        <v>280</v>
      </c>
      <c r="I6261" s="591" t="s">
        <v>280</v>
      </c>
    </row>
    <row r="6262" spans="1:9">
      <c r="A6262" s="577"/>
      <c r="B6262" s="65">
        <v>6460</v>
      </c>
      <c r="C6262" s="579" t="s">
        <v>281</v>
      </c>
      <c r="D6262" s="579"/>
      <c r="E6262" s="583"/>
      <c r="F6262" s="596"/>
      <c r="G6262" s="65">
        <v>0</v>
      </c>
      <c r="H6262" s="591" t="s">
        <v>280</v>
      </c>
      <c r="I6262" s="591" t="s">
        <v>280</v>
      </c>
    </row>
    <row r="6263" spans="1:9">
      <c r="A6263" s="577"/>
      <c r="B6263" s="65">
        <v>6461</v>
      </c>
      <c r="C6263" s="579" t="s">
        <v>281</v>
      </c>
      <c r="D6263" s="579"/>
      <c r="E6263" s="583"/>
      <c r="F6263" s="596"/>
      <c r="G6263" s="65">
        <v>0</v>
      </c>
      <c r="H6263" s="591" t="s">
        <v>280</v>
      </c>
      <c r="I6263" s="591" t="s">
        <v>280</v>
      </c>
    </row>
    <row r="6264" spans="1:9">
      <c r="A6264" s="577"/>
      <c r="B6264" s="65">
        <v>6462</v>
      </c>
      <c r="C6264" s="579" t="s">
        <v>281</v>
      </c>
      <c r="D6264" s="579"/>
      <c r="E6264" s="583"/>
      <c r="F6264" s="596"/>
      <c r="G6264" s="65">
        <v>0</v>
      </c>
      <c r="H6264" s="591" t="s">
        <v>280</v>
      </c>
      <c r="I6264" s="591" t="s">
        <v>280</v>
      </c>
    </row>
    <row r="6265" spans="1:9">
      <c r="A6265" s="577"/>
      <c r="B6265" s="65">
        <v>6463</v>
      </c>
      <c r="C6265" s="579" t="s">
        <v>281</v>
      </c>
      <c r="D6265" s="579"/>
      <c r="E6265" s="583"/>
      <c r="F6265" s="596"/>
      <c r="G6265" s="65">
        <v>0</v>
      </c>
      <c r="H6265" s="591" t="s">
        <v>280</v>
      </c>
      <c r="I6265" s="591" t="s">
        <v>280</v>
      </c>
    </row>
    <row r="6266" spans="1:9">
      <c r="A6266" s="577"/>
      <c r="B6266" s="65">
        <v>6464</v>
      </c>
      <c r="C6266" s="579" t="s">
        <v>281</v>
      </c>
      <c r="D6266" s="579"/>
      <c r="E6266" s="583"/>
      <c r="F6266" s="596"/>
      <c r="G6266" s="65">
        <v>0</v>
      </c>
      <c r="H6266" s="591" t="s">
        <v>280</v>
      </c>
      <c r="I6266" s="591" t="s">
        <v>280</v>
      </c>
    </row>
    <row r="6267" spans="1:9">
      <c r="A6267" s="577"/>
      <c r="B6267" s="65">
        <v>6465</v>
      </c>
      <c r="C6267" s="579" t="s">
        <v>281</v>
      </c>
      <c r="D6267" s="579"/>
      <c r="E6267" s="583"/>
      <c r="F6267" s="596"/>
      <c r="G6267" s="65">
        <v>0</v>
      </c>
      <c r="H6267" s="591" t="s">
        <v>280</v>
      </c>
      <c r="I6267" s="591" t="s">
        <v>280</v>
      </c>
    </row>
    <row r="6268" spans="1:9">
      <c r="A6268" s="577"/>
      <c r="B6268" s="65">
        <v>6466</v>
      </c>
      <c r="C6268" s="579" t="s">
        <v>281</v>
      </c>
      <c r="D6268" s="579"/>
      <c r="E6268" s="583"/>
      <c r="F6268" s="596"/>
      <c r="G6268" s="65">
        <v>0</v>
      </c>
      <c r="H6268" s="591" t="s">
        <v>280</v>
      </c>
      <c r="I6268" s="591" t="s">
        <v>280</v>
      </c>
    </row>
    <row r="6269" spans="1:9">
      <c r="A6269" s="577"/>
      <c r="B6269" s="65">
        <v>6467</v>
      </c>
      <c r="C6269" s="579" t="s">
        <v>281</v>
      </c>
      <c r="D6269" s="579"/>
      <c r="E6269" s="583"/>
      <c r="F6269" s="596"/>
      <c r="G6269" s="65">
        <v>0</v>
      </c>
      <c r="H6269" s="591" t="s">
        <v>280</v>
      </c>
      <c r="I6269" s="591" t="s">
        <v>280</v>
      </c>
    </row>
    <row r="6270" spans="1:9">
      <c r="A6270" s="577"/>
      <c r="B6270" s="65">
        <v>6468</v>
      </c>
      <c r="C6270" s="579" t="s">
        <v>281</v>
      </c>
      <c r="D6270" s="579"/>
      <c r="E6270" s="583"/>
      <c r="F6270" s="596"/>
      <c r="G6270" s="65">
        <v>0</v>
      </c>
      <c r="H6270" s="591" t="s">
        <v>280</v>
      </c>
      <c r="I6270" s="591" t="s">
        <v>280</v>
      </c>
    </row>
    <row r="6271" spans="1:9">
      <c r="A6271" s="577"/>
      <c r="B6271" s="65">
        <v>6469</v>
      </c>
      <c r="C6271" s="579" t="s">
        <v>281</v>
      </c>
      <c r="D6271" s="579"/>
      <c r="E6271" s="583"/>
      <c r="F6271" s="596"/>
      <c r="G6271" s="65">
        <v>0</v>
      </c>
      <c r="H6271" s="591" t="s">
        <v>280</v>
      </c>
      <c r="I6271" s="591" t="s">
        <v>280</v>
      </c>
    </row>
    <row r="6272" spans="1:9">
      <c r="A6272" s="577"/>
      <c r="B6272" s="65">
        <v>6470</v>
      </c>
      <c r="C6272" s="579" t="s">
        <v>281</v>
      </c>
      <c r="D6272" s="579"/>
      <c r="E6272" s="583"/>
      <c r="F6272" s="596"/>
      <c r="G6272" s="65">
        <v>0</v>
      </c>
      <c r="H6272" s="591" t="s">
        <v>280</v>
      </c>
      <c r="I6272" s="591" t="s">
        <v>280</v>
      </c>
    </row>
    <row r="6273" spans="1:9">
      <c r="A6273" s="577"/>
      <c r="B6273" s="65">
        <v>6471</v>
      </c>
      <c r="C6273" s="579" t="s">
        <v>281</v>
      </c>
      <c r="D6273" s="579"/>
      <c r="E6273" s="583"/>
      <c r="F6273" s="596"/>
      <c r="G6273" s="65">
        <v>0</v>
      </c>
      <c r="H6273" s="591" t="s">
        <v>280</v>
      </c>
      <c r="I6273" s="591" t="s">
        <v>280</v>
      </c>
    </row>
    <row r="6274" spans="1:9">
      <c r="A6274" s="577"/>
      <c r="B6274" s="65">
        <v>6472</v>
      </c>
      <c r="C6274" s="579" t="s">
        <v>281</v>
      </c>
      <c r="D6274" s="579"/>
      <c r="E6274" s="583"/>
      <c r="F6274" s="596"/>
      <c r="G6274" s="65">
        <v>0</v>
      </c>
      <c r="H6274" s="591" t="s">
        <v>280</v>
      </c>
      <c r="I6274" s="591" t="s">
        <v>280</v>
      </c>
    </row>
    <row r="6275" spans="1:9">
      <c r="A6275" s="577"/>
      <c r="B6275" s="65">
        <v>6473</v>
      </c>
      <c r="C6275" s="579" t="s">
        <v>281</v>
      </c>
      <c r="D6275" s="579"/>
      <c r="E6275" s="583"/>
      <c r="F6275" s="596"/>
      <c r="G6275" s="65">
        <v>0</v>
      </c>
      <c r="H6275" s="591" t="s">
        <v>280</v>
      </c>
      <c r="I6275" s="591" t="s">
        <v>280</v>
      </c>
    </row>
    <row r="6276" spans="1:9">
      <c r="A6276" s="577"/>
      <c r="B6276" s="65">
        <v>6474</v>
      </c>
      <c r="C6276" s="579" t="s">
        <v>281</v>
      </c>
      <c r="D6276" s="579"/>
      <c r="E6276" s="583"/>
      <c r="F6276" s="596"/>
      <c r="G6276" s="65">
        <v>0</v>
      </c>
      <c r="H6276" s="591" t="s">
        <v>280</v>
      </c>
      <c r="I6276" s="591" t="s">
        <v>280</v>
      </c>
    </row>
    <row r="6277" spans="1:9">
      <c r="A6277" s="577"/>
      <c r="B6277" s="65">
        <v>6475</v>
      </c>
      <c r="C6277" s="579" t="s">
        <v>281</v>
      </c>
      <c r="D6277" s="579"/>
      <c r="E6277" s="583"/>
      <c r="F6277" s="596"/>
      <c r="G6277" s="65">
        <v>0</v>
      </c>
      <c r="H6277" s="591" t="s">
        <v>280</v>
      </c>
      <c r="I6277" s="591" t="s">
        <v>280</v>
      </c>
    </row>
    <row r="6278" spans="1:9">
      <c r="A6278" s="577"/>
      <c r="B6278" s="65">
        <v>6476</v>
      </c>
      <c r="C6278" s="579" t="s">
        <v>281</v>
      </c>
      <c r="D6278" s="579"/>
      <c r="E6278" s="583"/>
      <c r="F6278" s="596"/>
      <c r="G6278" s="65">
        <v>0</v>
      </c>
      <c r="H6278" s="591" t="s">
        <v>280</v>
      </c>
      <c r="I6278" s="591" t="s">
        <v>280</v>
      </c>
    </row>
    <row r="6279" spans="1:9">
      <c r="A6279" s="577"/>
      <c r="B6279" s="65">
        <v>6477</v>
      </c>
      <c r="C6279" s="579" t="s">
        <v>281</v>
      </c>
      <c r="D6279" s="579"/>
      <c r="E6279" s="583"/>
      <c r="F6279" s="596"/>
      <c r="G6279" s="65">
        <v>0</v>
      </c>
      <c r="H6279" s="591" t="s">
        <v>280</v>
      </c>
      <c r="I6279" s="591" t="s">
        <v>280</v>
      </c>
    </row>
    <row r="6280" spans="1:9">
      <c r="A6280" s="577"/>
      <c r="B6280" s="65">
        <v>6478</v>
      </c>
      <c r="C6280" s="579" t="s">
        <v>281</v>
      </c>
      <c r="D6280" s="579"/>
      <c r="E6280" s="583"/>
      <c r="F6280" s="596"/>
      <c r="G6280" s="65">
        <v>0</v>
      </c>
      <c r="H6280" s="591" t="s">
        <v>280</v>
      </c>
      <c r="I6280" s="591" t="s">
        <v>280</v>
      </c>
    </row>
    <row r="6281" spans="1:9">
      <c r="A6281" s="577"/>
      <c r="B6281" s="65">
        <v>6479</v>
      </c>
      <c r="C6281" s="579" t="s">
        <v>281</v>
      </c>
      <c r="D6281" s="579"/>
      <c r="E6281" s="583"/>
      <c r="F6281" s="596"/>
      <c r="G6281" s="65">
        <v>0</v>
      </c>
      <c r="H6281" s="591" t="s">
        <v>280</v>
      </c>
      <c r="I6281" s="591" t="s">
        <v>280</v>
      </c>
    </row>
    <row r="6282" spans="1:9">
      <c r="A6282" s="577"/>
      <c r="B6282" s="65">
        <v>6480</v>
      </c>
      <c r="C6282" s="579" t="s">
        <v>281</v>
      </c>
      <c r="D6282" s="579"/>
      <c r="E6282" s="583"/>
      <c r="F6282" s="596"/>
      <c r="G6282" s="65">
        <v>0</v>
      </c>
      <c r="H6282" s="591" t="s">
        <v>280</v>
      </c>
      <c r="I6282" s="591" t="s">
        <v>280</v>
      </c>
    </row>
    <row r="6283" spans="1:9">
      <c r="A6283" s="577"/>
      <c r="B6283" s="65">
        <v>6481</v>
      </c>
      <c r="C6283" s="579" t="s">
        <v>281</v>
      </c>
      <c r="D6283" s="579"/>
      <c r="E6283" s="583"/>
      <c r="F6283" s="596"/>
      <c r="G6283" s="65">
        <v>0</v>
      </c>
      <c r="H6283" s="591" t="s">
        <v>280</v>
      </c>
      <c r="I6283" s="591" t="s">
        <v>280</v>
      </c>
    </row>
    <row r="6284" spans="1:9">
      <c r="A6284" s="577"/>
      <c r="B6284" s="65">
        <v>6482</v>
      </c>
      <c r="C6284" s="579" t="s">
        <v>281</v>
      </c>
      <c r="D6284" s="579"/>
      <c r="E6284" s="583"/>
      <c r="F6284" s="596"/>
      <c r="G6284" s="65">
        <v>0</v>
      </c>
      <c r="H6284" s="591" t="s">
        <v>280</v>
      </c>
      <c r="I6284" s="591" t="s">
        <v>280</v>
      </c>
    </row>
    <row r="6285" spans="1:9">
      <c r="A6285" s="577"/>
      <c r="B6285" s="65">
        <v>6483</v>
      </c>
      <c r="C6285" s="579" t="s">
        <v>281</v>
      </c>
      <c r="D6285" s="579"/>
      <c r="E6285" s="583"/>
      <c r="F6285" s="596"/>
      <c r="G6285" s="65">
        <v>0</v>
      </c>
      <c r="H6285" s="591" t="s">
        <v>280</v>
      </c>
      <c r="I6285" s="591" t="s">
        <v>280</v>
      </c>
    </row>
    <row r="6286" spans="1:9">
      <c r="A6286" s="577"/>
      <c r="B6286" s="65">
        <v>6484</v>
      </c>
      <c r="C6286" s="579" t="s">
        <v>281</v>
      </c>
      <c r="D6286" s="579"/>
      <c r="E6286" s="583"/>
      <c r="F6286" s="596"/>
      <c r="G6286" s="65">
        <v>0</v>
      </c>
      <c r="H6286" s="591" t="s">
        <v>280</v>
      </c>
      <c r="I6286" s="591" t="s">
        <v>280</v>
      </c>
    </row>
    <row r="6287" spans="1:9">
      <c r="A6287" s="577"/>
      <c r="B6287" s="65">
        <v>6485</v>
      </c>
      <c r="C6287" s="579" t="s">
        <v>281</v>
      </c>
      <c r="D6287" s="579"/>
      <c r="E6287" s="583"/>
      <c r="F6287" s="596"/>
      <c r="G6287" s="65">
        <v>0</v>
      </c>
      <c r="H6287" s="591" t="s">
        <v>280</v>
      </c>
      <c r="I6287" s="591" t="s">
        <v>280</v>
      </c>
    </row>
    <row r="6288" spans="1:9">
      <c r="A6288" s="577"/>
      <c r="B6288" s="65">
        <v>6486</v>
      </c>
      <c r="C6288" s="579" t="s">
        <v>281</v>
      </c>
      <c r="D6288" s="579"/>
      <c r="E6288" s="583"/>
      <c r="F6288" s="596"/>
      <c r="G6288" s="65">
        <v>0</v>
      </c>
      <c r="H6288" s="591" t="s">
        <v>280</v>
      </c>
      <c r="I6288" s="591" t="s">
        <v>280</v>
      </c>
    </row>
    <row r="6289" spans="1:9">
      <c r="A6289" s="577"/>
      <c r="B6289" s="65">
        <v>6487</v>
      </c>
      <c r="C6289" s="579" t="s">
        <v>281</v>
      </c>
      <c r="D6289" s="579"/>
      <c r="E6289" s="583"/>
      <c r="F6289" s="596"/>
      <c r="G6289" s="65">
        <v>0</v>
      </c>
      <c r="H6289" s="591" t="s">
        <v>280</v>
      </c>
      <c r="I6289" s="591" t="s">
        <v>280</v>
      </c>
    </row>
    <row r="6290" spans="1:9">
      <c r="A6290" s="577"/>
      <c r="B6290" s="65">
        <v>6488</v>
      </c>
      <c r="C6290" s="579" t="s">
        <v>281</v>
      </c>
      <c r="D6290" s="579"/>
      <c r="E6290" s="583"/>
      <c r="F6290" s="596"/>
      <c r="G6290" s="65">
        <v>0</v>
      </c>
      <c r="H6290" s="591" t="s">
        <v>280</v>
      </c>
      <c r="I6290" s="591" t="s">
        <v>280</v>
      </c>
    </row>
    <row r="6291" spans="1:9">
      <c r="A6291" s="577"/>
      <c r="B6291" s="65">
        <v>6489</v>
      </c>
      <c r="C6291" s="579" t="s">
        <v>281</v>
      </c>
      <c r="D6291" s="579"/>
      <c r="E6291" s="583"/>
      <c r="F6291" s="596"/>
      <c r="G6291" s="65">
        <v>0</v>
      </c>
      <c r="H6291" s="591" t="s">
        <v>280</v>
      </c>
      <c r="I6291" s="591" t="s">
        <v>280</v>
      </c>
    </row>
    <row r="6292" spans="1:9">
      <c r="A6292" s="577"/>
      <c r="B6292" s="65">
        <v>6490</v>
      </c>
      <c r="C6292" s="579" t="s">
        <v>281</v>
      </c>
      <c r="D6292" s="579"/>
      <c r="E6292" s="583"/>
      <c r="F6292" s="596"/>
      <c r="G6292" s="65">
        <v>0</v>
      </c>
      <c r="H6292" s="591" t="s">
        <v>280</v>
      </c>
      <c r="I6292" s="591" t="s">
        <v>280</v>
      </c>
    </row>
    <row r="6293" spans="1:9">
      <c r="A6293" s="577"/>
      <c r="B6293" s="65">
        <v>6491</v>
      </c>
      <c r="C6293" s="579" t="s">
        <v>281</v>
      </c>
      <c r="D6293" s="579"/>
      <c r="E6293" s="583"/>
      <c r="F6293" s="596"/>
      <c r="G6293" s="65">
        <v>0</v>
      </c>
      <c r="H6293" s="591" t="s">
        <v>280</v>
      </c>
      <c r="I6293" s="591" t="s">
        <v>280</v>
      </c>
    </row>
    <row r="6294" spans="1:9">
      <c r="A6294" s="577"/>
      <c r="B6294" s="65">
        <v>6492</v>
      </c>
      <c r="C6294" s="579" t="s">
        <v>281</v>
      </c>
      <c r="D6294" s="579"/>
      <c r="E6294" s="583"/>
      <c r="F6294" s="596"/>
      <c r="G6294" s="65">
        <v>0</v>
      </c>
      <c r="H6294" s="591" t="s">
        <v>280</v>
      </c>
      <c r="I6294" s="591" t="s">
        <v>280</v>
      </c>
    </row>
    <row r="6295" spans="1:9">
      <c r="A6295" s="577"/>
      <c r="B6295" s="65">
        <v>6493</v>
      </c>
      <c r="C6295" s="579" t="s">
        <v>281</v>
      </c>
      <c r="D6295" s="579"/>
      <c r="E6295" s="583"/>
      <c r="F6295" s="596"/>
      <c r="G6295" s="65">
        <v>0</v>
      </c>
      <c r="H6295" s="591" t="s">
        <v>280</v>
      </c>
      <c r="I6295" s="591" t="s">
        <v>280</v>
      </c>
    </row>
    <row r="6296" spans="1:9">
      <c r="A6296" s="577"/>
      <c r="B6296" s="65">
        <v>6494</v>
      </c>
      <c r="C6296" s="579" t="s">
        <v>281</v>
      </c>
      <c r="D6296" s="579"/>
      <c r="E6296" s="583"/>
      <c r="F6296" s="596"/>
      <c r="G6296" s="65">
        <v>0</v>
      </c>
      <c r="H6296" s="591" t="s">
        <v>280</v>
      </c>
      <c r="I6296" s="591" t="s">
        <v>280</v>
      </c>
    </row>
    <row r="6297" spans="1:9">
      <c r="A6297" s="577"/>
      <c r="B6297" s="65">
        <v>6495</v>
      </c>
      <c r="C6297" s="579" t="s">
        <v>281</v>
      </c>
      <c r="D6297" s="579"/>
      <c r="E6297" s="583"/>
      <c r="F6297" s="596"/>
      <c r="G6297" s="65">
        <v>0</v>
      </c>
      <c r="H6297" s="591" t="s">
        <v>280</v>
      </c>
      <c r="I6297" s="591" t="s">
        <v>280</v>
      </c>
    </row>
    <row r="6298" spans="1:9">
      <c r="A6298" s="577"/>
      <c r="B6298" s="65">
        <v>6496</v>
      </c>
      <c r="C6298" s="579" t="s">
        <v>281</v>
      </c>
      <c r="D6298" s="579"/>
      <c r="E6298" s="583"/>
      <c r="F6298" s="596"/>
      <c r="G6298" s="65">
        <v>0</v>
      </c>
      <c r="H6298" s="591" t="s">
        <v>280</v>
      </c>
      <c r="I6298" s="591" t="s">
        <v>280</v>
      </c>
    </row>
    <row r="6299" spans="1:9">
      <c r="A6299" s="577"/>
      <c r="B6299" s="65">
        <v>6497</v>
      </c>
      <c r="C6299" s="579" t="s">
        <v>281</v>
      </c>
      <c r="D6299" s="579"/>
      <c r="E6299" s="583"/>
      <c r="F6299" s="596"/>
      <c r="G6299" s="65">
        <v>0</v>
      </c>
      <c r="H6299" s="591" t="s">
        <v>280</v>
      </c>
      <c r="I6299" s="591" t="s">
        <v>280</v>
      </c>
    </row>
    <row r="6300" spans="1:9">
      <c r="A6300" s="577"/>
      <c r="B6300" s="65">
        <v>6498</v>
      </c>
      <c r="C6300" s="579" t="s">
        <v>281</v>
      </c>
      <c r="D6300" s="579"/>
      <c r="E6300" s="583"/>
      <c r="F6300" s="596"/>
      <c r="G6300" s="65">
        <v>0</v>
      </c>
      <c r="H6300" s="591" t="s">
        <v>280</v>
      </c>
      <c r="I6300" s="591" t="s">
        <v>280</v>
      </c>
    </row>
    <row r="6301" spans="1:9">
      <c r="A6301" s="577"/>
      <c r="B6301" s="65">
        <v>6499</v>
      </c>
      <c r="C6301" s="579" t="s">
        <v>281</v>
      </c>
      <c r="D6301" s="579"/>
      <c r="E6301" s="583"/>
      <c r="F6301" s="596"/>
      <c r="G6301" s="65">
        <v>0</v>
      </c>
      <c r="H6301" s="591" t="s">
        <v>280</v>
      </c>
      <c r="I6301" s="591" t="s">
        <v>280</v>
      </c>
    </row>
    <row r="6302" spans="1:9">
      <c r="A6302" s="577"/>
      <c r="B6302" s="65">
        <v>6500</v>
      </c>
      <c r="C6302" s="579" t="s">
        <v>281</v>
      </c>
      <c r="D6302" s="579"/>
      <c r="E6302" s="583"/>
      <c r="F6302" s="596"/>
      <c r="G6302" s="65">
        <v>0</v>
      </c>
      <c r="H6302" s="591" t="s">
        <v>280</v>
      </c>
      <c r="I6302" s="591" t="s">
        <v>280</v>
      </c>
    </row>
    <row r="6303" spans="1:9">
      <c r="A6303" s="577"/>
      <c r="B6303" s="65">
        <v>6501</v>
      </c>
      <c r="C6303" s="579" t="s">
        <v>281</v>
      </c>
      <c r="D6303" s="579"/>
      <c r="E6303" s="583"/>
      <c r="F6303" s="596"/>
      <c r="G6303" s="65">
        <v>0</v>
      </c>
      <c r="H6303" s="591" t="s">
        <v>280</v>
      </c>
      <c r="I6303" s="591" t="s">
        <v>280</v>
      </c>
    </row>
    <row r="6304" spans="1:9">
      <c r="A6304" s="577"/>
      <c r="B6304" s="65">
        <v>6502</v>
      </c>
      <c r="C6304" s="579" t="s">
        <v>281</v>
      </c>
      <c r="D6304" s="579"/>
      <c r="E6304" s="583"/>
      <c r="F6304" s="596"/>
      <c r="G6304" s="65">
        <v>0</v>
      </c>
      <c r="H6304" s="591" t="s">
        <v>280</v>
      </c>
      <c r="I6304" s="591" t="s">
        <v>280</v>
      </c>
    </row>
    <row r="6305" spans="1:9">
      <c r="A6305" s="577"/>
      <c r="B6305" s="65">
        <v>6503</v>
      </c>
      <c r="C6305" s="579" t="s">
        <v>281</v>
      </c>
      <c r="D6305" s="579"/>
      <c r="E6305" s="583"/>
      <c r="F6305" s="596"/>
      <c r="G6305" s="65">
        <v>0</v>
      </c>
      <c r="H6305" s="591" t="s">
        <v>280</v>
      </c>
      <c r="I6305" s="591" t="s">
        <v>280</v>
      </c>
    </row>
    <row r="6306" spans="1:9">
      <c r="A6306" s="577"/>
      <c r="B6306" s="65">
        <v>6504</v>
      </c>
      <c r="C6306" s="579" t="s">
        <v>281</v>
      </c>
      <c r="D6306" s="579"/>
      <c r="E6306" s="583"/>
      <c r="F6306" s="596"/>
      <c r="G6306" s="65">
        <v>0</v>
      </c>
      <c r="H6306" s="591" t="s">
        <v>280</v>
      </c>
      <c r="I6306" s="591" t="s">
        <v>280</v>
      </c>
    </row>
    <row r="6307" spans="1:9">
      <c r="A6307" s="577"/>
      <c r="B6307" s="65">
        <v>6505</v>
      </c>
      <c r="C6307" s="579" t="s">
        <v>281</v>
      </c>
      <c r="D6307" s="579"/>
      <c r="E6307" s="583"/>
      <c r="F6307" s="596"/>
      <c r="G6307" s="65">
        <v>0</v>
      </c>
      <c r="H6307" s="591" t="s">
        <v>280</v>
      </c>
      <c r="I6307" s="591" t="s">
        <v>280</v>
      </c>
    </row>
    <row r="6308" spans="1:9">
      <c r="A6308" s="577"/>
      <c r="B6308" s="65">
        <v>6506</v>
      </c>
      <c r="C6308" s="579" t="s">
        <v>281</v>
      </c>
      <c r="D6308" s="579"/>
      <c r="E6308" s="583"/>
      <c r="F6308" s="596"/>
      <c r="G6308" s="65">
        <v>0</v>
      </c>
      <c r="H6308" s="591" t="s">
        <v>280</v>
      </c>
      <c r="I6308" s="591" t="s">
        <v>280</v>
      </c>
    </row>
    <row r="6309" spans="1:9">
      <c r="A6309" s="577"/>
      <c r="B6309" s="65">
        <v>6507</v>
      </c>
      <c r="C6309" s="579" t="s">
        <v>281</v>
      </c>
      <c r="D6309" s="579"/>
      <c r="E6309" s="583"/>
      <c r="F6309" s="596"/>
      <c r="G6309" s="65">
        <v>0</v>
      </c>
      <c r="H6309" s="591" t="s">
        <v>280</v>
      </c>
      <c r="I6309" s="591" t="s">
        <v>280</v>
      </c>
    </row>
    <row r="6310" spans="1:9">
      <c r="A6310" s="577"/>
      <c r="B6310" s="65">
        <v>6508</v>
      </c>
      <c r="C6310" s="579" t="s">
        <v>281</v>
      </c>
      <c r="D6310" s="579"/>
      <c r="E6310" s="583"/>
      <c r="F6310" s="596"/>
      <c r="G6310" s="65">
        <v>0</v>
      </c>
      <c r="H6310" s="591" t="s">
        <v>280</v>
      </c>
      <c r="I6310" s="591" t="s">
        <v>280</v>
      </c>
    </row>
    <row r="6311" spans="1:9">
      <c r="A6311" s="577"/>
      <c r="B6311" s="65">
        <v>6509</v>
      </c>
      <c r="C6311" s="579" t="s">
        <v>281</v>
      </c>
      <c r="D6311" s="579"/>
      <c r="E6311" s="583"/>
      <c r="F6311" s="596"/>
      <c r="G6311" s="65">
        <v>0</v>
      </c>
      <c r="H6311" s="591" t="s">
        <v>280</v>
      </c>
      <c r="I6311" s="591" t="s">
        <v>280</v>
      </c>
    </row>
    <row r="6312" spans="1:9">
      <c r="A6312" s="577"/>
      <c r="B6312" s="65">
        <v>6510</v>
      </c>
      <c r="C6312" s="579" t="s">
        <v>281</v>
      </c>
      <c r="D6312" s="579"/>
      <c r="E6312" s="583"/>
      <c r="F6312" s="596"/>
      <c r="G6312" s="65">
        <v>0</v>
      </c>
      <c r="H6312" s="591" t="s">
        <v>280</v>
      </c>
      <c r="I6312" s="591" t="s">
        <v>280</v>
      </c>
    </row>
    <row r="6313" spans="1:9">
      <c r="A6313" s="577"/>
      <c r="B6313" s="65">
        <v>6511</v>
      </c>
      <c r="C6313" s="579" t="s">
        <v>281</v>
      </c>
      <c r="D6313" s="579"/>
      <c r="E6313" s="583"/>
      <c r="F6313" s="596"/>
      <c r="G6313" s="65">
        <v>0</v>
      </c>
      <c r="H6313" s="591" t="s">
        <v>280</v>
      </c>
      <c r="I6313" s="591" t="s">
        <v>280</v>
      </c>
    </row>
    <row r="6314" spans="1:9">
      <c r="A6314" s="577"/>
      <c r="B6314" s="65">
        <v>6512</v>
      </c>
      <c r="C6314" s="579" t="s">
        <v>281</v>
      </c>
      <c r="D6314" s="579"/>
      <c r="E6314" s="583"/>
      <c r="F6314" s="596"/>
      <c r="G6314" s="65">
        <v>0</v>
      </c>
      <c r="H6314" s="591" t="s">
        <v>280</v>
      </c>
      <c r="I6314" s="591" t="s">
        <v>280</v>
      </c>
    </row>
    <row r="6315" spans="1:9">
      <c r="A6315" s="577"/>
      <c r="B6315" s="65">
        <v>6513</v>
      </c>
      <c r="C6315" s="579" t="s">
        <v>281</v>
      </c>
      <c r="D6315" s="579"/>
      <c r="E6315" s="583"/>
      <c r="F6315" s="596"/>
      <c r="G6315" s="65">
        <v>0</v>
      </c>
      <c r="H6315" s="591" t="s">
        <v>280</v>
      </c>
      <c r="I6315" s="591" t="s">
        <v>280</v>
      </c>
    </row>
    <row r="6316" spans="1:9">
      <c r="A6316" s="577"/>
      <c r="B6316" s="65">
        <v>6514</v>
      </c>
      <c r="C6316" s="579" t="s">
        <v>281</v>
      </c>
      <c r="D6316" s="579"/>
      <c r="E6316" s="583"/>
      <c r="F6316" s="596"/>
      <c r="G6316" s="65">
        <v>0</v>
      </c>
      <c r="H6316" s="591" t="s">
        <v>280</v>
      </c>
      <c r="I6316" s="591" t="s">
        <v>280</v>
      </c>
    </row>
    <row r="6317" spans="1:9">
      <c r="A6317" s="577"/>
      <c r="B6317" s="65">
        <v>6515</v>
      </c>
      <c r="C6317" s="579" t="s">
        <v>281</v>
      </c>
      <c r="D6317" s="579"/>
      <c r="E6317" s="583"/>
      <c r="F6317" s="596"/>
      <c r="G6317" s="65">
        <v>0</v>
      </c>
      <c r="H6317" s="591" t="s">
        <v>280</v>
      </c>
      <c r="I6317" s="591" t="s">
        <v>280</v>
      </c>
    </row>
    <row r="6318" spans="1:9">
      <c r="A6318" s="577"/>
      <c r="B6318" s="65">
        <v>6516</v>
      </c>
      <c r="C6318" s="579" t="s">
        <v>281</v>
      </c>
      <c r="D6318" s="579"/>
      <c r="E6318" s="583"/>
      <c r="F6318" s="596"/>
      <c r="G6318" s="65">
        <v>0</v>
      </c>
      <c r="H6318" s="591" t="s">
        <v>280</v>
      </c>
      <c r="I6318" s="591" t="s">
        <v>280</v>
      </c>
    </row>
    <row r="6319" spans="1:9">
      <c r="A6319" s="577"/>
      <c r="B6319" s="65">
        <v>6517</v>
      </c>
      <c r="C6319" s="579" t="s">
        <v>281</v>
      </c>
      <c r="D6319" s="579"/>
      <c r="E6319" s="583"/>
      <c r="F6319" s="596"/>
      <c r="G6319" s="65">
        <v>0</v>
      </c>
      <c r="H6319" s="591" t="s">
        <v>280</v>
      </c>
      <c r="I6319" s="591" t="s">
        <v>280</v>
      </c>
    </row>
    <row r="6320" spans="1:9">
      <c r="A6320" s="577"/>
      <c r="B6320" s="65">
        <v>6518</v>
      </c>
      <c r="C6320" s="579" t="s">
        <v>281</v>
      </c>
      <c r="D6320" s="579"/>
      <c r="E6320" s="583"/>
      <c r="F6320" s="596"/>
      <c r="G6320" s="65">
        <v>0</v>
      </c>
      <c r="H6320" s="591" t="s">
        <v>280</v>
      </c>
      <c r="I6320" s="591" t="s">
        <v>280</v>
      </c>
    </row>
    <row r="6321" spans="1:9">
      <c r="A6321" s="577"/>
      <c r="B6321" s="65">
        <v>6519</v>
      </c>
      <c r="C6321" s="579" t="s">
        <v>281</v>
      </c>
      <c r="D6321" s="579"/>
      <c r="E6321" s="583"/>
      <c r="F6321" s="596"/>
      <c r="G6321" s="65">
        <v>0</v>
      </c>
      <c r="H6321" s="591" t="s">
        <v>280</v>
      </c>
      <c r="I6321" s="591" t="s">
        <v>280</v>
      </c>
    </row>
    <row r="6322" spans="1:9">
      <c r="A6322" s="577"/>
      <c r="B6322" s="65">
        <v>6520</v>
      </c>
      <c r="C6322" s="579" t="s">
        <v>281</v>
      </c>
      <c r="D6322" s="579"/>
      <c r="E6322" s="583"/>
      <c r="F6322" s="596"/>
      <c r="G6322" s="65">
        <v>0</v>
      </c>
      <c r="H6322" s="591" t="s">
        <v>280</v>
      </c>
      <c r="I6322" s="591" t="s">
        <v>280</v>
      </c>
    </row>
    <row r="6323" spans="1:9">
      <c r="A6323" s="577"/>
      <c r="B6323" s="65">
        <v>6521</v>
      </c>
      <c r="C6323" s="579" t="s">
        <v>281</v>
      </c>
      <c r="D6323" s="579"/>
      <c r="E6323" s="583"/>
      <c r="F6323" s="596"/>
      <c r="G6323" s="65">
        <v>0</v>
      </c>
      <c r="H6323" s="591" t="s">
        <v>280</v>
      </c>
      <c r="I6323" s="591" t="s">
        <v>280</v>
      </c>
    </row>
    <row r="6324" spans="1:9">
      <c r="A6324" s="577"/>
      <c r="B6324" s="65">
        <v>6522</v>
      </c>
      <c r="C6324" s="579" t="s">
        <v>281</v>
      </c>
      <c r="D6324" s="579"/>
      <c r="E6324" s="583"/>
      <c r="F6324" s="596"/>
      <c r="G6324" s="65">
        <v>0</v>
      </c>
      <c r="H6324" s="591" t="s">
        <v>280</v>
      </c>
      <c r="I6324" s="591" t="s">
        <v>280</v>
      </c>
    </row>
    <row r="6325" spans="1:9">
      <c r="A6325" s="577"/>
      <c r="B6325" s="65">
        <v>6523</v>
      </c>
      <c r="C6325" s="579" t="s">
        <v>281</v>
      </c>
      <c r="D6325" s="579"/>
      <c r="E6325" s="583"/>
      <c r="F6325" s="596"/>
      <c r="G6325" s="65">
        <v>0</v>
      </c>
      <c r="H6325" s="591" t="s">
        <v>280</v>
      </c>
      <c r="I6325" s="591" t="s">
        <v>280</v>
      </c>
    </row>
    <row r="6326" spans="1:9">
      <c r="A6326" s="577"/>
      <c r="B6326" s="65">
        <v>6524</v>
      </c>
      <c r="C6326" s="579" t="s">
        <v>281</v>
      </c>
      <c r="D6326" s="579"/>
      <c r="E6326" s="583"/>
      <c r="F6326" s="596"/>
      <c r="G6326" s="65">
        <v>0</v>
      </c>
      <c r="H6326" s="591" t="s">
        <v>280</v>
      </c>
      <c r="I6326" s="591" t="s">
        <v>280</v>
      </c>
    </row>
    <row r="6327" spans="1:9">
      <c r="A6327" s="577"/>
      <c r="B6327" s="65">
        <v>6525</v>
      </c>
      <c r="C6327" s="579" t="s">
        <v>281</v>
      </c>
      <c r="D6327" s="579"/>
      <c r="E6327" s="583"/>
      <c r="F6327" s="596"/>
      <c r="G6327" s="65">
        <v>0</v>
      </c>
      <c r="H6327" s="591" t="s">
        <v>280</v>
      </c>
      <c r="I6327" s="591" t="s">
        <v>280</v>
      </c>
    </row>
    <row r="6328" spans="1:9">
      <c r="A6328" s="577"/>
      <c r="B6328" s="65">
        <v>6526</v>
      </c>
      <c r="C6328" s="579" t="s">
        <v>281</v>
      </c>
      <c r="D6328" s="579"/>
      <c r="E6328" s="583"/>
      <c r="F6328" s="596"/>
      <c r="G6328" s="65">
        <v>0</v>
      </c>
      <c r="H6328" s="591" t="s">
        <v>280</v>
      </c>
      <c r="I6328" s="591" t="s">
        <v>280</v>
      </c>
    </row>
    <row r="6329" spans="1:9">
      <c r="A6329" s="577"/>
      <c r="B6329" s="65">
        <v>6527</v>
      </c>
      <c r="C6329" s="579" t="s">
        <v>281</v>
      </c>
      <c r="D6329" s="579"/>
      <c r="E6329" s="583"/>
      <c r="F6329" s="596"/>
      <c r="G6329" s="65">
        <v>0</v>
      </c>
      <c r="H6329" s="591" t="s">
        <v>280</v>
      </c>
      <c r="I6329" s="591" t="s">
        <v>280</v>
      </c>
    </row>
    <row r="6330" spans="1:9">
      <c r="A6330" s="577"/>
      <c r="B6330" s="65">
        <v>6528</v>
      </c>
      <c r="C6330" s="579" t="s">
        <v>281</v>
      </c>
      <c r="D6330" s="579"/>
      <c r="E6330" s="583"/>
      <c r="F6330" s="596"/>
      <c r="G6330" s="65">
        <v>0</v>
      </c>
      <c r="H6330" s="591" t="s">
        <v>280</v>
      </c>
      <c r="I6330" s="591" t="s">
        <v>280</v>
      </c>
    </row>
    <row r="6331" spans="1:9">
      <c r="A6331" s="577"/>
      <c r="B6331" s="65">
        <v>6529</v>
      </c>
      <c r="C6331" s="579" t="s">
        <v>281</v>
      </c>
      <c r="D6331" s="579"/>
      <c r="E6331" s="583"/>
      <c r="F6331" s="596"/>
      <c r="G6331" s="65">
        <v>0</v>
      </c>
      <c r="H6331" s="591" t="s">
        <v>280</v>
      </c>
      <c r="I6331" s="591" t="s">
        <v>280</v>
      </c>
    </row>
    <row r="6332" spans="1:9">
      <c r="A6332" s="577"/>
      <c r="B6332" s="65">
        <v>6530</v>
      </c>
      <c r="C6332" s="579" t="s">
        <v>281</v>
      </c>
      <c r="D6332" s="579"/>
      <c r="E6332" s="583"/>
      <c r="F6332" s="596"/>
      <c r="G6332" s="65">
        <v>0</v>
      </c>
      <c r="H6332" s="591" t="s">
        <v>280</v>
      </c>
      <c r="I6332" s="591" t="s">
        <v>280</v>
      </c>
    </row>
    <row r="6333" spans="1:9">
      <c r="A6333" s="577"/>
      <c r="B6333" s="65">
        <v>6531</v>
      </c>
      <c r="C6333" s="579" t="s">
        <v>281</v>
      </c>
      <c r="D6333" s="579"/>
      <c r="E6333" s="583"/>
      <c r="F6333" s="596"/>
      <c r="G6333" s="65">
        <v>0</v>
      </c>
      <c r="H6333" s="591" t="s">
        <v>280</v>
      </c>
      <c r="I6333" s="591" t="s">
        <v>280</v>
      </c>
    </row>
    <row r="6334" spans="1:9">
      <c r="A6334" s="577"/>
      <c r="B6334" s="65">
        <v>6532</v>
      </c>
      <c r="C6334" s="579" t="s">
        <v>281</v>
      </c>
      <c r="D6334" s="579"/>
      <c r="E6334" s="583"/>
      <c r="F6334" s="596"/>
      <c r="G6334" s="65">
        <v>0</v>
      </c>
      <c r="H6334" s="591" t="s">
        <v>280</v>
      </c>
      <c r="I6334" s="591" t="s">
        <v>280</v>
      </c>
    </row>
    <row r="6335" spans="1:9">
      <c r="A6335" s="577"/>
      <c r="B6335" s="65">
        <v>6533</v>
      </c>
      <c r="C6335" s="579" t="s">
        <v>281</v>
      </c>
      <c r="D6335" s="579"/>
      <c r="E6335" s="583"/>
      <c r="F6335" s="596"/>
      <c r="G6335" s="65">
        <v>0</v>
      </c>
      <c r="H6335" s="591" t="s">
        <v>280</v>
      </c>
      <c r="I6335" s="591" t="s">
        <v>280</v>
      </c>
    </row>
    <row r="6336" spans="1:9">
      <c r="A6336" s="577"/>
      <c r="B6336" s="65">
        <v>6534</v>
      </c>
      <c r="C6336" s="579" t="s">
        <v>281</v>
      </c>
      <c r="D6336" s="579"/>
      <c r="E6336" s="583"/>
      <c r="F6336" s="596"/>
      <c r="G6336" s="65">
        <v>0</v>
      </c>
      <c r="H6336" s="591" t="s">
        <v>280</v>
      </c>
      <c r="I6336" s="591" t="s">
        <v>280</v>
      </c>
    </row>
    <row r="6337" spans="1:9">
      <c r="A6337" s="577"/>
      <c r="B6337" s="65">
        <v>6535</v>
      </c>
      <c r="C6337" s="579" t="s">
        <v>281</v>
      </c>
      <c r="D6337" s="579"/>
      <c r="E6337" s="583"/>
      <c r="F6337" s="596"/>
      <c r="G6337" s="65">
        <v>0</v>
      </c>
      <c r="H6337" s="591" t="s">
        <v>280</v>
      </c>
      <c r="I6337" s="591" t="s">
        <v>280</v>
      </c>
    </row>
    <row r="6338" spans="1:9">
      <c r="A6338" s="577"/>
      <c r="B6338" s="65">
        <v>6536</v>
      </c>
      <c r="C6338" s="579" t="s">
        <v>281</v>
      </c>
      <c r="D6338" s="579"/>
      <c r="E6338" s="583"/>
      <c r="F6338" s="596"/>
      <c r="G6338" s="65">
        <v>0</v>
      </c>
      <c r="H6338" s="591" t="s">
        <v>280</v>
      </c>
      <c r="I6338" s="591" t="s">
        <v>280</v>
      </c>
    </row>
    <row r="6339" spans="1:9">
      <c r="A6339" s="577"/>
      <c r="B6339" s="65">
        <v>6537</v>
      </c>
      <c r="C6339" s="579" t="s">
        <v>281</v>
      </c>
      <c r="D6339" s="579"/>
      <c r="E6339" s="583"/>
      <c r="F6339" s="596"/>
      <c r="G6339" s="65">
        <v>0</v>
      </c>
      <c r="H6339" s="591" t="s">
        <v>280</v>
      </c>
      <c r="I6339" s="591" t="s">
        <v>280</v>
      </c>
    </row>
    <row r="6340" spans="1:9">
      <c r="A6340" s="577"/>
      <c r="B6340" s="65">
        <v>6538</v>
      </c>
      <c r="C6340" s="579" t="s">
        <v>281</v>
      </c>
      <c r="D6340" s="579"/>
      <c r="E6340" s="583"/>
      <c r="F6340" s="596"/>
      <c r="G6340" s="65">
        <v>0</v>
      </c>
      <c r="H6340" s="591" t="s">
        <v>280</v>
      </c>
      <c r="I6340" s="591" t="s">
        <v>280</v>
      </c>
    </row>
    <row r="6341" spans="1:9">
      <c r="A6341" s="577"/>
      <c r="B6341" s="65">
        <v>6539</v>
      </c>
      <c r="C6341" s="579" t="s">
        <v>281</v>
      </c>
      <c r="D6341" s="579"/>
      <c r="E6341" s="583"/>
      <c r="F6341" s="596"/>
      <c r="G6341" s="65">
        <v>0</v>
      </c>
      <c r="H6341" s="591" t="s">
        <v>280</v>
      </c>
      <c r="I6341" s="591" t="s">
        <v>280</v>
      </c>
    </row>
    <row r="6342" spans="1:9">
      <c r="A6342" s="577"/>
      <c r="B6342" s="65">
        <v>6540</v>
      </c>
      <c r="C6342" s="579" t="s">
        <v>281</v>
      </c>
      <c r="D6342" s="579"/>
      <c r="E6342" s="583"/>
      <c r="F6342" s="596"/>
      <c r="G6342" s="65">
        <v>0</v>
      </c>
      <c r="H6342" s="591" t="s">
        <v>280</v>
      </c>
      <c r="I6342" s="591" t="s">
        <v>280</v>
      </c>
    </row>
    <row r="6343" spans="1:9">
      <c r="A6343" s="577"/>
      <c r="B6343" s="65">
        <v>6541</v>
      </c>
      <c r="C6343" s="579" t="s">
        <v>281</v>
      </c>
      <c r="D6343" s="579"/>
      <c r="E6343" s="583"/>
      <c r="F6343" s="596"/>
      <c r="G6343" s="65">
        <v>0</v>
      </c>
      <c r="H6343" s="591" t="s">
        <v>280</v>
      </c>
      <c r="I6343" s="591" t="s">
        <v>280</v>
      </c>
    </row>
    <row r="6344" spans="1:9">
      <c r="A6344" s="577"/>
      <c r="B6344" s="65">
        <v>6542</v>
      </c>
      <c r="C6344" s="579" t="s">
        <v>281</v>
      </c>
      <c r="D6344" s="579"/>
      <c r="E6344" s="583"/>
      <c r="F6344" s="596"/>
      <c r="G6344" s="65">
        <v>0</v>
      </c>
      <c r="H6344" s="591" t="s">
        <v>280</v>
      </c>
      <c r="I6344" s="591" t="s">
        <v>280</v>
      </c>
    </row>
    <row r="6345" spans="1:9">
      <c r="A6345" s="577"/>
      <c r="B6345" s="65">
        <v>6543</v>
      </c>
      <c r="C6345" s="579" t="s">
        <v>281</v>
      </c>
      <c r="D6345" s="579"/>
      <c r="E6345" s="583"/>
      <c r="F6345" s="596"/>
      <c r="G6345" s="65">
        <v>0</v>
      </c>
      <c r="H6345" s="591" t="s">
        <v>280</v>
      </c>
      <c r="I6345" s="591" t="s">
        <v>280</v>
      </c>
    </row>
    <row r="6346" spans="1:9">
      <c r="A6346" s="577"/>
      <c r="B6346" s="65">
        <v>6544</v>
      </c>
      <c r="C6346" s="579" t="s">
        <v>281</v>
      </c>
      <c r="D6346" s="579"/>
      <c r="E6346" s="583"/>
      <c r="F6346" s="596"/>
      <c r="G6346" s="65">
        <v>0</v>
      </c>
      <c r="H6346" s="591" t="s">
        <v>280</v>
      </c>
      <c r="I6346" s="591" t="s">
        <v>280</v>
      </c>
    </row>
    <row r="6347" spans="1:9">
      <c r="A6347" s="577"/>
      <c r="B6347" s="65">
        <v>6545</v>
      </c>
      <c r="C6347" s="579" t="s">
        <v>281</v>
      </c>
      <c r="D6347" s="579"/>
      <c r="E6347" s="583"/>
      <c r="F6347" s="596"/>
      <c r="G6347" s="65">
        <v>0</v>
      </c>
      <c r="H6347" s="591" t="s">
        <v>280</v>
      </c>
      <c r="I6347" s="591" t="s">
        <v>280</v>
      </c>
    </row>
    <row r="6348" spans="1:9">
      <c r="A6348" s="577"/>
      <c r="B6348" s="65">
        <v>6546</v>
      </c>
      <c r="C6348" s="579" t="s">
        <v>281</v>
      </c>
      <c r="D6348" s="579"/>
      <c r="E6348" s="583"/>
      <c r="F6348" s="596"/>
      <c r="G6348" s="65">
        <v>0</v>
      </c>
      <c r="H6348" s="591" t="s">
        <v>280</v>
      </c>
      <c r="I6348" s="591" t="s">
        <v>280</v>
      </c>
    </row>
    <row r="6349" spans="1:9">
      <c r="A6349" s="577"/>
      <c r="B6349" s="65">
        <v>6547</v>
      </c>
      <c r="C6349" s="579" t="s">
        <v>281</v>
      </c>
      <c r="D6349" s="579"/>
      <c r="E6349" s="583"/>
      <c r="F6349" s="596"/>
      <c r="G6349" s="65">
        <v>0</v>
      </c>
      <c r="H6349" s="591" t="s">
        <v>280</v>
      </c>
      <c r="I6349" s="591" t="s">
        <v>280</v>
      </c>
    </row>
    <row r="6350" spans="1:9">
      <c r="A6350" s="577"/>
      <c r="B6350" s="65">
        <v>6548</v>
      </c>
      <c r="C6350" s="579" t="s">
        <v>281</v>
      </c>
      <c r="D6350" s="579"/>
      <c r="E6350" s="583"/>
      <c r="F6350" s="596"/>
      <c r="G6350" s="65">
        <v>0</v>
      </c>
      <c r="H6350" s="591" t="s">
        <v>280</v>
      </c>
      <c r="I6350" s="591" t="s">
        <v>280</v>
      </c>
    </row>
    <row r="6351" spans="1:9">
      <c r="A6351" s="577"/>
      <c r="B6351" s="65">
        <v>6549</v>
      </c>
      <c r="C6351" s="579" t="s">
        <v>281</v>
      </c>
      <c r="D6351" s="579"/>
      <c r="E6351" s="583"/>
      <c r="F6351" s="596"/>
      <c r="G6351" s="65">
        <v>0</v>
      </c>
      <c r="H6351" s="591" t="s">
        <v>280</v>
      </c>
      <c r="I6351" s="591" t="s">
        <v>280</v>
      </c>
    </row>
    <row r="6352" spans="1:9">
      <c r="A6352" s="577"/>
      <c r="B6352" s="65">
        <v>6550</v>
      </c>
      <c r="C6352" s="579" t="s">
        <v>281</v>
      </c>
      <c r="D6352" s="579"/>
      <c r="E6352" s="583"/>
      <c r="F6352" s="596"/>
      <c r="G6352" s="65">
        <v>0</v>
      </c>
      <c r="H6352" s="591" t="s">
        <v>280</v>
      </c>
      <c r="I6352" s="591" t="s">
        <v>280</v>
      </c>
    </row>
    <row r="6353" spans="1:9">
      <c r="A6353" s="577"/>
      <c r="B6353" s="65">
        <v>6551</v>
      </c>
      <c r="C6353" s="579" t="s">
        <v>281</v>
      </c>
      <c r="D6353" s="579"/>
      <c r="E6353" s="583"/>
      <c r="F6353" s="596"/>
      <c r="G6353" s="65">
        <v>0</v>
      </c>
      <c r="H6353" s="591" t="s">
        <v>280</v>
      </c>
      <c r="I6353" s="591" t="s">
        <v>280</v>
      </c>
    </row>
    <row r="6354" spans="1:9">
      <c r="A6354" s="577"/>
      <c r="B6354" s="65">
        <v>6552</v>
      </c>
      <c r="C6354" s="579" t="s">
        <v>281</v>
      </c>
      <c r="D6354" s="579"/>
      <c r="E6354" s="583"/>
      <c r="F6354" s="596"/>
      <c r="G6354" s="65">
        <v>0</v>
      </c>
      <c r="H6354" s="591" t="s">
        <v>280</v>
      </c>
      <c r="I6354" s="591" t="s">
        <v>280</v>
      </c>
    </row>
    <row r="6355" spans="1:9">
      <c r="A6355" s="577"/>
      <c r="B6355" s="65">
        <v>6553</v>
      </c>
      <c r="C6355" s="579" t="s">
        <v>281</v>
      </c>
      <c r="D6355" s="579"/>
      <c r="E6355" s="583"/>
      <c r="F6355" s="596"/>
      <c r="G6355" s="65">
        <v>0</v>
      </c>
      <c r="H6355" s="591" t="s">
        <v>280</v>
      </c>
      <c r="I6355" s="591" t="s">
        <v>280</v>
      </c>
    </row>
    <row r="6356" spans="1:9">
      <c r="A6356" s="577"/>
      <c r="B6356" s="65">
        <v>6554</v>
      </c>
      <c r="C6356" s="579" t="s">
        <v>281</v>
      </c>
      <c r="D6356" s="579"/>
      <c r="E6356" s="583"/>
      <c r="F6356" s="596"/>
      <c r="G6356" s="65">
        <v>0</v>
      </c>
      <c r="H6356" s="591" t="s">
        <v>280</v>
      </c>
      <c r="I6356" s="591" t="s">
        <v>280</v>
      </c>
    </row>
    <row r="6357" spans="1:9">
      <c r="A6357" s="577"/>
      <c r="B6357" s="65">
        <v>6555</v>
      </c>
      <c r="C6357" s="579" t="s">
        <v>281</v>
      </c>
      <c r="D6357" s="579"/>
      <c r="E6357" s="583"/>
      <c r="F6357" s="596"/>
      <c r="G6357" s="65">
        <v>0</v>
      </c>
      <c r="H6357" s="591" t="s">
        <v>280</v>
      </c>
      <c r="I6357" s="591" t="s">
        <v>280</v>
      </c>
    </row>
    <row r="6358" spans="1:9">
      <c r="A6358" s="577"/>
      <c r="B6358" s="65">
        <v>6556</v>
      </c>
      <c r="C6358" s="579" t="s">
        <v>281</v>
      </c>
      <c r="D6358" s="579"/>
      <c r="E6358" s="583"/>
      <c r="F6358" s="596"/>
      <c r="G6358" s="65">
        <v>0</v>
      </c>
      <c r="H6358" s="591" t="s">
        <v>280</v>
      </c>
      <c r="I6358" s="591" t="s">
        <v>280</v>
      </c>
    </row>
    <row r="6359" spans="1:9">
      <c r="A6359" s="577"/>
      <c r="B6359" s="65">
        <v>6557</v>
      </c>
      <c r="C6359" s="579" t="s">
        <v>281</v>
      </c>
      <c r="D6359" s="579"/>
      <c r="E6359" s="583"/>
      <c r="F6359" s="596"/>
      <c r="G6359" s="65">
        <v>0</v>
      </c>
      <c r="H6359" s="591" t="s">
        <v>280</v>
      </c>
      <c r="I6359" s="591" t="s">
        <v>280</v>
      </c>
    </row>
    <row r="6360" spans="1:9">
      <c r="A6360" s="577"/>
      <c r="B6360" s="65">
        <v>6558</v>
      </c>
      <c r="C6360" s="579" t="s">
        <v>281</v>
      </c>
      <c r="D6360" s="579"/>
      <c r="E6360" s="583"/>
      <c r="F6360" s="596"/>
      <c r="G6360" s="65">
        <v>0</v>
      </c>
      <c r="H6360" s="591" t="s">
        <v>280</v>
      </c>
      <c r="I6360" s="591" t="s">
        <v>280</v>
      </c>
    </row>
    <row r="6361" spans="1:9">
      <c r="A6361" s="577"/>
      <c r="B6361" s="65">
        <v>6559</v>
      </c>
      <c r="C6361" s="579" t="s">
        <v>281</v>
      </c>
      <c r="D6361" s="579"/>
      <c r="E6361" s="583"/>
      <c r="F6361" s="596"/>
      <c r="G6361" s="65">
        <v>0</v>
      </c>
      <c r="H6361" s="591" t="s">
        <v>280</v>
      </c>
      <c r="I6361" s="591" t="s">
        <v>280</v>
      </c>
    </row>
    <row r="6362" spans="1:9">
      <c r="A6362" s="577"/>
      <c r="B6362" s="65">
        <v>6560</v>
      </c>
      <c r="C6362" s="579" t="s">
        <v>281</v>
      </c>
      <c r="D6362" s="579"/>
      <c r="E6362" s="583"/>
      <c r="F6362" s="596"/>
      <c r="G6362" s="65">
        <v>0</v>
      </c>
      <c r="H6362" s="591" t="s">
        <v>280</v>
      </c>
      <c r="I6362" s="591" t="s">
        <v>280</v>
      </c>
    </row>
    <row r="6363" spans="1:9">
      <c r="A6363" s="577"/>
      <c r="B6363" s="65">
        <v>6561</v>
      </c>
      <c r="C6363" s="579" t="s">
        <v>281</v>
      </c>
      <c r="D6363" s="579"/>
      <c r="E6363" s="583"/>
      <c r="F6363" s="596"/>
      <c r="G6363" s="65">
        <v>0</v>
      </c>
      <c r="H6363" s="591" t="s">
        <v>280</v>
      </c>
      <c r="I6363" s="591" t="s">
        <v>280</v>
      </c>
    </row>
    <row r="6364" spans="1:9">
      <c r="A6364" s="577"/>
      <c r="B6364" s="65">
        <v>6562</v>
      </c>
      <c r="C6364" s="579" t="s">
        <v>281</v>
      </c>
      <c r="D6364" s="579"/>
      <c r="E6364" s="583"/>
      <c r="F6364" s="596"/>
      <c r="G6364" s="65">
        <v>0</v>
      </c>
      <c r="H6364" s="591" t="s">
        <v>280</v>
      </c>
      <c r="I6364" s="591" t="s">
        <v>280</v>
      </c>
    </row>
    <row r="6365" spans="1:9">
      <c r="A6365" s="577"/>
      <c r="B6365" s="65">
        <v>6563</v>
      </c>
      <c r="C6365" s="579" t="s">
        <v>281</v>
      </c>
      <c r="D6365" s="579"/>
      <c r="E6365" s="583"/>
      <c r="F6365" s="596"/>
      <c r="G6365" s="65">
        <v>0</v>
      </c>
      <c r="H6365" s="591" t="s">
        <v>280</v>
      </c>
      <c r="I6365" s="591" t="s">
        <v>280</v>
      </c>
    </row>
    <row r="6366" spans="1:9">
      <c r="A6366" s="577"/>
      <c r="B6366" s="65">
        <v>6564</v>
      </c>
      <c r="C6366" s="579" t="s">
        <v>281</v>
      </c>
      <c r="D6366" s="579"/>
      <c r="E6366" s="583"/>
      <c r="F6366" s="596"/>
      <c r="G6366" s="65">
        <v>0</v>
      </c>
      <c r="H6366" s="591" t="s">
        <v>280</v>
      </c>
      <c r="I6366" s="591" t="s">
        <v>280</v>
      </c>
    </row>
    <row r="6367" spans="1:9">
      <c r="A6367" s="577"/>
      <c r="B6367" s="65">
        <v>6565</v>
      </c>
      <c r="C6367" s="579" t="s">
        <v>281</v>
      </c>
      <c r="D6367" s="579"/>
      <c r="E6367" s="583"/>
      <c r="F6367" s="596"/>
      <c r="G6367" s="65">
        <v>0</v>
      </c>
      <c r="H6367" s="591" t="s">
        <v>280</v>
      </c>
      <c r="I6367" s="591" t="s">
        <v>280</v>
      </c>
    </row>
    <row r="6368" spans="1:9">
      <c r="A6368" s="577"/>
      <c r="B6368" s="65">
        <v>6566</v>
      </c>
      <c r="C6368" s="579" t="s">
        <v>281</v>
      </c>
      <c r="D6368" s="579"/>
      <c r="E6368" s="583"/>
      <c r="F6368" s="596"/>
      <c r="G6368" s="65">
        <v>0</v>
      </c>
      <c r="H6368" s="591" t="s">
        <v>280</v>
      </c>
      <c r="I6368" s="591" t="s">
        <v>280</v>
      </c>
    </row>
    <row r="6369" spans="1:9">
      <c r="A6369" s="577"/>
      <c r="B6369" s="65">
        <v>6567</v>
      </c>
      <c r="C6369" s="579" t="s">
        <v>281</v>
      </c>
      <c r="D6369" s="579"/>
      <c r="E6369" s="583"/>
      <c r="F6369" s="596"/>
      <c r="G6369" s="65">
        <v>0</v>
      </c>
      <c r="H6369" s="591" t="s">
        <v>280</v>
      </c>
      <c r="I6369" s="591" t="s">
        <v>280</v>
      </c>
    </row>
    <row r="6370" spans="1:9">
      <c r="A6370" s="577"/>
      <c r="B6370" s="65">
        <v>6568</v>
      </c>
      <c r="C6370" s="579" t="s">
        <v>281</v>
      </c>
      <c r="D6370" s="579"/>
      <c r="E6370" s="583"/>
      <c r="F6370" s="596"/>
      <c r="G6370" s="65">
        <v>0</v>
      </c>
      <c r="H6370" s="591" t="s">
        <v>280</v>
      </c>
      <c r="I6370" s="591" t="s">
        <v>280</v>
      </c>
    </row>
    <row r="6371" spans="1:9">
      <c r="A6371" s="577"/>
      <c r="B6371" s="65">
        <v>6569</v>
      </c>
      <c r="C6371" s="579" t="s">
        <v>281</v>
      </c>
      <c r="D6371" s="579"/>
      <c r="E6371" s="583"/>
      <c r="F6371" s="596"/>
      <c r="G6371" s="65">
        <v>0</v>
      </c>
      <c r="H6371" s="591" t="s">
        <v>280</v>
      </c>
      <c r="I6371" s="591" t="s">
        <v>280</v>
      </c>
    </row>
    <row r="6372" spans="1:9">
      <c r="A6372" s="577"/>
      <c r="B6372" s="65">
        <v>6570</v>
      </c>
      <c r="C6372" s="579" t="s">
        <v>281</v>
      </c>
      <c r="D6372" s="579"/>
      <c r="E6372" s="583"/>
      <c r="F6372" s="596"/>
      <c r="G6372" s="65">
        <v>0</v>
      </c>
      <c r="H6372" s="591" t="s">
        <v>280</v>
      </c>
      <c r="I6372" s="591" t="s">
        <v>280</v>
      </c>
    </row>
    <row r="6373" spans="1:9">
      <c r="A6373" s="577"/>
      <c r="B6373" s="65">
        <v>6571</v>
      </c>
      <c r="C6373" s="579" t="s">
        <v>281</v>
      </c>
      <c r="D6373" s="579"/>
      <c r="E6373" s="583"/>
      <c r="F6373" s="596"/>
      <c r="G6373" s="65">
        <v>0</v>
      </c>
      <c r="H6373" s="591" t="s">
        <v>280</v>
      </c>
      <c r="I6373" s="591" t="s">
        <v>280</v>
      </c>
    </row>
    <row r="6374" spans="1:9">
      <c r="A6374" s="577"/>
      <c r="B6374" s="65">
        <v>6572</v>
      </c>
      <c r="C6374" s="579" t="s">
        <v>281</v>
      </c>
      <c r="D6374" s="579"/>
      <c r="E6374" s="583"/>
      <c r="F6374" s="596"/>
      <c r="G6374" s="65">
        <v>0</v>
      </c>
      <c r="H6374" s="591" t="s">
        <v>280</v>
      </c>
      <c r="I6374" s="591" t="s">
        <v>280</v>
      </c>
    </row>
    <row r="6375" spans="1:9">
      <c r="A6375" s="577"/>
      <c r="B6375" s="65">
        <v>6573</v>
      </c>
      <c r="C6375" s="579" t="s">
        <v>281</v>
      </c>
      <c r="D6375" s="579"/>
      <c r="E6375" s="583"/>
      <c r="F6375" s="596"/>
      <c r="G6375" s="65">
        <v>0</v>
      </c>
      <c r="H6375" s="591" t="s">
        <v>280</v>
      </c>
      <c r="I6375" s="591" t="s">
        <v>280</v>
      </c>
    </row>
    <row r="6376" spans="1:9">
      <c r="A6376" s="577"/>
      <c r="B6376" s="65">
        <v>6574</v>
      </c>
      <c r="C6376" s="579" t="s">
        <v>281</v>
      </c>
      <c r="D6376" s="579"/>
      <c r="E6376" s="583"/>
      <c r="F6376" s="596"/>
      <c r="G6376" s="65">
        <v>0</v>
      </c>
      <c r="H6376" s="591" t="s">
        <v>280</v>
      </c>
      <c r="I6376" s="591" t="s">
        <v>280</v>
      </c>
    </row>
    <row r="6377" spans="1:9">
      <c r="A6377" s="577"/>
      <c r="B6377" s="65">
        <v>6575</v>
      </c>
      <c r="C6377" s="579" t="s">
        <v>281</v>
      </c>
      <c r="D6377" s="579"/>
      <c r="E6377" s="583"/>
      <c r="F6377" s="596"/>
      <c r="G6377" s="65">
        <v>0</v>
      </c>
      <c r="H6377" s="591" t="s">
        <v>280</v>
      </c>
      <c r="I6377" s="591" t="s">
        <v>280</v>
      </c>
    </row>
    <row r="6378" spans="1:9">
      <c r="A6378" s="577"/>
      <c r="B6378" s="65">
        <v>6576</v>
      </c>
      <c r="C6378" s="579" t="s">
        <v>281</v>
      </c>
      <c r="D6378" s="579"/>
      <c r="E6378" s="583"/>
      <c r="F6378" s="596"/>
      <c r="G6378" s="65">
        <v>0</v>
      </c>
      <c r="H6378" s="591" t="s">
        <v>280</v>
      </c>
      <c r="I6378" s="591" t="s">
        <v>280</v>
      </c>
    </row>
    <row r="6379" spans="1:9">
      <c r="A6379" s="577"/>
      <c r="B6379" s="65">
        <v>6577</v>
      </c>
      <c r="C6379" s="579" t="s">
        <v>281</v>
      </c>
      <c r="D6379" s="579"/>
      <c r="E6379" s="583"/>
      <c r="F6379" s="596"/>
      <c r="G6379" s="65">
        <v>0</v>
      </c>
      <c r="H6379" s="591" t="s">
        <v>280</v>
      </c>
      <c r="I6379" s="591" t="s">
        <v>280</v>
      </c>
    </row>
    <row r="6380" spans="1:9">
      <c r="A6380" s="577"/>
      <c r="B6380" s="65">
        <v>6578</v>
      </c>
      <c r="C6380" s="579" t="s">
        <v>281</v>
      </c>
      <c r="D6380" s="579"/>
      <c r="E6380" s="583"/>
      <c r="F6380" s="596"/>
      <c r="G6380" s="65">
        <v>0</v>
      </c>
      <c r="H6380" s="591" t="s">
        <v>280</v>
      </c>
      <c r="I6380" s="591" t="s">
        <v>280</v>
      </c>
    </row>
    <row r="6381" spans="1:9">
      <c r="A6381" s="577"/>
      <c r="B6381" s="65">
        <v>6579</v>
      </c>
      <c r="C6381" s="579" t="s">
        <v>281</v>
      </c>
      <c r="D6381" s="579"/>
      <c r="E6381" s="583"/>
      <c r="F6381" s="596"/>
      <c r="G6381" s="65">
        <v>0</v>
      </c>
      <c r="H6381" s="591" t="s">
        <v>280</v>
      </c>
      <c r="I6381" s="591" t="s">
        <v>280</v>
      </c>
    </row>
    <row r="6382" spans="1:9">
      <c r="A6382" s="577"/>
      <c r="B6382" s="65">
        <v>6580</v>
      </c>
      <c r="C6382" s="579" t="s">
        <v>281</v>
      </c>
      <c r="D6382" s="579"/>
      <c r="E6382" s="583"/>
      <c r="F6382" s="596"/>
      <c r="G6382" s="65">
        <v>0</v>
      </c>
      <c r="H6382" s="591" t="s">
        <v>280</v>
      </c>
      <c r="I6382" s="591" t="s">
        <v>280</v>
      </c>
    </row>
    <row r="6383" spans="1:9">
      <c r="A6383" s="577"/>
      <c r="B6383" s="65">
        <v>6581</v>
      </c>
      <c r="C6383" s="579" t="s">
        <v>281</v>
      </c>
      <c r="D6383" s="579"/>
      <c r="E6383" s="583"/>
      <c r="F6383" s="596"/>
      <c r="G6383" s="65">
        <v>0</v>
      </c>
      <c r="H6383" s="591" t="s">
        <v>280</v>
      </c>
      <c r="I6383" s="591" t="s">
        <v>280</v>
      </c>
    </row>
    <row r="6384" spans="1:9">
      <c r="A6384" s="577"/>
      <c r="B6384" s="65">
        <v>6582</v>
      </c>
      <c r="C6384" s="579" t="s">
        <v>281</v>
      </c>
      <c r="D6384" s="579"/>
      <c r="E6384" s="583"/>
      <c r="F6384" s="596"/>
      <c r="G6384" s="65">
        <v>0</v>
      </c>
      <c r="H6384" s="591" t="s">
        <v>280</v>
      </c>
      <c r="I6384" s="591" t="s">
        <v>280</v>
      </c>
    </row>
    <row r="6385" spans="1:9">
      <c r="A6385" s="577"/>
      <c r="B6385" s="65">
        <v>6583</v>
      </c>
      <c r="C6385" s="579" t="s">
        <v>281</v>
      </c>
      <c r="D6385" s="579"/>
      <c r="E6385" s="583"/>
      <c r="F6385" s="596"/>
      <c r="G6385" s="65">
        <v>0</v>
      </c>
      <c r="H6385" s="591" t="s">
        <v>280</v>
      </c>
      <c r="I6385" s="591" t="s">
        <v>280</v>
      </c>
    </row>
    <row r="6386" spans="1:9">
      <c r="A6386" s="577"/>
      <c r="B6386" s="65">
        <v>6584</v>
      </c>
      <c r="C6386" s="579" t="s">
        <v>281</v>
      </c>
      <c r="D6386" s="579"/>
      <c r="E6386" s="583"/>
      <c r="F6386" s="596"/>
      <c r="G6386" s="65">
        <v>0</v>
      </c>
      <c r="H6386" s="591" t="s">
        <v>280</v>
      </c>
      <c r="I6386" s="591" t="s">
        <v>280</v>
      </c>
    </row>
    <row r="6387" spans="1:9">
      <c r="A6387" s="577"/>
      <c r="B6387" s="65">
        <v>6585</v>
      </c>
      <c r="C6387" s="579" t="s">
        <v>281</v>
      </c>
      <c r="D6387" s="579"/>
      <c r="E6387" s="583"/>
      <c r="F6387" s="596"/>
      <c r="G6387" s="65">
        <v>0</v>
      </c>
      <c r="H6387" s="591" t="s">
        <v>280</v>
      </c>
      <c r="I6387" s="591" t="s">
        <v>280</v>
      </c>
    </row>
    <row r="6388" spans="1:9">
      <c r="A6388" s="577"/>
      <c r="B6388" s="65">
        <v>6586</v>
      </c>
      <c r="C6388" s="579" t="s">
        <v>281</v>
      </c>
      <c r="D6388" s="579"/>
      <c r="E6388" s="583"/>
      <c r="F6388" s="596"/>
      <c r="G6388" s="65">
        <v>0</v>
      </c>
      <c r="H6388" s="591" t="s">
        <v>280</v>
      </c>
      <c r="I6388" s="591" t="s">
        <v>280</v>
      </c>
    </row>
    <row r="6389" spans="1:9">
      <c r="A6389" s="577"/>
      <c r="B6389" s="65">
        <v>6587</v>
      </c>
      <c r="C6389" s="579" t="s">
        <v>281</v>
      </c>
      <c r="D6389" s="579"/>
      <c r="E6389" s="583"/>
      <c r="F6389" s="596"/>
      <c r="G6389" s="65">
        <v>0</v>
      </c>
      <c r="H6389" s="591" t="s">
        <v>280</v>
      </c>
      <c r="I6389" s="591" t="s">
        <v>280</v>
      </c>
    </row>
    <row r="6390" spans="1:9">
      <c r="A6390" s="577"/>
      <c r="B6390" s="65">
        <v>6588</v>
      </c>
      <c r="C6390" s="579" t="s">
        <v>281</v>
      </c>
      <c r="D6390" s="579"/>
      <c r="E6390" s="583"/>
      <c r="F6390" s="596"/>
      <c r="G6390" s="65">
        <v>0</v>
      </c>
      <c r="H6390" s="591" t="s">
        <v>280</v>
      </c>
      <c r="I6390" s="591" t="s">
        <v>280</v>
      </c>
    </row>
    <row r="6391" spans="1:9">
      <c r="A6391" s="577"/>
      <c r="B6391" s="65">
        <v>6589</v>
      </c>
      <c r="C6391" s="579" t="s">
        <v>281</v>
      </c>
      <c r="D6391" s="579"/>
      <c r="E6391" s="583"/>
      <c r="F6391" s="596"/>
      <c r="G6391" s="65">
        <v>0</v>
      </c>
      <c r="H6391" s="591" t="s">
        <v>280</v>
      </c>
      <c r="I6391" s="591" t="s">
        <v>280</v>
      </c>
    </row>
    <row r="6392" spans="1:9">
      <c r="A6392" s="577"/>
      <c r="B6392" s="65">
        <v>6590</v>
      </c>
      <c r="C6392" s="579" t="s">
        <v>281</v>
      </c>
      <c r="D6392" s="579"/>
      <c r="E6392" s="583"/>
      <c r="F6392" s="596"/>
      <c r="G6392" s="65">
        <v>0</v>
      </c>
      <c r="H6392" s="591" t="s">
        <v>280</v>
      </c>
      <c r="I6392" s="591" t="s">
        <v>280</v>
      </c>
    </row>
    <row r="6393" spans="1:9">
      <c r="A6393" s="577"/>
      <c r="B6393" s="65">
        <v>6591</v>
      </c>
      <c r="C6393" s="579" t="s">
        <v>281</v>
      </c>
      <c r="D6393" s="579"/>
      <c r="E6393" s="583"/>
      <c r="F6393" s="596"/>
      <c r="G6393" s="65">
        <v>0</v>
      </c>
      <c r="H6393" s="591" t="s">
        <v>280</v>
      </c>
      <c r="I6393" s="591" t="s">
        <v>280</v>
      </c>
    </row>
    <row r="6394" spans="1:9">
      <c r="A6394" s="577"/>
      <c r="B6394" s="65">
        <v>6592</v>
      </c>
      <c r="C6394" s="579" t="s">
        <v>281</v>
      </c>
      <c r="D6394" s="579"/>
      <c r="E6394" s="583"/>
      <c r="F6394" s="596"/>
      <c r="G6394" s="65">
        <v>0</v>
      </c>
      <c r="H6394" s="591" t="s">
        <v>280</v>
      </c>
      <c r="I6394" s="591" t="s">
        <v>280</v>
      </c>
    </row>
    <row r="6395" spans="1:9">
      <c r="A6395" s="577"/>
      <c r="B6395" s="65">
        <v>6593</v>
      </c>
      <c r="C6395" s="579" t="s">
        <v>281</v>
      </c>
      <c r="D6395" s="579"/>
      <c r="E6395" s="583"/>
      <c r="F6395" s="596"/>
      <c r="G6395" s="65">
        <v>0</v>
      </c>
      <c r="H6395" s="591" t="s">
        <v>280</v>
      </c>
      <c r="I6395" s="591" t="s">
        <v>280</v>
      </c>
    </row>
    <row r="6396" spans="1:9">
      <c r="A6396" s="577"/>
      <c r="B6396" s="65">
        <v>6594</v>
      </c>
      <c r="C6396" s="579" t="s">
        <v>281</v>
      </c>
      <c r="D6396" s="579"/>
      <c r="E6396" s="583"/>
      <c r="F6396" s="596"/>
      <c r="G6396" s="65">
        <v>0</v>
      </c>
      <c r="H6396" s="591" t="s">
        <v>280</v>
      </c>
      <c r="I6396" s="591" t="s">
        <v>280</v>
      </c>
    </row>
    <row r="6397" spans="1:9">
      <c r="A6397" s="577"/>
      <c r="B6397" s="65">
        <v>6595</v>
      </c>
      <c r="C6397" s="579" t="s">
        <v>281</v>
      </c>
      <c r="D6397" s="579"/>
      <c r="E6397" s="583"/>
      <c r="F6397" s="596"/>
      <c r="G6397" s="65">
        <v>0</v>
      </c>
      <c r="H6397" s="591" t="s">
        <v>280</v>
      </c>
      <c r="I6397" s="591" t="s">
        <v>280</v>
      </c>
    </row>
    <row r="6398" spans="1:9">
      <c r="A6398" s="577"/>
      <c r="B6398" s="65">
        <v>6596</v>
      </c>
      <c r="C6398" s="579" t="s">
        <v>281</v>
      </c>
      <c r="D6398" s="579"/>
      <c r="E6398" s="583"/>
      <c r="F6398" s="596"/>
      <c r="G6398" s="65">
        <v>0</v>
      </c>
      <c r="H6398" s="591" t="s">
        <v>280</v>
      </c>
      <c r="I6398" s="591" t="s">
        <v>280</v>
      </c>
    </row>
    <row r="6399" spans="1:9">
      <c r="A6399" s="577"/>
      <c r="B6399" s="65">
        <v>6597</v>
      </c>
      <c r="C6399" s="579" t="s">
        <v>281</v>
      </c>
      <c r="D6399" s="579"/>
      <c r="E6399" s="583"/>
      <c r="F6399" s="596"/>
      <c r="G6399" s="65">
        <v>0</v>
      </c>
      <c r="H6399" s="591" t="s">
        <v>280</v>
      </c>
      <c r="I6399" s="591" t="s">
        <v>280</v>
      </c>
    </row>
    <row r="6400" spans="1:9">
      <c r="A6400" s="577"/>
      <c r="B6400" s="65">
        <v>6598</v>
      </c>
      <c r="C6400" s="579" t="s">
        <v>281</v>
      </c>
      <c r="D6400" s="579"/>
      <c r="E6400" s="583"/>
      <c r="F6400" s="596"/>
      <c r="G6400" s="65">
        <v>0</v>
      </c>
      <c r="H6400" s="591" t="s">
        <v>280</v>
      </c>
      <c r="I6400" s="591" t="s">
        <v>280</v>
      </c>
    </row>
    <row r="6401" spans="1:9">
      <c r="A6401" s="577"/>
      <c r="B6401" s="65">
        <v>6599</v>
      </c>
      <c r="C6401" s="579" t="s">
        <v>281</v>
      </c>
      <c r="D6401" s="579"/>
      <c r="E6401" s="583"/>
      <c r="F6401" s="596"/>
      <c r="G6401" s="65">
        <v>0</v>
      </c>
      <c r="H6401" s="591" t="s">
        <v>280</v>
      </c>
      <c r="I6401" s="591" t="s">
        <v>280</v>
      </c>
    </row>
    <row r="6402" spans="1:9">
      <c r="A6402" s="577"/>
      <c r="B6402" s="65">
        <v>6600</v>
      </c>
      <c r="C6402" s="579" t="s">
        <v>281</v>
      </c>
      <c r="D6402" s="579"/>
      <c r="E6402" s="583"/>
      <c r="F6402" s="596"/>
      <c r="G6402" s="65">
        <v>0</v>
      </c>
      <c r="H6402" s="591" t="s">
        <v>280</v>
      </c>
      <c r="I6402" s="591" t="s">
        <v>280</v>
      </c>
    </row>
    <row r="6403" spans="1:9">
      <c r="A6403" s="577"/>
      <c r="B6403" s="65">
        <v>6601</v>
      </c>
      <c r="C6403" s="579" t="s">
        <v>281</v>
      </c>
      <c r="D6403" s="579"/>
      <c r="E6403" s="583"/>
      <c r="F6403" s="596"/>
      <c r="G6403" s="65">
        <v>0</v>
      </c>
      <c r="H6403" s="591" t="s">
        <v>280</v>
      </c>
      <c r="I6403" s="591" t="s">
        <v>280</v>
      </c>
    </row>
    <row r="6404" spans="1:9">
      <c r="A6404" s="577"/>
      <c r="B6404" s="65">
        <v>6602</v>
      </c>
      <c r="C6404" s="579" t="s">
        <v>281</v>
      </c>
      <c r="D6404" s="579"/>
      <c r="E6404" s="583"/>
      <c r="F6404" s="596"/>
      <c r="G6404" s="65">
        <v>0</v>
      </c>
      <c r="H6404" s="591" t="s">
        <v>280</v>
      </c>
      <c r="I6404" s="591" t="s">
        <v>280</v>
      </c>
    </row>
    <row r="6405" spans="1:9">
      <c r="A6405" s="577"/>
      <c r="B6405" s="65">
        <v>6603</v>
      </c>
      <c r="C6405" s="579" t="s">
        <v>281</v>
      </c>
      <c r="D6405" s="579"/>
      <c r="E6405" s="583"/>
      <c r="F6405" s="596"/>
      <c r="G6405" s="65">
        <v>0</v>
      </c>
      <c r="H6405" s="591" t="s">
        <v>280</v>
      </c>
      <c r="I6405" s="591" t="s">
        <v>280</v>
      </c>
    </row>
    <row r="6406" spans="1:9">
      <c r="A6406" s="577"/>
      <c r="B6406" s="65">
        <v>6604</v>
      </c>
      <c r="C6406" s="579" t="s">
        <v>281</v>
      </c>
      <c r="D6406" s="579"/>
      <c r="E6406" s="583"/>
      <c r="F6406" s="596"/>
      <c r="G6406" s="65">
        <v>0</v>
      </c>
      <c r="H6406" s="591" t="s">
        <v>280</v>
      </c>
      <c r="I6406" s="591" t="s">
        <v>280</v>
      </c>
    </row>
    <row r="6407" spans="1:9">
      <c r="A6407" s="577"/>
      <c r="B6407" s="65">
        <v>6605</v>
      </c>
      <c r="C6407" s="579" t="s">
        <v>281</v>
      </c>
      <c r="D6407" s="579"/>
      <c r="E6407" s="583"/>
      <c r="F6407" s="596"/>
      <c r="G6407" s="65">
        <v>0</v>
      </c>
      <c r="H6407" s="591" t="s">
        <v>280</v>
      </c>
      <c r="I6407" s="591" t="s">
        <v>280</v>
      </c>
    </row>
    <row r="6408" spans="1:9">
      <c r="A6408" s="577"/>
      <c r="B6408" s="65">
        <v>6606</v>
      </c>
      <c r="C6408" s="579" t="s">
        <v>281</v>
      </c>
      <c r="D6408" s="579"/>
      <c r="E6408" s="583"/>
      <c r="F6408" s="596"/>
      <c r="G6408" s="65">
        <v>0</v>
      </c>
      <c r="H6408" s="591" t="s">
        <v>280</v>
      </c>
      <c r="I6408" s="591" t="s">
        <v>280</v>
      </c>
    </row>
    <row r="6409" spans="1:9">
      <c r="A6409" s="577"/>
      <c r="B6409" s="65">
        <v>6607</v>
      </c>
      <c r="C6409" s="579" t="s">
        <v>281</v>
      </c>
      <c r="D6409" s="579"/>
      <c r="E6409" s="583"/>
      <c r="F6409" s="596"/>
      <c r="G6409" s="65">
        <v>0</v>
      </c>
      <c r="H6409" s="591" t="s">
        <v>280</v>
      </c>
      <c r="I6409" s="591" t="s">
        <v>280</v>
      </c>
    </row>
    <row r="6410" spans="1:9">
      <c r="A6410" s="577"/>
      <c r="B6410" s="65">
        <v>6608</v>
      </c>
      <c r="C6410" s="579" t="s">
        <v>281</v>
      </c>
      <c r="D6410" s="579"/>
      <c r="E6410" s="583"/>
      <c r="F6410" s="596"/>
      <c r="G6410" s="65">
        <v>0</v>
      </c>
      <c r="H6410" s="591" t="s">
        <v>280</v>
      </c>
      <c r="I6410" s="591" t="s">
        <v>280</v>
      </c>
    </row>
    <row r="6411" spans="1:9">
      <c r="A6411" s="577"/>
      <c r="B6411" s="65">
        <v>6609</v>
      </c>
      <c r="C6411" s="579" t="s">
        <v>281</v>
      </c>
      <c r="D6411" s="579"/>
      <c r="E6411" s="583"/>
      <c r="F6411" s="596"/>
      <c r="G6411" s="65">
        <v>0</v>
      </c>
      <c r="H6411" s="591" t="s">
        <v>280</v>
      </c>
      <c r="I6411" s="591" t="s">
        <v>280</v>
      </c>
    </row>
    <row r="6412" spans="1:9">
      <c r="A6412" s="577"/>
      <c r="B6412" s="65">
        <v>6610</v>
      </c>
      <c r="C6412" s="579" t="s">
        <v>281</v>
      </c>
      <c r="D6412" s="579"/>
      <c r="E6412" s="583"/>
      <c r="F6412" s="596"/>
      <c r="G6412" s="65">
        <v>0</v>
      </c>
      <c r="H6412" s="591" t="s">
        <v>280</v>
      </c>
      <c r="I6412" s="591" t="s">
        <v>280</v>
      </c>
    </row>
    <row r="6413" spans="1:9">
      <c r="A6413" s="577"/>
      <c r="B6413" s="65">
        <v>6611</v>
      </c>
      <c r="C6413" s="579" t="s">
        <v>281</v>
      </c>
      <c r="D6413" s="579"/>
      <c r="E6413" s="583"/>
      <c r="F6413" s="596"/>
      <c r="G6413" s="65">
        <v>0</v>
      </c>
      <c r="H6413" s="591" t="s">
        <v>280</v>
      </c>
      <c r="I6413" s="591" t="s">
        <v>280</v>
      </c>
    </row>
    <row r="6414" spans="1:9">
      <c r="A6414" s="577"/>
      <c r="B6414" s="65">
        <v>6612</v>
      </c>
      <c r="C6414" s="579" t="s">
        <v>281</v>
      </c>
      <c r="D6414" s="579"/>
      <c r="E6414" s="583"/>
      <c r="F6414" s="596"/>
      <c r="G6414" s="65">
        <v>0</v>
      </c>
      <c r="H6414" s="591" t="s">
        <v>280</v>
      </c>
      <c r="I6414" s="591" t="s">
        <v>280</v>
      </c>
    </row>
    <row r="6415" spans="1:9">
      <c r="A6415" s="577"/>
      <c r="B6415" s="65">
        <v>6613</v>
      </c>
      <c r="C6415" s="579" t="s">
        <v>281</v>
      </c>
      <c r="D6415" s="579"/>
      <c r="E6415" s="583"/>
      <c r="F6415" s="596"/>
      <c r="G6415" s="65">
        <v>0</v>
      </c>
      <c r="H6415" s="591" t="s">
        <v>280</v>
      </c>
      <c r="I6415" s="591" t="s">
        <v>280</v>
      </c>
    </row>
    <row r="6416" spans="1:9">
      <c r="A6416" s="577"/>
      <c r="B6416" s="65">
        <v>6614</v>
      </c>
      <c r="C6416" s="579" t="s">
        <v>281</v>
      </c>
      <c r="D6416" s="579"/>
      <c r="E6416" s="583"/>
      <c r="F6416" s="596"/>
      <c r="G6416" s="65">
        <v>0</v>
      </c>
      <c r="H6416" s="591" t="s">
        <v>280</v>
      </c>
      <c r="I6416" s="591" t="s">
        <v>280</v>
      </c>
    </row>
    <row r="6417" spans="1:9">
      <c r="A6417" s="577"/>
      <c r="B6417" s="65">
        <v>6615</v>
      </c>
      <c r="C6417" s="579" t="s">
        <v>281</v>
      </c>
      <c r="D6417" s="579"/>
      <c r="E6417" s="583"/>
      <c r="F6417" s="596"/>
      <c r="G6417" s="65">
        <v>0</v>
      </c>
      <c r="H6417" s="591" t="s">
        <v>280</v>
      </c>
      <c r="I6417" s="591" t="s">
        <v>280</v>
      </c>
    </row>
    <row r="6418" spans="1:9">
      <c r="A6418" s="577"/>
      <c r="B6418" s="65">
        <v>6616</v>
      </c>
      <c r="C6418" s="579" t="s">
        <v>281</v>
      </c>
      <c r="D6418" s="579"/>
      <c r="E6418" s="583"/>
      <c r="F6418" s="596"/>
      <c r="G6418" s="65">
        <v>0</v>
      </c>
      <c r="H6418" s="591" t="s">
        <v>280</v>
      </c>
      <c r="I6418" s="591" t="s">
        <v>280</v>
      </c>
    </row>
    <row r="6419" spans="1:9">
      <c r="A6419" s="577"/>
      <c r="B6419" s="65">
        <v>6617</v>
      </c>
      <c r="C6419" s="579" t="s">
        <v>281</v>
      </c>
      <c r="D6419" s="579"/>
      <c r="E6419" s="583"/>
      <c r="F6419" s="596"/>
      <c r="G6419" s="65">
        <v>0</v>
      </c>
      <c r="H6419" s="591" t="s">
        <v>280</v>
      </c>
      <c r="I6419" s="591" t="s">
        <v>280</v>
      </c>
    </row>
    <row r="6420" spans="1:9">
      <c r="A6420" s="577"/>
      <c r="B6420" s="65">
        <v>6618</v>
      </c>
      <c r="C6420" s="579" t="s">
        <v>281</v>
      </c>
      <c r="D6420" s="579"/>
      <c r="E6420" s="583"/>
      <c r="F6420" s="596"/>
      <c r="G6420" s="65">
        <v>0</v>
      </c>
      <c r="H6420" s="591" t="s">
        <v>280</v>
      </c>
      <c r="I6420" s="591" t="s">
        <v>280</v>
      </c>
    </row>
    <row r="6421" spans="1:9">
      <c r="A6421" s="577"/>
      <c r="B6421" s="65">
        <v>6619</v>
      </c>
      <c r="C6421" s="579" t="s">
        <v>281</v>
      </c>
      <c r="D6421" s="579"/>
      <c r="E6421" s="583"/>
      <c r="F6421" s="596"/>
      <c r="G6421" s="65">
        <v>0</v>
      </c>
      <c r="H6421" s="591" t="s">
        <v>280</v>
      </c>
      <c r="I6421" s="591" t="s">
        <v>280</v>
      </c>
    </row>
    <row r="6422" spans="1:9">
      <c r="A6422" s="577"/>
      <c r="B6422" s="65">
        <v>6620</v>
      </c>
      <c r="C6422" s="579" t="s">
        <v>281</v>
      </c>
      <c r="D6422" s="579"/>
      <c r="E6422" s="583"/>
      <c r="F6422" s="596"/>
      <c r="G6422" s="65">
        <v>0</v>
      </c>
      <c r="H6422" s="591" t="s">
        <v>280</v>
      </c>
      <c r="I6422" s="591" t="s">
        <v>280</v>
      </c>
    </row>
    <row r="6423" spans="1:9">
      <c r="A6423" s="577"/>
      <c r="B6423" s="65">
        <v>6621</v>
      </c>
      <c r="C6423" s="579" t="s">
        <v>281</v>
      </c>
      <c r="D6423" s="579"/>
      <c r="E6423" s="583"/>
      <c r="F6423" s="596"/>
      <c r="G6423" s="65">
        <v>0</v>
      </c>
      <c r="H6423" s="591" t="s">
        <v>280</v>
      </c>
      <c r="I6423" s="591" t="s">
        <v>280</v>
      </c>
    </row>
    <row r="6424" spans="1:9">
      <c r="A6424" s="577"/>
      <c r="B6424" s="65">
        <v>6622</v>
      </c>
      <c r="C6424" s="579" t="s">
        <v>281</v>
      </c>
      <c r="D6424" s="579"/>
      <c r="E6424" s="583"/>
      <c r="F6424" s="596"/>
      <c r="G6424" s="65">
        <v>0</v>
      </c>
      <c r="H6424" s="591" t="s">
        <v>280</v>
      </c>
      <c r="I6424" s="591" t="s">
        <v>280</v>
      </c>
    </row>
    <row r="6425" spans="1:9">
      <c r="A6425" s="577"/>
      <c r="B6425" s="65">
        <v>6623</v>
      </c>
      <c r="C6425" s="579" t="s">
        <v>281</v>
      </c>
      <c r="D6425" s="579"/>
      <c r="E6425" s="583"/>
      <c r="F6425" s="596"/>
      <c r="G6425" s="65">
        <v>0</v>
      </c>
      <c r="H6425" s="591" t="s">
        <v>280</v>
      </c>
      <c r="I6425" s="591" t="s">
        <v>280</v>
      </c>
    </row>
    <row r="6426" spans="1:9">
      <c r="A6426" s="577"/>
      <c r="B6426" s="65">
        <v>6624</v>
      </c>
      <c r="C6426" s="579" t="s">
        <v>281</v>
      </c>
      <c r="D6426" s="579"/>
      <c r="E6426" s="583"/>
      <c r="F6426" s="596"/>
      <c r="G6426" s="65">
        <v>0</v>
      </c>
      <c r="H6426" s="591" t="s">
        <v>280</v>
      </c>
      <c r="I6426" s="591" t="s">
        <v>280</v>
      </c>
    </row>
    <row r="6427" spans="1:9">
      <c r="A6427" s="577"/>
      <c r="B6427" s="65">
        <v>6625</v>
      </c>
      <c r="C6427" s="579" t="s">
        <v>281</v>
      </c>
      <c r="D6427" s="579"/>
      <c r="E6427" s="583"/>
      <c r="F6427" s="596"/>
      <c r="G6427" s="65">
        <v>0</v>
      </c>
      <c r="H6427" s="591" t="s">
        <v>280</v>
      </c>
      <c r="I6427" s="591" t="s">
        <v>280</v>
      </c>
    </row>
    <row r="6428" spans="1:9">
      <c r="A6428" s="577"/>
      <c r="B6428" s="65">
        <v>6626</v>
      </c>
      <c r="C6428" s="579" t="s">
        <v>281</v>
      </c>
      <c r="D6428" s="579"/>
      <c r="E6428" s="583"/>
      <c r="F6428" s="596"/>
      <c r="G6428" s="65">
        <v>0</v>
      </c>
      <c r="H6428" s="591" t="s">
        <v>280</v>
      </c>
      <c r="I6428" s="591" t="s">
        <v>280</v>
      </c>
    </row>
    <row r="6429" spans="1:9">
      <c r="A6429" s="577"/>
      <c r="B6429" s="65">
        <v>6627</v>
      </c>
      <c r="C6429" s="579" t="s">
        <v>281</v>
      </c>
      <c r="D6429" s="579"/>
      <c r="E6429" s="583"/>
      <c r="F6429" s="596"/>
      <c r="G6429" s="65">
        <v>0</v>
      </c>
      <c r="H6429" s="591" t="s">
        <v>280</v>
      </c>
      <c r="I6429" s="591" t="s">
        <v>280</v>
      </c>
    </row>
    <row r="6430" spans="1:9">
      <c r="A6430" s="577"/>
      <c r="B6430" s="65">
        <v>6628</v>
      </c>
      <c r="C6430" s="579" t="s">
        <v>281</v>
      </c>
      <c r="D6430" s="579"/>
      <c r="E6430" s="583"/>
      <c r="F6430" s="596"/>
      <c r="G6430" s="65">
        <v>0</v>
      </c>
      <c r="H6430" s="591" t="s">
        <v>280</v>
      </c>
      <c r="I6430" s="591" t="s">
        <v>280</v>
      </c>
    </row>
    <row r="6431" spans="1:9">
      <c r="A6431" s="577"/>
      <c r="B6431" s="65">
        <v>6629</v>
      </c>
      <c r="C6431" s="579" t="s">
        <v>281</v>
      </c>
      <c r="D6431" s="579"/>
      <c r="E6431" s="583"/>
      <c r="F6431" s="596"/>
      <c r="G6431" s="65">
        <v>0</v>
      </c>
      <c r="H6431" s="591" t="s">
        <v>280</v>
      </c>
      <c r="I6431" s="591" t="s">
        <v>280</v>
      </c>
    </row>
    <row r="6432" spans="1:9">
      <c r="A6432" s="577"/>
      <c r="B6432" s="65">
        <v>6630</v>
      </c>
      <c r="C6432" s="579" t="s">
        <v>281</v>
      </c>
      <c r="D6432" s="579"/>
      <c r="E6432" s="583"/>
      <c r="F6432" s="596"/>
      <c r="G6432" s="65">
        <v>0</v>
      </c>
      <c r="H6432" s="591" t="s">
        <v>280</v>
      </c>
      <c r="I6432" s="591" t="s">
        <v>280</v>
      </c>
    </row>
    <row r="6433" spans="1:9">
      <c r="A6433" s="577"/>
      <c r="B6433" s="65">
        <v>6631</v>
      </c>
      <c r="C6433" s="579" t="s">
        <v>281</v>
      </c>
      <c r="D6433" s="579"/>
      <c r="E6433" s="583"/>
      <c r="F6433" s="596"/>
      <c r="G6433" s="65">
        <v>0</v>
      </c>
      <c r="H6433" s="591" t="s">
        <v>280</v>
      </c>
      <c r="I6433" s="591" t="s">
        <v>280</v>
      </c>
    </row>
    <row r="6434" spans="1:9">
      <c r="A6434" s="577"/>
      <c r="B6434" s="65">
        <v>6632</v>
      </c>
      <c r="C6434" s="579" t="s">
        <v>281</v>
      </c>
      <c r="D6434" s="579"/>
      <c r="E6434" s="583"/>
      <c r="F6434" s="596"/>
      <c r="G6434" s="65">
        <v>0</v>
      </c>
      <c r="H6434" s="591" t="s">
        <v>280</v>
      </c>
      <c r="I6434" s="591" t="s">
        <v>280</v>
      </c>
    </row>
    <row r="6435" spans="1:9">
      <c r="A6435" s="577"/>
      <c r="B6435" s="65">
        <v>6633</v>
      </c>
      <c r="C6435" s="579" t="s">
        <v>281</v>
      </c>
      <c r="D6435" s="579"/>
      <c r="E6435" s="583"/>
      <c r="F6435" s="596"/>
      <c r="G6435" s="65">
        <v>0</v>
      </c>
      <c r="H6435" s="591" t="s">
        <v>280</v>
      </c>
      <c r="I6435" s="591" t="s">
        <v>280</v>
      </c>
    </row>
    <row r="6436" spans="1:9">
      <c r="A6436" s="577"/>
      <c r="B6436" s="65">
        <v>6634</v>
      </c>
      <c r="C6436" s="579" t="s">
        <v>281</v>
      </c>
      <c r="D6436" s="579"/>
      <c r="E6436" s="583"/>
      <c r="F6436" s="596"/>
      <c r="G6436" s="65">
        <v>0</v>
      </c>
      <c r="H6436" s="591" t="s">
        <v>280</v>
      </c>
      <c r="I6436" s="591" t="s">
        <v>280</v>
      </c>
    </row>
    <row r="6437" spans="1:9">
      <c r="A6437" s="577"/>
      <c r="B6437" s="65">
        <v>6635</v>
      </c>
      <c r="C6437" s="579" t="s">
        <v>281</v>
      </c>
      <c r="D6437" s="579"/>
      <c r="E6437" s="583"/>
      <c r="F6437" s="596"/>
      <c r="G6437" s="65">
        <v>0</v>
      </c>
      <c r="H6437" s="591" t="s">
        <v>280</v>
      </c>
      <c r="I6437" s="591" t="s">
        <v>280</v>
      </c>
    </row>
    <row r="6438" spans="1:9">
      <c r="A6438" s="577"/>
      <c r="B6438" s="65">
        <v>6636</v>
      </c>
      <c r="C6438" s="579" t="s">
        <v>281</v>
      </c>
      <c r="D6438" s="579"/>
      <c r="E6438" s="583"/>
      <c r="F6438" s="596"/>
      <c r="G6438" s="65">
        <v>0</v>
      </c>
      <c r="H6438" s="591" t="s">
        <v>280</v>
      </c>
      <c r="I6438" s="591" t="s">
        <v>280</v>
      </c>
    </row>
    <row r="6439" spans="1:9">
      <c r="A6439" s="577"/>
      <c r="B6439" s="65">
        <v>6637</v>
      </c>
      <c r="C6439" s="579" t="s">
        <v>281</v>
      </c>
      <c r="D6439" s="579"/>
      <c r="E6439" s="583"/>
      <c r="F6439" s="596"/>
      <c r="G6439" s="65">
        <v>0</v>
      </c>
      <c r="H6439" s="591" t="s">
        <v>280</v>
      </c>
      <c r="I6439" s="591" t="s">
        <v>280</v>
      </c>
    </row>
    <row r="6440" spans="1:9">
      <c r="A6440" s="577"/>
      <c r="B6440" s="65">
        <v>6638</v>
      </c>
      <c r="C6440" s="579" t="s">
        <v>281</v>
      </c>
      <c r="D6440" s="579"/>
      <c r="E6440" s="583"/>
      <c r="F6440" s="596"/>
      <c r="G6440" s="65">
        <v>0</v>
      </c>
      <c r="H6440" s="591" t="s">
        <v>280</v>
      </c>
      <c r="I6440" s="591" t="s">
        <v>280</v>
      </c>
    </row>
    <row r="6441" spans="1:9">
      <c r="A6441" s="577"/>
      <c r="B6441" s="65">
        <v>6639</v>
      </c>
      <c r="C6441" s="579" t="s">
        <v>281</v>
      </c>
      <c r="D6441" s="579"/>
      <c r="E6441" s="583"/>
      <c r="F6441" s="596"/>
      <c r="G6441" s="65">
        <v>0</v>
      </c>
      <c r="H6441" s="591" t="s">
        <v>280</v>
      </c>
      <c r="I6441" s="591" t="s">
        <v>280</v>
      </c>
    </row>
    <row r="6442" spans="1:9">
      <c r="A6442" s="577"/>
      <c r="B6442" s="65">
        <v>6640</v>
      </c>
      <c r="C6442" s="579" t="s">
        <v>281</v>
      </c>
      <c r="D6442" s="579"/>
      <c r="E6442" s="583"/>
      <c r="F6442" s="596"/>
      <c r="G6442" s="65">
        <v>0</v>
      </c>
      <c r="H6442" s="591" t="s">
        <v>280</v>
      </c>
      <c r="I6442" s="591" t="s">
        <v>280</v>
      </c>
    </row>
    <row r="6443" spans="1:9">
      <c r="A6443" s="577"/>
      <c r="B6443" s="65">
        <v>6641</v>
      </c>
      <c r="C6443" s="579" t="s">
        <v>281</v>
      </c>
      <c r="D6443" s="579"/>
      <c r="E6443" s="583"/>
      <c r="F6443" s="596"/>
      <c r="G6443" s="65">
        <v>0</v>
      </c>
      <c r="H6443" s="591" t="s">
        <v>280</v>
      </c>
      <c r="I6443" s="591" t="s">
        <v>280</v>
      </c>
    </row>
    <row r="6444" spans="1:9">
      <c r="A6444" s="577"/>
      <c r="B6444" s="65">
        <v>6642</v>
      </c>
      <c r="C6444" s="579" t="s">
        <v>281</v>
      </c>
      <c r="D6444" s="579"/>
      <c r="E6444" s="583"/>
      <c r="F6444" s="596"/>
      <c r="G6444" s="65">
        <v>0</v>
      </c>
      <c r="H6444" s="591" t="s">
        <v>280</v>
      </c>
      <c r="I6444" s="591" t="s">
        <v>280</v>
      </c>
    </row>
    <row r="6445" spans="1:9">
      <c r="A6445" s="577"/>
      <c r="B6445" s="65">
        <v>6643</v>
      </c>
      <c r="C6445" s="579" t="s">
        <v>281</v>
      </c>
      <c r="D6445" s="579"/>
      <c r="E6445" s="583"/>
      <c r="F6445" s="596"/>
      <c r="G6445" s="65">
        <v>0</v>
      </c>
      <c r="H6445" s="591" t="s">
        <v>280</v>
      </c>
      <c r="I6445" s="591" t="s">
        <v>280</v>
      </c>
    </row>
    <row r="6446" spans="1:9">
      <c r="A6446" s="577"/>
      <c r="B6446" s="65">
        <v>6644</v>
      </c>
      <c r="C6446" s="579" t="s">
        <v>281</v>
      </c>
      <c r="D6446" s="579"/>
      <c r="E6446" s="583"/>
      <c r="F6446" s="596"/>
      <c r="G6446" s="65">
        <v>0</v>
      </c>
      <c r="H6446" s="591" t="s">
        <v>280</v>
      </c>
      <c r="I6446" s="591" t="s">
        <v>280</v>
      </c>
    </row>
    <row r="6447" spans="1:9">
      <c r="A6447" s="577"/>
      <c r="B6447" s="65">
        <v>6645</v>
      </c>
      <c r="C6447" s="579" t="s">
        <v>281</v>
      </c>
      <c r="D6447" s="579"/>
      <c r="E6447" s="583"/>
      <c r="F6447" s="596"/>
      <c r="G6447" s="65">
        <v>0</v>
      </c>
      <c r="H6447" s="591" t="s">
        <v>280</v>
      </c>
      <c r="I6447" s="591" t="s">
        <v>280</v>
      </c>
    </row>
    <row r="6448" spans="1:9">
      <c r="A6448" s="577"/>
      <c r="B6448" s="65">
        <v>6646</v>
      </c>
      <c r="C6448" s="579" t="s">
        <v>281</v>
      </c>
      <c r="D6448" s="579"/>
      <c r="E6448" s="583"/>
      <c r="F6448" s="596"/>
      <c r="G6448" s="65">
        <v>0</v>
      </c>
      <c r="H6448" s="591" t="s">
        <v>280</v>
      </c>
      <c r="I6448" s="591" t="s">
        <v>280</v>
      </c>
    </row>
    <row r="6449" spans="1:9">
      <c r="A6449" s="577"/>
      <c r="B6449" s="65">
        <v>6647</v>
      </c>
      <c r="C6449" s="579" t="s">
        <v>281</v>
      </c>
      <c r="D6449" s="579"/>
      <c r="E6449" s="583"/>
      <c r="F6449" s="596"/>
      <c r="G6449" s="65">
        <v>0</v>
      </c>
      <c r="H6449" s="591" t="s">
        <v>280</v>
      </c>
      <c r="I6449" s="591" t="s">
        <v>280</v>
      </c>
    </row>
    <row r="6450" spans="1:9">
      <c r="A6450" s="577"/>
      <c r="B6450" s="65">
        <v>6648</v>
      </c>
      <c r="C6450" s="579" t="s">
        <v>281</v>
      </c>
      <c r="D6450" s="579"/>
      <c r="E6450" s="583"/>
      <c r="F6450" s="596"/>
      <c r="G6450" s="65">
        <v>0</v>
      </c>
      <c r="H6450" s="591" t="s">
        <v>280</v>
      </c>
      <c r="I6450" s="591" t="s">
        <v>280</v>
      </c>
    </row>
    <row r="6451" spans="1:9">
      <c r="A6451" s="577"/>
      <c r="B6451" s="65">
        <v>6649</v>
      </c>
      <c r="C6451" s="579" t="s">
        <v>281</v>
      </c>
      <c r="D6451" s="579"/>
      <c r="E6451" s="583"/>
      <c r="F6451" s="596"/>
      <c r="G6451" s="65">
        <v>0</v>
      </c>
      <c r="H6451" s="591" t="s">
        <v>280</v>
      </c>
      <c r="I6451" s="591" t="s">
        <v>280</v>
      </c>
    </row>
    <row r="6452" spans="1:9">
      <c r="A6452" s="577"/>
      <c r="B6452" s="65">
        <v>6650</v>
      </c>
      <c r="C6452" s="579" t="s">
        <v>281</v>
      </c>
      <c r="D6452" s="579"/>
      <c r="E6452" s="583"/>
      <c r="F6452" s="596"/>
      <c r="G6452" s="65">
        <v>0</v>
      </c>
      <c r="H6452" s="591" t="s">
        <v>280</v>
      </c>
      <c r="I6452" s="591" t="s">
        <v>280</v>
      </c>
    </row>
    <row r="6453" spans="1:9">
      <c r="A6453" s="577"/>
      <c r="B6453" s="65">
        <v>6651</v>
      </c>
      <c r="C6453" s="579" t="s">
        <v>281</v>
      </c>
      <c r="D6453" s="579"/>
      <c r="E6453" s="583"/>
      <c r="F6453" s="596"/>
      <c r="G6453" s="65">
        <v>0</v>
      </c>
      <c r="H6453" s="591" t="s">
        <v>280</v>
      </c>
      <c r="I6453" s="591" t="s">
        <v>280</v>
      </c>
    </row>
    <row r="6454" spans="1:9">
      <c r="A6454" s="577"/>
      <c r="B6454" s="65">
        <v>6652</v>
      </c>
      <c r="C6454" s="579" t="s">
        <v>281</v>
      </c>
      <c r="D6454" s="579"/>
      <c r="E6454" s="583"/>
      <c r="F6454" s="596"/>
      <c r="G6454" s="65">
        <v>0</v>
      </c>
      <c r="H6454" s="591" t="s">
        <v>280</v>
      </c>
      <c r="I6454" s="591" t="s">
        <v>280</v>
      </c>
    </row>
    <row r="6455" spans="1:9">
      <c r="A6455" s="577"/>
      <c r="B6455" s="65">
        <v>6653</v>
      </c>
      <c r="C6455" s="579" t="s">
        <v>281</v>
      </c>
      <c r="D6455" s="579"/>
      <c r="E6455" s="583"/>
      <c r="F6455" s="596"/>
      <c r="G6455" s="65">
        <v>0</v>
      </c>
      <c r="H6455" s="591" t="s">
        <v>280</v>
      </c>
      <c r="I6455" s="591" t="s">
        <v>280</v>
      </c>
    </row>
    <row r="6456" spans="1:9">
      <c r="A6456" s="577"/>
      <c r="B6456" s="65">
        <v>6654</v>
      </c>
      <c r="C6456" s="579" t="s">
        <v>281</v>
      </c>
      <c r="D6456" s="579"/>
      <c r="E6456" s="583"/>
      <c r="F6456" s="596"/>
      <c r="G6456" s="65">
        <v>0</v>
      </c>
      <c r="H6456" s="591" t="s">
        <v>280</v>
      </c>
      <c r="I6456" s="591" t="s">
        <v>280</v>
      </c>
    </row>
    <row r="6457" spans="1:9">
      <c r="A6457" s="577"/>
      <c r="B6457" s="65">
        <v>6655</v>
      </c>
      <c r="C6457" s="579" t="s">
        <v>281</v>
      </c>
      <c r="D6457" s="579"/>
      <c r="E6457" s="583"/>
      <c r="F6457" s="596"/>
      <c r="G6457" s="65">
        <v>0</v>
      </c>
      <c r="H6457" s="591" t="s">
        <v>280</v>
      </c>
      <c r="I6457" s="591" t="s">
        <v>280</v>
      </c>
    </row>
    <row r="6458" spans="1:9">
      <c r="A6458" s="577"/>
      <c r="B6458" s="65">
        <v>6656</v>
      </c>
      <c r="C6458" s="579" t="s">
        <v>281</v>
      </c>
      <c r="D6458" s="579"/>
      <c r="E6458" s="583"/>
      <c r="F6458" s="596"/>
      <c r="G6458" s="65">
        <v>0</v>
      </c>
      <c r="H6458" s="591" t="s">
        <v>280</v>
      </c>
      <c r="I6458" s="591" t="s">
        <v>280</v>
      </c>
    </row>
    <row r="6459" spans="1:9">
      <c r="A6459" s="577"/>
      <c r="B6459" s="65">
        <v>6657</v>
      </c>
      <c r="C6459" s="579" t="s">
        <v>281</v>
      </c>
      <c r="D6459" s="579"/>
      <c r="E6459" s="583"/>
      <c r="F6459" s="596"/>
      <c r="G6459" s="65">
        <v>0</v>
      </c>
      <c r="H6459" s="591" t="s">
        <v>280</v>
      </c>
      <c r="I6459" s="591" t="s">
        <v>280</v>
      </c>
    </row>
    <row r="6460" spans="1:9">
      <c r="A6460" s="577"/>
      <c r="B6460" s="65">
        <v>6658</v>
      </c>
      <c r="C6460" s="579" t="s">
        <v>281</v>
      </c>
      <c r="D6460" s="579"/>
      <c r="E6460" s="583"/>
      <c r="F6460" s="596"/>
      <c r="G6460" s="65">
        <v>0</v>
      </c>
      <c r="H6460" s="591" t="s">
        <v>280</v>
      </c>
      <c r="I6460" s="591" t="s">
        <v>280</v>
      </c>
    </row>
    <row r="6461" spans="1:9">
      <c r="A6461" s="577"/>
      <c r="B6461" s="65">
        <v>6659</v>
      </c>
      <c r="C6461" s="579" t="s">
        <v>281</v>
      </c>
      <c r="D6461" s="579"/>
      <c r="E6461" s="583"/>
      <c r="F6461" s="596"/>
      <c r="G6461" s="65">
        <v>0</v>
      </c>
      <c r="H6461" s="591" t="s">
        <v>280</v>
      </c>
      <c r="I6461" s="591" t="s">
        <v>280</v>
      </c>
    </row>
    <row r="6462" spans="1:9">
      <c r="A6462" s="577"/>
      <c r="B6462" s="65">
        <v>6660</v>
      </c>
      <c r="C6462" s="579" t="s">
        <v>281</v>
      </c>
      <c r="D6462" s="579"/>
      <c r="E6462" s="583"/>
      <c r="F6462" s="596"/>
      <c r="G6462" s="65">
        <v>0</v>
      </c>
      <c r="H6462" s="591" t="s">
        <v>280</v>
      </c>
      <c r="I6462" s="591" t="s">
        <v>280</v>
      </c>
    </row>
    <row r="6463" spans="1:9">
      <c r="A6463" s="577"/>
      <c r="B6463" s="65">
        <v>6661</v>
      </c>
      <c r="C6463" s="579" t="s">
        <v>281</v>
      </c>
      <c r="D6463" s="579"/>
      <c r="E6463" s="583"/>
      <c r="F6463" s="596"/>
      <c r="G6463" s="65">
        <v>0</v>
      </c>
      <c r="H6463" s="591" t="s">
        <v>280</v>
      </c>
      <c r="I6463" s="591" t="s">
        <v>280</v>
      </c>
    </row>
    <row r="6464" spans="1:9">
      <c r="A6464" s="577"/>
      <c r="B6464" s="65">
        <v>6662</v>
      </c>
      <c r="C6464" s="579" t="s">
        <v>281</v>
      </c>
      <c r="D6464" s="579"/>
      <c r="E6464" s="583"/>
      <c r="F6464" s="596"/>
      <c r="G6464" s="65">
        <v>0</v>
      </c>
      <c r="H6464" s="591" t="s">
        <v>280</v>
      </c>
      <c r="I6464" s="591" t="s">
        <v>280</v>
      </c>
    </row>
    <row r="6465" spans="1:9">
      <c r="A6465" s="577"/>
      <c r="B6465" s="65">
        <v>6663</v>
      </c>
      <c r="C6465" s="579" t="s">
        <v>281</v>
      </c>
      <c r="D6465" s="579"/>
      <c r="E6465" s="583"/>
      <c r="F6465" s="596"/>
      <c r="G6465" s="65">
        <v>0</v>
      </c>
      <c r="H6465" s="591" t="s">
        <v>280</v>
      </c>
      <c r="I6465" s="591" t="s">
        <v>280</v>
      </c>
    </row>
    <row r="6466" spans="1:9">
      <c r="A6466" s="577"/>
      <c r="B6466" s="65">
        <v>6664</v>
      </c>
      <c r="C6466" s="579" t="s">
        <v>281</v>
      </c>
      <c r="D6466" s="579"/>
      <c r="E6466" s="583"/>
      <c r="F6466" s="596"/>
      <c r="G6466" s="65">
        <v>0</v>
      </c>
      <c r="H6466" s="591" t="s">
        <v>280</v>
      </c>
      <c r="I6466" s="591" t="s">
        <v>280</v>
      </c>
    </row>
    <row r="6467" spans="1:9">
      <c r="A6467" s="577"/>
      <c r="B6467" s="65">
        <v>6665</v>
      </c>
      <c r="C6467" s="579" t="s">
        <v>281</v>
      </c>
      <c r="D6467" s="579"/>
      <c r="E6467" s="583"/>
      <c r="F6467" s="596"/>
      <c r="G6467" s="65">
        <v>0</v>
      </c>
      <c r="H6467" s="591" t="s">
        <v>280</v>
      </c>
      <c r="I6467" s="591" t="s">
        <v>280</v>
      </c>
    </row>
    <row r="6468" spans="1:9">
      <c r="A6468" s="577"/>
      <c r="B6468" s="65">
        <v>6666</v>
      </c>
      <c r="C6468" s="579" t="s">
        <v>281</v>
      </c>
      <c r="D6468" s="579"/>
      <c r="E6468" s="583"/>
      <c r="F6468" s="596"/>
      <c r="G6468" s="65">
        <v>0</v>
      </c>
      <c r="H6468" s="591" t="s">
        <v>280</v>
      </c>
      <c r="I6468" s="591" t="s">
        <v>280</v>
      </c>
    </row>
    <row r="6469" spans="1:9">
      <c r="A6469" s="577"/>
      <c r="B6469" s="65">
        <v>6667</v>
      </c>
      <c r="C6469" s="579" t="s">
        <v>281</v>
      </c>
      <c r="D6469" s="579"/>
      <c r="E6469" s="583"/>
      <c r="F6469" s="596"/>
      <c r="G6469" s="65">
        <v>0</v>
      </c>
      <c r="H6469" s="591" t="s">
        <v>280</v>
      </c>
      <c r="I6469" s="591" t="s">
        <v>280</v>
      </c>
    </row>
    <row r="6470" spans="1:9">
      <c r="A6470" s="577"/>
      <c r="B6470" s="65">
        <v>6668</v>
      </c>
      <c r="C6470" s="579" t="s">
        <v>281</v>
      </c>
      <c r="D6470" s="579"/>
      <c r="E6470" s="583"/>
      <c r="F6470" s="596"/>
      <c r="G6470" s="65">
        <v>0</v>
      </c>
      <c r="H6470" s="591" t="s">
        <v>280</v>
      </c>
      <c r="I6470" s="591" t="s">
        <v>280</v>
      </c>
    </row>
    <row r="6471" spans="1:9">
      <c r="A6471" s="577"/>
      <c r="B6471" s="65">
        <v>6669</v>
      </c>
      <c r="C6471" s="579" t="s">
        <v>281</v>
      </c>
      <c r="D6471" s="579"/>
      <c r="E6471" s="583"/>
      <c r="F6471" s="596"/>
      <c r="G6471" s="65">
        <v>0</v>
      </c>
      <c r="H6471" s="591" t="s">
        <v>280</v>
      </c>
      <c r="I6471" s="591" t="s">
        <v>280</v>
      </c>
    </row>
    <row r="6472" spans="1:9">
      <c r="A6472" s="577"/>
      <c r="B6472" s="65">
        <v>6670</v>
      </c>
      <c r="C6472" s="579" t="s">
        <v>281</v>
      </c>
      <c r="D6472" s="579"/>
      <c r="E6472" s="583"/>
      <c r="F6472" s="596"/>
      <c r="G6472" s="65">
        <v>0</v>
      </c>
      <c r="H6472" s="591" t="s">
        <v>280</v>
      </c>
      <c r="I6472" s="591" t="s">
        <v>280</v>
      </c>
    </row>
    <row r="6473" spans="1:9">
      <c r="A6473" s="577"/>
      <c r="B6473" s="65">
        <v>6671</v>
      </c>
      <c r="C6473" s="579" t="s">
        <v>281</v>
      </c>
      <c r="D6473" s="579"/>
      <c r="E6473" s="583"/>
      <c r="F6473" s="596"/>
      <c r="G6473" s="65">
        <v>0</v>
      </c>
      <c r="H6473" s="591" t="s">
        <v>280</v>
      </c>
      <c r="I6473" s="591" t="s">
        <v>280</v>
      </c>
    </row>
    <row r="6474" spans="1:9">
      <c r="A6474" s="577"/>
      <c r="B6474" s="65">
        <v>6672</v>
      </c>
      <c r="C6474" s="579" t="s">
        <v>281</v>
      </c>
      <c r="D6474" s="579"/>
      <c r="E6474" s="583"/>
      <c r="F6474" s="596"/>
      <c r="G6474" s="65">
        <v>0</v>
      </c>
      <c r="H6474" s="591" t="s">
        <v>280</v>
      </c>
      <c r="I6474" s="591" t="s">
        <v>280</v>
      </c>
    </row>
    <row r="6475" spans="1:9">
      <c r="A6475" s="577"/>
      <c r="B6475" s="65">
        <v>6673</v>
      </c>
      <c r="C6475" s="579" t="s">
        <v>281</v>
      </c>
      <c r="D6475" s="579"/>
      <c r="E6475" s="583"/>
      <c r="F6475" s="596"/>
      <c r="G6475" s="65">
        <v>0</v>
      </c>
      <c r="H6475" s="591" t="s">
        <v>280</v>
      </c>
      <c r="I6475" s="591" t="s">
        <v>280</v>
      </c>
    </row>
    <row r="6476" spans="1:9">
      <c r="A6476" s="577"/>
      <c r="B6476" s="65">
        <v>6674</v>
      </c>
      <c r="C6476" s="579" t="s">
        <v>281</v>
      </c>
      <c r="D6476" s="579"/>
      <c r="E6476" s="583"/>
      <c r="F6476" s="596"/>
      <c r="G6476" s="65">
        <v>0</v>
      </c>
      <c r="H6476" s="591" t="s">
        <v>280</v>
      </c>
      <c r="I6476" s="591" t="s">
        <v>280</v>
      </c>
    </row>
    <row r="6477" spans="1:9">
      <c r="A6477" s="577"/>
      <c r="B6477" s="65">
        <v>6675</v>
      </c>
      <c r="C6477" s="579" t="s">
        <v>281</v>
      </c>
      <c r="D6477" s="579"/>
      <c r="E6477" s="583"/>
      <c r="F6477" s="596"/>
      <c r="G6477" s="65">
        <v>0</v>
      </c>
      <c r="H6477" s="591" t="s">
        <v>280</v>
      </c>
      <c r="I6477" s="591" t="s">
        <v>280</v>
      </c>
    </row>
    <row r="6478" spans="1:9">
      <c r="A6478" s="577"/>
      <c r="B6478" s="65">
        <v>6676</v>
      </c>
      <c r="C6478" s="579" t="s">
        <v>281</v>
      </c>
      <c r="D6478" s="579"/>
      <c r="E6478" s="583"/>
      <c r="F6478" s="596"/>
      <c r="G6478" s="65">
        <v>0</v>
      </c>
      <c r="H6478" s="591" t="s">
        <v>280</v>
      </c>
      <c r="I6478" s="591" t="s">
        <v>280</v>
      </c>
    </row>
    <row r="6479" spans="1:9">
      <c r="A6479" s="577"/>
      <c r="B6479" s="65">
        <v>6677</v>
      </c>
      <c r="C6479" s="579" t="s">
        <v>281</v>
      </c>
      <c r="D6479" s="579"/>
      <c r="E6479" s="583"/>
      <c r="F6479" s="596"/>
      <c r="G6479" s="65">
        <v>0</v>
      </c>
      <c r="H6479" s="591" t="s">
        <v>280</v>
      </c>
      <c r="I6479" s="591" t="s">
        <v>280</v>
      </c>
    </row>
    <row r="6480" spans="1:9">
      <c r="A6480" s="577"/>
      <c r="B6480" s="65">
        <v>6678</v>
      </c>
      <c r="C6480" s="579" t="s">
        <v>281</v>
      </c>
      <c r="D6480" s="579"/>
      <c r="E6480" s="583"/>
      <c r="F6480" s="596"/>
      <c r="G6480" s="65">
        <v>0</v>
      </c>
      <c r="H6480" s="591" t="s">
        <v>280</v>
      </c>
      <c r="I6480" s="591" t="s">
        <v>280</v>
      </c>
    </row>
    <row r="6481" spans="1:9">
      <c r="A6481" s="577"/>
      <c r="B6481" s="65">
        <v>6679</v>
      </c>
      <c r="C6481" s="579" t="s">
        <v>281</v>
      </c>
      <c r="D6481" s="579"/>
      <c r="E6481" s="583"/>
      <c r="F6481" s="596"/>
      <c r="G6481" s="65">
        <v>0</v>
      </c>
      <c r="H6481" s="591" t="s">
        <v>280</v>
      </c>
      <c r="I6481" s="591" t="s">
        <v>280</v>
      </c>
    </row>
    <row r="6482" spans="1:9">
      <c r="A6482" s="577"/>
      <c r="B6482" s="65">
        <v>6680</v>
      </c>
      <c r="C6482" s="579" t="s">
        <v>281</v>
      </c>
      <c r="D6482" s="579"/>
      <c r="E6482" s="583"/>
      <c r="F6482" s="596"/>
      <c r="G6482" s="65">
        <v>0</v>
      </c>
      <c r="H6482" s="591" t="s">
        <v>280</v>
      </c>
      <c r="I6482" s="591" t="s">
        <v>280</v>
      </c>
    </row>
    <row r="6483" spans="1:9">
      <c r="A6483" s="577"/>
      <c r="B6483" s="65">
        <v>6681</v>
      </c>
      <c r="C6483" s="579" t="s">
        <v>281</v>
      </c>
      <c r="D6483" s="579"/>
      <c r="E6483" s="583"/>
      <c r="F6483" s="596"/>
      <c r="G6483" s="65">
        <v>0</v>
      </c>
      <c r="H6483" s="591" t="s">
        <v>280</v>
      </c>
      <c r="I6483" s="591" t="s">
        <v>280</v>
      </c>
    </row>
    <row r="6484" spans="1:9">
      <c r="A6484" s="577"/>
      <c r="B6484" s="65">
        <v>6682</v>
      </c>
      <c r="C6484" s="579" t="s">
        <v>281</v>
      </c>
      <c r="D6484" s="579"/>
      <c r="E6484" s="583"/>
      <c r="F6484" s="596"/>
      <c r="G6484" s="65">
        <v>0</v>
      </c>
      <c r="H6484" s="591" t="s">
        <v>280</v>
      </c>
      <c r="I6484" s="591" t="s">
        <v>280</v>
      </c>
    </row>
    <row r="6485" spans="1:9">
      <c r="A6485" s="577"/>
      <c r="B6485" s="65">
        <v>6683</v>
      </c>
      <c r="C6485" s="579" t="s">
        <v>281</v>
      </c>
      <c r="D6485" s="579"/>
      <c r="E6485" s="583"/>
      <c r="F6485" s="596"/>
      <c r="G6485" s="65">
        <v>0</v>
      </c>
      <c r="H6485" s="591" t="s">
        <v>280</v>
      </c>
      <c r="I6485" s="591" t="s">
        <v>280</v>
      </c>
    </row>
    <row r="6486" spans="1:9">
      <c r="A6486" s="577"/>
      <c r="B6486" s="65">
        <v>6684</v>
      </c>
      <c r="C6486" s="579" t="s">
        <v>281</v>
      </c>
      <c r="D6486" s="579"/>
      <c r="E6486" s="583"/>
      <c r="F6486" s="596"/>
      <c r="G6486" s="65">
        <v>0</v>
      </c>
      <c r="H6486" s="591" t="s">
        <v>280</v>
      </c>
      <c r="I6486" s="591" t="s">
        <v>280</v>
      </c>
    </row>
    <row r="6487" spans="1:9">
      <c r="A6487" s="577"/>
      <c r="B6487" s="65">
        <v>6685</v>
      </c>
      <c r="C6487" s="579" t="s">
        <v>281</v>
      </c>
      <c r="D6487" s="579"/>
      <c r="E6487" s="583"/>
      <c r="F6487" s="596"/>
      <c r="G6487" s="65">
        <v>0</v>
      </c>
      <c r="H6487" s="591" t="s">
        <v>280</v>
      </c>
      <c r="I6487" s="591" t="s">
        <v>280</v>
      </c>
    </row>
    <row r="6488" spans="1:9">
      <c r="A6488" s="577"/>
      <c r="B6488" s="65">
        <v>6686</v>
      </c>
      <c r="C6488" s="579" t="s">
        <v>281</v>
      </c>
      <c r="D6488" s="579"/>
      <c r="E6488" s="583"/>
      <c r="F6488" s="596"/>
      <c r="G6488" s="65">
        <v>0</v>
      </c>
      <c r="H6488" s="591" t="s">
        <v>280</v>
      </c>
      <c r="I6488" s="591" t="s">
        <v>280</v>
      </c>
    </row>
    <row r="6489" spans="1:9">
      <c r="A6489" s="577"/>
      <c r="B6489" s="65">
        <v>6687</v>
      </c>
      <c r="C6489" s="579" t="s">
        <v>281</v>
      </c>
      <c r="D6489" s="579"/>
      <c r="E6489" s="583"/>
      <c r="F6489" s="596"/>
      <c r="G6489" s="65">
        <v>0</v>
      </c>
      <c r="H6489" s="591" t="s">
        <v>280</v>
      </c>
      <c r="I6489" s="591" t="s">
        <v>280</v>
      </c>
    </row>
    <row r="6490" spans="1:9">
      <c r="A6490" s="577"/>
      <c r="B6490" s="65">
        <v>6688</v>
      </c>
      <c r="C6490" s="579" t="s">
        <v>281</v>
      </c>
      <c r="D6490" s="579"/>
      <c r="E6490" s="583"/>
      <c r="F6490" s="596"/>
      <c r="G6490" s="65">
        <v>0</v>
      </c>
      <c r="H6490" s="591" t="s">
        <v>280</v>
      </c>
      <c r="I6490" s="591" t="s">
        <v>280</v>
      </c>
    </row>
    <row r="6491" spans="1:9">
      <c r="A6491" s="577"/>
      <c r="B6491" s="65">
        <v>6689</v>
      </c>
      <c r="C6491" s="579" t="s">
        <v>281</v>
      </c>
      <c r="D6491" s="579"/>
      <c r="E6491" s="583"/>
      <c r="F6491" s="596"/>
      <c r="G6491" s="65">
        <v>0</v>
      </c>
      <c r="H6491" s="591" t="s">
        <v>280</v>
      </c>
      <c r="I6491" s="591" t="s">
        <v>280</v>
      </c>
    </row>
    <row r="6492" spans="1:9">
      <c r="A6492" s="577"/>
      <c r="B6492" s="65">
        <v>6690</v>
      </c>
      <c r="C6492" s="579" t="s">
        <v>281</v>
      </c>
      <c r="D6492" s="579"/>
      <c r="E6492" s="583"/>
      <c r="F6492" s="596"/>
      <c r="G6492" s="65">
        <v>0</v>
      </c>
      <c r="H6492" s="591" t="s">
        <v>280</v>
      </c>
      <c r="I6492" s="591" t="s">
        <v>280</v>
      </c>
    </row>
    <row r="6493" spans="1:9">
      <c r="A6493" s="577"/>
      <c r="B6493" s="65">
        <v>6691</v>
      </c>
      <c r="C6493" s="579" t="s">
        <v>281</v>
      </c>
      <c r="D6493" s="579"/>
      <c r="E6493" s="583"/>
      <c r="F6493" s="596"/>
      <c r="G6493" s="65">
        <v>0</v>
      </c>
      <c r="H6493" s="591" t="s">
        <v>280</v>
      </c>
      <c r="I6493" s="591" t="s">
        <v>280</v>
      </c>
    </row>
    <row r="6494" spans="1:9">
      <c r="A6494" s="577"/>
      <c r="B6494" s="65">
        <v>6692</v>
      </c>
      <c r="C6494" s="579" t="s">
        <v>281</v>
      </c>
      <c r="D6494" s="579"/>
      <c r="E6494" s="583"/>
      <c r="F6494" s="596"/>
      <c r="G6494" s="65">
        <v>0</v>
      </c>
      <c r="H6494" s="591" t="s">
        <v>280</v>
      </c>
      <c r="I6494" s="591" t="s">
        <v>280</v>
      </c>
    </row>
    <row r="6495" spans="1:9">
      <c r="A6495" s="577"/>
      <c r="B6495" s="65">
        <v>6693</v>
      </c>
      <c r="C6495" s="579" t="s">
        <v>281</v>
      </c>
      <c r="D6495" s="579"/>
      <c r="E6495" s="583"/>
      <c r="F6495" s="596"/>
      <c r="G6495" s="65">
        <v>0</v>
      </c>
      <c r="H6495" s="591" t="s">
        <v>280</v>
      </c>
      <c r="I6495" s="591" t="s">
        <v>280</v>
      </c>
    </row>
    <row r="6496" spans="1:9">
      <c r="A6496" s="577"/>
      <c r="B6496" s="65">
        <v>6694</v>
      </c>
      <c r="C6496" s="579" t="s">
        <v>281</v>
      </c>
      <c r="D6496" s="579"/>
      <c r="E6496" s="583"/>
      <c r="F6496" s="596"/>
      <c r="G6496" s="65">
        <v>0</v>
      </c>
      <c r="H6496" s="591" t="s">
        <v>280</v>
      </c>
      <c r="I6496" s="591" t="s">
        <v>280</v>
      </c>
    </row>
    <row r="6497" spans="1:9">
      <c r="A6497" s="577"/>
      <c r="B6497" s="65">
        <v>6695</v>
      </c>
      <c r="C6497" s="579" t="s">
        <v>281</v>
      </c>
      <c r="D6497" s="579"/>
      <c r="E6497" s="583"/>
      <c r="F6497" s="596"/>
      <c r="G6497" s="65">
        <v>0</v>
      </c>
      <c r="H6497" s="591" t="s">
        <v>280</v>
      </c>
      <c r="I6497" s="591" t="s">
        <v>280</v>
      </c>
    </row>
    <row r="6498" spans="1:9">
      <c r="A6498" s="577"/>
      <c r="B6498" s="65">
        <v>6696</v>
      </c>
      <c r="C6498" s="579" t="s">
        <v>281</v>
      </c>
      <c r="D6498" s="579"/>
      <c r="E6498" s="583"/>
      <c r="F6498" s="596"/>
      <c r="G6498" s="65">
        <v>0</v>
      </c>
      <c r="H6498" s="591" t="s">
        <v>280</v>
      </c>
      <c r="I6498" s="591" t="s">
        <v>280</v>
      </c>
    </row>
    <row r="6499" spans="1:9">
      <c r="A6499" s="577"/>
      <c r="B6499" s="65">
        <v>6697</v>
      </c>
      <c r="C6499" s="579" t="s">
        <v>281</v>
      </c>
      <c r="D6499" s="579"/>
      <c r="E6499" s="583"/>
      <c r="F6499" s="596"/>
      <c r="G6499" s="65">
        <v>0</v>
      </c>
      <c r="H6499" s="591" t="s">
        <v>280</v>
      </c>
      <c r="I6499" s="591" t="s">
        <v>280</v>
      </c>
    </row>
    <row r="6500" spans="1:9">
      <c r="A6500" s="577"/>
      <c r="B6500" s="65">
        <v>6698</v>
      </c>
      <c r="C6500" s="579" t="s">
        <v>281</v>
      </c>
      <c r="D6500" s="579"/>
      <c r="E6500" s="583"/>
      <c r="F6500" s="596"/>
      <c r="G6500" s="65">
        <v>0</v>
      </c>
      <c r="H6500" s="591" t="s">
        <v>280</v>
      </c>
      <c r="I6500" s="591" t="s">
        <v>280</v>
      </c>
    </row>
    <row r="6501" spans="1:9">
      <c r="A6501" s="577"/>
      <c r="B6501" s="65">
        <v>6699</v>
      </c>
      <c r="C6501" s="579" t="s">
        <v>281</v>
      </c>
      <c r="D6501" s="579"/>
      <c r="E6501" s="583"/>
      <c r="F6501" s="596"/>
      <c r="G6501" s="65">
        <v>0</v>
      </c>
      <c r="H6501" s="591" t="s">
        <v>280</v>
      </c>
      <c r="I6501" s="591" t="s">
        <v>280</v>
      </c>
    </row>
    <row r="6502" spans="1:9">
      <c r="A6502" s="577"/>
      <c r="B6502" s="65">
        <v>6700</v>
      </c>
      <c r="C6502" s="579" t="s">
        <v>281</v>
      </c>
      <c r="D6502" s="579"/>
      <c r="E6502" s="583"/>
      <c r="F6502" s="596"/>
      <c r="G6502" s="65">
        <v>0</v>
      </c>
      <c r="H6502" s="591" t="s">
        <v>280</v>
      </c>
      <c r="I6502" s="591" t="s">
        <v>280</v>
      </c>
    </row>
    <row r="6503" spans="1:9">
      <c r="A6503" s="577"/>
      <c r="B6503" s="65">
        <v>6701</v>
      </c>
      <c r="C6503" s="579" t="s">
        <v>281</v>
      </c>
      <c r="D6503" s="579"/>
      <c r="E6503" s="583"/>
      <c r="F6503" s="596"/>
      <c r="G6503" s="65">
        <v>0</v>
      </c>
      <c r="H6503" s="591" t="s">
        <v>280</v>
      </c>
      <c r="I6503" s="591" t="s">
        <v>280</v>
      </c>
    </row>
    <row r="6504" spans="1:9">
      <c r="A6504" s="577"/>
      <c r="B6504" s="65">
        <v>6702</v>
      </c>
      <c r="C6504" s="579" t="s">
        <v>281</v>
      </c>
      <c r="D6504" s="579"/>
      <c r="E6504" s="583"/>
      <c r="F6504" s="596"/>
      <c r="G6504" s="65">
        <v>0</v>
      </c>
      <c r="H6504" s="591" t="s">
        <v>280</v>
      </c>
      <c r="I6504" s="591" t="s">
        <v>280</v>
      </c>
    </row>
    <row r="6505" spans="1:9">
      <c r="A6505" s="577"/>
      <c r="B6505" s="65">
        <v>6703</v>
      </c>
      <c r="C6505" s="579" t="s">
        <v>281</v>
      </c>
      <c r="D6505" s="579"/>
      <c r="E6505" s="583"/>
      <c r="F6505" s="596"/>
      <c r="G6505" s="65">
        <v>0</v>
      </c>
      <c r="H6505" s="591" t="s">
        <v>280</v>
      </c>
      <c r="I6505" s="591" t="s">
        <v>280</v>
      </c>
    </row>
    <row r="6506" spans="1:9">
      <c r="A6506" s="577"/>
      <c r="B6506" s="65">
        <v>6704</v>
      </c>
      <c r="C6506" s="579" t="s">
        <v>281</v>
      </c>
      <c r="D6506" s="579"/>
      <c r="E6506" s="583"/>
      <c r="F6506" s="596"/>
      <c r="G6506" s="65">
        <v>0</v>
      </c>
      <c r="H6506" s="591" t="s">
        <v>280</v>
      </c>
      <c r="I6506" s="591" t="s">
        <v>280</v>
      </c>
    </row>
    <row r="6507" spans="1:9">
      <c r="A6507" s="577"/>
      <c r="B6507" s="65">
        <v>6705</v>
      </c>
      <c r="C6507" s="579" t="s">
        <v>281</v>
      </c>
      <c r="D6507" s="579"/>
      <c r="E6507" s="583"/>
      <c r="F6507" s="596"/>
      <c r="G6507" s="65">
        <v>0</v>
      </c>
      <c r="H6507" s="591" t="s">
        <v>280</v>
      </c>
      <c r="I6507" s="591" t="s">
        <v>280</v>
      </c>
    </row>
    <row r="6508" spans="1:9">
      <c r="A6508" s="577"/>
      <c r="B6508" s="65">
        <v>6706</v>
      </c>
      <c r="C6508" s="579" t="s">
        <v>281</v>
      </c>
      <c r="D6508" s="579"/>
      <c r="E6508" s="583"/>
      <c r="F6508" s="596"/>
      <c r="G6508" s="65">
        <v>0</v>
      </c>
      <c r="H6508" s="591" t="s">
        <v>280</v>
      </c>
      <c r="I6508" s="591" t="s">
        <v>280</v>
      </c>
    </row>
    <row r="6509" spans="1:9">
      <c r="A6509" s="577"/>
      <c r="B6509" s="65">
        <v>6707</v>
      </c>
      <c r="C6509" s="579" t="s">
        <v>281</v>
      </c>
      <c r="D6509" s="579"/>
      <c r="E6509" s="583"/>
      <c r="F6509" s="596"/>
      <c r="G6509" s="65">
        <v>0</v>
      </c>
      <c r="H6509" s="591" t="s">
        <v>280</v>
      </c>
      <c r="I6509" s="591" t="s">
        <v>280</v>
      </c>
    </row>
    <row r="6510" spans="1:9">
      <c r="A6510" s="577"/>
      <c r="B6510" s="65">
        <v>6708</v>
      </c>
      <c r="C6510" s="579" t="s">
        <v>281</v>
      </c>
      <c r="D6510" s="579"/>
      <c r="E6510" s="583"/>
      <c r="F6510" s="596"/>
      <c r="G6510" s="65">
        <v>0</v>
      </c>
      <c r="H6510" s="591" t="s">
        <v>280</v>
      </c>
      <c r="I6510" s="591" t="s">
        <v>280</v>
      </c>
    </row>
    <row r="6511" spans="1:9">
      <c r="A6511" s="577"/>
      <c r="B6511" s="65">
        <v>6709</v>
      </c>
      <c r="C6511" s="579" t="s">
        <v>281</v>
      </c>
      <c r="D6511" s="579"/>
      <c r="E6511" s="583"/>
      <c r="F6511" s="596"/>
      <c r="G6511" s="65">
        <v>0</v>
      </c>
      <c r="H6511" s="591" t="s">
        <v>280</v>
      </c>
      <c r="I6511" s="591" t="s">
        <v>280</v>
      </c>
    </row>
    <row r="6512" spans="1:9">
      <c r="A6512" s="577"/>
      <c r="B6512" s="65">
        <v>6710</v>
      </c>
      <c r="C6512" s="579" t="s">
        <v>281</v>
      </c>
      <c r="D6512" s="579"/>
      <c r="E6512" s="583"/>
      <c r="F6512" s="596"/>
      <c r="G6512" s="65">
        <v>0</v>
      </c>
      <c r="H6512" s="591" t="s">
        <v>280</v>
      </c>
      <c r="I6512" s="591" t="s">
        <v>280</v>
      </c>
    </row>
    <row r="6513" spans="1:9">
      <c r="A6513" s="577"/>
      <c r="B6513" s="65">
        <v>6711</v>
      </c>
      <c r="C6513" s="579" t="s">
        <v>281</v>
      </c>
      <c r="D6513" s="579"/>
      <c r="E6513" s="583"/>
      <c r="F6513" s="596"/>
      <c r="G6513" s="65">
        <v>0</v>
      </c>
      <c r="H6513" s="591" t="s">
        <v>280</v>
      </c>
      <c r="I6513" s="591" t="s">
        <v>280</v>
      </c>
    </row>
    <row r="6514" spans="1:9">
      <c r="A6514" s="577"/>
      <c r="B6514" s="65">
        <v>6712</v>
      </c>
      <c r="C6514" s="579" t="s">
        <v>281</v>
      </c>
      <c r="D6514" s="579"/>
      <c r="E6514" s="583"/>
      <c r="F6514" s="596"/>
      <c r="G6514" s="65">
        <v>0</v>
      </c>
      <c r="H6514" s="591" t="s">
        <v>280</v>
      </c>
      <c r="I6514" s="591" t="s">
        <v>280</v>
      </c>
    </row>
    <row r="6515" spans="1:9">
      <c r="A6515" s="577"/>
      <c r="B6515" s="65">
        <v>6713</v>
      </c>
      <c r="C6515" s="579" t="s">
        <v>281</v>
      </c>
      <c r="D6515" s="579"/>
      <c r="E6515" s="583"/>
      <c r="F6515" s="596"/>
      <c r="G6515" s="65">
        <v>0</v>
      </c>
      <c r="H6515" s="591" t="s">
        <v>280</v>
      </c>
      <c r="I6515" s="591" t="s">
        <v>280</v>
      </c>
    </row>
    <row r="6516" spans="1:9">
      <c r="A6516" s="577"/>
      <c r="B6516" s="65">
        <v>6714</v>
      </c>
      <c r="C6516" s="579" t="s">
        <v>281</v>
      </c>
      <c r="D6516" s="579"/>
      <c r="E6516" s="583"/>
      <c r="F6516" s="596"/>
      <c r="G6516" s="65">
        <v>0</v>
      </c>
      <c r="H6516" s="591" t="s">
        <v>280</v>
      </c>
      <c r="I6516" s="591" t="s">
        <v>280</v>
      </c>
    </row>
    <row r="6517" spans="1:9">
      <c r="A6517" s="577"/>
      <c r="B6517" s="65">
        <v>6715</v>
      </c>
      <c r="C6517" s="579" t="s">
        <v>281</v>
      </c>
      <c r="D6517" s="579"/>
      <c r="E6517" s="583"/>
      <c r="F6517" s="596"/>
      <c r="G6517" s="65">
        <v>0</v>
      </c>
      <c r="H6517" s="591" t="s">
        <v>280</v>
      </c>
      <c r="I6517" s="591" t="s">
        <v>280</v>
      </c>
    </row>
    <row r="6518" spans="1:9">
      <c r="A6518" s="577"/>
      <c r="B6518" s="65">
        <v>6716</v>
      </c>
      <c r="C6518" s="579" t="s">
        <v>281</v>
      </c>
      <c r="D6518" s="579"/>
      <c r="E6518" s="583"/>
      <c r="F6518" s="596"/>
      <c r="G6518" s="65">
        <v>0</v>
      </c>
      <c r="H6518" s="591" t="s">
        <v>280</v>
      </c>
      <c r="I6518" s="591" t="s">
        <v>280</v>
      </c>
    </row>
    <row r="6519" spans="1:9">
      <c r="A6519" s="577"/>
      <c r="B6519" s="65">
        <v>6717</v>
      </c>
      <c r="C6519" s="579" t="s">
        <v>281</v>
      </c>
      <c r="D6519" s="579"/>
      <c r="E6519" s="583"/>
      <c r="F6519" s="596"/>
      <c r="G6519" s="65">
        <v>0</v>
      </c>
      <c r="H6519" s="591" t="s">
        <v>280</v>
      </c>
      <c r="I6519" s="591" t="s">
        <v>280</v>
      </c>
    </row>
    <row r="6520" spans="1:9">
      <c r="A6520" s="577"/>
      <c r="B6520" s="65">
        <v>6718</v>
      </c>
      <c r="C6520" s="579" t="s">
        <v>281</v>
      </c>
      <c r="D6520" s="579"/>
      <c r="E6520" s="583"/>
      <c r="F6520" s="596"/>
      <c r="G6520" s="65">
        <v>0</v>
      </c>
      <c r="H6520" s="591" t="s">
        <v>280</v>
      </c>
      <c r="I6520" s="591" t="s">
        <v>280</v>
      </c>
    </row>
    <row r="6521" spans="1:9">
      <c r="A6521" s="577"/>
      <c r="B6521" s="65">
        <v>6719</v>
      </c>
      <c r="C6521" s="579" t="s">
        <v>281</v>
      </c>
      <c r="D6521" s="579"/>
      <c r="E6521" s="583"/>
      <c r="F6521" s="596"/>
      <c r="G6521" s="65">
        <v>0</v>
      </c>
      <c r="H6521" s="591" t="s">
        <v>280</v>
      </c>
      <c r="I6521" s="591" t="s">
        <v>280</v>
      </c>
    </row>
    <row r="6522" spans="1:9">
      <c r="A6522" s="577"/>
      <c r="B6522" s="65">
        <v>6720</v>
      </c>
      <c r="C6522" s="579" t="s">
        <v>281</v>
      </c>
      <c r="D6522" s="579"/>
      <c r="E6522" s="583"/>
      <c r="F6522" s="596"/>
      <c r="G6522" s="65">
        <v>0</v>
      </c>
      <c r="H6522" s="591" t="s">
        <v>280</v>
      </c>
      <c r="I6522" s="591" t="s">
        <v>280</v>
      </c>
    </row>
    <row r="6523" spans="1:9">
      <c r="A6523" s="577"/>
      <c r="B6523" s="65">
        <v>6721</v>
      </c>
      <c r="C6523" s="579" t="s">
        <v>281</v>
      </c>
      <c r="D6523" s="579"/>
      <c r="E6523" s="583"/>
      <c r="F6523" s="596"/>
      <c r="G6523" s="65">
        <v>0</v>
      </c>
      <c r="H6523" s="591" t="s">
        <v>280</v>
      </c>
      <c r="I6523" s="591" t="s">
        <v>280</v>
      </c>
    </row>
    <row r="6524" spans="1:9">
      <c r="A6524" s="577"/>
      <c r="B6524" s="65">
        <v>6722</v>
      </c>
      <c r="C6524" s="579" t="s">
        <v>281</v>
      </c>
      <c r="D6524" s="579"/>
      <c r="E6524" s="583"/>
      <c r="F6524" s="596"/>
      <c r="G6524" s="65">
        <v>0</v>
      </c>
      <c r="H6524" s="591" t="s">
        <v>280</v>
      </c>
      <c r="I6524" s="591" t="s">
        <v>280</v>
      </c>
    </row>
    <row r="6525" spans="1:9">
      <c r="A6525" s="577"/>
      <c r="B6525" s="65">
        <v>6723</v>
      </c>
      <c r="C6525" s="579" t="s">
        <v>281</v>
      </c>
      <c r="D6525" s="579"/>
      <c r="E6525" s="583"/>
      <c r="F6525" s="596"/>
      <c r="G6525" s="65">
        <v>0</v>
      </c>
      <c r="H6525" s="591" t="s">
        <v>280</v>
      </c>
      <c r="I6525" s="591" t="s">
        <v>280</v>
      </c>
    </row>
    <row r="6526" spans="1:9">
      <c r="A6526" s="577"/>
      <c r="B6526" s="65">
        <v>6724</v>
      </c>
      <c r="C6526" s="579" t="s">
        <v>281</v>
      </c>
      <c r="D6526" s="579"/>
      <c r="E6526" s="583"/>
      <c r="F6526" s="596"/>
      <c r="G6526" s="65">
        <v>0</v>
      </c>
      <c r="H6526" s="591" t="s">
        <v>280</v>
      </c>
      <c r="I6526" s="591" t="s">
        <v>280</v>
      </c>
    </row>
    <row r="6527" spans="1:9">
      <c r="A6527" s="577"/>
      <c r="B6527" s="65">
        <v>6725</v>
      </c>
      <c r="C6527" s="579" t="s">
        <v>281</v>
      </c>
      <c r="D6527" s="579"/>
      <c r="E6527" s="583"/>
      <c r="F6527" s="596"/>
      <c r="G6527" s="65">
        <v>0</v>
      </c>
      <c r="H6527" s="591" t="s">
        <v>280</v>
      </c>
      <c r="I6527" s="591" t="s">
        <v>280</v>
      </c>
    </row>
    <row r="6528" spans="1:9">
      <c r="A6528" s="577"/>
      <c r="B6528" s="65">
        <v>6726</v>
      </c>
      <c r="C6528" s="579" t="s">
        <v>281</v>
      </c>
      <c r="D6528" s="579"/>
      <c r="E6528" s="583"/>
      <c r="F6528" s="596"/>
      <c r="G6528" s="65">
        <v>0</v>
      </c>
      <c r="H6528" s="591" t="s">
        <v>280</v>
      </c>
      <c r="I6528" s="591" t="s">
        <v>280</v>
      </c>
    </row>
    <row r="6529" spans="1:9">
      <c r="A6529" s="577"/>
      <c r="B6529" s="65">
        <v>6727</v>
      </c>
      <c r="C6529" s="579" t="s">
        <v>281</v>
      </c>
      <c r="D6529" s="579"/>
      <c r="E6529" s="583"/>
      <c r="F6529" s="596"/>
      <c r="G6529" s="65">
        <v>0</v>
      </c>
      <c r="H6529" s="591" t="s">
        <v>280</v>
      </c>
      <c r="I6529" s="591" t="s">
        <v>280</v>
      </c>
    </row>
    <row r="6530" spans="1:9">
      <c r="A6530" s="577"/>
      <c r="B6530" s="65">
        <v>6728</v>
      </c>
      <c r="C6530" s="579" t="s">
        <v>281</v>
      </c>
      <c r="D6530" s="579"/>
      <c r="E6530" s="583"/>
      <c r="F6530" s="596"/>
      <c r="G6530" s="65">
        <v>0</v>
      </c>
      <c r="H6530" s="591" t="s">
        <v>280</v>
      </c>
      <c r="I6530" s="591" t="s">
        <v>280</v>
      </c>
    </row>
    <row r="6531" spans="1:9">
      <c r="A6531" s="577"/>
      <c r="B6531" s="65">
        <v>6729</v>
      </c>
      <c r="C6531" s="579" t="s">
        <v>281</v>
      </c>
      <c r="D6531" s="579"/>
      <c r="E6531" s="583"/>
      <c r="F6531" s="596"/>
      <c r="G6531" s="65">
        <v>0</v>
      </c>
      <c r="H6531" s="591" t="s">
        <v>280</v>
      </c>
      <c r="I6531" s="591" t="s">
        <v>280</v>
      </c>
    </row>
    <row r="6532" spans="1:9">
      <c r="A6532" s="577"/>
      <c r="B6532" s="65">
        <v>6730</v>
      </c>
      <c r="C6532" s="579" t="s">
        <v>281</v>
      </c>
      <c r="D6532" s="579"/>
      <c r="E6532" s="583"/>
      <c r="F6532" s="596"/>
      <c r="G6532" s="65">
        <v>0</v>
      </c>
      <c r="H6532" s="591" t="s">
        <v>280</v>
      </c>
      <c r="I6532" s="591" t="s">
        <v>280</v>
      </c>
    </row>
    <row r="6533" spans="1:9">
      <c r="A6533" s="577"/>
      <c r="B6533" s="65">
        <v>6731</v>
      </c>
      <c r="C6533" s="579" t="s">
        <v>281</v>
      </c>
      <c r="D6533" s="579"/>
      <c r="E6533" s="583"/>
      <c r="F6533" s="596"/>
      <c r="G6533" s="65">
        <v>0</v>
      </c>
      <c r="H6533" s="591" t="s">
        <v>280</v>
      </c>
      <c r="I6533" s="591" t="s">
        <v>280</v>
      </c>
    </row>
    <row r="6534" spans="1:9">
      <c r="A6534" s="577"/>
      <c r="B6534" s="65">
        <v>6732</v>
      </c>
      <c r="C6534" s="579" t="s">
        <v>281</v>
      </c>
      <c r="D6534" s="579"/>
      <c r="E6534" s="583"/>
      <c r="F6534" s="596"/>
      <c r="G6534" s="65">
        <v>0</v>
      </c>
      <c r="H6534" s="591" t="s">
        <v>280</v>
      </c>
      <c r="I6534" s="591" t="s">
        <v>280</v>
      </c>
    </row>
    <row r="6535" spans="1:9">
      <c r="A6535" s="577"/>
      <c r="B6535" s="65">
        <v>6733</v>
      </c>
      <c r="C6535" s="579" t="s">
        <v>281</v>
      </c>
      <c r="D6535" s="579"/>
      <c r="E6535" s="583"/>
      <c r="F6535" s="596"/>
      <c r="G6535" s="65">
        <v>0</v>
      </c>
      <c r="H6535" s="591" t="s">
        <v>280</v>
      </c>
      <c r="I6535" s="591" t="s">
        <v>280</v>
      </c>
    </row>
    <row r="6536" spans="1:9">
      <c r="A6536" s="577"/>
      <c r="B6536" s="65">
        <v>6734</v>
      </c>
      <c r="C6536" s="579" t="s">
        <v>281</v>
      </c>
      <c r="D6536" s="579"/>
      <c r="E6536" s="583"/>
      <c r="F6536" s="596"/>
      <c r="G6536" s="65">
        <v>0</v>
      </c>
      <c r="H6536" s="591" t="s">
        <v>280</v>
      </c>
      <c r="I6536" s="591" t="s">
        <v>280</v>
      </c>
    </row>
    <row r="6537" spans="1:9">
      <c r="A6537" s="577"/>
      <c r="B6537" s="65">
        <v>6735</v>
      </c>
      <c r="C6537" s="579" t="s">
        <v>281</v>
      </c>
      <c r="D6537" s="579"/>
      <c r="E6537" s="583"/>
      <c r="F6537" s="596"/>
      <c r="G6537" s="65">
        <v>0</v>
      </c>
      <c r="H6537" s="591" t="s">
        <v>280</v>
      </c>
      <c r="I6537" s="591" t="s">
        <v>280</v>
      </c>
    </row>
    <row r="6538" spans="1:9">
      <c r="A6538" s="577"/>
      <c r="B6538" s="65">
        <v>6736</v>
      </c>
      <c r="C6538" s="579" t="s">
        <v>281</v>
      </c>
      <c r="D6538" s="579"/>
      <c r="E6538" s="583"/>
      <c r="F6538" s="596"/>
      <c r="G6538" s="65">
        <v>0</v>
      </c>
      <c r="H6538" s="591" t="s">
        <v>280</v>
      </c>
      <c r="I6538" s="591" t="s">
        <v>280</v>
      </c>
    </row>
    <row r="6539" spans="1:9">
      <c r="A6539" s="577"/>
      <c r="B6539" s="65">
        <v>6737</v>
      </c>
      <c r="C6539" s="579" t="s">
        <v>281</v>
      </c>
      <c r="D6539" s="579"/>
      <c r="E6539" s="583"/>
      <c r="F6539" s="596"/>
      <c r="G6539" s="65">
        <v>0</v>
      </c>
      <c r="H6539" s="591" t="s">
        <v>280</v>
      </c>
      <c r="I6539" s="591" t="s">
        <v>280</v>
      </c>
    </row>
    <row r="6540" spans="1:9">
      <c r="A6540" s="577"/>
      <c r="B6540" s="65">
        <v>6738</v>
      </c>
      <c r="C6540" s="579" t="s">
        <v>281</v>
      </c>
      <c r="D6540" s="579"/>
      <c r="E6540" s="583"/>
      <c r="F6540" s="596"/>
      <c r="G6540" s="65">
        <v>0</v>
      </c>
      <c r="H6540" s="591" t="s">
        <v>280</v>
      </c>
      <c r="I6540" s="591" t="s">
        <v>280</v>
      </c>
    </row>
    <row r="6541" spans="1:9">
      <c r="A6541" s="577"/>
      <c r="B6541" s="65">
        <v>6739</v>
      </c>
      <c r="C6541" s="579" t="s">
        <v>281</v>
      </c>
      <c r="D6541" s="579"/>
      <c r="E6541" s="583"/>
      <c r="F6541" s="596"/>
      <c r="G6541" s="65">
        <v>0</v>
      </c>
      <c r="H6541" s="591" t="s">
        <v>280</v>
      </c>
      <c r="I6541" s="591" t="s">
        <v>280</v>
      </c>
    </row>
    <row r="6542" spans="1:9">
      <c r="A6542" s="577"/>
      <c r="B6542" s="65">
        <v>6740</v>
      </c>
      <c r="C6542" s="579" t="s">
        <v>281</v>
      </c>
      <c r="D6542" s="579"/>
      <c r="E6542" s="583"/>
      <c r="F6542" s="596"/>
      <c r="G6542" s="65">
        <v>0</v>
      </c>
      <c r="H6542" s="591" t="s">
        <v>280</v>
      </c>
      <c r="I6542" s="591" t="s">
        <v>280</v>
      </c>
    </row>
    <row r="6543" spans="1:9">
      <c r="A6543" s="577"/>
      <c r="B6543" s="65">
        <v>6741</v>
      </c>
      <c r="C6543" s="579" t="s">
        <v>281</v>
      </c>
      <c r="D6543" s="579"/>
      <c r="E6543" s="583"/>
      <c r="F6543" s="596"/>
      <c r="G6543" s="65">
        <v>0</v>
      </c>
      <c r="H6543" s="591" t="s">
        <v>280</v>
      </c>
      <c r="I6543" s="591" t="s">
        <v>280</v>
      </c>
    </row>
    <row r="6544" spans="1:9">
      <c r="A6544" s="577"/>
      <c r="B6544" s="65">
        <v>6742</v>
      </c>
      <c r="C6544" s="579" t="s">
        <v>281</v>
      </c>
      <c r="D6544" s="579"/>
      <c r="E6544" s="583"/>
      <c r="F6544" s="596"/>
      <c r="G6544" s="65">
        <v>0</v>
      </c>
      <c r="H6544" s="591" t="s">
        <v>280</v>
      </c>
      <c r="I6544" s="591" t="s">
        <v>280</v>
      </c>
    </row>
    <row r="6545" spans="1:9">
      <c r="A6545" s="577"/>
      <c r="B6545" s="65">
        <v>6743</v>
      </c>
      <c r="C6545" s="579" t="s">
        <v>281</v>
      </c>
      <c r="D6545" s="579"/>
      <c r="E6545" s="583"/>
      <c r="F6545" s="596"/>
      <c r="G6545" s="65">
        <v>0</v>
      </c>
      <c r="H6545" s="591" t="s">
        <v>280</v>
      </c>
      <c r="I6545" s="591" t="s">
        <v>280</v>
      </c>
    </row>
    <row r="6546" spans="1:9">
      <c r="A6546" s="577"/>
      <c r="B6546" s="65">
        <v>6744</v>
      </c>
      <c r="C6546" s="579" t="s">
        <v>281</v>
      </c>
      <c r="D6546" s="579"/>
      <c r="E6546" s="583"/>
      <c r="F6546" s="596"/>
      <c r="G6546" s="65">
        <v>0</v>
      </c>
      <c r="H6546" s="591" t="s">
        <v>280</v>
      </c>
      <c r="I6546" s="591" t="s">
        <v>280</v>
      </c>
    </row>
    <row r="6547" spans="1:9">
      <c r="A6547" s="577"/>
      <c r="B6547" s="65">
        <v>6745</v>
      </c>
      <c r="C6547" s="579" t="s">
        <v>281</v>
      </c>
      <c r="D6547" s="579"/>
      <c r="E6547" s="583"/>
      <c r="F6547" s="596"/>
      <c r="G6547" s="65">
        <v>0</v>
      </c>
      <c r="H6547" s="591" t="s">
        <v>280</v>
      </c>
      <c r="I6547" s="591" t="s">
        <v>280</v>
      </c>
    </row>
    <row r="6548" spans="1:9">
      <c r="A6548" s="577"/>
      <c r="B6548" s="65">
        <v>6746</v>
      </c>
      <c r="C6548" s="579" t="s">
        <v>281</v>
      </c>
      <c r="D6548" s="579"/>
      <c r="E6548" s="583"/>
      <c r="F6548" s="596"/>
      <c r="G6548" s="65">
        <v>0</v>
      </c>
      <c r="H6548" s="591" t="s">
        <v>280</v>
      </c>
      <c r="I6548" s="591" t="s">
        <v>280</v>
      </c>
    </row>
    <row r="6549" spans="1:9">
      <c r="A6549" s="577"/>
      <c r="B6549" s="65">
        <v>6747</v>
      </c>
      <c r="C6549" s="579" t="s">
        <v>281</v>
      </c>
      <c r="D6549" s="579"/>
      <c r="E6549" s="583"/>
      <c r="F6549" s="596"/>
      <c r="G6549" s="65">
        <v>0</v>
      </c>
      <c r="H6549" s="591" t="s">
        <v>280</v>
      </c>
      <c r="I6549" s="591" t="s">
        <v>280</v>
      </c>
    </row>
    <row r="6550" spans="1:9">
      <c r="A6550" s="577"/>
      <c r="B6550" s="65">
        <v>6748</v>
      </c>
      <c r="C6550" s="579" t="s">
        <v>281</v>
      </c>
      <c r="D6550" s="579"/>
      <c r="E6550" s="583"/>
      <c r="F6550" s="596"/>
      <c r="G6550" s="65">
        <v>0</v>
      </c>
      <c r="H6550" s="591" t="s">
        <v>280</v>
      </c>
      <c r="I6550" s="591" t="s">
        <v>280</v>
      </c>
    </row>
    <row r="6551" spans="1:9">
      <c r="A6551" s="577"/>
      <c r="B6551" s="65">
        <v>6749</v>
      </c>
      <c r="C6551" s="579" t="s">
        <v>281</v>
      </c>
      <c r="D6551" s="579"/>
      <c r="E6551" s="583"/>
      <c r="F6551" s="596"/>
      <c r="G6551" s="65">
        <v>0</v>
      </c>
      <c r="H6551" s="591" t="s">
        <v>280</v>
      </c>
      <c r="I6551" s="591" t="s">
        <v>280</v>
      </c>
    </row>
    <row r="6552" spans="1:9">
      <c r="A6552" s="577"/>
      <c r="B6552" s="65">
        <v>6750</v>
      </c>
      <c r="C6552" s="579" t="s">
        <v>281</v>
      </c>
      <c r="D6552" s="579"/>
      <c r="E6552" s="583"/>
      <c r="F6552" s="596"/>
      <c r="G6552" s="65">
        <v>0</v>
      </c>
      <c r="H6552" s="591" t="s">
        <v>280</v>
      </c>
      <c r="I6552" s="591" t="s">
        <v>280</v>
      </c>
    </row>
    <row r="6553" spans="1:9">
      <c r="A6553" s="577"/>
      <c r="B6553" s="65">
        <v>6751</v>
      </c>
      <c r="C6553" s="579" t="s">
        <v>281</v>
      </c>
      <c r="D6553" s="579"/>
      <c r="E6553" s="583"/>
      <c r="F6553" s="596"/>
      <c r="G6553" s="65">
        <v>0</v>
      </c>
      <c r="H6553" s="591" t="s">
        <v>280</v>
      </c>
      <c r="I6553" s="591" t="s">
        <v>280</v>
      </c>
    </row>
    <row r="6554" spans="1:9">
      <c r="A6554" s="577"/>
      <c r="B6554" s="65">
        <v>6752</v>
      </c>
      <c r="C6554" s="579" t="s">
        <v>281</v>
      </c>
      <c r="D6554" s="579"/>
      <c r="E6554" s="583"/>
      <c r="F6554" s="596"/>
      <c r="G6554" s="65">
        <v>0</v>
      </c>
      <c r="H6554" s="591" t="s">
        <v>280</v>
      </c>
      <c r="I6554" s="591" t="s">
        <v>280</v>
      </c>
    </row>
    <row r="6555" spans="1:9">
      <c r="A6555" s="577"/>
      <c r="B6555" s="65">
        <v>6753</v>
      </c>
      <c r="C6555" s="579" t="s">
        <v>281</v>
      </c>
      <c r="D6555" s="579"/>
      <c r="E6555" s="583"/>
      <c r="F6555" s="596"/>
      <c r="G6555" s="65">
        <v>0</v>
      </c>
      <c r="H6555" s="591" t="s">
        <v>280</v>
      </c>
      <c r="I6555" s="591" t="s">
        <v>280</v>
      </c>
    </row>
    <row r="6556" spans="1:9">
      <c r="A6556" s="577"/>
      <c r="B6556" s="65">
        <v>6754</v>
      </c>
      <c r="C6556" s="579" t="s">
        <v>281</v>
      </c>
      <c r="D6556" s="579"/>
      <c r="E6556" s="583"/>
      <c r="F6556" s="596"/>
      <c r="G6556" s="65">
        <v>0</v>
      </c>
      <c r="H6556" s="591" t="s">
        <v>280</v>
      </c>
      <c r="I6556" s="591" t="s">
        <v>280</v>
      </c>
    </row>
    <row r="6557" spans="1:9">
      <c r="A6557" s="577"/>
      <c r="B6557" s="65">
        <v>6755</v>
      </c>
      <c r="C6557" s="579" t="s">
        <v>281</v>
      </c>
      <c r="D6557" s="579"/>
      <c r="E6557" s="583"/>
      <c r="F6557" s="596"/>
      <c r="G6557" s="65">
        <v>0</v>
      </c>
      <c r="H6557" s="591" t="s">
        <v>280</v>
      </c>
      <c r="I6557" s="591" t="s">
        <v>280</v>
      </c>
    </row>
    <row r="6558" spans="1:9">
      <c r="A6558" s="577"/>
      <c r="B6558" s="65">
        <v>6756</v>
      </c>
      <c r="C6558" s="579" t="s">
        <v>281</v>
      </c>
      <c r="D6558" s="579"/>
      <c r="E6558" s="583"/>
      <c r="F6558" s="596"/>
      <c r="G6558" s="65">
        <v>0</v>
      </c>
      <c r="H6558" s="591" t="s">
        <v>280</v>
      </c>
      <c r="I6558" s="591" t="s">
        <v>280</v>
      </c>
    </row>
    <row r="6559" spans="1:9">
      <c r="A6559" s="577"/>
      <c r="B6559" s="65">
        <v>6757</v>
      </c>
      <c r="C6559" s="579" t="s">
        <v>281</v>
      </c>
      <c r="D6559" s="579"/>
      <c r="E6559" s="583"/>
      <c r="F6559" s="596"/>
      <c r="G6559" s="65">
        <v>0</v>
      </c>
      <c r="H6559" s="591" t="s">
        <v>280</v>
      </c>
      <c r="I6559" s="591" t="s">
        <v>280</v>
      </c>
    </row>
    <row r="6560" spans="1:9">
      <c r="A6560" s="577"/>
      <c r="B6560" s="65">
        <v>6758</v>
      </c>
      <c r="C6560" s="579" t="s">
        <v>281</v>
      </c>
      <c r="D6560" s="579"/>
      <c r="E6560" s="583"/>
      <c r="F6560" s="596"/>
      <c r="G6560" s="65">
        <v>0</v>
      </c>
      <c r="H6560" s="591" t="s">
        <v>280</v>
      </c>
      <c r="I6560" s="591" t="s">
        <v>280</v>
      </c>
    </row>
    <row r="6561" spans="1:9">
      <c r="A6561" s="577"/>
      <c r="B6561" s="65">
        <v>6759</v>
      </c>
      <c r="C6561" s="579" t="s">
        <v>281</v>
      </c>
      <c r="D6561" s="579"/>
      <c r="E6561" s="583"/>
      <c r="F6561" s="596"/>
      <c r="G6561" s="65">
        <v>0</v>
      </c>
      <c r="H6561" s="591" t="s">
        <v>280</v>
      </c>
      <c r="I6561" s="591" t="s">
        <v>280</v>
      </c>
    </row>
    <row r="6562" spans="1:9">
      <c r="A6562" s="577"/>
      <c r="B6562" s="65">
        <v>6760</v>
      </c>
      <c r="C6562" s="579" t="s">
        <v>281</v>
      </c>
      <c r="D6562" s="579"/>
      <c r="E6562" s="583"/>
      <c r="F6562" s="596"/>
      <c r="G6562" s="65">
        <v>0</v>
      </c>
      <c r="H6562" s="591" t="s">
        <v>280</v>
      </c>
      <c r="I6562" s="591" t="s">
        <v>280</v>
      </c>
    </row>
    <row r="6563" spans="1:9">
      <c r="A6563" s="577"/>
      <c r="B6563" s="65">
        <v>6761</v>
      </c>
      <c r="C6563" s="579" t="s">
        <v>281</v>
      </c>
      <c r="D6563" s="579"/>
      <c r="E6563" s="583"/>
      <c r="F6563" s="596"/>
      <c r="G6563" s="65">
        <v>0</v>
      </c>
      <c r="H6563" s="591" t="s">
        <v>280</v>
      </c>
      <c r="I6563" s="591" t="s">
        <v>280</v>
      </c>
    </row>
    <row r="6564" spans="1:9">
      <c r="A6564" s="577"/>
      <c r="B6564" s="65">
        <v>6762</v>
      </c>
      <c r="C6564" s="579" t="s">
        <v>281</v>
      </c>
      <c r="D6564" s="579"/>
      <c r="E6564" s="583"/>
      <c r="F6564" s="596"/>
      <c r="G6564" s="65">
        <v>0</v>
      </c>
      <c r="H6564" s="591" t="s">
        <v>280</v>
      </c>
      <c r="I6564" s="591" t="s">
        <v>280</v>
      </c>
    </row>
    <row r="6565" spans="1:9">
      <c r="A6565" s="577"/>
      <c r="B6565" s="65">
        <v>6763</v>
      </c>
      <c r="C6565" s="579" t="s">
        <v>281</v>
      </c>
      <c r="D6565" s="579"/>
      <c r="E6565" s="583"/>
      <c r="F6565" s="596"/>
      <c r="G6565" s="65">
        <v>0</v>
      </c>
      <c r="H6565" s="591" t="s">
        <v>280</v>
      </c>
      <c r="I6565" s="591" t="s">
        <v>280</v>
      </c>
    </row>
    <row r="6566" spans="1:9">
      <c r="A6566" s="577"/>
      <c r="B6566" s="65">
        <v>6764</v>
      </c>
      <c r="C6566" s="579" t="s">
        <v>281</v>
      </c>
      <c r="D6566" s="579"/>
      <c r="E6566" s="583"/>
      <c r="F6566" s="596"/>
      <c r="G6566" s="65">
        <v>0</v>
      </c>
      <c r="H6566" s="591" t="s">
        <v>280</v>
      </c>
      <c r="I6566" s="591" t="s">
        <v>280</v>
      </c>
    </row>
    <row r="6567" spans="1:9">
      <c r="A6567" s="577"/>
      <c r="B6567" s="65">
        <v>6765</v>
      </c>
      <c r="C6567" s="579" t="s">
        <v>281</v>
      </c>
      <c r="D6567" s="579"/>
      <c r="E6567" s="583"/>
      <c r="F6567" s="596"/>
      <c r="G6567" s="65">
        <v>0</v>
      </c>
      <c r="H6567" s="591" t="s">
        <v>280</v>
      </c>
      <c r="I6567" s="591" t="s">
        <v>280</v>
      </c>
    </row>
    <row r="6568" spans="1:9">
      <c r="A6568" s="577"/>
      <c r="B6568" s="65">
        <v>6766</v>
      </c>
      <c r="C6568" s="579" t="s">
        <v>281</v>
      </c>
      <c r="D6568" s="579"/>
      <c r="E6568" s="583"/>
      <c r="F6568" s="596"/>
      <c r="G6568" s="65">
        <v>0</v>
      </c>
      <c r="H6568" s="591" t="s">
        <v>280</v>
      </c>
      <c r="I6568" s="591" t="s">
        <v>280</v>
      </c>
    </row>
    <row r="6569" spans="1:9">
      <c r="A6569" s="577"/>
      <c r="B6569" s="65">
        <v>6767</v>
      </c>
      <c r="C6569" s="579" t="s">
        <v>281</v>
      </c>
      <c r="D6569" s="579"/>
      <c r="E6569" s="583"/>
      <c r="F6569" s="596"/>
      <c r="G6569" s="65">
        <v>0</v>
      </c>
      <c r="H6569" s="591" t="s">
        <v>280</v>
      </c>
      <c r="I6569" s="591" t="s">
        <v>280</v>
      </c>
    </row>
    <row r="6570" spans="1:9">
      <c r="A6570" s="577"/>
      <c r="B6570" s="65">
        <v>6768</v>
      </c>
      <c r="C6570" s="579" t="s">
        <v>281</v>
      </c>
      <c r="D6570" s="579"/>
      <c r="E6570" s="583"/>
      <c r="F6570" s="596"/>
      <c r="G6570" s="65">
        <v>0</v>
      </c>
      <c r="H6570" s="591" t="s">
        <v>280</v>
      </c>
      <c r="I6570" s="591" t="s">
        <v>280</v>
      </c>
    </row>
    <row r="6571" spans="1:9">
      <c r="A6571" s="577"/>
      <c r="B6571" s="65">
        <v>6769</v>
      </c>
      <c r="C6571" s="579" t="s">
        <v>281</v>
      </c>
      <c r="D6571" s="579"/>
      <c r="E6571" s="583"/>
      <c r="F6571" s="596"/>
      <c r="G6571" s="65">
        <v>0</v>
      </c>
      <c r="H6571" s="591" t="s">
        <v>280</v>
      </c>
      <c r="I6571" s="591" t="s">
        <v>280</v>
      </c>
    </row>
    <row r="6572" spans="1:9">
      <c r="A6572" s="577"/>
      <c r="B6572" s="65">
        <v>6770</v>
      </c>
      <c r="C6572" s="579" t="s">
        <v>281</v>
      </c>
      <c r="D6572" s="579"/>
      <c r="E6572" s="583"/>
      <c r="F6572" s="596"/>
      <c r="G6572" s="65">
        <v>0</v>
      </c>
      <c r="H6572" s="591" t="s">
        <v>280</v>
      </c>
      <c r="I6572" s="591" t="s">
        <v>280</v>
      </c>
    </row>
    <row r="6573" spans="1:9">
      <c r="A6573" s="577"/>
      <c r="B6573" s="65">
        <v>6771</v>
      </c>
      <c r="C6573" s="579" t="s">
        <v>281</v>
      </c>
      <c r="D6573" s="579"/>
      <c r="E6573" s="583"/>
      <c r="F6573" s="596"/>
      <c r="G6573" s="65">
        <v>0</v>
      </c>
      <c r="H6573" s="591" t="s">
        <v>280</v>
      </c>
      <c r="I6573" s="591" t="s">
        <v>280</v>
      </c>
    </row>
    <row r="6574" spans="1:9">
      <c r="A6574" s="577"/>
      <c r="B6574" s="65">
        <v>6772</v>
      </c>
      <c r="C6574" s="579" t="s">
        <v>281</v>
      </c>
      <c r="D6574" s="579"/>
      <c r="E6574" s="583"/>
      <c r="F6574" s="596"/>
      <c r="G6574" s="65">
        <v>0</v>
      </c>
      <c r="H6574" s="591" t="s">
        <v>280</v>
      </c>
      <c r="I6574" s="591" t="s">
        <v>280</v>
      </c>
    </row>
    <row r="6575" spans="1:9">
      <c r="A6575" s="577"/>
      <c r="B6575" s="65">
        <v>6773</v>
      </c>
      <c r="C6575" s="579" t="s">
        <v>281</v>
      </c>
      <c r="D6575" s="579"/>
      <c r="E6575" s="583"/>
      <c r="F6575" s="596"/>
      <c r="G6575" s="65">
        <v>0</v>
      </c>
      <c r="H6575" s="591" t="s">
        <v>280</v>
      </c>
      <c r="I6575" s="591" t="s">
        <v>280</v>
      </c>
    </row>
    <row r="6576" spans="1:9">
      <c r="A6576" s="577"/>
      <c r="B6576" s="65">
        <v>6774</v>
      </c>
      <c r="C6576" s="579" t="s">
        <v>281</v>
      </c>
      <c r="D6576" s="579"/>
      <c r="E6576" s="583"/>
      <c r="F6576" s="596"/>
      <c r="G6576" s="65">
        <v>0</v>
      </c>
      <c r="H6576" s="591" t="s">
        <v>280</v>
      </c>
      <c r="I6576" s="591" t="s">
        <v>280</v>
      </c>
    </row>
    <row r="6577" spans="1:9">
      <c r="A6577" s="577"/>
      <c r="B6577" s="65">
        <v>6775</v>
      </c>
      <c r="C6577" s="579" t="s">
        <v>281</v>
      </c>
      <c r="D6577" s="579"/>
      <c r="E6577" s="583"/>
      <c r="F6577" s="596"/>
      <c r="G6577" s="65">
        <v>0</v>
      </c>
      <c r="H6577" s="591" t="s">
        <v>280</v>
      </c>
      <c r="I6577" s="591" t="s">
        <v>280</v>
      </c>
    </row>
    <row r="6578" spans="1:9">
      <c r="A6578" s="577"/>
      <c r="B6578" s="65">
        <v>6776</v>
      </c>
      <c r="C6578" s="579" t="s">
        <v>281</v>
      </c>
      <c r="D6578" s="579"/>
      <c r="E6578" s="583"/>
      <c r="F6578" s="596"/>
      <c r="G6578" s="65">
        <v>0</v>
      </c>
      <c r="H6578" s="591" t="s">
        <v>280</v>
      </c>
      <c r="I6578" s="591" t="s">
        <v>280</v>
      </c>
    </row>
    <row r="6579" spans="1:9">
      <c r="A6579" s="577"/>
      <c r="B6579" s="65">
        <v>6777</v>
      </c>
      <c r="C6579" s="579" t="s">
        <v>281</v>
      </c>
      <c r="D6579" s="579"/>
      <c r="E6579" s="583"/>
      <c r="F6579" s="596"/>
      <c r="G6579" s="65">
        <v>0</v>
      </c>
      <c r="H6579" s="591" t="s">
        <v>280</v>
      </c>
      <c r="I6579" s="591" t="s">
        <v>280</v>
      </c>
    </row>
    <row r="6580" spans="1:9">
      <c r="A6580" s="577"/>
      <c r="B6580" s="65">
        <v>6778</v>
      </c>
      <c r="C6580" s="579" t="s">
        <v>281</v>
      </c>
      <c r="D6580" s="579"/>
      <c r="E6580" s="583"/>
      <c r="F6580" s="596"/>
      <c r="G6580" s="65">
        <v>0</v>
      </c>
      <c r="H6580" s="591" t="s">
        <v>280</v>
      </c>
      <c r="I6580" s="591" t="s">
        <v>280</v>
      </c>
    </row>
    <row r="6581" spans="1:9">
      <c r="A6581" s="577"/>
      <c r="B6581" s="65">
        <v>6779</v>
      </c>
      <c r="C6581" s="579" t="s">
        <v>281</v>
      </c>
      <c r="D6581" s="579"/>
      <c r="E6581" s="583"/>
      <c r="F6581" s="596"/>
      <c r="G6581" s="65">
        <v>0</v>
      </c>
      <c r="H6581" s="591" t="s">
        <v>280</v>
      </c>
      <c r="I6581" s="591" t="s">
        <v>280</v>
      </c>
    </row>
    <row r="6582" spans="1:9">
      <c r="A6582" s="577"/>
      <c r="B6582" s="65">
        <v>6780</v>
      </c>
      <c r="C6582" s="579" t="s">
        <v>281</v>
      </c>
      <c r="D6582" s="579"/>
      <c r="E6582" s="583"/>
      <c r="F6582" s="596"/>
      <c r="G6582" s="65">
        <v>0</v>
      </c>
      <c r="H6582" s="591" t="s">
        <v>280</v>
      </c>
      <c r="I6582" s="591" t="s">
        <v>280</v>
      </c>
    </row>
    <row r="6583" spans="1:9">
      <c r="A6583" s="577"/>
      <c r="B6583" s="65">
        <v>6781</v>
      </c>
      <c r="C6583" s="579" t="s">
        <v>281</v>
      </c>
      <c r="D6583" s="579"/>
      <c r="E6583" s="583"/>
      <c r="F6583" s="596"/>
      <c r="G6583" s="65">
        <v>0</v>
      </c>
      <c r="H6583" s="591" t="s">
        <v>280</v>
      </c>
      <c r="I6583" s="591" t="s">
        <v>280</v>
      </c>
    </row>
    <row r="6584" spans="1:9">
      <c r="A6584" s="577"/>
      <c r="B6584" s="65">
        <v>6782</v>
      </c>
      <c r="C6584" s="579" t="s">
        <v>281</v>
      </c>
      <c r="D6584" s="579"/>
      <c r="E6584" s="583"/>
      <c r="F6584" s="596"/>
      <c r="G6584" s="65">
        <v>0</v>
      </c>
      <c r="H6584" s="591" t="s">
        <v>280</v>
      </c>
      <c r="I6584" s="591" t="s">
        <v>280</v>
      </c>
    </row>
    <row r="6585" spans="1:9">
      <c r="A6585" s="577"/>
      <c r="B6585" s="65">
        <v>6783</v>
      </c>
      <c r="C6585" s="579" t="s">
        <v>281</v>
      </c>
      <c r="D6585" s="579"/>
      <c r="E6585" s="583"/>
      <c r="F6585" s="596"/>
      <c r="G6585" s="65">
        <v>0</v>
      </c>
      <c r="H6585" s="591" t="s">
        <v>280</v>
      </c>
      <c r="I6585" s="591" t="s">
        <v>280</v>
      </c>
    </row>
    <row r="6586" spans="1:9">
      <c r="A6586" s="577"/>
      <c r="B6586" s="65">
        <v>6784</v>
      </c>
      <c r="C6586" s="579" t="s">
        <v>281</v>
      </c>
      <c r="D6586" s="579"/>
      <c r="E6586" s="583"/>
      <c r="F6586" s="596"/>
      <c r="G6586" s="65">
        <v>0</v>
      </c>
      <c r="H6586" s="591" t="s">
        <v>280</v>
      </c>
      <c r="I6586" s="591" t="s">
        <v>280</v>
      </c>
    </row>
    <row r="6587" spans="1:9">
      <c r="A6587" s="577"/>
      <c r="B6587" s="65">
        <v>6785</v>
      </c>
      <c r="C6587" s="579" t="s">
        <v>281</v>
      </c>
      <c r="D6587" s="579"/>
      <c r="E6587" s="583"/>
      <c r="F6587" s="596"/>
      <c r="G6587" s="65">
        <v>0</v>
      </c>
      <c r="H6587" s="591" t="s">
        <v>280</v>
      </c>
      <c r="I6587" s="591" t="s">
        <v>280</v>
      </c>
    </row>
    <row r="6588" spans="1:9">
      <c r="A6588" s="577"/>
      <c r="B6588" s="65">
        <v>6786</v>
      </c>
      <c r="C6588" s="579" t="s">
        <v>281</v>
      </c>
      <c r="D6588" s="579"/>
      <c r="E6588" s="583"/>
      <c r="F6588" s="596"/>
      <c r="G6588" s="65">
        <v>0</v>
      </c>
      <c r="H6588" s="591" t="s">
        <v>280</v>
      </c>
      <c r="I6588" s="591" t="s">
        <v>280</v>
      </c>
    </row>
    <row r="6589" spans="1:9">
      <c r="A6589" s="577"/>
      <c r="B6589" s="65">
        <v>6787</v>
      </c>
      <c r="C6589" s="579" t="s">
        <v>281</v>
      </c>
      <c r="D6589" s="579"/>
      <c r="E6589" s="583"/>
      <c r="F6589" s="596"/>
      <c r="G6589" s="65">
        <v>0</v>
      </c>
      <c r="H6589" s="591" t="s">
        <v>280</v>
      </c>
      <c r="I6589" s="591" t="s">
        <v>280</v>
      </c>
    </row>
    <row r="6590" spans="1:9">
      <c r="A6590" s="577"/>
      <c r="B6590" s="65">
        <v>6788</v>
      </c>
      <c r="C6590" s="579" t="s">
        <v>281</v>
      </c>
      <c r="D6590" s="579"/>
      <c r="E6590" s="583"/>
      <c r="F6590" s="596"/>
      <c r="G6590" s="65">
        <v>0</v>
      </c>
      <c r="H6590" s="591" t="s">
        <v>280</v>
      </c>
      <c r="I6590" s="591" t="s">
        <v>280</v>
      </c>
    </row>
    <row r="6591" spans="1:9">
      <c r="A6591" s="577"/>
      <c r="B6591" s="65">
        <v>6789</v>
      </c>
      <c r="C6591" s="579" t="s">
        <v>281</v>
      </c>
      <c r="D6591" s="579"/>
      <c r="E6591" s="583"/>
      <c r="F6591" s="596"/>
      <c r="G6591" s="65">
        <v>0</v>
      </c>
      <c r="H6591" s="591" t="s">
        <v>280</v>
      </c>
      <c r="I6591" s="591" t="s">
        <v>280</v>
      </c>
    </row>
    <row r="6592" spans="1:9">
      <c r="A6592" s="577"/>
      <c r="B6592" s="65">
        <v>6790</v>
      </c>
      <c r="C6592" s="579" t="s">
        <v>281</v>
      </c>
      <c r="D6592" s="579"/>
      <c r="E6592" s="583"/>
      <c r="F6592" s="596"/>
      <c r="G6592" s="65">
        <v>0</v>
      </c>
      <c r="H6592" s="591" t="s">
        <v>280</v>
      </c>
      <c r="I6592" s="591" t="s">
        <v>280</v>
      </c>
    </row>
    <row r="6593" spans="1:9">
      <c r="A6593" s="577"/>
      <c r="B6593" s="65">
        <v>6791</v>
      </c>
      <c r="C6593" s="579" t="s">
        <v>281</v>
      </c>
      <c r="D6593" s="579"/>
      <c r="E6593" s="583"/>
      <c r="F6593" s="596"/>
      <c r="G6593" s="65">
        <v>0</v>
      </c>
      <c r="H6593" s="591" t="s">
        <v>280</v>
      </c>
      <c r="I6593" s="591" t="s">
        <v>280</v>
      </c>
    </row>
    <row r="6594" spans="1:9">
      <c r="A6594" s="577"/>
      <c r="B6594" s="65">
        <v>6792</v>
      </c>
      <c r="C6594" s="579" t="s">
        <v>281</v>
      </c>
      <c r="D6594" s="579"/>
      <c r="E6594" s="583"/>
      <c r="F6594" s="596"/>
      <c r="G6594" s="65">
        <v>0</v>
      </c>
      <c r="H6594" s="591" t="s">
        <v>280</v>
      </c>
      <c r="I6594" s="591" t="s">
        <v>280</v>
      </c>
    </row>
    <row r="6595" spans="1:9">
      <c r="A6595" s="577"/>
      <c r="B6595" s="65">
        <v>6793</v>
      </c>
      <c r="C6595" s="579" t="s">
        <v>281</v>
      </c>
      <c r="D6595" s="579"/>
      <c r="E6595" s="583"/>
      <c r="F6595" s="596"/>
      <c r="G6595" s="65">
        <v>0</v>
      </c>
      <c r="H6595" s="591" t="s">
        <v>280</v>
      </c>
      <c r="I6595" s="591" t="s">
        <v>280</v>
      </c>
    </row>
    <row r="6596" spans="1:9">
      <c r="A6596" s="577"/>
      <c r="B6596" s="65">
        <v>6794</v>
      </c>
      <c r="C6596" s="579" t="s">
        <v>281</v>
      </c>
      <c r="D6596" s="579"/>
      <c r="E6596" s="583"/>
      <c r="F6596" s="596"/>
      <c r="G6596" s="65">
        <v>0</v>
      </c>
      <c r="H6596" s="591" t="s">
        <v>280</v>
      </c>
      <c r="I6596" s="591" t="s">
        <v>280</v>
      </c>
    </row>
    <row r="6597" spans="1:9">
      <c r="A6597" s="577"/>
      <c r="B6597" s="65">
        <v>6795</v>
      </c>
      <c r="C6597" s="579" t="s">
        <v>281</v>
      </c>
      <c r="D6597" s="579"/>
      <c r="E6597" s="583"/>
      <c r="F6597" s="596"/>
      <c r="G6597" s="65">
        <v>0</v>
      </c>
      <c r="H6597" s="591" t="s">
        <v>280</v>
      </c>
      <c r="I6597" s="591" t="s">
        <v>280</v>
      </c>
    </row>
    <row r="6598" spans="1:9">
      <c r="A6598" s="577"/>
      <c r="B6598" s="65">
        <v>6796</v>
      </c>
      <c r="C6598" s="579" t="s">
        <v>281</v>
      </c>
      <c r="D6598" s="579"/>
      <c r="E6598" s="583"/>
      <c r="F6598" s="596"/>
      <c r="G6598" s="65">
        <v>0</v>
      </c>
      <c r="H6598" s="591" t="s">
        <v>280</v>
      </c>
      <c r="I6598" s="591" t="s">
        <v>280</v>
      </c>
    </row>
    <row r="6599" spans="1:9">
      <c r="A6599" s="577"/>
      <c r="B6599" s="65">
        <v>6797</v>
      </c>
      <c r="C6599" s="579" t="s">
        <v>281</v>
      </c>
      <c r="D6599" s="579"/>
      <c r="E6599" s="583"/>
      <c r="F6599" s="596"/>
      <c r="G6599" s="65">
        <v>0</v>
      </c>
      <c r="H6599" s="591" t="s">
        <v>280</v>
      </c>
      <c r="I6599" s="591" t="s">
        <v>280</v>
      </c>
    </row>
    <row r="6600" spans="1:9">
      <c r="A6600" s="577"/>
      <c r="B6600" s="65">
        <v>6798</v>
      </c>
      <c r="C6600" s="579" t="s">
        <v>281</v>
      </c>
      <c r="D6600" s="579"/>
      <c r="E6600" s="583"/>
      <c r="F6600" s="596"/>
      <c r="G6600" s="65">
        <v>0</v>
      </c>
      <c r="H6600" s="591" t="s">
        <v>280</v>
      </c>
      <c r="I6600" s="591" t="s">
        <v>280</v>
      </c>
    </row>
    <row r="6601" spans="1:9">
      <c r="A6601" s="577"/>
      <c r="B6601" s="65">
        <v>6799</v>
      </c>
      <c r="C6601" s="579" t="s">
        <v>281</v>
      </c>
      <c r="D6601" s="579"/>
      <c r="E6601" s="583"/>
      <c r="F6601" s="596"/>
      <c r="G6601" s="65">
        <v>0</v>
      </c>
      <c r="H6601" s="591" t="s">
        <v>280</v>
      </c>
      <c r="I6601" s="591" t="s">
        <v>280</v>
      </c>
    </row>
    <row r="6602" spans="1:9">
      <c r="A6602" s="577"/>
      <c r="B6602" s="65">
        <v>6800</v>
      </c>
      <c r="C6602" s="579" t="s">
        <v>281</v>
      </c>
      <c r="D6602" s="579"/>
      <c r="E6602" s="583"/>
      <c r="F6602" s="596"/>
      <c r="G6602" s="65">
        <v>0</v>
      </c>
      <c r="H6602" s="591" t="s">
        <v>280</v>
      </c>
      <c r="I6602" s="591" t="s">
        <v>280</v>
      </c>
    </row>
    <row r="6603" spans="1:9">
      <c r="A6603" s="577"/>
      <c r="B6603" s="65">
        <v>6801</v>
      </c>
      <c r="C6603" s="579" t="s">
        <v>281</v>
      </c>
      <c r="D6603" s="579"/>
      <c r="E6603" s="583"/>
      <c r="F6603" s="596"/>
      <c r="G6603" s="65">
        <v>0</v>
      </c>
      <c r="H6603" s="591" t="s">
        <v>280</v>
      </c>
      <c r="I6603" s="591" t="s">
        <v>280</v>
      </c>
    </row>
    <row r="6604" spans="1:9">
      <c r="A6604" s="577"/>
      <c r="B6604" s="65">
        <v>6802</v>
      </c>
      <c r="C6604" s="579" t="s">
        <v>281</v>
      </c>
      <c r="D6604" s="579"/>
      <c r="E6604" s="583"/>
      <c r="F6604" s="596"/>
      <c r="G6604" s="65">
        <v>0</v>
      </c>
      <c r="H6604" s="591" t="s">
        <v>280</v>
      </c>
      <c r="I6604" s="591" t="s">
        <v>280</v>
      </c>
    </row>
    <row r="6605" spans="1:9">
      <c r="A6605" s="577"/>
      <c r="B6605" s="65">
        <v>6803</v>
      </c>
      <c r="C6605" s="579" t="s">
        <v>281</v>
      </c>
      <c r="D6605" s="579"/>
      <c r="E6605" s="583"/>
      <c r="F6605" s="596"/>
      <c r="G6605" s="65">
        <v>0</v>
      </c>
      <c r="H6605" s="591" t="s">
        <v>280</v>
      </c>
      <c r="I6605" s="591" t="s">
        <v>280</v>
      </c>
    </row>
    <row r="6606" spans="1:9">
      <c r="A6606" s="577"/>
      <c r="B6606" s="65">
        <v>6804</v>
      </c>
      <c r="C6606" s="579" t="s">
        <v>281</v>
      </c>
      <c r="D6606" s="579"/>
      <c r="E6606" s="583"/>
      <c r="F6606" s="596"/>
      <c r="G6606" s="65">
        <v>0</v>
      </c>
      <c r="H6606" s="591" t="s">
        <v>280</v>
      </c>
      <c r="I6606" s="591" t="s">
        <v>280</v>
      </c>
    </row>
    <row r="6607" spans="1:9">
      <c r="A6607" s="577"/>
      <c r="B6607" s="65">
        <v>6805</v>
      </c>
      <c r="C6607" s="579" t="s">
        <v>281</v>
      </c>
      <c r="D6607" s="579"/>
      <c r="E6607" s="583"/>
      <c r="F6607" s="596"/>
      <c r="G6607" s="65">
        <v>0</v>
      </c>
      <c r="H6607" s="591" t="s">
        <v>280</v>
      </c>
      <c r="I6607" s="591" t="s">
        <v>280</v>
      </c>
    </row>
    <row r="6608" spans="1:9">
      <c r="A6608" s="577"/>
      <c r="B6608" s="65">
        <v>6806</v>
      </c>
      <c r="C6608" s="579" t="s">
        <v>281</v>
      </c>
      <c r="D6608" s="579"/>
      <c r="E6608" s="583"/>
      <c r="F6608" s="596"/>
      <c r="G6608" s="65">
        <v>0</v>
      </c>
      <c r="H6608" s="591" t="s">
        <v>280</v>
      </c>
      <c r="I6608" s="591" t="s">
        <v>280</v>
      </c>
    </row>
    <row r="6609" spans="1:9">
      <c r="A6609" s="577"/>
      <c r="B6609" s="65">
        <v>6807</v>
      </c>
      <c r="C6609" s="579" t="s">
        <v>281</v>
      </c>
      <c r="D6609" s="579"/>
      <c r="E6609" s="583"/>
      <c r="F6609" s="596"/>
      <c r="G6609" s="65">
        <v>0</v>
      </c>
      <c r="H6609" s="591" t="s">
        <v>280</v>
      </c>
      <c r="I6609" s="591" t="s">
        <v>280</v>
      </c>
    </row>
    <row r="6610" spans="1:9">
      <c r="A6610" s="577"/>
      <c r="B6610" s="65">
        <v>6808</v>
      </c>
      <c r="C6610" s="579" t="s">
        <v>281</v>
      </c>
      <c r="D6610" s="579"/>
      <c r="E6610" s="583"/>
      <c r="F6610" s="596"/>
      <c r="G6610" s="65">
        <v>0</v>
      </c>
      <c r="H6610" s="591" t="s">
        <v>280</v>
      </c>
      <c r="I6610" s="591" t="s">
        <v>280</v>
      </c>
    </row>
    <row r="6611" spans="1:9">
      <c r="A6611" s="577"/>
      <c r="B6611" s="65">
        <v>6809</v>
      </c>
      <c r="C6611" s="579" t="s">
        <v>281</v>
      </c>
      <c r="D6611" s="579"/>
      <c r="E6611" s="583"/>
      <c r="F6611" s="596"/>
      <c r="G6611" s="65">
        <v>0</v>
      </c>
      <c r="H6611" s="591" t="s">
        <v>280</v>
      </c>
      <c r="I6611" s="591" t="s">
        <v>280</v>
      </c>
    </row>
    <row r="6612" spans="1:9">
      <c r="A6612" s="577"/>
      <c r="B6612" s="65">
        <v>6810</v>
      </c>
      <c r="C6612" s="579" t="s">
        <v>281</v>
      </c>
      <c r="D6612" s="579"/>
      <c r="E6612" s="583"/>
      <c r="F6612" s="596"/>
      <c r="G6612" s="65">
        <v>0</v>
      </c>
      <c r="H6612" s="591" t="s">
        <v>280</v>
      </c>
      <c r="I6612" s="591" t="s">
        <v>280</v>
      </c>
    </row>
    <row r="6613" spans="1:9">
      <c r="A6613" s="577"/>
      <c r="B6613" s="65">
        <v>6811</v>
      </c>
      <c r="C6613" s="579" t="s">
        <v>281</v>
      </c>
      <c r="D6613" s="579"/>
      <c r="E6613" s="583"/>
      <c r="F6613" s="596"/>
      <c r="G6613" s="65">
        <v>0</v>
      </c>
      <c r="H6613" s="591" t="s">
        <v>280</v>
      </c>
      <c r="I6613" s="591" t="s">
        <v>280</v>
      </c>
    </row>
    <row r="6614" spans="1:9">
      <c r="A6614" s="577"/>
      <c r="B6614" s="65">
        <v>6812</v>
      </c>
      <c r="C6614" s="579" t="s">
        <v>281</v>
      </c>
      <c r="D6614" s="579"/>
      <c r="E6614" s="583"/>
      <c r="F6614" s="596"/>
      <c r="G6614" s="65">
        <v>0</v>
      </c>
      <c r="H6614" s="591" t="s">
        <v>280</v>
      </c>
      <c r="I6614" s="591" t="s">
        <v>280</v>
      </c>
    </row>
    <row r="6615" spans="1:9">
      <c r="A6615" s="577"/>
      <c r="B6615" s="65">
        <v>6813</v>
      </c>
      <c r="C6615" s="579" t="s">
        <v>281</v>
      </c>
      <c r="D6615" s="579"/>
      <c r="E6615" s="583"/>
      <c r="F6615" s="596"/>
      <c r="G6615" s="65">
        <v>0</v>
      </c>
      <c r="H6615" s="591" t="s">
        <v>280</v>
      </c>
      <c r="I6615" s="591" t="s">
        <v>280</v>
      </c>
    </row>
    <row r="6616" spans="1:9">
      <c r="A6616" s="577"/>
      <c r="B6616" s="65">
        <v>6814</v>
      </c>
      <c r="C6616" s="579" t="s">
        <v>281</v>
      </c>
      <c r="D6616" s="579"/>
      <c r="E6616" s="583"/>
      <c r="F6616" s="596"/>
      <c r="G6616" s="65">
        <v>0</v>
      </c>
      <c r="H6616" s="591" t="s">
        <v>280</v>
      </c>
      <c r="I6616" s="591" t="s">
        <v>280</v>
      </c>
    </row>
    <row r="6617" spans="1:9">
      <c r="A6617" s="577"/>
      <c r="B6617" s="65">
        <v>6815</v>
      </c>
      <c r="C6617" s="579" t="s">
        <v>281</v>
      </c>
      <c r="D6617" s="579"/>
      <c r="E6617" s="583"/>
      <c r="F6617" s="596"/>
      <c r="G6617" s="65">
        <v>0</v>
      </c>
      <c r="H6617" s="591" t="s">
        <v>280</v>
      </c>
      <c r="I6617" s="591" t="s">
        <v>280</v>
      </c>
    </row>
    <row r="6618" spans="1:9">
      <c r="A6618" s="577"/>
      <c r="B6618" s="65">
        <v>6816</v>
      </c>
      <c r="C6618" s="579" t="s">
        <v>281</v>
      </c>
      <c r="D6618" s="579"/>
      <c r="E6618" s="583"/>
      <c r="F6618" s="596"/>
      <c r="G6618" s="65">
        <v>0</v>
      </c>
      <c r="H6618" s="591" t="s">
        <v>280</v>
      </c>
      <c r="I6618" s="591" t="s">
        <v>280</v>
      </c>
    </row>
    <row r="6619" spans="1:9">
      <c r="A6619" s="577"/>
      <c r="B6619" s="65">
        <v>6817</v>
      </c>
      <c r="C6619" s="579" t="s">
        <v>281</v>
      </c>
      <c r="D6619" s="579"/>
      <c r="E6619" s="583"/>
      <c r="F6619" s="596"/>
      <c r="G6619" s="65">
        <v>0</v>
      </c>
      <c r="H6619" s="591" t="s">
        <v>280</v>
      </c>
      <c r="I6619" s="591" t="s">
        <v>280</v>
      </c>
    </row>
    <row r="6620" spans="1:9">
      <c r="A6620" s="577"/>
      <c r="B6620" s="65">
        <v>6818</v>
      </c>
      <c r="C6620" s="579" t="s">
        <v>281</v>
      </c>
      <c r="D6620" s="579"/>
      <c r="E6620" s="583"/>
      <c r="F6620" s="596"/>
      <c r="G6620" s="65">
        <v>0</v>
      </c>
      <c r="H6620" s="591" t="s">
        <v>280</v>
      </c>
      <c r="I6620" s="591" t="s">
        <v>280</v>
      </c>
    </row>
    <row r="6621" spans="1:9">
      <c r="A6621" s="577"/>
      <c r="B6621" s="65">
        <v>6819</v>
      </c>
      <c r="C6621" s="579" t="s">
        <v>281</v>
      </c>
      <c r="D6621" s="579"/>
      <c r="E6621" s="583"/>
      <c r="F6621" s="596"/>
      <c r="G6621" s="65">
        <v>0</v>
      </c>
      <c r="H6621" s="591" t="s">
        <v>280</v>
      </c>
      <c r="I6621" s="591" t="s">
        <v>280</v>
      </c>
    </row>
    <row r="6622" spans="1:9">
      <c r="A6622" s="577"/>
      <c r="B6622" s="65">
        <v>6820</v>
      </c>
      <c r="C6622" s="579" t="s">
        <v>281</v>
      </c>
      <c r="D6622" s="579"/>
      <c r="E6622" s="583"/>
      <c r="F6622" s="596"/>
      <c r="G6622" s="65">
        <v>0</v>
      </c>
      <c r="H6622" s="591" t="s">
        <v>280</v>
      </c>
      <c r="I6622" s="591" t="s">
        <v>280</v>
      </c>
    </row>
    <row r="6623" spans="1:9">
      <c r="A6623" s="577"/>
      <c r="B6623" s="65">
        <v>6821</v>
      </c>
      <c r="C6623" s="579" t="s">
        <v>281</v>
      </c>
      <c r="D6623" s="579"/>
      <c r="E6623" s="583"/>
      <c r="F6623" s="596"/>
      <c r="G6623" s="65">
        <v>0</v>
      </c>
      <c r="H6623" s="591" t="s">
        <v>280</v>
      </c>
      <c r="I6623" s="591" t="s">
        <v>280</v>
      </c>
    </row>
    <row r="6624" spans="1:9">
      <c r="A6624" s="577"/>
      <c r="B6624" s="65">
        <v>6822</v>
      </c>
      <c r="C6624" s="579" t="s">
        <v>281</v>
      </c>
      <c r="D6624" s="579"/>
      <c r="E6624" s="583"/>
      <c r="F6624" s="596"/>
      <c r="G6624" s="65">
        <v>0</v>
      </c>
      <c r="H6624" s="591" t="s">
        <v>280</v>
      </c>
      <c r="I6624" s="591" t="s">
        <v>280</v>
      </c>
    </row>
    <row r="6625" spans="1:9">
      <c r="A6625" s="577"/>
      <c r="B6625" s="65">
        <v>6823</v>
      </c>
      <c r="C6625" s="579" t="s">
        <v>281</v>
      </c>
      <c r="D6625" s="579"/>
      <c r="E6625" s="583"/>
      <c r="F6625" s="596"/>
      <c r="G6625" s="65">
        <v>0</v>
      </c>
      <c r="H6625" s="591" t="s">
        <v>280</v>
      </c>
      <c r="I6625" s="591" t="s">
        <v>280</v>
      </c>
    </row>
    <row r="6626" spans="1:9">
      <c r="A6626" s="577"/>
      <c r="B6626" s="65">
        <v>6824</v>
      </c>
      <c r="C6626" s="579" t="s">
        <v>281</v>
      </c>
      <c r="D6626" s="579"/>
      <c r="E6626" s="583"/>
      <c r="F6626" s="596"/>
      <c r="G6626" s="65">
        <v>0</v>
      </c>
      <c r="H6626" s="591" t="s">
        <v>280</v>
      </c>
      <c r="I6626" s="591" t="s">
        <v>280</v>
      </c>
    </row>
    <row r="6627" spans="1:9">
      <c r="A6627" s="577"/>
      <c r="B6627" s="65">
        <v>6825</v>
      </c>
      <c r="C6627" s="579" t="s">
        <v>281</v>
      </c>
      <c r="D6627" s="579"/>
      <c r="E6627" s="583"/>
      <c r="F6627" s="596"/>
      <c r="G6627" s="65">
        <v>0</v>
      </c>
      <c r="H6627" s="591" t="s">
        <v>280</v>
      </c>
      <c r="I6627" s="591" t="s">
        <v>280</v>
      </c>
    </row>
    <row r="6628" spans="1:9">
      <c r="A6628" s="577"/>
      <c r="B6628" s="65">
        <v>6826</v>
      </c>
      <c r="C6628" s="579" t="s">
        <v>281</v>
      </c>
      <c r="D6628" s="579"/>
      <c r="E6628" s="583"/>
      <c r="F6628" s="596"/>
      <c r="G6628" s="65">
        <v>0</v>
      </c>
      <c r="H6628" s="591" t="s">
        <v>280</v>
      </c>
      <c r="I6628" s="591" t="s">
        <v>280</v>
      </c>
    </row>
    <row r="6629" spans="1:9">
      <c r="A6629" s="577"/>
      <c r="B6629" s="65">
        <v>6827</v>
      </c>
      <c r="C6629" s="579" t="s">
        <v>281</v>
      </c>
      <c r="D6629" s="579"/>
      <c r="E6629" s="583"/>
      <c r="F6629" s="596"/>
      <c r="G6629" s="65">
        <v>0</v>
      </c>
      <c r="H6629" s="591" t="s">
        <v>280</v>
      </c>
      <c r="I6629" s="591" t="s">
        <v>280</v>
      </c>
    </row>
    <row r="6630" spans="1:9">
      <c r="A6630" s="577"/>
      <c r="B6630" s="65">
        <v>6828</v>
      </c>
      <c r="C6630" s="579" t="s">
        <v>281</v>
      </c>
      <c r="D6630" s="579"/>
      <c r="E6630" s="583"/>
      <c r="F6630" s="596"/>
      <c r="G6630" s="65">
        <v>0</v>
      </c>
      <c r="H6630" s="591" t="s">
        <v>280</v>
      </c>
      <c r="I6630" s="591" t="s">
        <v>280</v>
      </c>
    </row>
    <row r="6631" spans="1:9">
      <c r="A6631" s="577"/>
      <c r="B6631" s="65">
        <v>6829</v>
      </c>
      <c r="C6631" s="579" t="s">
        <v>281</v>
      </c>
      <c r="D6631" s="579"/>
      <c r="E6631" s="583"/>
      <c r="F6631" s="596"/>
      <c r="G6631" s="65">
        <v>0</v>
      </c>
      <c r="H6631" s="591" t="s">
        <v>280</v>
      </c>
      <c r="I6631" s="591" t="s">
        <v>280</v>
      </c>
    </row>
    <row r="6632" spans="1:9">
      <c r="A6632" s="577"/>
      <c r="B6632" s="65">
        <v>6830</v>
      </c>
      <c r="C6632" s="579" t="s">
        <v>281</v>
      </c>
      <c r="D6632" s="579"/>
      <c r="E6632" s="583"/>
      <c r="F6632" s="596"/>
      <c r="G6632" s="65">
        <v>0</v>
      </c>
      <c r="H6632" s="591" t="s">
        <v>280</v>
      </c>
      <c r="I6632" s="591" t="s">
        <v>280</v>
      </c>
    </row>
    <row r="6633" spans="1:9">
      <c r="A6633" s="577"/>
      <c r="B6633" s="65">
        <v>6831</v>
      </c>
      <c r="C6633" s="579" t="s">
        <v>281</v>
      </c>
      <c r="D6633" s="579"/>
      <c r="E6633" s="583"/>
      <c r="F6633" s="596"/>
      <c r="G6633" s="65">
        <v>0</v>
      </c>
      <c r="H6633" s="591" t="s">
        <v>280</v>
      </c>
      <c r="I6633" s="591" t="s">
        <v>280</v>
      </c>
    </row>
    <row r="6634" spans="1:9">
      <c r="A6634" s="577"/>
      <c r="B6634" s="65">
        <v>6832</v>
      </c>
      <c r="C6634" s="579" t="s">
        <v>281</v>
      </c>
      <c r="D6634" s="579"/>
      <c r="E6634" s="583"/>
      <c r="F6634" s="596"/>
      <c r="G6634" s="65">
        <v>0</v>
      </c>
      <c r="H6634" s="591" t="s">
        <v>280</v>
      </c>
      <c r="I6634" s="591" t="s">
        <v>280</v>
      </c>
    </row>
    <row r="6635" spans="1:9">
      <c r="A6635" s="577"/>
      <c r="B6635" s="65">
        <v>6833</v>
      </c>
      <c r="C6635" s="579" t="s">
        <v>281</v>
      </c>
      <c r="D6635" s="579"/>
      <c r="E6635" s="583"/>
      <c r="F6635" s="596"/>
      <c r="G6635" s="65">
        <v>0</v>
      </c>
      <c r="H6635" s="591" t="s">
        <v>280</v>
      </c>
      <c r="I6635" s="591" t="s">
        <v>280</v>
      </c>
    </row>
    <row r="6636" spans="1:9">
      <c r="A6636" s="577"/>
      <c r="B6636" s="65">
        <v>6834</v>
      </c>
      <c r="C6636" s="579" t="s">
        <v>281</v>
      </c>
      <c r="D6636" s="579"/>
      <c r="E6636" s="583"/>
      <c r="F6636" s="596"/>
      <c r="G6636" s="65">
        <v>0</v>
      </c>
      <c r="H6636" s="591" t="s">
        <v>280</v>
      </c>
      <c r="I6636" s="591" t="s">
        <v>280</v>
      </c>
    </row>
    <row r="6637" spans="1:9">
      <c r="A6637" s="577"/>
      <c r="B6637" s="65">
        <v>6835</v>
      </c>
      <c r="C6637" s="579" t="s">
        <v>281</v>
      </c>
      <c r="D6637" s="579"/>
      <c r="E6637" s="583"/>
      <c r="F6637" s="596"/>
      <c r="G6637" s="65">
        <v>0</v>
      </c>
      <c r="H6637" s="591" t="s">
        <v>280</v>
      </c>
      <c r="I6637" s="591" t="s">
        <v>280</v>
      </c>
    </row>
    <row r="6638" spans="1:9">
      <c r="A6638" s="577"/>
      <c r="B6638" s="65">
        <v>6836</v>
      </c>
      <c r="C6638" s="579" t="s">
        <v>281</v>
      </c>
      <c r="D6638" s="579"/>
      <c r="E6638" s="583"/>
      <c r="F6638" s="596"/>
      <c r="G6638" s="65">
        <v>0</v>
      </c>
      <c r="H6638" s="591" t="s">
        <v>280</v>
      </c>
      <c r="I6638" s="591" t="s">
        <v>280</v>
      </c>
    </row>
    <row r="6639" spans="1:9">
      <c r="A6639" s="577"/>
      <c r="B6639" s="65">
        <v>6837</v>
      </c>
      <c r="C6639" s="579" t="s">
        <v>281</v>
      </c>
      <c r="D6639" s="579"/>
      <c r="E6639" s="583"/>
      <c r="F6639" s="596"/>
      <c r="G6639" s="65">
        <v>0</v>
      </c>
      <c r="H6639" s="591" t="s">
        <v>280</v>
      </c>
      <c r="I6639" s="591" t="s">
        <v>280</v>
      </c>
    </row>
    <row r="6640" spans="1:9">
      <c r="A6640" s="577"/>
      <c r="B6640" s="65">
        <v>6838</v>
      </c>
      <c r="C6640" s="579" t="s">
        <v>281</v>
      </c>
      <c r="D6640" s="579"/>
      <c r="E6640" s="583"/>
      <c r="F6640" s="596"/>
      <c r="G6640" s="65">
        <v>0</v>
      </c>
      <c r="H6640" s="591" t="s">
        <v>280</v>
      </c>
      <c r="I6640" s="591" t="s">
        <v>280</v>
      </c>
    </row>
    <row r="6641" spans="1:9">
      <c r="A6641" s="577"/>
      <c r="B6641" s="65">
        <v>6839</v>
      </c>
      <c r="C6641" s="579" t="s">
        <v>281</v>
      </c>
      <c r="D6641" s="579"/>
      <c r="E6641" s="583"/>
      <c r="F6641" s="596"/>
      <c r="G6641" s="65">
        <v>0</v>
      </c>
      <c r="H6641" s="591" t="s">
        <v>280</v>
      </c>
      <c r="I6641" s="591" t="s">
        <v>280</v>
      </c>
    </row>
    <row r="6642" spans="1:9">
      <c r="A6642" s="577"/>
      <c r="B6642" s="65">
        <v>6840</v>
      </c>
      <c r="C6642" s="579" t="s">
        <v>281</v>
      </c>
      <c r="D6642" s="579"/>
      <c r="E6642" s="583"/>
      <c r="F6642" s="596"/>
      <c r="G6642" s="65">
        <v>0</v>
      </c>
      <c r="H6642" s="591" t="s">
        <v>280</v>
      </c>
      <c r="I6642" s="591" t="s">
        <v>280</v>
      </c>
    </row>
    <row r="6643" spans="1:9">
      <c r="A6643" s="577"/>
      <c r="B6643" s="65">
        <v>6841</v>
      </c>
      <c r="C6643" s="579" t="s">
        <v>281</v>
      </c>
      <c r="D6643" s="579"/>
      <c r="E6643" s="583"/>
      <c r="F6643" s="596"/>
      <c r="G6643" s="65">
        <v>0</v>
      </c>
      <c r="H6643" s="591" t="s">
        <v>280</v>
      </c>
      <c r="I6643" s="591" t="s">
        <v>280</v>
      </c>
    </row>
    <row r="6644" spans="1:9">
      <c r="A6644" s="577"/>
      <c r="B6644" s="65">
        <v>6842</v>
      </c>
      <c r="C6644" s="579" t="s">
        <v>281</v>
      </c>
      <c r="D6644" s="579"/>
      <c r="E6644" s="583"/>
      <c r="F6644" s="596"/>
      <c r="G6644" s="65">
        <v>0</v>
      </c>
      <c r="H6644" s="591" t="s">
        <v>280</v>
      </c>
      <c r="I6644" s="591" t="s">
        <v>280</v>
      </c>
    </row>
    <row r="6645" spans="1:9">
      <c r="A6645" s="577"/>
      <c r="B6645" s="65">
        <v>6843</v>
      </c>
      <c r="C6645" s="579" t="s">
        <v>281</v>
      </c>
      <c r="D6645" s="579"/>
      <c r="E6645" s="583"/>
      <c r="F6645" s="596"/>
      <c r="G6645" s="65">
        <v>0</v>
      </c>
      <c r="H6645" s="591" t="s">
        <v>280</v>
      </c>
      <c r="I6645" s="591" t="s">
        <v>280</v>
      </c>
    </row>
    <row r="6646" spans="1:9">
      <c r="A6646" s="577"/>
      <c r="B6646" s="65">
        <v>6844</v>
      </c>
      <c r="C6646" s="579" t="s">
        <v>281</v>
      </c>
      <c r="D6646" s="579"/>
      <c r="E6646" s="583"/>
      <c r="F6646" s="596"/>
      <c r="G6646" s="65">
        <v>0</v>
      </c>
      <c r="H6646" s="591" t="s">
        <v>280</v>
      </c>
      <c r="I6646" s="591" t="s">
        <v>280</v>
      </c>
    </row>
    <row r="6647" spans="1:9">
      <c r="A6647" s="577"/>
      <c r="B6647" s="65">
        <v>6845</v>
      </c>
      <c r="C6647" s="579" t="s">
        <v>281</v>
      </c>
      <c r="D6647" s="579"/>
      <c r="E6647" s="583"/>
      <c r="F6647" s="596"/>
      <c r="G6647" s="65">
        <v>0</v>
      </c>
      <c r="H6647" s="591" t="s">
        <v>280</v>
      </c>
      <c r="I6647" s="591" t="s">
        <v>280</v>
      </c>
    </row>
    <row r="6648" spans="1:9">
      <c r="A6648" s="577"/>
      <c r="B6648" s="65">
        <v>6846</v>
      </c>
      <c r="C6648" s="579" t="s">
        <v>281</v>
      </c>
      <c r="D6648" s="579"/>
      <c r="E6648" s="583"/>
      <c r="F6648" s="596"/>
      <c r="G6648" s="65">
        <v>0</v>
      </c>
      <c r="H6648" s="591" t="s">
        <v>280</v>
      </c>
      <c r="I6648" s="591" t="s">
        <v>280</v>
      </c>
    </row>
    <row r="6649" spans="1:9">
      <c r="A6649" s="577"/>
      <c r="B6649" s="65">
        <v>6847</v>
      </c>
      <c r="C6649" s="579" t="s">
        <v>281</v>
      </c>
      <c r="D6649" s="579"/>
      <c r="E6649" s="583"/>
      <c r="F6649" s="596"/>
      <c r="G6649" s="65">
        <v>0</v>
      </c>
      <c r="H6649" s="591" t="s">
        <v>280</v>
      </c>
      <c r="I6649" s="591" t="s">
        <v>280</v>
      </c>
    </row>
    <row r="6650" spans="1:9">
      <c r="A6650" s="577"/>
      <c r="B6650" s="65">
        <v>6848</v>
      </c>
      <c r="C6650" s="579" t="s">
        <v>281</v>
      </c>
      <c r="D6650" s="579"/>
      <c r="E6650" s="583"/>
      <c r="F6650" s="596"/>
      <c r="G6650" s="65">
        <v>0</v>
      </c>
      <c r="H6650" s="591" t="s">
        <v>280</v>
      </c>
      <c r="I6650" s="591" t="s">
        <v>280</v>
      </c>
    </row>
    <row r="6651" spans="1:9">
      <c r="A6651" s="577"/>
      <c r="B6651" s="65">
        <v>6849</v>
      </c>
      <c r="C6651" s="579" t="s">
        <v>281</v>
      </c>
      <c r="D6651" s="579"/>
      <c r="E6651" s="583"/>
      <c r="F6651" s="596"/>
      <c r="G6651" s="65">
        <v>0</v>
      </c>
      <c r="H6651" s="591" t="s">
        <v>280</v>
      </c>
      <c r="I6651" s="591" t="s">
        <v>280</v>
      </c>
    </row>
    <row r="6652" spans="1:9">
      <c r="A6652" s="577"/>
      <c r="B6652" s="65">
        <v>6850</v>
      </c>
      <c r="C6652" s="579" t="s">
        <v>281</v>
      </c>
      <c r="D6652" s="579"/>
      <c r="E6652" s="583"/>
      <c r="F6652" s="596"/>
      <c r="G6652" s="65">
        <v>0</v>
      </c>
      <c r="H6652" s="591" t="s">
        <v>280</v>
      </c>
      <c r="I6652" s="591" t="s">
        <v>280</v>
      </c>
    </row>
    <row r="6653" spans="1:9">
      <c r="A6653" s="577"/>
      <c r="B6653" s="65">
        <v>6851</v>
      </c>
      <c r="C6653" s="579" t="s">
        <v>281</v>
      </c>
      <c r="D6653" s="579"/>
      <c r="E6653" s="583"/>
      <c r="F6653" s="596"/>
      <c r="G6653" s="65">
        <v>0</v>
      </c>
      <c r="H6653" s="591" t="s">
        <v>280</v>
      </c>
      <c r="I6653" s="591" t="s">
        <v>280</v>
      </c>
    </row>
    <row r="6654" spans="1:9">
      <c r="A6654" s="577"/>
      <c r="B6654" s="65">
        <v>6852</v>
      </c>
      <c r="C6654" s="579" t="s">
        <v>281</v>
      </c>
      <c r="D6654" s="579"/>
      <c r="E6654" s="583"/>
      <c r="F6654" s="596"/>
      <c r="G6654" s="65">
        <v>0</v>
      </c>
      <c r="H6654" s="591" t="s">
        <v>280</v>
      </c>
      <c r="I6654" s="591" t="s">
        <v>280</v>
      </c>
    </row>
    <row r="6655" spans="1:9">
      <c r="A6655" s="577"/>
      <c r="B6655" s="65">
        <v>6853</v>
      </c>
      <c r="C6655" s="579" t="s">
        <v>281</v>
      </c>
      <c r="D6655" s="579"/>
      <c r="E6655" s="583"/>
      <c r="F6655" s="596"/>
      <c r="G6655" s="65">
        <v>0</v>
      </c>
      <c r="H6655" s="591" t="s">
        <v>280</v>
      </c>
      <c r="I6655" s="591" t="s">
        <v>280</v>
      </c>
    </row>
    <row r="6656" spans="1:9">
      <c r="A6656" s="577"/>
      <c r="B6656" s="65">
        <v>6854</v>
      </c>
      <c r="C6656" s="579" t="s">
        <v>281</v>
      </c>
      <c r="D6656" s="579"/>
      <c r="E6656" s="583"/>
      <c r="F6656" s="596"/>
      <c r="G6656" s="65">
        <v>0</v>
      </c>
      <c r="H6656" s="591" t="s">
        <v>280</v>
      </c>
      <c r="I6656" s="591" t="s">
        <v>280</v>
      </c>
    </row>
    <row r="6657" spans="1:9">
      <c r="A6657" s="577"/>
      <c r="B6657" s="65">
        <v>6855</v>
      </c>
      <c r="C6657" s="579" t="s">
        <v>281</v>
      </c>
      <c r="D6657" s="579"/>
      <c r="E6657" s="583"/>
      <c r="F6657" s="596"/>
      <c r="G6657" s="65">
        <v>0</v>
      </c>
      <c r="H6657" s="591" t="s">
        <v>280</v>
      </c>
      <c r="I6657" s="591" t="s">
        <v>280</v>
      </c>
    </row>
    <row r="6658" spans="1:9">
      <c r="A6658" s="577"/>
      <c r="B6658" s="65">
        <v>6856</v>
      </c>
      <c r="C6658" s="579" t="s">
        <v>281</v>
      </c>
      <c r="D6658" s="579"/>
      <c r="E6658" s="583"/>
      <c r="F6658" s="596"/>
      <c r="G6658" s="65">
        <v>0</v>
      </c>
      <c r="H6658" s="591" t="s">
        <v>280</v>
      </c>
      <c r="I6658" s="591" t="s">
        <v>280</v>
      </c>
    </row>
    <row r="6659" spans="1:9">
      <c r="A6659" s="577"/>
      <c r="B6659" s="65">
        <v>6857</v>
      </c>
      <c r="C6659" s="579" t="s">
        <v>281</v>
      </c>
      <c r="D6659" s="579"/>
      <c r="E6659" s="583"/>
      <c r="F6659" s="596"/>
      <c r="G6659" s="65">
        <v>0</v>
      </c>
      <c r="H6659" s="591" t="s">
        <v>280</v>
      </c>
      <c r="I6659" s="591" t="s">
        <v>280</v>
      </c>
    </row>
    <row r="6660" spans="1:9">
      <c r="A6660" s="577"/>
      <c r="B6660" s="65">
        <v>6858</v>
      </c>
      <c r="C6660" s="579" t="s">
        <v>281</v>
      </c>
      <c r="D6660" s="579"/>
      <c r="E6660" s="583"/>
      <c r="F6660" s="596"/>
      <c r="G6660" s="65">
        <v>0</v>
      </c>
      <c r="H6660" s="591" t="s">
        <v>280</v>
      </c>
      <c r="I6660" s="591" t="s">
        <v>280</v>
      </c>
    </row>
    <row r="6661" spans="1:9">
      <c r="A6661" s="577"/>
      <c r="B6661" s="65">
        <v>6859</v>
      </c>
      <c r="C6661" s="579" t="s">
        <v>281</v>
      </c>
      <c r="D6661" s="579"/>
      <c r="E6661" s="583"/>
      <c r="F6661" s="596"/>
      <c r="G6661" s="65">
        <v>0</v>
      </c>
      <c r="H6661" s="591" t="s">
        <v>280</v>
      </c>
      <c r="I6661" s="591" t="s">
        <v>280</v>
      </c>
    </row>
    <row r="6662" spans="1:9">
      <c r="A6662" s="577"/>
      <c r="B6662" s="65">
        <v>6860</v>
      </c>
      <c r="C6662" s="579" t="s">
        <v>281</v>
      </c>
      <c r="D6662" s="579"/>
      <c r="E6662" s="583"/>
      <c r="F6662" s="596"/>
      <c r="G6662" s="65">
        <v>0</v>
      </c>
      <c r="H6662" s="591" t="s">
        <v>280</v>
      </c>
      <c r="I6662" s="591" t="s">
        <v>280</v>
      </c>
    </row>
    <row r="6663" spans="1:9">
      <c r="A6663" s="577"/>
      <c r="B6663" s="65">
        <v>6861</v>
      </c>
      <c r="C6663" s="579" t="s">
        <v>281</v>
      </c>
      <c r="D6663" s="579"/>
      <c r="E6663" s="583"/>
      <c r="F6663" s="596"/>
      <c r="G6663" s="65">
        <v>0</v>
      </c>
      <c r="H6663" s="591" t="s">
        <v>280</v>
      </c>
      <c r="I6663" s="591" t="s">
        <v>280</v>
      </c>
    </row>
    <row r="6664" spans="1:9">
      <c r="A6664" s="577"/>
      <c r="B6664" s="65">
        <v>6862</v>
      </c>
      <c r="C6664" s="579" t="s">
        <v>281</v>
      </c>
      <c r="D6664" s="579"/>
      <c r="E6664" s="583"/>
      <c r="F6664" s="596"/>
      <c r="G6664" s="65">
        <v>0</v>
      </c>
      <c r="H6664" s="591" t="s">
        <v>280</v>
      </c>
      <c r="I6664" s="591" t="s">
        <v>280</v>
      </c>
    </row>
    <row r="6665" spans="1:9">
      <c r="A6665" s="577"/>
      <c r="B6665" s="65">
        <v>6863</v>
      </c>
      <c r="C6665" s="579" t="s">
        <v>281</v>
      </c>
      <c r="D6665" s="579"/>
      <c r="E6665" s="583"/>
      <c r="F6665" s="596"/>
      <c r="G6665" s="65">
        <v>0</v>
      </c>
      <c r="H6665" s="591" t="s">
        <v>280</v>
      </c>
      <c r="I6665" s="591" t="s">
        <v>280</v>
      </c>
    </row>
    <row r="6666" spans="1:9">
      <c r="A6666" s="577"/>
      <c r="B6666" s="65">
        <v>6864</v>
      </c>
      <c r="C6666" s="579" t="s">
        <v>281</v>
      </c>
      <c r="D6666" s="579"/>
      <c r="E6666" s="583"/>
      <c r="F6666" s="596"/>
      <c r="G6666" s="65">
        <v>0</v>
      </c>
      <c r="H6666" s="591" t="s">
        <v>280</v>
      </c>
      <c r="I6666" s="591" t="s">
        <v>280</v>
      </c>
    </row>
    <row r="6667" spans="1:9">
      <c r="A6667" s="577"/>
      <c r="B6667" s="65">
        <v>6865</v>
      </c>
      <c r="C6667" s="579" t="s">
        <v>281</v>
      </c>
      <c r="D6667" s="579"/>
      <c r="E6667" s="583"/>
      <c r="F6667" s="596"/>
      <c r="G6667" s="65">
        <v>0</v>
      </c>
      <c r="H6667" s="591" t="s">
        <v>280</v>
      </c>
      <c r="I6667" s="591" t="s">
        <v>280</v>
      </c>
    </row>
    <row r="6668" spans="1:9">
      <c r="A6668" s="577"/>
      <c r="B6668" s="65">
        <v>6866</v>
      </c>
      <c r="C6668" s="579" t="s">
        <v>281</v>
      </c>
      <c r="D6668" s="579"/>
      <c r="E6668" s="583"/>
      <c r="F6668" s="596"/>
      <c r="G6668" s="65">
        <v>0</v>
      </c>
      <c r="H6668" s="591" t="s">
        <v>280</v>
      </c>
      <c r="I6668" s="591" t="s">
        <v>280</v>
      </c>
    </row>
    <row r="6669" spans="1:9">
      <c r="A6669" s="577"/>
      <c r="B6669" s="65">
        <v>6867</v>
      </c>
      <c r="C6669" s="579" t="s">
        <v>281</v>
      </c>
      <c r="D6669" s="579"/>
      <c r="E6669" s="583"/>
      <c r="F6669" s="596"/>
      <c r="G6669" s="65">
        <v>0</v>
      </c>
      <c r="H6669" s="591" t="s">
        <v>280</v>
      </c>
      <c r="I6669" s="591" t="s">
        <v>280</v>
      </c>
    </row>
    <row r="6670" spans="1:9">
      <c r="A6670" s="577"/>
      <c r="B6670" s="65">
        <v>6868</v>
      </c>
      <c r="C6670" s="579" t="s">
        <v>281</v>
      </c>
      <c r="D6670" s="579"/>
      <c r="E6670" s="583"/>
      <c r="F6670" s="596"/>
      <c r="G6670" s="65">
        <v>0</v>
      </c>
      <c r="H6670" s="591" t="s">
        <v>280</v>
      </c>
      <c r="I6670" s="591" t="s">
        <v>280</v>
      </c>
    </row>
    <row r="6671" spans="1:9">
      <c r="A6671" s="577"/>
      <c r="B6671" s="65">
        <v>6869</v>
      </c>
      <c r="C6671" s="579" t="s">
        <v>281</v>
      </c>
      <c r="D6671" s="579"/>
      <c r="E6671" s="583"/>
      <c r="F6671" s="596"/>
      <c r="G6671" s="65">
        <v>0</v>
      </c>
      <c r="H6671" s="591" t="s">
        <v>280</v>
      </c>
      <c r="I6671" s="591" t="s">
        <v>280</v>
      </c>
    </row>
    <row r="6672" spans="1:9">
      <c r="A6672" s="577"/>
      <c r="B6672" s="65">
        <v>6870</v>
      </c>
      <c r="C6672" s="579" t="s">
        <v>281</v>
      </c>
      <c r="D6672" s="579"/>
      <c r="E6672" s="583"/>
      <c r="F6672" s="596"/>
      <c r="G6672" s="65">
        <v>0</v>
      </c>
      <c r="H6672" s="591" t="s">
        <v>280</v>
      </c>
      <c r="I6672" s="591" t="s">
        <v>280</v>
      </c>
    </row>
    <row r="6673" spans="1:9">
      <c r="A6673" s="577"/>
      <c r="B6673" s="65">
        <v>6871</v>
      </c>
      <c r="C6673" s="579" t="s">
        <v>281</v>
      </c>
      <c r="D6673" s="579"/>
      <c r="E6673" s="583"/>
      <c r="F6673" s="596"/>
      <c r="G6673" s="65">
        <v>0</v>
      </c>
      <c r="H6673" s="591" t="s">
        <v>280</v>
      </c>
      <c r="I6673" s="591" t="s">
        <v>280</v>
      </c>
    </row>
    <row r="6674" spans="1:9">
      <c r="A6674" s="577"/>
      <c r="B6674" s="65">
        <v>6872</v>
      </c>
      <c r="C6674" s="579" t="s">
        <v>281</v>
      </c>
      <c r="D6674" s="579"/>
      <c r="E6674" s="583"/>
      <c r="F6674" s="596"/>
      <c r="G6674" s="65">
        <v>0</v>
      </c>
      <c r="H6674" s="591" t="s">
        <v>280</v>
      </c>
      <c r="I6674" s="591" t="s">
        <v>280</v>
      </c>
    </row>
    <row r="6675" spans="1:9">
      <c r="A6675" s="577"/>
      <c r="B6675" s="65">
        <v>6873</v>
      </c>
      <c r="C6675" s="579" t="s">
        <v>281</v>
      </c>
      <c r="D6675" s="579"/>
      <c r="E6675" s="583"/>
      <c r="F6675" s="596"/>
      <c r="G6675" s="65">
        <v>0</v>
      </c>
      <c r="H6675" s="591" t="s">
        <v>280</v>
      </c>
      <c r="I6675" s="591" t="s">
        <v>280</v>
      </c>
    </row>
    <row r="6676" spans="1:9">
      <c r="A6676" s="577"/>
      <c r="B6676" s="65">
        <v>6874</v>
      </c>
      <c r="C6676" s="579" t="s">
        <v>281</v>
      </c>
      <c r="D6676" s="579"/>
      <c r="E6676" s="583"/>
      <c r="F6676" s="596"/>
      <c r="G6676" s="65">
        <v>0</v>
      </c>
      <c r="H6676" s="591" t="s">
        <v>280</v>
      </c>
      <c r="I6676" s="591" t="s">
        <v>280</v>
      </c>
    </row>
    <row r="6677" spans="1:9">
      <c r="A6677" s="577"/>
      <c r="B6677" s="65">
        <v>6875</v>
      </c>
      <c r="C6677" s="579" t="s">
        <v>281</v>
      </c>
      <c r="D6677" s="579"/>
      <c r="E6677" s="583"/>
      <c r="F6677" s="596"/>
      <c r="G6677" s="65">
        <v>0</v>
      </c>
      <c r="H6677" s="591" t="s">
        <v>280</v>
      </c>
      <c r="I6677" s="591" t="s">
        <v>280</v>
      </c>
    </row>
    <row r="6678" spans="1:9">
      <c r="A6678" s="577"/>
      <c r="B6678" s="65">
        <v>6876</v>
      </c>
      <c r="C6678" s="579" t="s">
        <v>281</v>
      </c>
      <c r="D6678" s="579"/>
      <c r="E6678" s="583"/>
      <c r="F6678" s="596"/>
      <c r="G6678" s="65">
        <v>0</v>
      </c>
      <c r="H6678" s="591" t="s">
        <v>280</v>
      </c>
      <c r="I6678" s="591" t="s">
        <v>280</v>
      </c>
    </row>
    <row r="6679" spans="1:9">
      <c r="A6679" s="577"/>
      <c r="B6679" s="65">
        <v>6877</v>
      </c>
      <c r="C6679" s="579" t="s">
        <v>281</v>
      </c>
      <c r="D6679" s="579"/>
      <c r="E6679" s="583"/>
      <c r="F6679" s="596"/>
      <c r="G6679" s="65">
        <v>0</v>
      </c>
      <c r="H6679" s="591" t="s">
        <v>280</v>
      </c>
      <c r="I6679" s="591" t="s">
        <v>280</v>
      </c>
    </row>
    <row r="6680" spans="1:9">
      <c r="A6680" s="577"/>
      <c r="B6680" s="65">
        <v>6878</v>
      </c>
      <c r="C6680" s="579" t="s">
        <v>281</v>
      </c>
      <c r="D6680" s="579"/>
      <c r="E6680" s="583"/>
      <c r="F6680" s="596"/>
      <c r="G6680" s="65">
        <v>0</v>
      </c>
      <c r="H6680" s="591" t="s">
        <v>280</v>
      </c>
      <c r="I6680" s="591" t="s">
        <v>280</v>
      </c>
    </row>
    <row r="6681" spans="1:9">
      <c r="A6681" s="577"/>
      <c r="B6681" s="65">
        <v>6879</v>
      </c>
      <c r="C6681" s="579" t="s">
        <v>281</v>
      </c>
      <c r="D6681" s="579"/>
      <c r="E6681" s="583"/>
      <c r="F6681" s="596"/>
      <c r="G6681" s="65">
        <v>0</v>
      </c>
      <c r="H6681" s="591" t="s">
        <v>280</v>
      </c>
      <c r="I6681" s="591" t="s">
        <v>280</v>
      </c>
    </row>
    <row r="6682" spans="1:9">
      <c r="A6682" s="577"/>
      <c r="B6682" s="65">
        <v>6880</v>
      </c>
      <c r="C6682" s="579" t="s">
        <v>281</v>
      </c>
      <c r="D6682" s="579"/>
      <c r="E6682" s="583"/>
      <c r="F6682" s="596"/>
      <c r="G6682" s="65">
        <v>0</v>
      </c>
      <c r="H6682" s="591" t="s">
        <v>280</v>
      </c>
      <c r="I6682" s="591" t="s">
        <v>280</v>
      </c>
    </row>
    <row r="6683" spans="1:9">
      <c r="A6683" s="577"/>
      <c r="B6683" s="65">
        <v>6881</v>
      </c>
      <c r="C6683" s="579" t="s">
        <v>281</v>
      </c>
      <c r="D6683" s="579"/>
      <c r="E6683" s="583"/>
      <c r="F6683" s="596"/>
      <c r="G6683" s="65">
        <v>0</v>
      </c>
      <c r="H6683" s="591" t="s">
        <v>280</v>
      </c>
      <c r="I6683" s="591" t="s">
        <v>280</v>
      </c>
    </row>
    <row r="6684" spans="1:9">
      <c r="A6684" s="577"/>
      <c r="B6684" s="65">
        <v>6882</v>
      </c>
      <c r="C6684" s="579" t="s">
        <v>281</v>
      </c>
      <c r="D6684" s="579"/>
      <c r="E6684" s="583"/>
      <c r="F6684" s="596"/>
      <c r="G6684" s="65">
        <v>0</v>
      </c>
      <c r="H6684" s="591" t="s">
        <v>280</v>
      </c>
      <c r="I6684" s="591" t="s">
        <v>280</v>
      </c>
    </row>
    <row r="6685" spans="1:9">
      <c r="A6685" s="577"/>
      <c r="B6685" s="65">
        <v>6883</v>
      </c>
      <c r="C6685" s="579" t="s">
        <v>281</v>
      </c>
      <c r="D6685" s="579"/>
      <c r="E6685" s="583"/>
      <c r="F6685" s="596"/>
      <c r="G6685" s="65">
        <v>0</v>
      </c>
      <c r="H6685" s="591" t="s">
        <v>280</v>
      </c>
      <c r="I6685" s="591" t="s">
        <v>280</v>
      </c>
    </row>
    <row r="6686" spans="1:9">
      <c r="A6686" s="577"/>
      <c r="B6686" s="65">
        <v>6884</v>
      </c>
      <c r="C6686" s="579" t="s">
        <v>281</v>
      </c>
      <c r="D6686" s="579"/>
      <c r="E6686" s="583"/>
      <c r="F6686" s="596"/>
      <c r="G6686" s="65">
        <v>0</v>
      </c>
      <c r="H6686" s="591" t="s">
        <v>280</v>
      </c>
      <c r="I6686" s="591" t="s">
        <v>280</v>
      </c>
    </row>
    <row r="6687" spans="1:9">
      <c r="A6687" s="577"/>
      <c r="B6687" s="65">
        <v>6885</v>
      </c>
      <c r="C6687" s="579" t="s">
        <v>281</v>
      </c>
      <c r="D6687" s="579"/>
      <c r="E6687" s="583"/>
      <c r="F6687" s="596"/>
      <c r="G6687" s="65">
        <v>0</v>
      </c>
      <c r="H6687" s="591" t="s">
        <v>280</v>
      </c>
      <c r="I6687" s="591" t="s">
        <v>280</v>
      </c>
    </row>
    <row r="6688" spans="1:9">
      <c r="A6688" s="577"/>
      <c r="B6688" s="65">
        <v>6886</v>
      </c>
      <c r="C6688" s="579" t="s">
        <v>281</v>
      </c>
      <c r="D6688" s="579"/>
      <c r="E6688" s="583"/>
      <c r="F6688" s="596"/>
      <c r="G6688" s="65">
        <v>0</v>
      </c>
      <c r="H6688" s="591" t="s">
        <v>280</v>
      </c>
      <c r="I6688" s="591" t="s">
        <v>280</v>
      </c>
    </row>
    <row r="6689" spans="1:9">
      <c r="A6689" s="577"/>
      <c r="B6689" s="65">
        <v>6887</v>
      </c>
      <c r="C6689" s="579" t="s">
        <v>281</v>
      </c>
      <c r="D6689" s="579"/>
      <c r="E6689" s="583"/>
      <c r="F6689" s="596"/>
      <c r="G6689" s="65">
        <v>0</v>
      </c>
      <c r="H6689" s="591" t="s">
        <v>280</v>
      </c>
      <c r="I6689" s="591" t="s">
        <v>280</v>
      </c>
    </row>
    <row r="6690" spans="1:9">
      <c r="A6690" s="577"/>
      <c r="B6690" s="65">
        <v>6888</v>
      </c>
      <c r="C6690" s="579" t="s">
        <v>281</v>
      </c>
      <c r="D6690" s="579"/>
      <c r="E6690" s="583"/>
      <c r="F6690" s="596"/>
      <c r="G6690" s="65">
        <v>0</v>
      </c>
      <c r="H6690" s="591" t="s">
        <v>280</v>
      </c>
      <c r="I6690" s="591" t="s">
        <v>280</v>
      </c>
    </row>
    <row r="6691" spans="1:9">
      <c r="A6691" s="577"/>
      <c r="B6691" s="65">
        <v>6889</v>
      </c>
      <c r="C6691" s="579" t="s">
        <v>281</v>
      </c>
      <c r="D6691" s="579"/>
      <c r="E6691" s="583"/>
      <c r="F6691" s="596"/>
      <c r="G6691" s="65">
        <v>0</v>
      </c>
      <c r="H6691" s="591" t="s">
        <v>280</v>
      </c>
      <c r="I6691" s="591" t="s">
        <v>280</v>
      </c>
    </row>
    <row r="6692" spans="1:9">
      <c r="A6692" s="577"/>
      <c r="B6692" s="65">
        <v>6890</v>
      </c>
      <c r="C6692" s="579" t="s">
        <v>281</v>
      </c>
      <c r="D6692" s="579"/>
      <c r="E6692" s="583"/>
      <c r="F6692" s="596"/>
      <c r="G6692" s="65">
        <v>0</v>
      </c>
      <c r="H6692" s="591" t="s">
        <v>280</v>
      </c>
      <c r="I6692" s="591" t="s">
        <v>280</v>
      </c>
    </row>
    <row r="6693" spans="1:9">
      <c r="A6693" s="577"/>
      <c r="B6693" s="65">
        <v>6891</v>
      </c>
      <c r="C6693" s="579" t="s">
        <v>281</v>
      </c>
      <c r="D6693" s="579"/>
      <c r="E6693" s="583"/>
      <c r="F6693" s="596"/>
      <c r="G6693" s="65">
        <v>0</v>
      </c>
      <c r="H6693" s="591" t="s">
        <v>280</v>
      </c>
      <c r="I6693" s="591" t="s">
        <v>280</v>
      </c>
    </row>
    <row r="6694" spans="1:9">
      <c r="A6694" s="577"/>
      <c r="B6694" s="65">
        <v>6892</v>
      </c>
      <c r="C6694" s="579" t="s">
        <v>281</v>
      </c>
      <c r="D6694" s="579"/>
      <c r="E6694" s="583"/>
      <c r="F6694" s="596"/>
      <c r="G6694" s="65">
        <v>0</v>
      </c>
      <c r="H6694" s="591" t="s">
        <v>280</v>
      </c>
      <c r="I6694" s="591" t="s">
        <v>280</v>
      </c>
    </row>
    <row r="6695" spans="1:9">
      <c r="A6695" s="577"/>
      <c r="B6695" s="65">
        <v>6893</v>
      </c>
      <c r="C6695" s="579" t="s">
        <v>281</v>
      </c>
      <c r="D6695" s="579"/>
      <c r="E6695" s="583"/>
      <c r="F6695" s="596"/>
      <c r="G6695" s="65">
        <v>0</v>
      </c>
      <c r="H6695" s="591" t="s">
        <v>280</v>
      </c>
      <c r="I6695" s="591" t="s">
        <v>280</v>
      </c>
    </row>
    <row r="6696" spans="1:9">
      <c r="A6696" s="577"/>
      <c r="B6696" s="65">
        <v>6894</v>
      </c>
      <c r="C6696" s="579" t="s">
        <v>281</v>
      </c>
      <c r="D6696" s="579"/>
      <c r="E6696" s="583"/>
      <c r="F6696" s="596"/>
      <c r="G6696" s="65">
        <v>0</v>
      </c>
      <c r="H6696" s="591" t="s">
        <v>280</v>
      </c>
      <c r="I6696" s="591" t="s">
        <v>280</v>
      </c>
    </row>
    <row r="6697" spans="1:9">
      <c r="A6697" s="577"/>
      <c r="B6697" s="65">
        <v>6895</v>
      </c>
      <c r="C6697" s="579" t="s">
        <v>281</v>
      </c>
      <c r="D6697" s="579"/>
      <c r="E6697" s="583"/>
      <c r="F6697" s="596"/>
      <c r="G6697" s="65">
        <v>0</v>
      </c>
      <c r="H6697" s="591" t="s">
        <v>280</v>
      </c>
      <c r="I6697" s="591" t="s">
        <v>280</v>
      </c>
    </row>
    <row r="6698" spans="1:9">
      <c r="A6698" s="577"/>
      <c r="B6698" s="65">
        <v>6896</v>
      </c>
      <c r="C6698" s="579" t="s">
        <v>281</v>
      </c>
      <c r="D6698" s="579"/>
      <c r="E6698" s="583"/>
      <c r="F6698" s="596"/>
      <c r="G6698" s="65">
        <v>0</v>
      </c>
      <c r="H6698" s="591" t="s">
        <v>280</v>
      </c>
      <c r="I6698" s="591" t="s">
        <v>280</v>
      </c>
    </row>
    <row r="6699" spans="1:9">
      <c r="A6699" s="577"/>
      <c r="B6699" s="65">
        <v>6897</v>
      </c>
      <c r="C6699" s="579" t="s">
        <v>281</v>
      </c>
      <c r="D6699" s="579"/>
      <c r="E6699" s="583"/>
      <c r="F6699" s="596"/>
      <c r="G6699" s="65">
        <v>0</v>
      </c>
      <c r="H6699" s="591" t="s">
        <v>280</v>
      </c>
      <c r="I6699" s="591" t="s">
        <v>280</v>
      </c>
    </row>
    <row r="6700" spans="1:9">
      <c r="A6700" s="577"/>
      <c r="B6700" s="65">
        <v>6898</v>
      </c>
      <c r="C6700" s="579" t="s">
        <v>281</v>
      </c>
      <c r="D6700" s="579"/>
      <c r="E6700" s="583"/>
      <c r="F6700" s="596"/>
      <c r="G6700" s="65">
        <v>0</v>
      </c>
      <c r="H6700" s="591" t="s">
        <v>280</v>
      </c>
      <c r="I6700" s="591" t="s">
        <v>280</v>
      </c>
    </row>
    <row r="6701" spans="1:9">
      <c r="A6701" s="577"/>
      <c r="B6701" s="65">
        <v>6899</v>
      </c>
      <c r="C6701" s="579" t="s">
        <v>281</v>
      </c>
      <c r="D6701" s="579"/>
      <c r="E6701" s="583"/>
      <c r="F6701" s="596"/>
      <c r="G6701" s="65">
        <v>0</v>
      </c>
      <c r="H6701" s="591" t="s">
        <v>280</v>
      </c>
      <c r="I6701" s="591" t="s">
        <v>280</v>
      </c>
    </row>
    <row r="6702" spans="1:9">
      <c r="A6702" s="577"/>
      <c r="B6702" s="65">
        <v>6900</v>
      </c>
      <c r="C6702" s="579" t="s">
        <v>281</v>
      </c>
      <c r="D6702" s="579"/>
      <c r="E6702" s="583"/>
      <c r="F6702" s="596"/>
      <c r="G6702" s="65">
        <v>0</v>
      </c>
      <c r="H6702" s="591" t="s">
        <v>280</v>
      </c>
      <c r="I6702" s="591" t="s">
        <v>280</v>
      </c>
    </row>
    <row r="6703" spans="1:9">
      <c r="A6703" s="577"/>
      <c r="B6703" s="65">
        <v>6901</v>
      </c>
      <c r="C6703" s="579" t="s">
        <v>281</v>
      </c>
      <c r="D6703" s="579"/>
      <c r="E6703" s="583"/>
      <c r="F6703" s="596"/>
      <c r="G6703" s="65">
        <v>0</v>
      </c>
      <c r="H6703" s="591" t="s">
        <v>280</v>
      </c>
      <c r="I6703" s="591" t="s">
        <v>280</v>
      </c>
    </row>
    <row r="6704" spans="1:9">
      <c r="A6704" s="577"/>
      <c r="B6704" s="65">
        <v>6902</v>
      </c>
      <c r="C6704" s="579" t="s">
        <v>281</v>
      </c>
      <c r="D6704" s="579"/>
      <c r="E6704" s="583"/>
      <c r="F6704" s="596"/>
      <c r="G6704" s="65">
        <v>0</v>
      </c>
      <c r="H6704" s="591" t="s">
        <v>280</v>
      </c>
      <c r="I6704" s="591" t="s">
        <v>280</v>
      </c>
    </row>
    <row r="6705" spans="1:9">
      <c r="A6705" s="577"/>
      <c r="B6705" s="65">
        <v>6903</v>
      </c>
      <c r="C6705" s="579" t="s">
        <v>281</v>
      </c>
      <c r="D6705" s="579"/>
      <c r="E6705" s="583"/>
      <c r="F6705" s="596"/>
      <c r="G6705" s="65">
        <v>0</v>
      </c>
      <c r="H6705" s="591" t="s">
        <v>280</v>
      </c>
      <c r="I6705" s="591" t="s">
        <v>280</v>
      </c>
    </row>
    <row r="6706" spans="1:9">
      <c r="A6706" s="577"/>
      <c r="B6706" s="65">
        <v>6904</v>
      </c>
      <c r="C6706" s="579" t="s">
        <v>281</v>
      </c>
      <c r="D6706" s="579"/>
      <c r="E6706" s="583"/>
      <c r="F6706" s="596"/>
      <c r="G6706" s="65">
        <v>0</v>
      </c>
      <c r="H6706" s="591" t="s">
        <v>280</v>
      </c>
      <c r="I6706" s="591" t="s">
        <v>280</v>
      </c>
    </row>
    <row r="6707" spans="1:9">
      <c r="A6707" s="577"/>
      <c r="B6707" s="65">
        <v>6905</v>
      </c>
      <c r="C6707" s="579" t="s">
        <v>281</v>
      </c>
      <c r="D6707" s="579"/>
      <c r="E6707" s="583"/>
      <c r="F6707" s="596"/>
      <c r="G6707" s="65">
        <v>0</v>
      </c>
      <c r="H6707" s="591" t="s">
        <v>280</v>
      </c>
      <c r="I6707" s="591" t="s">
        <v>280</v>
      </c>
    </row>
    <row r="6708" spans="1:9">
      <c r="A6708" s="577"/>
      <c r="B6708" s="65">
        <v>6906</v>
      </c>
      <c r="C6708" s="579" t="s">
        <v>281</v>
      </c>
      <c r="D6708" s="579"/>
      <c r="E6708" s="583"/>
      <c r="F6708" s="596"/>
      <c r="G6708" s="65">
        <v>0</v>
      </c>
      <c r="H6708" s="591" t="s">
        <v>280</v>
      </c>
      <c r="I6708" s="591" t="s">
        <v>280</v>
      </c>
    </row>
    <row r="6709" spans="1:9">
      <c r="A6709" s="577"/>
      <c r="B6709" s="65">
        <v>6907</v>
      </c>
      <c r="C6709" s="579" t="s">
        <v>281</v>
      </c>
      <c r="D6709" s="579"/>
      <c r="E6709" s="583"/>
      <c r="F6709" s="596"/>
      <c r="G6709" s="65">
        <v>0</v>
      </c>
      <c r="H6709" s="591" t="s">
        <v>280</v>
      </c>
      <c r="I6709" s="591" t="s">
        <v>280</v>
      </c>
    </row>
    <row r="6710" spans="1:9">
      <c r="A6710" s="577"/>
      <c r="B6710" s="65">
        <v>6908</v>
      </c>
      <c r="C6710" s="579" t="s">
        <v>281</v>
      </c>
      <c r="D6710" s="579"/>
      <c r="E6710" s="583"/>
      <c r="F6710" s="596"/>
      <c r="G6710" s="65">
        <v>0</v>
      </c>
      <c r="H6710" s="591" t="s">
        <v>280</v>
      </c>
      <c r="I6710" s="591" t="s">
        <v>280</v>
      </c>
    </row>
    <row r="6711" spans="1:9">
      <c r="A6711" s="577"/>
      <c r="B6711" s="65">
        <v>6909</v>
      </c>
      <c r="C6711" s="579" t="s">
        <v>281</v>
      </c>
      <c r="D6711" s="579"/>
      <c r="E6711" s="583"/>
      <c r="F6711" s="596"/>
      <c r="G6711" s="65">
        <v>0</v>
      </c>
      <c r="H6711" s="591" t="s">
        <v>280</v>
      </c>
      <c r="I6711" s="591" t="s">
        <v>280</v>
      </c>
    </row>
    <row r="6712" spans="1:9">
      <c r="A6712" s="577"/>
      <c r="B6712" s="65">
        <v>6910</v>
      </c>
      <c r="C6712" s="579" t="s">
        <v>281</v>
      </c>
      <c r="D6712" s="579"/>
      <c r="E6712" s="583"/>
      <c r="F6712" s="596"/>
      <c r="G6712" s="65">
        <v>0</v>
      </c>
      <c r="H6712" s="591" t="s">
        <v>280</v>
      </c>
      <c r="I6712" s="591" t="s">
        <v>280</v>
      </c>
    </row>
    <row r="6713" spans="1:9">
      <c r="A6713" s="577"/>
      <c r="B6713" s="65">
        <v>6911</v>
      </c>
      <c r="C6713" s="579" t="s">
        <v>281</v>
      </c>
      <c r="D6713" s="579"/>
      <c r="E6713" s="583"/>
      <c r="F6713" s="596"/>
      <c r="G6713" s="65">
        <v>0</v>
      </c>
      <c r="H6713" s="591" t="s">
        <v>280</v>
      </c>
      <c r="I6713" s="591" t="s">
        <v>280</v>
      </c>
    </row>
    <row r="6714" spans="1:9">
      <c r="A6714" s="577"/>
      <c r="B6714" s="65">
        <v>6912</v>
      </c>
      <c r="C6714" s="579" t="s">
        <v>281</v>
      </c>
      <c r="D6714" s="579"/>
      <c r="E6714" s="583"/>
      <c r="F6714" s="596"/>
      <c r="G6714" s="65">
        <v>0</v>
      </c>
      <c r="H6714" s="591" t="s">
        <v>280</v>
      </c>
      <c r="I6714" s="591" t="s">
        <v>280</v>
      </c>
    </row>
    <row r="6715" spans="1:9">
      <c r="A6715" s="577"/>
      <c r="B6715" s="65">
        <v>6913</v>
      </c>
      <c r="C6715" s="579" t="s">
        <v>281</v>
      </c>
      <c r="D6715" s="579"/>
      <c r="E6715" s="583"/>
      <c r="F6715" s="596"/>
      <c r="G6715" s="65">
        <v>0</v>
      </c>
      <c r="H6715" s="591" t="s">
        <v>280</v>
      </c>
      <c r="I6715" s="591" t="s">
        <v>280</v>
      </c>
    </row>
    <row r="6716" spans="1:9">
      <c r="A6716" s="577"/>
      <c r="B6716" s="65">
        <v>6914</v>
      </c>
      <c r="C6716" s="579" t="s">
        <v>281</v>
      </c>
      <c r="D6716" s="579"/>
      <c r="E6716" s="583"/>
      <c r="F6716" s="596"/>
      <c r="G6716" s="65">
        <v>0</v>
      </c>
      <c r="H6716" s="591" t="s">
        <v>280</v>
      </c>
      <c r="I6716" s="591" t="s">
        <v>280</v>
      </c>
    </row>
    <row r="6717" spans="1:9">
      <c r="A6717" s="577"/>
      <c r="B6717" s="65">
        <v>6915</v>
      </c>
      <c r="C6717" s="579" t="s">
        <v>281</v>
      </c>
      <c r="D6717" s="579"/>
      <c r="E6717" s="583"/>
      <c r="F6717" s="596"/>
      <c r="G6717" s="65">
        <v>0</v>
      </c>
      <c r="H6717" s="591" t="s">
        <v>280</v>
      </c>
      <c r="I6717" s="591" t="s">
        <v>280</v>
      </c>
    </row>
    <row r="6718" spans="1:9">
      <c r="A6718" s="577"/>
      <c r="B6718" s="65">
        <v>6916</v>
      </c>
      <c r="C6718" s="579" t="s">
        <v>281</v>
      </c>
      <c r="D6718" s="579"/>
      <c r="E6718" s="583"/>
      <c r="F6718" s="596"/>
      <c r="G6718" s="65">
        <v>0</v>
      </c>
      <c r="H6718" s="591" t="s">
        <v>280</v>
      </c>
      <c r="I6718" s="591" t="s">
        <v>280</v>
      </c>
    </row>
    <row r="6719" spans="1:9">
      <c r="A6719" s="577"/>
      <c r="B6719" s="65">
        <v>6917</v>
      </c>
      <c r="C6719" s="579" t="s">
        <v>281</v>
      </c>
      <c r="D6719" s="579"/>
      <c r="E6719" s="583"/>
      <c r="F6719" s="596"/>
      <c r="G6719" s="65">
        <v>0</v>
      </c>
      <c r="H6719" s="591" t="s">
        <v>280</v>
      </c>
      <c r="I6719" s="591" t="s">
        <v>280</v>
      </c>
    </row>
    <row r="6720" spans="1:9">
      <c r="A6720" s="577"/>
      <c r="B6720" s="65">
        <v>6918</v>
      </c>
      <c r="C6720" s="579" t="s">
        <v>281</v>
      </c>
      <c r="D6720" s="579"/>
      <c r="E6720" s="583"/>
      <c r="F6720" s="596"/>
      <c r="G6720" s="65">
        <v>0</v>
      </c>
      <c r="H6720" s="591" t="s">
        <v>280</v>
      </c>
      <c r="I6720" s="591" t="s">
        <v>280</v>
      </c>
    </row>
    <row r="6721" spans="1:9">
      <c r="A6721" s="577"/>
      <c r="B6721" s="65">
        <v>6919</v>
      </c>
      <c r="C6721" s="579" t="s">
        <v>281</v>
      </c>
      <c r="D6721" s="579"/>
      <c r="E6721" s="583"/>
      <c r="F6721" s="596"/>
      <c r="G6721" s="65">
        <v>0</v>
      </c>
      <c r="H6721" s="591" t="s">
        <v>280</v>
      </c>
      <c r="I6721" s="591" t="s">
        <v>280</v>
      </c>
    </row>
    <row r="6722" spans="1:9">
      <c r="A6722" s="577"/>
      <c r="B6722" s="65">
        <v>6920</v>
      </c>
      <c r="C6722" s="579" t="s">
        <v>281</v>
      </c>
      <c r="D6722" s="579"/>
      <c r="E6722" s="583"/>
      <c r="F6722" s="596"/>
      <c r="G6722" s="65">
        <v>0</v>
      </c>
      <c r="H6722" s="591" t="s">
        <v>280</v>
      </c>
      <c r="I6722" s="591" t="s">
        <v>280</v>
      </c>
    </row>
    <row r="6723" spans="1:9">
      <c r="A6723" s="577"/>
      <c r="B6723" s="65">
        <v>6921</v>
      </c>
      <c r="C6723" s="579" t="s">
        <v>281</v>
      </c>
      <c r="D6723" s="579"/>
      <c r="E6723" s="583"/>
      <c r="F6723" s="596"/>
      <c r="G6723" s="65">
        <v>0</v>
      </c>
      <c r="H6723" s="591" t="s">
        <v>280</v>
      </c>
      <c r="I6723" s="591" t="s">
        <v>280</v>
      </c>
    </row>
    <row r="6724" spans="1:9">
      <c r="A6724" s="577"/>
      <c r="B6724" s="65">
        <v>6922</v>
      </c>
      <c r="C6724" s="579" t="s">
        <v>281</v>
      </c>
      <c r="D6724" s="579"/>
      <c r="E6724" s="583"/>
      <c r="F6724" s="596"/>
      <c r="G6724" s="65">
        <v>0</v>
      </c>
      <c r="H6724" s="591" t="s">
        <v>280</v>
      </c>
      <c r="I6724" s="591" t="s">
        <v>280</v>
      </c>
    </row>
    <row r="6725" spans="1:9">
      <c r="A6725" s="577"/>
      <c r="B6725" s="65">
        <v>6923</v>
      </c>
      <c r="C6725" s="579" t="s">
        <v>281</v>
      </c>
      <c r="D6725" s="579"/>
      <c r="E6725" s="583"/>
      <c r="F6725" s="596"/>
      <c r="G6725" s="65">
        <v>0</v>
      </c>
      <c r="H6725" s="591" t="s">
        <v>280</v>
      </c>
      <c r="I6725" s="591" t="s">
        <v>280</v>
      </c>
    </row>
    <row r="6726" spans="1:9">
      <c r="A6726" s="577"/>
      <c r="B6726" s="65">
        <v>6924</v>
      </c>
      <c r="C6726" s="579" t="s">
        <v>281</v>
      </c>
      <c r="D6726" s="579"/>
      <c r="E6726" s="583"/>
      <c r="F6726" s="596"/>
      <c r="G6726" s="65">
        <v>0</v>
      </c>
      <c r="H6726" s="591" t="s">
        <v>280</v>
      </c>
      <c r="I6726" s="591" t="s">
        <v>280</v>
      </c>
    </row>
    <row r="6727" spans="1:9">
      <c r="A6727" s="577"/>
      <c r="B6727" s="65">
        <v>6925</v>
      </c>
      <c r="C6727" s="579" t="s">
        <v>281</v>
      </c>
      <c r="D6727" s="579"/>
      <c r="E6727" s="583"/>
      <c r="F6727" s="596"/>
      <c r="G6727" s="65">
        <v>0</v>
      </c>
      <c r="H6727" s="591" t="s">
        <v>280</v>
      </c>
      <c r="I6727" s="591" t="s">
        <v>280</v>
      </c>
    </row>
    <row r="6728" spans="1:9">
      <c r="A6728" s="577"/>
      <c r="B6728" s="65">
        <v>6926</v>
      </c>
      <c r="C6728" s="579" t="s">
        <v>281</v>
      </c>
      <c r="D6728" s="579"/>
      <c r="E6728" s="583"/>
      <c r="F6728" s="596"/>
      <c r="G6728" s="65">
        <v>0</v>
      </c>
      <c r="H6728" s="591" t="s">
        <v>280</v>
      </c>
      <c r="I6728" s="591" t="s">
        <v>280</v>
      </c>
    </row>
    <row r="6729" spans="1:9">
      <c r="A6729" s="577"/>
      <c r="B6729" s="65">
        <v>6927</v>
      </c>
      <c r="C6729" s="579" t="s">
        <v>281</v>
      </c>
      <c r="D6729" s="579"/>
      <c r="E6729" s="583"/>
      <c r="F6729" s="596"/>
      <c r="G6729" s="65">
        <v>0</v>
      </c>
      <c r="H6729" s="591" t="s">
        <v>280</v>
      </c>
      <c r="I6729" s="591" t="s">
        <v>280</v>
      </c>
    </row>
    <row r="6730" spans="1:9">
      <c r="A6730" s="577"/>
      <c r="B6730" s="65">
        <v>6928</v>
      </c>
      <c r="C6730" s="579" t="s">
        <v>281</v>
      </c>
      <c r="D6730" s="579"/>
      <c r="E6730" s="583"/>
      <c r="F6730" s="596"/>
      <c r="G6730" s="65">
        <v>0</v>
      </c>
      <c r="H6730" s="591" t="s">
        <v>280</v>
      </c>
      <c r="I6730" s="591" t="s">
        <v>280</v>
      </c>
    </row>
    <row r="6731" spans="1:9">
      <c r="A6731" s="577"/>
      <c r="B6731" s="65">
        <v>6929</v>
      </c>
      <c r="C6731" s="579" t="s">
        <v>281</v>
      </c>
      <c r="D6731" s="579"/>
      <c r="E6731" s="583"/>
      <c r="F6731" s="596"/>
      <c r="G6731" s="65">
        <v>0</v>
      </c>
      <c r="H6731" s="591" t="s">
        <v>280</v>
      </c>
      <c r="I6731" s="591" t="s">
        <v>280</v>
      </c>
    </row>
    <row r="6732" spans="1:9">
      <c r="A6732" s="577"/>
      <c r="B6732" s="65">
        <v>6930</v>
      </c>
      <c r="C6732" s="579" t="s">
        <v>281</v>
      </c>
      <c r="D6732" s="579"/>
      <c r="E6732" s="583"/>
      <c r="F6732" s="596"/>
      <c r="G6732" s="65">
        <v>0</v>
      </c>
      <c r="H6732" s="591" t="s">
        <v>280</v>
      </c>
      <c r="I6732" s="591" t="s">
        <v>280</v>
      </c>
    </row>
    <row r="6733" spans="1:9">
      <c r="A6733" s="577"/>
      <c r="B6733" s="65">
        <v>6931</v>
      </c>
      <c r="C6733" s="579" t="s">
        <v>281</v>
      </c>
      <c r="D6733" s="579"/>
      <c r="E6733" s="583"/>
      <c r="F6733" s="596"/>
      <c r="G6733" s="65">
        <v>0</v>
      </c>
      <c r="H6733" s="591" t="s">
        <v>280</v>
      </c>
      <c r="I6733" s="591" t="s">
        <v>280</v>
      </c>
    </row>
    <row r="6734" spans="1:9">
      <c r="A6734" s="577"/>
      <c r="B6734" s="65">
        <v>6932</v>
      </c>
      <c r="C6734" s="579" t="s">
        <v>281</v>
      </c>
      <c r="D6734" s="579"/>
      <c r="E6734" s="583"/>
      <c r="F6734" s="596"/>
      <c r="G6734" s="65">
        <v>0</v>
      </c>
      <c r="H6734" s="591" t="s">
        <v>280</v>
      </c>
      <c r="I6734" s="591" t="s">
        <v>280</v>
      </c>
    </row>
    <row r="6735" spans="1:9">
      <c r="A6735" s="577"/>
      <c r="B6735" s="65">
        <v>6933</v>
      </c>
      <c r="C6735" s="579" t="s">
        <v>281</v>
      </c>
      <c r="D6735" s="579"/>
      <c r="E6735" s="583"/>
      <c r="F6735" s="596"/>
      <c r="G6735" s="65">
        <v>0</v>
      </c>
      <c r="H6735" s="591" t="s">
        <v>280</v>
      </c>
      <c r="I6735" s="591" t="s">
        <v>280</v>
      </c>
    </row>
    <row r="6736" spans="1:9">
      <c r="A6736" s="577"/>
      <c r="B6736" s="65">
        <v>6934</v>
      </c>
      <c r="C6736" s="579" t="s">
        <v>281</v>
      </c>
      <c r="D6736" s="579"/>
      <c r="E6736" s="583"/>
      <c r="F6736" s="596"/>
      <c r="G6736" s="65">
        <v>0</v>
      </c>
      <c r="H6736" s="591" t="s">
        <v>280</v>
      </c>
      <c r="I6736" s="591" t="s">
        <v>280</v>
      </c>
    </row>
    <row r="6737" spans="1:9">
      <c r="A6737" s="577"/>
      <c r="B6737" s="65">
        <v>6935</v>
      </c>
      <c r="C6737" s="579" t="s">
        <v>281</v>
      </c>
      <c r="D6737" s="579"/>
      <c r="E6737" s="583"/>
      <c r="F6737" s="596"/>
      <c r="G6737" s="65">
        <v>0</v>
      </c>
      <c r="H6737" s="591" t="s">
        <v>280</v>
      </c>
      <c r="I6737" s="591" t="s">
        <v>280</v>
      </c>
    </row>
    <row r="6738" spans="1:9">
      <c r="A6738" s="577"/>
      <c r="B6738" s="65">
        <v>6936</v>
      </c>
      <c r="C6738" s="579" t="s">
        <v>281</v>
      </c>
      <c r="D6738" s="579"/>
      <c r="E6738" s="583"/>
      <c r="F6738" s="596"/>
      <c r="G6738" s="65">
        <v>0</v>
      </c>
      <c r="H6738" s="591" t="s">
        <v>280</v>
      </c>
      <c r="I6738" s="591" t="s">
        <v>280</v>
      </c>
    </row>
    <row r="6739" spans="1:9">
      <c r="A6739" s="577"/>
      <c r="B6739" s="65">
        <v>6937</v>
      </c>
      <c r="C6739" s="579" t="s">
        <v>281</v>
      </c>
      <c r="D6739" s="579"/>
      <c r="E6739" s="583"/>
      <c r="F6739" s="596"/>
      <c r="G6739" s="65">
        <v>0</v>
      </c>
      <c r="H6739" s="591" t="s">
        <v>280</v>
      </c>
      <c r="I6739" s="591" t="s">
        <v>280</v>
      </c>
    </row>
    <row r="6740" spans="1:9">
      <c r="A6740" s="577"/>
      <c r="B6740" s="65">
        <v>6938</v>
      </c>
      <c r="C6740" s="579" t="s">
        <v>281</v>
      </c>
      <c r="D6740" s="579"/>
      <c r="E6740" s="583"/>
      <c r="F6740" s="596"/>
      <c r="G6740" s="65">
        <v>0</v>
      </c>
      <c r="H6740" s="591" t="s">
        <v>280</v>
      </c>
      <c r="I6740" s="591" t="s">
        <v>280</v>
      </c>
    </row>
    <row r="6741" spans="1:9">
      <c r="A6741" s="577"/>
      <c r="B6741" s="65">
        <v>6939</v>
      </c>
      <c r="C6741" s="579" t="s">
        <v>281</v>
      </c>
      <c r="D6741" s="579"/>
      <c r="E6741" s="583"/>
      <c r="F6741" s="596"/>
      <c r="G6741" s="65">
        <v>0</v>
      </c>
      <c r="H6741" s="591" t="s">
        <v>280</v>
      </c>
      <c r="I6741" s="591" t="s">
        <v>280</v>
      </c>
    </row>
    <row r="6742" spans="1:9">
      <c r="A6742" s="577"/>
      <c r="B6742" s="65">
        <v>6940</v>
      </c>
      <c r="C6742" s="579" t="s">
        <v>281</v>
      </c>
      <c r="D6742" s="579"/>
      <c r="E6742" s="583"/>
      <c r="F6742" s="596"/>
      <c r="G6742" s="65">
        <v>0</v>
      </c>
      <c r="H6742" s="591" t="s">
        <v>280</v>
      </c>
      <c r="I6742" s="591" t="s">
        <v>280</v>
      </c>
    </row>
    <row r="6743" spans="1:9">
      <c r="A6743" s="577"/>
      <c r="B6743" s="65">
        <v>6941</v>
      </c>
      <c r="C6743" s="579" t="s">
        <v>281</v>
      </c>
      <c r="D6743" s="579"/>
      <c r="E6743" s="583"/>
      <c r="F6743" s="596"/>
      <c r="G6743" s="65">
        <v>0</v>
      </c>
      <c r="H6743" s="591" t="s">
        <v>280</v>
      </c>
      <c r="I6743" s="591" t="s">
        <v>280</v>
      </c>
    </row>
    <row r="6744" spans="1:9">
      <c r="A6744" s="577"/>
      <c r="B6744" s="65">
        <v>6942</v>
      </c>
      <c r="C6744" s="579" t="s">
        <v>281</v>
      </c>
      <c r="D6744" s="579"/>
      <c r="E6744" s="583"/>
      <c r="F6744" s="596"/>
      <c r="G6744" s="65">
        <v>0</v>
      </c>
      <c r="H6744" s="591" t="s">
        <v>280</v>
      </c>
      <c r="I6744" s="591" t="s">
        <v>280</v>
      </c>
    </row>
    <row r="6745" spans="1:9">
      <c r="A6745" s="577"/>
      <c r="B6745" s="65">
        <v>6943</v>
      </c>
      <c r="C6745" s="579" t="s">
        <v>281</v>
      </c>
      <c r="D6745" s="579"/>
      <c r="E6745" s="583"/>
      <c r="F6745" s="596"/>
      <c r="G6745" s="65">
        <v>0</v>
      </c>
      <c r="H6745" s="591" t="s">
        <v>280</v>
      </c>
      <c r="I6745" s="591" t="s">
        <v>280</v>
      </c>
    </row>
    <row r="6746" spans="1:9">
      <c r="A6746" s="577"/>
      <c r="B6746" s="65">
        <v>6944</v>
      </c>
      <c r="C6746" s="579" t="s">
        <v>281</v>
      </c>
      <c r="D6746" s="579"/>
      <c r="E6746" s="583"/>
      <c r="F6746" s="596"/>
      <c r="G6746" s="65">
        <v>0</v>
      </c>
      <c r="H6746" s="591" t="s">
        <v>280</v>
      </c>
      <c r="I6746" s="591" t="s">
        <v>280</v>
      </c>
    </row>
    <row r="6747" spans="1:9">
      <c r="A6747" s="577"/>
      <c r="B6747" s="65">
        <v>6945</v>
      </c>
      <c r="C6747" s="579" t="s">
        <v>281</v>
      </c>
      <c r="D6747" s="579"/>
      <c r="E6747" s="583"/>
      <c r="F6747" s="596"/>
      <c r="G6747" s="65">
        <v>0</v>
      </c>
      <c r="H6747" s="591" t="s">
        <v>280</v>
      </c>
      <c r="I6747" s="591" t="s">
        <v>280</v>
      </c>
    </row>
    <row r="6748" spans="1:9">
      <c r="A6748" s="577"/>
      <c r="B6748" s="65">
        <v>6946</v>
      </c>
      <c r="C6748" s="579" t="s">
        <v>281</v>
      </c>
      <c r="D6748" s="579"/>
      <c r="E6748" s="583"/>
      <c r="F6748" s="596"/>
      <c r="G6748" s="65">
        <v>0</v>
      </c>
      <c r="H6748" s="591" t="s">
        <v>280</v>
      </c>
      <c r="I6748" s="591" t="s">
        <v>280</v>
      </c>
    </row>
    <row r="6749" spans="1:9">
      <c r="A6749" s="577"/>
      <c r="B6749" s="65">
        <v>6947</v>
      </c>
      <c r="C6749" s="579" t="s">
        <v>281</v>
      </c>
      <c r="D6749" s="579"/>
      <c r="E6749" s="583"/>
      <c r="F6749" s="596"/>
      <c r="G6749" s="65">
        <v>0</v>
      </c>
      <c r="H6749" s="591" t="s">
        <v>280</v>
      </c>
      <c r="I6749" s="591" t="s">
        <v>280</v>
      </c>
    </row>
    <row r="6750" spans="1:9">
      <c r="A6750" s="577"/>
      <c r="B6750" s="65">
        <v>6948</v>
      </c>
      <c r="C6750" s="579" t="s">
        <v>281</v>
      </c>
      <c r="D6750" s="579"/>
      <c r="E6750" s="583"/>
      <c r="F6750" s="596"/>
      <c r="G6750" s="65">
        <v>0</v>
      </c>
      <c r="H6750" s="591" t="s">
        <v>280</v>
      </c>
      <c r="I6750" s="591" t="s">
        <v>280</v>
      </c>
    </row>
    <row r="6751" spans="1:9">
      <c r="A6751" s="577"/>
      <c r="B6751" s="65">
        <v>6949</v>
      </c>
      <c r="C6751" s="579" t="s">
        <v>281</v>
      </c>
      <c r="D6751" s="579"/>
      <c r="E6751" s="583"/>
      <c r="F6751" s="596"/>
      <c r="G6751" s="65">
        <v>0</v>
      </c>
      <c r="H6751" s="591" t="s">
        <v>280</v>
      </c>
      <c r="I6751" s="591" t="s">
        <v>280</v>
      </c>
    </row>
    <row r="6752" spans="1:9">
      <c r="A6752" s="577"/>
      <c r="B6752" s="65">
        <v>6950</v>
      </c>
      <c r="C6752" s="579" t="s">
        <v>281</v>
      </c>
      <c r="D6752" s="579"/>
      <c r="E6752" s="583"/>
      <c r="F6752" s="596"/>
      <c r="G6752" s="65">
        <v>0</v>
      </c>
      <c r="H6752" s="591" t="s">
        <v>280</v>
      </c>
      <c r="I6752" s="591" t="s">
        <v>280</v>
      </c>
    </row>
    <row r="6753" spans="1:9">
      <c r="A6753" s="577"/>
      <c r="B6753" s="65">
        <v>6951</v>
      </c>
      <c r="C6753" s="579" t="s">
        <v>281</v>
      </c>
      <c r="D6753" s="579"/>
      <c r="E6753" s="583"/>
      <c r="F6753" s="596"/>
      <c r="G6753" s="65">
        <v>0</v>
      </c>
      <c r="H6753" s="591" t="s">
        <v>280</v>
      </c>
      <c r="I6753" s="591" t="s">
        <v>280</v>
      </c>
    </row>
    <row r="6754" spans="1:9">
      <c r="A6754" s="577"/>
      <c r="B6754" s="65">
        <v>6952</v>
      </c>
      <c r="C6754" s="579" t="s">
        <v>281</v>
      </c>
      <c r="D6754" s="579"/>
      <c r="E6754" s="583"/>
      <c r="F6754" s="596"/>
      <c r="G6754" s="65">
        <v>0</v>
      </c>
      <c r="H6754" s="591" t="s">
        <v>280</v>
      </c>
      <c r="I6754" s="591" t="s">
        <v>280</v>
      </c>
    </row>
    <row r="6755" spans="1:9">
      <c r="A6755" s="577"/>
      <c r="B6755" s="65">
        <v>6953</v>
      </c>
      <c r="C6755" s="579" t="s">
        <v>281</v>
      </c>
      <c r="D6755" s="579"/>
      <c r="E6755" s="583"/>
      <c r="F6755" s="596"/>
      <c r="G6755" s="65">
        <v>0</v>
      </c>
      <c r="H6755" s="591" t="s">
        <v>280</v>
      </c>
      <c r="I6755" s="591" t="s">
        <v>280</v>
      </c>
    </row>
    <row r="6756" spans="1:9">
      <c r="A6756" s="577"/>
      <c r="B6756" s="65">
        <v>6954</v>
      </c>
      <c r="C6756" s="579" t="s">
        <v>281</v>
      </c>
      <c r="D6756" s="579"/>
      <c r="E6756" s="583"/>
      <c r="F6756" s="596"/>
      <c r="G6756" s="65">
        <v>0</v>
      </c>
      <c r="H6756" s="591" t="s">
        <v>280</v>
      </c>
      <c r="I6756" s="591" t="s">
        <v>280</v>
      </c>
    </row>
    <row r="6757" spans="1:9">
      <c r="A6757" s="577"/>
      <c r="B6757" s="65">
        <v>6955</v>
      </c>
      <c r="C6757" s="579" t="s">
        <v>281</v>
      </c>
      <c r="D6757" s="579"/>
      <c r="E6757" s="583"/>
      <c r="F6757" s="596"/>
      <c r="G6757" s="65">
        <v>0</v>
      </c>
      <c r="H6757" s="591" t="s">
        <v>280</v>
      </c>
      <c r="I6757" s="591" t="s">
        <v>280</v>
      </c>
    </row>
    <row r="6758" spans="1:9">
      <c r="A6758" s="577"/>
      <c r="B6758" s="65">
        <v>6956</v>
      </c>
      <c r="C6758" s="579" t="s">
        <v>281</v>
      </c>
      <c r="D6758" s="579"/>
      <c r="E6758" s="583"/>
      <c r="F6758" s="596"/>
      <c r="G6758" s="65">
        <v>0</v>
      </c>
      <c r="H6758" s="591" t="s">
        <v>280</v>
      </c>
      <c r="I6758" s="591" t="s">
        <v>280</v>
      </c>
    </row>
    <row r="6759" spans="1:9">
      <c r="A6759" s="577"/>
      <c r="B6759" s="65">
        <v>6957</v>
      </c>
      <c r="C6759" s="579" t="s">
        <v>281</v>
      </c>
      <c r="D6759" s="579"/>
      <c r="E6759" s="583"/>
      <c r="F6759" s="596"/>
      <c r="G6759" s="65">
        <v>0</v>
      </c>
      <c r="H6759" s="591" t="s">
        <v>280</v>
      </c>
      <c r="I6759" s="591" t="s">
        <v>280</v>
      </c>
    </row>
    <row r="6760" spans="1:9">
      <c r="A6760" s="577"/>
      <c r="B6760" s="65">
        <v>6958</v>
      </c>
      <c r="C6760" s="579" t="s">
        <v>281</v>
      </c>
      <c r="D6760" s="579"/>
      <c r="E6760" s="583"/>
      <c r="F6760" s="596"/>
      <c r="G6760" s="65">
        <v>0</v>
      </c>
      <c r="H6760" s="591" t="s">
        <v>280</v>
      </c>
      <c r="I6760" s="591" t="s">
        <v>280</v>
      </c>
    </row>
    <row r="6761" spans="1:9">
      <c r="A6761" s="577"/>
      <c r="B6761" s="65">
        <v>6959</v>
      </c>
      <c r="C6761" s="579" t="s">
        <v>281</v>
      </c>
      <c r="D6761" s="579"/>
      <c r="E6761" s="583"/>
      <c r="F6761" s="596"/>
      <c r="G6761" s="65">
        <v>0</v>
      </c>
      <c r="H6761" s="591" t="s">
        <v>280</v>
      </c>
      <c r="I6761" s="591" t="s">
        <v>280</v>
      </c>
    </row>
    <row r="6762" spans="1:9">
      <c r="A6762" s="577"/>
      <c r="B6762" s="65">
        <v>6960</v>
      </c>
      <c r="C6762" s="579" t="s">
        <v>281</v>
      </c>
      <c r="D6762" s="579"/>
      <c r="E6762" s="583"/>
      <c r="F6762" s="596"/>
      <c r="G6762" s="65">
        <v>0</v>
      </c>
      <c r="H6762" s="591" t="s">
        <v>280</v>
      </c>
      <c r="I6762" s="591" t="s">
        <v>280</v>
      </c>
    </row>
    <row r="6763" spans="1:9">
      <c r="A6763" s="577"/>
      <c r="B6763" s="65">
        <v>6961</v>
      </c>
      <c r="C6763" s="579" t="s">
        <v>281</v>
      </c>
      <c r="D6763" s="579"/>
      <c r="E6763" s="583"/>
      <c r="F6763" s="596"/>
      <c r="G6763" s="65">
        <v>0</v>
      </c>
      <c r="H6763" s="591" t="s">
        <v>280</v>
      </c>
      <c r="I6763" s="591" t="s">
        <v>280</v>
      </c>
    </row>
    <row r="6764" spans="1:9">
      <c r="A6764" s="577"/>
      <c r="B6764" s="65">
        <v>6962</v>
      </c>
      <c r="C6764" s="579" t="s">
        <v>281</v>
      </c>
      <c r="D6764" s="579"/>
      <c r="E6764" s="583"/>
      <c r="F6764" s="596"/>
      <c r="G6764" s="65">
        <v>0</v>
      </c>
      <c r="H6764" s="591" t="s">
        <v>280</v>
      </c>
      <c r="I6764" s="591" t="s">
        <v>280</v>
      </c>
    </row>
    <row r="6765" spans="1:9">
      <c r="A6765" s="577"/>
      <c r="B6765" s="65">
        <v>6963</v>
      </c>
      <c r="C6765" s="579" t="s">
        <v>281</v>
      </c>
      <c r="D6765" s="579"/>
      <c r="E6765" s="583"/>
      <c r="F6765" s="596"/>
      <c r="G6765" s="65">
        <v>0</v>
      </c>
      <c r="H6765" s="591" t="s">
        <v>280</v>
      </c>
      <c r="I6765" s="591" t="s">
        <v>280</v>
      </c>
    </row>
    <row r="6766" spans="1:9">
      <c r="A6766" s="577"/>
      <c r="B6766" s="65">
        <v>6964</v>
      </c>
      <c r="C6766" s="579" t="s">
        <v>281</v>
      </c>
      <c r="D6766" s="579"/>
      <c r="E6766" s="583"/>
      <c r="F6766" s="596"/>
      <c r="G6766" s="65">
        <v>0</v>
      </c>
      <c r="H6766" s="591" t="s">
        <v>280</v>
      </c>
      <c r="I6766" s="591" t="s">
        <v>280</v>
      </c>
    </row>
    <row r="6767" spans="1:9">
      <c r="A6767" s="577"/>
      <c r="B6767" s="65">
        <v>6965</v>
      </c>
      <c r="C6767" s="579" t="s">
        <v>281</v>
      </c>
      <c r="D6767" s="579"/>
      <c r="E6767" s="583"/>
      <c r="F6767" s="596"/>
      <c r="G6767" s="65">
        <v>0</v>
      </c>
      <c r="H6767" s="591" t="s">
        <v>280</v>
      </c>
      <c r="I6767" s="591" t="s">
        <v>280</v>
      </c>
    </row>
    <row r="6768" spans="1:9">
      <c r="A6768" s="577"/>
      <c r="B6768" s="65">
        <v>6966</v>
      </c>
      <c r="C6768" s="579" t="s">
        <v>281</v>
      </c>
      <c r="D6768" s="579"/>
      <c r="E6768" s="583"/>
      <c r="F6768" s="596"/>
      <c r="G6768" s="65">
        <v>0</v>
      </c>
      <c r="H6768" s="591" t="s">
        <v>280</v>
      </c>
      <c r="I6768" s="591" t="s">
        <v>280</v>
      </c>
    </row>
    <row r="6769" spans="1:9">
      <c r="A6769" s="577"/>
      <c r="B6769" s="65">
        <v>6967</v>
      </c>
      <c r="C6769" s="579" t="s">
        <v>281</v>
      </c>
      <c r="D6769" s="579"/>
      <c r="E6769" s="583"/>
      <c r="F6769" s="596"/>
      <c r="G6769" s="65">
        <v>0</v>
      </c>
      <c r="H6769" s="591" t="s">
        <v>280</v>
      </c>
      <c r="I6769" s="591" t="s">
        <v>280</v>
      </c>
    </row>
    <row r="6770" spans="1:9">
      <c r="A6770" s="577"/>
      <c r="B6770" s="65">
        <v>6968</v>
      </c>
      <c r="C6770" s="579" t="s">
        <v>281</v>
      </c>
      <c r="D6770" s="579"/>
      <c r="E6770" s="583"/>
      <c r="F6770" s="596"/>
      <c r="G6770" s="65">
        <v>0</v>
      </c>
      <c r="H6770" s="591" t="s">
        <v>280</v>
      </c>
      <c r="I6770" s="591" t="s">
        <v>280</v>
      </c>
    </row>
    <row r="6771" spans="1:9">
      <c r="A6771" s="577"/>
      <c r="B6771" s="65">
        <v>6969</v>
      </c>
      <c r="C6771" s="579" t="s">
        <v>281</v>
      </c>
      <c r="D6771" s="579"/>
      <c r="E6771" s="583"/>
      <c r="F6771" s="596"/>
      <c r="G6771" s="65">
        <v>0</v>
      </c>
      <c r="H6771" s="591" t="s">
        <v>280</v>
      </c>
      <c r="I6771" s="591" t="s">
        <v>280</v>
      </c>
    </row>
    <row r="6772" spans="1:9">
      <c r="A6772" s="577"/>
      <c r="B6772" s="65">
        <v>6970</v>
      </c>
      <c r="C6772" s="579" t="s">
        <v>281</v>
      </c>
      <c r="D6772" s="579"/>
      <c r="E6772" s="583"/>
      <c r="F6772" s="596"/>
      <c r="G6772" s="65">
        <v>0</v>
      </c>
      <c r="H6772" s="591" t="s">
        <v>280</v>
      </c>
      <c r="I6772" s="591" t="s">
        <v>280</v>
      </c>
    </row>
    <row r="6773" spans="1:9">
      <c r="A6773" s="577"/>
      <c r="B6773" s="65">
        <v>6971</v>
      </c>
      <c r="C6773" s="579" t="s">
        <v>281</v>
      </c>
      <c r="D6773" s="579"/>
      <c r="E6773" s="583"/>
      <c r="F6773" s="596"/>
      <c r="G6773" s="65">
        <v>0</v>
      </c>
      <c r="H6773" s="591" t="s">
        <v>280</v>
      </c>
      <c r="I6773" s="591" t="s">
        <v>280</v>
      </c>
    </row>
    <row r="6774" spans="1:9">
      <c r="A6774" s="577"/>
      <c r="B6774" s="65">
        <v>6972</v>
      </c>
      <c r="C6774" s="579" t="s">
        <v>281</v>
      </c>
      <c r="D6774" s="579"/>
      <c r="E6774" s="583"/>
      <c r="F6774" s="596"/>
      <c r="G6774" s="65">
        <v>0</v>
      </c>
      <c r="H6774" s="591" t="s">
        <v>280</v>
      </c>
      <c r="I6774" s="591" t="s">
        <v>280</v>
      </c>
    </row>
    <row r="6775" spans="1:9">
      <c r="A6775" s="577"/>
      <c r="B6775" s="65">
        <v>6973</v>
      </c>
      <c r="C6775" s="579" t="s">
        <v>281</v>
      </c>
      <c r="D6775" s="579"/>
      <c r="E6775" s="583"/>
      <c r="F6775" s="596"/>
      <c r="G6775" s="65">
        <v>0</v>
      </c>
      <c r="H6775" s="591" t="s">
        <v>280</v>
      </c>
      <c r="I6775" s="591" t="s">
        <v>280</v>
      </c>
    </row>
    <row r="6776" spans="1:9">
      <c r="A6776" s="577"/>
      <c r="B6776" s="65">
        <v>6974</v>
      </c>
      <c r="C6776" s="579" t="s">
        <v>281</v>
      </c>
      <c r="D6776" s="579"/>
      <c r="E6776" s="583"/>
      <c r="F6776" s="596"/>
      <c r="G6776" s="65">
        <v>0</v>
      </c>
      <c r="H6776" s="591" t="s">
        <v>280</v>
      </c>
      <c r="I6776" s="591" t="s">
        <v>280</v>
      </c>
    </row>
    <row r="6777" spans="1:9">
      <c r="A6777" s="577"/>
      <c r="B6777" s="65">
        <v>6975</v>
      </c>
      <c r="C6777" s="579" t="s">
        <v>281</v>
      </c>
      <c r="D6777" s="579"/>
      <c r="E6777" s="583"/>
      <c r="F6777" s="596"/>
      <c r="G6777" s="65">
        <v>0</v>
      </c>
      <c r="H6777" s="591" t="s">
        <v>280</v>
      </c>
      <c r="I6777" s="591" t="s">
        <v>280</v>
      </c>
    </row>
    <row r="6778" spans="1:9">
      <c r="A6778" s="577"/>
      <c r="B6778" s="65">
        <v>6976</v>
      </c>
      <c r="C6778" s="579" t="s">
        <v>281</v>
      </c>
      <c r="D6778" s="579"/>
      <c r="E6778" s="583"/>
      <c r="F6778" s="596"/>
      <c r="G6778" s="65">
        <v>0</v>
      </c>
      <c r="H6778" s="591" t="s">
        <v>280</v>
      </c>
      <c r="I6778" s="591" t="s">
        <v>280</v>
      </c>
    </row>
    <row r="6779" spans="1:9">
      <c r="A6779" s="577"/>
      <c r="B6779" s="65">
        <v>6977</v>
      </c>
      <c r="C6779" s="579" t="s">
        <v>281</v>
      </c>
      <c r="D6779" s="579"/>
      <c r="E6779" s="583"/>
      <c r="F6779" s="596"/>
      <c r="G6779" s="65">
        <v>0</v>
      </c>
      <c r="H6779" s="591" t="s">
        <v>280</v>
      </c>
      <c r="I6779" s="591" t="s">
        <v>280</v>
      </c>
    </row>
    <row r="6780" spans="1:9">
      <c r="A6780" s="577"/>
      <c r="B6780" s="65">
        <v>6978</v>
      </c>
      <c r="C6780" s="579" t="s">
        <v>281</v>
      </c>
      <c r="D6780" s="579"/>
      <c r="E6780" s="583"/>
      <c r="F6780" s="596"/>
      <c r="G6780" s="65">
        <v>0</v>
      </c>
      <c r="H6780" s="591" t="s">
        <v>280</v>
      </c>
      <c r="I6780" s="591" t="s">
        <v>280</v>
      </c>
    </row>
    <row r="6781" spans="1:9">
      <c r="A6781" s="577"/>
      <c r="B6781" s="65">
        <v>6979</v>
      </c>
      <c r="C6781" s="579" t="s">
        <v>281</v>
      </c>
      <c r="D6781" s="579"/>
      <c r="E6781" s="583"/>
      <c r="F6781" s="596"/>
      <c r="G6781" s="65">
        <v>0</v>
      </c>
      <c r="H6781" s="591" t="s">
        <v>280</v>
      </c>
      <c r="I6781" s="591" t="s">
        <v>280</v>
      </c>
    </row>
    <row r="6782" spans="1:9">
      <c r="A6782" s="577"/>
      <c r="B6782" s="65">
        <v>6980</v>
      </c>
      <c r="C6782" s="579" t="s">
        <v>281</v>
      </c>
      <c r="D6782" s="579"/>
      <c r="E6782" s="583"/>
      <c r="F6782" s="596"/>
      <c r="G6782" s="65">
        <v>0</v>
      </c>
      <c r="H6782" s="591" t="s">
        <v>280</v>
      </c>
      <c r="I6782" s="591" t="s">
        <v>280</v>
      </c>
    </row>
    <row r="6783" spans="1:9">
      <c r="A6783" s="577"/>
      <c r="B6783" s="65">
        <v>6981</v>
      </c>
      <c r="C6783" s="579" t="s">
        <v>281</v>
      </c>
      <c r="D6783" s="579"/>
      <c r="E6783" s="583"/>
      <c r="F6783" s="596"/>
      <c r="G6783" s="65">
        <v>0</v>
      </c>
      <c r="H6783" s="591" t="s">
        <v>280</v>
      </c>
      <c r="I6783" s="591" t="s">
        <v>280</v>
      </c>
    </row>
    <row r="6784" spans="1:9">
      <c r="A6784" s="577"/>
      <c r="B6784" s="65">
        <v>6982</v>
      </c>
      <c r="C6784" s="579" t="s">
        <v>281</v>
      </c>
      <c r="D6784" s="579"/>
      <c r="E6784" s="583"/>
      <c r="F6784" s="596"/>
      <c r="G6784" s="65">
        <v>0</v>
      </c>
      <c r="H6784" s="591" t="s">
        <v>280</v>
      </c>
      <c r="I6784" s="591" t="s">
        <v>280</v>
      </c>
    </row>
    <row r="6785" spans="1:9">
      <c r="A6785" s="577"/>
      <c r="B6785" s="65">
        <v>6983</v>
      </c>
      <c r="C6785" s="579" t="s">
        <v>281</v>
      </c>
      <c r="D6785" s="579"/>
      <c r="E6785" s="583"/>
      <c r="F6785" s="596"/>
      <c r="G6785" s="65">
        <v>0</v>
      </c>
      <c r="H6785" s="591" t="s">
        <v>280</v>
      </c>
      <c r="I6785" s="591" t="s">
        <v>280</v>
      </c>
    </row>
    <row r="6786" spans="1:9">
      <c r="A6786" s="577"/>
      <c r="B6786" s="65">
        <v>6984</v>
      </c>
      <c r="C6786" s="579" t="s">
        <v>281</v>
      </c>
      <c r="D6786" s="579"/>
      <c r="E6786" s="583"/>
      <c r="F6786" s="596"/>
      <c r="G6786" s="65">
        <v>0</v>
      </c>
      <c r="H6786" s="591" t="s">
        <v>280</v>
      </c>
      <c r="I6786" s="591" t="s">
        <v>280</v>
      </c>
    </row>
    <row r="6787" spans="1:9">
      <c r="A6787" s="577"/>
      <c r="B6787" s="65">
        <v>6985</v>
      </c>
      <c r="C6787" s="579" t="s">
        <v>281</v>
      </c>
      <c r="D6787" s="579"/>
      <c r="E6787" s="583"/>
      <c r="F6787" s="596"/>
      <c r="G6787" s="65">
        <v>0</v>
      </c>
      <c r="H6787" s="591" t="s">
        <v>280</v>
      </c>
      <c r="I6787" s="591" t="s">
        <v>280</v>
      </c>
    </row>
    <row r="6788" spans="1:9">
      <c r="A6788" s="577"/>
      <c r="B6788" s="65">
        <v>6986</v>
      </c>
      <c r="C6788" s="579" t="s">
        <v>281</v>
      </c>
      <c r="D6788" s="579"/>
      <c r="E6788" s="583"/>
      <c r="F6788" s="596"/>
      <c r="G6788" s="65">
        <v>0</v>
      </c>
      <c r="H6788" s="591" t="s">
        <v>280</v>
      </c>
      <c r="I6788" s="591" t="s">
        <v>280</v>
      </c>
    </row>
    <row r="6789" spans="1:9">
      <c r="A6789" s="577"/>
      <c r="B6789" s="65">
        <v>6987</v>
      </c>
      <c r="C6789" s="579" t="s">
        <v>281</v>
      </c>
      <c r="D6789" s="579"/>
      <c r="E6789" s="583"/>
      <c r="F6789" s="596"/>
      <c r="G6789" s="65">
        <v>0</v>
      </c>
      <c r="H6789" s="591" t="s">
        <v>280</v>
      </c>
      <c r="I6789" s="591" t="s">
        <v>280</v>
      </c>
    </row>
    <row r="6790" spans="1:9">
      <c r="A6790" s="577"/>
      <c r="B6790" s="65">
        <v>6988</v>
      </c>
      <c r="C6790" s="579" t="s">
        <v>281</v>
      </c>
      <c r="D6790" s="579"/>
      <c r="E6790" s="583"/>
      <c r="F6790" s="596"/>
      <c r="G6790" s="65">
        <v>0</v>
      </c>
      <c r="H6790" s="591" t="s">
        <v>280</v>
      </c>
      <c r="I6790" s="591" t="s">
        <v>280</v>
      </c>
    </row>
    <row r="6791" spans="1:9">
      <c r="A6791" s="577"/>
      <c r="B6791" s="65">
        <v>6989</v>
      </c>
      <c r="C6791" s="579" t="s">
        <v>281</v>
      </c>
      <c r="D6791" s="579"/>
      <c r="E6791" s="583"/>
      <c r="F6791" s="596"/>
      <c r="G6791" s="65">
        <v>0</v>
      </c>
      <c r="H6791" s="591" t="s">
        <v>280</v>
      </c>
      <c r="I6791" s="591" t="s">
        <v>280</v>
      </c>
    </row>
    <row r="6792" spans="1:9">
      <c r="A6792" s="577"/>
      <c r="B6792" s="65">
        <v>6990</v>
      </c>
      <c r="C6792" s="579" t="s">
        <v>281</v>
      </c>
      <c r="D6792" s="579"/>
      <c r="E6792" s="583"/>
      <c r="F6792" s="596"/>
      <c r="G6792" s="65">
        <v>0</v>
      </c>
      <c r="H6792" s="591" t="s">
        <v>280</v>
      </c>
      <c r="I6792" s="591" t="s">
        <v>280</v>
      </c>
    </row>
    <row r="6793" spans="1:9">
      <c r="A6793" s="577"/>
      <c r="B6793" s="65">
        <v>6991</v>
      </c>
      <c r="C6793" s="579" t="s">
        <v>281</v>
      </c>
      <c r="D6793" s="579"/>
      <c r="E6793" s="583"/>
      <c r="F6793" s="596"/>
      <c r="G6793" s="65">
        <v>0</v>
      </c>
      <c r="H6793" s="591" t="s">
        <v>280</v>
      </c>
      <c r="I6793" s="591" t="s">
        <v>280</v>
      </c>
    </row>
    <row r="6794" spans="1:9">
      <c r="A6794" s="577"/>
      <c r="B6794" s="65">
        <v>6992</v>
      </c>
      <c r="C6794" s="579" t="s">
        <v>281</v>
      </c>
      <c r="D6794" s="579"/>
      <c r="E6794" s="583"/>
      <c r="F6794" s="596"/>
      <c r="G6794" s="65">
        <v>0</v>
      </c>
      <c r="H6794" s="591" t="s">
        <v>280</v>
      </c>
      <c r="I6794" s="591" t="s">
        <v>280</v>
      </c>
    </row>
    <row r="6795" spans="1:9">
      <c r="A6795" s="577"/>
      <c r="B6795" s="65">
        <v>6993</v>
      </c>
      <c r="C6795" s="579" t="s">
        <v>281</v>
      </c>
      <c r="D6795" s="579"/>
      <c r="E6795" s="583"/>
      <c r="F6795" s="596"/>
      <c r="G6795" s="65">
        <v>0</v>
      </c>
      <c r="H6795" s="591" t="s">
        <v>280</v>
      </c>
      <c r="I6795" s="591" t="s">
        <v>280</v>
      </c>
    </row>
    <row r="6796" spans="1:9">
      <c r="A6796" s="577"/>
      <c r="B6796" s="65">
        <v>6994</v>
      </c>
      <c r="C6796" s="579" t="s">
        <v>281</v>
      </c>
      <c r="D6796" s="579"/>
      <c r="E6796" s="583"/>
      <c r="F6796" s="596"/>
      <c r="G6796" s="65">
        <v>0</v>
      </c>
      <c r="H6796" s="591" t="s">
        <v>280</v>
      </c>
      <c r="I6796" s="591" t="s">
        <v>280</v>
      </c>
    </row>
    <row r="6797" spans="1:9">
      <c r="A6797" s="577"/>
      <c r="B6797" s="65">
        <v>6995</v>
      </c>
      <c r="C6797" s="579" t="s">
        <v>281</v>
      </c>
      <c r="D6797" s="579"/>
      <c r="E6797" s="583"/>
      <c r="F6797" s="596"/>
      <c r="G6797" s="65">
        <v>0</v>
      </c>
      <c r="H6797" s="591" t="s">
        <v>280</v>
      </c>
      <c r="I6797" s="591" t="s">
        <v>280</v>
      </c>
    </row>
    <row r="6798" spans="1:9">
      <c r="A6798" s="577"/>
      <c r="B6798" s="65">
        <v>6996</v>
      </c>
      <c r="C6798" s="579" t="s">
        <v>281</v>
      </c>
      <c r="D6798" s="579"/>
      <c r="E6798" s="583"/>
      <c r="F6798" s="596"/>
      <c r="G6798" s="65">
        <v>0</v>
      </c>
      <c r="H6798" s="591" t="s">
        <v>280</v>
      </c>
      <c r="I6798" s="591" t="s">
        <v>280</v>
      </c>
    </row>
    <row r="6799" spans="1:9">
      <c r="A6799" s="577"/>
      <c r="B6799" s="65">
        <v>6997</v>
      </c>
      <c r="C6799" s="579" t="s">
        <v>281</v>
      </c>
      <c r="D6799" s="579"/>
      <c r="E6799" s="583"/>
      <c r="F6799" s="596"/>
      <c r="G6799" s="65">
        <v>0</v>
      </c>
      <c r="H6799" s="591" t="s">
        <v>280</v>
      </c>
      <c r="I6799" s="591" t="s">
        <v>280</v>
      </c>
    </row>
    <row r="6800" spans="1:9">
      <c r="A6800" s="577"/>
      <c r="B6800" s="65">
        <v>6998</v>
      </c>
      <c r="C6800" s="579" t="s">
        <v>281</v>
      </c>
      <c r="D6800" s="579"/>
      <c r="E6800" s="583"/>
      <c r="F6800" s="596"/>
      <c r="G6800" s="65">
        <v>0</v>
      </c>
      <c r="H6800" s="591" t="s">
        <v>280</v>
      </c>
      <c r="I6800" s="591" t="s">
        <v>280</v>
      </c>
    </row>
    <row r="6801" spans="1:9">
      <c r="A6801" s="577"/>
      <c r="B6801" s="65">
        <v>6999</v>
      </c>
      <c r="C6801" s="579" t="s">
        <v>281</v>
      </c>
      <c r="D6801" s="579"/>
      <c r="E6801" s="583"/>
      <c r="F6801" s="596"/>
      <c r="G6801" s="65">
        <v>0</v>
      </c>
      <c r="H6801" s="591" t="s">
        <v>280</v>
      </c>
      <c r="I6801" s="591" t="s">
        <v>280</v>
      </c>
    </row>
    <row r="6802" spans="1:9">
      <c r="A6802" s="577"/>
      <c r="B6802" s="65">
        <v>7000</v>
      </c>
      <c r="C6802" s="579" t="s">
        <v>281</v>
      </c>
      <c r="D6802" s="579"/>
      <c r="E6802" s="583"/>
      <c r="F6802" s="596"/>
      <c r="G6802" s="65">
        <v>0</v>
      </c>
      <c r="H6802" s="591" t="s">
        <v>280</v>
      </c>
      <c r="I6802" s="591" t="s">
        <v>280</v>
      </c>
    </row>
    <row r="6803" spans="1:9">
      <c r="A6803" s="577"/>
      <c r="B6803" s="65">
        <v>7001</v>
      </c>
      <c r="C6803" s="579" t="s">
        <v>281</v>
      </c>
      <c r="D6803" s="579"/>
      <c r="E6803" s="583"/>
      <c r="F6803" s="596"/>
      <c r="G6803" s="65">
        <v>0</v>
      </c>
      <c r="H6803" s="591" t="s">
        <v>280</v>
      </c>
      <c r="I6803" s="591" t="s">
        <v>280</v>
      </c>
    </row>
    <row r="6804" spans="1:9">
      <c r="A6804" s="577"/>
      <c r="B6804" s="65">
        <v>7002</v>
      </c>
      <c r="C6804" s="579" t="s">
        <v>281</v>
      </c>
      <c r="D6804" s="579"/>
      <c r="E6804" s="583"/>
      <c r="F6804" s="596"/>
      <c r="G6804" s="65">
        <v>0</v>
      </c>
      <c r="H6804" s="591" t="s">
        <v>280</v>
      </c>
      <c r="I6804" s="591" t="s">
        <v>280</v>
      </c>
    </row>
    <row r="6805" spans="1:9">
      <c r="A6805" s="577"/>
      <c r="B6805" s="65">
        <v>7003</v>
      </c>
      <c r="C6805" s="579" t="s">
        <v>281</v>
      </c>
      <c r="D6805" s="579"/>
      <c r="E6805" s="583"/>
      <c r="F6805" s="596"/>
      <c r="G6805" s="65">
        <v>0</v>
      </c>
      <c r="H6805" s="591" t="s">
        <v>280</v>
      </c>
      <c r="I6805" s="591" t="s">
        <v>280</v>
      </c>
    </row>
    <row r="6806" spans="1:9">
      <c r="A6806" s="577"/>
      <c r="B6806" s="65">
        <v>7004</v>
      </c>
      <c r="C6806" s="579" t="s">
        <v>281</v>
      </c>
      <c r="D6806" s="579"/>
      <c r="E6806" s="583"/>
      <c r="F6806" s="596"/>
      <c r="G6806" s="65">
        <v>0</v>
      </c>
      <c r="H6806" s="591" t="s">
        <v>280</v>
      </c>
      <c r="I6806" s="591" t="s">
        <v>280</v>
      </c>
    </row>
    <row r="6807" spans="1:9">
      <c r="A6807" s="577"/>
      <c r="B6807" s="65">
        <v>7005</v>
      </c>
      <c r="C6807" s="579" t="s">
        <v>281</v>
      </c>
      <c r="D6807" s="579"/>
      <c r="E6807" s="583"/>
      <c r="F6807" s="596"/>
      <c r="G6807" s="65">
        <v>0</v>
      </c>
      <c r="H6807" s="591" t="s">
        <v>280</v>
      </c>
      <c r="I6807" s="591" t="s">
        <v>280</v>
      </c>
    </row>
    <row r="6808" spans="1:9">
      <c r="A6808" s="577"/>
      <c r="B6808" s="65">
        <v>7006</v>
      </c>
      <c r="C6808" s="579" t="s">
        <v>281</v>
      </c>
      <c r="D6808" s="579"/>
      <c r="E6808" s="583"/>
      <c r="F6808" s="596"/>
      <c r="G6808" s="65">
        <v>0</v>
      </c>
      <c r="H6808" s="591" t="s">
        <v>280</v>
      </c>
      <c r="I6808" s="591" t="s">
        <v>280</v>
      </c>
    </row>
    <row r="6809" spans="1:9">
      <c r="A6809" s="577"/>
      <c r="B6809" s="65">
        <v>7007</v>
      </c>
      <c r="C6809" s="579" t="s">
        <v>281</v>
      </c>
      <c r="D6809" s="579"/>
      <c r="E6809" s="583"/>
      <c r="F6809" s="596"/>
      <c r="G6809" s="65">
        <v>0</v>
      </c>
      <c r="H6809" s="591" t="s">
        <v>280</v>
      </c>
      <c r="I6809" s="591" t="s">
        <v>280</v>
      </c>
    </row>
    <row r="6810" spans="1:9">
      <c r="A6810" s="577"/>
      <c r="B6810" s="65">
        <v>7008</v>
      </c>
      <c r="C6810" s="579" t="s">
        <v>281</v>
      </c>
      <c r="D6810" s="579"/>
      <c r="E6810" s="583"/>
      <c r="F6810" s="596"/>
      <c r="G6810" s="65">
        <v>0</v>
      </c>
      <c r="H6810" s="591" t="s">
        <v>280</v>
      </c>
      <c r="I6810" s="591" t="s">
        <v>280</v>
      </c>
    </row>
    <row r="6811" spans="1:9">
      <c r="A6811" s="577"/>
      <c r="B6811" s="65">
        <v>7009</v>
      </c>
      <c r="C6811" s="579" t="s">
        <v>281</v>
      </c>
      <c r="D6811" s="579"/>
      <c r="E6811" s="583"/>
      <c r="F6811" s="596"/>
      <c r="G6811" s="65">
        <v>0</v>
      </c>
      <c r="H6811" s="591" t="s">
        <v>280</v>
      </c>
      <c r="I6811" s="591" t="s">
        <v>280</v>
      </c>
    </row>
    <row r="6812" spans="1:9">
      <c r="A6812" s="577"/>
      <c r="B6812" s="65">
        <v>7010</v>
      </c>
      <c r="C6812" s="579" t="s">
        <v>281</v>
      </c>
      <c r="D6812" s="579"/>
      <c r="E6812" s="583"/>
      <c r="F6812" s="596"/>
      <c r="G6812" s="65">
        <v>0</v>
      </c>
      <c r="H6812" s="591" t="s">
        <v>280</v>
      </c>
      <c r="I6812" s="591" t="s">
        <v>280</v>
      </c>
    </row>
    <row r="6813" spans="1:9">
      <c r="A6813" s="577"/>
      <c r="B6813" s="65">
        <v>7011</v>
      </c>
      <c r="C6813" s="579" t="s">
        <v>281</v>
      </c>
      <c r="D6813" s="579"/>
      <c r="E6813" s="583"/>
      <c r="F6813" s="596"/>
      <c r="G6813" s="65">
        <v>0</v>
      </c>
      <c r="H6813" s="591" t="s">
        <v>280</v>
      </c>
      <c r="I6813" s="591" t="s">
        <v>280</v>
      </c>
    </row>
    <row r="6814" spans="1:9">
      <c r="A6814" s="577"/>
      <c r="B6814" s="65">
        <v>7012</v>
      </c>
      <c r="C6814" s="579" t="s">
        <v>281</v>
      </c>
      <c r="D6814" s="579"/>
      <c r="E6814" s="583"/>
      <c r="F6814" s="596"/>
      <c r="G6814" s="65">
        <v>0</v>
      </c>
      <c r="H6814" s="591" t="s">
        <v>280</v>
      </c>
      <c r="I6814" s="591" t="s">
        <v>280</v>
      </c>
    </row>
    <row r="6815" spans="1:9">
      <c r="A6815" s="577"/>
      <c r="B6815" s="65">
        <v>7013</v>
      </c>
      <c r="C6815" s="579" t="s">
        <v>281</v>
      </c>
      <c r="D6815" s="579"/>
      <c r="E6815" s="583"/>
      <c r="F6815" s="596"/>
      <c r="G6815" s="65">
        <v>0</v>
      </c>
      <c r="H6815" s="591" t="s">
        <v>280</v>
      </c>
      <c r="I6815" s="591" t="s">
        <v>280</v>
      </c>
    </row>
    <row r="6816" spans="1:9">
      <c r="A6816" s="577"/>
      <c r="B6816" s="65">
        <v>7014</v>
      </c>
      <c r="C6816" s="579" t="s">
        <v>281</v>
      </c>
      <c r="D6816" s="579"/>
      <c r="E6816" s="583"/>
      <c r="F6816" s="596"/>
      <c r="G6816" s="65">
        <v>0</v>
      </c>
      <c r="H6816" s="591" t="s">
        <v>280</v>
      </c>
      <c r="I6816" s="591" t="s">
        <v>280</v>
      </c>
    </row>
    <row r="6817" spans="1:9">
      <c r="A6817" s="577"/>
      <c r="B6817" s="65">
        <v>7015</v>
      </c>
      <c r="C6817" s="579" t="s">
        <v>281</v>
      </c>
      <c r="D6817" s="579"/>
      <c r="E6817" s="583"/>
      <c r="F6817" s="596"/>
      <c r="G6817" s="65">
        <v>0</v>
      </c>
      <c r="H6817" s="591" t="s">
        <v>280</v>
      </c>
      <c r="I6817" s="591" t="s">
        <v>280</v>
      </c>
    </row>
    <row r="6818" spans="1:9">
      <c r="A6818" s="577"/>
      <c r="B6818" s="65">
        <v>7016</v>
      </c>
      <c r="C6818" s="579" t="s">
        <v>281</v>
      </c>
      <c r="D6818" s="579"/>
      <c r="E6818" s="583"/>
      <c r="F6818" s="596"/>
      <c r="G6818" s="65">
        <v>0</v>
      </c>
      <c r="H6818" s="591" t="s">
        <v>280</v>
      </c>
      <c r="I6818" s="591" t="s">
        <v>280</v>
      </c>
    </row>
    <row r="6819" spans="1:9">
      <c r="A6819" s="577"/>
      <c r="B6819" s="65">
        <v>7017</v>
      </c>
      <c r="C6819" s="579" t="s">
        <v>281</v>
      </c>
      <c r="D6819" s="579"/>
      <c r="E6819" s="583"/>
      <c r="F6819" s="596"/>
      <c r="G6819" s="65">
        <v>0</v>
      </c>
      <c r="H6819" s="591" t="s">
        <v>280</v>
      </c>
      <c r="I6819" s="591" t="s">
        <v>280</v>
      </c>
    </row>
    <row r="6820" spans="1:9">
      <c r="A6820" s="577"/>
      <c r="B6820" s="65">
        <v>7018</v>
      </c>
      <c r="C6820" s="579" t="s">
        <v>281</v>
      </c>
      <c r="D6820" s="579"/>
      <c r="E6820" s="583"/>
      <c r="F6820" s="596"/>
      <c r="G6820" s="65">
        <v>0</v>
      </c>
      <c r="H6820" s="591" t="s">
        <v>280</v>
      </c>
      <c r="I6820" s="591" t="s">
        <v>280</v>
      </c>
    </row>
    <row r="6821" spans="1:9">
      <c r="A6821" s="577"/>
      <c r="B6821" s="65">
        <v>7019</v>
      </c>
      <c r="C6821" s="579" t="s">
        <v>281</v>
      </c>
      <c r="D6821" s="579"/>
      <c r="E6821" s="583"/>
      <c r="F6821" s="596"/>
      <c r="G6821" s="65">
        <v>0</v>
      </c>
      <c r="H6821" s="591" t="s">
        <v>280</v>
      </c>
      <c r="I6821" s="591" t="s">
        <v>280</v>
      </c>
    </row>
    <row r="6822" spans="1:9">
      <c r="A6822" s="577"/>
      <c r="B6822" s="65">
        <v>7020</v>
      </c>
      <c r="C6822" s="579" t="s">
        <v>281</v>
      </c>
      <c r="D6822" s="579"/>
      <c r="E6822" s="583"/>
      <c r="F6822" s="596"/>
      <c r="G6822" s="65">
        <v>0</v>
      </c>
      <c r="H6822" s="591" t="s">
        <v>280</v>
      </c>
      <c r="I6822" s="591" t="s">
        <v>280</v>
      </c>
    </row>
    <row r="6823" spans="1:9">
      <c r="A6823" s="577"/>
      <c r="B6823" s="65">
        <v>7021</v>
      </c>
      <c r="C6823" s="579" t="s">
        <v>281</v>
      </c>
      <c r="D6823" s="579"/>
      <c r="E6823" s="583"/>
      <c r="F6823" s="596"/>
      <c r="G6823" s="65">
        <v>0</v>
      </c>
      <c r="H6823" s="591" t="s">
        <v>280</v>
      </c>
      <c r="I6823" s="591" t="s">
        <v>280</v>
      </c>
    </row>
    <row r="6824" spans="1:9">
      <c r="A6824" s="577"/>
      <c r="B6824" s="65">
        <v>7022</v>
      </c>
      <c r="C6824" s="579" t="s">
        <v>281</v>
      </c>
      <c r="D6824" s="579"/>
      <c r="E6824" s="583"/>
      <c r="F6824" s="596"/>
      <c r="G6824" s="65">
        <v>0</v>
      </c>
      <c r="H6824" s="591" t="s">
        <v>280</v>
      </c>
      <c r="I6824" s="591" t="s">
        <v>280</v>
      </c>
    </row>
    <row r="6825" spans="1:9">
      <c r="A6825" s="577"/>
      <c r="B6825" s="65">
        <v>7023</v>
      </c>
      <c r="C6825" s="579" t="s">
        <v>281</v>
      </c>
      <c r="D6825" s="579"/>
      <c r="E6825" s="583"/>
      <c r="F6825" s="596"/>
      <c r="G6825" s="65">
        <v>0</v>
      </c>
      <c r="H6825" s="591" t="s">
        <v>280</v>
      </c>
      <c r="I6825" s="591" t="s">
        <v>280</v>
      </c>
    </row>
    <row r="6826" spans="1:9">
      <c r="A6826" s="577"/>
      <c r="B6826" s="65">
        <v>7024</v>
      </c>
      <c r="C6826" s="579" t="s">
        <v>281</v>
      </c>
      <c r="D6826" s="579"/>
      <c r="E6826" s="583"/>
      <c r="F6826" s="596"/>
      <c r="G6826" s="65">
        <v>0</v>
      </c>
      <c r="H6826" s="591" t="s">
        <v>280</v>
      </c>
      <c r="I6826" s="591" t="s">
        <v>280</v>
      </c>
    </row>
    <row r="6827" spans="1:9">
      <c r="A6827" s="577"/>
      <c r="B6827" s="65">
        <v>7025</v>
      </c>
      <c r="C6827" s="579" t="s">
        <v>281</v>
      </c>
      <c r="D6827" s="579"/>
      <c r="E6827" s="583"/>
      <c r="F6827" s="596"/>
      <c r="G6827" s="65">
        <v>0</v>
      </c>
      <c r="H6827" s="591" t="s">
        <v>280</v>
      </c>
      <c r="I6827" s="591" t="s">
        <v>280</v>
      </c>
    </row>
    <row r="6828" spans="1:9">
      <c r="A6828" s="577"/>
      <c r="B6828" s="65">
        <v>7026</v>
      </c>
      <c r="C6828" s="579" t="s">
        <v>281</v>
      </c>
      <c r="D6828" s="579"/>
      <c r="E6828" s="583"/>
      <c r="F6828" s="596"/>
      <c r="G6828" s="65">
        <v>0</v>
      </c>
      <c r="H6828" s="591" t="s">
        <v>280</v>
      </c>
      <c r="I6828" s="591" t="s">
        <v>280</v>
      </c>
    </row>
    <row r="6829" spans="1:9">
      <c r="A6829" s="577"/>
      <c r="B6829" s="65">
        <v>7027</v>
      </c>
      <c r="C6829" s="579" t="s">
        <v>281</v>
      </c>
      <c r="D6829" s="579"/>
      <c r="E6829" s="583"/>
      <c r="F6829" s="596"/>
      <c r="G6829" s="65">
        <v>0</v>
      </c>
      <c r="H6829" s="591" t="s">
        <v>280</v>
      </c>
      <c r="I6829" s="591" t="s">
        <v>280</v>
      </c>
    </row>
    <row r="6830" spans="1:9">
      <c r="A6830" s="577"/>
      <c r="B6830" s="65">
        <v>7028</v>
      </c>
      <c r="C6830" s="579" t="s">
        <v>281</v>
      </c>
      <c r="D6830" s="579"/>
      <c r="E6830" s="583"/>
      <c r="F6830" s="596"/>
      <c r="G6830" s="65">
        <v>0</v>
      </c>
      <c r="H6830" s="591" t="s">
        <v>280</v>
      </c>
      <c r="I6830" s="591" t="s">
        <v>280</v>
      </c>
    </row>
    <row r="6831" spans="1:9">
      <c r="A6831" s="577"/>
      <c r="B6831" s="65">
        <v>7029</v>
      </c>
      <c r="C6831" s="579" t="s">
        <v>281</v>
      </c>
      <c r="D6831" s="579"/>
      <c r="E6831" s="583"/>
      <c r="F6831" s="596"/>
      <c r="G6831" s="65">
        <v>0</v>
      </c>
      <c r="H6831" s="591" t="s">
        <v>280</v>
      </c>
      <c r="I6831" s="591" t="s">
        <v>280</v>
      </c>
    </row>
    <row r="6832" spans="1:9">
      <c r="A6832" s="577"/>
      <c r="B6832" s="65">
        <v>7030</v>
      </c>
      <c r="C6832" s="579" t="s">
        <v>281</v>
      </c>
      <c r="D6832" s="579"/>
      <c r="E6832" s="583"/>
      <c r="F6832" s="596"/>
      <c r="G6832" s="65">
        <v>0</v>
      </c>
      <c r="H6832" s="591" t="s">
        <v>280</v>
      </c>
      <c r="I6832" s="591" t="s">
        <v>280</v>
      </c>
    </row>
    <row r="6833" spans="1:9">
      <c r="A6833" s="577"/>
      <c r="B6833" s="65">
        <v>7031</v>
      </c>
      <c r="C6833" s="579" t="s">
        <v>281</v>
      </c>
      <c r="D6833" s="579"/>
      <c r="E6833" s="583"/>
      <c r="F6833" s="596"/>
      <c r="G6833" s="65">
        <v>0</v>
      </c>
      <c r="H6833" s="591" t="s">
        <v>280</v>
      </c>
      <c r="I6833" s="591" t="s">
        <v>280</v>
      </c>
    </row>
    <row r="6834" spans="1:9">
      <c r="A6834" s="577"/>
      <c r="B6834" s="65">
        <v>7032</v>
      </c>
      <c r="C6834" s="579" t="s">
        <v>281</v>
      </c>
      <c r="D6834" s="579"/>
      <c r="E6834" s="583"/>
      <c r="F6834" s="596"/>
      <c r="G6834" s="65">
        <v>0</v>
      </c>
      <c r="H6834" s="591" t="s">
        <v>280</v>
      </c>
      <c r="I6834" s="591" t="s">
        <v>280</v>
      </c>
    </row>
    <row r="6835" spans="1:9">
      <c r="A6835" s="577"/>
      <c r="B6835" s="65">
        <v>7033</v>
      </c>
      <c r="C6835" s="579" t="s">
        <v>281</v>
      </c>
      <c r="D6835" s="579"/>
      <c r="E6835" s="583"/>
      <c r="F6835" s="596"/>
      <c r="G6835" s="65">
        <v>0</v>
      </c>
      <c r="H6835" s="591" t="s">
        <v>280</v>
      </c>
      <c r="I6835" s="591" t="s">
        <v>280</v>
      </c>
    </row>
    <row r="6836" spans="1:9">
      <c r="A6836" s="577"/>
      <c r="B6836" s="65">
        <v>7034</v>
      </c>
      <c r="C6836" s="579" t="s">
        <v>281</v>
      </c>
      <c r="D6836" s="579"/>
      <c r="E6836" s="583"/>
      <c r="F6836" s="596"/>
      <c r="G6836" s="65">
        <v>0</v>
      </c>
      <c r="H6836" s="591" t="s">
        <v>280</v>
      </c>
      <c r="I6836" s="591" t="s">
        <v>280</v>
      </c>
    </row>
    <row r="6837" spans="1:9">
      <c r="A6837" s="577"/>
      <c r="B6837" s="65">
        <v>7035</v>
      </c>
      <c r="C6837" s="579" t="s">
        <v>281</v>
      </c>
      <c r="D6837" s="579"/>
      <c r="E6837" s="583"/>
      <c r="F6837" s="596"/>
      <c r="G6837" s="65">
        <v>0</v>
      </c>
      <c r="H6837" s="591" t="s">
        <v>280</v>
      </c>
      <c r="I6837" s="591" t="s">
        <v>280</v>
      </c>
    </row>
    <row r="6838" spans="1:9">
      <c r="A6838" s="577"/>
      <c r="B6838" s="65">
        <v>7036</v>
      </c>
      <c r="C6838" s="579" t="s">
        <v>281</v>
      </c>
      <c r="D6838" s="579"/>
      <c r="E6838" s="583"/>
      <c r="F6838" s="596"/>
      <c r="G6838" s="65">
        <v>0</v>
      </c>
      <c r="H6838" s="591" t="s">
        <v>280</v>
      </c>
      <c r="I6838" s="591" t="s">
        <v>280</v>
      </c>
    </row>
    <row r="6839" spans="1:9">
      <c r="A6839" s="577"/>
      <c r="B6839" s="65">
        <v>7037</v>
      </c>
      <c r="C6839" s="579" t="s">
        <v>281</v>
      </c>
      <c r="D6839" s="579"/>
      <c r="E6839" s="583"/>
      <c r="F6839" s="596"/>
      <c r="G6839" s="65">
        <v>0</v>
      </c>
      <c r="H6839" s="591" t="s">
        <v>280</v>
      </c>
      <c r="I6839" s="591" t="s">
        <v>280</v>
      </c>
    </row>
    <row r="6840" spans="1:9">
      <c r="A6840" s="577"/>
      <c r="B6840" s="65">
        <v>7038</v>
      </c>
      <c r="C6840" s="579" t="s">
        <v>281</v>
      </c>
      <c r="D6840" s="579"/>
      <c r="E6840" s="583"/>
      <c r="F6840" s="596"/>
      <c r="G6840" s="65">
        <v>0</v>
      </c>
      <c r="H6840" s="591" t="s">
        <v>280</v>
      </c>
      <c r="I6840" s="591" t="s">
        <v>280</v>
      </c>
    </row>
    <row r="6841" spans="1:9">
      <c r="A6841" s="577"/>
      <c r="B6841" s="65">
        <v>7039</v>
      </c>
      <c r="C6841" s="579" t="s">
        <v>281</v>
      </c>
      <c r="D6841" s="579"/>
      <c r="E6841" s="583"/>
      <c r="F6841" s="596"/>
      <c r="G6841" s="65">
        <v>0</v>
      </c>
      <c r="H6841" s="591" t="s">
        <v>280</v>
      </c>
      <c r="I6841" s="591" t="s">
        <v>280</v>
      </c>
    </row>
    <row r="6842" spans="1:9">
      <c r="A6842" s="577"/>
      <c r="B6842" s="65">
        <v>7040</v>
      </c>
      <c r="C6842" s="579" t="s">
        <v>281</v>
      </c>
      <c r="D6842" s="579"/>
      <c r="E6842" s="583"/>
      <c r="F6842" s="596"/>
      <c r="G6842" s="65">
        <v>0</v>
      </c>
      <c r="H6842" s="591" t="s">
        <v>280</v>
      </c>
      <c r="I6842" s="591" t="s">
        <v>280</v>
      </c>
    </row>
    <row r="6843" spans="1:9">
      <c r="A6843" s="577"/>
      <c r="B6843" s="65">
        <v>7041</v>
      </c>
      <c r="C6843" s="579" t="s">
        <v>281</v>
      </c>
      <c r="D6843" s="579"/>
      <c r="E6843" s="583"/>
      <c r="F6843" s="596"/>
      <c r="G6843" s="65">
        <v>0</v>
      </c>
      <c r="H6843" s="591" t="s">
        <v>280</v>
      </c>
      <c r="I6843" s="591" t="s">
        <v>280</v>
      </c>
    </row>
    <row r="6844" spans="1:9">
      <c r="A6844" s="577"/>
      <c r="B6844" s="65">
        <v>7042</v>
      </c>
      <c r="C6844" s="579" t="s">
        <v>281</v>
      </c>
      <c r="D6844" s="579"/>
      <c r="E6844" s="583"/>
      <c r="F6844" s="596"/>
      <c r="G6844" s="65">
        <v>0</v>
      </c>
      <c r="H6844" s="591" t="s">
        <v>280</v>
      </c>
      <c r="I6844" s="591" t="s">
        <v>280</v>
      </c>
    </row>
    <row r="6845" spans="1:9">
      <c r="A6845" s="577"/>
      <c r="B6845" s="65">
        <v>7043</v>
      </c>
      <c r="C6845" s="579" t="s">
        <v>281</v>
      </c>
      <c r="D6845" s="579"/>
      <c r="E6845" s="583"/>
      <c r="F6845" s="596"/>
      <c r="G6845" s="65">
        <v>0</v>
      </c>
      <c r="H6845" s="591" t="s">
        <v>280</v>
      </c>
      <c r="I6845" s="591" t="s">
        <v>280</v>
      </c>
    </row>
    <row r="6846" spans="1:9">
      <c r="A6846" s="577"/>
      <c r="B6846" s="65">
        <v>7044</v>
      </c>
      <c r="C6846" s="579" t="s">
        <v>281</v>
      </c>
      <c r="D6846" s="579"/>
      <c r="E6846" s="583"/>
      <c r="F6846" s="596"/>
      <c r="G6846" s="65">
        <v>0</v>
      </c>
      <c r="H6846" s="591" t="s">
        <v>280</v>
      </c>
      <c r="I6846" s="591" t="s">
        <v>280</v>
      </c>
    </row>
    <row r="6847" spans="1:9">
      <c r="A6847" s="577"/>
      <c r="B6847" s="65">
        <v>7045</v>
      </c>
      <c r="C6847" s="579" t="s">
        <v>281</v>
      </c>
      <c r="D6847" s="579"/>
      <c r="E6847" s="583"/>
      <c r="F6847" s="596"/>
      <c r="G6847" s="65">
        <v>0</v>
      </c>
      <c r="H6847" s="591" t="s">
        <v>280</v>
      </c>
      <c r="I6847" s="591" t="s">
        <v>280</v>
      </c>
    </row>
    <row r="6848" spans="1:9">
      <c r="A6848" s="577"/>
      <c r="B6848" s="65">
        <v>7046</v>
      </c>
      <c r="C6848" s="579" t="s">
        <v>281</v>
      </c>
      <c r="D6848" s="579"/>
      <c r="E6848" s="583"/>
      <c r="F6848" s="596"/>
      <c r="G6848" s="65">
        <v>0</v>
      </c>
      <c r="H6848" s="591" t="s">
        <v>280</v>
      </c>
      <c r="I6848" s="591" t="s">
        <v>280</v>
      </c>
    </row>
    <row r="6849" spans="1:9">
      <c r="A6849" s="577"/>
      <c r="B6849" s="65">
        <v>7047</v>
      </c>
      <c r="C6849" s="579" t="s">
        <v>281</v>
      </c>
      <c r="D6849" s="579"/>
      <c r="E6849" s="583"/>
      <c r="F6849" s="596"/>
      <c r="G6849" s="65">
        <v>0</v>
      </c>
      <c r="H6849" s="591" t="s">
        <v>280</v>
      </c>
      <c r="I6849" s="591" t="s">
        <v>280</v>
      </c>
    </row>
    <row r="6850" spans="1:9">
      <c r="A6850" s="577"/>
      <c r="B6850" s="65">
        <v>7048</v>
      </c>
      <c r="C6850" s="579" t="s">
        <v>281</v>
      </c>
      <c r="D6850" s="579"/>
      <c r="E6850" s="583"/>
      <c r="F6850" s="596"/>
      <c r="G6850" s="65">
        <v>0</v>
      </c>
      <c r="H6850" s="591" t="s">
        <v>280</v>
      </c>
      <c r="I6850" s="591" t="s">
        <v>280</v>
      </c>
    </row>
    <row r="6851" spans="1:9">
      <c r="A6851" s="577"/>
      <c r="B6851" s="65">
        <v>7049</v>
      </c>
      <c r="C6851" s="579" t="s">
        <v>281</v>
      </c>
      <c r="D6851" s="579"/>
      <c r="E6851" s="583"/>
      <c r="F6851" s="596"/>
      <c r="G6851" s="65">
        <v>0</v>
      </c>
      <c r="H6851" s="591" t="s">
        <v>280</v>
      </c>
      <c r="I6851" s="591" t="s">
        <v>280</v>
      </c>
    </row>
    <row r="6852" spans="1:9">
      <c r="A6852" s="577"/>
      <c r="B6852" s="65">
        <v>7050</v>
      </c>
      <c r="C6852" s="579" t="s">
        <v>281</v>
      </c>
      <c r="D6852" s="579"/>
      <c r="E6852" s="583"/>
      <c r="F6852" s="596"/>
      <c r="G6852" s="65">
        <v>0</v>
      </c>
      <c r="H6852" s="591" t="s">
        <v>280</v>
      </c>
      <c r="I6852" s="591" t="s">
        <v>280</v>
      </c>
    </row>
    <row r="6853" spans="1:9">
      <c r="A6853" s="577"/>
      <c r="B6853" s="65">
        <v>7051</v>
      </c>
      <c r="C6853" s="579" t="s">
        <v>281</v>
      </c>
      <c r="D6853" s="579"/>
      <c r="E6853" s="583"/>
      <c r="F6853" s="596"/>
      <c r="G6853" s="65">
        <v>0</v>
      </c>
      <c r="H6853" s="591" t="s">
        <v>280</v>
      </c>
      <c r="I6853" s="591" t="s">
        <v>280</v>
      </c>
    </row>
    <row r="6854" spans="1:9">
      <c r="A6854" s="577"/>
      <c r="B6854" s="65">
        <v>7052</v>
      </c>
      <c r="C6854" s="579" t="s">
        <v>281</v>
      </c>
      <c r="D6854" s="579"/>
      <c r="E6854" s="583"/>
      <c r="F6854" s="596"/>
      <c r="G6854" s="65">
        <v>0</v>
      </c>
      <c r="H6854" s="591" t="s">
        <v>280</v>
      </c>
      <c r="I6854" s="591" t="s">
        <v>280</v>
      </c>
    </row>
    <row r="6855" spans="1:9">
      <c r="A6855" s="577"/>
      <c r="B6855" s="65">
        <v>7053</v>
      </c>
      <c r="C6855" s="579" t="s">
        <v>281</v>
      </c>
      <c r="D6855" s="579"/>
      <c r="E6855" s="583"/>
      <c r="F6855" s="596"/>
      <c r="G6855" s="65">
        <v>0</v>
      </c>
      <c r="H6855" s="591" t="s">
        <v>280</v>
      </c>
      <c r="I6855" s="591" t="s">
        <v>280</v>
      </c>
    </row>
    <row r="6856" spans="1:9">
      <c r="A6856" s="577"/>
      <c r="B6856" s="65">
        <v>7054</v>
      </c>
      <c r="C6856" s="579" t="s">
        <v>281</v>
      </c>
      <c r="D6856" s="579"/>
      <c r="E6856" s="583"/>
      <c r="F6856" s="596"/>
      <c r="G6856" s="65">
        <v>0</v>
      </c>
      <c r="H6856" s="591" t="s">
        <v>280</v>
      </c>
      <c r="I6856" s="591" t="s">
        <v>280</v>
      </c>
    </row>
    <row r="6857" spans="1:9">
      <c r="A6857" s="577"/>
      <c r="B6857" s="65">
        <v>7055</v>
      </c>
      <c r="C6857" s="579" t="s">
        <v>281</v>
      </c>
      <c r="D6857" s="579"/>
      <c r="E6857" s="583"/>
      <c r="F6857" s="596"/>
      <c r="G6857" s="65">
        <v>0</v>
      </c>
      <c r="H6857" s="591" t="s">
        <v>280</v>
      </c>
      <c r="I6857" s="591" t="s">
        <v>280</v>
      </c>
    </row>
    <row r="6858" spans="1:9">
      <c r="A6858" s="577"/>
      <c r="B6858" s="65">
        <v>7056</v>
      </c>
      <c r="C6858" s="579" t="s">
        <v>281</v>
      </c>
      <c r="D6858" s="579"/>
      <c r="E6858" s="583"/>
      <c r="F6858" s="596"/>
      <c r="G6858" s="65">
        <v>0</v>
      </c>
      <c r="H6858" s="591" t="s">
        <v>280</v>
      </c>
      <c r="I6858" s="591" t="s">
        <v>280</v>
      </c>
    </row>
    <row r="6859" spans="1:9">
      <c r="A6859" s="577"/>
      <c r="B6859" s="65">
        <v>7057</v>
      </c>
      <c r="C6859" s="579" t="s">
        <v>281</v>
      </c>
      <c r="D6859" s="579"/>
      <c r="E6859" s="583"/>
      <c r="F6859" s="596"/>
      <c r="G6859" s="65">
        <v>0</v>
      </c>
      <c r="H6859" s="591" t="s">
        <v>280</v>
      </c>
      <c r="I6859" s="591" t="s">
        <v>280</v>
      </c>
    </row>
    <row r="6860" spans="1:9">
      <c r="A6860" s="577"/>
      <c r="B6860" s="65">
        <v>7058</v>
      </c>
      <c r="C6860" s="579" t="s">
        <v>281</v>
      </c>
      <c r="D6860" s="579"/>
      <c r="E6860" s="583"/>
      <c r="F6860" s="596"/>
      <c r="G6860" s="65">
        <v>0</v>
      </c>
      <c r="H6860" s="591" t="s">
        <v>280</v>
      </c>
      <c r="I6860" s="591" t="s">
        <v>280</v>
      </c>
    </row>
    <row r="6861" spans="1:9">
      <c r="A6861" s="577"/>
      <c r="B6861" s="65">
        <v>7059</v>
      </c>
      <c r="C6861" s="579" t="s">
        <v>281</v>
      </c>
      <c r="D6861" s="579"/>
      <c r="E6861" s="583"/>
      <c r="F6861" s="596"/>
      <c r="G6861" s="65">
        <v>0</v>
      </c>
      <c r="H6861" s="591" t="s">
        <v>280</v>
      </c>
      <c r="I6861" s="591" t="s">
        <v>280</v>
      </c>
    </row>
    <row r="6862" spans="1:9">
      <c r="A6862" s="577"/>
      <c r="B6862" s="65">
        <v>7060</v>
      </c>
      <c r="C6862" s="579" t="s">
        <v>281</v>
      </c>
      <c r="D6862" s="579"/>
      <c r="E6862" s="583"/>
      <c r="F6862" s="596"/>
      <c r="G6862" s="65">
        <v>0</v>
      </c>
      <c r="H6862" s="591" t="s">
        <v>280</v>
      </c>
      <c r="I6862" s="591" t="s">
        <v>280</v>
      </c>
    </row>
    <row r="6863" spans="1:9">
      <c r="A6863" s="577"/>
      <c r="B6863" s="65">
        <v>7061</v>
      </c>
      <c r="C6863" s="579" t="s">
        <v>281</v>
      </c>
      <c r="D6863" s="579"/>
      <c r="E6863" s="583"/>
      <c r="F6863" s="596"/>
      <c r="G6863" s="65">
        <v>0</v>
      </c>
      <c r="H6863" s="591" t="s">
        <v>280</v>
      </c>
      <c r="I6863" s="591" t="s">
        <v>280</v>
      </c>
    </row>
    <row r="6864" spans="1:9">
      <c r="A6864" s="577"/>
      <c r="B6864" s="65">
        <v>7062</v>
      </c>
      <c r="C6864" s="579" t="s">
        <v>281</v>
      </c>
      <c r="D6864" s="579"/>
      <c r="E6864" s="583"/>
      <c r="F6864" s="596"/>
      <c r="G6864" s="65">
        <v>0</v>
      </c>
      <c r="H6864" s="591" t="s">
        <v>280</v>
      </c>
      <c r="I6864" s="591" t="s">
        <v>280</v>
      </c>
    </row>
    <row r="6865" spans="1:9">
      <c r="A6865" s="577"/>
      <c r="B6865" s="65">
        <v>7063</v>
      </c>
      <c r="C6865" s="579" t="s">
        <v>281</v>
      </c>
      <c r="D6865" s="579"/>
      <c r="E6865" s="583"/>
      <c r="F6865" s="596"/>
      <c r="G6865" s="65">
        <v>0</v>
      </c>
      <c r="H6865" s="591" t="s">
        <v>280</v>
      </c>
      <c r="I6865" s="591" t="s">
        <v>280</v>
      </c>
    </row>
    <row r="6866" spans="1:9">
      <c r="A6866" s="577"/>
      <c r="B6866" s="65">
        <v>7064</v>
      </c>
      <c r="C6866" s="579" t="s">
        <v>281</v>
      </c>
      <c r="D6866" s="579"/>
      <c r="E6866" s="583"/>
      <c r="F6866" s="596"/>
      <c r="G6866" s="65">
        <v>0</v>
      </c>
      <c r="H6866" s="591" t="s">
        <v>280</v>
      </c>
      <c r="I6866" s="591" t="s">
        <v>280</v>
      </c>
    </row>
    <row r="6867" spans="1:9">
      <c r="A6867" s="577"/>
      <c r="B6867" s="65">
        <v>7065</v>
      </c>
      <c r="C6867" s="579" t="s">
        <v>281</v>
      </c>
      <c r="D6867" s="579"/>
      <c r="E6867" s="583"/>
      <c r="F6867" s="596"/>
      <c r="G6867" s="65">
        <v>0</v>
      </c>
      <c r="H6867" s="591" t="s">
        <v>280</v>
      </c>
      <c r="I6867" s="591" t="s">
        <v>280</v>
      </c>
    </row>
    <row r="6868" spans="1:9">
      <c r="A6868" s="577"/>
      <c r="B6868" s="65">
        <v>7066</v>
      </c>
      <c r="C6868" s="579" t="s">
        <v>281</v>
      </c>
      <c r="D6868" s="579"/>
      <c r="E6868" s="583"/>
      <c r="F6868" s="596"/>
      <c r="G6868" s="65">
        <v>0</v>
      </c>
      <c r="H6868" s="591" t="s">
        <v>280</v>
      </c>
      <c r="I6868" s="591" t="s">
        <v>280</v>
      </c>
    </row>
    <row r="6869" spans="1:9">
      <c r="A6869" s="577"/>
      <c r="B6869" s="65">
        <v>7067</v>
      </c>
      <c r="C6869" s="579" t="s">
        <v>281</v>
      </c>
      <c r="D6869" s="579"/>
      <c r="E6869" s="583"/>
      <c r="F6869" s="596"/>
      <c r="G6869" s="65">
        <v>0</v>
      </c>
      <c r="H6869" s="591" t="s">
        <v>280</v>
      </c>
      <c r="I6869" s="591" t="s">
        <v>280</v>
      </c>
    </row>
    <row r="6870" spans="1:9">
      <c r="A6870" s="577"/>
      <c r="B6870" s="65">
        <v>7068</v>
      </c>
      <c r="C6870" s="579" t="s">
        <v>281</v>
      </c>
      <c r="D6870" s="579"/>
      <c r="E6870" s="583"/>
      <c r="F6870" s="596"/>
      <c r="G6870" s="65">
        <v>0</v>
      </c>
      <c r="H6870" s="591" t="s">
        <v>280</v>
      </c>
      <c r="I6870" s="591" t="s">
        <v>280</v>
      </c>
    </row>
    <row r="6871" spans="1:9">
      <c r="A6871" s="577"/>
      <c r="B6871" s="65">
        <v>7069</v>
      </c>
      <c r="C6871" s="579" t="s">
        <v>281</v>
      </c>
      <c r="D6871" s="579"/>
      <c r="E6871" s="583"/>
      <c r="F6871" s="596"/>
      <c r="G6871" s="65">
        <v>0</v>
      </c>
      <c r="H6871" s="591" t="s">
        <v>280</v>
      </c>
      <c r="I6871" s="591" t="s">
        <v>280</v>
      </c>
    </row>
    <row r="6872" spans="1:9">
      <c r="A6872" s="577"/>
      <c r="B6872" s="65">
        <v>7070</v>
      </c>
      <c r="C6872" s="579" t="s">
        <v>281</v>
      </c>
      <c r="D6872" s="579"/>
      <c r="E6872" s="583"/>
      <c r="F6872" s="596"/>
      <c r="G6872" s="65">
        <v>0</v>
      </c>
      <c r="H6872" s="591" t="s">
        <v>280</v>
      </c>
      <c r="I6872" s="591" t="s">
        <v>280</v>
      </c>
    </row>
    <row r="6873" spans="1:9">
      <c r="A6873" s="577"/>
      <c r="B6873" s="65">
        <v>7071</v>
      </c>
      <c r="C6873" s="579" t="s">
        <v>281</v>
      </c>
      <c r="D6873" s="579"/>
      <c r="E6873" s="583"/>
      <c r="F6873" s="596"/>
      <c r="G6873" s="65">
        <v>0</v>
      </c>
      <c r="H6873" s="591" t="s">
        <v>280</v>
      </c>
      <c r="I6873" s="591" t="s">
        <v>280</v>
      </c>
    </row>
    <row r="6874" spans="1:9">
      <c r="A6874" s="577"/>
      <c r="B6874" s="65">
        <v>7072</v>
      </c>
      <c r="C6874" s="579" t="s">
        <v>281</v>
      </c>
      <c r="D6874" s="579"/>
      <c r="E6874" s="583"/>
      <c r="F6874" s="596"/>
      <c r="G6874" s="65">
        <v>0</v>
      </c>
      <c r="H6874" s="591" t="s">
        <v>280</v>
      </c>
      <c r="I6874" s="591" t="s">
        <v>280</v>
      </c>
    </row>
    <row r="6875" spans="1:9">
      <c r="A6875" s="577"/>
      <c r="B6875" s="65">
        <v>7073</v>
      </c>
      <c r="C6875" s="579" t="s">
        <v>281</v>
      </c>
      <c r="D6875" s="579"/>
      <c r="E6875" s="583"/>
      <c r="F6875" s="596"/>
      <c r="G6875" s="65">
        <v>0</v>
      </c>
      <c r="H6875" s="591" t="s">
        <v>280</v>
      </c>
      <c r="I6875" s="591" t="s">
        <v>280</v>
      </c>
    </row>
    <row r="6876" spans="1:9">
      <c r="A6876" s="577"/>
      <c r="B6876" s="65">
        <v>7074</v>
      </c>
      <c r="C6876" s="579" t="s">
        <v>281</v>
      </c>
      <c r="D6876" s="579"/>
      <c r="E6876" s="583"/>
      <c r="F6876" s="596"/>
      <c r="G6876" s="65">
        <v>0</v>
      </c>
      <c r="H6876" s="591" t="s">
        <v>280</v>
      </c>
      <c r="I6876" s="591" t="s">
        <v>280</v>
      </c>
    </row>
    <row r="6877" spans="1:9">
      <c r="A6877" s="577"/>
      <c r="B6877" s="65">
        <v>7075</v>
      </c>
      <c r="C6877" s="579" t="s">
        <v>281</v>
      </c>
      <c r="D6877" s="579"/>
      <c r="E6877" s="583"/>
      <c r="F6877" s="596"/>
      <c r="G6877" s="65">
        <v>0</v>
      </c>
      <c r="H6877" s="591" t="s">
        <v>280</v>
      </c>
      <c r="I6877" s="591" t="s">
        <v>280</v>
      </c>
    </row>
    <row r="6878" spans="1:9">
      <c r="A6878" s="577"/>
      <c r="B6878" s="65">
        <v>7076</v>
      </c>
      <c r="C6878" s="579" t="s">
        <v>281</v>
      </c>
      <c r="D6878" s="579"/>
      <c r="E6878" s="583"/>
      <c r="F6878" s="596"/>
      <c r="G6878" s="65">
        <v>0</v>
      </c>
      <c r="H6878" s="591" t="s">
        <v>280</v>
      </c>
      <c r="I6878" s="591" t="s">
        <v>280</v>
      </c>
    </row>
    <row r="6879" spans="1:9">
      <c r="A6879" s="577"/>
      <c r="B6879" s="65">
        <v>7077</v>
      </c>
      <c r="C6879" s="579" t="s">
        <v>281</v>
      </c>
      <c r="D6879" s="579"/>
      <c r="E6879" s="583"/>
      <c r="F6879" s="596"/>
      <c r="G6879" s="65">
        <v>0</v>
      </c>
      <c r="H6879" s="591" t="s">
        <v>280</v>
      </c>
      <c r="I6879" s="591" t="s">
        <v>280</v>
      </c>
    </row>
    <row r="6880" spans="1:9">
      <c r="A6880" s="577"/>
      <c r="B6880" s="65">
        <v>7078</v>
      </c>
      <c r="C6880" s="579" t="s">
        <v>281</v>
      </c>
      <c r="D6880" s="579"/>
      <c r="E6880" s="583"/>
      <c r="F6880" s="596"/>
      <c r="G6880" s="65">
        <v>0</v>
      </c>
      <c r="H6880" s="591" t="s">
        <v>280</v>
      </c>
      <c r="I6880" s="591" t="s">
        <v>280</v>
      </c>
    </row>
    <row r="6881" spans="1:9">
      <c r="A6881" s="577"/>
      <c r="B6881" s="65">
        <v>7079</v>
      </c>
      <c r="C6881" s="579" t="s">
        <v>281</v>
      </c>
      <c r="D6881" s="579"/>
      <c r="E6881" s="583"/>
      <c r="F6881" s="596"/>
      <c r="G6881" s="65">
        <v>0</v>
      </c>
      <c r="H6881" s="591" t="s">
        <v>280</v>
      </c>
      <c r="I6881" s="591" t="s">
        <v>280</v>
      </c>
    </row>
    <row r="6882" spans="1:9">
      <c r="A6882" s="577"/>
      <c r="B6882" s="65">
        <v>7080</v>
      </c>
      <c r="C6882" s="579" t="s">
        <v>281</v>
      </c>
      <c r="D6882" s="579"/>
      <c r="E6882" s="583"/>
      <c r="F6882" s="596"/>
      <c r="G6882" s="65">
        <v>0</v>
      </c>
      <c r="H6882" s="591" t="s">
        <v>280</v>
      </c>
      <c r="I6882" s="591" t="s">
        <v>280</v>
      </c>
    </row>
    <row r="6883" spans="1:9">
      <c r="A6883" s="577"/>
      <c r="B6883" s="65">
        <v>7081</v>
      </c>
      <c r="C6883" s="579" t="s">
        <v>281</v>
      </c>
      <c r="D6883" s="579"/>
      <c r="E6883" s="583"/>
      <c r="F6883" s="596"/>
      <c r="G6883" s="65">
        <v>0</v>
      </c>
      <c r="H6883" s="591" t="s">
        <v>280</v>
      </c>
      <c r="I6883" s="591" t="s">
        <v>280</v>
      </c>
    </row>
    <row r="6884" spans="1:9">
      <c r="A6884" s="577"/>
      <c r="B6884" s="65">
        <v>7082</v>
      </c>
      <c r="C6884" s="579" t="s">
        <v>281</v>
      </c>
      <c r="D6884" s="579"/>
      <c r="E6884" s="583"/>
      <c r="F6884" s="596"/>
      <c r="G6884" s="65">
        <v>0</v>
      </c>
      <c r="H6884" s="591" t="s">
        <v>280</v>
      </c>
      <c r="I6884" s="591" t="s">
        <v>280</v>
      </c>
    </row>
    <row r="6885" spans="1:9">
      <c r="A6885" s="577"/>
      <c r="B6885" s="65">
        <v>7083</v>
      </c>
      <c r="C6885" s="579" t="s">
        <v>281</v>
      </c>
      <c r="D6885" s="579"/>
      <c r="E6885" s="583"/>
      <c r="F6885" s="596"/>
      <c r="G6885" s="65">
        <v>0</v>
      </c>
      <c r="H6885" s="591" t="s">
        <v>280</v>
      </c>
      <c r="I6885" s="591" t="s">
        <v>280</v>
      </c>
    </row>
    <row r="6886" spans="1:9">
      <c r="A6886" s="577"/>
      <c r="B6886" s="65">
        <v>7084</v>
      </c>
      <c r="C6886" s="579" t="s">
        <v>281</v>
      </c>
      <c r="D6886" s="579"/>
      <c r="E6886" s="583"/>
      <c r="F6886" s="596"/>
      <c r="G6886" s="65">
        <v>0</v>
      </c>
      <c r="H6886" s="591" t="s">
        <v>280</v>
      </c>
      <c r="I6886" s="591" t="s">
        <v>280</v>
      </c>
    </row>
    <row r="6887" spans="1:9">
      <c r="A6887" s="577"/>
      <c r="B6887" s="65">
        <v>7085</v>
      </c>
      <c r="C6887" s="579" t="s">
        <v>281</v>
      </c>
      <c r="D6887" s="579"/>
      <c r="E6887" s="583"/>
      <c r="F6887" s="596"/>
      <c r="G6887" s="65">
        <v>0</v>
      </c>
      <c r="H6887" s="591" t="s">
        <v>280</v>
      </c>
      <c r="I6887" s="591" t="s">
        <v>280</v>
      </c>
    </row>
    <row r="6888" spans="1:9">
      <c r="A6888" s="577"/>
      <c r="B6888" s="65">
        <v>7086</v>
      </c>
      <c r="C6888" s="579" t="s">
        <v>281</v>
      </c>
      <c r="D6888" s="579"/>
      <c r="E6888" s="583"/>
      <c r="F6888" s="596"/>
      <c r="G6888" s="65">
        <v>0</v>
      </c>
      <c r="H6888" s="591" t="s">
        <v>280</v>
      </c>
      <c r="I6888" s="591" t="s">
        <v>280</v>
      </c>
    </row>
    <row r="6889" spans="1:9">
      <c r="A6889" s="577"/>
      <c r="B6889" s="65">
        <v>7087</v>
      </c>
      <c r="C6889" s="579" t="s">
        <v>281</v>
      </c>
      <c r="D6889" s="579"/>
      <c r="E6889" s="583"/>
      <c r="F6889" s="596"/>
      <c r="G6889" s="65">
        <v>0</v>
      </c>
      <c r="H6889" s="591" t="s">
        <v>280</v>
      </c>
      <c r="I6889" s="591" t="s">
        <v>280</v>
      </c>
    </row>
    <row r="6890" spans="1:9">
      <c r="A6890" s="577"/>
      <c r="B6890" s="65">
        <v>7088</v>
      </c>
      <c r="C6890" s="579" t="s">
        <v>281</v>
      </c>
      <c r="D6890" s="579"/>
      <c r="E6890" s="583"/>
      <c r="F6890" s="596"/>
      <c r="G6890" s="65">
        <v>0</v>
      </c>
      <c r="H6890" s="591" t="s">
        <v>280</v>
      </c>
      <c r="I6890" s="591" t="s">
        <v>280</v>
      </c>
    </row>
    <row r="6891" spans="1:9">
      <c r="A6891" s="577"/>
      <c r="B6891" s="65">
        <v>7089</v>
      </c>
      <c r="C6891" s="579" t="s">
        <v>281</v>
      </c>
      <c r="D6891" s="579"/>
      <c r="E6891" s="583"/>
      <c r="F6891" s="596"/>
      <c r="G6891" s="65">
        <v>0</v>
      </c>
      <c r="H6891" s="591" t="s">
        <v>280</v>
      </c>
      <c r="I6891" s="591" t="s">
        <v>280</v>
      </c>
    </row>
    <row r="6892" spans="1:9">
      <c r="A6892" s="577"/>
      <c r="B6892" s="65">
        <v>7090</v>
      </c>
      <c r="C6892" s="579" t="s">
        <v>281</v>
      </c>
      <c r="D6892" s="579"/>
      <c r="E6892" s="583"/>
      <c r="F6892" s="596"/>
      <c r="G6892" s="65">
        <v>0</v>
      </c>
      <c r="H6892" s="591" t="s">
        <v>280</v>
      </c>
      <c r="I6892" s="591" t="s">
        <v>280</v>
      </c>
    </row>
    <row r="6893" spans="1:9">
      <c r="A6893" s="577"/>
      <c r="B6893" s="65">
        <v>7091</v>
      </c>
      <c r="C6893" s="579" t="s">
        <v>281</v>
      </c>
      <c r="D6893" s="579"/>
      <c r="E6893" s="583"/>
      <c r="F6893" s="596"/>
      <c r="G6893" s="65">
        <v>0</v>
      </c>
      <c r="H6893" s="591" t="s">
        <v>280</v>
      </c>
      <c r="I6893" s="591" t="s">
        <v>280</v>
      </c>
    </row>
    <row r="6894" spans="1:9">
      <c r="A6894" s="577"/>
      <c r="B6894" s="65">
        <v>7092</v>
      </c>
      <c r="C6894" s="579" t="s">
        <v>281</v>
      </c>
      <c r="D6894" s="579"/>
      <c r="E6894" s="583"/>
      <c r="F6894" s="596"/>
      <c r="G6894" s="65">
        <v>0</v>
      </c>
      <c r="H6894" s="591" t="s">
        <v>280</v>
      </c>
      <c r="I6894" s="591" t="s">
        <v>280</v>
      </c>
    </row>
    <row r="6895" spans="1:9">
      <c r="A6895" s="577"/>
      <c r="B6895" s="65">
        <v>7093</v>
      </c>
      <c r="C6895" s="579" t="s">
        <v>281</v>
      </c>
      <c r="D6895" s="579"/>
      <c r="E6895" s="583"/>
      <c r="F6895" s="596"/>
      <c r="G6895" s="65">
        <v>0</v>
      </c>
      <c r="H6895" s="591" t="s">
        <v>280</v>
      </c>
      <c r="I6895" s="591" t="s">
        <v>280</v>
      </c>
    </row>
    <row r="6896" spans="1:9">
      <c r="A6896" s="577"/>
      <c r="B6896" s="65">
        <v>7094</v>
      </c>
      <c r="C6896" s="579" t="s">
        <v>281</v>
      </c>
      <c r="D6896" s="579"/>
      <c r="E6896" s="583"/>
      <c r="F6896" s="596"/>
      <c r="G6896" s="65">
        <v>0</v>
      </c>
      <c r="H6896" s="591" t="s">
        <v>280</v>
      </c>
      <c r="I6896" s="591" t="s">
        <v>280</v>
      </c>
    </row>
    <row r="6897" spans="1:9">
      <c r="A6897" s="577"/>
      <c r="B6897" s="65">
        <v>7095</v>
      </c>
      <c r="C6897" s="579" t="s">
        <v>281</v>
      </c>
      <c r="D6897" s="579"/>
      <c r="E6897" s="583"/>
      <c r="F6897" s="596"/>
      <c r="G6897" s="65">
        <v>0</v>
      </c>
      <c r="H6897" s="591" t="s">
        <v>280</v>
      </c>
      <c r="I6897" s="591" t="s">
        <v>280</v>
      </c>
    </row>
    <row r="6898" spans="1:9">
      <c r="A6898" s="577"/>
      <c r="B6898" s="65">
        <v>7096</v>
      </c>
      <c r="C6898" s="579" t="s">
        <v>281</v>
      </c>
      <c r="D6898" s="579"/>
      <c r="E6898" s="583"/>
      <c r="F6898" s="596"/>
      <c r="G6898" s="65">
        <v>0</v>
      </c>
      <c r="H6898" s="591" t="s">
        <v>280</v>
      </c>
      <c r="I6898" s="591" t="s">
        <v>280</v>
      </c>
    </row>
    <row r="6899" spans="1:9">
      <c r="A6899" s="577"/>
      <c r="B6899" s="65">
        <v>7097</v>
      </c>
      <c r="C6899" s="579" t="s">
        <v>281</v>
      </c>
      <c r="D6899" s="579"/>
      <c r="E6899" s="583"/>
      <c r="F6899" s="596"/>
      <c r="G6899" s="65">
        <v>0</v>
      </c>
      <c r="H6899" s="591" t="s">
        <v>280</v>
      </c>
      <c r="I6899" s="591" t="s">
        <v>280</v>
      </c>
    </row>
    <row r="6900" spans="1:9">
      <c r="A6900" s="577"/>
      <c r="B6900" s="65">
        <v>7098</v>
      </c>
      <c r="C6900" s="579" t="s">
        <v>281</v>
      </c>
      <c r="D6900" s="579"/>
      <c r="E6900" s="583"/>
      <c r="F6900" s="596"/>
      <c r="G6900" s="65">
        <v>0</v>
      </c>
      <c r="H6900" s="591" t="s">
        <v>280</v>
      </c>
      <c r="I6900" s="591" t="s">
        <v>280</v>
      </c>
    </row>
    <row r="6901" spans="1:9">
      <c r="A6901" s="577"/>
      <c r="B6901" s="65">
        <v>7099</v>
      </c>
      <c r="C6901" s="579" t="s">
        <v>281</v>
      </c>
      <c r="D6901" s="579"/>
      <c r="E6901" s="583"/>
      <c r="F6901" s="596"/>
      <c r="G6901" s="65">
        <v>0</v>
      </c>
      <c r="H6901" s="591" t="s">
        <v>280</v>
      </c>
      <c r="I6901" s="591" t="s">
        <v>280</v>
      </c>
    </row>
    <row r="6902" spans="1:9">
      <c r="A6902" s="577"/>
      <c r="B6902" s="65">
        <v>7100</v>
      </c>
      <c r="C6902" s="579" t="s">
        <v>281</v>
      </c>
      <c r="D6902" s="579"/>
      <c r="E6902" s="583"/>
      <c r="F6902" s="596"/>
      <c r="G6902" s="65">
        <v>0</v>
      </c>
      <c r="H6902" s="591" t="s">
        <v>280</v>
      </c>
      <c r="I6902" s="591" t="s">
        <v>280</v>
      </c>
    </row>
    <row r="6903" spans="1:9">
      <c r="A6903" s="577"/>
      <c r="B6903" s="65">
        <v>7101</v>
      </c>
      <c r="C6903" s="579" t="s">
        <v>281</v>
      </c>
      <c r="D6903" s="579"/>
      <c r="E6903" s="583"/>
      <c r="F6903" s="596"/>
      <c r="G6903" s="65">
        <v>0</v>
      </c>
      <c r="H6903" s="591" t="s">
        <v>280</v>
      </c>
      <c r="I6903" s="591" t="s">
        <v>280</v>
      </c>
    </row>
    <row r="6904" spans="1:9">
      <c r="A6904" s="577"/>
      <c r="B6904" s="65">
        <v>7102</v>
      </c>
      <c r="C6904" s="579" t="s">
        <v>281</v>
      </c>
      <c r="D6904" s="579"/>
      <c r="E6904" s="583"/>
      <c r="F6904" s="596"/>
      <c r="G6904" s="65">
        <v>0</v>
      </c>
      <c r="H6904" s="591" t="s">
        <v>280</v>
      </c>
      <c r="I6904" s="591" t="s">
        <v>280</v>
      </c>
    </row>
    <row r="6905" spans="1:9">
      <c r="A6905" s="577"/>
      <c r="B6905" s="65">
        <v>7103</v>
      </c>
      <c r="C6905" s="579" t="s">
        <v>281</v>
      </c>
      <c r="D6905" s="579"/>
      <c r="E6905" s="583"/>
      <c r="F6905" s="596"/>
      <c r="G6905" s="65">
        <v>0</v>
      </c>
      <c r="H6905" s="591" t="s">
        <v>280</v>
      </c>
      <c r="I6905" s="591" t="s">
        <v>280</v>
      </c>
    </row>
    <row r="6906" spans="1:9">
      <c r="A6906" s="577"/>
      <c r="B6906" s="65">
        <v>7104</v>
      </c>
      <c r="C6906" s="579" t="s">
        <v>281</v>
      </c>
      <c r="D6906" s="579"/>
      <c r="E6906" s="583"/>
      <c r="F6906" s="596"/>
      <c r="G6906" s="65">
        <v>0</v>
      </c>
      <c r="H6906" s="591" t="s">
        <v>280</v>
      </c>
      <c r="I6906" s="591" t="s">
        <v>280</v>
      </c>
    </row>
    <row r="6907" spans="1:9">
      <c r="A6907" s="577"/>
      <c r="B6907" s="65">
        <v>7105</v>
      </c>
      <c r="C6907" s="579" t="s">
        <v>281</v>
      </c>
      <c r="D6907" s="579"/>
      <c r="E6907" s="583"/>
      <c r="F6907" s="596"/>
      <c r="G6907" s="65">
        <v>0</v>
      </c>
      <c r="H6907" s="591" t="s">
        <v>280</v>
      </c>
      <c r="I6907" s="591" t="s">
        <v>280</v>
      </c>
    </row>
    <row r="6908" spans="1:9">
      <c r="A6908" s="577"/>
      <c r="B6908" s="65">
        <v>7106</v>
      </c>
      <c r="C6908" s="579" t="s">
        <v>281</v>
      </c>
      <c r="D6908" s="579"/>
      <c r="E6908" s="583"/>
      <c r="F6908" s="596"/>
      <c r="G6908" s="65">
        <v>0</v>
      </c>
      <c r="H6908" s="591" t="s">
        <v>280</v>
      </c>
      <c r="I6908" s="591" t="s">
        <v>280</v>
      </c>
    </row>
    <row r="6909" spans="1:9">
      <c r="A6909" s="577"/>
      <c r="B6909" s="65">
        <v>7107</v>
      </c>
      <c r="C6909" s="579" t="s">
        <v>281</v>
      </c>
      <c r="D6909" s="579"/>
      <c r="E6909" s="583"/>
      <c r="F6909" s="596"/>
      <c r="G6909" s="65">
        <v>0</v>
      </c>
      <c r="H6909" s="591" t="s">
        <v>280</v>
      </c>
      <c r="I6909" s="591" t="s">
        <v>280</v>
      </c>
    </row>
    <row r="6910" spans="1:9">
      <c r="A6910" s="577"/>
      <c r="B6910" s="65">
        <v>7108</v>
      </c>
      <c r="C6910" s="579" t="s">
        <v>281</v>
      </c>
      <c r="D6910" s="579"/>
      <c r="E6910" s="583"/>
      <c r="F6910" s="596"/>
      <c r="G6910" s="65">
        <v>0</v>
      </c>
      <c r="H6910" s="591" t="s">
        <v>280</v>
      </c>
      <c r="I6910" s="591" t="s">
        <v>280</v>
      </c>
    </row>
    <row r="6911" spans="1:9">
      <c r="A6911" s="577"/>
      <c r="B6911" s="65">
        <v>7109</v>
      </c>
      <c r="C6911" s="579" t="s">
        <v>281</v>
      </c>
      <c r="D6911" s="579"/>
      <c r="E6911" s="583"/>
      <c r="F6911" s="596"/>
      <c r="G6911" s="65">
        <v>0</v>
      </c>
      <c r="H6911" s="591" t="s">
        <v>280</v>
      </c>
      <c r="I6911" s="591" t="s">
        <v>280</v>
      </c>
    </row>
    <row r="6912" spans="1:9">
      <c r="A6912" s="577"/>
      <c r="B6912" s="65">
        <v>7110</v>
      </c>
      <c r="C6912" s="579" t="s">
        <v>281</v>
      </c>
      <c r="D6912" s="579"/>
      <c r="E6912" s="583"/>
      <c r="F6912" s="596"/>
      <c r="G6912" s="65">
        <v>0</v>
      </c>
      <c r="H6912" s="591" t="s">
        <v>280</v>
      </c>
      <c r="I6912" s="591" t="s">
        <v>280</v>
      </c>
    </row>
    <row r="6913" spans="1:9">
      <c r="A6913" s="577"/>
      <c r="B6913" s="65">
        <v>7111</v>
      </c>
      <c r="C6913" s="579" t="s">
        <v>281</v>
      </c>
      <c r="D6913" s="579"/>
      <c r="E6913" s="583"/>
      <c r="F6913" s="596"/>
      <c r="G6913" s="65">
        <v>0</v>
      </c>
      <c r="H6913" s="591" t="s">
        <v>280</v>
      </c>
      <c r="I6913" s="591" t="s">
        <v>280</v>
      </c>
    </row>
    <row r="6914" spans="1:9">
      <c r="A6914" s="577"/>
      <c r="B6914" s="65">
        <v>7112</v>
      </c>
      <c r="C6914" s="579" t="s">
        <v>281</v>
      </c>
      <c r="D6914" s="579"/>
      <c r="E6914" s="583"/>
      <c r="F6914" s="596"/>
      <c r="G6914" s="65">
        <v>0</v>
      </c>
      <c r="H6914" s="591" t="s">
        <v>280</v>
      </c>
      <c r="I6914" s="591" t="s">
        <v>280</v>
      </c>
    </row>
    <row r="6915" spans="1:9">
      <c r="A6915" s="577"/>
      <c r="B6915" s="65">
        <v>7113</v>
      </c>
      <c r="C6915" s="579" t="s">
        <v>281</v>
      </c>
      <c r="D6915" s="579"/>
      <c r="E6915" s="583"/>
      <c r="F6915" s="596"/>
      <c r="G6915" s="65">
        <v>0</v>
      </c>
      <c r="H6915" s="591" t="s">
        <v>280</v>
      </c>
      <c r="I6915" s="591" t="s">
        <v>280</v>
      </c>
    </row>
    <row r="6916" spans="1:9">
      <c r="A6916" s="577"/>
      <c r="B6916" s="65">
        <v>7114</v>
      </c>
      <c r="C6916" s="579" t="s">
        <v>281</v>
      </c>
      <c r="D6916" s="579"/>
      <c r="E6916" s="583"/>
      <c r="F6916" s="596"/>
      <c r="G6916" s="65">
        <v>0</v>
      </c>
      <c r="H6916" s="591" t="s">
        <v>280</v>
      </c>
      <c r="I6916" s="591" t="s">
        <v>280</v>
      </c>
    </row>
    <row r="6917" spans="1:9">
      <c r="A6917" s="577"/>
      <c r="B6917" s="65">
        <v>7115</v>
      </c>
      <c r="C6917" s="579" t="s">
        <v>281</v>
      </c>
      <c r="D6917" s="579"/>
      <c r="E6917" s="583"/>
      <c r="F6917" s="596"/>
      <c r="G6917" s="65">
        <v>0</v>
      </c>
      <c r="H6917" s="591" t="s">
        <v>280</v>
      </c>
      <c r="I6917" s="591" t="s">
        <v>280</v>
      </c>
    </row>
    <row r="6918" spans="1:9">
      <c r="A6918" s="577"/>
      <c r="B6918" s="65">
        <v>7116</v>
      </c>
      <c r="C6918" s="579" t="s">
        <v>281</v>
      </c>
      <c r="D6918" s="579"/>
      <c r="E6918" s="583"/>
      <c r="F6918" s="596"/>
      <c r="G6918" s="65">
        <v>0</v>
      </c>
      <c r="H6918" s="591" t="s">
        <v>280</v>
      </c>
      <c r="I6918" s="591" t="s">
        <v>280</v>
      </c>
    </row>
    <row r="6919" spans="1:9">
      <c r="A6919" s="577"/>
      <c r="B6919" s="65">
        <v>7117</v>
      </c>
      <c r="C6919" s="579" t="s">
        <v>281</v>
      </c>
      <c r="D6919" s="579"/>
      <c r="E6919" s="583"/>
      <c r="F6919" s="596"/>
      <c r="G6919" s="65">
        <v>0</v>
      </c>
      <c r="H6919" s="591" t="s">
        <v>280</v>
      </c>
      <c r="I6919" s="591" t="s">
        <v>280</v>
      </c>
    </row>
    <row r="6920" spans="1:9">
      <c r="A6920" s="577"/>
      <c r="B6920" s="65">
        <v>7118</v>
      </c>
      <c r="C6920" s="579" t="s">
        <v>281</v>
      </c>
      <c r="D6920" s="579"/>
      <c r="E6920" s="583"/>
      <c r="F6920" s="596"/>
      <c r="G6920" s="65">
        <v>0</v>
      </c>
      <c r="H6920" s="591" t="s">
        <v>280</v>
      </c>
      <c r="I6920" s="591" t="s">
        <v>280</v>
      </c>
    </row>
    <row r="6921" spans="1:9">
      <c r="A6921" s="577"/>
      <c r="B6921" s="65">
        <v>7119</v>
      </c>
      <c r="C6921" s="579" t="s">
        <v>281</v>
      </c>
      <c r="D6921" s="579"/>
      <c r="E6921" s="583"/>
      <c r="F6921" s="596"/>
      <c r="G6921" s="65">
        <v>0</v>
      </c>
      <c r="H6921" s="591" t="s">
        <v>280</v>
      </c>
      <c r="I6921" s="591" t="s">
        <v>280</v>
      </c>
    </row>
    <row r="6922" spans="1:9">
      <c r="A6922" s="577"/>
      <c r="B6922" s="65">
        <v>7120</v>
      </c>
      <c r="C6922" s="579" t="s">
        <v>281</v>
      </c>
      <c r="D6922" s="579"/>
      <c r="E6922" s="583"/>
      <c r="F6922" s="596"/>
      <c r="G6922" s="65">
        <v>0</v>
      </c>
      <c r="H6922" s="591" t="s">
        <v>280</v>
      </c>
      <c r="I6922" s="591" t="s">
        <v>280</v>
      </c>
    </row>
    <row r="6923" spans="1:9">
      <c r="A6923" s="577"/>
      <c r="B6923" s="65">
        <v>7121</v>
      </c>
      <c r="C6923" s="579" t="s">
        <v>281</v>
      </c>
      <c r="D6923" s="579"/>
      <c r="E6923" s="583"/>
      <c r="F6923" s="596"/>
      <c r="G6923" s="65">
        <v>0</v>
      </c>
      <c r="H6923" s="591" t="s">
        <v>280</v>
      </c>
      <c r="I6923" s="591" t="s">
        <v>280</v>
      </c>
    </row>
    <row r="6924" spans="1:9">
      <c r="A6924" s="577"/>
      <c r="B6924" s="65">
        <v>7122</v>
      </c>
      <c r="C6924" s="579" t="s">
        <v>281</v>
      </c>
      <c r="D6924" s="579"/>
      <c r="E6924" s="583"/>
      <c r="F6924" s="596"/>
      <c r="G6924" s="65">
        <v>0</v>
      </c>
      <c r="H6924" s="591" t="s">
        <v>280</v>
      </c>
      <c r="I6924" s="591" t="s">
        <v>280</v>
      </c>
    </row>
    <row r="6925" spans="1:9">
      <c r="A6925" s="577"/>
      <c r="B6925" s="65">
        <v>7123</v>
      </c>
      <c r="C6925" s="579" t="s">
        <v>281</v>
      </c>
      <c r="D6925" s="579"/>
      <c r="E6925" s="583"/>
      <c r="F6925" s="596"/>
      <c r="G6925" s="65">
        <v>0</v>
      </c>
      <c r="H6925" s="591" t="s">
        <v>280</v>
      </c>
      <c r="I6925" s="591" t="s">
        <v>280</v>
      </c>
    </row>
    <row r="6926" spans="1:9">
      <c r="A6926" s="577"/>
      <c r="B6926" s="65">
        <v>7124</v>
      </c>
      <c r="C6926" s="579" t="s">
        <v>281</v>
      </c>
      <c r="D6926" s="579"/>
      <c r="E6926" s="583"/>
      <c r="F6926" s="596"/>
      <c r="G6926" s="65">
        <v>0</v>
      </c>
      <c r="H6926" s="591" t="s">
        <v>280</v>
      </c>
      <c r="I6926" s="591" t="s">
        <v>280</v>
      </c>
    </row>
    <row r="6927" spans="1:9">
      <c r="A6927" s="577"/>
      <c r="B6927" s="65">
        <v>7125</v>
      </c>
      <c r="C6927" s="579" t="s">
        <v>281</v>
      </c>
      <c r="D6927" s="579"/>
      <c r="E6927" s="583"/>
      <c r="F6927" s="596"/>
      <c r="G6927" s="65">
        <v>0</v>
      </c>
      <c r="H6927" s="591" t="s">
        <v>280</v>
      </c>
      <c r="I6927" s="591" t="s">
        <v>280</v>
      </c>
    </row>
    <row r="6928" spans="1:9">
      <c r="A6928" s="577"/>
      <c r="B6928" s="65">
        <v>7126</v>
      </c>
      <c r="C6928" s="579" t="s">
        <v>281</v>
      </c>
      <c r="D6928" s="579"/>
      <c r="E6928" s="583"/>
      <c r="F6928" s="596"/>
      <c r="G6928" s="65">
        <v>0</v>
      </c>
      <c r="H6928" s="591" t="s">
        <v>280</v>
      </c>
      <c r="I6928" s="591" t="s">
        <v>280</v>
      </c>
    </row>
    <row r="6929" spans="1:9">
      <c r="A6929" s="577"/>
      <c r="B6929" s="65">
        <v>7127</v>
      </c>
      <c r="C6929" s="579" t="s">
        <v>281</v>
      </c>
      <c r="D6929" s="579"/>
      <c r="E6929" s="583"/>
      <c r="F6929" s="596"/>
      <c r="G6929" s="65">
        <v>0</v>
      </c>
      <c r="H6929" s="591" t="s">
        <v>280</v>
      </c>
      <c r="I6929" s="591" t="s">
        <v>280</v>
      </c>
    </row>
    <row r="6930" spans="1:9">
      <c r="A6930" s="577"/>
      <c r="B6930" s="65">
        <v>7128</v>
      </c>
      <c r="C6930" s="579" t="s">
        <v>281</v>
      </c>
      <c r="D6930" s="579"/>
      <c r="E6930" s="583"/>
      <c r="F6930" s="596"/>
      <c r="G6930" s="65">
        <v>0</v>
      </c>
      <c r="H6930" s="591" t="s">
        <v>280</v>
      </c>
      <c r="I6930" s="591" t="s">
        <v>280</v>
      </c>
    </row>
    <row r="6931" spans="1:9">
      <c r="A6931" s="577"/>
      <c r="B6931" s="65">
        <v>7129</v>
      </c>
      <c r="C6931" s="579" t="s">
        <v>281</v>
      </c>
      <c r="D6931" s="579"/>
      <c r="E6931" s="583"/>
      <c r="F6931" s="596"/>
      <c r="G6931" s="65">
        <v>0</v>
      </c>
      <c r="H6931" s="591" t="s">
        <v>280</v>
      </c>
      <c r="I6931" s="591" t="s">
        <v>280</v>
      </c>
    </row>
    <row r="6932" spans="1:9">
      <c r="A6932" s="577"/>
      <c r="B6932" s="65">
        <v>7130</v>
      </c>
      <c r="C6932" s="579" t="s">
        <v>281</v>
      </c>
      <c r="D6932" s="579"/>
      <c r="E6932" s="583"/>
      <c r="F6932" s="596"/>
      <c r="G6932" s="65">
        <v>0</v>
      </c>
      <c r="H6932" s="591" t="s">
        <v>280</v>
      </c>
      <c r="I6932" s="591" t="s">
        <v>280</v>
      </c>
    </row>
    <row r="6933" spans="1:9">
      <c r="A6933" s="577"/>
      <c r="B6933" s="65">
        <v>7131</v>
      </c>
      <c r="C6933" s="579" t="s">
        <v>281</v>
      </c>
      <c r="D6933" s="579"/>
      <c r="E6933" s="583"/>
      <c r="F6933" s="596"/>
      <c r="G6933" s="65">
        <v>0</v>
      </c>
      <c r="H6933" s="591" t="s">
        <v>280</v>
      </c>
      <c r="I6933" s="591" t="s">
        <v>280</v>
      </c>
    </row>
    <row r="6934" spans="1:9">
      <c r="A6934" s="577"/>
      <c r="B6934" s="65">
        <v>7132</v>
      </c>
      <c r="C6934" s="579" t="s">
        <v>281</v>
      </c>
      <c r="D6934" s="579"/>
      <c r="E6934" s="583"/>
      <c r="F6934" s="596"/>
      <c r="G6934" s="65">
        <v>0</v>
      </c>
      <c r="H6934" s="591" t="s">
        <v>280</v>
      </c>
      <c r="I6934" s="591" t="s">
        <v>280</v>
      </c>
    </row>
    <row r="6935" spans="1:9">
      <c r="A6935" s="577"/>
      <c r="B6935" s="65">
        <v>7133</v>
      </c>
      <c r="C6935" s="579" t="s">
        <v>281</v>
      </c>
      <c r="D6935" s="579"/>
      <c r="E6935" s="583"/>
      <c r="F6935" s="596"/>
      <c r="G6935" s="65">
        <v>0</v>
      </c>
      <c r="H6935" s="591" t="s">
        <v>280</v>
      </c>
      <c r="I6935" s="591" t="s">
        <v>280</v>
      </c>
    </row>
    <row r="6936" spans="1:9">
      <c r="A6936" s="577"/>
      <c r="B6936" s="65">
        <v>7134</v>
      </c>
      <c r="C6936" s="579" t="s">
        <v>281</v>
      </c>
      <c r="D6936" s="579"/>
      <c r="E6936" s="583"/>
      <c r="F6936" s="596"/>
      <c r="G6936" s="65">
        <v>0</v>
      </c>
      <c r="H6936" s="591" t="s">
        <v>280</v>
      </c>
      <c r="I6936" s="591" t="s">
        <v>280</v>
      </c>
    </row>
    <row r="6937" spans="1:9">
      <c r="A6937" s="577"/>
      <c r="B6937" s="65">
        <v>7135</v>
      </c>
      <c r="C6937" s="579" t="s">
        <v>281</v>
      </c>
      <c r="D6937" s="579"/>
      <c r="E6937" s="583"/>
      <c r="F6937" s="596"/>
      <c r="G6937" s="65">
        <v>0</v>
      </c>
      <c r="H6937" s="591" t="s">
        <v>280</v>
      </c>
      <c r="I6937" s="591" t="s">
        <v>280</v>
      </c>
    </row>
    <row r="6938" spans="1:9">
      <c r="A6938" s="577"/>
      <c r="B6938" s="65">
        <v>7136</v>
      </c>
      <c r="C6938" s="579" t="s">
        <v>281</v>
      </c>
      <c r="D6938" s="579"/>
      <c r="E6938" s="583"/>
      <c r="F6938" s="596"/>
      <c r="G6938" s="65">
        <v>0</v>
      </c>
      <c r="H6938" s="591" t="s">
        <v>280</v>
      </c>
      <c r="I6938" s="591" t="s">
        <v>280</v>
      </c>
    </row>
    <row r="6939" spans="1:9">
      <c r="A6939" s="577"/>
      <c r="B6939" s="65">
        <v>7137</v>
      </c>
      <c r="C6939" s="579" t="s">
        <v>281</v>
      </c>
      <c r="D6939" s="579"/>
      <c r="E6939" s="583"/>
      <c r="F6939" s="596"/>
      <c r="G6939" s="65">
        <v>0</v>
      </c>
      <c r="H6939" s="591" t="s">
        <v>280</v>
      </c>
      <c r="I6939" s="591" t="s">
        <v>280</v>
      </c>
    </row>
    <row r="6940" spans="1:9">
      <c r="A6940" s="577"/>
      <c r="B6940" s="65">
        <v>7138</v>
      </c>
      <c r="C6940" s="579" t="s">
        <v>281</v>
      </c>
      <c r="D6940" s="579"/>
      <c r="E6940" s="583"/>
      <c r="F6940" s="596"/>
      <c r="G6940" s="65">
        <v>0</v>
      </c>
      <c r="H6940" s="591" t="s">
        <v>280</v>
      </c>
      <c r="I6940" s="591" t="s">
        <v>280</v>
      </c>
    </row>
    <row r="6941" spans="1:9">
      <c r="A6941" s="577"/>
      <c r="B6941" s="65">
        <v>7139</v>
      </c>
      <c r="C6941" s="579" t="s">
        <v>281</v>
      </c>
      <c r="D6941" s="579"/>
      <c r="E6941" s="583"/>
      <c r="F6941" s="596"/>
      <c r="G6941" s="65">
        <v>0</v>
      </c>
      <c r="H6941" s="591" t="s">
        <v>280</v>
      </c>
      <c r="I6941" s="591" t="s">
        <v>280</v>
      </c>
    </row>
    <row r="6942" spans="1:9">
      <c r="A6942" s="577"/>
      <c r="B6942" s="65">
        <v>7140</v>
      </c>
      <c r="C6942" s="579" t="s">
        <v>281</v>
      </c>
      <c r="D6942" s="579"/>
      <c r="E6942" s="583"/>
      <c r="F6942" s="596"/>
      <c r="G6942" s="65">
        <v>0</v>
      </c>
      <c r="H6942" s="591" t="s">
        <v>280</v>
      </c>
      <c r="I6942" s="591" t="s">
        <v>280</v>
      </c>
    </row>
    <row r="6943" spans="1:9">
      <c r="A6943" s="577"/>
      <c r="B6943" s="65">
        <v>7141</v>
      </c>
      <c r="C6943" s="579" t="s">
        <v>281</v>
      </c>
      <c r="D6943" s="579"/>
      <c r="E6943" s="583"/>
      <c r="F6943" s="596"/>
      <c r="G6943" s="65">
        <v>0</v>
      </c>
      <c r="H6943" s="591" t="s">
        <v>280</v>
      </c>
      <c r="I6943" s="591" t="s">
        <v>280</v>
      </c>
    </row>
    <row r="6944" spans="1:9">
      <c r="A6944" s="577"/>
      <c r="B6944" s="65">
        <v>7142</v>
      </c>
      <c r="C6944" s="579" t="s">
        <v>281</v>
      </c>
      <c r="D6944" s="579"/>
      <c r="E6944" s="583"/>
      <c r="F6944" s="596"/>
      <c r="G6944" s="65">
        <v>0</v>
      </c>
      <c r="H6944" s="591" t="s">
        <v>280</v>
      </c>
      <c r="I6944" s="591" t="s">
        <v>280</v>
      </c>
    </row>
    <row r="6945" spans="1:9">
      <c r="A6945" s="577"/>
      <c r="B6945" s="65">
        <v>7143</v>
      </c>
      <c r="C6945" s="579" t="s">
        <v>281</v>
      </c>
      <c r="D6945" s="579"/>
      <c r="E6945" s="583"/>
      <c r="F6945" s="596"/>
      <c r="G6945" s="65">
        <v>0</v>
      </c>
      <c r="H6945" s="591" t="s">
        <v>280</v>
      </c>
      <c r="I6945" s="591" t="s">
        <v>280</v>
      </c>
    </row>
    <row r="6946" spans="1:9">
      <c r="A6946" s="577"/>
      <c r="B6946" s="65">
        <v>7144</v>
      </c>
      <c r="C6946" s="579" t="s">
        <v>281</v>
      </c>
      <c r="D6946" s="579"/>
      <c r="E6946" s="583"/>
      <c r="F6946" s="596"/>
      <c r="G6946" s="65">
        <v>0</v>
      </c>
      <c r="H6946" s="591" t="s">
        <v>280</v>
      </c>
      <c r="I6946" s="591" t="s">
        <v>280</v>
      </c>
    </row>
    <row r="6947" spans="1:9">
      <c r="A6947" s="577"/>
      <c r="B6947" s="65">
        <v>7145</v>
      </c>
      <c r="C6947" s="579" t="s">
        <v>281</v>
      </c>
      <c r="D6947" s="579"/>
      <c r="E6947" s="583"/>
      <c r="F6947" s="596"/>
      <c r="G6947" s="65">
        <v>0</v>
      </c>
      <c r="H6947" s="591" t="s">
        <v>280</v>
      </c>
      <c r="I6947" s="591" t="s">
        <v>280</v>
      </c>
    </row>
    <row r="6948" spans="1:9">
      <c r="A6948" s="577"/>
      <c r="B6948" s="65">
        <v>7146</v>
      </c>
      <c r="C6948" s="579" t="s">
        <v>281</v>
      </c>
      <c r="D6948" s="579"/>
      <c r="E6948" s="583"/>
      <c r="F6948" s="596"/>
      <c r="G6948" s="65">
        <v>0</v>
      </c>
      <c r="H6948" s="591" t="s">
        <v>280</v>
      </c>
      <c r="I6948" s="591" t="s">
        <v>280</v>
      </c>
    </row>
    <row r="6949" spans="1:9">
      <c r="A6949" s="577"/>
      <c r="B6949" s="65">
        <v>7147</v>
      </c>
      <c r="C6949" s="579" t="s">
        <v>281</v>
      </c>
      <c r="D6949" s="579"/>
      <c r="E6949" s="583"/>
      <c r="F6949" s="596"/>
      <c r="G6949" s="65">
        <v>0</v>
      </c>
      <c r="H6949" s="591" t="s">
        <v>280</v>
      </c>
      <c r="I6949" s="591" t="s">
        <v>280</v>
      </c>
    </row>
    <row r="6950" spans="1:9">
      <c r="A6950" s="577"/>
      <c r="B6950" s="65">
        <v>7148</v>
      </c>
      <c r="C6950" s="579" t="s">
        <v>281</v>
      </c>
      <c r="D6950" s="579"/>
      <c r="E6950" s="583"/>
      <c r="F6950" s="596"/>
      <c r="G6950" s="65">
        <v>0</v>
      </c>
      <c r="H6950" s="591" t="s">
        <v>280</v>
      </c>
      <c r="I6950" s="591" t="s">
        <v>280</v>
      </c>
    </row>
    <row r="6951" spans="1:9">
      <c r="A6951" s="577"/>
      <c r="B6951" s="65">
        <v>7149</v>
      </c>
      <c r="C6951" s="579" t="s">
        <v>281</v>
      </c>
      <c r="D6951" s="579"/>
      <c r="E6951" s="583"/>
      <c r="F6951" s="596"/>
      <c r="G6951" s="65">
        <v>0</v>
      </c>
      <c r="H6951" s="591" t="s">
        <v>280</v>
      </c>
      <c r="I6951" s="591" t="s">
        <v>280</v>
      </c>
    </row>
    <row r="6952" spans="1:9">
      <c r="A6952" s="577"/>
      <c r="B6952" s="65">
        <v>7150</v>
      </c>
      <c r="C6952" s="579" t="s">
        <v>281</v>
      </c>
      <c r="D6952" s="579"/>
      <c r="E6952" s="583"/>
      <c r="F6952" s="596"/>
      <c r="G6952" s="65">
        <v>0</v>
      </c>
      <c r="H6952" s="591" t="s">
        <v>280</v>
      </c>
      <c r="I6952" s="591" t="s">
        <v>280</v>
      </c>
    </row>
    <row r="6953" spans="1:9">
      <c r="A6953" s="577"/>
      <c r="B6953" s="65">
        <v>7151</v>
      </c>
      <c r="C6953" s="579" t="s">
        <v>281</v>
      </c>
      <c r="D6953" s="579"/>
      <c r="E6953" s="583"/>
      <c r="F6953" s="596"/>
      <c r="G6953" s="65">
        <v>0</v>
      </c>
      <c r="H6953" s="591" t="s">
        <v>280</v>
      </c>
      <c r="I6953" s="591" t="s">
        <v>280</v>
      </c>
    </row>
    <row r="6954" spans="1:9">
      <c r="A6954" s="577"/>
      <c r="B6954" s="65">
        <v>7152</v>
      </c>
      <c r="C6954" s="579" t="s">
        <v>281</v>
      </c>
      <c r="D6954" s="579"/>
      <c r="E6954" s="583"/>
      <c r="F6954" s="596"/>
      <c r="G6954" s="65">
        <v>0</v>
      </c>
      <c r="H6954" s="591" t="s">
        <v>280</v>
      </c>
      <c r="I6954" s="591" t="s">
        <v>280</v>
      </c>
    </row>
    <row r="6955" spans="1:9">
      <c r="A6955" s="577"/>
      <c r="B6955" s="65">
        <v>7153</v>
      </c>
      <c r="C6955" s="579" t="s">
        <v>281</v>
      </c>
      <c r="D6955" s="579"/>
      <c r="E6955" s="583"/>
      <c r="F6955" s="596"/>
      <c r="G6955" s="65">
        <v>0</v>
      </c>
      <c r="H6955" s="591" t="s">
        <v>280</v>
      </c>
      <c r="I6955" s="591" t="s">
        <v>280</v>
      </c>
    </row>
    <row r="6956" spans="1:9">
      <c r="A6956" s="577"/>
      <c r="B6956" s="65">
        <v>7154</v>
      </c>
      <c r="C6956" s="579" t="s">
        <v>281</v>
      </c>
      <c r="D6956" s="579"/>
      <c r="E6956" s="583"/>
      <c r="F6956" s="596"/>
      <c r="G6956" s="65">
        <v>0</v>
      </c>
      <c r="H6956" s="591" t="s">
        <v>280</v>
      </c>
      <c r="I6956" s="591" t="s">
        <v>280</v>
      </c>
    </row>
    <row r="6957" spans="1:9">
      <c r="A6957" s="577"/>
      <c r="B6957" s="65">
        <v>7155</v>
      </c>
      <c r="C6957" s="579" t="s">
        <v>281</v>
      </c>
      <c r="D6957" s="579"/>
      <c r="E6957" s="583"/>
      <c r="F6957" s="596"/>
      <c r="G6957" s="65">
        <v>0</v>
      </c>
      <c r="H6957" s="591" t="s">
        <v>280</v>
      </c>
      <c r="I6957" s="591" t="s">
        <v>280</v>
      </c>
    </row>
    <row r="6958" spans="1:9">
      <c r="A6958" s="577"/>
      <c r="B6958" s="65">
        <v>7156</v>
      </c>
      <c r="C6958" s="579" t="s">
        <v>281</v>
      </c>
      <c r="D6958" s="579"/>
      <c r="E6958" s="583"/>
      <c r="F6958" s="596"/>
      <c r="G6958" s="65">
        <v>0</v>
      </c>
      <c r="H6958" s="591" t="s">
        <v>280</v>
      </c>
      <c r="I6958" s="591" t="s">
        <v>280</v>
      </c>
    </row>
    <row r="6959" spans="1:9">
      <c r="A6959" s="577"/>
      <c r="B6959" s="65">
        <v>7157</v>
      </c>
      <c r="C6959" s="579" t="s">
        <v>281</v>
      </c>
      <c r="D6959" s="579"/>
      <c r="E6959" s="583"/>
      <c r="F6959" s="596"/>
      <c r="G6959" s="65">
        <v>0</v>
      </c>
      <c r="H6959" s="591" t="s">
        <v>280</v>
      </c>
      <c r="I6959" s="591" t="s">
        <v>280</v>
      </c>
    </row>
    <row r="6960" spans="1:9">
      <c r="A6960" s="577"/>
      <c r="B6960" s="65">
        <v>7158</v>
      </c>
      <c r="C6960" s="579" t="s">
        <v>281</v>
      </c>
      <c r="D6960" s="579"/>
      <c r="E6960" s="583"/>
      <c r="F6960" s="596"/>
      <c r="G6960" s="65">
        <v>0</v>
      </c>
      <c r="H6960" s="591" t="s">
        <v>280</v>
      </c>
      <c r="I6960" s="591" t="s">
        <v>280</v>
      </c>
    </row>
    <row r="6961" spans="1:9">
      <c r="A6961" s="577"/>
      <c r="B6961" s="65">
        <v>7159</v>
      </c>
      <c r="C6961" s="579" t="s">
        <v>281</v>
      </c>
      <c r="D6961" s="579"/>
      <c r="E6961" s="583"/>
      <c r="F6961" s="596"/>
      <c r="G6961" s="65">
        <v>0</v>
      </c>
      <c r="H6961" s="591" t="s">
        <v>280</v>
      </c>
      <c r="I6961" s="591" t="s">
        <v>280</v>
      </c>
    </row>
    <row r="6962" spans="1:9">
      <c r="A6962" s="577"/>
      <c r="B6962" s="65">
        <v>7160</v>
      </c>
      <c r="C6962" s="579" t="s">
        <v>281</v>
      </c>
      <c r="D6962" s="579"/>
      <c r="E6962" s="583"/>
      <c r="F6962" s="596"/>
      <c r="G6962" s="65">
        <v>0</v>
      </c>
      <c r="H6962" s="591" t="s">
        <v>280</v>
      </c>
      <c r="I6962" s="591" t="s">
        <v>280</v>
      </c>
    </row>
    <row r="6963" spans="1:9">
      <c r="A6963" s="577"/>
      <c r="B6963" s="65">
        <v>7161</v>
      </c>
      <c r="C6963" s="579" t="s">
        <v>281</v>
      </c>
      <c r="D6963" s="579"/>
      <c r="E6963" s="583"/>
      <c r="F6963" s="596"/>
      <c r="G6963" s="65">
        <v>0</v>
      </c>
      <c r="H6963" s="591" t="s">
        <v>280</v>
      </c>
      <c r="I6963" s="591" t="s">
        <v>280</v>
      </c>
    </row>
    <row r="6964" spans="1:9">
      <c r="A6964" s="577"/>
      <c r="B6964" s="65">
        <v>7162</v>
      </c>
      <c r="C6964" s="579" t="s">
        <v>281</v>
      </c>
      <c r="D6964" s="579"/>
      <c r="E6964" s="583"/>
      <c r="F6964" s="596"/>
      <c r="G6964" s="65">
        <v>0</v>
      </c>
      <c r="H6964" s="591" t="s">
        <v>280</v>
      </c>
      <c r="I6964" s="591" t="s">
        <v>280</v>
      </c>
    </row>
    <row r="6965" spans="1:9">
      <c r="A6965" s="577"/>
      <c r="B6965" s="65">
        <v>7163</v>
      </c>
      <c r="C6965" s="579" t="s">
        <v>281</v>
      </c>
      <c r="D6965" s="579"/>
      <c r="E6965" s="583"/>
      <c r="F6965" s="596"/>
      <c r="G6965" s="65">
        <v>0</v>
      </c>
      <c r="H6965" s="591" t="s">
        <v>280</v>
      </c>
      <c r="I6965" s="591" t="s">
        <v>280</v>
      </c>
    </row>
    <row r="6966" spans="1:9">
      <c r="A6966" s="577"/>
      <c r="B6966" s="65">
        <v>7164</v>
      </c>
      <c r="C6966" s="579" t="s">
        <v>281</v>
      </c>
      <c r="D6966" s="579"/>
      <c r="E6966" s="583"/>
      <c r="F6966" s="596"/>
      <c r="G6966" s="65">
        <v>0</v>
      </c>
      <c r="H6966" s="591" t="s">
        <v>280</v>
      </c>
      <c r="I6966" s="591" t="s">
        <v>280</v>
      </c>
    </row>
    <row r="6967" spans="1:9">
      <c r="A6967" s="577"/>
      <c r="B6967" s="65">
        <v>7165</v>
      </c>
      <c r="C6967" s="579" t="s">
        <v>281</v>
      </c>
      <c r="D6967" s="579"/>
      <c r="E6967" s="583"/>
      <c r="F6967" s="596"/>
      <c r="G6967" s="65">
        <v>0</v>
      </c>
      <c r="H6967" s="591" t="s">
        <v>280</v>
      </c>
      <c r="I6967" s="591" t="s">
        <v>280</v>
      </c>
    </row>
    <row r="6968" spans="1:9">
      <c r="A6968" s="577"/>
      <c r="B6968" s="65">
        <v>7166</v>
      </c>
      <c r="C6968" s="579" t="s">
        <v>281</v>
      </c>
      <c r="D6968" s="579"/>
      <c r="E6968" s="583"/>
      <c r="F6968" s="596"/>
      <c r="G6968" s="65">
        <v>0</v>
      </c>
      <c r="H6968" s="591" t="s">
        <v>280</v>
      </c>
      <c r="I6968" s="591" t="s">
        <v>280</v>
      </c>
    </row>
    <row r="6969" spans="1:9">
      <c r="A6969" s="577"/>
      <c r="B6969" s="65">
        <v>7167</v>
      </c>
      <c r="C6969" s="579" t="s">
        <v>281</v>
      </c>
      <c r="D6969" s="579"/>
      <c r="E6969" s="583"/>
      <c r="F6969" s="596"/>
      <c r="G6969" s="65">
        <v>0</v>
      </c>
      <c r="H6969" s="591" t="s">
        <v>280</v>
      </c>
      <c r="I6969" s="591" t="s">
        <v>280</v>
      </c>
    </row>
    <row r="6970" spans="1:9">
      <c r="A6970" s="577"/>
      <c r="B6970" s="65">
        <v>7168</v>
      </c>
      <c r="C6970" s="579" t="s">
        <v>281</v>
      </c>
      <c r="D6970" s="579"/>
      <c r="E6970" s="583"/>
      <c r="F6970" s="596"/>
      <c r="G6970" s="65">
        <v>0</v>
      </c>
      <c r="H6970" s="591" t="s">
        <v>280</v>
      </c>
      <c r="I6970" s="591" t="s">
        <v>280</v>
      </c>
    </row>
    <row r="6971" spans="1:9">
      <c r="A6971" s="577"/>
      <c r="B6971" s="65">
        <v>7169</v>
      </c>
      <c r="C6971" s="579" t="s">
        <v>281</v>
      </c>
      <c r="D6971" s="579"/>
      <c r="E6971" s="583"/>
      <c r="F6971" s="596"/>
      <c r="G6971" s="65">
        <v>0</v>
      </c>
      <c r="H6971" s="591" t="s">
        <v>280</v>
      </c>
      <c r="I6971" s="591" t="s">
        <v>280</v>
      </c>
    </row>
    <row r="6972" spans="1:9">
      <c r="A6972" s="577"/>
      <c r="B6972" s="65">
        <v>7170</v>
      </c>
      <c r="C6972" s="579" t="s">
        <v>281</v>
      </c>
      <c r="D6972" s="579"/>
      <c r="E6972" s="583"/>
      <c r="F6972" s="596"/>
      <c r="G6972" s="65">
        <v>0</v>
      </c>
      <c r="H6972" s="591" t="s">
        <v>280</v>
      </c>
      <c r="I6972" s="591" t="s">
        <v>280</v>
      </c>
    </row>
    <row r="6973" spans="1:9">
      <c r="A6973" s="577"/>
      <c r="B6973" s="65">
        <v>7171</v>
      </c>
      <c r="C6973" s="579" t="s">
        <v>281</v>
      </c>
      <c r="D6973" s="579"/>
      <c r="E6973" s="583"/>
      <c r="F6973" s="596"/>
      <c r="G6973" s="65">
        <v>0</v>
      </c>
      <c r="H6973" s="591" t="s">
        <v>280</v>
      </c>
      <c r="I6973" s="591" t="s">
        <v>280</v>
      </c>
    </row>
    <row r="6974" spans="1:9">
      <c r="A6974" s="577"/>
      <c r="B6974" s="65">
        <v>7172</v>
      </c>
      <c r="C6974" s="579" t="s">
        <v>281</v>
      </c>
      <c r="D6974" s="579"/>
      <c r="E6974" s="583"/>
      <c r="F6974" s="596"/>
      <c r="G6974" s="65">
        <v>0</v>
      </c>
      <c r="H6974" s="591" t="s">
        <v>280</v>
      </c>
      <c r="I6974" s="591" t="s">
        <v>280</v>
      </c>
    </row>
    <row r="6975" spans="1:9">
      <c r="A6975" s="577"/>
      <c r="B6975" s="65">
        <v>7173</v>
      </c>
      <c r="C6975" s="579" t="s">
        <v>281</v>
      </c>
      <c r="D6975" s="579"/>
      <c r="E6975" s="583"/>
      <c r="F6975" s="596"/>
      <c r="G6975" s="65">
        <v>0</v>
      </c>
      <c r="H6975" s="591" t="s">
        <v>280</v>
      </c>
      <c r="I6975" s="591" t="s">
        <v>280</v>
      </c>
    </row>
    <row r="6976" spans="1:9">
      <c r="A6976" s="577"/>
      <c r="B6976" s="65">
        <v>7174</v>
      </c>
      <c r="C6976" s="579" t="s">
        <v>281</v>
      </c>
      <c r="D6976" s="579"/>
      <c r="E6976" s="583"/>
      <c r="F6976" s="596"/>
      <c r="G6976" s="65">
        <v>0</v>
      </c>
      <c r="H6976" s="591" t="s">
        <v>280</v>
      </c>
      <c r="I6976" s="591" t="s">
        <v>280</v>
      </c>
    </row>
    <row r="6977" spans="1:9">
      <c r="A6977" s="577"/>
      <c r="B6977" s="65">
        <v>7175</v>
      </c>
      <c r="C6977" s="579" t="s">
        <v>281</v>
      </c>
      <c r="D6977" s="579"/>
      <c r="E6977" s="583"/>
      <c r="F6977" s="596"/>
      <c r="G6977" s="65">
        <v>0</v>
      </c>
      <c r="H6977" s="591" t="s">
        <v>280</v>
      </c>
      <c r="I6977" s="591" t="s">
        <v>280</v>
      </c>
    </row>
    <row r="6978" spans="1:9">
      <c r="A6978" s="577"/>
      <c r="B6978" s="65">
        <v>7176</v>
      </c>
      <c r="C6978" s="579" t="s">
        <v>281</v>
      </c>
      <c r="D6978" s="579"/>
      <c r="E6978" s="583"/>
      <c r="F6978" s="596"/>
      <c r="G6978" s="65">
        <v>0</v>
      </c>
      <c r="H6978" s="591" t="s">
        <v>280</v>
      </c>
      <c r="I6978" s="591" t="s">
        <v>280</v>
      </c>
    </row>
    <row r="6979" spans="1:9">
      <c r="A6979" s="577"/>
      <c r="B6979" s="65">
        <v>7177</v>
      </c>
      <c r="C6979" s="579" t="s">
        <v>281</v>
      </c>
      <c r="D6979" s="579"/>
      <c r="E6979" s="583"/>
      <c r="F6979" s="596"/>
      <c r="G6979" s="65">
        <v>0</v>
      </c>
      <c r="H6979" s="591" t="s">
        <v>280</v>
      </c>
      <c r="I6979" s="591" t="s">
        <v>280</v>
      </c>
    </row>
    <row r="6980" spans="1:9">
      <c r="A6980" s="577"/>
      <c r="B6980" s="65">
        <v>7178</v>
      </c>
      <c r="C6980" s="579" t="s">
        <v>281</v>
      </c>
      <c r="D6980" s="579"/>
      <c r="E6980" s="583"/>
      <c r="F6980" s="596"/>
      <c r="G6980" s="65">
        <v>0</v>
      </c>
      <c r="H6980" s="591" t="s">
        <v>280</v>
      </c>
      <c r="I6980" s="591" t="s">
        <v>280</v>
      </c>
    </row>
    <row r="6981" spans="1:9">
      <c r="A6981" s="577"/>
      <c r="B6981" s="65">
        <v>7179</v>
      </c>
      <c r="C6981" s="579" t="s">
        <v>281</v>
      </c>
      <c r="D6981" s="579"/>
      <c r="E6981" s="583"/>
      <c r="F6981" s="596"/>
      <c r="G6981" s="65">
        <v>0</v>
      </c>
      <c r="H6981" s="591" t="s">
        <v>280</v>
      </c>
      <c r="I6981" s="591" t="s">
        <v>280</v>
      </c>
    </row>
    <row r="6982" spans="1:9">
      <c r="A6982" s="577"/>
      <c r="B6982" s="65">
        <v>7180</v>
      </c>
      <c r="C6982" s="579" t="s">
        <v>281</v>
      </c>
      <c r="D6982" s="579"/>
      <c r="E6982" s="583"/>
      <c r="F6982" s="596"/>
      <c r="G6982" s="65">
        <v>0</v>
      </c>
      <c r="H6982" s="591" t="s">
        <v>280</v>
      </c>
      <c r="I6982" s="591" t="s">
        <v>280</v>
      </c>
    </row>
    <row r="6983" spans="1:9">
      <c r="A6983" s="577"/>
      <c r="B6983" s="65">
        <v>7181</v>
      </c>
      <c r="C6983" s="579" t="s">
        <v>281</v>
      </c>
      <c r="D6983" s="579"/>
      <c r="E6983" s="583"/>
      <c r="F6983" s="596"/>
      <c r="G6983" s="65">
        <v>0</v>
      </c>
      <c r="H6983" s="591" t="s">
        <v>280</v>
      </c>
      <c r="I6983" s="591" t="s">
        <v>280</v>
      </c>
    </row>
    <row r="6984" spans="1:9">
      <c r="A6984" s="577"/>
      <c r="B6984" s="65">
        <v>7182</v>
      </c>
      <c r="C6984" s="579" t="s">
        <v>281</v>
      </c>
      <c r="D6984" s="579"/>
      <c r="E6984" s="583"/>
      <c r="F6984" s="596"/>
      <c r="G6984" s="65">
        <v>0</v>
      </c>
      <c r="H6984" s="591" t="s">
        <v>280</v>
      </c>
      <c r="I6984" s="591" t="s">
        <v>280</v>
      </c>
    </row>
    <row r="6985" spans="1:9">
      <c r="A6985" s="577"/>
      <c r="B6985" s="65">
        <v>7183</v>
      </c>
      <c r="C6985" s="579" t="s">
        <v>281</v>
      </c>
      <c r="D6985" s="579"/>
      <c r="E6985" s="583"/>
      <c r="F6985" s="596"/>
      <c r="G6985" s="65">
        <v>0</v>
      </c>
      <c r="H6985" s="591" t="s">
        <v>280</v>
      </c>
      <c r="I6985" s="591" t="s">
        <v>280</v>
      </c>
    </row>
    <row r="6986" spans="1:9">
      <c r="A6986" s="577"/>
      <c r="B6986" s="65">
        <v>7184</v>
      </c>
      <c r="C6986" s="579" t="s">
        <v>281</v>
      </c>
      <c r="D6986" s="579"/>
      <c r="E6986" s="583"/>
      <c r="F6986" s="596"/>
      <c r="G6986" s="65">
        <v>0</v>
      </c>
      <c r="H6986" s="591" t="s">
        <v>280</v>
      </c>
      <c r="I6986" s="591" t="s">
        <v>280</v>
      </c>
    </row>
    <row r="6987" spans="1:9">
      <c r="A6987" s="577"/>
      <c r="B6987" s="65">
        <v>7185</v>
      </c>
      <c r="C6987" s="579" t="s">
        <v>281</v>
      </c>
      <c r="D6987" s="579"/>
      <c r="E6987" s="583"/>
      <c r="F6987" s="596"/>
      <c r="G6987" s="65">
        <v>0</v>
      </c>
      <c r="H6987" s="591" t="s">
        <v>280</v>
      </c>
      <c r="I6987" s="591" t="s">
        <v>280</v>
      </c>
    </row>
    <row r="6988" spans="1:9">
      <c r="A6988" s="577"/>
      <c r="B6988" s="65">
        <v>7186</v>
      </c>
      <c r="C6988" s="579" t="s">
        <v>281</v>
      </c>
      <c r="D6988" s="579"/>
      <c r="E6988" s="583"/>
      <c r="F6988" s="596"/>
      <c r="G6988" s="65">
        <v>0</v>
      </c>
      <c r="H6988" s="591" t="s">
        <v>280</v>
      </c>
      <c r="I6988" s="591" t="s">
        <v>280</v>
      </c>
    </row>
    <row r="6989" spans="1:9">
      <c r="A6989" s="577"/>
      <c r="B6989" s="65">
        <v>7187</v>
      </c>
      <c r="C6989" s="579" t="s">
        <v>281</v>
      </c>
      <c r="D6989" s="579"/>
      <c r="E6989" s="583"/>
      <c r="F6989" s="596"/>
      <c r="G6989" s="65">
        <v>0</v>
      </c>
      <c r="H6989" s="591" t="s">
        <v>280</v>
      </c>
      <c r="I6989" s="591" t="s">
        <v>280</v>
      </c>
    </row>
    <row r="6990" spans="1:9">
      <c r="A6990" s="577"/>
      <c r="B6990" s="65">
        <v>7188</v>
      </c>
      <c r="C6990" s="579" t="s">
        <v>281</v>
      </c>
      <c r="D6990" s="579"/>
      <c r="E6990" s="583"/>
      <c r="F6990" s="596"/>
      <c r="G6990" s="65">
        <v>0</v>
      </c>
      <c r="H6990" s="591" t="s">
        <v>280</v>
      </c>
      <c r="I6990" s="591" t="s">
        <v>280</v>
      </c>
    </row>
    <row r="6991" spans="1:9">
      <c r="A6991" s="577"/>
      <c r="B6991" s="65">
        <v>7189</v>
      </c>
      <c r="C6991" s="579" t="s">
        <v>281</v>
      </c>
      <c r="D6991" s="579"/>
      <c r="E6991" s="583"/>
      <c r="F6991" s="596"/>
      <c r="G6991" s="65">
        <v>0</v>
      </c>
      <c r="H6991" s="591" t="s">
        <v>280</v>
      </c>
      <c r="I6991" s="591" t="s">
        <v>280</v>
      </c>
    </row>
    <row r="6992" spans="1:9">
      <c r="A6992" s="577"/>
      <c r="B6992" s="65">
        <v>7190</v>
      </c>
      <c r="C6992" s="579" t="s">
        <v>281</v>
      </c>
      <c r="D6992" s="579"/>
      <c r="E6992" s="583"/>
      <c r="F6992" s="596"/>
      <c r="G6992" s="65">
        <v>0</v>
      </c>
      <c r="H6992" s="591" t="s">
        <v>280</v>
      </c>
      <c r="I6992" s="591" t="s">
        <v>280</v>
      </c>
    </row>
    <row r="6993" spans="1:9">
      <c r="A6993" s="577"/>
      <c r="B6993" s="65">
        <v>7191</v>
      </c>
      <c r="C6993" s="579" t="s">
        <v>281</v>
      </c>
      <c r="D6993" s="579"/>
      <c r="E6993" s="583"/>
      <c r="F6993" s="596"/>
      <c r="G6993" s="65">
        <v>0</v>
      </c>
      <c r="H6993" s="591" t="s">
        <v>280</v>
      </c>
      <c r="I6993" s="591" t="s">
        <v>280</v>
      </c>
    </row>
    <row r="6994" spans="1:9">
      <c r="A6994" s="577"/>
      <c r="B6994" s="65">
        <v>7192</v>
      </c>
      <c r="C6994" s="579" t="s">
        <v>281</v>
      </c>
      <c r="D6994" s="579"/>
      <c r="E6994" s="583"/>
      <c r="F6994" s="596"/>
      <c r="G6994" s="65">
        <v>0</v>
      </c>
      <c r="H6994" s="591" t="s">
        <v>280</v>
      </c>
      <c r="I6994" s="591" t="s">
        <v>280</v>
      </c>
    </row>
    <row r="6995" spans="1:9">
      <c r="A6995" s="577"/>
      <c r="B6995" s="65">
        <v>7193</v>
      </c>
      <c r="C6995" s="579" t="s">
        <v>281</v>
      </c>
      <c r="D6995" s="579"/>
      <c r="E6995" s="583"/>
      <c r="F6995" s="596"/>
      <c r="G6995" s="65">
        <v>0</v>
      </c>
      <c r="H6995" s="591" t="s">
        <v>280</v>
      </c>
      <c r="I6995" s="591" t="s">
        <v>280</v>
      </c>
    </row>
    <row r="6996" spans="1:9">
      <c r="A6996" s="577"/>
      <c r="B6996" s="65">
        <v>7194</v>
      </c>
      <c r="C6996" s="579" t="s">
        <v>281</v>
      </c>
      <c r="D6996" s="579"/>
      <c r="E6996" s="583"/>
      <c r="F6996" s="596"/>
      <c r="G6996" s="65">
        <v>0</v>
      </c>
      <c r="H6996" s="591" t="s">
        <v>280</v>
      </c>
      <c r="I6996" s="591" t="s">
        <v>280</v>
      </c>
    </row>
    <row r="6997" spans="1:9">
      <c r="A6997" s="577"/>
      <c r="B6997" s="65">
        <v>7195</v>
      </c>
      <c r="C6997" s="579" t="s">
        <v>281</v>
      </c>
      <c r="D6997" s="579"/>
      <c r="E6997" s="583"/>
      <c r="F6997" s="596"/>
      <c r="G6997" s="65">
        <v>0</v>
      </c>
      <c r="H6997" s="591" t="s">
        <v>280</v>
      </c>
      <c r="I6997" s="591" t="s">
        <v>280</v>
      </c>
    </row>
    <row r="6998" spans="1:9">
      <c r="A6998" s="577"/>
      <c r="B6998" s="65">
        <v>7196</v>
      </c>
      <c r="C6998" s="579" t="s">
        <v>281</v>
      </c>
      <c r="D6998" s="579"/>
      <c r="E6998" s="583"/>
      <c r="F6998" s="596"/>
      <c r="G6998" s="65">
        <v>0</v>
      </c>
      <c r="H6998" s="591" t="s">
        <v>280</v>
      </c>
      <c r="I6998" s="591" t="s">
        <v>280</v>
      </c>
    </row>
    <row r="6999" spans="1:9">
      <c r="A6999" s="577"/>
      <c r="B6999" s="65">
        <v>7197</v>
      </c>
      <c r="C6999" s="579" t="s">
        <v>281</v>
      </c>
      <c r="D6999" s="579"/>
      <c r="E6999" s="583"/>
      <c r="F6999" s="596"/>
      <c r="G6999" s="65">
        <v>0</v>
      </c>
      <c r="H6999" s="591" t="s">
        <v>280</v>
      </c>
      <c r="I6999" s="591" t="s">
        <v>280</v>
      </c>
    </row>
    <row r="7000" spans="1:9">
      <c r="A7000" s="577"/>
      <c r="B7000" s="65">
        <v>7198</v>
      </c>
      <c r="C7000" s="579" t="s">
        <v>281</v>
      </c>
      <c r="D7000" s="579"/>
      <c r="E7000" s="583"/>
      <c r="F7000" s="596"/>
      <c r="G7000" s="65">
        <v>0</v>
      </c>
      <c r="H7000" s="591" t="s">
        <v>280</v>
      </c>
      <c r="I7000" s="591" t="s">
        <v>280</v>
      </c>
    </row>
    <row r="7001" spans="1:9">
      <c r="A7001" s="577"/>
      <c r="B7001" s="65">
        <v>7199</v>
      </c>
      <c r="C7001" s="579" t="s">
        <v>281</v>
      </c>
      <c r="D7001" s="579"/>
      <c r="E7001" s="583"/>
      <c r="F7001" s="596"/>
      <c r="G7001" s="65">
        <v>0</v>
      </c>
      <c r="H7001" s="591" t="s">
        <v>280</v>
      </c>
      <c r="I7001" s="591" t="s">
        <v>280</v>
      </c>
    </row>
    <row r="7002" spans="1:9">
      <c r="A7002" s="577"/>
      <c r="B7002" s="65">
        <v>7200</v>
      </c>
      <c r="C7002" s="579" t="s">
        <v>281</v>
      </c>
      <c r="D7002" s="579"/>
      <c r="E7002" s="583"/>
      <c r="F7002" s="596"/>
      <c r="G7002" s="65">
        <v>0</v>
      </c>
      <c r="H7002" s="591" t="s">
        <v>280</v>
      </c>
      <c r="I7002" s="591" t="s">
        <v>280</v>
      </c>
    </row>
    <row r="7003" spans="1:9">
      <c r="A7003" s="577"/>
      <c r="B7003" s="65">
        <v>7201</v>
      </c>
      <c r="C7003" s="579" t="s">
        <v>281</v>
      </c>
      <c r="D7003" s="579"/>
      <c r="E7003" s="583"/>
      <c r="F7003" s="596"/>
      <c r="G7003" s="65">
        <v>0</v>
      </c>
      <c r="H7003" s="591" t="s">
        <v>280</v>
      </c>
      <c r="I7003" s="591" t="s">
        <v>280</v>
      </c>
    </row>
    <row r="7004" spans="1:9">
      <c r="A7004" s="577"/>
      <c r="B7004" s="65">
        <v>7202</v>
      </c>
      <c r="C7004" s="579" t="s">
        <v>281</v>
      </c>
      <c r="D7004" s="579"/>
      <c r="E7004" s="583"/>
      <c r="F7004" s="596"/>
      <c r="G7004" s="65">
        <v>0</v>
      </c>
      <c r="H7004" s="591" t="s">
        <v>280</v>
      </c>
      <c r="I7004" s="591" t="s">
        <v>280</v>
      </c>
    </row>
    <row r="7005" spans="1:9">
      <c r="A7005" s="577"/>
      <c r="B7005" s="65">
        <v>7203</v>
      </c>
      <c r="C7005" s="579" t="s">
        <v>281</v>
      </c>
      <c r="D7005" s="579"/>
      <c r="E7005" s="583"/>
      <c r="F7005" s="596"/>
      <c r="G7005" s="65">
        <v>0</v>
      </c>
      <c r="H7005" s="591" t="s">
        <v>280</v>
      </c>
      <c r="I7005" s="591" t="s">
        <v>280</v>
      </c>
    </row>
    <row r="7006" spans="1:9">
      <c r="A7006" s="577"/>
      <c r="B7006" s="65">
        <v>7204</v>
      </c>
      <c r="C7006" s="579" t="s">
        <v>281</v>
      </c>
      <c r="D7006" s="579"/>
      <c r="E7006" s="583"/>
      <c r="F7006" s="596"/>
      <c r="G7006" s="65">
        <v>0</v>
      </c>
      <c r="H7006" s="591" t="s">
        <v>280</v>
      </c>
      <c r="I7006" s="591" t="s">
        <v>280</v>
      </c>
    </row>
    <row r="7007" spans="1:9">
      <c r="A7007" s="577"/>
      <c r="B7007" s="65">
        <v>7205</v>
      </c>
      <c r="C7007" s="579" t="s">
        <v>281</v>
      </c>
      <c r="D7007" s="579"/>
      <c r="E7007" s="583"/>
      <c r="F7007" s="596"/>
      <c r="G7007" s="65">
        <v>0</v>
      </c>
      <c r="H7007" s="591" t="s">
        <v>280</v>
      </c>
      <c r="I7007" s="591" t="s">
        <v>280</v>
      </c>
    </row>
    <row r="7008" spans="1:9">
      <c r="A7008" s="577"/>
      <c r="B7008" s="65">
        <v>7206</v>
      </c>
      <c r="C7008" s="579" t="s">
        <v>281</v>
      </c>
      <c r="D7008" s="579"/>
      <c r="E7008" s="583"/>
      <c r="F7008" s="596"/>
      <c r="G7008" s="65">
        <v>0</v>
      </c>
      <c r="H7008" s="591" t="s">
        <v>280</v>
      </c>
      <c r="I7008" s="591" t="s">
        <v>280</v>
      </c>
    </row>
    <row r="7009" spans="1:9">
      <c r="A7009" s="577"/>
      <c r="B7009" s="65">
        <v>7207</v>
      </c>
      <c r="C7009" s="579" t="s">
        <v>281</v>
      </c>
      <c r="D7009" s="579"/>
      <c r="E7009" s="583"/>
      <c r="F7009" s="596"/>
      <c r="G7009" s="65">
        <v>0</v>
      </c>
      <c r="H7009" s="591" t="s">
        <v>280</v>
      </c>
      <c r="I7009" s="591" t="s">
        <v>280</v>
      </c>
    </row>
    <row r="7010" spans="1:9">
      <c r="A7010" s="577"/>
      <c r="B7010" s="65">
        <v>7208</v>
      </c>
      <c r="C7010" s="579" t="s">
        <v>281</v>
      </c>
      <c r="D7010" s="579"/>
      <c r="E7010" s="583"/>
      <c r="F7010" s="596"/>
      <c r="G7010" s="65">
        <v>0</v>
      </c>
      <c r="H7010" s="591" t="s">
        <v>280</v>
      </c>
      <c r="I7010" s="591" t="s">
        <v>280</v>
      </c>
    </row>
    <row r="7011" spans="1:9">
      <c r="A7011" s="577"/>
      <c r="B7011" s="65">
        <v>7209</v>
      </c>
      <c r="C7011" s="579" t="s">
        <v>281</v>
      </c>
      <c r="D7011" s="579"/>
      <c r="E7011" s="583"/>
      <c r="F7011" s="596"/>
      <c r="G7011" s="65">
        <v>0</v>
      </c>
      <c r="H7011" s="591" t="s">
        <v>280</v>
      </c>
      <c r="I7011" s="591" t="s">
        <v>280</v>
      </c>
    </row>
    <row r="7012" spans="1:9">
      <c r="A7012" s="577"/>
      <c r="B7012" s="65">
        <v>7210</v>
      </c>
      <c r="C7012" s="579" t="s">
        <v>281</v>
      </c>
      <c r="D7012" s="579"/>
      <c r="E7012" s="583"/>
      <c r="F7012" s="596"/>
      <c r="G7012" s="65">
        <v>0</v>
      </c>
      <c r="H7012" s="591" t="s">
        <v>280</v>
      </c>
      <c r="I7012" s="591" t="s">
        <v>280</v>
      </c>
    </row>
    <row r="7013" spans="1:9">
      <c r="A7013" s="577"/>
      <c r="B7013" s="65">
        <v>7211</v>
      </c>
      <c r="C7013" s="579" t="s">
        <v>281</v>
      </c>
      <c r="D7013" s="579"/>
      <c r="E7013" s="583"/>
      <c r="F7013" s="596"/>
      <c r="G7013" s="65">
        <v>0</v>
      </c>
      <c r="H7013" s="591" t="s">
        <v>280</v>
      </c>
      <c r="I7013" s="591" t="s">
        <v>280</v>
      </c>
    </row>
    <row r="7014" spans="1:9">
      <c r="A7014" s="577"/>
      <c r="B7014" s="65">
        <v>7212</v>
      </c>
      <c r="C7014" s="579" t="s">
        <v>281</v>
      </c>
      <c r="D7014" s="579"/>
      <c r="E7014" s="583"/>
      <c r="F7014" s="596"/>
      <c r="G7014" s="65">
        <v>0</v>
      </c>
      <c r="H7014" s="591" t="s">
        <v>280</v>
      </c>
      <c r="I7014" s="591" t="s">
        <v>280</v>
      </c>
    </row>
    <row r="7015" spans="1:9">
      <c r="A7015" s="577"/>
      <c r="B7015" s="65">
        <v>7213</v>
      </c>
      <c r="C7015" s="579" t="s">
        <v>281</v>
      </c>
      <c r="D7015" s="579"/>
      <c r="E7015" s="583"/>
      <c r="F7015" s="596"/>
      <c r="G7015" s="65">
        <v>0</v>
      </c>
      <c r="H7015" s="591" t="s">
        <v>280</v>
      </c>
      <c r="I7015" s="591" t="s">
        <v>280</v>
      </c>
    </row>
    <row r="7016" spans="1:9">
      <c r="A7016" s="577"/>
      <c r="B7016" s="65">
        <v>7214</v>
      </c>
      <c r="C7016" s="579" t="s">
        <v>281</v>
      </c>
      <c r="D7016" s="579"/>
      <c r="E7016" s="583"/>
      <c r="F7016" s="596"/>
      <c r="G7016" s="65">
        <v>0</v>
      </c>
      <c r="H7016" s="591" t="s">
        <v>280</v>
      </c>
      <c r="I7016" s="591" t="s">
        <v>280</v>
      </c>
    </row>
    <row r="7017" spans="1:9">
      <c r="A7017" s="577"/>
      <c r="B7017" s="65">
        <v>7215</v>
      </c>
      <c r="C7017" s="579" t="s">
        <v>281</v>
      </c>
      <c r="D7017" s="579"/>
      <c r="E7017" s="583"/>
      <c r="F7017" s="596"/>
      <c r="G7017" s="65">
        <v>0</v>
      </c>
      <c r="H7017" s="591" t="s">
        <v>280</v>
      </c>
      <c r="I7017" s="591" t="s">
        <v>280</v>
      </c>
    </row>
    <row r="7018" spans="1:9">
      <c r="A7018" s="577"/>
      <c r="B7018" s="65">
        <v>7216</v>
      </c>
      <c r="C7018" s="579" t="s">
        <v>281</v>
      </c>
      <c r="D7018" s="579"/>
      <c r="E7018" s="583"/>
      <c r="F7018" s="596"/>
      <c r="G7018" s="65">
        <v>0</v>
      </c>
      <c r="H7018" s="591" t="s">
        <v>280</v>
      </c>
      <c r="I7018" s="591" t="s">
        <v>280</v>
      </c>
    </row>
    <row r="7019" spans="1:9">
      <c r="A7019" s="577"/>
      <c r="B7019" s="65">
        <v>7217</v>
      </c>
      <c r="C7019" s="579" t="s">
        <v>281</v>
      </c>
      <c r="D7019" s="579"/>
      <c r="E7019" s="583"/>
      <c r="F7019" s="596"/>
      <c r="G7019" s="65">
        <v>0</v>
      </c>
      <c r="H7019" s="591" t="s">
        <v>280</v>
      </c>
      <c r="I7019" s="591" t="s">
        <v>280</v>
      </c>
    </row>
    <row r="7020" spans="1:9">
      <c r="A7020" s="577"/>
      <c r="B7020" s="65">
        <v>7218</v>
      </c>
      <c r="C7020" s="579" t="s">
        <v>281</v>
      </c>
      <c r="D7020" s="579"/>
      <c r="E7020" s="583"/>
      <c r="F7020" s="596"/>
      <c r="G7020" s="65">
        <v>0</v>
      </c>
      <c r="H7020" s="591" t="s">
        <v>280</v>
      </c>
      <c r="I7020" s="591" t="s">
        <v>280</v>
      </c>
    </row>
    <row r="7021" spans="1:9">
      <c r="A7021" s="577"/>
      <c r="B7021" s="65">
        <v>7219</v>
      </c>
      <c r="C7021" s="579" t="s">
        <v>281</v>
      </c>
      <c r="D7021" s="579"/>
      <c r="E7021" s="583"/>
      <c r="F7021" s="596"/>
      <c r="G7021" s="65">
        <v>0</v>
      </c>
      <c r="H7021" s="591" t="s">
        <v>280</v>
      </c>
      <c r="I7021" s="591" t="s">
        <v>280</v>
      </c>
    </row>
    <row r="7022" spans="1:9">
      <c r="A7022" s="577"/>
      <c r="B7022" s="65">
        <v>7220</v>
      </c>
      <c r="C7022" s="579" t="s">
        <v>281</v>
      </c>
      <c r="D7022" s="579"/>
      <c r="E7022" s="583"/>
      <c r="F7022" s="596"/>
      <c r="G7022" s="65">
        <v>0</v>
      </c>
      <c r="H7022" s="591" t="s">
        <v>280</v>
      </c>
      <c r="I7022" s="591" t="s">
        <v>280</v>
      </c>
    </row>
    <row r="7023" spans="1:9">
      <c r="A7023" s="577"/>
      <c r="B7023" s="65">
        <v>7221</v>
      </c>
      <c r="C7023" s="579" t="s">
        <v>281</v>
      </c>
      <c r="D7023" s="579"/>
      <c r="E7023" s="583"/>
      <c r="F7023" s="596"/>
      <c r="G7023" s="65">
        <v>0</v>
      </c>
      <c r="H7023" s="591" t="s">
        <v>280</v>
      </c>
      <c r="I7023" s="591" t="s">
        <v>280</v>
      </c>
    </row>
    <row r="7024" spans="1:9">
      <c r="A7024" s="577"/>
      <c r="B7024" s="65">
        <v>7222</v>
      </c>
      <c r="C7024" s="579" t="s">
        <v>281</v>
      </c>
      <c r="D7024" s="579"/>
      <c r="E7024" s="583"/>
      <c r="F7024" s="596"/>
      <c r="G7024" s="65">
        <v>0</v>
      </c>
      <c r="H7024" s="591" t="s">
        <v>280</v>
      </c>
      <c r="I7024" s="591" t="s">
        <v>280</v>
      </c>
    </row>
    <row r="7025" spans="1:9">
      <c r="A7025" s="577"/>
      <c r="B7025" s="65">
        <v>7223</v>
      </c>
      <c r="C7025" s="579" t="s">
        <v>281</v>
      </c>
      <c r="D7025" s="579"/>
      <c r="E7025" s="583"/>
      <c r="F7025" s="596"/>
      <c r="G7025" s="65">
        <v>0</v>
      </c>
      <c r="H7025" s="591" t="s">
        <v>280</v>
      </c>
      <c r="I7025" s="591" t="s">
        <v>280</v>
      </c>
    </row>
    <row r="7026" spans="1:9">
      <c r="A7026" s="577"/>
      <c r="B7026" s="65">
        <v>7224</v>
      </c>
      <c r="C7026" s="579" t="s">
        <v>281</v>
      </c>
      <c r="D7026" s="579"/>
      <c r="E7026" s="583"/>
      <c r="F7026" s="596"/>
      <c r="G7026" s="65">
        <v>0</v>
      </c>
      <c r="H7026" s="591" t="s">
        <v>280</v>
      </c>
      <c r="I7026" s="591" t="s">
        <v>280</v>
      </c>
    </row>
    <row r="7027" spans="1:9">
      <c r="A7027" s="577"/>
      <c r="B7027" s="65">
        <v>7225</v>
      </c>
      <c r="C7027" s="579" t="s">
        <v>281</v>
      </c>
      <c r="D7027" s="579"/>
      <c r="E7027" s="583"/>
      <c r="F7027" s="596"/>
      <c r="G7027" s="65">
        <v>0</v>
      </c>
      <c r="H7027" s="591" t="s">
        <v>280</v>
      </c>
      <c r="I7027" s="591" t="s">
        <v>280</v>
      </c>
    </row>
    <row r="7028" spans="1:9">
      <c r="A7028" s="577"/>
      <c r="B7028" s="65">
        <v>7226</v>
      </c>
      <c r="C7028" s="579" t="s">
        <v>281</v>
      </c>
      <c r="D7028" s="579"/>
      <c r="E7028" s="583"/>
      <c r="F7028" s="596"/>
      <c r="G7028" s="65">
        <v>0</v>
      </c>
      <c r="H7028" s="591" t="s">
        <v>280</v>
      </c>
      <c r="I7028" s="591" t="s">
        <v>280</v>
      </c>
    </row>
    <row r="7029" spans="1:9">
      <c r="A7029" s="577"/>
      <c r="B7029" s="65">
        <v>7227</v>
      </c>
      <c r="C7029" s="579" t="s">
        <v>281</v>
      </c>
      <c r="D7029" s="579"/>
      <c r="E7029" s="583"/>
      <c r="F7029" s="596"/>
      <c r="G7029" s="65">
        <v>0</v>
      </c>
      <c r="H7029" s="591" t="s">
        <v>280</v>
      </c>
      <c r="I7029" s="591" t="s">
        <v>280</v>
      </c>
    </row>
    <row r="7030" spans="1:9">
      <c r="A7030" s="577"/>
      <c r="B7030" s="65">
        <v>7228</v>
      </c>
      <c r="C7030" s="579" t="s">
        <v>281</v>
      </c>
      <c r="D7030" s="579"/>
      <c r="E7030" s="583"/>
      <c r="F7030" s="596"/>
      <c r="G7030" s="65">
        <v>0</v>
      </c>
      <c r="H7030" s="591" t="s">
        <v>280</v>
      </c>
      <c r="I7030" s="591" t="s">
        <v>280</v>
      </c>
    </row>
    <row r="7031" spans="1:9">
      <c r="A7031" s="577"/>
      <c r="B7031" s="65">
        <v>7229</v>
      </c>
      <c r="C7031" s="579" t="s">
        <v>281</v>
      </c>
      <c r="D7031" s="579"/>
      <c r="E7031" s="583"/>
      <c r="F7031" s="596"/>
      <c r="G7031" s="65">
        <v>0</v>
      </c>
      <c r="H7031" s="591" t="s">
        <v>280</v>
      </c>
      <c r="I7031" s="591" t="s">
        <v>280</v>
      </c>
    </row>
    <row r="7032" spans="1:9">
      <c r="A7032" s="577"/>
      <c r="B7032" s="65">
        <v>7230</v>
      </c>
      <c r="C7032" s="579" t="s">
        <v>281</v>
      </c>
      <c r="D7032" s="579"/>
      <c r="E7032" s="583"/>
      <c r="F7032" s="596"/>
      <c r="G7032" s="65">
        <v>0</v>
      </c>
      <c r="H7032" s="591" t="s">
        <v>280</v>
      </c>
      <c r="I7032" s="591" t="s">
        <v>280</v>
      </c>
    </row>
    <row r="7033" spans="1:9">
      <c r="A7033" s="577"/>
      <c r="B7033" s="65">
        <v>7231</v>
      </c>
      <c r="C7033" s="579" t="s">
        <v>281</v>
      </c>
      <c r="D7033" s="579"/>
      <c r="E7033" s="583"/>
      <c r="F7033" s="596"/>
      <c r="G7033" s="65">
        <v>0</v>
      </c>
      <c r="H7033" s="591" t="s">
        <v>280</v>
      </c>
      <c r="I7033" s="591" t="s">
        <v>280</v>
      </c>
    </row>
    <row r="7034" spans="1:9">
      <c r="A7034" s="577"/>
      <c r="B7034" s="65">
        <v>7232</v>
      </c>
      <c r="C7034" s="579" t="s">
        <v>281</v>
      </c>
      <c r="D7034" s="579"/>
      <c r="E7034" s="583"/>
      <c r="F7034" s="596"/>
      <c r="G7034" s="65">
        <v>0</v>
      </c>
      <c r="H7034" s="591" t="s">
        <v>280</v>
      </c>
      <c r="I7034" s="591" t="s">
        <v>280</v>
      </c>
    </row>
    <row r="7035" spans="1:9">
      <c r="A7035" s="577"/>
      <c r="B7035" s="65">
        <v>7233</v>
      </c>
      <c r="C7035" s="579" t="s">
        <v>281</v>
      </c>
      <c r="D7035" s="579"/>
      <c r="E7035" s="583"/>
      <c r="F7035" s="596"/>
      <c r="G7035" s="65">
        <v>0</v>
      </c>
      <c r="H7035" s="591" t="s">
        <v>280</v>
      </c>
      <c r="I7035" s="591" t="s">
        <v>280</v>
      </c>
    </row>
    <row r="7036" spans="1:9">
      <c r="A7036" s="577"/>
      <c r="B7036" s="65">
        <v>7234</v>
      </c>
      <c r="C7036" s="579" t="s">
        <v>281</v>
      </c>
      <c r="D7036" s="579"/>
      <c r="E7036" s="583"/>
      <c r="F7036" s="596"/>
      <c r="G7036" s="65">
        <v>0</v>
      </c>
      <c r="H7036" s="591" t="s">
        <v>280</v>
      </c>
      <c r="I7036" s="591" t="s">
        <v>280</v>
      </c>
    </row>
    <row r="7037" spans="1:9">
      <c r="A7037" s="577"/>
      <c r="B7037" s="65">
        <v>7235</v>
      </c>
      <c r="C7037" s="579" t="s">
        <v>281</v>
      </c>
      <c r="D7037" s="579"/>
      <c r="E7037" s="583"/>
      <c r="F7037" s="596"/>
      <c r="G7037" s="65">
        <v>0</v>
      </c>
      <c r="H7037" s="591" t="s">
        <v>280</v>
      </c>
      <c r="I7037" s="591" t="s">
        <v>280</v>
      </c>
    </row>
    <row r="7038" spans="1:9">
      <c r="A7038" s="577"/>
      <c r="B7038" s="65">
        <v>7236</v>
      </c>
      <c r="C7038" s="579" t="s">
        <v>281</v>
      </c>
      <c r="D7038" s="579"/>
      <c r="E7038" s="583"/>
      <c r="F7038" s="596"/>
      <c r="G7038" s="65">
        <v>0</v>
      </c>
      <c r="H7038" s="591" t="s">
        <v>280</v>
      </c>
      <c r="I7038" s="591" t="s">
        <v>280</v>
      </c>
    </row>
    <row r="7039" spans="1:9">
      <c r="A7039" s="577"/>
      <c r="B7039" s="65">
        <v>7237</v>
      </c>
      <c r="C7039" s="579" t="s">
        <v>281</v>
      </c>
      <c r="D7039" s="579"/>
      <c r="E7039" s="583"/>
      <c r="F7039" s="596"/>
      <c r="G7039" s="65">
        <v>0</v>
      </c>
      <c r="H7039" s="591" t="s">
        <v>280</v>
      </c>
      <c r="I7039" s="591" t="s">
        <v>280</v>
      </c>
    </row>
    <row r="7040" spans="1:9">
      <c r="A7040" s="577"/>
      <c r="B7040" s="65">
        <v>7238</v>
      </c>
      <c r="C7040" s="579" t="s">
        <v>281</v>
      </c>
      <c r="D7040" s="579"/>
      <c r="E7040" s="583"/>
      <c r="F7040" s="596"/>
      <c r="G7040" s="65">
        <v>0</v>
      </c>
      <c r="H7040" s="591" t="s">
        <v>280</v>
      </c>
      <c r="I7040" s="591" t="s">
        <v>280</v>
      </c>
    </row>
    <row r="7041" spans="1:9">
      <c r="A7041" s="577"/>
      <c r="B7041" s="65">
        <v>7239</v>
      </c>
      <c r="C7041" s="579" t="s">
        <v>281</v>
      </c>
      <c r="D7041" s="579"/>
      <c r="E7041" s="583"/>
      <c r="F7041" s="596"/>
      <c r="G7041" s="65">
        <v>0</v>
      </c>
      <c r="H7041" s="591" t="s">
        <v>280</v>
      </c>
      <c r="I7041" s="591" t="s">
        <v>280</v>
      </c>
    </row>
    <row r="7042" spans="1:9">
      <c r="A7042" s="577"/>
      <c r="B7042" s="65">
        <v>7240</v>
      </c>
      <c r="C7042" s="579" t="s">
        <v>281</v>
      </c>
      <c r="D7042" s="579"/>
      <c r="E7042" s="583"/>
      <c r="F7042" s="596"/>
      <c r="G7042" s="65">
        <v>0</v>
      </c>
      <c r="H7042" s="591" t="s">
        <v>280</v>
      </c>
      <c r="I7042" s="591" t="s">
        <v>280</v>
      </c>
    </row>
    <row r="7043" spans="1:9">
      <c r="A7043" s="577"/>
      <c r="B7043" s="65">
        <v>7241</v>
      </c>
      <c r="C7043" s="579" t="s">
        <v>281</v>
      </c>
      <c r="D7043" s="579"/>
      <c r="E7043" s="583"/>
      <c r="F7043" s="596"/>
      <c r="G7043" s="65">
        <v>0</v>
      </c>
      <c r="H7043" s="591" t="s">
        <v>280</v>
      </c>
      <c r="I7043" s="591" t="s">
        <v>280</v>
      </c>
    </row>
    <row r="7044" spans="1:9">
      <c r="A7044" s="577"/>
      <c r="B7044" s="65">
        <v>7242</v>
      </c>
      <c r="C7044" s="579" t="s">
        <v>281</v>
      </c>
      <c r="D7044" s="579"/>
      <c r="E7044" s="583"/>
      <c r="F7044" s="596"/>
      <c r="G7044" s="65">
        <v>0</v>
      </c>
      <c r="H7044" s="591" t="s">
        <v>280</v>
      </c>
      <c r="I7044" s="591" t="s">
        <v>280</v>
      </c>
    </row>
    <row r="7045" spans="1:9">
      <c r="A7045" s="577"/>
      <c r="B7045" s="65">
        <v>7243</v>
      </c>
      <c r="C7045" s="579" t="s">
        <v>281</v>
      </c>
      <c r="D7045" s="579"/>
      <c r="E7045" s="583"/>
      <c r="F7045" s="596"/>
      <c r="G7045" s="65">
        <v>0</v>
      </c>
      <c r="H7045" s="591" t="s">
        <v>280</v>
      </c>
      <c r="I7045" s="591" t="s">
        <v>280</v>
      </c>
    </row>
    <row r="7046" spans="1:9">
      <c r="A7046" s="577"/>
      <c r="B7046" s="65">
        <v>7244</v>
      </c>
      <c r="C7046" s="579" t="s">
        <v>281</v>
      </c>
      <c r="D7046" s="579"/>
      <c r="E7046" s="583"/>
      <c r="F7046" s="596"/>
      <c r="G7046" s="65">
        <v>0</v>
      </c>
      <c r="H7046" s="591" t="s">
        <v>280</v>
      </c>
      <c r="I7046" s="591" t="s">
        <v>280</v>
      </c>
    </row>
    <row r="7047" spans="1:9">
      <c r="A7047" s="577"/>
      <c r="B7047" s="65">
        <v>7245</v>
      </c>
      <c r="C7047" s="579" t="s">
        <v>281</v>
      </c>
      <c r="D7047" s="579"/>
      <c r="E7047" s="583"/>
      <c r="F7047" s="596"/>
      <c r="G7047" s="65">
        <v>0</v>
      </c>
      <c r="H7047" s="591" t="s">
        <v>280</v>
      </c>
      <c r="I7047" s="591" t="s">
        <v>280</v>
      </c>
    </row>
    <row r="7048" spans="1:9">
      <c r="A7048" s="577"/>
      <c r="B7048" s="65">
        <v>7246</v>
      </c>
      <c r="C7048" s="579" t="s">
        <v>281</v>
      </c>
      <c r="D7048" s="579"/>
      <c r="E7048" s="583"/>
      <c r="F7048" s="596"/>
      <c r="G7048" s="65">
        <v>0</v>
      </c>
      <c r="H7048" s="591" t="s">
        <v>280</v>
      </c>
      <c r="I7048" s="591" t="s">
        <v>280</v>
      </c>
    </row>
    <row r="7049" spans="1:9">
      <c r="A7049" s="577"/>
      <c r="B7049" s="65">
        <v>7247</v>
      </c>
      <c r="C7049" s="579" t="s">
        <v>281</v>
      </c>
      <c r="D7049" s="579"/>
      <c r="E7049" s="583"/>
      <c r="F7049" s="596"/>
      <c r="G7049" s="65">
        <v>0</v>
      </c>
      <c r="H7049" s="591" t="s">
        <v>280</v>
      </c>
      <c r="I7049" s="591" t="s">
        <v>280</v>
      </c>
    </row>
    <row r="7050" spans="1:9">
      <c r="A7050" s="577"/>
      <c r="B7050" s="65">
        <v>7248</v>
      </c>
      <c r="C7050" s="579" t="s">
        <v>281</v>
      </c>
      <c r="D7050" s="579"/>
      <c r="E7050" s="583"/>
      <c r="F7050" s="596"/>
      <c r="G7050" s="65">
        <v>0</v>
      </c>
      <c r="H7050" s="591" t="s">
        <v>280</v>
      </c>
      <c r="I7050" s="591" t="s">
        <v>280</v>
      </c>
    </row>
    <row r="7051" spans="1:9">
      <c r="A7051" s="577"/>
      <c r="B7051" s="65">
        <v>7249</v>
      </c>
      <c r="C7051" s="579" t="s">
        <v>281</v>
      </c>
      <c r="D7051" s="579"/>
      <c r="E7051" s="583"/>
      <c r="F7051" s="596"/>
      <c r="G7051" s="65">
        <v>0</v>
      </c>
      <c r="H7051" s="591" t="s">
        <v>280</v>
      </c>
      <c r="I7051" s="591" t="s">
        <v>280</v>
      </c>
    </row>
    <row r="7052" spans="1:9">
      <c r="A7052" s="577"/>
      <c r="B7052" s="65">
        <v>7250</v>
      </c>
      <c r="C7052" s="579" t="s">
        <v>281</v>
      </c>
      <c r="D7052" s="579"/>
      <c r="E7052" s="583"/>
      <c r="F7052" s="596"/>
      <c r="G7052" s="65">
        <v>0</v>
      </c>
      <c r="H7052" s="591" t="s">
        <v>280</v>
      </c>
      <c r="I7052" s="591" t="s">
        <v>280</v>
      </c>
    </row>
    <row r="7053" spans="1:9">
      <c r="A7053" s="577"/>
      <c r="B7053" s="65">
        <v>7251</v>
      </c>
      <c r="C7053" s="579" t="s">
        <v>281</v>
      </c>
      <c r="D7053" s="579"/>
      <c r="E7053" s="583"/>
      <c r="F7053" s="596"/>
      <c r="G7053" s="65">
        <v>0</v>
      </c>
      <c r="H7053" s="591" t="s">
        <v>280</v>
      </c>
      <c r="I7053" s="591" t="s">
        <v>280</v>
      </c>
    </row>
    <row r="7054" spans="1:9">
      <c r="A7054" s="577"/>
      <c r="B7054" s="65">
        <v>7252</v>
      </c>
      <c r="C7054" s="579" t="s">
        <v>281</v>
      </c>
      <c r="D7054" s="579"/>
      <c r="E7054" s="583"/>
      <c r="F7054" s="596"/>
      <c r="G7054" s="65">
        <v>0</v>
      </c>
      <c r="H7054" s="591" t="s">
        <v>280</v>
      </c>
      <c r="I7054" s="591" t="s">
        <v>280</v>
      </c>
    </row>
    <row r="7055" spans="1:9">
      <c r="A7055" s="577"/>
      <c r="B7055" s="65">
        <v>7253</v>
      </c>
      <c r="C7055" s="579" t="s">
        <v>281</v>
      </c>
      <c r="D7055" s="579"/>
      <c r="E7055" s="583"/>
      <c r="F7055" s="596"/>
      <c r="G7055" s="65">
        <v>0</v>
      </c>
      <c r="H7055" s="591" t="s">
        <v>280</v>
      </c>
      <c r="I7055" s="591" t="s">
        <v>280</v>
      </c>
    </row>
    <row r="7056" spans="1:9">
      <c r="A7056" s="577"/>
      <c r="B7056" s="65">
        <v>7254</v>
      </c>
      <c r="C7056" s="579" t="s">
        <v>281</v>
      </c>
      <c r="D7056" s="579"/>
      <c r="E7056" s="583"/>
      <c r="F7056" s="596"/>
      <c r="G7056" s="65">
        <v>0</v>
      </c>
      <c r="H7056" s="591" t="s">
        <v>280</v>
      </c>
      <c r="I7056" s="591" t="s">
        <v>280</v>
      </c>
    </row>
    <row r="7057" spans="1:9">
      <c r="A7057" s="577"/>
      <c r="B7057" s="65">
        <v>7255</v>
      </c>
      <c r="C7057" s="579" t="s">
        <v>281</v>
      </c>
      <c r="D7057" s="579"/>
      <c r="E7057" s="583"/>
      <c r="F7057" s="596"/>
      <c r="G7057" s="65">
        <v>0</v>
      </c>
      <c r="H7057" s="591" t="s">
        <v>280</v>
      </c>
      <c r="I7057" s="591" t="s">
        <v>280</v>
      </c>
    </row>
    <row r="7058" spans="1:9">
      <c r="A7058" s="577"/>
      <c r="B7058" s="65">
        <v>7256</v>
      </c>
      <c r="C7058" s="579" t="s">
        <v>281</v>
      </c>
      <c r="D7058" s="579"/>
      <c r="E7058" s="583"/>
      <c r="F7058" s="596"/>
      <c r="G7058" s="65">
        <v>0</v>
      </c>
      <c r="H7058" s="591" t="s">
        <v>280</v>
      </c>
      <c r="I7058" s="591" t="s">
        <v>280</v>
      </c>
    </row>
    <row r="7059" spans="1:9">
      <c r="A7059" s="577"/>
      <c r="B7059" s="65">
        <v>7257</v>
      </c>
      <c r="C7059" s="579" t="s">
        <v>281</v>
      </c>
      <c r="D7059" s="579"/>
      <c r="E7059" s="583"/>
      <c r="F7059" s="596"/>
      <c r="G7059" s="65">
        <v>0</v>
      </c>
      <c r="H7059" s="591" t="s">
        <v>280</v>
      </c>
      <c r="I7059" s="591" t="s">
        <v>280</v>
      </c>
    </row>
    <row r="7060" spans="1:9">
      <c r="A7060" s="577"/>
      <c r="B7060" s="65">
        <v>7258</v>
      </c>
      <c r="C7060" s="579" t="s">
        <v>281</v>
      </c>
      <c r="D7060" s="579"/>
      <c r="E7060" s="583"/>
      <c r="F7060" s="596"/>
      <c r="G7060" s="65">
        <v>0</v>
      </c>
      <c r="H7060" s="591" t="s">
        <v>280</v>
      </c>
      <c r="I7060" s="591" t="s">
        <v>280</v>
      </c>
    </row>
    <row r="7061" spans="1:9">
      <c r="A7061" s="577"/>
      <c r="B7061" s="65">
        <v>7259</v>
      </c>
      <c r="C7061" s="579" t="s">
        <v>281</v>
      </c>
      <c r="D7061" s="579"/>
      <c r="E7061" s="583"/>
      <c r="F7061" s="596"/>
      <c r="G7061" s="65">
        <v>0</v>
      </c>
      <c r="H7061" s="591" t="s">
        <v>280</v>
      </c>
      <c r="I7061" s="591" t="s">
        <v>280</v>
      </c>
    </row>
    <row r="7062" spans="1:9">
      <c r="A7062" s="577"/>
      <c r="B7062" s="65">
        <v>7260</v>
      </c>
      <c r="C7062" s="579" t="s">
        <v>281</v>
      </c>
      <c r="D7062" s="579"/>
      <c r="E7062" s="583"/>
      <c r="F7062" s="596"/>
      <c r="G7062" s="65">
        <v>0</v>
      </c>
      <c r="H7062" s="591" t="s">
        <v>280</v>
      </c>
      <c r="I7062" s="591" t="s">
        <v>280</v>
      </c>
    </row>
    <row r="7063" spans="1:9">
      <c r="A7063" s="577"/>
      <c r="B7063" s="65">
        <v>7261</v>
      </c>
      <c r="C7063" s="579" t="s">
        <v>281</v>
      </c>
      <c r="D7063" s="579"/>
      <c r="E7063" s="583"/>
      <c r="F7063" s="596"/>
      <c r="G7063" s="65">
        <v>0</v>
      </c>
      <c r="H7063" s="591" t="s">
        <v>280</v>
      </c>
      <c r="I7063" s="591" t="s">
        <v>280</v>
      </c>
    </row>
    <row r="7064" spans="1:9">
      <c r="A7064" s="577"/>
      <c r="B7064" s="65">
        <v>7262</v>
      </c>
      <c r="C7064" s="579" t="s">
        <v>281</v>
      </c>
      <c r="D7064" s="579"/>
      <c r="E7064" s="583"/>
      <c r="F7064" s="596"/>
      <c r="G7064" s="65">
        <v>0</v>
      </c>
      <c r="H7064" s="591" t="s">
        <v>280</v>
      </c>
      <c r="I7064" s="591" t="s">
        <v>280</v>
      </c>
    </row>
    <row r="7065" spans="1:9">
      <c r="A7065" s="577"/>
      <c r="B7065" s="65">
        <v>7263</v>
      </c>
      <c r="C7065" s="579" t="s">
        <v>281</v>
      </c>
      <c r="D7065" s="579"/>
      <c r="E7065" s="583"/>
      <c r="F7065" s="596"/>
      <c r="G7065" s="65">
        <v>0</v>
      </c>
      <c r="H7065" s="591" t="s">
        <v>280</v>
      </c>
      <c r="I7065" s="591" t="s">
        <v>280</v>
      </c>
    </row>
    <row r="7066" spans="1:9">
      <c r="A7066" s="577"/>
      <c r="B7066" s="65">
        <v>7264</v>
      </c>
      <c r="C7066" s="579" t="s">
        <v>281</v>
      </c>
      <c r="D7066" s="579"/>
      <c r="E7066" s="583"/>
      <c r="F7066" s="596"/>
      <c r="G7066" s="65">
        <v>0</v>
      </c>
      <c r="H7066" s="591" t="s">
        <v>280</v>
      </c>
      <c r="I7066" s="591" t="s">
        <v>280</v>
      </c>
    </row>
    <row r="7067" spans="1:9">
      <c r="A7067" s="577"/>
      <c r="B7067" s="65">
        <v>7265</v>
      </c>
      <c r="C7067" s="579" t="s">
        <v>281</v>
      </c>
      <c r="D7067" s="579"/>
      <c r="E7067" s="583"/>
      <c r="F7067" s="596"/>
      <c r="G7067" s="65">
        <v>0</v>
      </c>
      <c r="H7067" s="591" t="s">
        <v>280</v>
      </c>
      <c r="I7067" s="591" t="s">
        <v>280</v>
      </c>
    </row>
    <row r="7068" spans="1:9">
      <c r="A7068" s="577"/>
      <c r="B7068" s="65">
        <v>7266</v>
      </c>
      <c r="C7068" s="579" t="s">
        <v>281</v>
      </c>
      <c r="D7068" s="579"/>
      <c r="E7068" s="583"/>
      <c r="F7068" s="596"/>
      <c r="G7068" s="65">
        <v>0</v>
      </c>
      <c r="H7068" s="591" t="s">
        <v>280</v>
      </c>
      <c r="I7068" s="591" t="s">
        <v>280</v>
      </c>
    </row>
    <row r="7069" spans="1:9">
      <c r="A7069" s="577"/>
      <c r="B7069" s="65">
        <v>7267</v>
      </c>
      <c r="C7069" s="579" t="s">
        <v>281</v>
      </c>
      <c r="D7069" s="579"/>
      <c r="E7069" s="583"/>
      <c r="F7069" s="596"/>
      <c r="G7069" s="65">
        <v>0</v>
      </c>
      <c r="H7069" s="591" t="s">
        <v>280</v>
      </c>
      <c r="I7069" s="591" t="s">
        <v>280</v>
      </c>
    </row>
    <row r="7070" spans="1:9">
      <c r="A7070" s="577"/>
      <c r="B7070" s="65">
        <v>7268</v>
      </c>
      <c r="C7070" s="579" t="s">
        <v>281</v>
      </c>
      <c r="D7070" s="579"/>
      <c r="E7070" s="583"/>
      <c r="F7070" s="596"/>
      <c r="G7070" s="65">
        <v>0</v>
      </c>
      <c r="H7070" s="591" t="s">
        <v>280</v>
      </c>
      <c r="I7070" s="591" t="s">
        <v>280</v>
      </c>
    </row>
    <row r="7071" spans="1:9">
      <c r="A7071" s="577"/>
      <c r="B7071" s="65">
        <v>7269</v>
      </c>
      <c r="C7071" s="579" t="s">
        <v>281</v>
      </c>
      <c r="D7071" s="579"/>
      <c r="E7071" s="583"/>
      <c r="F7071" s="596"/>
      <c r="G7071" s="65">
        <v>0</v>
      </c>
      <c r="H7071" s="591" t="s">
        <v>280</v>
      </c>
      <c r="I7071" s="591" t="s">
        <v>280</v>
      </c>
    </row>
    <row r="7072" spans="1:9">
      <c r="A7072" s="577"/>
      <c r="B7072" s="65">
        <v>7270</v>
      </c>
      <c r="C7072" s="579" t="s">
        <v>281</v>
      </c>
      <c r="D7072" s="579"/>
      <c r="E7072" s="583"/>
      <c r="F7072" s="596"/>
      <c r="G7072" s="65">
        <v>0</v>
      </c>
      <c r="H7072" s="591" t="s">
        <v>280</v>
      </c>
      <c r="I7072" s="591" t="s">
        <v>280</v>
      </c>
    </row>
    <row r="7073" spans="1:9">
      <c r="A7073" s="577"/>
      <c r="B7073" s="65">
        <v>7271</v>
      </c>
      <c r="C7073" s="579" t="s">
        <v>281</v>
      </c>
      <c r="D7073" s="579"/>
      <c r="E7073" s="583"/>
      <c r="F7073" s="596"/>
      <c r="G7073" s="65">
        <v>0</v>
      </c>
      <c r="H7073" s="591" t="s">
        <v>280</v>
      </c>
      <c r="I7073" s="591" t="s">
        <v>280</v>
      </c>
    </row>
    <row r="7074" spans="1:9">
      <c r="A7074" s="577"/>
      <c r="B7074" s="65">
        <v>7272</v>
      </c>
      <c r="C7074" s="579" t="s">
        <v>281</v>
      </c>
      <c r="D7074" s="579"/>
      <c r="E7074" s="583"/>
      <c r="F7074" s="596"/>
      <c r="G7074" s="65">
        <v>0</v>
      </c>
      <c r="H7074" s="591" t="s">
        <v>280</v>
      </c>
      <c r="I7074" s="591" t="s">
        <v>280</v>
      </c>
    </row>
    <row r="7075" spans="1:9">
      <c r="A7075" s="577"/>
      <c r="B7075" s="65">
        <v>7273</v>
      </c>
      <c r="C7075" s="579" t="s">
        <v>281</v>
      </c>
      <c r="D7075" s="579"/>
      <c r="E7075" s="583"/>
      <c r="F7075" s="596"/>
      <c r="G7075" s="65">
        <v>0</v>
      </c>
      <c r="H7075" s="591" t="s">
        <v>280</v>
      </c>
      <c r="I7075" s="591" t="s">
        <v>280</v>
      </c>
    </row>
    <row r="7076" spans="1:9">
      <c r="A7076" s="577"/>
      <c r="B7076" s="65">
        <v>7274</v>
      </c>
      <c r="C7076" s="579" t="s">
        <v>281</v>
      </c>
      <c r="D7076" s="579"/>
      <c r="E7076" s="583"/>
      <c r="F7076" s="596"/>
      <c r="G7076" s="65">
        <v>0</v>
      </c>
      <c r="H7076" s="591" t="s">
        <v>280</v>
      </c>
      <c r="I7076" s="591" t="s">
        <v>280</v>
      </c>
    </row>
    <row r="7077" spans="1:9">
      <c r="A7077" s="577"/>
      <c r="B7077" s="65">
        <v>7275</v>
      </c>
      <c r="C7077" s="579" t="s">
        <v>281</v>
      </c>
      <c r="D7077" s="579"/>
      <c r="E7077" s="583"/>
      <c r="F7077" s="596"/>
      <c r="G7077" s="65">
        <v>0</v>
      </c>
      <c r="H7077" s="591" t="s">
        <v>280</v>
      </c>
      <c r="I7077" s="591" t="s">
        <v>280</v>
      </c>
    </row>
    <row r="7078" spans="1:9">
      <c r="A7078" s="577"/>
      <c r="B7078" s="65">
        <v>7276</v>
      </c>
      <c r="C7078" s="579" t="s">
        <v>281</v>
      </c>
      <c r="D7078" s="579"/>
      <c r="E7078" s="583"/>
      <c r="F7078" s="596"/>
      <c r="G7078" s="65">
        <v>0</v>
      </c>
      <c r="H7078" s="591" t="s">
        <v>280</v>
      </c>
      <c r="I7078" s="591" t="s">
        <v>280</v>
      </c>
    </row>
    <row r="7079" spans="1:9">
      <c r="A7079" s="577"/>
      <c r="B7079" s="65">
        <v>7277</v>
      </c>
      <c r="C7079" s="579" t="s">
        <v>281</v>
      </c>
      <c r="D7079" s="579"/>
      <c r="E7079" s="583"/>
      <c r="F7079" s="596"/>
      <c r="G7079" s="65">
        <v>0</v>
      </c>
      <c r="H7079" s="591" t="s">
        <v>280</v>
      </c>
      <c r="I7079" s="591" t="s">
        <v>280</v>
      </c>
    </row>
    <row r="7080" spans="1:9">
      <c r="A7080" s="577"/>
      <c r="B7080" s="65">
        <v>7278</v>
      </c>
      <c r="C7080" s="579" t="s">
        <v>281</v>
      </c>
      <c r="D7080" s="579"/>
      <c r="E7080" s="583"/>
      <c r="F7080" s="596"/>
      <c r="G7080" s="65">
        <v>0</v>
      </c>
      <c r="H7080" s="591" t="s">
        <v>280</v>
      </c>
      <c r="I7080" s="591" t="s">
        <v>280</v>
      </c>
    </row>
    <row r="7081" spans="1:9">
      <c r="A7081" s="577"/>
      <c r="B7081" s="65">
        <v>7279</v>
      </c>
      <c r="C7081" s="579" t="s">
        <v>281</v>
      </c>
      <c r="D7081" s="579"/>
      <c r="E7081" s="583"/>
      <c r="F7081" s="596"/>
      <c r="G7081" s="65">
        <v>0</v>
      </c>
      <c r="H7081" s="591" t="s">
        <v>280</v>
      </c>
      <c r="I7081" s="591" t="s">
        <v>280</v>
      </c>
    </row>
    <row r="7082" spans="1:9">
      <c r="A7082" s="577"/>
      <c r="B7082" s="65">
        <v>7280</v>
      </c>
      <c r="C7082" s="579" t="s">
        <v>281</v>
      </c>
      <c r="D7082" s="579"/>
      <c r="E7082" s="583"/>
      <c r="F7082" s="596"/>
      <c r="G7082" s="65">
        <v>0</v>
      </c>
      <c r="H7082" s="591" t="s">
        <v>280</v>
      </c>
      <c r="I7082" s="591" t="s">
        <v>280</v>
      </c>
    </row>
    <row r="7083" spans="1:9">
      <c r="A7083" s="577"/>
      <c r="B7083" s="65">
        <v>7281</v>
      </c>
      <c r="C7083" s="579" t="s">
        <v>281</v>
      </c>
      <c r="D7083" s="579"/>
      <c r="E7083" s="583"/>
      <c r="F7083" s="596"/>
      <c r="G7083" s="65">
        <v>0</v>
      </c>
      <c r="H7083" s="591" t="s">
        <v>280</v>
      </c>
      <c r="I7083" s="591" t="s">
        <v>280</v>
      </c>
    </row>
    <row r="7084" spans="1:9">
      <c r="A7084" s="577"/>
      <c r="B7084" s="65">
        <v>7282</v>
      </c>
      <c r="C7084" s="579" t="s">
        <v>281</v>
      </c>
      <c r="D7084" s="579"/>
      <c r="E7084" s="583"/>
      <c r="F7084" s="596"/>
      <c r="G7084" s="65">
        <v>0</v>
      </c>
      <c r="H7084" s="591" t="s">
        <v>280</v>
      </c>
      <c r="I7084" s="591" t="s">
        <v>280</v>
      </c>
    </row>
    <row r="7085" spans="1:9">
      <c r="A7085" s="577"/>
      <c r="B7085" s="65">
        <v>7283</v>
      </c>
      <c r="C7085" s="579" t="s">
        <v>281</v>
      </c>
      <c r="D7085" s="579"/>
      <c r="E7085" s="583"/>
      <c r="F7085" s="596"/>
      <c r="G7085" s="65">
        <v>0</v>
      </c>
      <c r="H7085" s="591" t="s">
        <v>280</v>
      </c>
      <c r="I7085" s="591" t="s">
        <v>280</v>
      </c>
    </row>
    <row r="7086" spans="1:9">
      <c r="A7086" s="577"/>
      <c r="B7086" s="65">
        <v>7284</v>
      </c>
      <c r="C7086" s="579" t="s">
        <v>281</v>
      </c>
      <c r="D7086" s="579"/>
      <c r="E7086" s="583"/>
      <c r="F7086" s="596"/>
      <c r="G7086" s="65">
        <v>0</v>
      </c>
      <c r="H7086" s="591" t="s">
        <v>280</v>
      </c>
      <c r="I7086" s="591" t="s">
        <v>280</v>
      </c>
    </row>
    <row r="7087" spans="1:9">
      <c r="A7087" s="577"/>
      <c r="B7087" s="65">
        <v>7285</v>
      </c>
      <c r="C7087" s="579" t="s">
        <v>281</v>
      </c>
      <c r="D7087" s="579"/>
      <c r="E7087" s="583"/>
      <c r="F7087" s="596"/>
      <c r="G7087" s="65">
        <v>0</v>
      </c>
      <c r="H7087" s="591" t="s">
        <v>280</v>
      </c>
      <c r="I7087" s="591" t="s">
        <v>280</v>
      </c>
    </row>
    <row r="7088" spans="1:9">
      <c r="A7088" s="577"/>
      <c r="B7088" s="65">
        <v>7286</v>
      </c>
      <c r="C7088" s="579" t="s">
        <v>281</v>
      </c>
      <c r="D7088" s="579"/>
      <c r="E7088" s="583"/>
      <c r="F7088" s="596"/>
      <c r="G7088" s="65">
        <v>0</v>
      </c>
      <c r="H7088" s="591" t="s">
        <v>280</v>
      </c>
      <c r="I7088" s="591" t="s">
        <v>280</v>
      </c>
    </row>
    <row r="7089" spans="1:9">
      <c r="A7089" s="577"/>
      <c r="B7089" s="65">
        <v>7287</v>
      </c>
      <c r="C7089" s="579" t="s">
        <v>281</v>
      </c>
      <c r="D7089" s="579"/>
      <c r="E7089" s="583"/>
      <c r="F7089" s="596"/>
      <c r="G7089" s="65">
        <v>0</v>
      </c>
      <c r="H7089" s="591" t="s">
        <v>280</v>
      </c>
      <c r="I7089" s="591" t="s">
        <v>280</v>
      </c>
    </row>
    <row r="7090" spans="1:9">
      <c r="A7090" s="577"/>
      <c r="B7090" s="65">
        <v>7288</v>
      </c>
      <c r="C7090" s="579" t="s">
        <v>281</v>
      </c>
      <c r="D7090" s="579"/>
      <c r="E7090" s="583"/>
      <c r="F7090" s="596"/>
      <c r="G7090" s="65">
        <v>0</v>
      </c>
      <c r="H7090" s="591" t="s">
        <v>280</v>
      </c>
      <c r="I7090" s="591" t="s">
        <v>280</v>
      </c>
    </row>
    <row r="7091" spans="1:9">
      <c r="A7091" s="577"/>
      <c r="B7091" s="65">
        <v>7289</v>
      </c>
      <c r="C7091" s="579" t="s">
        <v>281</v>
      </c>
      <c r="D7091" s="579"/>
      <c r="E7091" s="583"/>
      <c r="F7091" s="596"/>
      <c r="G7091" s="65">
        <v>0</v>
      </c>
      <c r="H7091" s="591" t="s">
        <v>280</v>
      </c>
      <c r="I7091" s="591" t="s">
        <v>280</v>
      </c>
    </row>
    <row r="7092" spans="1:9">
      <c r="A7092" s="577"/>
      <c r="B7092" s="65">
        <v>7290</v>
      </c>
      <c r="C7092" s="579" t="s">
        <v>281</v>
      </c>
      <c r="D7092" s="579"/>
      <c r="E7092" s="583"/>
      <c r="F7092" s="596"/>
      <c r="G7092" s="65">
        <v>0</v>
      </c>
      <c r="H7092" s="591" t="s">
        <v>280</v>
      </c>
      <c r="I7092" s="591" t="s">
        <v>280</v>
      </c>
    </row>
    <row r="7093" spans="1:9">
      <c r="A7093" s="577"/>
      <c r="B7093" s="65">
        <v>7291</v>
      </c>
      <c r="C7093" s="579" t="s">
        <v>281</v>
      </c>
      <c r="D7093" s="579"/>
      <c r="E7093" s="583"/>
      <c r="F7093" s="596"/>
      <c r="G7093" s="65">
        <v>0</v>
      </c>
      <c r="H7093" s="591" t="s">
        <v>280</v>
      </c>
      <c r="I7093" s="591" t="s">
        <v>280</v>
      </c>
    </row>
    <row r="7094" spans="1:9">
      <c r="A7094" s="577"/>
      <c r="B7094" s="65">
        <v>7292</v>
      </c>
      <c r="C7094" s="579" t="s">
        <v>281</v>
      </c>
      <c r="D7094" s="579"/>
      <c r="E7094" s="583"/>
      <c r="F7094" s="596"/>
      <c r="G7094" s="65">
        <v>0</v>
      </c>
      <c r="H7094" s="591" t="s">
        <v>280</v>
      </c>
      <c r="I7094" s="591" t="s">
        <v>280</v>
      </c>
    </row>
    <row r="7095" spans="1:9">
      <c r="A7095" s="577"/>
      <c r="B7095" s="65">
        <v>7293</v>
      </c>
      <c r="C7095" s="579" t="s">
        <v>281</v>
      </c>
      <c r="D7095" s="579"/>
      <c r="E7095" s="583"/>
      <c r="F7095" s="596"/>
      <c r="G7095" s="65">
        <v>0</v>
      </c>
      <c r="H7095" s="591" t="s">
        <v>280</v>
      </c>
      <c r="I7095" s="591" t="s">
        <v>280</v>
      </c>
    </row>
    <row r="7096" spans="1:9">
      <c r="A7096" s="577"/>
      <c r="B7096" s="65">
        <v>7294</v>
      </c>
      <c r="C7096" s="579" t="s">
        <v>281</v>
      </c>
      <c r="D7096" s="579"/>
      <c r="E7096" s="583"/>
      <c r="F7096" s="596"/>
      <c r="G7096" s="65">
        <v>0</v>
      </c>
      <c r="H7096" s="591" t="s">
        <v>280</v>
      </c>
      <c r="I7096" s="591" t="s">
        <v>280</v>
      </c>
    </row>
    <row r="7097" spans="1:9">
      <c r="A7097" s="577"/>
      <c r="B7097" s="65">
        <v>7295</v>
      </c>
      <c r="C7097" s="579" t="s">
        <v>281</v>
      </c>
      <c r="D7097" s="579"/>
      <c r="E7097" s="583"/>
      <c r="F7097" s="596"/>
      <c r="G7097" s="65">
        <v>0</v>
      </c>
      <c r="H7097" s="591" t="s">
        <v>280</v>
      </c>
      <c r="I7097" s="591" t="s">
        <v>280</v>
      </c>
    </row>
    <row r="7098" spans="1:9">
      <c r="A7098" s="577"/>
      <c r="B7098" s="65">
        <v>7296</v>
      </c>
      <c r="C7098" s="579" t="s">
        <v>281</v>
      </c>
      <c r="D7098" s="579"/>
      <c r="E7098" s="583"/>
      <c r="F7098" s="596"/>
      <c r="G7098" s="65">
        <v>0</v>
      </c>
      <c r="H7098" s="591" t="s">
        <v>280</v>
      </c>
      <c r="I7098" s="591" t="s">
        <v>280</v>
      </c>
    </row>
    <row r="7099" spans="1:9">
      <c r="A7099" s="577"/>
      <c r="B7099" s="65">
        <v>7297</v>
      </c>
      <c r="C7099" s="579" t="s">
        <v>281</v>
      </c>
      <c r="D7099" s="579"/>
      <c r="E7099" s="583"/>
      <c r="F7099" s="596"/>
      <c r="G7099" s="65">
        <v>0</v>
      </c>
      <c r="H7099" s="591" t="s">
        <v>280</v>
      </c>
      <c r="I7099" s="591" t="s">
        <v>280</v>
      </c>
    </row>
    <row r="7100" spans="1:9">
      <c r="A7100" s="577"/>
      <c r="B7100" s="65">
        <v>7298</v>
      </c>
      <c r="C7100" s="579" t="s">
        <v>281</v>
      </c>
      <c r="D7100" s="579"/>
      <c r="E7100" s="583"/>
      <c r="F7100" s="596"/>
      <c r="G7100" s="65">
        <v>0</v>
      </c>
      <c r="H7100" s="591" t="s">
        <v>280</v>
      </c>
      <c r="I7100" s="591" t="s">
        <v>280</v>
      </c>
    </row>
    <row r="7101" spans="1:9">
      <c r="A7101" s="577"/>
      <c r="B7101" s="65">
        <v>7299</v>
      </c>
      <c r="C7101" s="579" t="s">
        <v>281</v>
      </c>
      <c r="D7101" s="579"/>
      <c r="E7101" s="583"/>
      <c r="F7101" s="596"/>
      <c r="G7101" s="65">
        <v>0</v>
      </c>
      <c r="H7101" s="591" t="s">
        <v>280</v>
      </c>
      <c r="I7101" s="591" t="s">
        <v>280</v>
      </c>
    </row>
    <row r="7102" spans="1:9">
      <c r="A7102" s="577"/>
      <c r="B7102" s="65">
        <v>7300</v>
      </c>
      <c r="C7102" s="579" t="s">
        <v>281</v>
      </c>
      <c r="D7102" s="579"/>
      <c r="E7102" s="583"/>
      <c r="F7102" s="596"/>
      <c r="G7102" s="65">
        <v>0</v>
      </c>
      <c r="H7102" s="591" t="s">
        <v>280</v>
      </c>
      <c r="I7102" s="591" t="s">
        <v>280</v>
      </c>
    </row>
    <row r="7103" spans="1:9">
      <c r="A7103" s="577"/>
      <c r="B7103" s="65">
        <v>7301</v>
      </c>
      <c r="C7103" s="579" t="s">
        <v>281</v>
      </c>
      <c r="D7103" s="579"/>
      <c r="E7103" s="583"/>
      <c r="F7103" s="596"/>
      <c r="G7103" s="65">
        <v>0</v>
      </c>
      <c r="H7103" s="591" t="s">
        <v>280</v>
      </c>
      <c r="I7103" s="591" t="s">
        <v>280</v>
      </c>
    </row>
    <row r="7104" spans="1:9">
      <c r="A7104" s="577"/>
      <c r="B7104" s="65">
        <v>7302</v>
      </c>
      <c r="C7104" s="579" t="s">
        <v>281</v>
      </c>
      <c r="D7104" s="579"/>
      <c r="E7104" s="583"/>
      <c r="F7104" s="596"/>
      <c r="G7104" s="65">
        <v>0</v>
      </c>
      <c r="H7104" s="591" t="s">
        <v>280</v>
      </c>
      <c r="I7104" s="591" t="s">
        <v>280</v>
      </c>
    </row>
    <row r="7105" spans="1:9">
      <c r="A7105" s="577"/>
      <c r="B7105" s="65">
        <v>7303</v>
      </c>
      <c r="C7105" s="579" t="s">
        <v>281</v>
      </c>
      <c r="D7105" s="579"/>
      <c r="E7105" s="583"/>
      <c r="F7105" s="596"/>
      <c r="G7105" s="65">
        <v>0</v>
      </c>
      <c r="H7105" s="591" t="s">
        <v>280</v>
      </c>
      <c r="I7105" s="591" t="s">
        <v>280</v>
      </c>
    </row>
    <row r="7106" spans="1:9">
      <c r="A7106" s="577"/>
      <c r="B7106" s="65">
        <v>7304</v>
      </c>
      <c r="C7106" s="579" t="s">
        <v>281</v>
      </c>
      <c r="D7106" s="579"/>
      <c r="E7106" s="583"/>
      <c r="F7106" s="596"/>
      <c r="G7106" s="65">
        <v>0</v>
      </c>
      <c r="H7106" s="591" t="s">
        <v>280</v>
      </c>
      <c r="I7106" s="591" t="s">
        <v>280</v>
      </c>
    </row>
    <row r="7107" spans="1:9">
      <c r="A7107" s="577"/>
      <c r="B7107" s="65">
        <v>7305</v>
      </c>
      <c r="C7107" s="579" t="s">
        <v>281</v>
      </c>
      <c r="D7107" s="579"/>
      <c r="E7107" s="583"/>
      <c r="F7107" s="596"/>
      <c r="G7107" s="65">
        <v>0</v>
      </c>
      <c r="H7107" s="591" t="s">
        <v>280</v>
      </c>
      <c r="I7107" s="591" t="s">
        <v>280</v>
      </c>
    </row>
    <row r="7108" spans="1:9">
      <c r="A7108" s="577"/>
      <c r="B7108" s="65">
        <v>7306</v>
      </c>
      <c r="C7108" s="579" t="s">
        <v>281</v>
      </c>
      <c r="D7108" s="579"/>
      <c r="E7108" s="583"/>
      <c r="F7108" s="596"/>
      <c r="G7108" s="65">
        <v>0</v>
      </c>
      <c r="H7108" s="591" t="s">
        <v>280</v>
      </c>
      <c r="I7108" s="591" t="s">
        <v>280</v>
      </c>
    </row>
    <row r="7109" spans="1:9">
      <c r="A7109" s="577"/>
      <c r="B7109" s="65">
        <v>7307</v>
      </c>
      <c r="C7109" s="579" t="s">
        <v>281</v>
      </c>
      <c r="D7109" s="579"/>
      <c r="E7109" s="583"/>
      <c r="F7109" s="596"/>
      <c r="G7109" s="65">
        <v>0</v>
      </c>
      <c r="H7109" s="591" t="s">
        <v>280</v>
      </c>
      <c r="I7109" s="591" t="s">
        <v>280</v>
      </c>
    </row>
    <row r="7110" spans="1:9">
      <c r="A7110" s="577"/>
      <c r="B7110" s="65">
        <v>7308</v>
      </c>
      <c r="C7110" s="579" t="s">
        <v>281</v>
      </c>
      <c r="D7110" s="579"/>
      <c r="E7110" s="583"/>
      <c r="F7110" s="596"/>
      <c r="G7110" s="65">
        <v>0</v>
      </c>
      <c r="H7110" s="591" t="s">
        <v>280</v>
      </c>
      <c r="I7110" s="591" t="s">
        <v>280</v>
      </c>
    </row>
    <row r="7111" spans="1:9">
      <c r="A7111" s="577"/>
      <c r="B7111" s="65">
        <v>7309</v>
      </c>
      <c r="C7111" s="579" t="s">
        <v>281</v>
      </c>
      <c r="D7111" s="579"/>
      <c r="E7111" s="583"/>
      <c r="F7111" s="596"/>
      <c r="G7111" s="65">
        <v>0</v>
      </c>
      <c r="H7111" s="591" t="s">
        <v>280</v>
      </c>
      <c r="I7111" s="591" t="s">
        <v>280</v>
      </c>
    </row>
    <row r="7112" spans="1:9">
      <c r="A7112" s="577"/>
      <c r="B7112" s="65">
        <v>7310</v>
      </c>
      <c r="C7112" s="579" t="s">
        <v>281</v>
      </c>
      <c r="D7112" s="579"/>
      <c r="E7112" s="583"/>
      <c r="F7112" s="596"/>
      <c r="G7112" s="65">
        <v>0</v>
      </c>
      <c r="H7112" s="591" t="s">
        <v>280</v>
      </c>
      <c r="I7112" s="591" t="s">
        <v>280</v>
      </c>
    </row>
    <row r="7113" spans="1:9">
      <c r="A7113" s="577"/>
      <c r="B7113" s="65">
        <v>7311</v>
      </c>
      <c r="C7113" s="579" t="s">
        <v>281</v>
      </c>
      <c r="D7113" s="579"/>
      <c r="E7113" s="583"/>
      <c r="F7113" s="596"/>
      <c r="G7113" s="65">
        <v>0</v>
      </c>
      <c r="H7113" s="591" t="s">
        <v>280</v>
      </c>
      <c r="I7113" s="591" t="s">
        <v>280</v>
      </c>
    </row>
    <row r="7114" spans="1:9">
      <c r="A7114" s="577"/>
      <c r="B7114" s="65">
        <v>7312</v>
      </c>
      <c r="C7114" s="579" t="s">
        <v>281</v>
      </c>
      <c r="D7114" s="579"/>
      <c r="E7114" s="583"/>
      <c r="F7114" s="596"/>
      <c r="G7114" s="65">
        <v>0</v>
      </c>
      <c r="H7114" s="591" t="s">
        <v>280</v>
      </c>
      <c r="I7114" s="591" t="s">
        <v>280</v>
      </c>
    </row>
    <row r="7115" spans="1:9">
      <c r="A7115" s="577"/>
      <c r="B7115" s="65">
        <v>7313</v>
      </c>
      <c r="C7115" s="579" t="s">
        <v>281</v>
      </c>
      <c r="D7115" s="579"/>
      <c r="E7115" s="583"/>
      <c r="F7115" s="596"/>
      <c r="G7115" s="65">
        <v>0</v>
      </c>
      <c r="H7115" s="591" t="s">
        <v>280</v>
      </c>
      <c r="I7115" s="591" t="s">
        <v>280</v>
      </c>
    </row>
    <row r="7116" spans="1:9">
      <c r="A7116" s="577"/>
      <c r="B7116" s="65">
        <v>7314</v>
      </c>
      <c r="C7116" s="579" t="s">
        <v>281</v>
      </c>
      <c r="D7116" s="579"/>
      <c r="E7116" s="583"/>
      <c r="F7116" s="596"/>
      <c r="G7116" s="65">
        <v>0</v>
      </c>
      <c r="H7116" s="591" t="s">
        <v>280</v>
      </c>
      <c r="I7116" s="591" t="s">
        <v>280</v>
      </c>
    </row>
    <row r="7117" spans="1:9">
      <c r="A7117" s="577"/>
      <c r="B7117" s="65">
        <v>7315</v>
      </c>
      <c r="C7117" s="579" t="s">
        <v>281</v>
      </c>
      <c r="D7117" s="579"/>
      <c r="E7117" s="583"/>
      <c r="F7117" s="596"/>
      <c r="G7117" s="65">
        <v>0</v>
      </c>
      <c r="H7117" s="591" t="s">
        <v>280</v>
      </c>
      <c r="I7117" s="591" t="s">
        <v>280</v>
      </c>
    </row>
    <row r="7118" spans="1:9">
      <c r="A7118" s="577"/>
      <c r="B7118" s="65">
        <v>7316</v>
      </c>
      <c r="C7118" s="579" t="s">
        <v>281</v>
      </c>
      <c r="D7118" s="579"/>
      <c r="E7118" s="583"/>
      <c r="F7118" s="596"/>
      <c r="G7118" s="65">
        <v>0</v>
      </c>
      <c r="H7118" s="591" t="s">
        <v>280</v>
      </c>
      <c r="I7118" s="591" t="s">
        <v>280</v>
      </c>
    </row>
    <row r="7119" spans="1:9">
      <c r="A7119" s="577"/>
      <c r="B7119" s="65">
        <v>7317</v>
      </c>
      <c r="C7119" s="579" t="s">
        <v>281</v>
      </c>
      <c r="D7119" s="579"/>
      <c r="E7119" s="583"/>
      <c r="F7119" s="596"/>
      <c r="G7119" s="65">
        <v>0</v>
      </c>
      <c r="H7119" s="591" t="s">
        <v>280</v>
      </c>
      <c r="I7119" s="591" t="s">
        <v>280</v>
      </c>
    </row>
    <row r="7120" spans="1:9">
      <c r="A7120" s="577"/>
      <c r="B7120" s="65">
        <v>7318</v>
      </c>
      <c r="C7120" s="579" t="s">
        <v>281</v>
      </c>
      <c r="D7120" s="579"/>
      <c r="E7120" s="583"/>
      <c r="F7120" s="596"/>
      <c r="G7120" s="65">
        <v>0</v>
      </c>
      <c r="H7120" s="591" t="s">
        <v>280</v>
      </c>
      <c r="I7120" s="591" t="s">
        <v>280</v>
      </c>
    </row>
    <row r="7121" spans="1:9">
      <c r="A7121" s="577"/>
      <c r="B7121" s="65">
        <v>7319</v>
      </c>
      <c r="C7121" s="579" t="s">
        <v>281</v>
      </c>
      <c r="D7121" s="579"/>
      <c r="E7121" s="583"/>
      <c r="F7121" s="596"/>
      <c r="G7121" s="65">
        <v>0</v>
      </c>
      <c r="H7121" s="591" t="s">
        <v>280</v>
      </c>
      <c r="I7121" s="591" t="s">
        <v>280</v>
      </c>
    </row>
    <row r="7122" spans="1:9">
      <c r="A7122" s="577"/>
      <c r="B7122" s="65">
        <v>7320</v>
      </c>
      <c r="C7122" s="579" t="s">
        <v>281</v>
      </c>
      <c r="D7122" s="579"/>
      <c r="E7122" s="583"/>
      <c r="F7122" s="596"/>
      <c r="G7122" s="65">
        <v>0</v>
      </c>
      <c r="H7122" s="591" t="s">
        <v>280</v>
      </c>
      <c r="I7122" s="591" t="s">
        <v>280</v>
      </c>
    </row>
    <row r="7123" spans="1:9">
      <c r="A7123" s="577"/>
      <c r="B7123" s="65">
        <v>7321</v>
      </c>
      <c r="C7123" s="579" t="s">
        <v>281</v>
      </c>
      <c r="D7123" s="579"/>
      <c r="E7123" s="583"/>
      <c r="F7123" s="596"/>
      <c r="G7123" s="65">
        <v>0</v>
      </c>
      <c r="H7123" s="591" t="s">
        <v>280</v>
      </c>
      <c r="I7123" s="591" t="s">
        <v>280</v>
      </c>
    </row>
    <row r="7124" spans="1:9">
      <c r="A7124" s="577"/>
      <c r="B7124" s="65">
        <v>7322</v>
      </c>
      <c r="C7124" s="579" t="s">
        <v>281</v>
      </c>
      <c r="D7124" s="579"/>
      <c r="E7124" s="583"/>
      <c r="F7124" s="596"/>
      <c r="G7124" s="65">
        <v>0</v>
      </c>
      <c r="H7124" s="591" t="s">
        <v>280</v>
      </c>
      <c r="I7124" s="591" t="s">
        <v>280</v>
      </c>
    </row>
    <row r="7125" spans="1:9">
      <c r="A7125" s="577"/>
      <c r="B7125" s="65">
        <v>7323</v>
      </c>
      <c r="C7125" s="579" t="s">
        <v>281</v>
      </c>
      <c r="D7125" s="579"/>
      <c r="E7125" s="583"/>
      <c r="F7125" s="596"/>
      <c r="G7125" s="65">
        <v>0</v>
      </c>
      <c r="H7125" s="591" t="s">
        <v>280</v>
      </c>
      <c r="I7125" s="591" t="s">
        <v>280</v>
      </c>
    </row>
    <row r="7126" spans="1:9">
      <c r="A7126" s="577"/>
      <c r="B7126" s="65">
        <v>7324</v>
      </c>
      <c r="C7126" s="579" t="s">
        <v>281</v>
      </c>
      <c r="D7126" s="579"/>
      <c r="E7126" s="583"/>
      <c r="F7126" s="596"/>
      <c r="G7126" s="65">
        <v>0</v>
      </c>
      <c r="H7126" s="591" t="s">
        <v>280</v>
      </c>
      <c r="I7126" s="591" t="s">
        <v>280</v>
      </c>
    </row>
    <row r="7127" spans="1:9">
      <c r="A7127" s="577"/>
      <c r="B7127" s="65">
        <v>7325</v>
      </c>
      <c r="C7127" s="579" t="s">
        <v>281</v>
      </c>
      <c r="D7127" s="579"/>
      <c r="E7127" s="583"/>
      <c r="F7127" s="596"/>
      <c r="G7127" s="65">
        <v>0</v>
      </c>
      <c r="H7127" s="591" t="s">
        <v>280</v>
      </c>
      <c r="I7127" s="591" t="s">
        <v>280</v>
      </c>
    </row>
    <row r="7128" spans="1:9">
      <c r="A7128" s="577"/>
      <c r="B7128" s="65">
        <v>7326</v>
      </c>
      <c r="C7128" s="579" t="s">
        <v>281</v>
      </c>
      <c r="D7128" s="579"/>
      <c r="E7128" s="583"/>
      <c r="F7128" s="596"/>
      <c r="G7128" s="65">
        <v>0</v>
      </c>
      <c r="H7128" s="591" t="s">
        <v>280</v>
      </c>
      <c r="I7128" s="591" t="s">
        <v>280</v>
      </c>
    </row>
    <row r="7129" spans="1:9">
      <c r="A7129" s="577"/>
      <c r="B7129" s="65">
        <v>7327</v>
      </c>
      <c r="C7129" s="579" t="s">
        <v>281</v>
      </c>
      <c r="D7129" s="579"/>
      <c r="E7129" s="583"/>
      <c r="F7129" s="596"/>
      <c r="G7129" s="65">
        <v>0</v>
      </c>
      <c r="H7129" s="591" t="s">
        <v>280</v>
      </c>
      <c r="I7129" s="591" t="s">
        <v>280</v>
      </c>
    </row>
    <row r="7130" spans="1:9">
      <c r="A7130" s="577"/>
      <c r="B7130" s="65">
        <v>7328</v>
      </c>
      <c r="C7130" s="579" t="s">
        <v>281</v>
      </c>
      <c r="D7130" s="579"/>
      <c r="E7130" s="583"/>
      <c r="F7130" s="596"/>
      <c r="G7130" s="65">
        <v>0</v>
      </c>
      <c r="H7130" s="591" t="s">
        <v>280</v>
      </c>
      <c r="I7130" s="591" t="s">
        <v>280</v>
      </c>
    </row>
    <row r="7131" spans="1:9">
      <c r="A7131" s="577"/>
      <c r="B7131" s="65">
        <v>7329</v>
      </c>
      <c r="C7131" s="579" t="s">
        <v>281</v>
      </c>
      <c r="D7131" s="579"/>
      <c r="E7131" s="583"/>
      <c r="F7131" s="596"/>
      <c r="G7131" s="65">
        <v>0</v>
      </c>
      <c r="H7131" s="591" t="s">
        <v>280</v>
      </c>
      <c r="I7131" s="591" t="s">
        <v>280</v>
      </c>
    </row>
    <row r="7132" spans="1:9">
      <c r="A7132" s="577"/>
      <c r="B7132" s="65">
        <v>7330</v>
      </c>
      <c r="C7132" s="579" t="s">
        <v>281</v>
      </c>
      <c r="D7132" s="579"/>
      <c r="E7132" s="583"/>
      <c r="F7132" s="596"/>
      <c r="G7132" s="65">
        <v>0</v>
      </c>
      <c r="H7132" s="591" t="s">
        <v>280</v>
      </c>
      <c r="I7132" s="591" t="s">
        <v>280</v>
      </c>
    </row>
    <row r="7133" spans="1:9">
      <c r="A7133" s="577"/>
      <c r="B7133" s="65">
        <v>7331</v>
      </c>
      <c r="C7133" s="579" t="s">
        <v>281</v>
      </c>
      <c r="D7133" s="579"/>
      <c r="E7133" s="583"/>
      <c r="F7133" s="596"/>
      <c r="G7133" s="65">
        <v>0</v>
      </c>
      <c r="H7133" s="591" t="s">
        <v>280</v>
      </c>
      <c r="I7133" s="591" t="s">
        <v>280</v>
      </c>
    </row>
    <row r="7134" spans="1:9">
      <c r="A7134" s="577"/>
      <c r="B7134" s="65">
        <v>7332</v>
      </c>
      <c r="C7134" s="579" t="s">
        <v>281</v>
      </c>
      <c r="D7134" s="579"/>
      <c r="E7134" s="583"/>
      <c r="F7134" s="596"/>
      <c r="G7134" s="65">
        <v>0</v>
      </c>
      <c r="H7134" s="591" t="s">
        <v>280</v>
      </c>
      <c r="I7134" s="591" t="s">
        <v>280</v>
      </c>
    </row>
    <row r="7135" spans="1:9">
      <c r="A7135" s="577"/>
      <c r="B7135" s="65">
        <v>7333</v>
      </c>
      <c r="C7135" s="579" t="s">
        <v>281</v>
      </c>
      <c r="D7135" s="579"/>
      <c r="E7135" s="583"/>
      <c r="F7135" s="596"/>
      <c r="G7135" s="65">
        <v>0</v>
      </c>
      <c r="H7135" s="591" t="s">
        <v>280</v>
      </c>
      <c r="I7135" s="591" t="s">
        <v>280</v>
      </c>
    </row>
    <row r="7136" spans="1:9">
      <c r="A7136" s="577"/>
      <c r="B7136" s="65">
        <v>7334</v>
      </c>
      <c r="C7136" s="579" t="s">
        <v>281</v>
      </c>
      <c r="D7136" s="579"/>
      <c r="E7136" s="583"/>
      <c r="F7136" s="596"/>
      <c r="G7136" s="65">
        <v>0</v>
      </c>
      <c r="H7136" s="591" t="s">
        <v>280</v>
      </c>
      <c r="I7136" s="591" t="s">
        <v>280</v>
      </c>
    </row>
    <row r="7137" spans="1:9">
      <c r="A7137" s="577"/>
      <c r="B7137" s="65">
        <v>7335</v>
      </c>
      <c r="C7137" s="579" t="s">
        <v>281</v>
      </c>
      <c r="D7137" s="579"/>
      <c r="E7137" s="583"/>
      <c r="F7137" s="596"/>
      <c r="G7137" s="65">
        <v>0</v>
      </c>
      <c r="H7137" s="591" t="s">
        <v>280</v>
      </c>
      <c r="I7137" s="591" t="s">
        <v>280</v>
      </c>
    </row>
    <row r="7138" spans="1:9">
      <c r="A7138" s="577"/>
      <c r="B7138" s="65">
        <v>7336</v>
      </c>
      <c r="C7138" s="579" t="s">
        <v>281</v>
      </c>
      <c r="D7138" s="579"/>
      <c r="E7138" s="583"/>
      <c r="F7138" s="596"/>
      <c r="G7138" s="65">
        <v>0</v>
      </c>
      <c r="H7138" s="591" t="s">
        <v>280</v>
      </c>
      <c r="I7138" s="591" t="s">
        <v>280</v>
      </c>
    </row>
    <row r="7139" spans="1:9">
      <c r="A7139" s="577"/>
      <c r="B7139" s="65">
        <v>7337</v>
      </c>
      <c r="C7139" s="579" t="s">
        <v>281</v>
      </c>
      <c r="D7139" s="579"/>
      <c r="E7139" s="583"/>
      <c r="F7139" s="596"/>
      <c r="G7139" s="65">
        <v>0</v>
      </c>
      <c r="H7139" s="591" t="s">
        <v>280</v>
      </c>
      <c r="I7139" s="591" t="s">
        <v>280</v>
      </c>
    </row>
    <row r="7140" spans="1:9">
      <c r="A7140" s="577"/>
      <c r="B7140" s="65">
        <v>7338</v>
      </c>
      <c r="C7140" s="579" t="s">
        <v>281</v>
      </c>
      <c r="D7140" s="579"/>
      <c r="E7140" s="583"/>
      <c r="F7140" s="596"/>
      <c r="G7140" s="65">
        <v>0</v>
      </c>
      <c r="H7140" s="591" t="s">
        <v>280</v>
      </c>
      <c r="I7140" s="591" t="s">
        <v>280</v>
      </c>
    </row>
    <row r="7141" spans="1:9">
      <c r="A7141" s="577"/>
      <c r="B7141" s="65">
        <v>7339</v>
      </c>
      <c r="C7141" s="579" t="s">
        <v>281</v>
      </c>
      <c r="D7141" s="579"/>
      <c r="E7141" s="583"/>
      <c r="F7141" s="596"/>
      <c r="G7141" s="65">
        <v>0</v>
      </c>
      <c r="H7141" s="591" t="s">
        <v>280</v>
      </c>
      <c r="I7141" s="591" t="s">
        <v>280</v>
      </c>
    </row>
    <row r="7142" spans="1:9">
      <c r="A7142" s="577"/>
      <c r="B7142" s="65">
        <v>7340</v>
      </c>
      <c r="C7142" s="579" t="s">
        <v>281</v>
      </c>
      <c r="D7142" s="579"/>
      <c r="E7142" s="583"/>
      <c r="F7142" s="596"/>
      <c r="G7142" s="65">
        <v>0</v>
      </c>
      <c r="H7142" s="591" t="s">
        <v>280</v>
      </c>
      <c r="I7142" s="591" t="s">
        <v>280</v>
      </c>
    </row>
    <row r="7143" spans="1:9">
      <c r="A7143" s="577"/>
      <c r="B7143" s="65">
        <v>7341</v>
      </c>
      <c r="C7143" s="579" t="s">
        <v>281</v>
      </c>
      <c r="D7143" s="579"/>
      <c r="E7143" s="583"/>
      <c r="F7143" s="596"/>
      <c r="G7143" s="65">
        <v>0</v>
      </c>
      <c r="H7143" s="591" t="s">
        <v>280</v>
      </c>
      <c r="I7143" s="591" t="s">
        <v>280</v>
      </c>
    </row>
    <row r="7144" spans="1:9">
      <c r="A7144" s="577"/>
      <c r="B7144" s="65">
        <v>7342</v>
      </c>
      <c r="C7144" s="579" t="s">
        <v>281</v>
      </c>
      <c r="D7144" s="579"/>
      <c r="E7144" s="583"/>
      <c r="F7144" s="596"/>
      <c r="G7144" s="65">
        <v>0</v>
      </c>
      <c r="H7144" s="591" t="s">
        <v>280</v>
      </c>
      <c r="I7144" s="591" t="s">
        <v>280</v>
      </c>
    </row>
    <row r="7145" spans="1:9">
      <c r="A7145" s="577"/>
      <c r="B7145" s="65">
        <v>7343</v>
      </c>
      <c r="C7145" s="579" t="s">
        <v>281</v>
      </c>
      <c r="D7145" s="579"/>
      <c r="E7145" s="583"/>
      <c r="F7145" s="596"/>
      <c r="G7145" s="65">
        <v>0</v>
      </c>
      <c r="H7145" s="591" t="s">
        <v>280</v>
      </c>
      <c r="I7145" s="591" t="s">
        <v>280</v>
      </c>
    </row>
    <row r="7146" spans="1:9">
      <c r="A7146" s="577"/>
      <c r="B7146" s="65">
        <v>7344</v>
      </c>
      <c r="C7146" s="579" t="s">
        <v>281</v>
      </c>
      <c r="D7146" s="579"/>
      <c r="E7146" s="583"/>
      <c r="F7146" s="596"/>
      <c r="G7146" s="65">
        <v>0</v>
      </c>
      <c r="H7146" s="591" t="s">
        <v>280</v>
      </c>
      <c r="I7146" s="591" t="s">
        <v>280</v>
      </c>
    </row>
    <row r="7147" spans="1:9">
      <c r="A7147" s="577"/>
      <c r="B7147" s="65">
        <v>7345</v>
      </c>
      <c r="C7147" s="579" t="s">
        <v>281</v>
      </c>
      <c r="D7147" s="579"/>
      <c r="E7147" s="583"/>
      <c r="F7147" s="596"/>
      <c r="G7147" s="65">
        <v>0</v>
      </c>
      <c r="H7147" s="591" t="s">
        <v>280</v>
      </c>
      <c r="I7147" s="591" t="s">
        <v>280</v>
      </c>
    </row>
    <row r="7148" spans="1:9">
      <c r="A7148" s="577"/>
      <c r="B7148" s="65">
        <v>7346</v>
      </c>
      <c r="C7148" s="579" t="s">
        <v>281</v>
      </c>
      <c r="D7148" s="579"/>
      <c r="E7148" s="583"/>
      <c r="F7148" s="596"/>
      <c r="G7148" s="65">
        <v>0</v>
      </c>
      <c r="H7148" s="591" t="s">
        <v>280</v>
      </c>
      <c r="I7148" s="591" t="s">
        <v>280</v>
      </c>
    </row>
    <row r="7149" spans="1:9">
      <c r="A7149" s="577"/>
      <c r="B7149" s="65">
        <v>7347</v>
      </c>
      <c r="C7149" s="579" t="s">
        <v>281</v>
      </c>
      <c r="D7149" s="579"/>
      <c r="E7149" s="583"/>
      <c r="F7149" s="596"/>
      <c r="G7149" s="65">
        <v>0</v>
      </c>
      <c r="H7149" s="591" t="s">
        <v>280</v>
      </c>
      <c r="I7149" s="591" t="s">
        <v>280</v>
      </c>
    </row>
    <row r="7150" spans="1:9">
      <c r="A7150" s="577"/>
      <c r="B7150" s="65">
        <v>7348</v>
      </c>
      <c r="C7150" s="579" t="s">
        <v>281</v>
      </c>
      <c r="D7150" s="579"/>
      <c r="E7150" s="583"/>
      <c r="F7150" s="596"/>
      <c r="G7150" s="65">
        <v>0</v>
      </c>
      <c r="H7150" s="591" t="s">
        <v>280</v>
      </c>
      <c r="I7150" s="591" t="s">
        <v>280</v>
      </c>
    </row>
    <row r="7151" spans="1:9">
      <c r="A7151" s="577"/>
      <c r="B7151" s="65">
        <v>7349</v>
      </c>
      <c r="C7151" s="579" t="s">
        <v>281</v>
      </c>
      <c r="D7151" s="579"/>
      <c r="E7151" s="583"/>
      <c r="F7151" s="596"/>
      <c r="G7151" s="65">
        <v>0</v>
      </c>
      <c r="H7151" s="591" t="s">
        <v>280</v>
      </c>
      <c r="I7151" s="591" t="s">
        <v>280</v>
      </c>
    </row>
    <row r="7152" spans="1:9">
      <c r="A7152" s="577"/>
      <c r="B7152" s="65">
        <v>7350</v>
      </c>
      <c r="C7152" s="579" t="s">
        <v>281</v>
      </c>
      <c r="D7152" s="579"/>
      <c r="E7152" s="583"/>
      <c r="F7152" s="596"/>
      <c r="G7152" s="65">
        <v>0</v>
      </c>
      <c r="H7152" s="591" t="s">
        <v>280</v>
      </c>
      <c r="I7152" s="591" t="s">
        <v>280</v>
      </c>
    </row>
    <row r="7153" spans="1:9">
      <c r="A7153" s="577"/>
      <c r="B7153" s="65">
        <v>7351</v>
      </c>
      <c r="C7153" s="579" t="s">
        <v>281</v>
      </c>
      <c r="D7153" s="579"/>
      <c r="E7153" s="583"/>
      <c r="F7153" s="596"/>
      <c r="G7153" s="65">
        <v>0</v>
      </c>
      <c r="H7153" s="591" t="s">
        <v>280</v>
      </c>
      <c r="I7153" s="591" t="s">
        <v>280</v>
      </c>
    </row>
    <row r="7154" spans="1:9">
      <c r="A7154" s="577"/>
      <c r="B7154" s="65">
        <v>7352</v>
      </c>
      <c r="C7154" s="579" t="s">
        <v>281</v>
      </c>
      <c r="D7154" s="579"/>
      <c r="E7154" s="583"/>
      <c r="F7154" s="596"/>
      <c r="G7154" s="65">
        <v>0</v>
      </c>
      <c r="H7154" s="591" t="s">
        <v>280</v>
      </c>
      <c r="I7154" s="591" t="s">
        <v>280</v>
      </c>
    </row>
    <row r="7155" spans="1:9">
      <c r="A7155" s="577"/>
      <c r="B7155" s="65">
        <v>7353</v>
      </c>
      <c r="C7155" s="579" t="s">
        <v>281</v>
      </c>
      <c r="D7155" s="579"/>
      <c r="E7155" s="583"/>
      <c r="F7155" s="596"/>
      <c r="G7155" s="65">
        <v>0</v>
      </c>
      <c r="H7155" s="591" t="s">
        <v>280</v>
      </c>
      <c r="I7155" s="591" t="s">
        <v>280</v>
      </c>
    </row>
    <row r="7156" spans="1:9">
      <c r="A7156" s="577"/>
      <c r="B7156" s="65">
        <v>7354</v>
      </c>
      <c r="C7156" s="579" t="s">
        <v>281</v>
      </c>
      <c r="D7156" s="579"/>
      <c r="E7156" s="583"/>
      <c r="F7156" s="596"/>
      <c r="G7156" s="65">
        <v>0</v>
      </c>
      <c r="H7156" s="591" t="s">
        <v>280</v>
      </c>
      <c r="I7156" s="591" t="s">
        <v>280</v>
      </c>
    </row>
    <row r="7157" spans="1:9">
      <c r="A7157" s="577"/>
      <c r="B7157" s="65">
        <v>7355</v>
      </c>
      <c r="C7157" s="579" t="s">
        <v>281</v>
      </c>
      <c r="D7157" s="579"/>
      <c r="E7157" s="583"/>
      <c r="F7157" s="596"/>
      <c r="G7157" s="65">
        <v>0</v>
      </c>
      <c r="H7157" s="591" t="s">
        <v>280</v>
      </c>
      <c r="I7157" s="591" t="s">
        <v>280</v>
      </c>
    </row>
    <row r="7158" spans="1:9">
      <c r="A7158" s="577"/>
      <c r="B7158" s="65">
        <v>7356</v>
      </c>
      <c r="C7158" s="579" t="s">
        <v>281</v>
      </c>
      <c r="D7158" s="579"/>
      <c r="E7158" s="583"/>
      <c r="F7158" s="596"/>
      <c r="G7158" s="65">
        <v>0</v>
      </c>
      <c r="H7158" s="591" t="s">
        <v>280</v>
      </c>
      <c r="I7158" s="591" t="s">
        <v>280</v>
      </c>
    </row>
    <row r="7159" spans="1:9">
      <c r="A7159" s="577"/>
      <c r="B7159" s="65">
        <v>7357</v>
      </c>
      <c r="C7159" s="579" t="s">
        <v>281</v>
      </c>
      <c r="D7159" s="579"/>
      <c r="E7159" s="583"/>
      <c r="F7159" s="596"/>
      <c r="G7159" s="65">
        <v>0</v>
      </c>
      <c r="H7159" s="591" t="s">
        <v>280</v>
      </c>
      <c r="I7159" s="591" t="s">
        <v>280</v>
      </c>
    </row>
    <row r="7160" spans="1:9">
      <c r="A7160" s="577"/>
      <c r="B7160" s="65">
        <v>7358</v>
      </c>
      <c r="C7160" s="579" t="s">
        <v>281</v>
      </c>
      <c r="D7160" s="579"/>
      <c r="E7160" s="583"/>
      <c r="F7160" s="596"/>
      <c r="G7160" s="65">
        <v>0</v>
      </c>
      <c r="H7160" s="591" t="s">
        <v>280</v>
      </c>
      <c r="I7160" s="591" t="s">
        <v>280</v>
      </c>
    </row>
    <row r="7161" spans="1:9">
      <c r="A7161" s="577"/>
      <c r="B7161" s="65">
        <v>7359</v>
      </c>
      <c r="C7161" s="579" t="s">
        <v>281</v>
      </c>
      <c r="D7161" s="579"/>
      <c r="E7161" s="583"/>
      <c r="F7161" s="596"/>
      <c r="G7161" s="65">
        <v>0</v>
      </c>
      <c r="H7161" s="591" t="s">
        <v>280</v>
      </c>
      <c r="I7161" s="591" t="s">
        <v>280</v>
      </c>
    </row>
    <row r="7162" spans="1:9">
      <c r="A7162" s="577"/>
      <c r="B7162" s="65">
        <v>7360</v>
      </c>
      <c r="C7162" s="579" t="s">
        <v>281</v>
      </c>
      <c r="D7162" s="579"/>
      <c r="E7162" s="583"/>
      <c r="F7162" s="596"/>
      <c r="G7162" s="65">
        <v>0</v>
      </c>
      <c r="H7162" s="591" t="s">
        <v>280</v>
      </c>
      <c r="I7162" s="591" t="s">
        <v>280</v>
      </c>
    </row>
    <row r="7163" spans="1:9">
      <c r="A7163" s="577"/>
      <c r="B7163" s="65">
        <v>7361</v>
      </c>
      <c r="C7163" s="579" t="s">
        <v>281</v>
      </c>
      <c r="D7163" s="579"/>
      <c r="E7163" s="583"/>
      <c r="F7163" s="596"/>
      <c r="G7163" s="65">
        <v>0</v>
      </c>
      <c r="H7163" s="591" t="s">
        <v>280</v>
      </c>
      <c r="I7163" s="591" t="s">
        <v>280</v>
      </c>
    </row>
    <row r="7164" spans="1:9">
      <c r="A7164" s="577"/>
      <c r="B7164" s="65">
        <v>7362</v>
      </c>
      <c r="C7164" s="579" t="s">
        <v>281</v>
      </c>
      <c r="D7164" s="579"/>
      <c r="E7164" s="583"/>
      <c r="F7164" s="596"/>
      <c r="G7164" s="65">
        <v>0</v>
      </c>
      <c r="H7164" s="591" t="s">
        <v>280</v>
      </c>
      <c r="I7164" s="591" t="s">
        <v>280</v>
      </c>
    </row>
    <row r="7165" spans="1:9">
      <c r="A7165" s="577"/>
      <c r="B7165" s="65">
        <v>7363</v>
      </c>
      <c r="C7165" s="579" t="s">
        <v>281</v>
      </c>
      <c r="D7165" s="579"/>
      <c r="E7165" s="583"/>
      <c r="F7165" s="596"/>
      <c r="G7165" s="65">
        <v>0</v>
      </c>
      <c r="H7165" s="591" t="s">
        <v>280</v>
      </c>
      <c r="I7165" s="591" t="s">
        <v>280</v>
      </c>
    </row>
    <row r="7166" spans="1:9">
      <c r="A7166" s="577"/>
      <c r="B7166" s="65">
        <v>7364</v>
      </c>
      <c r="C7166" s="579" t="s">
        <v>281</v>
      </c>
      <c r="D7166" s="579"/>
      <c r="E7166" s="583"/>
      <c r="F7166" s="596"/>
      <c r="G7166" s="65">
        <v>0</v>
      </c>
      <c r="H7166" s="591" t="s">
        <v>280</v>
      </c>
      <c r="I7166" s="591" t="s">
        <v>280</v>
      </c>
    </row>
    <row r="7167" spans="1:9">
      <c r="A7167" s="577"/>
      <c r="B7167" s="65">
        <v>7365</v>
      </c>
      <c r="C7167" s="579" t="s">
        <v>281</v>
      </c>
      <c r="D7167" s="579"/>
      <c r="E7167" s="583"/>
      <c r="F7167" s="596"/>
      <c r="G7167" s="65">
        <v>0</v>
      </c>
      <c r="H7167" s="591" t="s">
        <v>280</v>
      </c>
      <c r="I7167" s="591" t="s">
        <v>280</v>
      </c>
    </row>
    <row r="7168" spans="1:9">
      <c r="A7168" s="577"/>
      <c r="B7168" s="65">
        <v>7366</v>
      </c>
      <c r="C7168" s="579" t="s">
        <v>281</v>
      </c>
      <c r="D7168" s="579"/>
      <c r="E7168" s="583"/>
      <c r="F7168" s="596"/>
      <c r="G7168" s="65">
        <v>0</v>
      </c>
      <c r="H7168" s="591" t="s">
        <v>280</v>
      </c>
      <c r="I7168" s="591" t="s">
        <v>280</v>
      </c>
    </row>
    <row r="7169" spans="1:9">
      <c r="A7169" s="577"/>
      <c r="B7169" s="65">
        <v>7367</v>
      </c>
      <c r="C7169" s="579" t="s">
        <v>281</v>
      </c>
      <c r="D7169" s="579"/>
      <c r="E7169" s="583"/>
      <c r="F7169" s="596"/>
      <c r="G7169" s="65">
        <v>0</v>
      </c>
      <c r="H7169" s="591" t="s">
        <v>280</v>
      </c>
      <c r="I7169" s="591" t="s">
        <v>280</v>
      </c>
    </row>
    <row r="7170" spans="1:9">
      <c r="A7170" s="577"/>
      <c r="B7170" s="65">
        <v>7368</v>
      </c>
      <c r="C7170" s="579" t="s">
        <v>281</v>
      </c>
      <c r="D7170" s="579"/>
      <c r="E7170" s="583"/>
      <c r="F7170" s="596"/>
      <c r="G7170" s="65">
        <v>0</v>
      </c>
      <c r="H7170" s="591" t="s">
        <v>280</v>
      </c>
      <c r="I7170" s="591" t="s">
        <v>280</v>
      </c>
    </row>
    <row r="7171" spans="1:9">
      <c r="A7171" s="577"/>
      <c r="B7171" s="65">
        <v>7369</v>
      </c>
      <c r="C7171" s="579" t="s">
        <v>281</v>
      </c>
      <c r="D7171" s="579"/>
      <c r="E7171" s="583"/>
      <c r="F7171" s="596"/>
      <c r="G7171" s="65">
        <v>0</v>
      </c>
      <c r="H7171" s="591" t="s">
        <v>280</v>
      </c>
      <c r="I7171" s="591" t="s">
        <v>280</v>
      </c>
    </row>
    <row r="7172" spans="1:9">
      <c r="A7172" s="577"/>
      <c r="B7172" s="65">
        <v>7370</v>
      </c>
      <c r="C7172" s="579" t="s">
        <v>281</v>
      </c>
      <c r="D7172" s="579"/>
      <c r="E7172" s="583"/>
      <c r="F7172" s="596"/>
      <c r="G7172" s="65">
        <v>0</v>
      </c>
      <c r="H7172" s="591" t="s">
        <v>280</v>
      </c>
      <c r="I7172" s="591" t="s">
        <v>280</v>
      </c>
    </row>
    <row r="7173" spans="1:9">
      <c r="A7173" s="577"/>
      <c r="B7173" s="65">
        <v>7371</v>
      </c>
      <c r="C7173" s="579" t="s">
        <v>281</v>
      </c>
      <c r="D7173" s="579"/>
      <c r="E7173" s="583"/>
      <c r="F7173" s="596"/>
      <c r="G7173" s="65">
        <v>0</v>
      </c>
      <c r="H7173" s="591" t="s">
        <v>280</v>
      </c>
      <c r="I7173" s="591" t="s">
        <v>280</v>
      </c>
    </row>
    <row r="7174" spans="1:9">
      <c r="A7174" s="577"/>
      <c r="B7174" s="65">
        <v>7372</v>
      </c>
      <c r="C7174" s="579" t="s">
        <v>281</v>
      </c>
      <c r="D7174" s="579"/>
      <c r="E7174" s="583"/>
      <c r="F7174" s="596"/>
      <c r="G7174" s="65">
        <v>0</v>
      </c>
      <c r="H7174" s="591" t="s">
        <v>280</v>
      </c>
      <c r="I7174" s="591" t="s">
        <v>280</v>
      </c>
    </row>
    <row r="7175" spans="1:9">
      <c r="A7175" s="577"/>
      <c r="B7175" s="65">
        <v>7373</v>
      </c>
      <c r="C7175" s="579" t="s">
        <v>281</v>
      </c>
      <c r="D7175" s="579"/>
      <c r="E7175" s="583"/>
      <c r="F7175" s="596"/>
      <c r="G7175" s="65">
        <v>0</v>
      </c>
      <c r="H7175" s="591" t="s">
        <v>280</v>
      </c>
      <c r="I7175" s="591" t="s">
        <v>280</v>
      </c>
    </row>
    <row r="7176" spans="1:9">
      <c r="A7176" s="577"/>
      <c r="B7176" s="65">
        <v>7374</v>
      </c>
      <c r="C7176" s="579" t="s">
        <v>281</v>
      </c>
      <c r="D7176" s="579"/>
      <c r="E7176" s="583"/>
      <c r="F7176" s="596"/>
      <c r="G7176" s="65">
        <v>0</v>
      </c>
      <c r="H7176" s="591" t="s">
        <v>280</v>
      </c>
      <c r="I7176" s="591" t="s">
        <v>280</v>
      </c>
    </row>
    <row r="7177" spans="1:9">
      <c r="A7177" s="577"/>
      <c r="B7177" s="65">
        <v>7375</v>
      </c>
      <c r="C7177" s="579" t="s">
        <v>281</v>
      </c>
      <c r="D7177" s="579"/>
      <c r="E7177" s="583"/>
      <c r="F7177" s="596"/>
      <c r="G7177" s="65">
        <v>0</v>
      </c>
      <c r="H7177" s="591" t="s">
        <v>280</v>
      </c>
      <c r="I7177" s="591" t="s">
        <v>280</v>
      </c>
    </row>
    <row r="7178" spans="1:9">
      <c r="A7178" s="577"/>
      <c r="B7178" s="65">
        <v>7376</v>
      </c>
      <c r="C7178" s="579" t="s">
        <v>281</v>
      </c>
      <c r="D7178" s="579"/>
      <c r="E7178" s="583"/>
      <c r="F7178" s="596"/>
      <c r="G7178" s="65">
        <v>0</v>
      </c>
      <c r="H7178" s="591" t="s">
        <v>280</v>
      </c>
      <c r="I7178" s="591" t="s">
        <v>280</v>
      </c>
    </row>
    <row r="7179" spans="1:9">
      <c r="A7179" s="577"/>
      <c r="B7179" s="65">
        <v>7377</v>
      </c>
      <c r="C7179" s="579" t="s">
        <v>281</v>
      </c>
      <c r="D7179" s="579"/>
      <c r="E7179" s="583"/>
      <c r="F7179" s="596"/>
      <c r="G7179" s="65">
        <v>0</v>
      </c>
      <c r="H7179" s="591" t="s">
        <v>280</v>
      </c>
      <c r="I7179" s="591" t="s">
        <v>280</v>
      </c>
    </row>
    <row r="7180" spans="1:9">
      <c r="A7180" s="577"/>
      <c r="B7180" s="65">
        <v>7378</v>
      </c>
      <c r="C7180" s="579" t="s">
        <v>281</v>
      </c>
      <c r="D7180" s="579"/>
      <c r="E7180" s="583"/>
      <c r="F7180" s="596"/>
      <c r="G7180" s="65">
        <v>0</v>
      </c>
      <c r="H7180" s="591" t="s">
        <v>280</v>
      </c>
      <c r="I7180" s="591" t="s">
        <v>280</v>
      </c>
    </row>
    <row r="7181" spans="1:9">
      <c r="A7181" s="577"/>
      <c r="B7181" s="65">
        <v>7379</v>
      </c>
      <c r="C7181" s="579" t="s">
        <v>281</v>
      </c>
      <c r="D7181" s="579"/>
      <c r="E7181" s="583"/>
      <c r="F7181" s="596"/>
      <c r="G7181" s="65">
        <v>0</v>
      </c>
      <c r="H7181" s="591" t="s">
        <v>280</v>
      </c>
      <c r="I7181" s="591" t="s">
        <v>280</v>
      </c>
    </row>
    <row r="7182" spans="1:9">
      <c r="A7182" s="577"/>
      <c r="B7182" s="65">
        <v>7380</v>
      </c>
      <c r="C7182" s="579" t="s">
        <v>281</v>
      </c>
      <c r="D7182" s="579"/>
      <c r="E7182" s="583"/>
      <c r="F7182" s="596"/>
      <c r="G7182" s="65">
        <v>0</v>
      </c>
      <c r="H7182" s="591" t="s">
        <v>280</v>
      </c>
      <c r="I7182" s="591" t="s">
        <v>280</v>
      </c>
    </row>
    <row r="7183" spans="1:9">
      <c r="A7183" s="577"/>
      <c r="B7183" s="65">
        <v>7381</v>
      </c>
      <c r="C7183" s="579" t="s">
        <v>281</v>
      </c>
      <c r="D7183" s="579"/>
      <c r="E7183" s="583"/>
      <c r="F7183" s="596"/>
      <c r="G7183" s="65">
        <v>0</v>
      </c>
      <c r="H7183" s="591" t="s">
        <v>280</v>
      </c>
      <c r="I7183" s="591" t="s">
        <v>280</v>
      </c>
    </row>
    <row r="7184" spans="1:9">
      <c r="A7184" s="577"/>
      <c r="B7184" s="65">
        <v>7382</v>
      </c>
      <c r="C7184" s="579" t="s">
        <v>281</v>
      </c>
      <c r="D7184" s="579"/>
      <c r="E7184" s="583"/>
      <c r="F7184" s="596"/>
      <c r="G7184" s="65">
        <v>0</v>
      </c>
      <c r="H7184" s="591" t="s">
        <v>280</v>
      </c>
      <c r="I7184" s="591" t="s">
        <v>280</v>
      </c>
    </row>
    <row r="7185" spans="1:9">
      <c r="A7185" s="577"/>
      <c r="B7185" s="65">
        <v>7383</v>
      </c>
      <c r="C7185" s="579" t="s">
        <v>281</v>
      </c>
      <c r="D7185" s="579"/>
      <c r="E7185" s="583"/>
      <c r="F7185" s="596"/>
      <c r="G7185" s="65">
        <v>0</v>
      </c>
      <c r="H7185" s="591" t="s">
        <v>280</v>
      </c>
      <c r="I7185" s="591" t="s">
        <v>280</v>
      </c>
    </row>
    <row r="7186" spans="1:9">
      <c r="A7186" s="577"/>
      <c r="B7186" s="65">
        <v>7384</v>
      </c>
      <c r="C7186" s="579" t="s">
        <v>281</v>
      </c>
      <c r="D7186" s="579"/>
      <c r="E7186" s="583"/>
      <c r="F7186" s="596"/>
      <c r="G7186" s="65">
        <v>0</v>
      </c>
      <c r="H7186" s="591" t="s">
        <v>280</v>
      </c>
      <c r="I7186" s="591" t="s">
        <v>280</v>
      </c>
    </row>
    <row r="7187" spans="1:9">
      <c r="A7187" s="577"/>
      <c r="B7187" s="65">
        <v>7385</v>
      </c>
      <c r="C7187" s="579" t="s">
        <v>281</v>
      </c>
      <c r="D7187" s="579"/>
      <c r="E7187" s="583"/>
      <c r="F7187" s="596"/>
      <c r="G7187" s="65">
        <v>0</v>
      </c>
      <c r="H7187" s="591" t="s">
        <v>280</v>
      </c>
      <c r="I7187" s="591" t="s">
        <v>280</v>
      </c>
    </row>
    <row r="7188" spans="1:9">
      <c r="A7188" s="577"/>
      <c r="B7188" s="65">
        <v>7386</v>
      </c>
      <c r="C7188" s="579" t="s">
        <v>281</v>
      </c>
      <c r="D7188" s="579"/>
      <c r="E7188" s="583"/>
      <c r="F7188" s="596"/>
      <c r="G7188" s="65">
        <v>0</v>
      </c>
      <c r="H7188" s="591" t="s">
        <v>280</v>
      </c>
      <c r="I7188" s="591" t="s">
        <v>280</v>
      </c>
    </row>
    <row r="7189" spans="1:9">
      <c r="A7189" s="577"/>
      <c r="B7189" s="65">
        <v>7387</v>
      </c>
      <c r="C7189" s="579" t="s">
        <v>281</v>
      </c>
      <c r="D7189" s="579"/>
      <c r="E7189" s="583"/>
      <c r="F7189" s="596"/>
      <c r="G7189" s="65">
        <v>0</v>
      </c>
      <c r="H7189" s="591" t="s">
        <v>280</v>
      </c>
      <c r="I7189" s="591" t="s">
        <v>280</v>
      </c>
    </row>
    <row r="7190" spans="1:9">
      <c r="A7190" s="577"/>
      <c r="B7190" s="65">
        <v>7388</v>
      </c>
      <c r="C7190" s="579" t="s">
        <v>281</v>
      </c>
      <c r="D7190" s="579"/>
      <c r="E7190" s="583"/>
      <c r="F7190" s="596"/>
      <c r="G7190" s="65">
        <v>0</v>
      </c>
      <c r="H7190" s="591" t="s">
        <v>280</v>
      </c>
      <c r="I7190" s="591" t="s">
        <v>280</v>
      </c>
    </row>
    <row r="7191" spans="1:9">
      <c r="A7191" s="577"/>
      <c r="B7191" s="65">
        <v>7389</v>
      </c>
      <c r="C7191" s="579" t="s">
        <v>281</v>
      </c>
      <c r="D7191" s="579"/>
      <c r="E7191" s="583"/>
      <c r="F7191" s="596"/>
      <c r="G7191" s="65">
        <v>0</v>
      </c>
      <c r="H7191" s="591" t="s">
        <v>280</v>
      </c>
      <c r="I7191" s="591" t="s">
        <v>280</v>
      </c>
    </row>
    <row r="7192" spans="1:9">
      <c r="A7192" s="577"/>
      <c r="B7192" s="65">
        <v>7390</v>
      </c>
      <c r="C7192" s="579" t="s">
        <v>281</v>
      </c>
      <c r="D7192" s="579"/>
      <c r="E7192" s="583"/>
      <c r="F7192" s="596"/>
      <c r="G7192" s="65">
        <v>0</v>
      </c>
      <c r="H7192" s="591" t="s">
        <v>280</v>
      </c>
      <c r="I7192" s="591" t="s">
        <v>280</v>
      </c>
    </row>
    <row r="7193" spans="1:9">
      <c r="A7193" s="577"/>
      <c r="B7193" s="65">
        <v>7391</v>
      </c>
      <c r="C7193" s="579" t="s">
        <v>281</v>
      </c>
      <c r="D7193" s="579"/>
      <c r="E7193" s="583"/>
      <c r="F7193" s="596"/>
      <c r="G7193" s="65">
        <v>0</v>
      </c>
      <c r="H7193" s="591" t="s">
        <v>280</v>
      </c>
      <c r="I7193" s="591" t="s">
        <v>280</v>
      </c>
    </row>
    <row r="7194" spans="1:9">
      <c r="A7194" s="577"/>
      <c r="B7194" s="65">
        <v>7392</v>
      </c>
      <c r="C7194" s="579" t="s">
        <v>281</v>
      </c>
      <c r="D7194" s="579"/>
      <c r="E7194" s="583"/>
      <c r="F7194" s="596"/>
      <c r="G7194" s="65">
        <v>0</v>
      </c>
      <c r="H7194" s="591" t="s">
        <v>280</v>
      </c>
      <c r="I7194" s="591" t="s">
        <v>280</v>
      </c>
    </row>
    <row r="7195" spans="1:9">
      <c r="A7195" s="577"/>
      <c r="B7195" s="65">
        <v>7393</v>
      </c>
      <c r="C7195" s="579" t="s">
        <v>281</v>
      </c>
      <c r="D7195" s="579"/>
      <c r="E7195" s="583"/>
      <c r="F7195" s="596"/>
      <c r="G7195" s="65">
        <v>0</v>
      </c>
      <c r="H7195" s="591" t="s">
        <v>280</v>
      </c>
      <c r="I7195" s="591" t="s">
        <v>280</v>
      </c>
    </row>
    <row r="7196" spans="1:9">
      <c r="A7196" s="577"/>
      <c r="B7196" s="65">
        <v>7394</v>
      </c>
      <c r="C7196" s="579" t="s">
        <v>281</v>
      </c>
      <c r="D7196" s="579"/>
      <c r="E7196" s="583"/>
      <c r="F7196" s="596"/>
      <c r="G7196" s="65">
        <v>0</v>
      </c>
      <c r="H7196" s="591" t="s">
        <v>280</v>
      </c>
      <c r="I7196" s="591" t="s">
        <v>280</v>
      </c>
    </row>
    <row r="7197" spans="1:9">
      <c r="A7197" s="577"/>
      <c r="B7197" s="65">
        <v>7395</v>
      </c>
      <c r="C7197" s="579" t="s">
        <v>281</v>
      </c>
      <c r="D7197" s="579"/>
      <c r="E7197" s="583"/>
      <c r="F7197" s="596"/>
      <c r="G7197" s="65">
        <v>0</v>
      </c>
      <c r="H7197" s="591" t="s">
        <v>280</v>
      </c>
      <c r="I7197" s="591" t="s">
        <v>280</v>
      </c>
    </row>
    <row r="7198" spans="1:9">
      <c r="A7198" s="577"/>
      <c r="B7198" s="65">
        <v>7396</v>
      </c>
      <c r="C7198" s="579" t="s">
        <v>281</v>
      </c>
      <c r="D7198" s="579"/>
      <c r="E7198" s="583"/>
      <c r="F7198" s="596"/>
      <c r="G7198" s="65">
        <v>0</v>
      </c>
      <c r="H7198" s="591" t="s">
        <v>280</v>
      </c>
      <c r="I7198" s="591" t="s">
        <v>280</v>
      </c>
    </row>
    <row r="7199" spans="1:9">
      <c r="A7199" s="577"/>
      <c r="B7199" s="65">
        <v>7397</v>
      </c>
      <c r="C7199" s="579" t="s">
        <v>281</v>
      </c>
      <c r="D7199" s="579"/>
      <c r="E7199" s="583"/>
      <c r="F7199" s="596"/>
      <c r="G7199" s="65">
        <v>0</v>
      </c>
      <c r="H7199" s="591" t="s">
        <v>280</v>
      </c>
      <c r="I7199" s="591" t="s">
        <v>280</v>
      </c>
    </row>
    <row r="7200" spans="1:9">
      <c r="A7200" s="577"/>
      <c r="B7200" s="65">
        <v>7398</v>
      </c>
      <c r="C7200" s="579" t="s">
        <v>281</v>
      </c>
      <c r="D7200" s="579"/>
      <c r="E7200" s="583"/>
      <c r="F7200" s="596"/>
      <c r="G7200" s="65">
        <v>0</v>
      </c>
      <c r="H7200" s="591" t="s">
        <v>280</v>
      </c>
      <c r="I7200" s="591" t="s">
        <v>280</v>
      </c>
    </row>
    <row r="7201" spans="1:9">
      <c r="A7201" s="577"/>
      <c r="B7201" s="65">
        <v>7399</v>
      </c>
      <c r="C7201" s="579" t="s">
        <v>281</v>
      </c>
      <c r="D7201" s="579"/>
      <c r="E7201" s="583"/>
      <c r="F7201" s="596"/>
      <c r="G7201" s="65">
        <v>0</v>
      </c>
      <c r="H7201" s="591" t="s">
        <v>280</v>
      </c>
      <c r="I7201" s="591" t="s">
        <v>280</v>
      </c>
    </row>
    <row r="7202" spans="1:9">
      <c r="A7202" s="577"/>
      <c r="B7202" s="65">
        <v>7400</v>
      </c>
      <c r="C7202" s="579" t="s">
        <v>281</v>
      </c>
      <c r="D7202" s="579"/>
      <c r="E7202" s="583"/>
      <c r="F7202" s="596"/>
      <c r="G7202" s="65">
        <v>0</v>
      </c>
      <c r="H7202" s="591" t="s">
        <v>280</v>
      </c>
      <c r="I7202" s="591" t="s">
        <v>280</v>
      </c>
    </row>
    <row r="7203" spans="1:9">
      <c r="A7203" s="577"/>
      <c r="B7203" s="65">
        <v>7401</v>
      </c>
      <c r="C7203" s="579" t="s">
        <v>281</v>
      </c>
      <c r="D7203" s="579"/>
      <c r="E7203" s="583"/>
      <c r="F7203" s="596"/>
      <c r="G7203" s="65">
        <v>0</v>
      </c>
      <c r="H7203" s="591" t="s">
        <v>280</v>
      </c>
      <c r="I7203" s="591" t="s">
        <v>280</v>
      </c>
    </row>
    <row r="7204" spans="1:9">
      <c r="A7204" s="577"/>
      <c r="B7204" s="65">
        <v>7402</v>
      </c>
      <c r="C7204" s="579" t="s">
        <v>281</v>
      </c>
      <c r="D7204" s="579"/>
      <c r="E7204" s="583"/>
      <c r="F7204" s="596"/>
      <c r="G7204" s="65">
        <v>0</v>
      </c>
      <c r="H7204" s="591" t="s">
        <v>280</v>
      </c>
      <c r="I7204" s="591" t="s">
        <v>280</v>
      </c>
    </row>
    <row r="7205" spans="1:9">
      <c r="A7205" s="577"/>
      <c r="B7205" s="65">
        <v>7403</v>
      </c>
      <c r="C7205" s="579" t="s">
        <v>281</v>
      </c>
      <c r="D7205" s="579"/>
      <c r="E7205" s="583"/>
      <c r="F7205" s="596"/>
      <c r="G7205" s="65">
        <v>0</v>
      </c>
      <c r="H7205" s="591" t="s">
        <v>280</v>
      </c>
      <c r="I7205" s="591" t="s">
        <v>280</v>
      </c>
    </row>
    <row r="7206" spans="1:9">
      <c r="A7206" s="577"/>
      <c r="B7206" s="65">
        <v>7404</v>
      </c>
      <c r="C7206" s="579" t="s">
        <v>281</v>
      </c>
      <c r="D7206" s="579"/>
      <c r="E7206" s="583"/>
      <c r="F7206" s="596"/>
      <c r="G7206" s="65">
        <v>0</v>
      </c>
      <c r="H7206" s="591" t="s">
        <v>280</v>
      </c>
      <c r="I7206" s="591" t="s">
        <v>280</v>
      </c>
    </row>
    <row r="7207" spans="1:9">
      <c r="A7207" s="577"/>
      <c r="B7207" s="65">
        <v>7405</v>
      </c>
      <c r="C7207" s="579" t="s">
        <v>281</v>
      </c>
      <c r="D7207" s="579"/>
      <c r="E7207" s="583"/>
      <c r="F7207" s="596"/>
      <c r="G7207" s="65">
        <v>0</v>
      </c>
      <c r="H7207" s="591" t="s">
        <v>280</v>
      </c>
      <c r="I7207" s="591" t="s">
        <v>280</v>
      </c>
    </row>
    <row r="7208" spans="1:9">
      <c r="A7208" s="577"/>
      <c r="B7208" s="65">
        <v>7406</v>
      </c>
      <c r="C7208" s="579" t="s">
        <v>281</v>
      </c>
      <c r="D7208" s="579"/>
      <c r="E7208" s="583"/>
      <c r="F7208" s="596"/>
      <c r="G7208" s="65">
        <v>0</v>
      </c>
      <c r="H7208" s="591" t="s">
        <v>280</v>
      </c>
      <c r="I7208" s="591" t="s">
        <v>280</v>
      </c>
    </row>
    <row r="7209" spans="1:9">
      <c r="A7209" s="577"/>
      <c r="B7209" s="65">
        <v>7407</v>
      </c>
      <c r="C7209" s="579" t="s">
        <v>281</v>
      </c>
      <c r="D7209" s="579"/>
      <c r="E7209" s="583"/>
      <c r="F7209" s="596"/>
      <c r="G7209" s="65">
        <v>0</v>
      </c>
      <c r="H7209" s="591" t="s">
        <v>280</v>
      </c>
      <c r="I7209" s="591" t="s">
        <v>280</v>
      </c>
    </row>
    <row r="7210" spans="1:9">
      <c r="A7210" s="577"/>
      <c r="B7210" s="65">
        <v>7408</v>
      </c>
      <c r="C7210" s="579" t="s">
        <v>281</v>
      </c>
      <c r="D7210" s="579"/>
      <c r="E7210" s="583"/>
      <c r="F7210" s="596"/>
      <c r="G7210" s="65">
        <v>0</v>
      </c>
      <c r="H7210" s="591" t="s">
        <v>280</v>
      </c>
      <c r="I7210" s="591" t="s">
        <v>280</v>
      </c>
    </row>
    <row r="7211" spans="1:9">
      <c r="A7211" s="577"/>
      <c r="B7211" s="65">
        <v>7409</v>
      </c>
      <c r="C7211" s="579" t="s">
        <v>281</v>
      </c>
      <c r="D7211" s="579"/>
      <c r="E7211" s="583"/>
      <c r="F7211" s="596"/>
      <c r="G7211" s="65">
        <v>0</v>
      </c>
      <c r="H7211" s="591" t="s">
        <v>280</v>
      </c>
      <c r="I7211" s="591" t="s">
        <v>280</v>
      </c>
    </row>
    <row r="7212" spans="1:9">
      <c r="A7212" s="577"/>
      <c r="B7212" s="65">
        <v>7410</v>
      </c>
      <c r="C7212" s="579" t="s">
        <v>281</v>
      </c>
      <c r="D7212" s="579"/>
      <c r="E7212" s="583"/>
      <c r="F7212" s="596"/>
      <c r="G7212" s="65">
        <v>0</v>
      </c>
      <c r="H7212" s="591" t="s">
        <v>280</v>
      </c>
      <c r="I7212" s="591" t="s">
        <v>280</v>
      </c>
    </row>
    <row r="7213" spans="1:9">
      <c r="A7213" s="577"/>
      <c r="B7213" s="65">
        <v>7411</v>
      </c>
      <c r="C7213" s="579" t="s">
        <v>281</v>
      </c>
      <c r="D7213" s="579"/>
      <c r="E7213" s="583"/>
      <c r="F7213" s="596"/>
      <c r="G7213" s="65">
        <v>0</v>
      </c>
      <c r="H7213" s="591" t="s">
        <v>280</v>
      </c>
      <c r="I7213" s="591" t="s">
        <v>280</v>
      </c>
    </row>
    <row r="7214" spans="1:9">
      <c r="A7214" s="577"/>
      <c r="B7214" s="65">
        <v>7412</v>
      </c>
      <c r="C7214" s="579" t="s">
        <v>281</v>
      </c>
      <c r="D7214" s="579"/>
      <c r="E7214" s="583"/>
      <c r="F7214" s="596"/>
      <c r="G7214" s="65">
        <v>0</v>
      </c>
      <c r="H7214" s="591" t="s">
        <v>280</v>
      </c>
      <c r="I7214" s="591" t="s">
        <v>280</v>
      </c>
    </row>
    <row r="7215" spans="1:9">
      <c r="A7215" s="577"/>
      <c r="B7215" s="65">
        <v>7413</v>
      </c>
      <c r="C7215" s="579" t="s">
        <v>281</v>
      </c>
      <c r="D7215" s="579"/>
      <c r="E7215" s="583"/>
      <c r="F7215" s="596"/>
      <c r="G7215" s="65">
        <v>0</v>
      </c>
      <c r="H7215" s="591" t="s">
        <v>280</v>
      </c>
      <c r="I7215" s="591" t="s">
        <v>280</v>
      </c>
    </row>
    <row r="7216" spans="1:9">
      <c r="A7216" s="577"/>
      <c r="B7216" s="65">
        <v>7414</v>
      </c>
      <c r="C7216" s="579" t="s">
        <v>281</v>
      </c>
      <c r="D7216" s="579"/>
      <c r="E7216" s="583"/>
      <c r="F7216" s="596"/>
      <c r="G7216" s="65">
        <v>0</v>
      </c>
      <c r="H7216" s="591" t="s">
        <v>280</v>
      </c>
      <c r="I7216" s="591" t="s">
        <v>280</v>
      </c>
    </row>
    <row r="7217" spans="1:9">
      <c r="A7217" s="577"/>
      <c r="B7217" s="65">
        <v>7415</v>
      </c>
      <c r="C7217" s="579" t="s">
        <v>281</v>
      </c>
      <c r="D7217" s="579"/>
      <c r="E7217" s="583"/>
      <c r="F7217" s="596"/>
      <c r="G7217" s="65">
        <v>0</v>
      </c>
      <c r="H7217" s="591" t="s">
        <v>280</v>
      </c>
      <c r="I7217" s="591" t="s">
        <v>280</v>
      </c>
    </row>
    <row r="7218" spans="1:9">
      <c r="A7218" s="577"/>
      <c r="B7218" s="65">
        <v>7416</v>
      </c>
      <c r="C7218" s="579" t="s">
        <v>281</v>
      </c>
      <c r="D7218" s="579"/>
      <c r="E7218" s="583"/>
      <c r="F7218" s="596"/>
      <c r="G7218" s="65">
        <v>0</v>
      </c>
      <c r="H7218" s="591" t="s">
        <v>280</v>
      </c>
      <c r="I7218" s="591" t="s">
        <v>280</v>
      </c>
    </row>
    <row r="7219" spans="1:9">
      <c r="A7219" s="577"/>
      <c r="B7219" s="65">
        <v>7417</v>
      </c>
      <c r="C7219" s="579" t="s">
        <v>281</v>
      </c>
      <c r="D7219" s="579"/>
      <c r="E7219" s="583"/>
      <c r="F7219" s="596"/>
      <c r="G7219" s="65">
        <v>0</v>
      </c>
      <c r="H7219" s="591" t="s">
        <v>280</v>
      </c>
      <c r="I7219" s="591" t="s">
        <v>280</v>
      </c>
    </row>
    <row r="7220" spans="1:9">
      <c r="A7220" s="577"/>
      <c r="B7220" s="65">
        <v>7418</v>
      </c>
      <c r="C7220" s="579" t="s">
        <v>281</v>
      </c>
      <c r="D7220" s="579"/>
      <c r="E7220" s="583"/>
      <c r="F7220" s="596"/>
      <c r="G7220" s="65">
        <v>0</v>
      </c>
      <c r="H7220" s="591" t="s">
        <v>280</v>
      </c>
      <c r="I7220" s="591" t="s">
        <v>280</v>
      </c>
    </row>
    <row r="7221" spans="1:9">
      <c r="A7221" s="577"/>
      <c r="B7221" s="65">
        <v>7419</v>
      </c>
      <c r="C7221" s="579" t="s">
        <v>281</v>
      </c>
      <c r="D7221" s="579"/>
      <c r="E7221" s="583"/>
      <c r="F7221" s="596"/>
      <c r="G7221" s="65">
        <v>0</v>
      </c>
      <c r="H7221" s="591" t="s">
        <v>280</v>
      </c>
      <c r="I7221" s="591" t="s">
        <v>280</v>
      </c>
    </row>
    <row r="7222" spans="1:9">
      <c r="A7222" s="577"/>
      <c r="B7222" s="65">
        <v>7420</v>
      </c>
      <c r="C7222" s="579" t="s">
        <v>281</v>
      </c>
      <c r="D7222" s="579"/>
      <c r="E7222" s="583"/>
      <c r="F7222" s="596"/>
      <c r="G7222" s="65">
        <v>0</v>
      </c>
      <c r="H7222" s="591" t="s">
        <v>280</v>
      </c>
      <c r="I7222" s="591" t="s">
        <v>280</v>
      </c>
    </row>
    <row r="7223" spans="1:9">
      <c r="A7223" s="577"/>
      <c r="B7223" s="65">
        <v>7421</v>
      </c>
      <c r="C7223" s="579" t="s">
        <v>281</v>
      </c>
      <c r="D7223" s="579"/>
      <c r="E7223" s="583"/>
      <c r="F7223" s="596"/>
      <c r="G7223" s="65">
        <v>0</v>
      </c>
      <c r="H7223" s="591" t="s">
        <v>280</v>
      </c>
      <c r="I7223" s="591" t="s">
        <v>280</v>
      </c>
    </row>
    <row r="7224" spans="1:9">
      <c r="A7224" s="577"/>
      <c r="B7224" s="65">
        <v>7422</v>
      </c>
      <c r="C7224" s="579" t="s">
        <v>281</v>
      </c>
      <c r="D7224" s="579"/>
      <c r="E7224" s="583"/>
      <c r="F7224" s="596"/>
      <c r="G7224" s="65">
        <v>0</v>
      </c>
      <c r="H7224" s="591" t="s">
        <v>280</v>
      </c>
      <c r="I7224" s="591" t="s">
        <v>280</v>
      </c>
    </row>
    <row r="7225" spans="1:9">
      <c r="A7225" s="577"/>
      <c r="B7225" s="65">
        <v>7423</v>
      </c>
      <c r="C7225" s="579" t="s">
        <v>281</v>
      </c>
      <c r="D7225" s="579"/>
      <c r="E7225" s="583"/>
      <c r="F7225" s="596"/>
      <c r="G7225" s="65">
        <v>0</v>
      </c>
      <c r="H7225" s="591" t="s">
        <v>280</v>
      </c>
      <c r="I7225" s="591" t="s">
        <v>280</v>
      </c>
    </row>
    <row r="7226" spans="1:9">
      <c r="A7226" s="577"/>
      <c r="B7226" s="65">
        <v>7424</v>
      </c>
      <c r="C7226" s="579" t="s">
        <v>281</v>
      </c>
      <c r="D7226" s="579"/>
      <c r="E7226" s="583"/>
      <c r="F7226" s="596"/>
      <c r="G7226" s="65">
        <v>0</v>
      </c>
      <c r="H7226" s="591" t="s">
        <v>280</v>
      </c>
      <c r="I7226" s="591" t="s">
        <v>280</v>
      </c>
    </row>
    <row r="7227" spans="1:9">
      <c r="A7227" s="577"/>
      <c r="B7227" s="65">
        <v>7425</v>
      </c>
      <c r="C7227" s="579" t="s">
        <v>281</v>
      </c>
      <c r="D7227" s="579"/>
      <c r="E7227" s="583"/>
      <c r="F7227" s="596"/>
      <c r="G7227" s="65">
        <v>0</v>
      </c>
      <c r="H7227" s="591" t="s">
        <v>280</v>
      </c>
      <c r="I7227" s="591" t="s">
        <v>280</v>
      </c>
    </row>
    <row r="7228" spans="1:9">
      <c r="A7228" s="577"/>
      <c r="B7228" s="65">
        <v>7426</v>
      </c>
      <c r="C7228" s="579" t="s">
        <v>281</v>
      </c>
      <c r="D7228" s="579"/>
      <c r="E7228" s="583"/>
      <c r="F7228" s="596"/>
      <c r="G7228" s="65">
        <v>0</v>
      </c>
      <c r="H7228" s="591" t="s">
        <v>280</v>
      </c>
      <c r="I7228" s="591" t="s">
        <v>280</v>
      </c>
    </row>
    <row r="7229" spans="1:9">
      <c r="A7229" s="577"/>
      <c r="B7229" s="65">
        <v>7427</v>
      </c>
      <c r="C7229" s="579" t="s">
        <v>281</v>
      </c>
      <c r="D7229" s="579"/>
      <c r="E7229" s="583"/>
      <c r="F7229" s="596"/>
      <c r="G7229" s="65">
        <v>0</v>
      </c>
      <c r="H7229" s="591" t="s">
        <v>280</v>
      </c>
      <c r="I7229" s="591" t="s">
        <v>280</v>
      </c>
    </row>
    <row r="7230" spans="1:9">
      <c r="A7230" s="577"/>
      <c r="B7230" s="65">
        <v>7428</v>
      </c>
      <c r="C7230" s="579" t="s">
        <v>281</v>
      </c>
      <c r="D7230" s="579"/>
      <c r="E7230" s="583"/>
      <c r="F7230" s="596"/>
      <c r="G7230" s="65">
        <v>0</v>
      </c>
      <c r="H7230" s="591" t="s">
        <v>280</v>
      </c>
      <c r="I7230" s="591" t="s">
        <v>280</v>
      </c>
    </row>
    <row r="7231" spans="1:9">
      <c r="A7231" s="577"/>
      <c r="B7231" s="65">
        <v>7429</v>
      </c>
      <c r="C7231" s="579" t="s">
        <v>281</v>
      </c>
      <c r="D7231" s="579"/>
      <c r="E7231" s="583"/>
      <c r="F7231" s="596"/>
      <c r="G7231" s="65">
        <v>0</v>
      </c>
      <c r="H7231" s="591" t="s">
        <v>280</v>
      </c>
      <c r="I7231" s="591" t="s">
        <v>280</v>
      </c>
    </row>
    <row r="7232" spans="1:9">
      <c r="A7232" s="577"/>
      <c r="B7232" s="65">
        <v>7430</v>
      </c>
      <c r="C7232" s="579" t="s">
        <v>281</v>
      </c>
      <c r="D7232" s="579"/>
      <c r="E7232" s="583"/>
      <c r="F7232" s="596"/>
      <c r="G7232" s="65">
        <v>0</v>
      </c>
      <c r="H7232" s="591" t="s">
        <v>280</v>
      </c>
      <c r="I7232" s="591" t="s">
        <v>280</v>
      </c>
    </row>
    <row r="7233" spans="1:9">
      <c r="A7233" s="577"/>
      <c r="B7233" s="65">
        <v>7431</v>
      </c>
      <c r="C7233" s="579" t="s">
        <v>281</v>
      </c>
      <c r="D7233" s="579"/>
      <c r="E7233" s="583"/>
      <c r="F7233" s="596"/>
      <c r="G7233" s="65">
        <v>0</v>
      </c>
      <c r="H7233" s="591" t="s">
        <v>280</v>
      </c>
      <c r="I7233" s="591" t="s">
        <v>280</v>
      </c>
    </row>
    <row r="7234" spans="1:9">
      <c r="A7234" s="577"/>
      <c r="B7234" s="65">
        <v>7432</v>
      </c>
      <c r="C7234" s="579" t="s">
        <v>281</v>
      </c>
      <c r="D7234" s="579"/>
      <c r="E7234" s="583"/>
      <c r="F7234" s="596"/>
      <c r="G7234" s="65">
        <v>0</v>
      </c>
      <c r="H7234" s="591" t="s">
        <v>280</v>
      </c>
      <c r="I7234" s="591" t="s">
        <v>280</v>
      </c>
    </row>
    <row r="7235" spans="1:9">
      <c r="A7235" s="577"/>
      <c r="B7235" s="65">
        <v>7433</v>
      </c>
      <c r="C7235" s="579" t="s">
        <v>281</v>
      </c>
      <c r="D7235" s="579"/>
      <c r="E7235" s="583"/>
      <c r="F7235" s="596"/>
      <c r="G7235" s="65">
        <v>0</v>
      </c>
      <c r="H7235" s="591" t="s">
        <v>280</v>
      </c>
      <c r="I7235" s="591" t="s">
        <v>280</v>
      </c>
    </row>
    <row r="7236" spans="1:9">
      <c r="A7236" s="577"/>
      <c r="B7236" s="65">
        <v>7434</v>
      </c>
      <c r="C7236" s="579" t="s">
        <v>281</v>
      </c>
      <c r="D7236" s="579"/>
      <c r="E7236" s="583"/>
      <c r="F7236" s="596"/>
      <c r="G7236" s="65">
        <v>0</v>
      </c>
      <c r="H7236" s="591" t="s">
        <v>280</v>
      </c>
      <c r="I7236" s="591" t="s">
        <v>280</v>
      </c>
    </row>
    <row r="7237" spans="1:9">
      <c r="A7237" s="577"/>
      <c r="B7237" s="65">
        <v>7435</v>
      </c>
      <c r="C7237" s="579" t="s">
        <v>281</v>
      </c>
      <c r="D7237" s="579"/>
      <c r="E7237" s="583"/>
      <c r="F7237" s="596"/>
      <c r="G7237" s="65">
        <v>0</v>
      </c>
      <c r="H7237" s="591" t="s">
        <v>280</v>
      </c>
      <c r="I7237" s="591" t="s">
        <v>280</v>
      </c>
    </row>
    <row r="7238" spans="1:9">
      <c r="A7238" s="577"/>
      <c r="B7238" s="65">
        <v>7436</v>
      </c>
      <c r="C7238" s="579" t="s">
        <v>281</v>
      </c>
      <c r="D7238" s="579"/>
      <c r="E7238" s="583"/>
      <c r="F7238" s="596"/>
      <c r="G7238" s="65">
        <v>0</v>
      </c>
      <c r="H7238" s="591" t="s">
        <v>280</v>
      </c>
      <c r="I7238" s="591" t="s">
        <v>280</v>
      </c>
    </row>
    <row r="7239" spans="1:9">
      <c r="A7239" s="577"/>
      <c r="B7239" s="65">
        <v>7437</v>
      </c>
      <c r="C7239" s="579" t="s">
        <v>281</v>
      </c>
      <c r="D7239" s="579"/>
      <c r="E7239" s="583"/>
      <c r="F7239" s="596"/>
      <c r="G7239" s="65">
        <v>0</v>
      </c>
      <c r="H7239" s="591" t="s">
        <v>280</v>
      </c>
      <c r="I7239" s="591" t="s">
        <v>280</v>
      </c>
    </row>
    <row r="7240" spans="1:9">
      <c r="A7240" s="577"/>
      <c r="B7240" s="65">
        <v>7438</v>
      </c>
      <c r="C7240" s="579" t="s">
        <v>281</v>
      </c>
      <c r="D7240" s="579"/>
      <c r="E7240" s="583"/>
      <c r="F7240" s="596"/>
      <c r="G7240" s="65">
        <v>0</v>
      </c>
      <c r="H7240" s="591" t="s">
        <v>280</v>
      </c>
      <c r="I7240" s="591" t="s">
        <v>280</v>
      </c>
    </row>
    <row r="7241" spans="1:9">
      <c r="A7241" s="577"/>
      <c r="B7241" s="65">
        <v>7439</v>
      </c>
      <c r="C7241" s="579" t="s">
        <v>281</v>
      </c>
      <c r="D7241" s="579"/>
      <c r="E7241" s="583"/>
      <c r="F7241" s="596"/>
      <c r="G7241" s="65">
        <v>0</v>
      </c>
      <c r="H7241" s="591" t="s">
        <v>280</v>
      </c>
      <c r="I7241" s="591" t="s">
        <v>280</v>
      </c>
    </row>
    <row r="7242" spans="1:9">
      <c r="A7242" s="577"/>
      <c r="B7242" s="65">
        <v>7440</v>
      </c>
      <c r="C7242" s="579" t="s">
        <v>281</v>
      </c>
      <c r="D7242" s="579"/>
      <c r="E7242" s="583"/>
      <c r="F7242" s="596"/>
      <c r="G7242" s="65">
        <v>0</v>
      </c>
      <c r="H7242" s="591" t="s">
        <v>280</v>
      </c>
      <c r="I7242" s="591" t="s">
        <v>280</v>
      </c>
    </row>
    <row r="7243" spans="1:9">
      <c r="A7243" s="577"/>
      <c r="B7243" s="65">
        <v>7441</v>
      </c>
      <c r="C7243" s="579" t="s">
        <v>281</v>
      </c>
      <c r="D7243" s="579"/>
      <c r="E7243" s="583"/>
      <c r="F7243" s="596"/>
      <c r="G7243" s="65">
        <v>0</v>
      </c>
      <c r="H7243" s="591" t="s">
        <v>280</v>
      </c>
      <c r="I7243" s="591" t="s">
        <v>280</v>
      </c>
    </row>
    <row r="7244" spans="1:9">
      <c r="A7244" s="577"/>
      <c r="B7244" s="65">
        <v>7442</v>
      </c>
      <c r="C7244" s="579" t="s">
        <v>281</v>
      </c>
      <c r="D7244" s="579"/>
      <c r="E7244" s="583"/>
      <c r="F7244" s="596"/>
      <c r="G7244" s="65">
        <v>0</v>
      </c>
      <c r="H7244" s="591" t="s">
        <v>280</v>
      </c>
      <c r="I7244" s="591" t="s">
        <v>280</v>
      </c>
    </row>
    <row r="7245" spans="1:9">
      <c r="A7245" s="577"/>
      <c r="B7245" s="65">
        <v>7443</v>
      </c>
      <c r="C7245" s="579" t="s">
        <v>281</v>
      </c>
      <c r="D7245" s="579"/>
      <c r="E7245" s="583"/>
      <c r="F7245" s="596"/>
      <c r="G7245" s="65">
        <v>0</v>
      </c>
      <c r="H7245" s="591" t="s">
        <v>280</v>
      </c>
      <c r="I7245" s="591" t="s">
        <v>280</v>
      </c>
    </row>
    <row r="7246" spans="1:9">
      <c r="A7246" s="577"/>
      <c r="B7246" s="65">
        <v>7444</v>
      </c>
      <c r="C7246" s="579" t="s">
        <v>281</v>
      </c>
      <c r="D7246" s="579"/>
      <c r="E7246" s="583"/>
      <c r="F7246" s="596"/>
      <c r="G7246" s="65">
        <v>0</v>
      </c>
      <c r="H7246" s="591" t="s">
        <v>280</v>
      </c>
      <c r="I7246" s="591" t="s">
        <v>280</v>
      </c>
    </row>
    <row r="7247" spans="1:9">
      <c r="A7247" s="577"/>
      <c r="B7247" s="65">
        <v>7445</v>
      </c>
      <c r="C7247" s="579" t="s">
        <v>281</v>
      </c>
      <c r="D7247" s="579"/>
      <c r="E7247" s="583"/>
      <c r="F7247" s="596"/>
      <c r="G7247" s="65">
        <v>0</v>
      </c>
      <c r="H7247" s="591" t="s">
        <v>280</v>
      </c>
      <c r="I7247" s="591" t="s">
        <v>280</v>
      </c>
    </row>
    <row r="7248" spans="1:9">
      <c r="A7248" s="577"/>
      <c r="B7248" s="65">
        <v>7446</v>
      </c>
      <c r="C7248" s="579" t="s">
        <v>281</v>
      </c>
      <c r="D7248" s="579"/>
      <c r="E7248" s="583"/>
      <c r="F7248" s="596"/>
      <c r="G7248" s="65">
        <v>0</v>
      </c>
      <c r="H7248" s="591" t="s">
        <v>280</v>
      </c>
      <c r="I7248" s="591" t="s">
        <v>280</v>
      </c>
    </row>
    <row r="7249" spans="1:9">
      <c r="A7249" s="577"/>
      <c r="B7249" s="65">
        <v>7447</v>
      </c>
      <c r="C7249" s="579" t="s">
        <v>281</v>
      </c>
      <c r="D7249" s="579"/>
      <c r="E7249" s="583"/>
      <c r="F7249" s="596"/>
      <c r="G7249" s="65">
        <v>0</v>
      </c>
      <c r="H7249" s="591" t="s">
        <v>280</v>
      </c>
      <c r="I7249" s="591" t="s">
        <v>280</v>
      </c>
    </row>
    <row r="7250" spans="1:9">
      <c r="A7250" s="577"/>
      <c r="B7250" s="65">
        <v>7448</v>
      </c>
      <c r="C7250" s="579" t="s">
        <v>281</v>
      </c>
      <c r="D7250" s="579"/>
      <c r="E7250" s="583"/>
      <c r="F7250" s="596"/>
      <c r="G7250" s="65">
        <v>0</v>
      </c>
      <c r="H7250" s="591" t="s">
        <v>280</v>
      </c>
      <c r="I7250" s="591" t="s">
        <v>280</v>
      </c>
    </row>
    <row r="7251" spans="1:9">
      <c r="A7251" s="577"/>
      <c r="B7251" s="65">
        <v>7449</v>
      </c>
      <c r="C7251" s="579" t="s">
        <v>281</v>
      </c>
      <c r="D7251" s="579"/>
      <c r="E7251" s="583"/>
      <c r="F7251" s="596"/>
      <c r="G7251" s="65">
        <v>0</v>
      </c>
      <c r="H7251" s="591" t="s">
        <v>280</v>
      </c>
      <c r="I7251" s="591" t="s">
        <v>280</v>
      </c>
    </row>
    <row r="7252" spans="1:9">
      <c r="A7252" s="577"/>
      <c r="B7252" s="65">
        <v>7450</v>
      </c>
      <c r="C7252" s="579" t="s">
        <v>281</v>
      </c>
      <c r="D7252" s="579"/>
      <c r="E7252" s="583"/>
      <c r="F7252" s="596"/>
      <c r="G7252" s="65">
        <v>0</v>
      </c>
      <c r="H7252" s="591" t="s">
        <v>280</v>
      </c>
      <c r="I7252" s="591" t="s">
        <v>280</v>
      </c>
    </row>
    <row r="7253" spans="1:9">
      <c r="A7253" s="577"/>
      <c r="B7253" s="65">
        <v>7451</v>
      </c>
      <c r="C7253" s="579" t="s">
        <v>281</v>
      </c>
      <c r="D7253" s="579"/>
      <c r="E7253" s="583"/>
      <c r="F7253" s="596"/>
      <c r="G7253" s="65">
        <v>0</v>
      </c>
      <c r="H7253" s="591" t="s">
        <v>280</v>
      </c>
      <c r="I7253" s="591" t="s">
        <v>280</v>
      </c>
    </row>
    <row r="7254" spans="1:9">
      <c r="A7254" s="577"/>
      <c r="B7254" s="65">
        <v>7452</v>
      </c>
      <c r="C7254" s="579" t="s">
        <v>281</v>
      </c>
      <c r="D7254" s="579"/>
      <c r="E7254" s="583"/>
      <c r="F7254" s="596"/>
      <c r="G7254" s="65">
        <v>0</v>
      </c>
      <c r="H7254" s="591" t="s">
        <v>280</v>
      </c>
      <c r="I7254" s="591" t="s">
        <v>280</v>
      </c>
    </row>
    <row r="7255" spans="1:9">
      <c r="A7255" s="577"/>
      <c r="B7255" s="65">
        <v>7453</v>
      </c>
      <c r="C7255" s="579" t="s">
        <v>281</v>
      </c>
      <c r="D7255" s="579"/>
      <c r="E7255" s="583"/>
      <c r="F7255" s="596"/>
      <c r="G7255" s="65">
        <v>0</v>
      </c>
      <c r="H7255" s="591" t="s">
        <v>280</v>
      </c>
      <c r="I7255" s="591" t="s">
        <v>280</v>
      </c>
    </row>
    <row r="7256" spans="1:9">
      <c r="A7256" s="577"/>
      <c r="B7256" s="65">
        <v>7454</v>
      </c>
      <c r="C7256" s="579" t="s">
        <v>281</v>
      </c>
      <c r="D7256" s="579"/>
      <c r="E7256" s="583"/>
      <c r="F7256" s="596"/>
      <c r="G7256" s="65">
        <v>0</v>
      </c>
      <c r="H7256" s="591" t="s">
        <v>280</v>
      </c>
      <c r="I7256" s="591" t="s">
        <v>280</v>
      </c>
    </row>
    <row r="7257" spans="1:9">
      <c r="A7257" s="577"/>
      <c r="B7257" s="65">
        <v>7455</v>
      </c>
      <c r="C7257" s="579" t="s">
        <v>281</v>
      </c>
      <c r="D7257" s="579"/>
      <c r="E7257" s="583"/>
      <c r="F7257" s="596"/>
      <c r="G7257" s="65">
        <v>0</v>
      </c>
      <c r="H7257" s="591" t="s">
        <v>280</v>
      </c>
      <c r="I7257" s="591" t="s">
        <v>280</v>
      </c>
    </row>
    <row r="7258" spans="1:9">
      <c r="A7258" s="577"/>
      <c r="B7258" s="65">
        <v>7456</v>
      </c>
      <c r="C7258" s="579" t="s">
        <v>281</v>
      </c>
      <c r="D7258" s="579"/>
      <c r="E7258" s="583"/>
      <c r="F7258" s="596"/>
      <c r="G7258" s="65">
        <v>0</v>
      </c>
      <c r="H7258" s="591" t="s">
        <v>280</v>
      </c>
      <c r="I7258" s="591" t="s">
        <v>280</v>
      </c>
    </row>
    <row r="7259" spans="1:9">
      <c r="A7259" s="577"/>
      <c r="B7259" s="65">
        <v>7457</v>
      </c>
      <c r="C7259" s="579" t="s">
        <v>281</v>
      </c>
      <c r="D7259" s="579"/>
      <c r="E7259" s="583"/>
      <c r="F7259" s="596"/>
      <c r="G7259" s="65">
        <v>0</v>
      </c>
      <c r="H7259" s="591" t="s">
        <v>280</v>
      </c>
      <c r="I7259" s="591" t="s">
        <v>280</v>
      </c>
    </row>
    <row r="7260" spans="1:9">
      <c r="A7260" s="577"/>
      <c r="B7260" s="65">
        <v>7458</v>
      </c>
      <c r="C7260" s="579" t="s">
        <v>281</v>
      </c>
      <c r="D7260" s="579"/>
      <c r="E7260" s="583"/>
      <c r="F7260" s="596"/>
      <c r="G7260" s="65">
        <v>0</v>
      </c>
      <c r="H7260" s="591" t="s">
        <v>280</v>
      </c>
      <c r="I7260" s="591" t="s">
        <v>280</v>
      </c>
    </row>
    <row r="7261" spans="1:9">
      <c r="A7261" s="577"/>
      <c r="B7261" s="65">
        <v>7459</v>
      </c>
      <c r="C7261" s="579" t="s">
        <v>281</v>
      </c>
      <c r="D7261" s="579"/>
      <c r="E7261" s="583"/>
      <c r="F7261" s="596"/>
      <c r="G7261" s="65">
        <v>0</v>
      </c>
      <c r="H7261" s="591" t="s">
        <v>280</v>
      </c>
      <c r="I7261" s="591" t="s">
        <v>280</v>
      </c>
    </row>
    <row r="7262" spans="1:9">
      <c r="A7262" s="577"/>
      <c r="B7262" s="65">
        <v>7460</v>
      </c>
      <c r="C7262" s="579" t="s">
        <v>281</v>
      </c>
      <c r="D7262" s="579"/>
      <c r="E7262" s="583"/>
      <c r="F7262" s="596"/>
      <c r="G7262" s="65">
        <v>0</v>
      </c>
      <c r="H7262" s="591" t="s">
        <v>280</v>
      </c>
      <c r="I7262" s="591" t="s">
        <v>280</v>
      </c>
    </row>
    <row r="7263" spans="1:9">
      <c r="A7263" s="577"/>
      <c r="B7263" s="65">
        <v>7461</v>
      </c>
      <c r="C7263" s="579" t="s">
        <v>281</v>
      </c>
      <c r="D7263" s="579"/>
      <c r="E7263" s="583"/>
      <c r="F7263" s="596"/>
      <c r="G7263" s="65">
        <v>0</v>
      </c>
      <c r="H7263" s="591" t="s">
        <v>280</v>
      </c>
      <c r="I7263" s="591" t="s">
        <v>280</v>
      </c>
    </row>
    <row r="7264" spans="1:9">
      <c r="A7264" s="577"/>
      <c r="B7264" s="65">
        <v>7462</v>
      </c>
      <c r="C7264" s="579" t="s">
        <v>281</v>
      </c>
      <c r="D7264" s="579"/>
      <c r="E7264" s="583"/>
      <c r="F7264" s="596"/>
      <c r="G7264" s="65">
        <v>0</v>
      </c>
      <c r="H7264" s="591" t="s">
        <v>280</v>
      </c>
      <c r="I7264" s="591" t="s">
        <v>280</v>
      </c>
    </row>
    <row r="7265" spans="1:9">
      <c r="A7265" s="577"/>
      <c r="B7265" s="65">
        <v>7463</v>
      </c>
      <c r="C7265" s="579" t="s">
        <v>281</v>
      </c>
      <c r="D7265" s="579"/>
      <c r="E7265" s="583"/>
      <c r="F7265" s="596"/>
      <c r="G7265" s="65">
        <v>0</v>
      </c>
      <c r="H7265" s="591" t="s">
        <v>280</v>
      </c>
      <c r="I7265" s="591" t="s">
        <v>280</v>
      </c>
    </row>
    <row r="7266" spans="1:9">
      <c r="A7266" s="577"/>
      <c r="B7266" s="65">
        <v>7464</v>
      </c>
      <c r="C7266" s="579" t="s">
        <v>281</v>
      </c>
      <c r="D7266" s="579"/>
      <c r="E7266" s="583"/>
      <c r="F7266" s="596"/>
      <c r="G7266" s="65">
        <v>0</v>
      </c>
      <c r="H7266" s="591" t="s">
        <v>280</v>
      </c>
      <c r="I7266" s="591" t="s">
        <v>280</v>
      </c>
    </row>
    <row r="7267" spans="1:9">
      <c r="A7267" s="577"/>
      <c r="B7267" s="65">
        <v>7465</v>
      </c>
      <c r="C7267" s="579" t="s">
        <v>281</v>
      </c>
      <c r="D7267" s="579"/>
      <c r="E7267" s="583"/>
      <c r="F7267" s="596"/>
      <c r="G7267" s="65">
        <v>0</v>
      </c>
      <c r="H7267" s="591" t="s">
        <v>280</v>
      </c>
      <c r="I7267" s="591" t="s">
        <v>280</v>
      </c>
    </row>
    <row r="7268" spans="1:9">
      <c r="A7268" s="577"/>
      <c r="B7268" s="65">
        <v>7466</v>
      </c>
      <c r="C7268" s="579" t="s">
        <v>281</v>
      </c>
      <c r="D7268" s="579"/>
      <c r="E7268" s="583"/>
      <c r="F7268" s="596"/>
      <c r="G7268" s="65">
        <v>0</v>
      </c>
      <c r="H7268" s="591" t="s">
        <v>280</v>
      </c>
      <c r="I7268" s="591" t="s">
        <v>280</v>
      </c>
    </row>
    <row r="7269" spans="1:9">
      <c r="A7269" s="577"/>
      <c r="B7269" s="65">
        <v>7467</v>
      </c>
      <c r="C7269" s="579" t="s">
        <v>281</v>
      </c>
      <c r="D7269" s="579"/>
      <c r="E7269" s="583"/>
      <c r="F7269" s="596"/>
      <c r="G7269" s="65">
        <v>0</v>
      </c>
      <c r="H7269" s="591" t="s">
        <v>280</v>
      </c>
      <c r="I7269" s="591" t="s">
        <v>280</v>
      </c>
    </row>
    <row r="7270" spans="1:9">
      <c r="A7270" s="577"/>
      <c r="B7270" s="65">
        <v>7468</v>
      </c>
      <c r="C7270" s="579" t="s">
        <v>281</v>
      </c>
      <c r="D7270" s="579"/>
      <c r="E7270" s="583"/>
      <c r="F7270" s="596"/>
      <c r="G7270" s="65">
        <v>0</v>
      </c>
      <c r="H7270" s="591" t="s">
        <v>280</v>
      </c>
      <c r="I7270" s="591" t="s">
        <v>280</v>
      </c>
    </row>
    <row r="7271" spans="1:9">
      <c r="A7271" s="577"/>
      <c r="B7271" s="65">
        <v>7469</v>
      </c>
      <c r="C7271" s="579" t="s">
        <v>281</v>
      </c>
      <c r="D7271" s="579"/>
      <c r="E7271" s="583"/>
      <c r="F7271" s="596"/>
      <c r="G7271" s="65">
        <v>0</v>
      </c>
      <c r="H7271" s="591" t="s">
        <v>280</v>
      </c>
      <c r="I7271" s="591" t="s">
        <v>280</v>
      </c>
    </row>
    <row r="7272" spans="1:9">
      <c r="A7272" s="577"/>
      <c r="B7272" s="65">
        <v>7470</v>
      </c>
      <c r="C7272" s="579" t="s">
        <v>281</v>
      </c>
      <c r="D7272" s="579"/>
      <c r="E7272" s="583"/>
      <c r="F7272" s="596"/>
      <c r="G7272" s="65">
        <v>0</v>
      </c>
      <c r="H7272" s="591" t="s">
        <v>280</v>
      </c>
      <c r="I7272" s="591" t="s">
        <v>280</v>
      </c>
    </row>
    <row r="7273" spans="1:9">
      <c r="A7273" s="577"/>
      <c r="B7273" s="65">
        <v>7471</v>
      </c>
      <c r="C7273" s="579" t="s">
        <v>281</v>
      </c>
      <c r="D7273" s="579"/>
      <c r="E7273" s="583"/>
      <c r="F7273" s="596"/>
      <c r="G7273" s="65">
        <v>0</v>
      </c>
      <c r="H7273" s="591" t="s">
        <v>280</v>
      </c>
      <c r="I7273" s="591" t="s">
        <v>280</v>
      </c>
    </row>
    <row r="7274" spans="1:9">
      <c r="A7274" s="577"/>
      <c r="B7274" s="65">
        <v>7472</v>
      </c>
      <c r="C7274" s="579" t="s">
        <v>281</v>
      </c>
      <c r="D7274" s="579"/>
      <c r="E7274" s="583"/>
      <c r="F7274" s="596"/>
      <c r="G7274" s="65">
        <v>0</v>
      </c>
      <c r="H7274" s="591" t="s">
        <v>280</v>
      </c>
      <c r="I7274" s="591" t="s">
        <v>280</v>
      </c>
    </row>
    <row r="7275" spans="1:9">
      <c r="A7275" s="577"/>
      <c r="B7275" s="65">
        <v>7473</v>
      </c>
      <c r="C7275" s="579" t="s">
        <v>281</v>
      </c>
      <c r="D7275" s="579"/>
      <c r="E7275" s="583"/>
      <c r="F7275" s="596"/>
      <c r="G7275" s="65">
        <v>0</v>
      </c>
      <c r="H7275" s="591" t="s">
        <v>280</v>
      </c>
      <c r="I7275" s="591" t="s">
        <v>280</v>
      </c>
    </row>
    <row r="7276" spans="1:9">
      <c r="A7276" s="577"/>
      <c r="B7276" s="65">
        <v>7474</v>
      </c>
      <c r="C7276" s="579" t="s">
        <v>281</v>
      </c>
      <c r="D7276" s="579"/>
      <c r="E7276" s="583"/>
      <c r="F7276" s="596"/>
      <c r="G7276" s="65">
        <v>0</v>
      </c>
      <c r="H7276" s="591" t="s">
        <v>280</v>
      </c>
      <c r="I7276" s="591" t="s">
        <v>280</v>
      </c>
    </row>
    <row r="7277" spans="1:9">
      <c r="A7277" s="577"/>
      <c r="B7277" s="65">
        <v>7475</v>
      </c>
      <c r="C7277" s="579" t="s">
        <v>281</v>
      </c>
      <c r="D7277" s="579"/>
      <c r="E7277" s="583"/>
      <c r="F7277" s="596"/>
      <c r="G7277" s="65">
        <v>0</v>
      </c>
      <c r="H7277" s="591" t="s">
        <v>280</v>
      </c>
      <c r="I7277" s="591" t="s">
        <v>280</v>
      </c>
    </row>
    <row r="7278" spans="1:9">
      <c r="A7278" s="577"/>
      <c r="B7278" s="65">
        <v>7476</v>
      </c>
      <c r="C7278" s="579" t="s">
        <v>281</v>
      </c>
      <c r="D7278" s="579"/>
      <c r="E7278" s="583"/>
      <c r="F7278" s="596"/>
      <c r="G7278" s="65">
        <v>0</v>
      </c>
      <c r="H7278" s="591" t="s">
        <v>280</v>
      </c>
      <c r="I7278" s="591" t="s">
        <v>280</v>
      </c>
    </row>
    <row r="7279" spans="1:9">
      <c r="A7279" s="577"/>
      <c r="B7279" s="65">
        <v>7477</v>
      </c>
      <c r="C7279" s="579" t="s">
        <v>281</v>
      </c>
      <c r="D7279" s="579"/>
      <c r="E7279" s="583"/>
      <c r="F7279" s="596"/>
      <c r="G7279" s="65">
        <v>0</v>
      </c>
      <c r="H7279" s="591" t="s">
        <v>280</v>
      </c>
      <c r="I7279" s="591" t="s">
        <v>280</v>
      </c>
    </row>
    <row r="7280" spans="1:9">
      <c r="A7280" s="577"/>
      <c r="B7280" s="65">
        <v>7478</v>
      </c>
      <c r="C7280" s="579" t="s">
        <v>281</v>
      </c>
      <c r="D7280" s="579"/>
      <c r="E7280" s="583"/>
      <c r="F7280" s="596"/>
      <c r="G7280" s="65">
        <v>0</v>
      </c>
      <c r="H7280" s="591" t="s">
        <v>280</v>
      </c>
      <c r="I7280" s="591" t="s">
        <v>280</v>
      </c>
    </row>
    <row r="7281" spans="1:9">
      <c r="A7281" s="577"/>
      <c r="B7281" s="65">
        <v>7479</v>
      </c>
      <c r="C7281" s="579" t="s">
        <v>281</v>
      </c>
      <c r="D7281" s="579"/>
      <c r="E7281" s="583"/>
      <c r="F7281" s="596"/>
      <c r="G7281" s="65">
        <v>0</v>
      </c>
      <c r="H7281" s="591" t="s">
        <v>280</v>
      </c>
      <c r="I7281" s="591" t="s">
        <v>280</v>
      </c>
    </row>
    <row r="7282" spans="1:9">
      <c r="A7282" s="577"/>
      <c r="B7282" s="65">
        <v>7480</v>
      </c>
      <c r="C7282" s="579" t="s">
        <v>281</v>
      </c>
      <c r="D7282" s="579"/>
      <c r="E7282" s="583"/>
      <c r="F7282" s="596"/>
      <c r="G7282" s="65">
        <v>0</v>
      </c>
      <c r="H7282" s="591" t="s">
        <v>280</v>
      </c>
      <c r="I7282" s="591" t="s">
        <v>280</v>
      </c>
    </row>
    <row r="7283" spans="1:9">
      <c r="A7283" s="577"/>
      <c r="B7283" s="65">
        <v>7481</v>
      </c>
      <c r="C7283" s="579" t="s">
        <v>281</v>
      </c>
      <c r="D7283" s="579"/>
      <c r="E7283" s="583"/>
      <c r="F7283" s="596"/>
      <c r="G7283" s="65">
        <v>0</v>
      </c>
      <c r="H7283" s="591" t="s">
        <v>280</v>
      </c>
      <c r="I7283" s="591" t="s">
        <v>280</v>
      </c>
    </row>
    <row r="7284" spans="1:9">
      <c r="A7284" s="577"/>
      <c r="B7284" s="65">
        <v>7482</v>
      </c>
      <c r="C7284" s="579" t="s">
        <v>281</v>
      </c>
      <c r="D7284" s="579"/>
      <c r="E7284" s="583"/>
      <c r="F7284" s="596"/>
      <c r="G7284" s="65">
        <v>0</v>
      </c>
      <c r="H7284" s="591" t="s">
        <v>280</v>
      </c>
      <c r="I7284" s="591" t="s">
        <v>280</v>
      </c>
    </row>
    <row r="7285" spans="1:9">
      <c r="A7285" s="577"/>
      <c r="B7285" s="65">
        <v>7483</v>
      </c>
      <c r="C7285" s="579" t="s">
        <v>281</v>
      </c>
      <c r="D7285" s="579"/>
      <c r="E7285" s="583"/>
      <c r="F7285" s="596"/>
      <c r="G7285" s="65">
        <v>0</v>
      </c>
      <c r="H7285" s="591" t="s">
        <v>280</v>
      </c>
      <c r="I7285" s="591" t="s">
        <v>280</v>
      </c>
    </row>
    <row r="7286" spans="1:9">
      <c r="A7286" s="577"/>
      <c r="B7286" s="65">
        <v>7484</v>
      </c>
      <c r="C7286" s="579" t="s">
        <v>281</v>
      </c>
      <c r="D7286" s="579"/>
      <c r="E7286" s="583"/>
      <c r="F7286" s="596"/>
      <c r="G7286" s="65">
        <v>0</v>
      </c>
      <c r="H7286" s="591" t="s">
        <v>280</v>
      </c>
      <c r="I7286" s="591" t="s">
        <v>280</v>
      </c>
    </row>
    <row r="7287" spans="1:9">
      <c r="A7287" s="577"/>
      <c r="B7287" s="65">
        <v>7485</v>
      </c>
      <c r="C7287" s="579" t="s">
        <v>281</v>
      </c>
      <c r="D7287" s="579"/>
      <c r="E7287" s="583"/>
      <c r="F7287" s="596"/>
      <c r="G7287" s="65">
        <v>0</v>
      </c>
      <c r="H7287" s="591" t="s">
        <v>280</v>
      </c>
      <c r="I7287" s="591" t="s">
        <v>280</v>
      </c>
    </row>
    <row r="7288" spans="1:9">
      <c r="A7288" s="577"/>
      <c r="B7288" s="65">
        <v>7486</v>
      </c>
      <c r="C7288" s="579" t="s">
        <v>281</v>
      </c>
      <c r="D7288" s="579"/>
      <c r="E7288" s="583"/>
      <c r="F7288" s="596"/>
      <c r="G7288" s="65">
        <v>0</v>
      </c>
      <c r="H7288" s="591" t="s">
        <v>280</v>
      </c>
      <c r="I7288" s="591" t="s">
        <v>280</v>
      </c>
    </row>
    <row r="7289" spans="1:9">
      <c r="A7289" s="577"/>
      <c r="B7289" s="65">
        <v>7487</v>
      </c>
      <c r="C7289" s="579" t="s">
        <v>281</v>
      </c>
      <c r="D7289" s="579"/>
      <c r="E7289" s="583"/>
      <c r="F7289" s="596"/>
      <c r="G7289" s="65">
        <v>0</v>
      </c>
      <c r="H7289" s="591" t="s">
        <v>280</v>
      </c>
      <c r="I7289" s="591" t="s">
        <v>280</v>
      </c>
    </row>
    <row r="7290" spans="1:9">
      <c r="A7290" s="577"/>
      <c r="B7290" s="65">
        <v>7488</v>
      </c>
      <c r="C7290" s="579" t="s">
        <v>281</v>
      </c>
      <c r="D7290" s="579"/>
      <c r="E7290" s="583"/>
      <c r="F7290" s="596"/>
      <c r="G7290" s="65">
        <v>0</v>
      </c>
      <c r="H7290" s="591" t="s">
        <v>280</v>
      </c>
      <c r="I7290" s="591" t="s">
        <v>280</v>
      </c>
    </row>
    <row r="7291" spans="1:9">
      <c r="A7291" s="577"/>
      <c r="B7291" s="65">
        <v>7489</v>
      </c>
      <c r="C7291" s="579" t="s">
        <v>281</v>
      </c>
      <c r="D7291" s="579"/>
      <c r="E7291" s="583"/>
      <c r="F7291" s="596"/>
      <c r="G7291" s="65">
        <v>0</v>
      </c>
      <c r="H7291" s="591" t="s">
        <v>280</v>
      </c>
      <c r="I7291" s="591" t="s">
        <v>280</v>
      </c>
    </row>
    <row r="7292" spans="1:9">
      <c r="A7292" s="577"/>
      <c r="B7292" s="65">
        <v>7490</v>
      </c>
      <c r="C7292" s="579" t="s">
        <v>281</v>
      </c>
      <c r="D7292" s="579"/>
      <c r="E7292" s="583"/>
      <c r="F7292" s="596"/>
      <c r="G7292" s="65">
        <v>0</v>
      </c>
      <c r="H7292" s="591" t="s">
        <v>280</v>
      </c>
      <c r="I7292" s="591" t="s">
        <v>280</v>
      </c>
    </row>
    <row r="7293" spans="1:9">
      <c r="A7293" s="577"/>
      <c r="B7293" s="65">
        <v>7491</v>
      </c>
      <c r="C7293" s="579" t="s">
        <v>281</v>
      </c>
      <c r="D7293" s="579"/>
      <c r="E7293" s="583"/>
      <c r="F7293" s="596"/>
      <c r="G7293" s="65">
        <v>0</v>
      </c>
      <c r="H7293" s="591" t="s">
        <v>280</v>
      </c>
      <c r="I7293" s="591" t="s">
        <v>280</v>
      </c>
    </row>
    <row r="7294" spans="1:9">
      <c r="A7294" s="577"/>
      <c r="B7294" s="65">
        <v>7492</v>
      </c>
      <c r="C7294" s="579" t="s">
        <v>281</v>
      </c>
      <c r="D7294" s="579"/>
      <c r="E7294" s="583"/>
      <c r="F7294" s="596"/>
      <c r="G7294" s="65">
        <v>0</v>
      </c>
      <c r="H7294" s="591" t="s">
        <v>280</v>
      </c>
      <c r="I7294" s="591" t="s">
        <v>280</v>
      </c>
    </row>
    <row r="7295" spans="1:9">
      <c r="A7295" s="577"/>
      <c r="B7295" s="65">
        <v>7493</v>
      </c>
      <c r="C7295" s="579" t="s">
        <v>281</v>
      </c>
      <c r="D7295" s="579"/>
      <c r="E7295" s="583"/>
      <c r="F7295" s="596"/>
      <c r="G7295" s="65">
        <v>0</v>
      </c>
      <c r="H7295" s="591" t="s">
        <v>280</v>
      </c>
      <c r="I7295" s="591" t="s">
        <v>280</v>
      </c>
    </row>
    <row r="7296" spans="1:9">
      <c r="A7296" s="577"/>
      <c r="B7296" s="65">
        <v>7494</v>
      </c>
      <c r="C7296" s="579" t="s">
        <v>281</v>
      </c>
      <c r="D7296" s="579"/>
      <c r="E7296" s="583"/>
      <c r="F7296" s="596"/>
      <c r="G7296" s="65">
        <v>0</v>
      </c>
      <c r="H7296" s="591" t="s">
        <v>280</v>
      </c>
      <c r="I7296" s="591" t="s">
        <v>280</v>
      </c>
    </row>
    <row r="7297" spans="1:9">
      <c r="A7297" s="577"/>
      <c r="B7297" s="65">
        <v>7495</v>
      </c>
      <c r="C7297" s="579" t="s">
        <v>281</v>
      </c>
      <c r="D7297" s="579"/>
      <c r="E7297" s="583"/>
      <c r="F7297" s="596"/>
      <c r="G7297" s="65">
        <v>0</v>
      </c>
      <c r="H7297" s="591" t="s">
        <v>280</v>
      </c>
      <c r="I7297" s="591" t="s">
        <v>280</v>
      </c>
    </row>
    <row r="7298" spans="1:9">
      <c r="A7298" s="577"/>
      <c r="B7298" s="65">
        <v>7496</v>
      </c>
      <c r="C7298" s="579" t="s">
        <v>281</v>
      </c>
      <c r="D7298" s="579"/>
      <c r="E7298" s="583"/>
      <c r="F7298" s="596"/>
      <c r="G7298" s="65">
        <v>0</v>
      </c>
      <c r="H7298" s="591" t="s">
        <v>280</v>
      </c>
      <c r="I7298" s="591" t="s">
        <v>280</v>
      </c>
    </row>
    <row r="7299" spans="1:9">
      <c r="A7299" s="577"/>
      <c r="B7299" s="65">
        <v>7497</v>
      </c>
      <c r="C7299" s="579" t="s">
        <v>281</v>
      </c>
      <c r="D7299" s="579"/>
      <c r="E7299" s="583"/>
      <c r="F7299" s="596"/>
      <c r="G7299" s="65">
        <v>0</v>
      </c>
      <c r="H7299" s="591" t="s">
        <v>280</v>
      </c>
      <c r="I7299" s="591" t="s">
        <v>280</v>
      </c>
    </row>
    <row r="7300" spans="1:9">
      <c r="A7300" s="577"/>
      <c r="B7300" s="65">
        <v>7498</v>
      </c>
      <c r="C7300" s="579" t="s">
        <v>281</v>
      </c>
      <c r="D7300" s="579"/>
      <c r="E7300" s="583"/>
      <c r="F7300" s="596"/>
      <c r="G7300" s="65">
        <v>0</v>
      </c>
      <c r="H7300" s="591" t="s">
        <v>280</v>
      </c>
      <c r="I7300" s="591" t="s">
        <v>280</v>
      </c>
    </row>
    <row r="7301" spans="1:9">
      <c r="A7301" s="577"/>
      <c r="B7301" s="65">
        <v>7499</v>
      </c>
      <c r="C7301" s="579" t="s">
        <v>281</v>
      </c>
      <c r="D7301" s="579"/>
      <c r="E7301" s="583"/>
      <c r="F7301" s="596"/>
      <c r="G7301" s="65">
        <v>0</v>
      </c>
      <c r="H7301" s="591" t="s">
        <v>280</v>
      </c>
      <c r="I7301" s="591" t="s">
        <v>280</v>
      </c>
    </row>
    <row r="7302" spans="1:9">
      <c r="A7302" s="577"/>
      <c r="B7302" s="65">
        <v>7500</v>
      </c>
      <c r="C7302" s="579" t="s">
        <v>281</v>
      </c>
      <c r="D7302" s="579"/>
      <c r="E7302" s="583"/>
      <c r="F7302" s="596"/>
      <c r="G7302" s="65">
        <v>0</v>
      </c>
      <c r="H7302" s="591" t="s">
        <v>280</v>
      </c>
      <c r="I7302" s="591" t="s">
        <v>280</v>
      </c>
    </row>
    <row r="7303" spans="1:9">
      <c r="A7303" s="577"/>
      <c r="B7303" s="65">
        <v>7501</v>
      </c>
      <c r="C7303" s="579" t="s">
        <v>281</v>
      </c>
      <c r="D7303" s="579"/>
      <c r="E7303" s="583"/>
      <c r="F7303" s="596"/>
      <c r="G7303" s="65">
        <v>0</v>
      </c>
      <c r="H7303" s="591" t="s">
        <v>280</v>
      </c>
      <c r="I7303" s="591" t="s">
        <v>280</v>
      </c>
    </row>
    <row r="7304" spans="1:9">
      <c r="A7304" s="577"/>
      <c r="B7304" s="65">
        <v>7502</v>
      </c>
      <c r="C7304" s="579" t="s">
        <v>281</v>
      </c>
      <c r="D7304" s="579"/>
      <c r="E7304" s="583"/>
      <c r="F7304" s="596"/>
      <c r="G7304" s="65">
        <v>0</v>
      </c>
      <c r="H7304" s="591" t="s">
        <v>280</v>
      </c>
      <c r="I7304" s="591" t="s">
        <v>280</v>
      </c>
    </row>
    <row r="7305" spans="1:9">
      <c r="A7305" s="577"/>
      <c r="B7305" s="65">
        <v>7503</v>
      </c>
      <c r="C7305" s="579" t="s">
        <v>281</v>
      </c>
      <c r="D7305" s="579"/>
      <c r="E7305" s="583"/>
      <c r="F7305" s="596"/>
      <c r="G7305" s="65">
        <v>0</v>
      </c>
      <c r="H7305" s="591" t="s">
        <v>280</v>
      </c>
      <c r="I7305" s="591" t="s">
        <v>280</v>
      </c>
    </row>
    <row r="7306" spans="1:9">
      <c r="A7306" s="577"/>
      <c r="B7306" s="65">
        <v>7504</v>
      </c>
      <c r="C7306" s="579" t="s">
        <v>281</v>
      </c>
      <c r="D7306" s="579"/>
      <c r="E7306" s="583"/>
      <c r="F7306" s="596"/>
      <c r="G7306" s="65">
        <v>0</v>
      </c>
      <c r="H7306" s="591" t="s">
        <v>280</v>
      </c>
      <c r="I7306" s="591" t="s">
        <v>280</v>
      </c>
    </row>
    <row r="7307" spans="1:9">
      <c r="A7307" s="577"/>
      <c r="B7307" s="65">
        <v>7505</v>
      </c>
      <c r="C7307" s="579" t="s">
        <v>281</v>
      </c>
      <c r="D7307" s="579"/>
      <c r="E7307" s="583"/>
      <c r="F7307" s="596"/>
      <c r="G7307" s="65">
        <v>0</v>
      </c>
      <c r="H7307" s="591" t="s">
        <v>280</v>
      </c>
      <c r="I7307" s="591" t="s">
        <v>280</v>
      </c>
    </row>
    <row r="7308" spans="1:9">
      <c r="A7308" s="577"/>
      <c r="B7308" s="65">
        <v>7506</v>
      </c>
      <c r="C7308" s="579" t="s">
        <v>281</v>
      </c>
      <c r="D7308" s="579"/>
      <c r="E7308" s="583"/>
      <c r="F7308" s="596"/>
      <c r="G7308" s="65">
        <v>0</v>
      </c>
      <c r="H7308" s="591" t="s">
        <v>280</v>
      </c>
      <c r="I7308" s="591" t="s">
        <v>280</v>
      </c>
    </row>
    <row r="7309" spans="1:9">
      <c r="A7309" s="577"/>
      <c r="B7309" s="65">
        <v>7507</v>
      </c>
      <c r="C7309" s="579" t="s">
        <v>281</v>
      </c>
      <c r="D7309" s="579"/>
      <c r="E7309" s="583"/>
      <c r="F7309" s="596"/>
      <c r="G7309" s="65">
        <v>0</v>
      </c>
      <c r="H7309" s="591" t="s">
        <v>280</v>
      </c>
      <c r="I7309" s="591" t="s">
        <v>280</v>
      </c>
    </row>
    <row r="7310" spans="1:9">
      <c r="A7310" s="577"/>
      <c r="B7310" s="65">
        <v>7508</v>
      </c>
      <c r="C7310" s="579" t="s">
        <v>281</v>
      </c>
      <c r="D7310" s="579"/>
      <c r="E7310" s="583"/>
      <c r="F7310" s="596"/>
      <c r="G7310" s="65">
        <v>0</v>
      </c>
      <c r="H7310" s="591" t="s">
        <v>280</v>
      </c>
      <c r="I7310" s="591" t="s">
        <v>280</v>
      </c>
    </row>
    <row r="7311" spans="1:9">
      <c r="A7311" s="577"/>
      <c r="B7311" s="65">
        <v>7509</v>
      </c>
      <c r="C7311" s="579" t="s">
        <v>281</v>
      </c>
      <c r="D7311" s="579"/>
      <c r="E7311" s="583"/>
      <c r="F7311" s="596"/>
      <c r="G7311" s="65">
        <v>0</v>
      </c>
      <c r="H7311" s="591" t="s">
        <v>280</v>
      </c>
      <c r="I7311" s="591" t="s">
        <v>280</v>
      </c>
    </row>
    <row r="7312" spans="1:9">
      <c r="A7312" s="577"/>
      <c r="B7312" s="65">
        <v>7510</v>
      </c>
      <c r="C7312" s="579" t="s">
        <v>281</v>
      </c>
      <c r="D7312" s="579"/>
      <c r="E7312" s="583"/>
      <c r="F7312" s="596"/>
      <c r="G7312" s="65">
        <v>0</v>
      </c>
      <c r="H7312" s="591" t="s">
        <v>280</v>
      </c>
      <c r="I7312" s="591" t="s">
        <v>280</v>
      </c>
    </row>
    <row r="7313" spans="1:9">
      <c r="A7313" s="577"/>
      <c r="B7313" s="65">
        <v>7511</v>
      </c>
      <c r="C7313" s="579" t="s">
        <v>281</v>
      </c>
      <c r="D7313" s="579"/>
      <c r="E7313" s="583"/>
      <c r="F7313" s="596"/>
      <c r="G7313" s="65">
        <v>0</v>
      </c>
      <c r="H7313" s="591" t="s">
        <v>280</v>
      </c>
      <c r="I7313" s="591" t="s">
        <v>280</v>
      </c>
    </row>
    <row r="7314" spans="1:9">
      <c r="A7314" s="577"/>
      <c r="B7314" s="65">
        <v>7512</v>
      </c>
      <c r="C7314" s="579" t="s">
        <v>281</v>
      </c>
      <c r="D7314" s="579"/>
      <c r="E7314" s="583"/>
      <c r="F7314" s="596"/>
      <c r="G7314" s="65">
        <v>0</v>
      </c>
      <c r="H7314" s="591" t="s">
        <v>280</v>
      </c>
      <c r="I7314" s="591" t="s">
        <v>280</v>
      </c>
    </row>
    <row r="7315" spans="1:9">
      <c r="A7315" s="577"/>
      <c r="B7315" s="65">
        <v>7513</v>
      </c>
      <c r="C7315" s="579" t="s">
        <v>281</v>
      </c>
      <c r="D7315" s="579"/>
      <c r="E7315" s="583"/>
      <c r="F7315" s="596"/>
      <c r="G7315" s="65">
        <v>0</v>
      </c>
      <c r="H7315" s="591" t="s">
        <v>280</v>
      </c>
      <c r="I7315" s="591" t="s">
        <v>280</v>
      </c>
    </row>
    <row r="7316" spans="1:9">
      <c r="A7316" s="577"/>
      <c r="B7316" s="65">
        <v>7514</v>
      </c>
      <c r="C7316" s="579" t="s">
        <v>281</v>
      </c>
      <c r="D7316" s="579"/>
      <c r="E7316" s="583"/>
      <c r="F7316" s="596"/>
      <c r="G7316" s="65">
        <v>0</v>
      </c>
      <c r="H7316" s="591" t="s">
        <v>280</v>
      </c>
      <c r="I7316" s="591" t="s">
        <v>280</v>
      </c>
    </row>
    <row r="7317" spans="1:9">
      <c r="A7317" s="577"/>
      <c r="B7317" s="65">
        <v>7515</v>
      </c>
      <c r="C7317" s="579" t="s">
        <v>281</v>
      </c>
      <c r="D7317" s="579"/>
      <c r="E7317" s="583"/>
      <c r="F7317" s="596"/>
      <c r="G7317" s="65">
        <v>0</v>
      </c>
      <c r="H7317" s="591" t="s">
        <v>280</v>
      </c>
      <c r="I7317" s="591" t="s">
        <v>280</v>
      </c>
    </row>
    <row r="7318" spans="1:9">
      <c r="A7318" s="577"/>
      <c r="B7318" s="65">
        <v>7516</v>
      </c>
      <c r="C7318" s="579" t="s">
        <v>281</v>
      </c>
      <c r="D7318" s="579"/>
      <c r="E7318" s="583"/>
      <c r="F7318" s="596"/>
      <c r="G7318" s="65">
        <v>0</v>
      </c>
      <c r="H7318" s="591" t="s">
        <v>280</v>
      </c>
      <c r="I7318" s="591" t="s">
        <v>280</v>
      </c>
    </row>
    <row r="7319" spans="1:9">
      <c r="A7319" s="577"/>
      <c r="B7319" s="65">
        <v>7517</v>
      </c>
      <c r="C7319" s="579" t="s">
        <v>281</v>
      </c>
      <c r="D7319" s="579"/>
      <c r="E7319" s="583"/>
      <c r="F7319" s="596"/>
      <c r="G7319" s="65">
        <v>0</v>
      </c>
      <c r="H7319" s="591" t="s">
        <v>280</v>
      </c>
      <c r="I7319" s="591" t="s">
        <v>280</v>
      </c>
    </row>
    <row r="7320" spans="1:9">
      <c r="A7320" s="577"/>
      <c r="B7320" s="65">
        <v>7518</v>
      </c>
      <c r="C7320" s="579" t="s">
        <v>281</v>
      </c>
      <c r="D7320" s="579"/>
      <c r="E7320" s="583"/>
      <c r="F7320" s="596"/>
      <c r="G7320" s="65">
        <v>0</v>
      </c>
      <c r="H7320" s="591" t="s">
        <v>280</v>
      </c>
      <c r="I7320" s="591" t="s">
        <v>280</v>
      </c>
    </row>
    <row r="7321" spans="1:9">
      <c r="A7321" s="577"/>
      <c r="B7321" s="65">
        <v>7519</v>
      </c>
      <c r="C7321" s="579" t="s">
        <v>281</v>
      </c>
      <c r="D7321" s="579"/>
      <c r="E7321" s="583"/>
      <c r="F7321" s="596"/>
      <c r="G7321" s="65">
        <v>0</v>
      </c>
      <c r="H7321" s="591" t="s">
        <v>280</v>
      </c>
      <c r="I7321" s="591" t="s">
        <v>280</v>
      </c>
    </row>
    <row r="7322" spans="1:9">
      <c r="A7322" s="577"/>
      <c r="B7322" s="65">
        <v>7520</v>
      </c>
      <c r="C7322" s="579" t="s">
        <v>281</v>
      </c>
      <c r="D7322" s="579"/>
      <c r="E7322" s="583"/>
      <c r="F7322" s="596"/>
      <c r="G7322" s="65">
        <v>0</v>
      </c>
      <c r="H7322" s="591" t="s">
        <v>280</v>
      </c>
      <c r="I7322" s="591" t="s">
        <v>280</v>
      </c>
    </row>
    <row r="7323" spans="1:9">
      <c r="A7323" s="577"/>
      <c r="B7323" s="65">
        <v>7521</v>
      </c>
      <c r="C7323" s="579" t="s">
        <v>281</v>
      </c>
      <c r="D7323" s="579"/>
      <c r="E7323" s="583"/>
      <c r="F7323" s="596"/>
      <c r="G7323" s="65">
        <v>0</v>
      </c>
      <c r="H7323" s="591" t="s">
        <v>280</v>
      </c>
      <c r="I7323" s="591" t="s">
        <v>280</v>
      </c>
    </row>
    <row r="7324" spans="1:9">
      <c r="A7324" s="577"/>
      <c r="B7324" s="65">
        <v>7522</v>
      </c>
      <c r="C7324" s="579" t="s">
        <v>281</v>
      </c>
      <c r="D7324" s="579"/>
      <c r="E7324" s="583"/>
      <c r="F7324" s="596"/>
      <c r="G7324" s="65">
        <v>0</v>
      </c>
      <c r="H7324" s="591" t="s">
        <v>280</v>
      </c>
      <c r="I7324" s="591" t="s">
        <v>280</v>
      </c>
    </row>
    <row r="7325" spans="1:9">
      <c r="A7325" s="577"/>
      <c r="B7325" s="65">
        <v>7523</v>
      </c>
      <c r="C7325" s="579" t="s">
        <v>281</v>
      </c>
      <c r="D7325" s="579"/>
      <c r="E7325" s="583"/>
      <c r="F7325" s="596"/>
      <c r="G7325" s="65">
        <v>0</v>
      </c>
      <c r="H7325" s="591" t="s">
        <v>280</v>
      </c>
      <c r="I7325" s="591" t="s">
        <v>280</v>
      </c>
    </row>
    <row r="7326" spans="1:9">
      <c r="A7326" s="577"/>
      <c r="B7326" s="65">
        <v>7524</v>
      </c>
      <c r="C7326" s="579" t="s">
        <v>281</v>
      </c>
      <c r="D7326" s="579"/>
      <c r="E7326" s="583"/>
      <c r="F7326" s="596"/>
      <c r="G7326" s="65">
        <v>0</v>
      </c>
      <c r="H7326" s="591" t="s">
        <v>280</v>
      </c>
      <c r="I7326" s="591" t="s">
        <v>280</v>
      </c>
    </row>
    <row r="7327" spans="1:9">
      <c r="A7327" s="577"/>
      <c r="B7327" s="65">
        <v>7525</v>
      </c>
      <c r="C7327" s="579" t="s">
        <v>281</v>
      </c>
      <c r="D7327" s="579"/>
      <c r="E7327" s="583"/>
      <c r="F7327" s="596"/>
      <c r="G7327" s="65">
        <v>0</v>
      </c>
      <c r="H7327" s="591" t="s">
        <v>280</v>
      </c>
      <c r="I7327" s="591" t="s">
        <v>280</v>
      </c>
    </row>
    <row r="7328" spans="1:9">
      <c r="A7328" s="577"/>
      <c r="B7328" s="65">
        <v>7526</v>
      </c>
      <c r="C7328" s="579" t="s">
        <v>281</v>
      </c>
      <c r="D7328" s="579"/>
      <c r="E7328" s="583"/>
      <c r="F7328" s="596"/>
      <c r="G7328" s="65">
        <v>0</v>
      </c>
      <c r="H7328" s="591" t="s">
        <v>280</v>
      </c>
      <c r="I7328" s="591" t="s">
        <v>280</v>
      </c>
    </row>
    <row r="7329" spans="1:9">
      <c r="A7329" s="577"/>
      <c r="B7329" s="65">
        <v>7527</v>
      </c>
      <c r="C7329" s="579" t="s">
        <v>281</v>
      </c>
      <c r="D7329" s="579"/>
      <c r="E7329" s="583"/>
      <c r="F7329" s="596"/>
      <c r="G7329" s="65">
        <v>0</v>
      </c>
      <c r="H7329" s="591" t="s">
        <v>280</v>
      </c>
      <c r="I7329" s="591" t="s">
        <v>280</v>
      </c>
    </row>
    <row r="7330" spans="1:9">
      <c r="A7330" s="577"/>
      <c r="B7330" s="65">
        <v>7528</v>
      </c>
      <c r="C7330" s="579" t="s">
        <v>281</v>
      </c>
      <c r="D7330" s="579"/>
      <c r="E7330" s="583"/>
      <c r="F7330" s="596"/>
      <c r="G7330" s="65">
        <v>0</v>
      </c>
      <c r="H7330" s="591" t="s">
        <v>280</v>
      </c>
      <c r="I7330" s="591" t="s">
        <v>280</v>
      </c>
    </row>
    <row r="7331" spans="1:9">
      <c r="A7331" s="577"/>
      <c r="B7331" s="65">
        <v>7529</v>
      </c>
      <c r="C7331" s="579" t="s">
        <v>281</v>
      </c>
      <c r="D7331" s="579"/>
      <c r="E7331" s="583"/>
      <c r="F7331" s="596"/>
      <c r="G7331" s="65">
        <v>0</v>
      </c>
      <c r="H7331" s="591" t="s">
        <v>280</v>
      </c>
      <c r="I7331" s="591" t="s">
        <v>280</v>
      </c>
    </row>
    <row r="7332" spans="1:9">
      <c r="A7332" s="577"/>
      <c r="B7332" s="65">
        <v>7530</v>
      </c>
      <c r="C7332" s="579" t="s">
        <v>281</v>
      </c>
      <c r="D7332" s="579"/>
      <c r="E7332" s="583"/>
      <c r="F7332" s="596"/>
      <c r="G7332" s="65">
        <v>0</v>
      </c>
      <c r="H7332" s="591" t="s">
        <v>280</v>
      </c>
      <c r="I7332" s="591" t="s">
        <v>280</v>
      </c>
    </row>
    <row r="7333" spans="1:9">
      <c r="A7333" s="577"/>
      <c r="B7333" s="65">
        <v>7531</v>
      </c>
      <c r="C7333" s="579" t="s">
        <v>281</v>
      </c>
      <c r="D7333" s="579"/>
      <c r="E7333" s="583"/>
      <c r="F7333" s="596"/>
      <c r="G7333" s="65">
        <v>0</v>
      </c>
      <c r="H7333" s="591" t="s">
        <v>280</v>
      </c>
      <c r="I7333" s="591" t="s">
        <v>280</v>
      </c>
    </row>
    <row r="7334" spans="1:9">
      <c r="A7334" s="577"/>
      <c r="B7334" s="65">
        <v>7532</v>
      </c>
      <c r="C7334" s="579" t="s">
        <v>281</v>
      </c>
      <c r="D7334" s="579"/>
      <c r="E7334" s="583"/>
      <c r="F7334" s="596"/>
      <c r="G7334" s="65">
        <v>0</v>
      </c>
      <c r="H7334" s="591" t="s">
        <v>280</v>
      </c>
      <c r="I7334" s="591" t="s">
        <v>280</v>
      </c>
    </row>
    <row r="7335" spans="1:9">
      <c r="A7335" s="577"/>
      <c r="B7335" s="65">
        <v>7533</v>
      </c>
      <c r="C7335" s="579" t="s">
        <v>281</v>
      </c>
      <c r="D7335" s="579"/>
      <c r="E7335" s="583"/>
      <c r="F7335" s="596"/>
      <c r="G7335" s="65">
        <v>0</v>
      </c>
      <c r="H7335" s="591" t="s">
        <v>280</v>
      </c>
      <c r="I7335" s="591" t="s">
        <v>280</v>
      </c>
    </row>
    <row r="7336" spans="1:9">
      <c r="A7336" s="577"/>
      <c r="B7336" s="65">
        <v>7534</v>
      </c>
      <c r="C7336" s="579" t="s">
        <v>281</v>
      </c>
      <c r="D7336" s="579"/>
      <c r="E7336" s="583"/>
      <c r="F7336" s="596"/>
      <c r="G7336" s="65">
        <v>0</v>
      </c>
      <c r="H7336" s="591" t="s">
        <v>280</v>
      </c>
      <c r="I7336" s="591" t="s">
        <v>280</v>
      </c>
    </row>
    <row r="7337" spans="1:9">
      <c r="A7337" s="577"/>
      <c r="B7337" s="65">
        <v>7535</v>
      </c>
      <c r="C7337" s="579" t="s">
        <v>281</v>
      </c>
      <c r="D7337" s="579"/>
      <c r="E7337" s="583"/>
      <c r="F7337" s="596"/>
      <c r="G7337" s="65">
        <v>0</v>
      </c>
      <c r="H7337" s="591" t="s">
        <v>280</v>
      </c>
      <c r="I7337" s="591" t="s">
        <v>280</v>
      </c>
    </row>
    <row r="7338" spans="1:9">
      <c r="A7338" s="577"/>
      <c r="B7338" s="65">
        <v>7536</v>
      </c>
      <c r="C7338" s="579" t="s">
        <v>281</v>
      </c>
      <c r="D7338" s="579"/>
      <c r="E7338" s="583"/>
      <c r="F7338" s="596"/>
      <c r="G7338" s="65">
        <v>0</v>
      </c>
      <c r="H7338" s="591" t="s">
        <v>280</v>
      </c>
      <c r="I7338" s="591" t="s">
        <v>280</v>
      </c>
    </row>
    <row r="7339" spans="1:9">
      <c r="A7339" s="577"/>
      <c r="B7339" s="65">
        <v>7537</v>
      </c>
      <c r="C7339" s="579" t="s">
        <v>281</v>
      </c>
      <c r="D7339" s="579"/>
      <c r="E7339" s="583"/>
      <c r="F7339" s="596"/>
      <c r="G7339" s="65">
        <v>0</v>
      </c>
      <c r="H7339" s="591" t="s">
        <v>280</v>
      </c>
      <c r="I7339" s="591" t="s">
        <v>280</v>
      </c>
    </row>
    <row r="7340" spans="1:9">
      <c r="A7340" s="577"/>
      <c r="B7340" s="65">
        <v>7538</v>
      </c>
      <c r="C7340" s="579" t="s">
        <v>281</v>
      </c>
      <c r="D7340" s="579"/>
      <c r="E7340" s="583"/>
      <c r="F7340" s="596"/>
      <c r="G7340" s="65">
        <v>0</v>
      </c>
      <c r="H7340" s="591" t="s">
        <v>280</v>
      </c>
      <c r="I7340" s="591" t="s">
        <v>280</v>
      </c>
    </row>
    <row r="7341" spans="1:9">
      <c r="A7341" s="577"/>
      <c r="B7341" s="65">
        <v>7539</v>
      </c>
      <c r="C7341" s="579" t="s">
        <v>281</v>
      </c>
      <c r="D7341" s="579"/>
      <c r="E7341" s="583"/>
      <c r="F7341" s="596"/>
      <c r="G7341" s="65">
        <v>0</v>
      </c>
      <c r="H7341" s="591" t="s">
        <v>280</v>
      </c>
      <c r="I7341" s="591" t="s">
        <v>280</v>
      </c>
    </row>
    <row r="7342" spans="1:9">
      <c r="A7342" s="577"/>
      <c r="B7342" s="65">
        <v>7540</v>
      </c>
      <c r="C7342" s="579" t="s">
        <v>281</v>
      </c>
      <c r="D7342" s="579"/>
      <c r="E7342" s="583"/>
      <c r="F7342" s="596"/>
      <c r="G7342" s="65">
        <v>0</v>
      </c>
      <c r="H7342" s="591" t="s">
        <v>280</v>
      </c>
      <c r="I7342" s="591" t="s">
        <v>280</v>
      </c>
    </row>
    <row r="7343" spans="1:9">
      <c r="A7343" s="577"/>
      <c r="B7343" s="65">
        <v>7541</v>
      </c>
      <c r="C7343" s="579" t="s">
        <v>281</v>
      </c>
      <c r="D7343" s="579"/>
      <c r="E7343" s="583"/>
      <c r="F7343" s="596"/>
      <c r="G7343" s="65">
        <v>0</v>
      </c>
      <c r="H7343" s="591" t="s">
        <v>280</v>
      </c>
      <c r="I7343" s="591" t="s">
        <v>280</v>
      </c>
    </row>
    <row r="7344" spans="1:9">
      <c r="A7344" s="577"/>
      <c r="B7344" s="65">
        <v>7542</v>
      </c>
      <c r="C7344" s="579" t="s">
        <v>281</v>
      </c>
      <c r="D7344" s="579"/>
      <c r="E7344" s="583"/>
      <c r="F7344" s="596"/>
      <c r="G7344" s="65">
        <v>0</v>
      </c>
      <c r="H7344" s="591" t="s">
        <v>280</v>
      </c>
      <c r="I7344" s="591" t="s">
        <v>280</v>
      </c>
    </row>
    <row r="7345" spans="1:9">
      <c r="A7345" s="577"/>
      <c r="B7345" s="65">
        <v>7543</v>
      </c>
      <c r="C7345" s="579" t="s">
        <v>281</v>
      </c>
      <c r="D7345" s="579"/>
      <c r="E7345" s="583"/>
      <c r="F7345" s="596"/>
      <c r="G7345" s="65">
        <v>0</v>
      </c>
      <c r="H7345" s="591" t="s">
        <v>280</v>
      </c>
      <c r="I7345" s="591" t="s">
        <v>280</v>
      </c>
    </row>
    <row r="7346" spans="1:9">
      <c r="A7346" s="577"/>
      <c r="B7346" s="65">
        <v>7544</v>
      </c>
      <c r="C7346" s="579" t="s">
        <v>281</v>
      </c>
      <c r="D7346" s="579"/>
      <c r="E7346" s="583"/>
      <c r="F7346" s="596"/>
      <c r="G7346" s="65">
        <v>0</v>
      </c>
      <c r="H7346" s="591" t="s">
        <v>280</v>
      </c>
      <c r="I7346" s="591" t="s">
        <v>280</v>
      </c>
    </row>
    <row r="7347" spans="1:9">
      <c r="A7347" s="577"/>
      <c r="B7347" s="65">
        <v>7545</v>
      </c>
      <c r="C7347" s="579" t="s">
        <v>281</v>
      </c>
      <c r="D7347" s="579"/>
      <c r="E7347" s="583"/>
      <c r="F7347" s="596"/>
      <c r="G7347" s="65">
        <v>0</v>
      </c>
      <c r="H7347" s="591" t="s">
        <v>280</v>
      </c>
      <c r="I7347" s="591" t="s">
        <v>280</v>
      </c>
    </row>
    <row r="7348" spans="1:9">
      <c r="A7348" s="577"/>
      <c r="B7348" s="65">
        <v>7546</v>
      </c>
      <c r="C7348" s="579" t="s">
        <v>281</v>
      </c>
      <c r="D7348" s="579"/>
      <c r="E7348" s="583"/>
      <c r="F7348" s="596"/>
      <c r="G7348" s="65">
        <v>0</v>
      </c>
      <c r="H7348" s="591" t="s">
        <v>280</v>
      </c>
      <c r="I7348" s="591" t="s">
        <v>280</v>
      </c>
    </row>
    <row r="7349" spans="1:9">
      <c r="A7349" s="577"/>
      <c r="B7349" s="65">
        <v>7547</v>
      </c>
      <c r="C7349" s="579" t="s">
        <v>281</v>
      </c>
      <c r="D7349" s="579"/>
      <c r="E7349" s="583"/>
      <c r="F7349" s="596"/>
      <c r="G7349" s="65">
        <v>0</v>
      </c>
      <c r="H7349" s="591" t="s">
        <v>280</v>
      </c>
      <c r="I7349" s="591" t="s">
        <v>280</v>
      </c>
    </row>
    <row r="7350" spans="1:9">
      <c r="A7350" s="577"/>
      <c r="B7350" s="65">
        <v>7548</v>
      </c>
      <c r="C7350" s="579" t="s">
        <v>281</v>
      </c>
      <c r="D7350" s="579"/>
      <c r="E7350" s="583"/>
      <c r="F7350" s="596"/>
      <c r="G7350" s="65">
        <v>0</v>
      </c>
      <c r="H7350" s="591" t="s">
        <v>280</v>
      </c>
      <c r="I7350" s="591" t="s">
        <v>280</v>
      </c>
    </row>
    <row r="7351" spans="1:9">
      <c r="A7351" s="577"/>
      <c r="B7351" s="65">
        <v>7549</v>
      </c>
      <c r="C7351" s="579" t="s">
        <v>281</v>
      </c>
      <c r="D7351" s="579"/>
      <c r="E7351" s="583"/>
      <c r="F7351" s="596"/>
      <c r="G7351" s="65">
        <v>0</v>
      </c>
      <c r="H7351" s="591" t="s">
        <v>280</v>
      </c>
      <c r="I7351" s="591" t="s">
        <v>280</v>
      </c>
    </row>
    <row r="7352" spans="1:9">
      <c r="A7352" s="577"/>
      <c r="B7352" s="65">
        <v>7550</v>
      </c>
      <c r="C7352" s="579" t="s">
        <v>281</v>
      </c>
      <c r="D7352" s="579"/>
      <c r="E7352" s="583"/>
      <c r="F7352" s="596"/>
      <c r="G7352" s="65">
        <v>0</v>
      </c>
      <c r="H7352" s="591" t="s">
        <v>280</v>
      </c>
      <c r="I7352" s="591" t="s">
        <v>280</v>
      </c>
    </row>
    <row r="7353" spans="1:9">
      <c r="A7353" s="577"/>
      <c r="B7353" s="65">
        <v>7551</v>
      </c>
      <c r="C7353" s="579" t="s">
        <v>281</v>
      </c>
      <c r="D7353" s="579"/>
      <c r="E7353" s="583"/>
      <c r="F7353" s="596"/>
      <c r="G7353" s="65">
        <v>0</v>
      </c>
      <c r="H7353" s="591" t="s">
        <v>280</v>
      </c>
      <c r="I7353" s="591" t="s">
        <v>280</v>
      </c>
    </row>
    <row r="7354" spans="1:9">
      <c r="A7354" s="577"/>
      <c r="B7354" s="65">
        <v>7552</v>
      </c>
      <c r="C7354" s="579" t="s">
        <v>281</v>
      </c>
      <c r="D7354" s="579"/>
      <c r="E7354" s="583"/>
      <c r="F7354" s="596"/>
      <c r="G7354" s="65">
        <v>0</v>
      </c>
      <c r="H7354" s="591" t="s">
        <v>280</v>
      </c>
      <c r="I7354" s="591" t="s">
        <v>280</v>
      </c>
    </row>
    <row r="7355" spans="1:9">
      <c r="A7355" s="577"/>
      <c r="B7355" s="65">
        <v>7553</v>
      </c>
      <c r="C7355" s="579" t="s">
        <v>281</v>
      </c>
      <c r="D7355" s="579"/>
      <c r="E7355" s="583"/>
      <c r="F7355" s="596"/>
      <c r="G7355" s="65">
        <v>0</v>
      </c>
      <c r="H7355" s="591" t="s">
        <v>280</v>
      </c>
      <c r="I7355" s="591" t="s">
        <v>280</v>
      </c>
    </row>
    <row r="7356" spans="1:9">
      <c r="A7356" s="577"/>
      <c r="B7356" s="65">
        <v>7554</v>
      </c>
      <c r="C7356" s="579" t="s">
        <v>281</v>
      </c>
      <c r="D7356" s="579"/>
      <c r="E7356" s="583"/>
      <c r="F7356" s="596"/>
      <c r="G7356" s="65">
        <v>0</v>
      </c>
      <c r="H7356" s="591" t="s">
        <v>280</v>
      </c>
      <c r="I7356" s="591" t="s">
        <v>280</v>
      </c>
    </row>
    <row r="7357" spans="1:9">
      <c r="A7357" s="577"/>
      <c r="B7357" s="65">
        <v>7555</v>
      </c>
      <c r="C7357" s="579" t="s">
        <v>281</v>
      </c>
      <c r="D7357" s="579"/>
      <c r="E7357" s="583"/>
      <c r="F7357" s="596"/>
      <c r="G7357" s="65">
        <v>0</v>
      </c>
      <c r="H7357" s="591" t="s">
        <v>280</v>
      </c>
      <c r="I7357" s="591" t="s">
        <v>280</v>
      </c>
    </row>
    <row r="7358" spans="1:9">
      <c r="A7358" s="577"/>
      <c r="B7358" s="65">
        <v>7556</v>
      </c>
      <c r="C7358" s="579" t="s">
        <v>281</v>
      </c>
      <c r="D7358" s="579"/>
      <c r="E7358" s="583"/>
      <c r="F7358" s="596"/>
      <c r="G7358" s="65">
        <v>0</v>
      </c>
      <c r="H7358" s="591" t="s">
        <v>280</v>
      </c>
      <c r="I7358" s="591" t="s">
        <v>280</v>
      </c>
    </row>
    <row r="7359" spans="1:9">
      <c r="A7359" s="577"/>
      <c r="B7359" s="65">
        <v>7557</v>
      </c>
      <c r="C7359" s="579" t="s">
        <v>281</v>
      </c>
      <c r="D7359" s="579"/>
      <c r="E7359" s="583"/>
      <c r="F7359" s="596"/>
      <c r="G7359" s="65">
        <v>0</v>
      </c>
      <c r="H7359" s="591" t="s">
        <v>280</v>
      </c>
      <c r="I7359" s="591" t="s">
        <v>280</v>
      </c>
    </row>
    <row r="7360" spans="1:9">
      <c r="A7360" s="577"/>
      <c r="B7360" s="65">
        <v>7558</v>
      </c>
      <c r="C7360" s="579" t="s">
        <v>281</v>
      </c>
      <c r="D7360" s="579"/>
      <c r="E7360" s="583"/>
      <c r="F7360" s="596"/>
      <c r="G7360" s="65">
        <v>0</v>
      </c>
      <c r="H7360" s="591" t="s">
        <v>280</v>
      </c>
      <c r="I7360" s="591" t="s">
        <v>280</v>
      </c>
    </row>
    <row r="7361" spans="1:9">
      <c r="A7361" s="577"/>
      <c r="B7361" s="65">
        <v>7559</v>
      </c>
      <c r="C7361" s="579" t="s">
        <v>281</v>
      </c>
      <c r="D7361" s="579"/>
      <c r="E7361" s="583"/>
      <c r="F7361" s="596"/>
      <c r="G7361" s="65">
        <v>0</v>
      </c>
      <c r="H7361" s="591" t="s">
        <v>280</v>
      </c>
      <c r="I7361" s="591" t="s">
        <v>280</v>
      </c>
    </row>
    <row r="7362" spans="1:9">
      <c r="A7362" s="577"/>
      <c r="B7362" s="65">
        <v>7560</v>
      </c>
      <c r="C7362" s="579" t="s">
        <v>281</v>
      </c>
      <c r="D7362" s="579"/>
      <c r="E7362" s="583"/>
      <c r="F7362" s="596"/>
      <c r="G7362" s="65">
        <v>0</v>
      </c>
      <c r="H7362" s="591" t="s">
        <v>280</v>
      </c>
      <c r="I7362" s="591" t="s">
        <v>280</v>
      </c>
    </row>
    <row r="7363" spans="1:9">
      <c r="A7363" s="577"/>
      <c r="B7363" s="65">
        <v>7561</v>
      </c>
      <c r="C7363" s="579" t="s">
        <v>281</v>
      </c>
      <c r="D7363" s="579"/>
      <c r="E7363" s="583"/>
      <c r="F7363" s="596"/>
      <c r="G7363" s="65">
        <v>0</v>
      </c>
      <c r="H7363" s="591" t="s">
        <v>280</v>
      </c>
      <c r="I7363" s="591" t="s">
        <v>280</v>
      </c>
    </row>
    <row r="7364" spans="1:9">
      <c r="A7364" s="577"/>
      <c r="B7364" s="65">
        <v>7562</v>
      </c>
      <c r="C7364" s="579" t="s">
        <v>281</v>
      </c>
      <c r="D7364" s="579"/>
      <c r="E7364" s="583"/>
      <c r="F7364" s="596"/>
      <c r="G7364" s="65">
        <v>0</v>
      </c>
      <c r="H7364" s="591" t="s">
        <v>280</v>
      </c>
      <c r="I7364" s="591" t="s">
        <v>280</v>
      </c>
    </row>
    <row r="7365" spans="1:9">
      <c r="A7365" s="577"/>
      <c r="B7365" s="65">
        <v>7563</v>
      </c>
      <c r="C7365" s="579" t="s">
        <v>281</v>
      </c>
      <c r="D7365" s="579"/>
      <c r="E7365" s="583"/>
      <c r="F7365" s="596"/>
      <c r="G7365" s="65">
        <v>0</v>
      </c>
      <c r="H7365" s="591" t="s">
        <v>280</v>
      </c>
      <c r="I7365" s="591" t="s">
        <v>280</v>
      </c>
    </row>
    <row r="7366" spans="1:9">
      <c r="A7366" s="577"/>
      <c r="B7366" s="65">
        <v>7564</v>
      </c>
      <c r="C7366" s="579" t="s">
        <v>281</v>
      </c>
      <c r="D7366" s="579"/>
      <c r="E7366" s="583"/>
      <c r="F7366" s="596"/>
      <c r="G7366" s="65">
        <v>0</v>
      </c>
      <c r="H7366" s="591" t="s">
        <v>280</v>
      </c>
      <c r="I7366" s="591" t="s">
        <v>280</v>
      </c>
    </row>
    <row r="7367" spans="1:9">
      <c r="A7367" s="577"/>
      <c r="B7367" s="65">
        <v>7565</v>
      </c>
      <c r="C7367" s="579" t="s">
        <v>281</v>
      </c>
      <c r="D7367" s="579"/>
      <c r="E7367" s="583"/>
      <c r="F7367" s="596"/>
      <c r="G7367" s="65">
        <v>0</v>
      </c>
      <c r="H7367" s="591" t="s">
        <v>280</v>
      </c>
      <c r="I7367" s="591" t="s">
        <v>280</v>
      </c>
    </row>
    <row r="7368" spans="1:9">
      <c r="A7368" s="577"/>
      <c r="B7368" s="65">
        <v>7566</v>
      </c>
      <c r="C7368" s="579" t="s">
        <v>281</v>
      </c>
      <c r="D7368" s="579"/>
      <c r="E7368" s="583"/>
      <c r="F7368" s="596"/>
      <c r="G7368" s="65">
        <v>0</v>
      </c>
      <c r="H7368" s="591" t="s">
        <v>280</v>
      </c>
      <c r="I7368" s="591" t="s">
        <v>280</v>
      </c>
    </row>
    <row r="7369" spans="1:9">
      <c r="A7369" s="577"/>
      <c r="B7369" s="65">
        <v>7567</v>
      </c>
      <c r="C7369" s="579" t="s">
        <v>281</v>
      </c>
      <c r="D7369" s="579"/>
      <c r="E7369" s="583"/>
      <c r="F7369" s="596"/>
      <c r="G7369" s="65">
        <v>0</v>
      </c>
      <c r="H7369" s="591" t="s">
        <v>280</v>
      </c>
      <c r="I7369" s="591" t="s">
        <v>280</v>
      </c>
    </row>
    <row r="7370" spans="1:9">
      <c r="A7370" s="577"/>
      <c r="B7370" s="65">
        <v>7568</v>
      </c>
      <c r="C7370" s="579" t="s">
        <v>281</v>
      </c>
      <c r="D7370" s="579"/>
      <c r="E7370" s="583"/>
      <c r="F7370" s="596"/>
      <c r="G7370" s="65">
        <v>0</v>
      </c>
      <c r="H7370" s="591" t="s">
        <v>280</v>
      </c>
      <c r="I7370" s="591" t="s">
        <v>280</v>
      </c>
    </row>
    <row r="7371" spans="1:9">
      <c r="A7371" s="577"/>
      <c r="B7371" s="65">
        <v>7569</v>
      </c>
      <c r="C7371" s="579" t="s">
        <v>281</v>
      </c>
      <c r="D7371" s="579"/>
      <c r="E7371" s="583"/>
      <c r="F7371" s="596"/>
      <c r="G7371" s="65">
        <v>0</v>
      </c>
      <c r="H7371" s="591" t="s">
        <v>280</v>
      </c>
      <c r="I7371" s="591" t="s">
        <v>280</v>
      </c>
    </row>
    <row r="7372" spans="1:9">
      <c r="A7372" s="577"/>
      <c r="B7372" s="65">
        <v>7570</v>
      </c>
      <c r="C7372" s="579" t="s">
        <v>281</v>
      </c>
      <c r="D7372" s="579"/>
      <c r="E7372" s="583"/>
      <c r="F7372" s="596"/>
      <c r="G7372" s="65">
        <v>0</v>
      </c>
      <c r="H7372" s="591" t="s">
        <v>280</v>
      </c>
      <c r="I7372" s="591" t="s">
        <v>280</v>
      </c>
    </row>
    <row r="7373" spans="1:9">
      <c r="A7373" s="577"/>
      <c r="B7373" s="65">
        <v>7571</v>
      </c>
      <c r="C7373" s="579" t="s">
        <v>281</v>
      </c>
      <c r="D7373" s="579"/>
      <c r="E7373" s="583"/>
      <c r="F7373" s="596"/>
      <c r="G7373" s="65">
        <v>0</v>
      </c>
      <c r="H7373" s="591" t="s">
        <v>280</v>
      </c>
      <c r="I7373" s="591" t="s">
        <v>280</v>
      </c>
    </row>
    <row r="7374" spans="1:9">
      <c r="A7374" s="577"/>
      <c r="B7374" s="65">
        <v>7572</v>
      </c>
      <c r="C7374" s="579" t="s">
        <v>281</v>
      </c>
      <c r="D7374" s="579"/>
      <c r="E7374" s="583"/>
      <c r="F7374" s="596"/>
      <c r="G7374" s="65">
        <v>0</v>
      </c>
      <c r="H7374" s="591" t="s">
        <v>280</v>
      </c>
      <c r="I7374" s="591" t="s">
        <v>280</v>
      </c>
    </row>
    <row r="7375" spans="1:9">
      <c r="A7375" s="577"/>
      <c r="B7375" s="65">
        <v>7573</v>
      </c>
      <c r="C7375" s="579" t="s">
        <v>281</v>
      </c>
      <c r="D7375" s="579"/>
      <c r="E7375" s="583"/>
      <c r="F7375" s="596"/>
      <c r="G7375" s="65">
        <v>0</v>
      </c>
      <c r="H7375" s="591" t="s">
        <v>280</v>
      </c>
      <c r="I7375" s="591" t="s">
        <v>280</v>
      </c>
    </row>
    <row r="7376" spans="1:9">
      <c r="A7376" s="577"/>
      <c r="B7376" s="65">
        <v>7574</v>
      </c>
      <c r="C7376" s="579" t="s">
        <v>281</v>
      </c>
      <c r="D7376" s="579"/>
      <c r="E7376" s="583"/>
      <c r="F7376" s="596"/>
      <c r="G7376" s="65">
        <v>0</v>
      </c>
      <c r="H7376" s="591" t="s">
        <v>280</v>
      </c>
      <c r="I7376" s="591" t="s">
        <v>280</v>
      </c>
    </row>
    <row r="7377" spans="1:9">
      <c r="A7377" s="577"/>
      <c r="B7377" s="65">
        <v>7575</v>
      </c>
      <c r="C7377" s="579" t="s">
        <v>281</v>
      </c>
      <c r="D7377" s="579"/>
      <c r="E7377" s="583"/>
      <c r="F7377" s="596"/>
      <c r="G7377" s="65">
        <v>0</v>
      </c>
      <c r="H7377" s="591" t="s">
        <v>280</v>
      </c>
      <c r="I7377" s="591" t="s">
        <v>280</v>
      </c>
    </row>
    <row r="7378" spans="1:9">
      <c r="A7378" s="577"/>
      <c r="B7378" s="65">
        <v>7576</v>
      </c>
      <c r="C7378" s="579" t="s">
        <v>281</v>
      </c>
      <c r="D7378" s="579"/>
      <c r="E7378" s="583"/>
      <c r="F7378" s="596"/>
      <c r="G7378" s="65">
        <v>0</v>
      </c>
      <c r="H7378" s="591" t="s">
        <v>280</v>
      </c>
      <c r="I7378" s="591" t="s">
        <v>280</v>
      </c>
    </row>
    <row r="7379" spans="1:9">
      <c r="A7379" s="577"/>
      <c r="B7379" s="65">
        <v>7577</v>
      </c>
      <c r="C7379" s="579" t="s">
        <v>281</v>
      </c>
      <c r="D7379" s="579"/>
      <c r="E7379" s="583"/>
      <c r="F7379" s="596"/>
      <c r="G7379" s="65">
        <v>0</v>
      </c>
      <c r="H7379" s="591" t="s">
        <v>280</v>
      </c>
      <c r="I7379" s="591" t="s">
        <v>280</v>
      </c>
    </row>
    <row r="7380" spans="1:9">
      <c r="A7380" s="577"/>
      <c r="B7380" s="65">
        <v>7578</v>
      </c>
      <c r="C7380" s="579" t="s">
        <v>281</v>
      </c>
      <c r="D7380" s="579"/>
      <c r="E7380" s="583"/>
      <c r="F7380" s="596"/>
      <c r="G7380" s="65">
        <v>0</v>
      </c>
      <c r="H7380" s="591" t="s">
        <v>280</v>
      </c>
      <c r="I7380" s="591" t="s">
        <v>280</v>
      </c>
    </row>
    <row r="7381" spans="1:9">
      <c r="A7381" s="577"/>
      <c r="B7381" s="65">
        <v>7579</v>
      </c>
      <c r="C7381" s="579" t="s">
        <v>281</v>
      </c>
      <c r="D7381" s="579"/>
      <c r="E7381" s="583"/>
      <c r="F7381" s="596"/>
      <c r="G7381" s="65">
        <v>0</v>
      </c>
      <c r="H7381" s="591" t="s">
        <v>280</v>
      </c>
      <c r="I7381" s="591" t="s">
        <v>280</v>
      </c>
    </row>
    <row r="7382" spans="1:9">
      <c r="A7382" s="577"/>
      <c r="B7382" s="65">
        <v>7580</v>
      </c>
      <c r="C7382" s="579" t="s">
        <v>281</v>
      </c>
      <c r="D7382" s="579"/>
      <c r="E7382" s="583"/>
      <c r="F7382" s="596"/>
      <c r="G7382" s="65">
        <v>0</v>
      </c>
      <c r="H7382" s="591" t="s">
        <v>280</v>
      </c>
      <c r="I7382" s="591" t="s">
        <v>280</v>
      </c>
    </row>
    <row r="7383" spans="1:9">
      <c r="A7383" s="577"/>
      <c r="B7383" s="65">
        <v>7581</v>
      </c>
      <c r="C7383" s="579" t="s">
        <v>281</v>
      </c>
      <c r="D7383" s="579"/>
      <c r="E7383" s="583"/>
      <c r="F7383" s="596"/>
      <c r="G7383" s="65">
        <v>0</v>
      </c>
      <c r="H7383" s="591" t="s">
        <v>280</v>
      </c>
      <c r="I7383" s="591" t="s">
        <v>280</v>
      </c>
    </row>
    <row r="7384" spans="1:9">
      <c r="A7384" s="577"/>
      <c r="B7384" s="65">
        <v>7582</v>
      </c>
      <c r="C7384" s="579" t="s">
        <v>281</v>
      </c>
      <c r="D7384" s="579"/>
      <c r="E7384" s="583"/>
      <c r="F7384" s="596"/>
      <c r="G7384" s="65">
        <v>0</v>
      </c>
      <c r="H7384" s="591" t="s">
        <v>280</v>
      </c>
      <c r="I7384" s="591" t="s">
        <v>280</v>
      </c>
    </row>
    <row r="7385" spans="1:9">
      <c r="A7385" s="577"/>
      <c r="B7385" s="65">
        <v>7583</v>
      </c>
      <c r="C7385" s="579" t="s">
        <v>281</v>
      </c>
      <c r="D7385" s="579"/>
      <c r="E7385" s="583"/>
      <c r="F7385" s="596"/>
      <c r="G7385" s="65">
        <v>0</v>
      </c>
      <c r="H7385" s="591" t="s">
        <v>280</v>
      </c>
      <c r="I7385" s="591" t="s">
        <v>280</v>
      </c>
    </row>
    <row r="7386" spans="1:9">
      <c r="A7386" s="577"/>
      <c r="B7386" s="65">
        <v>7584</v>
      </c>
      <c r="C7386" s="579" t="s">
        <v>281</v>
      </c>
      <c r="D7386" s="579"/>
      <c r="E7386" s="583"/>
      <c r="F7386" s="596"/>
      <c r="G7386" s="65">
        <v>0</v>
      </c>
      <c r="H7386" s="591" t="s">
        <v>280</v>
      </c>
      <c r="I7386" s="591" t="s">
        <v>280</v>
      </c>
    </row>
    <row r="7387" spans="1:9">
      <c r="A7387" s="577"/>
      <c r="B7387" s="65">
        <v>7585</v>
      </c>
      <c r="C7387" s="579" t="s">
        <v>281</v>
      </c>
      <c r="D7387" s="579"/>
      <c r="E7387" s="583"/>
      <c r="F7387" s="596"/>
      <c r="G7387" s="65">
        <v>0</v>
      </c>
      <c r="H7387" s="591" t="s">
        <v>280</v>
      </c>
      <c r="I7387" s="591" t="s">
        <v>280</v>
      </c>
    </row>
    <row r="7388" spans="1:9">
      <c r="A7388" s="577"/>
      <c r="B7388" s="65">
        <v>7586</v>
      </c>
      <c r="C7388" s="579" t="s">
        <v>281</v>
      </c>
      <c r="D7388" s="579"/>
      <c r="E7388" s="583"/>
      <c r="F7388" s="596"/>
      <c r="G7388" s="65">
        <v>0</v>
      </c>
      <c r="H7388" s="591" t="s">
        <v>280</v>
      </c>
      <c r="I7388" s="591" t="s">
        <v>280</v>
      </c>
    </row>
    <row r="7389" spans="1:9">
      <c r="A7389" s="577"/>
      <c r="B7389" s="65">
        <v>7587</v>
      </c>
      <c r="C7389" s="579" t="s">
        <v>281</v>
      </c>
      <c r="D7389" s="579"/>
      <c r="E7389" s="583"/>
      <c r="F7389" s="596"/>
      <c r="G7389" s="65">
        <v>0</v>
      </c>
      <c r="H7389" s="591" t="s">
        <v>280</v>
      </c>
      <c r="I7389" s="591" t="s">
        <v>280</v>
      </c>
    </row>
    <row r="7390" spans="1:9">
      <c r="A7390" s="577"/>
      <c r="B7390" s="65">
        <v>7588</v>
      </c>
      <c r="C7390" s="579" t="s">
        <v>281</v>
      </c>
      <c r="D7390" s="579"/>
      <c r="E7390" s="583"/>
      <c r="F7390" s="596"/>
      <c r="G7390" s="65">
        <v>0</v>
      </c>
      <c r="H7390" s="591" t="s">
        <v>280</v>
      </c>
      <c r="I7390" s="591" t="s">
        <v>280</v>
      </c>
    </row>
    <row r="7391" spans="1:9">
      <c r="A7391" s="577"/>
      <c r="B7391" s="65">
        <v>7589</v>
      </c>
      <c r="C7391" s="579" t="s">
        <v>281</v>
      </c>
      <c r="D7391" s="579"/>
      <c r="E7391" s="583"/>
      <c r="F7391" s="596"/>
      <c r="G7391" s="65">
        <v>0</v>
      </c>
      <c r="H7391" s="591" t="s">
        <v>280</v>
      </c>
      <c r="I7391" s="591" t="s">
        <v>280</v>
      </c>
    </row>
    <row r="7392" spans="1:9">
      <c r="A7392" s="577"/>
      <c r="B7392" s="65">
        <v>7590</v>
      </c>
      <c r="C7392" s="579" t="s">
        <v>281</v>
      </c>
      <c r="D7392" s="579"/>
      <c r="E7392" s="583"/>
      <c r="F7392" s="596"/>
      <c r="G7392" s="65">
        <v>0</v>
      </c>
      <c r="H7392" s="591" t="s">
        <v>280</v>
      </c>
      <c r="I7392" s="591" t="s">
        <v>280</v>
      </c>
    </row>
    <row r="7393" spans="1:9">
      <c r="A7393" s="577"/>
      <c r="B7393" s="65">
        <v>7591</v>
      </c>
      <c r="C7393" s="579" t="s">
        <v>281</v>
      </c>
      <c r="D7393" s="579"/>
      <c r="E7393" s="583"/>
      <c r="F7393" s="596"/>
      <c r="G7393" s="65">
        <v>0</v>
      </c>
      <c r="H7393" s="591" t="s">
        <v>280</v>
      </c>
      <c r="I7393" s="591" t="s">
        <v>280</v>
      </c>
    </row>
    <row r="7394" spans="1:9">
      <c r="A7394" s="577"/>
      <c r="B7394" s="65">
        <v>7592</v>
      </c>
      <c r="C7394" s="579" t="s">
        <v>281</v>
      </c>
      <c r="D7394" s="579"/>
      <c r="E7394" s="583"/>
      <c r="F7394" s="596"/>
      <c r="G7394" s="65">
        <v>0</v>
      </c>
      <c r="H7394" s="591" t="s">
        <v>280</v>
      </c>
      <c r="I7394" s="591" t="s">
        <v>280</v>
      </c>
    </row>
    <row r="7395" spans="1:9">
      <c r="A7395" s="577"/>
      <c r="B7395" s="65">
        <v>7593</v>
      </c>
      <c r="C7395" s="579" t="s">
        <v>281</v>
      </c>
      <c r="D7395" s="579"/>
      <c r="E7395" s="583"/>
      <c r="F7395" s="596"/>
      <c r="G7395" s="65">
        <v>0</v>
      </c>
      <c r="H7395" s="591" t="s">
        <v>280</v>
      </c>
      <c r="I7395" s="591" t="s">
        <v>280</v>
      </c>
    </row>
    <row r="7396" spans="1:9">
      <c r="A7396" s="577"/>
      <c r="B7396" s="65">
        <v>7594</v>
      </c>
      <c r="C7396" s="579" t="s">
        <v>281</v>
      </c>
      <c r="D7396" s="579"/>
      <c r="E7396" s="583"/>
      <c r="F7396" s="596"/>
      <c r="G7396" s="65">
        <v>0</v>
      </c>
      <c r="H7396" s="591" t="s">
        <v>280</v>
      </c>
      <c r="I7396" s="591" t="s">
        <v>280</v>
      </c>
    </row>
    <row r="7397" spans="1:9">
      <c r="A7397" s="577"/>
      <c r="B7397" s="65">
        <v>7595</v>
      </c>
      <c r="C7397" s="579" t="s">
        <v>281</v>
      </c>
      <c r="D7397" s="579"/>
      <c r="E7397" s="583"/>
      <c r="F7397" s="596"/>
      <c r="G7397" s="65">
        <v>0</v>
      </c>
      <c r="H7397" s="591" t="s">
        <v>280</v>
      </c>
      <c r="I7397" s="591" t="s">
        <v>280</v>
      </c>
    </row>
    <row r="7398" spans="1:9">
      <c r="A7398" s="577"/>
      <c r="B7398" s="65">
        <v>7596</v>
      </c>
      <c r="C7398" s="579" t="s">
        <v>281</v>
      </c>
      <c r="D7398" s="579"/>
      <c r="E7398" s="583"/>
      <c r="F7398" s="596"/>
      <c r="G7398" s="65">
        <v>0</v>
      </c>
      <c r="H7398" s="591" t="s">
        <v>280</v>
      </c>
      <c r="I7398" s="591" t="s">
        <v>280</v>
      </c>
    </row>
    <row r="7399" spans="1:9">
      <c r="A7399" s="577"/>
      <c r="B7399" s="65">
        <v>7597</v>
      </c>
      <c r="C7399" s="579" t="s">
        <v>281</v>
      </c>
      <c r="D7399" s="579"/>
      <c r="E7399" s="583"/>
      <c r="F7399" s="596"/>
      <c r="G7399" s="65">
        <v>0</v>
      </c>
      <c r="H7399" s="591" t="s">
        <v>280</v>
      </c>
      <c r="I7399" s="591" t="s">
        <v>280</v>
      </c>
    </row>
    <row r="7400" spans="1:9">
      <c r="A7400" s="577"/>
      <c r="B7400" s="65">
        <v>7598</v>
      </c>
      <c r="C7400" s="579" t="s">
        <v>281</v>
      </c>
      <c r="D7400" s="579"/>
      <c r="E7400" s="583"/>
      <c r="F7400" s="596"/>
      <c r="G7400" s="65">
        <v>0</v>
      </c>
      <c r="H7400" s="591" t="s">
        <v>280</v>
      </c>
      <c r="I7400" s="591" t="s">
        <v>280</v>
      </c>
    </row>
    <row r="7401" spans="1:9">
      <c r="A7401" s="577"/>
      <c r="B7401" s="65">
        <v>7599</v>
      </c>
      <c r="C7401" s="579" t="s">
        <v>281</v>
      </c>
      <c r="D7401" s="579"/>
      <c r="E7401" s="583"/>
      <c r="F7401" s="596"/>
      <c r="G7401" s="65">
        <v>0</v>
      </c>
      <c r="H7401" s="591" t="s">
        <v>280</v>
      </c>
      <c r="I7401" s="591" t="s">
        <v>280</v>
      </c>
    </row>
    <row r="7402" spans="1:9">
      <c r="A7402" s="577"/>
      <c r="B7402" s="65">
        <v>7600</v>
      </c>
      <c r="C7402" s="579" t="s">
        <v>281</v>
      </c>
      <c r="D7402" s="579"/>
      <c r="E7402" s="583"/>
      <c r="F7402" s="596"/>
      <c r="G7402" s="65">
        <v>0</v>
      </c>
      <c r="H7402" s="591" t="s">
        <v>280</v>
      </c>
      <c r="I7402" s="591" t="s">
        <v>280</v>
      </c>
    </row>
    <row r="7403" spans="1:9">
      <c r="A7403" s="577"/>
      <c r="B7403" s="65">
        <v>7601</v>
      </c>
      <c r="C7403" s="579" t="s">
        <v>281</v>
      </c>
      <c r="D7403" s="579"/>
      <c r="E7403" s="583"/>
      <c r="F7403" s="596"/>
      <c r="G7403" s="65">
        <v>0</v>
      </c>
      <c r="H7403" s="591" t="s">
        <v>280</v>
      </c>
      <c r="I7403" s="591" t="s">
        <v>280</v>
      </c>
    </row>
    <row r="7404" spans="1:9">
      <c r="A7404" s="577"/>
      <c r="B7404" s="65">
        <v>7602</v>
      </c>
      <c r="C7404" s="579" t="s">
        <v>281</v>
      </c>
      <c r="D7404" s="579"/>
      <c r="E7404" s="583"/>
      <c r="F7404" s="596"/>
      <c r="G7404" s="65">
        <v>0</v>
      </c>
      <c r="H7404" s="591" t="s">
        <v>280</v>
      </c>
      <c r="I7404" s="591" t="s">
        <v>280</v>
      </c>
    </row>
    <row r="7405" spans="1:9">
      <c r="A7405" s="577"/>
      <c r="B7405" s="65">
        <v>7603</v>
      </c>
      <c r="C7405" s="579" t="s">
        <v>281</v>
      </c>
      <c r="D7405" s="579"/>
      <c r="E7405" s="583"/>
      <c r="F7405" s="596"/>
      <c r="G7405" s="65">
        <v>0</v>
      </c>
      <c r="H7405" s="591" t="s">
        <v>280</v>
      </c>
      <c r="I7405" s="591" t="s">
        <v>280</v>
      </c>
    </row>
    <row r="7406" spans="1:9">
      <c r="A7406" s="577"/>
      <c r="B7406" s="65">
        <v>7604</v>
      </c>
      <c r="C7406" s="579" t="s">
        <v>281</v>
      </c>
      <c r="D7406" s="579"/>
      <c r="E7406" s="583"/>
      <c r="F7406" s="596"/>
      <c r="G7406" s="65">
        <v>0</v>
      </c>
      <c r="H7406" s="591" t="s">
        <v>280</v>
      </c>
      <c r="I7406" s="591" t="s">
        <v>280</v>
      </c>
    </row>
    <row r="7407" spans="1:9">
      <c r="A7407" s="577"/>
      <c r="B7407" s="65">
        <v>7605</v>
      </c>
      <c r="C7407" s="579" t="s">
        <v>281</v>
      </c>
      <c r="D7407" s="579"/>
      <c r="E7407" s="583"/>
      <c r="F7407" s="596"/>
      <c r="G7407" s="65">
        <v>0</v>
      </c>
      <c r="H7407" s="591" t="s">
        <v>280</v>
      </c>
      <c r="I7407" s="591" t="s">
        <v>280</v>
      </c>
    </row>
    <row r="7408" spans="1:9">
      <c r="A7408" s="577"/>
      <c r="B7408" s="65">
        <v>7606</v>
      </c>
      <c r="C7408" s="579" t="s">
        <v>281</v>
      </c>
      <c r="D7408" s="579"/>
      <c r="E7408" s="583"/>
      <c r="F7408" s="596"/>
      <c r="G7408" s="65">
        <v>0</v>
      </c>
      <c r="H7408" s="591" t="s">
        <v>280</v>
      </c>
      <c r="I7408" s="591" t="s">
        <v>280</v>
      </c>
    </row>
    <row r="7409" spans="1:9">
      <c r="A7409" s="577"/>
      <c r="B7409" s="65">
        <v>7607</v>
      </c>
      <c r="C7409" s="579" t="s">
        <v>281</v>
      </c>
      <c r="D7409" s="579"/>
      <c r="E7409" s="583"/>
      <c r="F7409" s="596"/>
      <c r="G7409" s="65">
        <v>0</v>
      </c>
      <c r="H7409" s="591" t="s">
        <v>280</v>
      </c>
      <c r="I7409" s="591" t="s">
        <v>280</v>
      </c>
    </row>
    <row r="7410" spans="1:9">
      <c r="A7410" s="577"/>
      <c r="B7410" s="65">
        <v>7608</v>
      </c>
      <c r="C7410" s="579" t="s">
        <v>281</v>
      </c>
      <c r="D7410" s="579"/>
      <c r="E7410" s="583"/>
      <c r="F7410" s="596"/>
      <c r="G7410" s="65">
        <v>0</v>
      </c>
      <c r="H7410" s="591" t="s">
        <v>280</v>
      </c>
      <c r="I7410" s="591" t="s">
        <v>280</v>
      </c>
    </row>
    <row r="7411" spans="1:9">
      <c r="A7411" s="577"/>
      <c r="B7411" s="65">
        <v>7609</v>
      </c>
      <c r="C7411" s="579" t="s">
        <v>281</v>
      </c>
      <c r="D7411" s="579"/>
      <c r="E7411" s="583"/>
      <c r="F7411" s="596"/>
      <c r="G7411" s="65">
        <v>0</v>
      </c>
      <c r="H7411" s="591" t="s">
        <v>280</v>
      </c>
      <c r="I7411" s="591" t="s">
        <v>280</v>
      </c>
    </row>
    <row r="7412" spans="1:9">
      <c r="A7412" s="577"/>
      <c r="B7412" s="65">
        <v>7610</v>
      </c>
      <c r="C7412" s="579" t="s">
        <v>281</v>
      </c>
      <c r="D7412" s="579"/>
      <c r="E7412" s="583"/>
      <c r="F7412" s="596"/>
      <c r="G7412" s="65">
        <v>0</v>
      </c>
      <c r="H7412" s="591" t="s">
        <v>280</v>
      </c>
      <c r="I7412" s="591" t="s">
        <v>280</v>
      </c>
    </row>
    <row r="7413" spans="1:9">
      <c r="A7413" s="577"/>
      <c r="B7413" s="65">
        <v>7611</v>
      </c>
      <c r="C7413" s="579" t="s">
        <v>281</v>
      </c>
      <c r="D7413" s="579"/>
      <c r="E7413" s="583"/>
      <c r="F7413" s="596"/>
      <c r="G7413" s="65">
        <v>0</v>
      </c>
      <c r="H7413" s="591" t="s">
        <v>280</v>
      </c>
      <c r="I7413" s="591" t="s">
        <v>280</v>
      </c>
    </row>
    <row r="7414" spans="1:9">
      <c r="A7414" s="577"/>
      <c r="B7414" s="65">
        <v>7612</v>
      </c>
      <c r="C7414" s="579" t="s">
        <v>281</v>
      </c>
      <c r="D7414" s="579"/>
      <c r="E7414" s="583"/>
      <c r="F7414" s="596"/>
      <c r="G7414" s="65">
        <v>0</v>
      </c>
      <c r="H7414" s="591" t="s">
        <v>280</v>
      </c>
      <c r="I7414" s="591" t="s">
        <v>280</v>
      </c>
    </row>
    <row r="7415" spans="1:9">
      <c r="A7415" s="577"/>
      <c r="B7415" s="65">
        <v>7613</v>
      </c>
      <c r="C7415" s="579" t="s">
        <v>281</v>
      </c>
      <c r="D7415" s="579"/>
      <c r="E7415" s="583"/>
      <c r="F7415" s="596"/>
      <c r="G7415" s="65">
        <v>0</v>
      </c>
      <c r="H7415" s="591" t="s">
        <v>280</v>
      </c>
      <c r="I7415" s="591" t="s">
        <v>280</v>
      </c>
    </row>
    <row r="7416" spans="1:9">
      <c r="A7416" s="577"/>
      <c r="B7416" s="65">
        <v>7614</v>
      </c>
      <c r="C7416" s="579" t="s">
        <v>281</v>
      </c>
      <c r="D7416" s="579"/>
      <c r="E7416" s="583"/>
      <c r="F7416" s="596"/>
      <c r="G7416" s="65">
        <v>0</v>
      </c>
      <c r="H7416" s="591" t="s">
        <v>280</v>
      </c>
      <c r="I7416" s="591" t="s">
        <v>280</v>
      </c>
    </row>
    <row r="7417" spans="1:9">
      <c r="A7417" s="577"/>
      <c r="B7417" s="65">
        <v>7615</v>
      </c>
      <c r="C7417" s="579" t="s">
        <v>281</v>
      </c>
      <c r="D7417" s="579"/>
      <c r="E7417" s="583"/>
      <c r="F7417" s="596"/>
      <c r="G7417" s="65">
        <v>0</v>
      </c>
      <c r="H7417" s="591" t="s">
        <v>280</v>
      </c>
      <c r="I7417" s="591" t="s">
        <v>280</v>
      </c>
    </row>
    <row r="7418" spans="1:9">
      <c r="A7418" s="577"/>
      <c r="B7418" s="65">
        <v>7616</v>
      </c>
      <c r="C7418" s="579" t="s">
        <v>281</v>
      </c>
      <c r="D7418" s="579"/>
      <c r="E7418" s="583"/>
      <c r="F7418" s="596"/>
      <c r="G7418" s="65">
        <v>0</v>
      </c>
      <c r="H7418" s="591" t="s">
        <v>280</v>
      </c>
      <c r="I7418" s="591" t="s">
        <v>280</v>
      </c>
    </row>
    <row r="7419" spans="1:9">
      <c r="A7419" s="577"/>
      <c r="B7419" s="65">
        <v>7617</v>
      </c>
      <c r="C7419" s="579" t="s">
        <v>281</v>
      </c>
      <c r="D7419" s="579"/>
      <c r="E7419" s="583"/>
      <c r="F7419" s="596"/>
      <c r="G7419" s="65">
        <v>0</v>
      </c>
      <c r="H7419" s="591" t="s">
        <v>280</v>
      </c>
      <c r="I7419" s="591" t="s">
        <v>280</v>
      </c>
    </row>
    <row r="7420" spans="1:9">
      <c r="A7420" s="577"/>
      <c r="B7420" s="65">
        <v>7618</v>
      </c>
      <c r="C7420" s="579" t="s">
        <v>281</v>
      </c>
      <c r="D7420" s="579"/>
      <c r="E7420" s="583"/>
      <c r="F7420" s="596"/>
      <c r="G7420" s="65">
        <v>0</v>
      </c>
      <c r="H7420" s="591" t="s">
        <v>280</v>
      </c>
      <c r="I7420" s="591" t="s">
        <v>280</v>
      </c>
    </row>
    <row r="7421" spans="1:9">
      <c r="A7421" s="577"/>
      <c r="B7421" s="65">
        <v>7619</v>
      </c>
      <c r="C7421" s="579" t="s">
        <v>281</v>
      </c>
      <c r="D7421" s="579"/>
      <c r="E7421" s="583"/>
      <c r="F7421" s="596"/>
      <c r="G7421" s="65">
        <v>0</v>
      </c>
      <c r="H7421" s="591" t="s">
        <v>280</v>
      </c>
      <c r="I7421" s="591" t="s">
        <v>280</v>
      </c>
    </row>
    <row r="7422" spans="1:9">
      <c r="A7422" s="577"/>
      <c r="B7422" s="65">
        <v>7620</v>
      </c>
      <c r="C7422" s="579" t="s">
        <v>281</v>
      </c>
      <c r="D7422" s="579"/>
      <c r="E7422" s="583"/>
      <c r="F7422" s="596"/>
      <c r="G7422" s="65">
        <v>0</v>
      </c>
      <c r="H7422" s="591" t="s">
        <v>280</v>
      </c>
      <c r="I7422" s="591" t="s">
        <v>280</v>
      </c>
    </row>
    <row r="7423" spans="1:9">
      <c r="A7423" s="577"/>
      <c r="B7423" s="65">
        <v>7621</v>
      </c>
      <c r="C7423" s="579" t="s">
        <v>281</v>
      </c>
      <c r="D7423" s="579"/>
      <c r="E7423" s="583"/>
      <c r="F7423" s="596"/>
      <c r="G7423" s="65">
        <v>0</v>
      </c>
      <c r="H7423" s="591" t="s">
        <v>280</v>
      </c>
      <c r="I7423" s="591" t="s">
        <v>280</v>
      </c>
    </row>
    <row r="7424" spans="1:9">
      <c r="A7424" s="577"/>
      <c r="B7424" s="65">
        <v>7622</v>
      </c>
      <c r="C7424" s="579" t="s">
        <v>281</v>
      </c>
      <c r="D7424" s="579"/>
      <c r="E7424" s="583"/>
      <c r="F7424" s="596"/>
      <c r="G7424" s="65">
        <v>0</v>
      </c>
      <c r="H7424" s="591" t="s">
        <v>280</v>
      </c>
      <c r="I7424" s="591" t="s">
        <v>280</v>
      </c>
    </row>
    <row r="7425" spans="1:9">
      <c r="A7425" s="577"/>
      <c r="B7425" s="65">
        <v>7623</v>
      </c>
      <c r="C7425" s="579" t="s">
        <v>281</v>
      </c>
      <c r="D7425" s="579"/>
      <c r="E7425" s="583"/>
      <c r="F7425" s="596"/>
      <c r="G7425" s="65">
        <v>0</v>
      </c>
      <c r="H7425" s="591" t="s">
        <v>280</v>
      </c>
      <c r="I7425" s="591" t="s">
        <v>280</v>
      </c>
    </row>
    <row r="7426" spans="1:9">
      <c r="A7426" s="577"/>
      <c r="B7426" s="65">
        <v>7624</v>
      </c>
      <c r="C7426" s="579" t="s">
        <v>281</v>
      </c>
      <c r="D7426" s="579"/>
      <c r="E7426" s="583"/>
      <c r="F7426" s="596"/>
      <c r="G7426" s="65">
        <v>0</v>
      </c>
      <c r="H7426" s="591" t="s">
        <v>280</v>
      </c>
      <c r="I7426" s="591" t="s">
        <v>280</v>
      </c>
    </row>
    <row r="7427" spans="1:9">
      <c r="A7427" s="577"/>
      <c r="B7427" s="65">
        <v>7625</v>
      </c>
      <c r="C7427" s="579" t="s">
        <v>281</v>
      </c>
      <c r="D7427" s="579"/>
      <c r="E7427" s="583"/>
      <c r="F7427" s="596"/>
      <c r="G7427" s="65">
        <v>0</v>
      </c>
      <c r="H7427" s="591" t="s">
        <v>280</v>
      </c>
      <c r="I7427" s="591" t="s">
        <v>280</v>
      </c>
    </row>
    <row r="7428" spans="1:9">
      <c r="A7428" s="577"/>
      <c r="B7428" s="65">
        <v>7626</v>
      </c>
      <c r="C7428" s="579" t="s">
        <v>281</v>
      </c>
      <c r="D7428" s="579"/>
      <c r="E7428" s="583"/>
      <c r="F7428" s="596"/>
      <c r="G7428" s="65">
        <v>0</v>
      </c>
      <c r="H7428" s="591" t="s">
        <v>280</v>
      </c>
      <c r="I7428" s="591" t="s">
        <v>280</v>
      </c>
    </row>
    <row r="7429" spans="1:9">
      <c r="A7429" s="577"/>
      <c r="B7429" s="65">
        <v>7627</v>
      </c>
      <c r="C7429" s="579" t="s">
        <v>281</v>
      </c>
      <c r="D7429" s="579"/>
      <c r="E7429" s="583"/>
      <c r="F7429" s="596"/>
      <c r="G7429" s="65">
        <v>0</v>
      </c>
      <c r="H7429" s="591" t="s">
        <v>280</v>
      </c>
      <c r="I7429" s="591" t="s">
        <v>280</v>
      </c>
    </row>
    <row r="7430" spans="1:9">
      <c r="A7430" s="577"/>
      <c r="B7430" s="65">
        <v>7628</v>
      </c>
      <c r="C7430" s="579" t="s">
        <v>281</v>
      </c>
      <c r="D7430" s="579"/>
      <c r="E7430" s="583"/>
      <c r="F7430" s="596"/>
      <c r="G7430" s="65">
        <v>0</v>
      </c>
      <c r="H7430" s="591" t="s">
        <v>280</v>
      </c>
      <c r="I7430" s="591" t="s">
        <v>280</v>
      </c>
    </row>
    <row r="7431" spans="1:9">
      <c r="A7431" s="577"/>
      <c r="B7431" s="65">
        <v>7629</v>
      </c>
      <c r="C7431" s="579" t="s">
        <v>281</v>
      </c>
      <c r="D7431" s="579"/>
      <c r="E7431" s="583"/>
      <c r="F7431" s="596"/>
      <c r="G7431" s="65">
        <v>0</v>
      </c>
      <c r="H7431" s="591" t="s">
        <v>280</v>
      </c>
      <c r="I7431" s="591" t="s">
        <v>280</v>
      </c>
    </row>
    <row r="7432" spans="1:9">
      <c r="A7432" s="577"/>
      <c r="B7432" s="65">
        <v>7630</v>
      </c>
      <c r="C7432" s="579" t="s">
        <v>281</v>
      </c>
      <c r="D7432" s="579"/>
      <c r="E7432" s="583"/>
      <c r="F7432" s="596"/>
      <c r="G7432" s="65">
        <v>0</v>
      </c>
      <c r="H7432" s="591" t="s">
        <v>280</v>
      </c>
      <c r="I7432" s="591" t="s">
        <v>280</v>
      </c>
    </row>
    <row r="7433" spans="1:9">
      <c r="A7433" s="577"/>
      <c r="B7433" s="65">
        <v>7631</v>
      </c>
      <c r="C7433" s="579" t="s">
        <v>281</v>
      </c>
      <c r="D7433" s="579"/>
      <c r="E7433" s="583"/>
      <c r="F7433" s="596"/>
      <c r="G7433" s="65">
        <v>0</v>
      </c>
      <c r="H7433" s="591" t="s">
        <v>280</v>
      </c>
      <c r="I7433" s="591" t="s">
        <v>280</v>
      </c>
    </row>
    <row r="7434" spans="1:9">
      <c r="A7434" s="577"/>
      <c r="B7434" s="65">
        <v>7632</v>
      </c>
      <c r="C7434" s="579" t="s">
        <v>281</v>
      </c>
      <c r="D7434" s="579"/>
      <c r="E7434" s="583"/>
      <c r="F7434" s="596"/>
      <c r="G7434" s="65">
        <v>0</v>
      </c>
      <c r="H7434" s="591" t="s">
        <v>280</v>
      </c>
      <c r="I7434" s="591" t="s">
        <v>280</v>
      </c>
    </row>
    <row r="7435" spans="1:9">
      <c r="A7435" s="577"/>
      <c r="B7435" s="65">
        <v>7633</v>
      </c>
      <c r="C7435" s="579" t="s">
        <v>281</v>
      </c>
      <c r="D7435" s="579"/>
      <c r="E7435" s="583"/>
      <c r="F7435" s="596"/>
      <c r="G7435" s="65">
        <v>0</v>
      </c>
      <c r="H7435" s="591" t="s">
        <v>280</v>
      </c>
      <c r="I7435" s="591" t="s">
        <v>280</v>
      </c>
    </row>
    <row r="7436" spans="1:9">
      <c r="A7436" s="577"/>
      <c r="B7436" s="65">
        <v>7634</v>
      </c>
      <c r="C7436" s="579" t="s">
        <v>281</v>
      </c>
      <c r="D7436" s="579"/>
      <c r="E7436" s="583"/>
      <c r="F7436" s="596"/>
      <c r="G7436" s="65">
        <v>0</v>
      </c>
      <c r="H7436" s="591" t="s">
        <v>280</v>
      </c>
      <c r="I7436" s="591" t="s">
        <v>280</v>
      </c>
    </row>
    <row r="7437" spans="1:9">
      <c r="A7437" s="577"/>
      <c r="B7437" s="65">
        <v>7635</v>
      </c>
      <c r="C7437" s="579" t="s">
        <v>281</v>
      </c>
      <c r="D7437" s="579"/>
      <c r="E7437" s="583"/>
      <c r="F7437" s="596"/>
      <c r="G7437" s="65">
        <v>0</v>
      </c>
      <c r="H7437" s="591" t="s">
        <v>280</v>
      </c>
      <c r="I7437" s="591" t="s">
        <v>280</v>
      </c>
    </row>
    <row r="7438" spans="1:9">
      <c r="A7438" s="577"/>
      <c r="B7438" s="65">
        <v>7636</v>
      </c>
      <c r="C7438" s="579" t="s">
        <v>281</v>
      </c>
      <c r="D7438" s="579"/>
      <c r="E7438" s="583"/>
      <c r="F7438" s="596"/>
      <c r="G7438" s="65">
        <v>0</v>
      </c>
      <c r="H7438" s="591" t="s">
        <v>280</v>
      </c>
      <c r="I7438" s="591" t="s">
        <v>280</v>
      </c>
    </row>
    <row r="7439" spans="1:9">
      <c r="A7439" s="577"/>
      <c r="B7439" s="65">
        <v>7637</v>
      </c>
      <c r="C7439" s="579" t="s">
        <v>281</v>
      </c>
      <c r="D7439" s="579"/>
      <c r="E7439" s="583"/>
      <c r="F7439" s="596"/>
      <c r="G7439" s="65">
        <v>0</v>
      </c>
      <c r="H7439" s="591" t="s">
        <v>280</v>
      </c>
      <c r="I7439" s="591" t="s">
        <v>280</v>
      </c>
    </row>
    <row r="7440" spans="1:9">
      <c r="A7440" s="577"/>
      <c r="B7440" s="65">
        <v>7638</v>
      </c>
      <c r="C7440" s="579" t="s">
        <v>281</v>
      </c>
      <c r="D7440" s="579"/>
      <c r="E7440" s="583"/>
      <c r="F7440" s="596"/>
      <c r="G7440" s="65">
        <v>0</v>
      </c>
      <c r="H7440" s="591" t="s">
        <v>280</v>
      </c>
      <c r="I7440" s="591" t="s">
        <v>280</v>
      </c>
    </row>
    <row r="7441" spans="1:9">
      <c r="A7441" s="577"/>
      <c r="B7441" s="65">
        <v>7639</v>
      </c>
      <c r="C7441" s="579" t="s">
        <v>281</v>
      </c>
      <c r="D7441" s="579"/>
      <c r="E7441" s="583"/>
      <c r="F7441" s="596"/>
      <c r="G7441" s="65">
        <v>0</v>
      </c>
      <c r="H7441" s="591" t="s">
        <v>280</v>
      </c>
      <c r="I7441" s="591" t="s">
        <v>280</v>
      </c>
    </row>
    <row r="7442" spans="1:9">
      <c r="A7442" s="577"/>
      <c r="B7442" s="65">
        <v>7640</v>
      </c>
      <c r="C7442" s="579" t="s">
        <v>281</v>
      </c>
      <c r="D7442" s="579"/>
      <c r="E7442" s="583"/>
      <c r="F7442" s="596"/>
      <c r="G7442" s="65">
        <v>0</v>
      </c>
      <c r="H7442" s="591" t="s">
        <v>280</v>
      </c>
      <c r="I7442" s="591" t="s">
        <v>280</v>
      </c>
    </row>
    <row r="7443" spans="1:9">
      <c r="A7443" s="577"/>
      <c r="B7443" s="65">
        <v>7641</v>
      </c>
      <c r="C7443" s="579" t="s">
        <v>281</v>
      </c>
      <c r="D7443" s="579"/>
      <c r="E7443" s="583"/>
      <c r="F7443" s="596"/>
      <c r="G7443" s="65">
        <v>0</v>
      </c>
      <c r="H7443" s="591" t="s">
        <v>280</v>
      </c>
      <c r="I7443" s="591" t="s">
        <v>280</v>
      </c>
    </row>
    <row r="7444" spans="1:9">
      <c r="A7444" s="577"/>
      <c r="B7444" s="65">
        <v>7642</v>
      </c>
      <c r="C7444" s="579" t="s">
        <v>281</v>
      </c>
      <c r="D7444" s="579"/>
      <c r="E7444" s="583"/>
      <c r="F7444" s="596"/>
      <c r="G7444" s="65">
        <v>0</v>
      </c>
      <c r="H7444" s="591" t="s">
        <v>280</v>
      </c>
      <c r="I7444" s="591" t="s">
        <v>280</v>
      </c>
    </row>
    <row r="7445" spans="1:9">
      <c r="A7445" s="577"/>
      <c r="B7445" s="65">
        <v>7643</v>
      </c>
      <c r="C7445" s="579" t="s">
        <v>281</v>
      </c>
      <c r="D7445" s="579"/>
      <c r="E7445" s="583"/>
      <c r="F7445" s="596"/>
      <c r="G7445" s="65">
        <v>0</v>
      </c>
      <c r="H7445" s="591" t="s">
        <v>280</v>
      </c>
      <c r="I7445" s="591" t="s">
        <v>280</v>
      </c>
    </row>
    <row r="7446" spans="1:9">
      <c r="A7446" s="577"/>
      <c r="B7446" s="65">
        <v>7644</v>
      </c>
      <c r="C7446" s="579" t="s">
        <v>281</v>
      </c>
      <c r="D7446" s="579"/>
      <c r="E7446" s="583"/>
      <c r="F7446" s="596"/>
      <c r="G7446" s="65">
        <v>0</v>
      </c>
      <c r="H7446" s="591" t="s">
        <v>280</v>
      </c>
      <c r="I7446" s="591" t="s">
        <v>280</v>
      </c>
    </row>
    <row r="7447" spans="1:9">
      <c r="A7447" s="577"/>
      <c r="B7447" s="65">
        <v>7645</v>
      </c>
      <c r="C7447" s="579" t="s">
        <v>281</v>
      </c>
      <c r="D7447" s="579"/>
      <c r="E7447" s="583"/>
      <c r="F7447" s="596"/>
      <c r="G7447" s="65">
        <v>0</v>
      </c>
      <c r="H7447" s="591" t="s">
        <v>280</v>
      </c>
      <c r="I7447" s="591" t="s">
        <v>280</v>
      </c>
    </row>
    <row r="7448" spans="1:9">
      <c r="A7448" s="577"/>
      <c r="B7448" s="65">
        <v>7646</v>
      </c>
      <c r="C7448" s="579" t="s">
        <v>281</v>
      </c>
      <c r="D7448" s="579"/>
      <c r="E7448" s="583"/>
      <c r="F7448" s="596"/>
      <c r="G7448" s="65">
        <v>0</v>
      </c>
      <c r="H7448" s="591" t="s">
        <v>280</v>
      </c>
      <c r="I7448" s="591" t="s">
        <v>280</v>
      </c>
    </row>
    <row r="7449" spans="1:9">
      <c r="A7449" s="577"/>
      <c r="B7449" s="65">
        <v>7647</v>
      </c>
      <c r="C7449" s="579" t="s">
        <v>281</v>
      </c>
      <c r="D7449" s="579"/>
      <c r="E7449" s="583"/>
      <c r="F7449" s="596"/>
      <c r="G7449" s="65">
        <v>0</v>
      </c>
      <c r="H7449" s="591" t="s">
        <v>280</v>
      </c>
      <c r="I7449" s="591" t="s">
        <v>280</v>
      </c>
    </row>
    <row r="7450" spans="1:9">
      <c r="A7450" s="577"/>
      <c r="B7450" s="65">
        <v>7648</v>
      </c>
      <c r="C7450" s="579" t="s">
        <v>281</v>
      </c>
      <c r="D7450" s="579"/>
      <c r="E7450" s="583"/>
      <c r="F7450" s="596"/>
      <c r="G7450" s="65">
        <v>0</v>
      </c>
      <c r="H7450" s="591" t="s">
        <v>280</v>
      </c>
      <c r="I7450" s="591" t="s">
        <v>280</v>
      </c>
    </row>
    <row r="7451" spans="1:9">
      <c r="A7451" s="577"/>
      <c r="B7451" s="65">
        <v>7649</v>
      </c>
      <c r="C7451" s="579" t="s">
        <v>281</v>
      </c>
      <c r="D7451" s="579"/>
      <c r="E7451" s="583"/>
      <c r="F7451" s="596"/>
      <c r="G7451" s="65">
        <v>0</v>
      </c>
      <c r="H7451" s="591" t="s">
        <v>280</v>
      </c>
      <c r="I7451" s="591" t="s">
        <v>280</v>
      </c>
    </row>
    <row r="7452" spans="1:9">
      <c r="A7452" s="577"/>
      <c r="B7452" s="65">
        <v>7650</v>
      </c>
      <c r="C7452" s="579" t="s">
        <v>281</v>
      </c>
      <c r="D7452" s="579"/>
      <c r="E7452" s="583"/>
      <c r="F7452" s="596"/>
      <c r="G7452" s="65">
        <v>0</v>
      </c>
      <c r="H7452" s="591" t="s">
        <v>280</v>
      </c>
      <c r="I7452" s="591" t="s">
        <v>280</v>
      </c>
    </row>
    <row r="7453" spans="1:9">
      <c r="A7453" s="577"/>
      <c r="B7453" s="65">
        <v>7651</v>
      </c>
      <c r="C7453" s="579" t="s">
        <v>281</v>
      </c>
      <c r="D7453" s="579"/>
      <c r="E7453" s="583"/>
      <c r="F7453" s="596"/>
      <c r="G7453" s="65">
        <v>0</v>
      </c>
      <c r="H7453" s="591" t="s">
        <v>280</v>
      </c>
      <c r="I7453" s="591" t="s">
        <v>280</v>
      </c>
    </row>
    <row r="7454" spans="1:9">
      <c r="A7454" s="577"/>
      <c r="B7454" s="65">
        <v>7652</v>
      </c>
      <c r="C7454" s="579" t="s">
        <v>281</v>
      </c>
      <c r="D7454" s="579"/>
      <c r="E7454" s="583"/>
      <c r="F7454" s="596"/>
      <c r="G7454" s="65">
        <v>0</v>
      </c>
      <c r="H7454" s="591" t="s">
        <v>280</v>
      </c>
      <c r="I7454" s="591" t="s">
        <v>280</v>
      </c>
    </row>
    <row r="7455" spans="1:9">
      <c r="A7455" s="577"/>
      <c r="B7455" s="65">
        <v>7653</v>
      </c>
      <c r="C7455" s="579" t="s">
        <v>281</v>
      </c>
      <c r="D7455" s="579"/>
      <c r="E7455" s="583"/>
      <c r="F7455" s="596"/>
      <c r="G7455" s="65">
        <v>0</v>
      </c>
      <c r="H7455" s="591" t="s">
        <v>280</v>
      </c>
      <c r="I7455" s="591" t="s">
        <v>280</v>
      </c>
    </row>
    <row r="7456" spans="1:9">
      <c r="A7456" s="577"/>
      <c r="B7456" s="65">
        <v>7654</v>
      </c>
      <c r="C7456" s="579" t="s">
        <v>281</v>
      </c>
      <c r="D7456" s="579"/>
      <c r="E7456" s="583"/>
      <c r="F7456" s="596"/>
      <c r="G7456" s="65">
        <v>0</v>
      </c>
      <c r="H7456" s="591" t="s">
        <v>280</v>
      </c>
      <c r="I7456" s="589" t="s">
        <v>280</v>
      </c>
    </row>
    <row r="7457" spans="1:9">
      <c r="A7457" s="577"/>
      <c r="B7457" s="65">
        <v>7655</v>
      </c>
      <c r="C7457" s="579" t="s">
        <v>281</v>
      </c>
      <c r="D7457" s="579"/>
      <c r="E7457" s="583"/>
      <c r="F7457" s="596"/>
      <c r="G7457" s="65">
        <v>0</v>
      </c>
      <c r="H7457" s="591" t="s">
        <v>280</v>
      </c>
      <c r="I7457" s="589" t="s">
        <v>280</v>
      </c>
    </row>
    <row r="7458" spans="1:9">
      <c r="A7458" s="577"/>
      <c r="B7458" s="65">
        <v>7656</v>
      </c>
      <c r="C7458" s="579" t="s">
        <v>281</v>
      </c>
      <c r="D7458" s="579"/>
      <c r="E7458" s="583"/>
      <c r="F7458" s="596"/>
      <c r="G7458" s="65">
        <v>0</v>
      </c>
      <c r="H7458" s="591" t="s">
        <v>280</v>
      </c>
      <c r="I7458" s="589" t="s">
        <v>280</v>
      </c>
    </row>
    <row r="7459" spans="1:9">
      <c r="A7459" s="577"/>
      <c r="B7459" s="65">
        <v>7657</v>
      </c>
      <c r="C7459" s="579" t="s">
        <v>281</v>
      </c>
      <c r="D7459" s="579"/>
      <c r="E7459" s="583"/>
      <c r="F7459" s="596"/>
      <c r="G7459" s="65">
        <v>0</v>
      </c>
      <c r="H7459" s="591" t="s">
        <v>280</v>
      </c>
      <c r="I7459" s="589" t="s">
        <v>280</v>
      </c>
    </row>
    <row r="7460" spans="1:9">
      <c r="A7460" s="577"/>
      <c r="B7460" s="65">
        <v>7658</v>
      </c>
      <c r="C7460" s="579" t="s">
        <v>281</v>
      </c>
      <c r="D7460" s="579"/>
      <c r="E7460" s="583"/>
      <c r="F7460" s="596"/>
      <c r="G7460" s="65">
        <v>0</v>
      </c>
      <c r="H7460" s="591" t="s">
        <v>280</v>
      </c>
      <c r="I7460" s="589" t="s">
        <v>280</v>
      </c>
    </row>
    <row r="7461" spans="1:9">
      <c r="A7461" s="577"/>
      <c r="B7461" s="65">
        <v>7659</v>
      </c>
      <c r="C7461" s="579" t="s">
        <v>281</v>
      </c>
      <c r="D7461" s="579"/>
      <c r="E7461" s="583"/>
      <c r="F7461" s="596"/>
      <c r="G7461" s="65">
        <v>0</v>
      </c>
      <c r="H7461" s="591" t="s">
        <v>280</v>
      </c>
      <c r="I7461" s="589" t="s">
        <v>280</v>
      </c>
    </row>
    <row r="7462" spans="1:9">
      <c r="A7462" s="577"/>
      <c r="B7462" s="65">
        <v>7660</v>
      </c>
      <c r="C7462" s="579" t="s">
        <v>281</v>
      </c>
      <c r="D7462" s="579"/>
      <c r="E7462" s="583"/>
      <c r="F7462" s="596"/>
      <c r="G7462" s="65">
        <v>0</v>
      </c>
      <c r="H7462" s="591" t="s">
        <v>280</v>
      </c>
      <c r="I7462" s="589" t="s">
        <v>280</v>
      </c>
    </row>
    <row r="7463" spans="1:9">
      <c r="A7463" s="577"/>
      <c r="B7463" s="65">
        <v>7661</v>
      </c>
      <c r="C7463" s="579" t="s">
        <v>281</v>
      </c>
      <c r="D7463" s="579"/>
      <c r="E7463" s="583"/>
      <c r="F7463" s="596"/>
      <c r="G7463" s="65">
        <v>0</v>
      </c>
      <c r="H7463" s="591" t="s">
        <v>280</v>
      </c>
      <c r="I7463" s="589" t="s">
        <v>280</v>
      </c>
    </row>
    <row r="7464" spans="1:9">
      <c r="A7464" s="577"/>
      <c r="B7464" s="65">
        <v>7662</v>
      </c>
      <c r="C7464" s="579" t="s">
        <v>281</v>
      </c>
      <c r="D7464" s="579"/>
      <c r="E7464" s="583"/>
      <c r="F7464" s="596"/>
      <c r="G7464" s="65">
        <v>0</v>
      </c>
      <c r="H7464" s="591" t="s">
        <v>280</v>
      </c>
      <c r="I7464" s="589" t="s">
        <v>280</v>
      </c>
    </row>
    <row r="7465" spans="1:9">
      <c r="A7465" s="577"/>
      <c r="B7465" s="65">
        <v>7663</v>
      </c>
      <c r="C7465" s="579" t="s">
        <v>281</v>
      </c>
      <c r="D7465" s="579"/>
      <c r="E7465" s="583"/>
      <c r="F7465" s="596"/>
      <c r="G7465" s="65">
        <v>0</v>
      </c>
      <c r="H7465" s="591" t="s">
        <v>280</v>
      </c>
      <c r="I7465" s="589" t="s">
        <v>280</v>
      </c>
    </row>
    <row r="7466" spans="1:9">
      <c r="A7466" s="577"/>
      <c r="B7466" s="65">
        <v>7664</v>
      </c>
      <c r="C7466" s="579" t="s">
        <v>281</v>
      </c>
      <c r="D7466" s="579"/>
      <c r="E7466" s="583"/>
      <c r="F7466" s="596"/>
      <c r="G7466" s="65">
        <v>0</v>
      </c>
      <c r="H7466" s="591" t="s">
        <v>280</v>
      </c>
      <c r="I7466" s="589" t="s">
        <v>280</v>
      </c>
    </row>
    <row r="7467" spans="1:9">
      <c r="A7467" s="577"/>
      <c r="B7467" s="65">
        <v>7665</v>
      </c>
      <c r="C7467" s="579" t="s">
        <v>281</v>
      </c>
      <c r="D7467" s="579"/>
      <c r="E7467" s="583"/>
      <c r="F7467" s="596"/>
      <c r="G7467" s="65">
        <v>0</v>
      </c>
      <c r="H7467" s="591" t="s">
        <v>280</v>
      </c>
      <c r="I7467" s="589" t="s">
        <v>280</v>
      </c>
    </row>
    <row r="7468" spans="1:9">
      <c r="A7468" s="577"/>
      <c r="B7468" s="65">
        <v>7666</v>
      </c>
      <c r="C7468" s="579" t="s">
        <v>281</v>
      </c>
      <c r="D7468" s="579"/>
      <c r="E7468" s="583"/>
      <c r="F7468" s="596"/>
      <c r="G7468" s="65">
        <v>0</v>
      </c>
      <c r="H7468" s="591" t="s">
        <v>280</v>
      </c>
      <c r="I7468" s="589" t="s">
        <v>280</v>
      </c>
    </row>
    <row r="7469" spans="1:9">
      <c r="A7469" s="577"/>
      <c r="B7469" s="65">
        <v>7667</v>
      </c>
      <c r="C7469" s="579" t="s">
        <v>281</v>
      </c>
      <c r="D7469" s="579"/>
      <c r="E7469" s="583"/>
      <c r="F7469" s="596"/>
      <c r="G7469" s="65">
        <v>0</v>
      </c>
      <c r="H7469" s="591" t="s">
        <v>280</v>
      </c>
      <c r="I7469" s="589" t="s">
        <v>280</v>
      </c>
    </row>
    <row r="7470" spans="1:9">
      <c r="A7470" s="577"/>
      <c r="B7470" s="65">
        <v>7668</v>
      </c>
      <c r="C7470" s="579" t="s">
        <v>281</v>
      </c>
      <c r="D7470" s="579"/>
      <c r="E7470" s="583"/>
      <c r="F7470" s="596"/>
      <c r="G7470" s="65">
        <v>0</v>
      </c>
      <c r="H7470" s="591" t="s">
        <v>280</v>
      </c>
      <c r="I7470" s="589" t="s">
        <v>280</v>
      </c>
    </row>
    <row r="7471" spans="1:9">
      <c r="A7471" s="577"/>
      <c r="B7471" s="65">
        <v>7669</v>
      </c>
      <c r="C7471" s="579" t="s">
        <v>281</v>
      </c>
      <c r="D7471" s="579"/>
      <c r="E7471" s="583"/>
      <c r="F7471" s="596"/>
      <c r="G7471" s="65">
        <v>0</v>
      </c>
      <c r="H7471" s="591" t="s">
        <v>280</v>
      </c>
      <c r="I7471" s="589" t="s">
        <v>280</v>
      </c>
    </row>
    <row r="7472" spans="1:9">
      <c r="A7472" s="577"/>
      <c r="B7472" s="65">
        <v>7670</v>
      </c>
      <c r="C7472" s="579" t="s">
        <v>281</v>
      </c>
      <c r="D7472" s="579"/>
      <c r="E7472" s="583"/>
      <c r="F7472" s="596"/>
      <c r="G7472" s="65">
        <v>0</v>
      </c>
      <c r="H7472" s="591" t="s">
        <v>280</v>
      </c>
      <c r="I7472" s="589" t="s">
        <v>280</v>
      </c>
    </row>
    <row r="7473" spans="1:9">
      <c r="A7473" s="577"/>
      <c r="B7473" s="65">
        <v>7671</v>
      </c>
      <c r="C7473" s="579" t="s">
        <v>281</v>
      </c>
      <c r="D7473" s="579"/>
      <c r="E7473" s="583"/>
      <c r="F7473" s="596"/>
      <c r="G7473" s="65">
        <v>0</v>
      </c>
      <c r="H7473" s="591" t="s">
        <v>280</v>
      </c>
      <c r="I7473" s="589" t="s">
        <v>280</v>
      </c>
    </row>
    <row r="7474" spans="1:9">
      <c r="A7474" s="577"/>
      <c r="B7474" s="65">
        <v>7672</v>
      </c>
      <c r="C7474" s="579" t="s">
        <v>281</v>
      </c>
      <c r="D7474" s="579"/>
      <c r="E7474" s="583"/>
      <c r="F7474" s="596"/>
      <c r="G7474" s="65">
        <v>0</v>
      </c>
      <c r="H7474" s="591" t="s">
        <v>280</v>
      </c>
      <c r="I7474" s="589" t="s">
        <v>280</v>
      </c>
    </row>
    <row r="7475" spans="1:9">
      <c r="A7475" s="577"/>
      <c r="B7475" s="65">
        <v>7673</v>
      </c>
      <c r="C7475" s="579" t="s">
        <v>281</v>
      </c>
      <c r="D7475" s="579"/>
      <c r="E7475" s="583"/>
      <c r="F7475" s="596"/>
      <c r="G7475" s="65">
        <v>0</v>
      </c>
      <c r="H7475" s="591" t="s">
        <v>280</v>
      </c>
      <c r="I7475" s="589" t="s">
        <v>280</v>
      </c>
    </row>
    <row r="7476" spans="1:9">
      <c r="A7476" s="577"/>
      <c r="B7476" s="65">
        <v>7674</v>
      </c>
      <c r="C7476" s="579" t="s">
        <v>281</v>
      </c>
      <c r="D7476" s="579"/>
      <c r="E7476" s="583"/>
      <c r="F7476" s="596"/>
      <c r="G7476" s="65">
        <v>0</v>
      </c>
      <c r="H7476" s="591" t="s">
        <v>280</v>
      </c>
      <c r="I7476" s="589" t="s">
        <v>280</v>
      </c>
    </row>
    <row r="7477" spans="1:9">
      <c r="A7477" s="577"/>
      <c r="B7477" s="65">
        <v>7675</v>
      </c>
      <c r="C7477" s="579" t="s">
        <v>281</v>
      </c>
      <c r="D7477" s="579"/>
      <c r="E7477" s="583"/>
      <c r="F7477" s="596"/>
      <c r="G7477" s="65">
        <v>0</v>
      </c>
      <c r="H7477" s="591" t="s">
        <v>280</v>
      </c>
      <c r="I7477" s="589" t="s">
        <v>280</v>
      </c>
    </row>
    <row r="7478" spans="1:9">
      <c r="A7478" s="577"/>
      <c r="B7478" s="65">
        <v>7676</v>
      </c>
      <c r="C7478" s="579" t="s">
        <v>281</v>
      </c>
      <c r="D7478" s="579"/>
      <c r="E7478" s="583"/>
      <c r="F7478" s="596"/>
      <c r="G7478" s="65">
        <v>0</v>
      </c>
      <c r="H7478" s="591" t="s">
        <v>280</v>
      </c>
      <c r="I7478" s="589" t="s">
        <v>280</v>
      </c>
    </row>
    <row r="7479" spans="1:9">
      <c r="A7479" s="577"/>
      <c r="B7479" s="65">
        <v>7677</v>
      </c>
      <c r="C7479" s="579" t="s">
        <v>281</v>
      </c>
      <c r="D7479" s="579"/>
      <c r="E7479" s="583"/>
      <c r="F7479" s="596"/>
      <c r="G7479" s="65">
        <v>0</v>
      </c>
      <c r="H7479" s="591" t="s">
        <v>280</v>
      </c>
      <c r="I7479" s="589" t="s">
        <v>280</v>
      </c>
    </row>
    <row r="7480" spans="1:9">
      <c r="A7480" s="577"/>
      <c r="B7480" s="65">
        <v>7678</v>
      </c>
      <c r="C7480" s="579" t="s">
        <v>281</v>
      </c>
      <c r="D7480" s="579"/>
      <c r="E7480" s="583"/>
      <c r="F7480" s="596"/>
      <c r="G7480" s="65">
        <v>0</v>
      </c>
      <c r="H7480" s="591" t="s">
        <v>280</v>
      </c>
      <c r="I7480" s="589" t="s">
        <v>280</v>
      </c>
    </row>
    <row r="7481" spans="1:9">
      <c r="A7481" s="577"/>
      <c r="B7481" s="65">
        <v>7679</v>
      </c>
      <c r="C7481" s="579" t="s">
        <v>281</v>
      </c>
      <c r="D7481" s="579"/>
      <c r="E7481" s="583"/>
      <c r="F7481" s="596"/>
      <c r="G7481" s="65">
        <v>0</v>
      </c>
      <c r="H7481" s="591" t="s">
        <v>280</v>
      </c>
      <c r="I7481" s="589" t="s">
        <v>280</v>
      </c>
    </row>
    <row r="7482" spans="1:9">
      <c r="A7482" s="577"/>
      <c r="B7482" s="65">
        <v>7680</v>
      </c>
      <c r="C7482" s="579" t="s">
        <v>281</v>
      </c>
      <c r="D7482" s="579"/>
      <c r="E7482" s="583"/>
      <c r="F7482" s="596"/>
      <c r="G7482" s="65">
        <v>0</v>
      </c>
      <c r="H7482" s="591" t="s">
        <v>280</v>
      </c>
      <c r="I7482" s="589" t="s">
        <v>280</v>
      </c>
    </row>
    <row r="7483" spans="1:9">
      <c r="A7483" s="577"/>
      <c r="B7483" s="65">
        <v>7681</v>
      </c>
      <c r="C7483" s="579" t="s">
        <v>281</v>
      </c>
      <c r="D7483" s="579"/>
      <c r="E7483" s="583"/>
      <c r="F7483" s="596"/>
      <c r="G7483" s="65">
        <v>0</v>
      </c>
      <c r="H7483" s="591" t="s">
        <v>280</v>
      </c>
      <c r="I7483" s="589" t="s">
        <v>280</v>
      </c>
    </row>
    <row r="7484" spans="1:9">
      <c r="A7484" s="577"/>
      <c r="B7484" s="65">
        <v>7682</v>
      </c>
      <c r="C7484" s="579" t="s">
        <v>281</v>
      </c>
      <c r="D7484" s="579"/>
      <c r="E7484" s="583"/>
      <c r="F7484" s="596"/>
      <c r="G7484" s="65">
        <v>0</v>
      </c>
      <c r="H7484" s="591" t="s">
        <v>280</v>
      </c>
      <c r="I7484" s="589" t="s">
        <v>280</v>
      </c>
    </row>
    <row r="7485" spans="1:9">
      <c r="A7485" s="577"/>
      <c r="B7485" s="65">
        <v>7683</v>
      </c>
      <c r="C7485" s="579" t="s">
        <v>281</v>
      </c>
      <c r="D7485" s="579"/>
      <c r="E7485" s="583"/>
      <c r="F7485" s="596"/>
      <c r="G7485" s="65">
        <v>0</v>
      </c>
      <c r="H7485" s="591" t="s">
        <v>280</v>
      </c>
      <c r="I7485" s="589" t="s">
        <v>280</v>
      </c>
    </row>
    <row r="7486" spans="1:9">
      <c r="A7486" s="577"/>
      <c r="B7486" s="65">
        <v>7684</v>
      </c>
      <c r="C7486" s="579" t="s">
        <v>281</v>
      </c>
      <c r="D7486" s="579"/>
      <c r="E7486" s="583"/>
      <c r="F7486" s="596"/>
      <c r="G7486" s="65">
        <v>0</v>
      </c>
      <c r="H7486" s="591" t="s">
        <v>280</v>
      </c>
      <c r="I7486" s="589" t="s">
        <v>280</v>
      </c>
    </row>
    <row r="7487" spans="1:9">
      <c r="A7487" s="577"/>
      <c r="B7487" s="65">
        <v>7685</v>
      </c>
      <c r="C7487" s="579" t="s">
        <v>281</v>
      </c>
      <c r="D7487" s="579"/>
      <c r="E7487" s="583"/>
      <c r="F7487" s="596"/>
      <c r="G7487" s="65">
        <v>0</v>
      </c>
      <c r="H7487" s="591" t="s">
        <v>280</v>
      </c>
      <c r="I7487" s="589" t="s">
        <v>280</v>
      </c>
    </row>
    <row r="7488" spans="1:9">
      <c r="A7488" s="577"/>
      <c r="B7488" s="65">
        <v>7686</v>
      </c>
      <c r="C7488" s="579" t="s">
        <v>281</v>
      </c>
      <c r="D7488" s="579"/>
      <c r="E7488" s="583"/>
      <c r="F7488" s="596"/>
      <c r="G7488" s="65">
        <v>0</v>
      </c>
      <c r="H7488" s="591" t="s">
        <v>280</v>
      </c>
      <c r="I7488" s="589" t="s">
        <v>280</v>
      </c>
    </row>
    <row r="7489" spans="1:9">
      <c r="A7489" s="577"/>
      <c r="B7489" s="65">
        <v>7687</v>
      </c>
      <c r="C7489" s="579" t="s">
        <v>281</v>
      </c>
      <c r="D7489" s="579"/>
      <c r="E7489" s="583"/>
      <c r="F7489" s="596"/>
      <c r="G7489" s="65">
        <v>0</v>
      </c>
      <c r="H7489" s="591" t="s">
        <v>280</v>
      </c>
      <c r="I7489" s="589" t="s">
        <v>280</v>
      </c>
    </row>
    <row r="7490" spans="1:9">
      <c r="A7490" s="577"/>
      <c r="B7490" s="65">
        <v>7688</v>
      </c>
      <c r="C7490" s="579" t="s">
        <v>281</v>
      </c>
      <c r="D7490" s="579"/>
      <c r="E7490" s="583"/>
      <c r="F7490" s="596"/>
      <c r="G7490" s="65">
        <v>0</v>
      </c>
      <c r="H7490" s="591" t="s">
        <v>280</v>
      </c>
      <c r="I7490" s="589" t="s">
        <v>280</v>
      </c>
    </row>
    <row r="7491" spans="1:9">
      <c r="A7491" s="577"/>
      <c r="B7491" s="65">
        <v>7689</v>
      </c>
      <c r="C7491" s="579" t="s">
        <v>281</v>
      </c>
      <c r="D7491" s="579"/>
      <c r="E7491" s="583"/>
      <c r="F7491" s="596"/>
      <c r="G7491" s="65">
        <v>0</v>
      </c>
      <c r="H7491" s="591" t="s">
        <v>280</v>
      </c>
      <c r="I7491" s="589" t="s">
        <v>280</v>
      </c>
    </row>
    <row r="7492" spans="1:9">
      <c r="A7492" s="577"/>
      <c r="B7492" s="65">
        <v>7690</v>
      </c>
      <c r="C7492" s="579" t="s">
        <v>281</v>
      </c>
      <c r="D7492" s="579"/>
      <c r="E7492" s="583"/>
      <c r="F7492" s="596"/>
      <c r="G7492" s="65">
        <v>0</v>
      </c>
      <c r="H7492" s="591" t="s">
        <v>280</v>
      </c>
      <c r="I7492" s="589" t="s">
        <v>280</v>
      </c>
    </row>
    <row r="7493" spans="1:9">
      <c r="A7493" s="577"/>
      <c r="B7493" s="65">
        <v>7691</v>
      </c>
      <c r="C7493" s="579" t="s">
        <v>281</v>
      </c>
      <c r="D7493" s="579"/>
      <c r="E7493" s="583"/>
      <c r="F7493" s="596"/>
      <c r="G7493" s="65">
        <v>0</v>
      </c>
      <c r="H7493" s="591" t="s">
        <v>280</v>
      </c>
      <c r="I7493" s="589" t="s">
        <v>280</v>
      </c>
    </row>
    <row r="7494" spans="1:9">
      <c r="A7494" s="577"/>
      <c r="B7494" s="65">
        <v>7692</v>
      </c>
      <c r="C7494" s="579" t="s">
        <v>281</v>
      </c>
      <c r="D7494" s="579"/>
      <c r="E7494" s="583"/>
      <c r="F7494" s="596"/>
      <c r="G7494" s="65">
        <v>0</v>
      </c>
      <c r="H7494" s="591" t="s">
        <v>280</v>
      </c>
      <c r="I7494" s="589" t="s">
        <v>280</v>
      </c>
    </row>
    <row r="7495" spans="1:9">
      <c r="A7495" s="577"/>
      <c r="B7495" s="65">
        <v>7693</v>
      </c>
      <c r="C7495" s="579" t="s">
        <v>281</v>
      </c>
      <c r="D7495" s="579"/>
      <c r="E7495" s="583"/>
      <c r="F7495" s="596"/>
      <c r="G7495" s="65">
        <v>0</v>
      </c>
      <c r="H7495" s="591" t="s">
        <v>280</v>
      </c>
      <c r="I7495" s="589" t="s">
        <v>280</v>
      </c>
    </row>
    <row r="7496" spans="1:9">
      <c r="A7496" s="577"/>
      <c r="B7496" s="65">
        <v>7694</v>
      </c>
      <c r="C7496" s="579" t="s">
        <v>281</v>
      </c>
      <c r="D7496" s="579"/>
      <c r="E7496" s="583"/>
      <c r="F7496" s="596"/>
      <c r="G7496" s="65">
        <v>0</v>
      </c>
      <c r="H7496" s="591" t="s">
        <v>280</v>
      </c>
      <c r="I7496" s="589" t="s">
        <v>280</v>
      </c>
    </row>
    <row r="7497" spans="1:9">
      <c r="A7497" s="577"/>
      <c r="B7497" s="65">
        <v>7695</v>
      </c>
      <c r="C7497" s="579" t="s">
        <v>281</v>
      </c>
      <c r="D7497" s="579"/>
      <c r="E7497" s="583"/>
      <c r="F7497" s="596"/>
      <c r="G7497" s="65">
        <v>0</v>
      </c>
      <c r="H7497" s="591" t="s">
        <v>280</v>
      </c>
      <c r="I7497" s="589" t="s">
        <v>280</v>
      </c>
    </row>
    <row r="7498" spans="1:9">
      <c r="A7498" s="577"/>
      <c r="B7498" s="65">
        <v>7696</v>
      </c>
      <c r="C7498" s="579" t="s">
        <v>281</v>
      </c>
      <c r="D7498" s="579"/>
      <c r="E7498" s="583"/>
      <c r="F7498" s="596"/>
      <c r="G7498" s="65">
        <v>0</v>
      </c>
      <c r="H7498" s="591" t="s">
        <v>280</v>
      </c>
      <c r="I7498" s="589" t="s">
        <v>280</v>
      </c>
    </row>
    <row r="7499" spans="1:9">
      <c r="A7499" s="577"/>
      <c r="B7499" s="65">
        <v>7697</v>
      </c>
      <c r="C7499" s="579" t="s">
        <v>281</v>
      </c>
      <c r="D7499" s="579"/>
      <c r="E7499" s="583"/>
      <c r="F7499" s="596"/>
      <c r="G7499" s="65">
        <v>0</v>
      </c>
      <c r="H7499" s="591" t="s">
        <v>280</v>
      </c>
      <c r="I7499" s="589" t="s">
        <v>280</v>
      </c>
    </row>
    <row r="7500" spans="1:9">
      <c r="A7500" s="577"/>
      <c r="B7500" s="65">
        <v>7698</v>
      </c>
      <c r="C7500" s="579" t="s">
        <v>281</v>
      </c>
      <c r="D7500" s="579"/>
      <c r="E7500" s="583"/>
      <c r="F7500" s="596"/>
      <c r="G7500" s="65">
        <v>0</v>
      </c>
      <c r="H7500" s="591" t="s">
        <v>280</v>
      </c>
      <c r="I7500" s="589" t="s">
        <v>280</v>
      </c>
    </row>
    <row r="7501" spans="1:9">
      <c r="A7501" s="577"/>
      <c r="B7501" s="65">
        <v>7699</v>
      </c>
      <c r="C7501" s="579" t="s">
        <v>281</v>
      </c>
      <c r="D7501" s="579"/>
      <c r="E7501" s="583"/>
      <c r="F7501" s="596"/>
      <c r="G7501" s="65">
        <v>0</v>
      </c>
      <c r="H7501" s="591" t="s">
        <v>280</v>
      </c>
      <c r="I7501" s="589" t="s">
        <v>280</v>
      </c>
    </row>
    <row r="7502" spans="1:9">
      <c r="A7502" s="577"/>
      <c r="B7502" s="65">
        <v>7700</v>
      </c>
      <c r="C7502" s="579" t="s">
        <v>281</v>
      </c>
      <c r="D7502" s="579"/>
      <c r="E7502" s="583"/>
      <c r="F7502" s="596"/>
      <c r="G7502" s="65">
        <v>0</v>
      </c>
      <c r="H7502" s="591" t="s">
        <v>280</v>
      </c>
      <c r="I7502" s="589" t="s">
        <v>280</v>
      </c>
    </row>
    <row r="7503" spans="1:9">
      <c r="A7503" s="577"/>
      <c r="B7503" s="65">
        <v>7701</v>
      </c>
      <c r="C7503" s="579" t="s">
        <v>281</v>
      </c>
      <c r="D7503" s="579"/>
      <c r="E7503" s="583"/>
      <c r="F7503" s="596"/>
      <c r="G7503" s="65">
        <v>0</v>
      </c>
      <c r="H7503" s="591" t="s">
        <v>280</v>
      </c>
      <c r="I7503" s="589" t="s">
        <v>280</v>
      </c>
    </row>
    <row r="7504" spans="1:9">
      <c r="A7504" s="577"/>
      <c r="B7504" s="65">
        <v>7702</v>
      </c>
      <c r="C7504" s="579" t="s">
        <v>281</v>
      </c>
      <c r="D7504" s="579"/>
      <c r="E7504" s="583"/>
      <c r="F7504" s="596"/>
      <c r="G7504" s="65">
        <v>0</v>
      </c>
      <c r="H7504" s="591" t="s">
        <v>280</v>
      </c>
      <c r="I7504" s="589" t="s">
        <v>280</v>
      </c>
    </row>
    <row r="7505" spans="1:9">
      <c r="A7505" s="577"/>
      <c r="B7505" s="65">
        <v>7703</v>
      </c>
      <c r="C7505" s="579" t="s">
        <v>281</v>
      </c>
      <c r="D7505" s="579"/>
      <c r="E7505" s="583"/>
      <c r="F7505" s="596"/>
      <c r="G7505" s="65">
        <v>0</v>
      </c>
      <c r="H7505" s="591" t="s">
        <v>280</v>
      </c>
      <c r="I7505" s="589" t="s">
        <v>280</v>
      </c>
    </row>
    <row r="7506" spans="1:9">
      <c r="A7506" s="577"/>
      <c r="B7506" s="65">
        <v>7704</v>
      </c>
      <c r="C7506" s="579" t="s">
        <v>281</v>
      </c>
      <c r="D7506" s="579"/>
      <c r="E7506" s="583"/>
      <c r="F7506" s="596"/>
      <c r="G7506" s="65">
        <v>0</v>
      </c>
      <c r="H7506" s="591" t="s">
        <v>280</v>
      </c>
      <c r="I7506" s="589" t="s">
        <v>280</v>
      </c>
    </row>
    <row r="7507" spans="1:9">
      <c r="A7507" s="577"/>
      <c r="B7507" s="65">
        <v>7705</v>
      </c>
      <c r="C7507" s="579" t="s">
        <v>281</v>
      </c>
      <c r="D7507" s="579"/>
      <c r="E7507" s="583"/>
      <c r="F7507" s="596"/>
      <c r="G7507" s="65">
        <v>0</v>
      </c>
      <c r="H7507" s="591" t="s">
        <v>280</v>
      </c>
      <c r="I7507" s="589" t="s">
        <v>280</v>
      </c>
    </row>
    <row r="7508" spans="1:9">
      <c r="A7508" s="577"/>
      <c r="B7508" s="65">
        <v>7706</v>
      </c>
      <c r="C7508" s="579" t="s">
        <v>281</v>
      </c>
      <c r="D7508" s="579"/>
      <c r="E7508" s="583"/>
      <c r="F7508" s="596"/>
      <c r="G7508" s="65">
        <v>0</v>
      </c>
      <c r="H7508" s="591" t="s">
        <v>280</v>
      </c>
      <c r="I7508" s="589" t="s">
        <v>280</v>
      </c>
    </row>
    <row r="7509" spans="1:9">
      <c r="A7509" s="577"/>
      <c r="B7509" s="65">
        <v>7707</v>
      </c>
      <c r="C7509" s="579" t="s">
        <v>281</v>
      </c>
      <c r="D7509" s="579"/>
      <c r="E7509" s="583"/>
      <c r="F7509" s="596"/>
      <c r="G7509" s="65">
        <v>0</v>
      </c>
      <c r="H7509" s="591" t="s">
        <v>280</v>
      </c>
      <c r="I7509" s="589" t="s">
        <v>280</v>
      </c>
    </row>
    <row r="7510" spans="1:9">
      <c r="A7510" s="577"/>
      <c r="B7510" s="65">
        <v>7708</v>
      </c>
      <c r="C7510" s="579" t="s">
        <v>281</v>
      </c>
      <c r="D7510" s="579"/>
      <c r="E7510" s="583"/>
      <c r="F7510" s="596"/>
      <c r="G7510" s="65">
        <v>0</v>
      </c>
      <c r="H7510" s="591" t="s">
        <v>280</v>
      </c>
      <c r="I7510" s="589" t="s">
        <v>280</v>
      </c>
    </row>
    <row r="7511" spans="1:9">
      <c r="A7511" s="577"/>
      <c r="B7511" s="65">
        <v>7709</v>
      </c>
      <c r="C7511" s="579" t="s">
        <v>281</v>
      </c>
      <c r="D7511" s="579"/>
      <c r="E7511" s="583"/>
      <c r="F7511" s="596"/>
      <c r="G7511" s="65">
        <v>0</v>
      </c>
      <c r="H7511" s="591" t="s">
        <v>280</v>
      </c>
      <c r="I7511" s="589" t="s">
        <v>280</v>
      </c>
    </row>
    <row r="7512" spans="1:9">
      <c r="A7512" s="577"/>
      <c r="B7512" s="65">
        <v>7710</v>
      </c>
      <c r="C7512" s="579" t="s">
        <v>281</v>
      </c>
      <c r="D7512" s="579"/>
      <c r="E7512" s="583"/>
      <c r="F7512" s="596"/>
      <c r="G7512" s="65">
        <v>0</v>
      </c>
      <c r="H7512" s="591" t="s">
        <v>280</v>
      </c>
      <c r="I7512" s="589" t="s">
        <v>280</v>
      </c>
    </row>
    <row r="7513" spans="1:9">
      <c r="A7513" s="577"/>
      <c r="B7513" s="65">
        <v>7711</v>
      </c>
      <c r="C7513" s="579" t="s">
        <v>281</v>
      </c>
      <c r="D7513" s="579"/>
      <c r="E7513" s="583"/>
      <c r="F7513" s="596"/>
      <c r="G7513" s="65">
        <v>0</v>
      </c>
      <c r="H7513" s="591" t="s">
        <v>280</v>
      </c>
      <c r="I7513" s="589" t="s">
        <v>280</v>
      </c>
    </row>
    <row r="7514" spans="1:9">
      <c r="A7514" s="577"/>
      <c r="B7514" s="65">
        <v>7712</v>
      </c>
      <c r="C7514" s="579" t="s">
        <v>281</v>
      </c>
      <c r="D7514" s="579"/>
      <c r="E7514" s="583"/>
      <c r="F7514" s="596"/>
      <c r="G7514" s="65">
        <v>0</v>
      </c>
      <c r="H7514" s="591" t="s">
        <v>280</v>
      </c>
      <c r="I7514" s="589" t="s">
        <v>280</v>
      </c>
    </row>
    <row r="7515" spans="1:9">
      <c r="A7515" s="577"/>
      <c r="B7515" s="65">
        <v>7713</v>
      </c>
      <c r="C7515" s="579" t="s">
        <v>281</v>
      </c>
      <c r="D7515" s="579"/>
      <c r="E7515" s="583"/>
      <c r="F7515" s="596"/>
      <c r="G7515" s="65">
        <v>0</v>
      </c>
      <c r="H7515" s="591" t="s">
        <v>280</v>
      </c>
      <c r="I7515" s="589" t="s">
        <v>280</v>
      </c>
    </row>
    <row r="7516" spans="1:9">
      <c r="A7516" s="577"/>
      <c r="B7516" s="65">
        <v>7714</v>
      </c>
      <c r="C7516" s="579" t="s">
        <v>281</v>
      </c>
      <c r="D7516" s="579"/>
      <c r="E7516" s="583"/>
      <c r="F7516" s="596"/>
      <c r="G7516" s="65">
        <v>0</v>
      </c>
      <c r="H7516" s="591" t="s">
        <v>280</v>
      </c>
      <c r="I7516" s="589" t="s">
        <v>280</v>
      </c>
    </row>
    <row r="7517" spans="1:9">
      <c r="A7517" s="577"/>
      <c r="B7517" s="65">
        <v>7715</v>
      </c>
      <c r="C7517" s="579" t="s">
        <v>281</v>
      </c>
      <c r="D7517" s="579"/>
      <c r="E7517" s="583"/>
      <c r="F7517" s="596"/>
      <c r="G7517" s="65">
        <v>0</v>
      </c>
      <c r="H7517" s="591" t="s">
        <v>280</v>
      </c>
      <c r="I7517" s="589" t="s">
        <v>280</v>
      </c>
    </row>
    <row r="7518" spans="1:9">
      <c r="A7518" s="577"/>
      <c r="B7518" s="65">
        <v>7716</v>
      </c>
      <c r="C7518" s="579" t="s">
        <v>281</v>
      </c>
      <c r="D7518" s="579"/>
      <c r="E7518" s="583"/>
      <c r="F7518" s="596"/>
      <c r="G7518" s="65">
        <v>0</v>
      </c>
      <c r="H7518" s="591" t="s">
        <v>280</v>
      </c>
      <c r="I7518" s="589" t="s">
        <v>280</v>
      </c>
    </row>
    <row r="7519" spans="1:9">
      <c r="A7519" s="577"/>
      <c r="B7519" s="65">
        <v>7717</v>
      </c>
      <c r="C7519" s="579" t="s">
        <v>281</v>
      </c>
      <c r="D7519" s="579"/>
      <c r="E7519" s="583"/>
      <c r="F7519" s="596"/>
      <c r="G7519" s="65">
        <v>0</v>
      </c>
      <c r="H7519" s="591" t="s">
        <v>280</v>
      </c>
      <c r="I7519" s="589" t="s">
        <v>280</v>
      </c>
    </row>
    <row r="7520" spans="1:9">
      <c r="A7520" s="577"/>
      <c r="B7520" s="65">
        <v>7718</v>
      </c>
      <c r="C7520" s="579" t="s">
        <v>281</v>
      </c>
      <c r="D7520" s="579"/>
      <c r="E7520" s="583"/>
      <c r="F7520" s="596"/>
      <c r="G7520" s="65">
        <v>0</v>
      </c>
      <c r="H7520" s="591" t="s">
        <v>280</v>
      </c>
      <c r="I7520" s="589" t="s">
        <v>280</v>
      </c>
    </row>
    <row r="7521" spans="1:9">
      <c r="A7521" s="577"/>
      <c r="B7521" s="65">
        <v>7719</v>
      </c>
      <c r="C7521" s="579" t="s">
        <v>281</v>
      </c>
      <c r="D7521" s="579"/>
      <c r="E7521" s="583"/>
      <c r="F7521" s="596"/>
      <c r="G7521" s="65">
        <v>0</v>
      </c>
      <c r="H7521" s="591" t="s">
        <v>280</v>
      </c>
      <c r="I7521" s="589" t="s">
        <v>280</v>
      </c>
    </row>
    <row r="7522" spans="1:9">
      <c r="A7522" s="577"/>
      <c r="B7522" s="65">
        <v>7720</v>
      </c>
      <c r="C7522" s="579" t="s">
        <v>281</v>
      </c>
      <c r="D7522" s="579"/>
      <c r="E7522" s="583"/>
      <c r="F7522" s="596"/>
      <c r="G7522" s="65">
        <v>0</v>
      </c>
      <c r="H7522" s="591" t="s">
        <v>280</v>
      </c>
      <c r="I7522" s="589" t="s">
        <v>280</v>
      </c>
    </row>
    <row r="7523" spans="1:9">
      <c r="A7523" s="577"/>
      <c r="B7523" s="65">
        <v>7721</v>
      </c>
      <c r="C7523" s="579" t="s">
        <v>281</v>
      </c>
      <c r="D7523" s="579"/>
      <c r="E7523" s="583"/>
      <c r="F7523" s="596"/>
      <c r="G7523" s="65">
        <v>0</v>
      </c>
      <c r="H7523" s="591" t="s">
        <v>280</v>
      </c>
      <c r="I7523" s="589" t="s">
        <v>280</v>
      </c>
    </row>
    <row r="7524" spans="1:9">
      <c r="A7524" s="577"/>
      <c r="B7524" s="65">
        <v>7722</v>
      </c>
      <c r="C7524" s="579" t="s">
        <v>281</v>
      </c>
      <c r="D7524" s="579"/>
      <c r="E7524" s="583"/>
      <c r="F7524" s="596"/>
      <c r="G7524" s="65">
        <v>0</v>
      </c>
      <c r="H7524" s="591" t="s">
        <v>280</v>
      </c>
      <c r="I7524" s="589" t="s">
        <v>280</v>
      </c>
    </row>
    <row r="7525" spans="1:9">
      <c r="A7525" s="577"/>
      <c r="B7525" s="65">
        <v>7723</v>
      </c>
      <c r="C7525" s="579" t="s">
        <v>281</v>
      </c>
      <c r="D7525" s="579"/>
      <c r="E7525" s="583"/>
      <c r="F7525" s="596"/>
      <c r="G7525" s="65">
        <v>0</v>
      </c>
      <c r="H7525" s="591" t="s">
        <v>280</v>
      </c>
      <c r="I7525" s="589" t="s">
        <v>280</v>
      </c>
    </row>
    <row r="7526" spans="1:9">
      <c r="A7526" s="577"/>
      <c r="B7526" s="65">
        <v>7724</v>
      </c>
      <c r="C7526" s="579" t="s">
        <v>281</v>
      </c>
      <c r="D7526" s="579"/>
      <c r="E7526" s="583"/>
      <c r="F7526" s="596"/>
      <c r="G7526" s="65">
        <v>0</v>
      </c>
      <c r="H7526" s="591" t="s">
        <v>280</v>
      </c>
      <c r="I7526" s="589" t="s">
        <v>280</v>
      </c>
    </row>
    <row r="7527" spans="1:9">
      <c r="A7527" s="577"/>
      <c r="B7527" s="65">
        <v>7725</v>
      </c>
      <c r="C7527" s="579" t="s">
        <v>281</v>
      </c>
      <c r="D7527" s="579"/>
      <c r="E7527" s="583"/>
      <c r="F7527" s="596"/>
      <c r="G7527" s="65">
        <v>0</v>
      </c>
      <c r="H7527" s="591" t="s">
        <v>280</v>
      </c>
      <c r="I7527" s="589" t="s">
        <v>280</v>
      </c>
    </row>
    <row r="7528" spans="1:9">
      <c r="A7528" s="577"/>
      <c r="B7528" s="65">
        <v>7726</v>
      </c>
      <c r="C7528" s="579" t="s">
        <v>281</v>
      </c>
      <c r="D7528" s="579"/>
      <c r="E7528" s="583"/>
      <c r="F7528" s="596"/>
      <c r="G7528" s="65">
        <v>0</v>
      </c>
      <c r="H7528" s="591" t="s">
        <v>280</v>
      </c>
      <c r="I7528" s="589" t="s">
        <v>280</v>
      </c>
    </row>
    <row r="7529" spans="1:9">
      <c r="A7529" s="577"/>
      <c r="B7529" s="65">
        <v>7727</v>
      </c>
      <c r="C7529" s="579" t="s">
        <v>281</v>
      </c>
      <c r="D7529" s="579"/>
      <c r="E7529" s="583"/>
      <c r="F7529" s="596"/>
      <c r="G7529" s="65">
        <v>0</v>
      </c>
      <c r="H7529" s="591" t="s">
        <v>280</v>
      </c>
      <c r="I7529" s="589" t="s">
        <v>280</v>
      </c>
    </row>
    <row r="7530" spans="1:9">
      <c r="A7530" s="577"/>
      <c r="B7530" s="65">
        <v>7728</v>
      </c>
      <c r="C7530" s="579" t="s">
        <v>281</v>
      </c>
      <c r="D7530" s="579"/>
      <c r="E7530" s="583"/>
      <c r="F7530" s="596"/>
      <c r="G7530" s="65">
        <v>0</v>
      </c>
      <c r="H7530" s="591" t="s">
        <v>280</v>
      </c>
      <c r="I7530" s="589" t="s">
        <v>280</v>
      </c>
    </row>
    <row r="7531" spans="1:9">
      <c r="A7531" s="577"/>
      <c r="B7531" s="65">
        <v>7729</v>
      </c>
      <c r="C7531" s="579" t="s">
        <v>281</v>
      </c>
      <c r="D7531" s="579"/>
      <c r="E7531" s="583"/>
      <c r="F7531" s="596"/>
      <c r="G7531" s="65">
        <v>0</v>
      </c>
      <c r="H7531" s="591" t="s">
        <v>280</v>
      </c>
      <c r="I7531" s="589" t="s">
        <v>280</v>
      </c>
    </row>
    <row r="7532" spans="1:9">
      <c r="A7532" s="577"/>
      <c r="B7532" s="65">
        <v>7730</v>
      </c>
      <c r="C7532" s="579" t="s">
        <v>281</v>
      </c>
      <c r="D7532" s="579"/>
      <c r="E7532" s="583"/>
      <c r="F7532" s="596"/>
      <c r="G7532" s="65">
        <v>0</v>
      </c>
      <c r="H7532" s="591" t="s">
        <v>280</v>
      </c>
      <c r="I7532" s="589" t="s">
        <v>280</v>
      </c>
    </row>
    <row r="7533" spans="1:9">
      <c r="A7533" s="577"/>
      <c r="B7533" s="65">
        <v>7731</v>
      </c>
      <c r="C7533" s="579" t="s">
        <v>281</v>
      </c>
      <c r="D7533" s="579"/>
      <c r="E7533" s="583"/>
      <c r="F7533" s="596"/>
      <c r="G7533" s="65">
        <v>0</v>
      </c>
      <c r="H7533" s="591" t="s">
        <v>280</v>
      </c>
      <c r="I7533" s="589" t="s">
        <v>280</v>
      </c>
    </row>
    <row r="7534" spans="1:9">
      <c r="A7534" s="577"/>
      <c r="B7534" s="65">
        <v>7732</v>
      </c>
      <c r="C7534" s="579" t="s">
        <v>281</v>
      </c>
      <c r="D7534" s="579"/>
      <c r="E7534" s="583"/>
      <c r="F7534" s="596"/>
      <c r="G7534" s="65">
        <v>0</v>
      </c>
      <c r="H7534" s="591" t="s">
        <v>280</v>
      </c>
      <c r="I7534" s="589" t="s">
        <v>280</v>
      </c>
    </row>
    <row r="7535" spans="1:9">
      <c r="A7535" s="577"/>
      <c r="B7535" s="65">
        <v>7733</v>
      </c>
      <c r="C7535" s="579" t="s">
        <v>281</v>
      </c>
      <c r="D7535" s="579"/>
      <c r="E7535" s="583"/>
      <c r="F7535" s="596"/>
      <c r="G7535" s="65">
        <v>0</v>
      </c>
      <c r="H7535" s="591" t="s">
        <v>280</v>
      </c>
      <c r="I7535" s="589" t="s">
        <v>280</v>
      </c>
    </row>
    <row r="7536" spans="1:9">
      <c r="A7536" s="577"/>
      <c r="B7536" s="65">
        <v>7734</v>
      </c>
      <c r="C7536" s="579" t="s">
        <v>281</v>
      </c>
      <c r="D7536" s="579"/>
      <c r="E7536" s="583"/>
      <c r="F7536" s="596"/>
      <c r="G7536" s="65">
        <v>0</v>
      </c>
      <c r="H7536" s="591" t="s">
        <v>280</v>
      </c>
      <c r="I7536" s="589" t="s">
        <v>280</v>
      </c>
    </row>
    <row r="7537" spans="1:9">
      <c r="A7537" s="577"/>
      <c r="B7537" s="65">
        <v>7735</v>
      </c>
      <c r="C7537" s="579" t="s">
        <v>281</v>
      </c>
      <c r="D7537" s="579"/>
      <c r="E7537" s="583"/>
      <c r="F7537" s="596"/>
      <c r="G7537" s="65">
        <v>0</v>
      </c>
      <c r="H7537" s="591" t="s">
        <v>280</v>
      </c>
      <c r="I7537" s="589" t="s">
        <v>280</v>
      </c>
    </row>
    <row r="7538" spans="1:9">
      <c r="A7538" s="577"/>
      <c r="B7538" s="65">
        <v>7736</v>
      </c>
      <c r="C7538" s="579" t="s">
        <v>281</v>
      </c>
      <c r="D7538" s="579"/>
      <c r="E7538" s="583"/>
      <c r="F7538" s="596"/>
      <c r="G7538" s="65">
        <v>0</v>
      </c>
      <c r="H7538" s="591" t="s">
        <v>280</v>
      </c>
      <c r="I7538" s="589" t="s">
        <v>280</v>
      </c>
    </row>
    <row r="7539" spans="1:9">
      <c r="A7539" s="577"/>
      <c r="B7539" s="65">
        <v>7737</v>
      </c>
      <c r="C7539" s="579" t="s">
        <v>281</v>
      </c>
      <c r="D7539" s="579"/>
      <c r="E7539" s="583"/>
      <c r="F7539" s="596"/>
      <c r="G7539" s="65">
        <v>0</v>
      </c>
      <c r="H7539" s="591" t="s">
        <v>280</v>
      </c>
      <c r="I7539" s="589" t="s">
        <v>280</v>
      </c>
    </row>
    <row r="7540" spans="1:9">
      <c r="A7540" s="577"/>
      <c r="B7540" s="65">
        <v>7738</v>
      </c>
      <c r="C7540" s="579" t="s">
        <v>281</v>
      </c>
      <c r="D7540" s="579"/>
      <c r="E7540" s="583"/>
      <c r="F7540" s="596"/>
      <c r="G7540" s="65">
        <v>0</v>
      </c>
      <c r="H7540" s="591" t="s">
        <v>280</v>
      </c>
      <c r="I7540" s="589" t="s">
        <v>280</v>
      </c>
    </row>
    <row r="7541" spans="1:9">
      <c r="A7541" s="577"/>
      <c r="B7541" s="65">
        <v>7739</v>
      </c>
      <c r="C7541" s="579" t="s">
        <v>281</v>
      </c>
      <c r="D7541" s="579"/>
      <c r="E7541" s="583"/>
      <c r="F7541" s="596"/>
      <c r="G7541" s="65">
        <v>0</v>
      </c>
      <c r="H7541" s="591" t="s">
        <v>280</v>
      </c>
      <c r="I7541" s="589" t="s">
        <v>280</v>
      </c>
    </row>
    <row r="7542" spans="1:9">
      <c r="A7542" s="577"/>
      <c r="B7542" s="65">
        <v>7740</v>
      </c>
      <c r="C7542" s="579" t="s">
        <v>281</v>
      </c>
      <c r="D7542" s="579"/>
      <c r="E7542" s="583"/>
      <c r="F7542" s="596"/>
      <c r="G7542" s="65">
        <v>0</v>
      </c>
      <c r="H7542" s="591" t="s">
        <v>280</v>
      </c>
      <c r="I7542" s="589" t="s">
        <v>280</v>
      </c>
    </row>
    <row r="7543" spans="1:9">
      <c r="A7543" s="577"/>
      <c r="B7543" s="65">
        <v>7741</v>
      </c>
      <c r="C7543" s="579" t="s">
        <v>281</v>
      </c>
      <c r="D7543" s="579"/>
      <c r="E7543" s="583"/>
      <c r="F7543" s="596"/>
      <c r="G7543" s="65">
        <v>0</v>
      </c>
      <c r="H7543" s="591" t="s">
        <v>280</v>
      </c>
      <c r="I7543" s="589" t="s">
        <v>280</v>
      </c>
    </row>
    <row r="7544" spans="1:9">
      <c r="A7544" s="577"/>
      <c r="B7544" s="65">
        <v>7742</v>
      </c>
      <c r="C7544" s="579" t="s">
        <v>281</v>
      </c>
      <c r="D7544" s="579"/>
      <c r="E7544" s="583"/>
      <c r="F7544" s="596"/>
      <c r="G7544" s="65">
        <v>0</v>
      </c>
      <c r="H7544" s="591" t="s">
        <v>280</v>
      </c>
      <c r="I7544" s="589" t="s">
        <v>280</v>
      </c>
    </row>
    <row r="7545" spans="1:9">
      <c r="A7545" s="577"/>
      <c r="B7545" s="65">
        <v>7743</v>
      </c>
      <c r="C7545" s="579" t="s">
        <v>281</v>
      </c>
      <c r="D7545" s="579"/>
      <c r="E7545" s="583"/>
      <c r="F7545" s="596"/>
      <c r="G7545" s="65">
        <v>0</v>
      </c>
      <c r="H7545" s="591" t="s">
        <v>280</v>
      </c>
      <c r="I7545" s="589" t="s">
        <v>280</v>
      </c>
    </row>
    <row r="7546" spans="1:9">
      <c r="A7546" s="577"/>
      <c r="B7546" s="65">
        <v>7744</v>
      </c>
      <c r="C7546" s="579" t="s">
        <v>281</v>
      </c>
      <c r="D7546" s="579"/>
      <c r="E7546" s="583"/>
      <c r="F7546" s="596"/>
      <c r="G7546" s="65">
        <v>0</v>
      </c>
      <c r="H7546" s="591" t="s">
        <v>280</v>
      </c>
      <c r="I7546" s="589" t="s">
        <v>280</v>
      </c>
    </row>
    <row r="7547" spans="1:9">
      <c r="A7547" s="577"/>
      <c r="B7547" s="65">
        <v>7745</v>
      </c>
      <c r="C7547" s="579" t="s">
        <v>281</v>
      </c>
      <c r="D7547" s="579"/>
      <c r="E7547" s="583"/>
      <c r="F7547" s="596"/>
      <c r="G7547" s="65">
        <v>0</v>
      </c>
      <c r="H7547" s="591" t="s">
        <v>280</v>
      </c>
      <c r="I7547" s="589" t="s">
        <v>280</v>
      </c>
    </row>
    <row r="7548" spans="1:9">
      <c r="A7548" s="577"/>
      <c r="B7548" s="65">
        <v>7746</v>
      </c>
      <c r="C7548" s="579" t="s">
        <v>281</v>
      </c>
      <c r="D7548" s="579"/>
      <c r="E7548" s="583"/>
      <c r="F7548" s="596"/>
      <c r="G7548" s="65">
        <v>0</v>
      </c>
      <c r="H7548" s="591" t="s">
        <v>280</v>
      </c>
      <c r="I7548" s="589" t="s">
        <v>280</v>
      </c>
    </row>
    <row r="7549" spans="1:9">
      <c r="A7549" s="577"/>
      <c r="B7549" s="65">
        <v>7747</v>
      </c>
      <c r="C7549" s="579" t="s">
        <v>281</v>
      </c>
      <c r="D7549" s="579"/>
      <c r="E7549" s="583"/>
      <c r="F7549" s="596"/>
      <c r="G7549" s="65">
        <v>0</v>
      </c>
      <c r="H7549" s="591" t="s">
        <v>280</v>
      </c>
      <c r="I7549" s="589" t="s">
        <v>280</v>
      </c>
    </row>
    <row r="7550" spans="1:9">
      <c r="A7550" s="577"/>
      <c r="B7550" s="65">
        <v>7748</v>
      </c>
      <c r="C7550" s="579" t="s">
        <v>281</v>
      </c>
      <c r="D7550" s="579"/>
      <c r="E7550" s="583"/>
      <c r="F7550" s="596"/>
      <c r="G7550" s="65">
        <v>0</v>
      </c>
      <c r="H7550" s="591" t="s">
        <v>280</v>
      </c>
      <c r="I7550" s="589" t="s">
        <v>280</v>
      </c>
    </row>
    <row r="7551" spans="1:9">
      <c r="A7551" s="577"/>
      <c r="B7551" s="65">
        <v>7749</v>
      </c>
      <c r="C7551" s="579" t="s">
        <v>281</v>
      </c>
      <c r="D7551" s="579"/>
      <c r="E7551" s="583"/>
      <c r="F7551" s="596"/>
      <c r="G7551" s="65">
        <v>0</v>
      </c>
      <c r="H7551" s="591" t="s">
        <v>280</v>
      </c>
      <c r="I7551" s="589" t="s">
        <v>280</v>
      </c>
    </row>
    <row r="7552" spans="1:9">
      <c r="A7552" s="577"/>
      <c r="B7552" s="65">
        <v>7750</v>
      </c>
      <c r="C7552" s="579" t="s">
        <v>281</v>
      </c>
      <c r="D7552" s="579"/>
      <c r="E7552" s="583"/>
      <c r="F7552" s="596"/>
      <c r="G7552" s="65">
        <v>0</v>
      </c>
      <c r="H7552" s="591" t="s">
        <v>280</v>
      </c>
      <c r="I7552" s="589" t="s">
        <v>280</v>
      </c>
    </row>
    <row r="7553" spans="1:9">
      <c r="A7553" s="577"/>
      <c r="B7553" s="65">
        <v>7751</v>
      </c>
      <c r="C7553" s="579" t="s">
        <v>281</v>
      </c>
      <c r="D7553" s="579"/>
      <c r="E7553" s="583"/>
      <c r="F7553" s="596"/>
      <c r="G7553" s="65">
        <v>0</v>
      </c>
      <c r="H7553" s="591" t="s">
        <v>280</v>
      </c>
      <c r="I7553" s="589" t="s">
        <v>280</v>
      </c>
    </row>
    <row r="7554" spans="1:9">
      <c r="A7554" s="577"/>
      <c r="B7554" s="65">
        <v>7752</v>
      </c>
      <c r="C7554" s="579" t="s">
        <v>281</v>
      </c>
      <c r="D7554" s="579"/>
      <c r="E7554" s="583"/>
      <c r="F7554" s="596"/>
      <c r="G7554" s="65">
        <v>0</v>
      </c>
      <c r="H7554" s="591" t="s">
        <v>280</v>
      </c>
      <c r="I7554" s="589" t="s">
        <v>280</v>
      </c>
    </row>
    <row r="7555" spans="1:9">
      <c r="A7555" s="577"/>
      <c r="B7555" s="65">
        <v>7753</v>
      </c>
      <c r="C7555" s="579" t="s">
        <v>281</v>
      </c>
      <c r="D7555" s="579"/>
      <c r="E7555" s="583"/>
      <c r="F7555" s="596"/>
      <c r="G7555" s="65">
        <v>0</v>
      </c>
      <c r="H7555" s="591" t="s">
        <v>280</v>
      </c>
      <c r="I7555" s="589" t="s">
        <v>280</v>
      </c>
    </row>
    <row r="7556" spans="1:9">
      <c r="A7556" s="577"/>
      <c r="B7556" s="65">
        <v>7754</v>
      </c>
      <c r="C7556" s="579" t="s">
        <v>281</v>
      </c>
      <c r="D7556" s="579"/>
      <c r="E7556" s="583"/>
      <c r="F7556" s="596"/>
      <c r="G7556" s="65">
        <v>0</v>
      </c>
      <c r="H7556" s="591" t="s">
        <v>280</v>
      </c>
      <c r="I7556" s="589" t="s">
        <v>280</v>
      </c>
    </row>
    <row r="7557" spans="1:9">
      <c r="A7557" s="577"/>
      <c r="B7557" s="65">
        <v>7755</v>
      </c>
      <c r="C7557" s="579" t="s">
        <v>281</v>
      </c>
      <c r="D7557" s="579"/>
      <c r="E7557" s="583"/>
      <c r="F7557" s="596"/>
      <c r="G7557" s="65">
        <v>0</v>
      </c>
      <c r="H7557" s="591" t="s">
        <v>280</v>
      </c>
      <c r="I7557" s="589" t="s">
        <v>280</v>
      </c>
    </row>
    <row r="7558" spans="1:9">
      <c r="A7558" s="577"/>
      <c r="B7558" s="65">
        <v>7756</v>
      </c>
      <c r="C7558" s="579" t="s">
        <v>281</v>
      </c>
      <c r="D7558" s="579"/>
      <c r="E7558" s="583"/>
      <c r="F7558" s="596"/>
      <c r="G7558" s="65">
        <v>0</v>
      </c>
      <c r="H7558" s="591" t="s">
        <v>280</v>
      </c>
      <c r="I7558" s="589" t="s">
        <v>280</v>
      </c>
    </row>
    <row r="7559" spans="1:9">
      <c r="A7559" s="577"/>
      <c r="B7559" s="65">
        <v>7757</v>
      </c>
      <c r="C7559" s="579" t="s">
        <v>281</v>
      </c>
      <c r="D7559" s="579"/>
      <c r="E7559" s="583"/>
      <c r="F7559" s="596"/>
      <c r="G7559" s="65">
        <v>0</v>
      </c>
      <c r="H7559" s="591" t="s">
        <v>280</v>
      </c>
      <c r="I7559" s="589" t="s">
        <v>280</v>
      </c>
    </row>
    <row r="7560" spans="1:9">
      <c r="A7560" s="577"/>
      <c r="B7560" s="65">
        <v>7758</v>
      </c>
      <c r="C7560" s="579" t="s">
        <v>281</v>
      </c>
      <c r="D7560" s="579"/>
      <c r="E7560" s="583"/>
      <c r="F7560" s="596"/>
      <c r="G7560" s="65">
        <v>0</v>
      </c>
      <c r="H7560" s="591" t="s">
        <v>280</v>
      </c>
      <c r="I7560" s="589" t="s">
        <v>280</v>
      </c>
    </row>
    <row r="7561" spans="1:9">
      <c r="A7561" s="577"/>
      <c r="B7561" s="65">
        <v>7759</v>
      </c>
      <c r="C7561" s="579" t="s">
        <v>281</v>
      </c>
      <c r="D7561" s="579"/>
      <c r="E7561" s="583"/>
      <c r="F7561" s="596"/>
      <c r="G7561" s="65">
        <v>0</v>
      </c>
      <c r="H7561" s="591" t="s">
        <v>280</v>
      </c>
      <c r="I7561" s="589" t="s">
        <v>280</v>
      </c>
    </row>
    <row r="7562" spans="1:9">
      <c r="A7562" s="577"/>
      <c r="B7562" s="65">
        <v>7760</v>
      </c>
      <c r="C7562" s="579" t="s">
        <v>281</v>
      </c>
      <c r="D7562" s="579"/>
      <c r="E7562" s="583"/>
      <c r="F7562" s="596"/>
      <c r="G7562" s="65">
        <v>0</v>
      </c>
      <c r="H7562" s="591" t="s">
        <v>280</v>
      </c>
      <c r="I7562" s="589" t="s">
        <v>280</v>
      </c>
    </row>
    <row r="7563" spans="1:9">
      <c r="A7563" s="577"/>
      <c r="B7563" s="65">
        <v>7761</v>
      </c>
      <c r="C7563" s="579" t="s">
        <v>281</v>
      </c>
      <c r="D7563" s="579"/>
      <c r="E7563" s="583"/>
      <c r="F7563" s="596"/>
      <c r="G7563" s="65">
        <v>0</v>
      </c>
      <c r="H7563" s="591" t="s">
        <v>280</v>
      </c>
      <c r="I7563" s="589" t="s">
        <v>280</v>
      </c>
    </row>
    <row r="7564" spans="1:9">
      <c r="A7564" s="577"/>
      <c r="B7564" s="65">
        <v>7762</v>
      </c>
      <c r="C7564" s="579" t="s">
        <v>281</v>
      </c>
      <c r="D7564" s="579"/>
      <c r="E7564" s="583"/>
      <c r="F7564" s="596"/>
      <c r="G7564" s="65">
        <v>0</v>
      </c>
      <c r="H7564" s="591" t="s">
        <v>280</v>
      </c>
      <c r="I7564" s="589" t="s">
        <v>280</v>
      </c>
    </row>
    <row r="7565" spans="1:9">
      <c r="A7565" s="577"/>
      <c r="B7565" s="65">
        <v>7763</v>
      </c>
      <c r="C7565" s="579" t="s">
        <v>281</v>
      </c>
      <c r="D7565" s="579"/>
      <c r="E7565" s="583"/>
      <c r="F7565" s="596"/>
      <c r="G7565" s="65">
        <v>0</v>
      </c>
      <c r="H7565" s="591" t="s">
        <v>280</v>
      </c>
      <c r="I7565" s="589" t="s">
        <v>280</v>
      </c>
    </row>
    <row r="7566" spans="1:9">
      <c r="A7566" s="577"/>
      <c r="B7566" s="65">
        <v>7764</v>
      </c>
      <c r="C7566" s="579" t="s">
        <v>281</v>
      </c>
      <c r="D7566" s="579"/>
      <c r="E7566" s="583"/>
      <c r="F7566" s="596"/>
      <c r="G7566" s="65">
        <v>0</v>
      </c>
      <c r="H7566" s="591" t="s">
        <v>280</v>
      </c>
      <c r="I7566" s="589" t="s">
        <v>280</v>
      </c>
    </row>
    <row r="7567" spans="1:9">
      <c r="A7567" s="577"/>
      <c r="B7567" s="65">
        <v>7765</v>
      </c>
      <c r="C7567" s="579" t="s">
        <v>281</v>
      </c>
      <c r="D7567" s="579"/>
      <c r="E7567" s="583"/>
      <c r="F7567" s="596"/>
      <c r="G7567" s="65">
        <v>0</v>
      </c>
      <c r="H7567" s="591" t="s">
        <v>280</v>
      </c>
      <c r="I7567" s="589" t="s">
        <v>280</v>
      </c>
    </row>
    <row r="7568" spans="1:9">
      <c r="A7568" s="577"/>
      <c r="B7568" s="65">
        <v>7766</v>
      </c>
      <c r="C7568" s="579" t="s">
        <v>281</v>
      </c>
      <c r="D7568" s="579"/>
      <c r="E7568" s="583"/>
      <c r="F7568" s="596"/>
      <c r="G7568" s="65">
        <v>0</v>
      </c>
      <c r="H7568" s="591" t="s">
        <v>280</v>
      </c>
      <c r="I7568" s="589" t="s">
        <v>280</v>
      </c>
    </row>
    <row r="7569" spans="1:9">
      <c r="A7569" s="577"/>
      <c r="B7569" s="65">
        <v>7767</v>
      </c>
      <c r="C7569" s="579" t="s">
        <v>281</v>
      </c>
      <c r="D7569" s="579"/>
      <c r="E7569" s="583"/>
      <c r="F7569" s="596"/>
      <c r="G7569" s="65">
        <v>0</v>
      </c>
      <c r="H7569" s="591" t="s">
        <v>280</v>
      </c>
      <c r="I7569" s="589" t="s">
        <v>280</v>
      </c>
    </row>
    <row r="7570" spans="1:9">
      <c r="A7570" s="577"/>
      <c r="B7570" s="65">
        <v>7768</v>
      </c>
      <c r="C7570" s="579" t="s">
        <v>281</v>
      </c>
      <c r="D7570" s="579"/>
      <c r="E7570" s="583"/>
      <c r="F7570" s="596"/>
      <c r="G7570" s="65">
        <v>0</v>
      </c>
      <c r="H7570" s="591" t="s">
        <v>280</v>
      </c>
      <c r="I7570" s="589" t="s">
        <v>280</v>
      </c>
    </row>
    <row r="7571" spans="1:9">
      <c r="A7571" s="577"/>
      <c r="B7571" s="65">
        <v>7769</v>
      </c>
      <c r="C7571" s="579" t="s">
        <v>281</v>
      </c>
      <c r="D7571" s="579"/>
      <c r="E7571" s="583"/>
      <c r="F7571" s="596"/>
      <c r="G7571" s="65">
        <v>0</v>
      </c>
      <c r="H7571" s="591" t="s">
        <v>280</v>
      </c>
      <c r="I7571" s="589" t="s">
        <v>280</v>
      </c>
    </row>
    <row r="7572" spans="1:9">
      <c r="A7572" s="577"/>
      <c r="B7572" s="65">
        <v>7770</v>
      </c>
      <c r="C7572" s="579" t="s">
        <v>281</v>
      </c>
      <c r="D7572" s="579"/>
      <c r="E7572" s="583"/>
      <c r="F7572" s="596"/>
      <c r="G7572" s="65">
        <v>0</v>
      </c>
      <c r="H7572" s="591" t="s">
        <v>280</v>
      </c>
      <c r="I7572" s="589" t="s">
        <v>280</v>
      </c>
    </row>
    <row r="7573" spans="1:9">
      <c r="A7573" s="577"/>
      <c r="B7573" s="65">
        <v>7771</v>
      </c>
      <c r="C7573" s="579" t="s">
        <v>281</v>
      </c>
      <c r="D7573" s="579"/>
      <c r="E7573" s="583"/>
      <c r="F7573" s="596"/>
      <c r="G7573" s="65">
        <v>0</v>
      </c>
      <c r="H7573" s="591" t="s">
        <v>280</v>
      </c>
      <c r="I7573" s="589" t="s">
        <v>280</v>
      </c>
    </row>
    <row r="7574" spans="1:9">
      <c r="A7574" s="577"/>
      <c r="B7574" s="65">
        <v>7772</v>
      </c>
      <c r="C7574" s="579" t="s">
        <v>281</v>
      </c>
      <c r="D7574" s="579"/>
      <c r="E7574" s="583"/>
      <c r="F7574" s="596"/>
      <c r="G7574" s="65">
        <v>0</v>
      </c>
      <c r="H7574" s="591" t="s">
        <v>280</v>
      </c>
      <c r="I7574" s="589" t="s">
        <v>280</v>
      </c>
    </row>
    <row r="7575" spans="1:9">
      <c r="A7575" s="577"/>
      <c r="B7575" s="65">
        <v>7773</v>
      </c>
      <c r="C7575" s="579" t="s">
        <v>281</v>
      </c>
      <c r="D7575" s="579"/>
      <c r="E7575" s="583"/>
      <c r="F7575" s="596"/>
      <c r="G7575" s="65">
        <v>0</v>
      </c>
      <c r="H7575" s="591" t="s">
        <v>280</v>
      </c>
      <c r="I7575" s="589" t="s">
        <v>280</v>
      </c>
    </row>
    <row r="7576" spans="1:9">
      <c r="A7576" s="577"/>
      <c r="B7576" s="65">
        <v>7774</v>
      </c>
      <c r="C7576" s="579" t="s">
        <v>281</v>
      </c>
      <c r="D7576" s="579"/>
      <c r="E7576" s="583"/>
      <c r="F7576" s="596"/>
      <c r="G7576" s="65">
        <v>0</v>
      </c>
      <c r="H7576" s="591" t="s">
        <v>280</v>
      </c>
      <c r="I7576" s="589" t="s">
        <v>280</v>
      </c>
    </row>
    <row r="7577" spans="1:9">
      <c r="A7577" s="577"/>
      <c r="B7577" s="65">
        <v>7775</v>
      </c>
      <c r="C7577" s="579" t="s">
        <v>281</v>
      </c>
      <c r="D7577" s="579"/>
      <c r="E7577" s="583"/>
      <c r="F7577" s="596"/>
      <c r="G7577" s="65">
        <v>0</v>
      </c>
      <c r="H7577" s="591" t="s">
        <v>280</v>
      </c>
      <c r="I7577" s="589" t="s">
        <v>280</v>
      </c>
    </row>
    <row r="7578" spans="1:9">
      <c r="A7578" s="577"/>
      <c r="B7578" s="65">
        <v>7776</v>
      </c>
      <c r="C7578" s="579" t="s">
        <v>281</v>
      </c>
      <c r="D7578" s="579"/>
      <c r="E7578" s="583"/>
      <c r="F7578" s="596"/>
      <c r="G7578" s="65">
        <v>0</v>
      </c>
      <c r="H7578" s="591" t="s">
        <v>280</v>
      </c>
      <c r="I7578" s="589" t="s">
        <v>280</v>
      </c>
    </row>
    <row r="7579" spans="1:9">
      <c r="A7579" s="577"/>
      <c r="B7579" s="65">
        <v>7777</v>
      </c>
      <c r="C7579" s="579" t="s">
        <v>281</v>
      </c>
      <c r="D7579" s="579"/>
      <c r="E7579" s="583"/>
      <c r="F7579" s="596"/>
      <c r="G7579" s="65">
        <v>0</v>
      </c>
      <c r="H7579" s="591" t="s">
        <v>280</v>
      </c>
      <c r="I7579" s="589" t="s">
        <v>280</v>
      </c>
    </row>
    <row r="7580" spans="1:9">
      <c r="A7580" s="577"/>
      <c r="B7580" s="65">
        <v>7778</v>
      </c>
      <c r="C7580" s="579" t="s">
        <v>281</v>
      </c>
      <c r="D7580" s="579"/>
      <c r="E7580" s="583"/>
      <c r="F7580" s="596"/>
      <c r="G7580" s="65">
        <v>0</v>
      </c>
      <c r="H7580" s="591" t="s">
        <v>280</v>
      </c>
      <c r="I7580" s="589" t="s">
        <v>280</v>
      </c>
    </row>
    <row r="7581" spans="1:9">
      <c r="A7581" s="577"/>
      <c r="B7581" s="65">
        <v>7779</v>
      </c>
      <c r="C7581" s="579" t="s">
        <v>281</v>
      </c>
      <c r="D7581" s="579"/>
      <c r="E7581" s="583"/>
      <c r="F7581" s="596"/>
      <c r="G7581" s="65">
        <v>0</v>
      </c>
      <c r="H7581" s="591" t="s">
        <v>280</v>
      </c>
      <c r="I7581" s="589" t="s">
        <v>280</v>
      </c>
    </row>
    <row r="7582" spans="1:9">
      <c r="A7582" s="577"/>
      <c r="B7582" s="65">
        <v>7780</v>
      </c>
      <c r="C7582" s="579" t="s">
        <v>281</v>
      </c>
      <c r="D7582" s="579"/>
      <c r="E7582" s="583"/>
      <c r="F7582" s="596"/>
      <c r="G7582" s="65">
        <v>0</v>
      </c>
      <c r="H7582" s="591" t="s">
        <v>280</v>
      </c>
      <c r="I7582" s="589" t="s">
        <v>280</v>
      </c>
    </row>
    <row r="7583" spans="1:9">
      <c r="A7583" s="577"/>
      <c r="B7583" s="65">
        <v>7781</v>
      </c>
      <c r="C7583" s="579" t="s">
        <v>281</v>
      </c>
      <c r="D7583" s="579"/>
      <c r="E7583" s="583"/>
      <c r="F7583" s="596"/>
      <c r="G7583" s="65">
        <v>0</v>
      </c>
      <c r="H7583" s="591" t="s">
        <v>280</v>
      </c>
      <c r="I7583" s="589" t="s">
        <v>280</v>
      </c>
    </row>
    <row r="7584" spans="1:9">
      <c r="A7584" s="577"/>
      <c r="B7584" s="65">
        <v>7782</v>
      </c>
      <c r="C7584" s="579" t="s">
        <v>281</v>
      </c>
      <c r="D7584" s="579"/>
      <c r="E7584" s="583"/>
      <c r="F7584" s="596"/>
      <c r="G7584" s="65">
        <v>0</v>
      </c>
      <c r="H7584" s="591" t="s">
        <v>280</v>
      </c>
      <c r="I7584" s="589" t="s">
        <v>280</v>
      </c>
    </row>
    <row r="7585" spans="1:9">
      <c r="A7585" s="577"/>
      <c r="B7585" s="65">
        <v>7783</v>
      </c>
      <c r="C7585" s="579" t="s">
        <v>281</v>
      </c>
      <c r="D7585" s="579"/>
      <c r="E7585" s="583"/>
      <c r="F7585" s="596"/>
      <c r="G7585" s="65">
        <v>0</v>
      </c>
      <c r="H7585" s="591" t="s">
        <v>280</v>
      </c>
      <c r="I7585" s="589" t="s">
        <v>280</v>
      </c>
    </row>
    <row r="7586" spans="1:9">
      <c r="A7586" s="577"/>
      <c r="B7586" s="65">
        <v>7784</v>
      </c>
      <c r="C7586" s="579" t="s">
        <v>281</v>
      </c>
      <c r="D7586" s="579"/>
      <c r="E7586" s="583"/>
      <c r="F7586" s="596"/>
      <c r="G7586" s="65">
        <v>0</v>
      </c>
      <c r="H7586" s="591" t="s">
        <v>280</v>
      </c>
      <c r="I7586" s="589" t="s">
        <v>280</v>
      </c>
    </row>
    <row r="7587" spans="1:9">
      <c r="A7587" s="577"/>
      <c r="B7587" s="65">
        <v>7785</v>
      </c>
      <c r="C7587" s="579" t="s">
        <v>281</v>
      </c>
      <c r="D7587" s="579"/>
      <c r="E7587" s="583"/>
      <c r="F7587" s="596"/>
      <c r="G7587" s="65">
        <v>0</v>
      </c>
      <c r="H7587" s="591" t="s">
        <v>280</v>
      </c>
      <c r="I7587" s="589" t="s">
        <v>280</v>
      </c>
    </row>
    <row r="7588" spans="1:9">
      <c r="A7588" s="577"/>
      <c r="B7588" s="65">
        <v>7786</v>
      </c>
      <c r="C7588" s="579" t="s">
        <v>281</v>
      </c>
      <c r="D7588" s="579"/>
      <c r="E7588" s="583"/>
      <c r="F7588" s="596"/>
      <c r="G7588" s="65">
        <v>0</v>
      </c>
      <c r="H7588" s="591" t="s">
        <v>280</v>
      </c>
      <c r="I7588" s="589" t="s">
        <v>280</v>
      </c>
    </row>
    <row r="7589" spans="1:9">
      <c r="A7589" s="577"/>
      <c r="B7589" s="65">
        <v>7787</v>
      </c>
      <c r="C7589" s="579" t="s">
        <v>281</v>
      </c>
      <c r="D7589" s="579"/>
      <c r="E7589" s="583"/>
      <c r="F7589" s="596"/>
      <c r="G7589" s="65">
        <v>0</v>
      </c>
      <c r="H7589" s="591" t="s">
        <v>280</v>
      </c>
      <c r="I7589" s="589" t="s">
        <v>280</v>
      </c>
    </row>
    <row r="7590" spans="1:9">
      <c r="A7590" s="577"/>
      <c r="B7590" s="65">
        <v>7788</v>
      </c>
      <c r="C7590" s="579" t="s">
        <v>281</v>
      </c>
      <c r="D7590" s="579"/>
      <c r="E7590" s="583"/>
      <c r="F7590" s="596"/>
      <c r="G7590" s="65">
        <v>0</v>
      </c>
      <c r="H7590" s="591" t="s">
        <v>280</v>
      </c>
      <c r="I7590" s="589" t="s">
        <v>280</v>
      </c>
    </row>
    <row r="7591" spans="1:9">
      <c r="A7591" s="577"/>
      <c r="B7591" s="65">
        <v>7789</v>
      </c>
      <c r="C7591" s="579" t="s">
        <v>281</v>
      </c>
      <c r="D7591" s="579"/>
      <c r="E7591" s="583"/>
      <c r="F7591" s="596"/>
      <c r="G7591" s="65">
        <v>0</v>
      </c>
      <c r="H7591" s="591" t="s">
        <v>280</v>
      </c>
      <c r="I7591" s="589" t="s">
        <v>280</v>
      </c>
    </row>
    <row r="7592" spans="1:9">
      <c r="A7592" s="577"/>
      <c r="B7592" s="65">
        <v>7790</v>
      </c>
      <c r="C7592" s="579" t="s">
        <v>281</v>
      </c>
      <c r="D7592" s="579"/>
      <c r="E7592" s="583"/>
      <c r="F7592" s="596"/>
      <c r="G7592" s="65">
        <v>0</v>
      </c>
      <c r="H7592" s="591" t="s">
        <v>280</v>
      </c>
      <c r="I7592" s="589" t="s">
        <v>280</v>
      </c>
    </row>
    <row r="7593" spans="1:9">
      <c r="A7593" s="577"/>
      <c r="B7593" s="65">
        <v>7791</v>
      </c>
      <c r="C7593" s="579" t="s">
        <v>281</v>
      </c>
      <c r="D7593" s="579"/>
      <c r="E7593" s="583"/>
      <c r="F7593" s="596"/>
      <c r="G7593" s="65">
        <v>0</v>
      </c>
      <c r="H7593" s="591" t="s">
        <v>280</v>
      </c>
      <c r="I7593" s="589" t="s">
        <v>280</v>
      </c>
    </row>
    <row r="7594" spans="1:9">
      <c r="A7594" s="577"/>
      <c r="B7594" s="65">
        <v>7792</v>
      </c>
      <c r="C7594" s="579" t="s">
        <v>281</v>
      </c>
      <c r="D7594" s="579"/>
      <c r="E7594" s="583"/>
      <c r="F7594" s="596"/>
      <c r="G7594" s="65">
        <v>0</v>
      </c>
      <c r="H7594" s="591" t="s">
        <v>280</v>
      </c>
      <c r="I7594" s="589" t="s">
        <v>280</v>
      </c>
    </row>
    <row r="7595" spans="1:9">
      <c r="A7595" s="577"/>
      <c r="B7595" s="65">
        <v>7793</v>
      </c>
      <c r="C7595" s="579" t="s">
        <v>281</v>
      </c>
      <c r="D7595" s="579"/>
      <c r="E7595" s="583"/>
      <c r="F7595" s="596"/>
      <c r="G7595" s="65">
        <v>0</v>
      </c>
      <c r="H7595" s="591" t="s">
        <v>280</v>
      </c>
      <c r="I7595" s="589" t="s">
        <v>280</v>
      </c>
    </row>
    <row r="7596" spans="1:9">
      <c r="A7596" s="577"/>
      <c r="B7596" s="65">
        <v>7794</v>
      </c>
      <c r="C7596" s="579" t="s">
        <v>281</v>
      </c>
      <c r="D7596" s="579"/>
      <c r="E7596" s="583"/>
      <c r="F7596" s="596"/>
      <c r="G7596" s="65">
        <v>0</v>
      </c>
      <c r="H7596" s="591" t="s">
        <v>280</v>
      </c>
      <c r="I7596" s="589" t="s">
        <v>280</v>
      </c>
    </row>
    <row r="7597" spans="1:9">
      <c r="A7597" s="577"/>
      <c r="B7597" s="65">
        <v>7795</v>
      </c>
      <c r="C7597" s="579" t="s">
        <v>281</v>
      </c>
      <c r="D7597" s="579"/>
      <c r="E7597" s="583"/>
      <c r="F7597" s="596"/>
      <c r="G7597" s="65">
        <v>0</v>
      </c>
      <c r="H7597" s="591" t="s">
        <v>280</v>
      </c>
      <c r="I7597" s="589" t="s">
        <v>280</v>
      </c>
    </row>
    <row r="7598" spans="1:9">
      <c r="A7598" s="577"/>
      <c r="B7598" s="65">
        <v>7796</v>
      </c>
      <c r="C7598" s="579" t="s">
        <v>281</v>
      </c>
      <c r="D7598" s="579"/>
      <c r="E7598" s="583"/>
      <c r="F7598" s="596"/>
      <c r="G7598" s="65">
        <v>0</v>
      </c>
      <c r="H7598" s="591" t="s">
        <v>280</v>
      </c>
      <c r="I7598" s="589" t="s">
        <v>280</v>
      </c>
    </row>
    <row r="7599" spans="1:9">
      <c r="A7599" s="577"/>
      <c r="B7599" s="65">
        <v>7797</v>
      </c>
      <c r="C7599" s="579" t="s">
        <v>281</v>
      </c>
      <c r="D7599" s="579"/>
      <c r="E7599" s="583"/>
      <c r="F7599" s="596"/>
      <c r="G7599" s="65">
        <v>0</v>
      </c>
      <c r="H7599" s="591" t="s">
        <v>280</v>
      </c>
      <c r="I7599" s="589" t="s">
        <v>280</v>
      </c>
    </row>
    <row r="7600" spans="1:9">
      <c r="A7600" s="577"/>
      <c r="B7600" s="65">
        <v>7798</v>
      </c>
      <c r="C7600" s="579" t="s">
        <v>281</v>
      </c>
      <c r="D7600" s="579"/>
      <c r="E7600" s="583"/>
      <c r="F7600" s="596"/>
      <c r="G7600" s="65">
        <v>0</v>
      </c>
      <c r="H7600" s="591" t="s">
        <v>280</v>
      </c>
      <c r="I7600" s="589" t="s">
        <v>280</v>
      </c>
    </row>
    <row r="7601" spans="1:9">
      <c r="A7601" s="577"/>
      <c r="B7601" s="65">
        <v>7799</v>
      </c>
      <c r="C7601" s="579" t="s">
        <v>281</v>
      </c>
      <c r="D7601" s="579"/>
      <c r="E7601" s="583"/>
      <c r="F7601" s="596"/>
      <c r="G7601" s="65">
        <v>0</v>
      </c>
      <c r="H7601" s="591" t="s">
        <v>280</v>
      </c>
      <c r="I7601" s="589" t="s">
        <v>280</v>
      </c>
    </row>
    <row r="7602" spans="1:9">
      <c r="A7602" s="577"/>
      <c r="B7602" s="65">
        <v>7800</v>
      </c>
      <c r="C7602" s="579" t="s">
        <v>281</v>
      </c>
      <c r="D7602" s="579"/>
      <c r="E7602" s="583"/>
      <c r="F7602" s="596"/>
      <c r="G7602" s="65">
        <v>0</v>
      </c>
      <c r="H7602" s="591" t="s">
        <v>280</v>
      </c>
      <c r="I7602" s="589" t="s">
        <v>280</v>
      </c>
    </row>
    <row r="7603" spans="1:9">
      <c r="A7603" s="577"/>
      <c r="B7603" s="65">
        <v>7801</v>
      </c>
      <c r="C7603" s="579" t="s">
        <v>281</v>
      </c>
      <c r="D7603" s="579"/>
      <c r="E7603" s="583"/>
      <c r="F7603" s="596"/>
      <c r="G7603" s="65">
        <v>0</v>
      </c>
      <c r="H7603" s="591" t="s">
        <v>280</v>
      </c>
      <c r="I7603" s="589" t="s">
        <v>280</v>
      </c>
    </row>
    <row r="7604" spans="1:9">
      <c r="A7604" s="577"/>
      <c r="B7604" s="65">
        <v>7802</v>
      </c>
      <c r="C7604" s="579" t="s">
        <v>281</v>
      </c>
      <c r="D7604" s="579"/>
      <c r="E7604" s="583"/>
      <c r="F7604" s="596"/>
      <c r="G7604" s="65">
        <v>0</v>
      </c>
      <c r="H7604" s="591" t="s">
        <v>280</v>
      </c>
      <c r="I7604" s="589" t="s">
        <v>280</v>
      </c>
    </row>
    <row r="7605" spans="1:9">
      <c r="A7605" s="577"/>
      <c r="B7605" s="65">
        <v>7803</v>
      </c>
      <c r="C7605" s="579" t="s">
        <v>281</v>
      </c>
      <c r="D7605" s="579"/>
      <c r="E7605" s="583"/>
      <c r="F7605" s="596"/>
      <c r="G7605" s="65">
        <v>0</v>
      </c>
      <c r="H7605" s="591" t="s">
        <v>280</v>
      </c>
      <c r="I7605" s="589" t="s">
        <v>280</v>
      </c>
    </row>
    <row r="7606" spans="1:9">
      <c r="A7606" s="577"/>
      <c r="B7606" s="65">
        <v>7804</v>
      </c>
      <c r="C7606" s="579" t="s">
        <v>281</v>
      </c>
      <c r="D7606" s="579"/>
      <c r="E7606" s="583"/>
      <c r="F7606" s="596"/>
      <c r="G7606" s="65">
        <v>0</v>
      </c>
      <c r="H7606" s="591" t="s">
        <v>280</v>
      </c>
      <c r="I7606" s="589" t="s">
        <v>280</v>
      </c>
    </row>
    <row r="7607" spans="1:9">
      <c r="A7607" s="577"/>
      <c r="B7607" s="65">
        <v>7805</v>
      </c>
      <c r="C7607" s="579" t="s">
        <v>281</v>
      </c>
      <c r="D7607" s="579"/>
      <c r="E7607" s="583"/>
      <c r="F7607" s="596"/>
      <c r="G7607" s="65">
        <v>0</v>
      </c>
      <c r="H7607" s="591" t="s">
        <v>280</v>
      </c>
      <c r="I7607" s="589" t="s">
        <v>280</v>
      </c>
    </row>
    <row r="7608" spans="1:9">
      <c r="A7608" s="577"/>
      <c r="B7608" s="65">
        <v>7806</v>
      </c>
      <c r="C7608" s="579" t="s">
        <v>281</v>
      </c>
      <c r="D7608" s="579"/>
      <c r="E7608" s="583"/>
      <c r="F7608" s="596"/>
      <c r="G7608" s="65">
        <v>0</v>
      </c>
      <c r="H7608" s="591" t="s">
        <v>280</v>
      </c>
      <c r="I7608" s="589" t="s">
        <v>280</v>
      </c>
    </row>
    <row r="7609" spans="1:9">
      <c r="A7609" s="577"/>
      <c r="B7609" s="65">
        <v>7807</v>
      </c>
      <c r="C7609" s="579" t="s">
        <v>281</v>
      </c>
      <c r="D7609" s="579"/>
      <c r="E7609" s="583"/>
      <c r="F7609" s="596"/>
      <c r="G7609" s="65">
        <v>0</v>
      </c>
      <c r="H7609" s="591" t="s">
        <v>280</v>
      </c>
      <c r="I7609" s="589" t="s">
        <v>280</v>
      </c>
    </row>
    <row r="7610" spans="1:9">
      <c r="A7610" s="577"/>
      <c r="B7610" s="65">
        <v>7808</v>
      </c>
      <c r="C7610" s="579" t="s">
        <v>281</v>
      </c>
      <c r="D7610" s="579"/>
      <c r="E7610" s="583"/>
      <c r="F7610" s="596"/>
      <c r="G7610" s="65">
        <v>0</v>
      </c>
      <c r="H7610" s="591" t="s">
        <v>280</v>
      </c>
      <c r="I7610" s="589" t="s">
        <v>280</v>
      </c>
    </row>
    <row r="7611" spans="1:9">
      <c r="A7611" s="577"/>
      <c r="B7611" s="65">
        <v>7809</v>
      </c>
      <c r="C7611" s="579" t="s">
        <v>281</v>
      </c>
      <c r="D7611" s="579"/>
      <c r="E7611" s="583"/>
      <c r="F7611" s="596"/>
      <c r="G7611" s="65">
        <v>0</v>
      </c>
      <c r="H7611" s="591" t="s">
        <v>280</v>
      </c>
      <c r="I7611" s="589" t="s">
        <v>280</v>
      </c>
    </row>
    <row r="7612" spans="1:9">
      <c r="A7612" s="577"/>
      <c r="B7612" s="65">
        <v>7810</v>
      </c>
      <c r="C7612" s="579" t="s">
        <v>281</v>
      </c>
      <c r="D7612" s="579"/>
      <c r="E7612" s="583"/>
      <c r="F7612" s="596"/>
      <c r="G7612" s="65">
        <v>0</v>
      </c>
      <c r="H7612" s="591" t="s">
        <v>280</v>
      </c>
      <c r="I7612" s="589" t="s">
        <v>280</v>
      </c>
    </row>
    <row r="7613" spans="1:9">
      <c r="A7613" s="577"/>
      <c r="B7613" s="65">
        <v>7811</v>
      </c>
      <c r="C7613" s="579" t="s">
        <v>281</v>
      </c>
      <c r="D7613" s="579"/>
      <c r="E7613" s="583"/>
      <c r="F7613" s="596"/>
      <c r="G7613" s="65">
        <v>0</v>
      </c>
      <c r="H7613" s="591" t="s">
        <v>280</v>
      </c>
      <c r="I7613" s="589" t="s">
        <v>280</v>
      </c>
    </row>
    <row r="7614" spans="1:9">
      <c r="A7614" s="577"/>
      <c r="B7614" s="65">
        <v>7812</v>
      </c>
      <c r="C7614" s="579" t="s">
        <v>281</v>
      </c>
      <c r="D7614" s="579"/>
      <c r="E7614" s="583"/>
      <c r="F7614" s="596"/>
      <c r="G7614" s="65">
        <v>0</v>
      </c>
      <c r="H7614" s="591" t="s">
        <v>280</v>
      </c>
      <c r="I7614" s="589" t="s">
        <v>280</v>
      </c>
    </row>
    <row r="7615" spans="1:9">
      <c r="A7615" s="577"/>
      <c r="B7615" s="65">
        <v>7813</v>
      </c>
      <c r="C7615" s="579" t="s">
        <v>281</v>
      </c>
      <c r="D7615" s="579"/>
      <c r="E7615" s="583"/>
      <c r="F7615" s="596"/>
      <c r="G7615" s="65">
        <v>0</v>
      </c>
      <c r="H7615" s="591" t="s">
        <v>280</v>
      </c>
      <c r="I7615" s="589" t="s">
        <v>280</v>
      </c>
    </row>
    <row r="7616" spans="1:9">
      <c r="A7616" s="577"/>
      <c r="B7616" s="65">
        <v>7814</v>
      </c>
      <c r="C7616" s="579" t="s">
        <v>281</v>
      </c>
      <c r="D7616" s="579"/>
      <c r="E7616" s="583"/>
      <c r="F7616" s="596"/>
      <c r="G7616" s="65">
        <v>0</v>
      </c>
      <c r="H7616" s="591" t="s">
        <v>280</v>
      </c>
      <c r="I7616" s="589" t="s">
        <v>280</v>
      </c>
    </row>
    <row r="7617" spans="1:9">
      <c r="A7617" s="577"/>
      <c r="B7617" s="65">
        <v>7815</v>
      </c>
      <c r="C7617" s="579" t="s">
        <v>281</v>
      </c>
      <c r="D7617" s="579"/>
      <c r="E7617" s="583"/>
      <c r="F7617" s="596"/>
      <c r="G7617" s="65">
        <v>0</v>
      </c>
      <c r="H7617" s="591" t="s">
        <v>280</v>
      </c>
      <c r="I7617" s="589" t="s">
        <v>280</v>
      </c>
    </row>
    <row r="7618" spans="1:9">
      <c r="A7618" s="577"/>
      <c r="B7618" s="65">
        <v>7816</v>
      </c>
      <c r="C7618" s="579" t="s">
        <v>281</v>
      </c>
      <c r="D7618" s="579"/>
      <c r="E7618" s="583"/>
      <c r="F7618" s="596"/>
      <c r="G7618" s="65">
        <v>0</v>
      </c>
      <c r="H7618" s="591" t="s">
        <v>280</v>
      </c>
      <c r="I7618" s="589" t="s">
        <v>280</v>
      </c>
    </row>
    <row r="7619" spans="1:9">
      <c r="A7619" s="577"/>
      <c r="B7619" s="65">
        <v>7817</v>
      </c>
      <c r="C7619" s="579" t="s">
        <v>281</v>
      </c>
      <c r="D7619" s="579"/>
      <c r="E7619" s="583"/>
      <c r="F7619" s="596"/>
      <c r="G7619" s="65">
        <v>0</v>
      </c>
      <c r="H7619" s="591" t="s">
        <v>280</v>
      </c>
      <c r="I7619" s="589" t="s">
        <v>280</v>
      </c>
    </row>
    <row r="7620" spans="1:9">
      <c r="A7620" s="577"/>
      <c r="B7620" s="65">
        <v>7818</v>
      </c>
      <c r="C7620" s="579" t="s">
        <v>281</v>
      </c>
      <c r="D7620" s="579"/>
      <c r="E7620" s="583"/>
      <c r="F7620" s="596"/>
      <c r="G7620" s="65">
        <v>0</v>
      </c>
      <c r="H7620" s="591" t="s">
        <v>280</v>
      </c>
      <c r="I7620" s="589" t="s">
        <v>280</v>
      </c>
    </row>
    <row r="7621" spans="1:9">
      <c r="A7621" s="577"/>
      <c r="B7621" s="65">
        <v>7819</v>
      </c>
      <c r="C7621" s="579" t="s">
        <v>281</v>
      </c>
      <c r="D7621" s="579"/>
      <c r="E7621" s="583"/>
      <c r="F7621" s="596"/>
      <c r="G7621" s="65">
        <v>0</v>
      </c>
      <c r="H7621" s="591" t="s">
        <v>280</v>
      </c>
      <c r="I7621" s="589" t="s">
        <v>280</v>
      </c>
    </row>
    <row r="7622" spans="1:9">
      <c r="A7622" s="577"/>
      <c r="B7622" s="65">
        <v>7820</v>
      </c>
      <c r="C7622" s="579" t="s">
        <v>281</v>
      </c>
      <c r="D7622" s="579"/>
      <c r="E7622" s="583"/>
      <c r="F7622" s="596"/>
      <c r="G7622" s="65">
        <v>0</v>
      </c>
      <c r="H7622" s="591" t="s">
        <v>280</v>
      </c>
      <c r="I7622" s="589" t="s">
        <v>280</v>
      </c>
    </row>
    <row r="7623" spans="1:9">
      <c r="A7623" s="577"/>
      <c r="B7623" s="65">
        <v>7821</v>
      </c>
      <c r="C7623" s="579" t="s">
        <v>281</v>
      </c>
      <c r="D7623" s="579"/>
      <c r="E7623" s="583"/>
      <c r="F7623" s="596"/>
      <c r="G7623" s="65">
        <v>0</v>
      </c>
      <c r="H7623" s="591" t="s">
        <v>280</v>
      </c>
      <c r="I7623" s="589" t="s">
        <v>280</v>
      </c>
    </row>
    <row r="7624" spans="1:9">
      <c r="A7624" s="577"/>
      <c r="B7624" s="65">
        <v>7822</v>
      </c>
      <c r="C7624" s="579" t="s">
        <v>281</v>
      </c>
      <c r="D7624" s="579"/>
      <c r="E7624" s="583"/>
      <c r="F7624" s="596"/>
      <c r="G7624" s="65">
        <v>0</v>
      </c>
      <c r="H7624" s="591" t="s">
        <v>280</v>
      </c>
      <c r="I7624" s="589" t="s">
        <v>280</v>
      </c>
    </row>
    <row r="7625" spans="1:9">
      <c r="A7625" s="577"/>
      <c r="B7625" s="65">
        <v>7823</v>
      </c>
      <c r="C7625" s="579" t="s">
        <v>281</v>
      </c>
      <c r="D7625" s="579"/>
      <c r="E7625" s="583"/>
      <c r="F7625" s="596"/>
      <c r="G7625" s="65">
        <v>0</v>
      </c>
      <c r="H7625" s="591" t="s">
        <v>280</v>
      </c>
      <c r="I7625" s="589" t="s">
        <v>280</v>
      </c>
    </row>
    <row r="7626" spans="1:9">
      <c r="A7626" s="577"/>
      <c r="B7626" s="65">
        <v>7824</v>
      </c>
      <c r="C7626" s="579" t="s">
        <v>281</v>
      </c>
      <c r="D7626" s="579"/>
      <c r="E7626" s="583"/>
      <c r="F7626" s="596"/>
      <c r="G7626" s="65">
        <v>0</v>
      </c>
      <c r="H7626" s="591" t="s">
        <v>280</v>
      </c>
      <c r="I7626" s="589" t="s">
        <v>280</v>
      </c>
    </row>
    <row r="7627" spans="1:9">
      <c r="A7627" s="577"/>
      <c r="B7627" s="65">
        <v>7825</v>
      </c>
      <c r="C7627" s="579" t="s">
        <v>281</v>
      </c>
      <c r="D7627" s="579"/>
      <c r="E7627" s="583"/>
      <c r="F7627" s="596"/>
      <c r="G7627" s="65">
        <v>0</v>
      </c>
      <c r="H7627" s="591" t="s">
        <v>280</v>
      </c>
      <c r="I7627" s="589" t="s">
        <v>280</v>
      </c>
    </row>
    <row r="7628" spans="1:9">
      <c r="A7628" s="577"/>
      <c r="B7628" s="65">
        <v>7826</v>
      </c>
      <c r="C7628" s="579" t="s">
        <v>281</v>
      </c>
      <c r="D7628" s="579"/>
      <c r="E7628" s="583"/>
      <c r="F7628" s="596"/>
      <c r="G7628" s="65">
        <v>0</v>
      </c>
      <c r="H7628" s="591" t="s">
        <v>280</v>
      </c>
      <c r="I7628" s="589" t="s">
        <v>280</v>
      </c>
    </row>
    <row r="7629" spans="1:9">
      <c r="A7629" s="577"/>
      <c r="B7629" s="65">
        <v>7827</v>
      </c>
      <c r="C7629" s="579" t="s">
        <v>281</v>
      </c>
      <c r="D7629" s="579"/>
      <c r="E7629" s="583"/>
      <c r="F7629" s="596"/>
      <c r="G7629" s="65">
        <v>0</v>
      </c>
      <c r="H7629" s="591" t="s">
        <v>280</v>
      </c>
      <c r="I7629" s="589" t="s">
        <v>280</v>
      </c>
    </row>
    <row r="7630" spans="1:9">
      <c r="A7630" s="577"/>
      <c r="B7630" s="65">
        <v>7828</v>
      </c>
      <c r="C7630" s="579" t="s">
        <v>281</v>
      </c>
      <c r="D7630" s="579"/>
      <c r="E7630" s="583"/>
      <c r="F7630" s="596"/>
      <c r="G7630" s="65">
        <v>0</v>
      </c>
      <c r="H7630" s="591" t="s">
        <v>280</v>
      </c>
      <c r="I7630" s="589" t="s">
        <v>280</v>
      </c>
    </row>
    <row r="7631" spans="1:9">
      <c r="A7631" s="577"/>
      <c r="B7631" s="65">
        <v>7829</v>
      </c>
      <c r="C7631" s="579" t="s">
        <v>281</v>
      </c>
      <c r="D7631" s="579"/>
      <c r="E7631" s="583"/>
      <c r="F7631" s="596"/>
      <c r="G7631" s="65">
        <v>0</v>
      </c>
      <c r="H7631" s="591" t="s">
        <v>280</v>
      </c>
      <c r="I7631" s="589" t="s">
        <v>280</v>
      </c>
    </row>
    <row r="7632" spans="1:9">
      <c r="A7632" s="577"/>
      <c r="B7632" s="65">
        <v>7830</v>
      </c>
      <c r="C7632" s="579" t="s">
        <v>281</v>
      </c>
      <c r="D7632" s="579"/>
      <c r="E7632" s="583"/>
      <c r="F7632" s="596"/>
      <c r="G7632" s="65">
        <v>0</v>
      </c>
      <c r="H7632" s="591" t="s">
        <v>280</v>
      </c>
      <c r="I7632" s="589" t="s">
        <v>280</v>
      </c>
    </row>
    <row r="7633" spans="1:9">
      <c r="A7633" s="577"/>
      <c r="B7633" s="65">
        <v>7831</v>
      </c>
      <c r="C7633" s="579" t="s">
        <v>281</v>
      </c>
      <c r="D7633" s="579"/>
      <c r="E7633" s="583"/>
      <c r="F7633" s="596"/>
      <c r="G7633" s="65">
        <v>0</v>
      </c>
      <c r="H7633" s="591" t="s">
        <v>280</v>
      </c>
      <c r="I7633" s="589" t="s">
        <v>280</v>
      </c>
    </row>
    <row r="7634" spans="1:9">
      <c r="A7634" s="577"/>
      <c r="B7634" s="65">
        <v>7832</v>
      </c>
      <c r="C7634" s="579" t="s">
        <v>281</v>
      </c>
      <c r="D7634" s="579"/>
      <c r="E7634" s="583"/>
      <c r="F7634" s="596"/>
      <c r="G7634" s="65">
        <v>0</v>
      </c>
      <c r="H7634" s="591" t="s">
        <v>280</v>
      </c>
      <c r="I7634" s="589" t="s">
        <v>280</v>
      </c>
    </row>
    <row r="7635" spans="1:9">
      <c r="A7635" s="577"/>
      <c r="B7635" s="65">
        <v>7833</v>
      </c>
      <c r="C7635" s="579" t="s">
        <v>281</v>
      </c>
      <c r="D7635" s="579"/>
      <c r="E7635" s="583"/>
      <c r="F7635" s="596"/>
      <c r="G7635" s="65">
        <v>0</v>
      </c>
      <c r="H7635" s="591" t="s">
        <v>280</v>
      </c>
      <c r="I7635" s="589" t="s">
        <v>280</v>
      </c>
    </row>
    <row r="7636" spans="1:9">
      <c r="A7636" s="577"/>
      <c r="B7636" s="65">
        <v>7834</v>
      </c>
      <c r="C7636" s="579" t="s">
        <v>281</v>
      </c>
      <c r="D7636" s="579"/>
      <c r="E7636" s="583"/>
      <c r="F7636" s="596"/>
      <c r="G7636" s="65">
        <v>0</v>
      </c>
      <c r="H7636" s="591" t="s">
        <v>280</v>
      </c>
      <c r="I7636" s="589" t="s">
        <v>280</v>
      </c>
    </row>
    <row r="7637" spans="1:9">
      <c r="A7637" s="577"/>
      <c r="B7637" s="65">
        <v>7835</v>
      </c>
      <c r="C7637" s="579" t="s">
        <v>281</v>
      </c>
      <c r="D7637" s="579"/>
      <c r="E7637" s="583"/>
      <c r="F7637" s="596"/>
      <c r="G7637" s="65">
        <v>0</v>
      </c>
      <c r="H7637" s="591" t="s">
        <v>280</v>
      </c>
      <c r="I7637" s="589" t="s">
        <v>280</v>
      </c>
    </row>
    <row r="7638" spans="1:9">
      <c r="A7638" s="577"/>
      <c r="B7638" s="65">
        <v>7836</v>
      </c>
      <c r="C7638" s="579" t="s">
        <v>281</v>
      </c>
      <c r="D7638" s="579"/>
      <c r="E7638" s="583"/>
      <c r="F7638" s="596"/>
      <c r="G7638" s="65">
        <v>0</v>
      </c>
      <c r="H7638" s="591" t="s">
        <v>280</v>
      </c>
      <c r="I7638" s="589" t="s">
        <v>280</v>
      </c>
    </row>
    <row r="7639" spans="1:9">
      <c r="A7639" s="577"/>
      <c r="B7639" s="65">
        <v>7837</v>
      </c>
      <c r="C7639" s="579" t="s">
        <v>281</v>
      </c>
      <c r="D7639" s="579"/>
      <c r="E7639" s="583"/>
      <c r="F7639" s="596"/>
      <c r="G7639" s="65">
        <v>0</v>
      </c>
      <c r="H7639" s="591" t="s">
        <v>280</v>
      </c>
      <c r="I7639" s="589" t="s">
        <v>280</v>
      </c>
    </row>
    <row r="7640" spans="1:9">
      <c r="A7640" s="577"/>
      <c r="B7640" s="65">
        <v>7838</v>
      </c>
      <c r="C7640" s="579" t="s">
        <v>281</v>
      </c>
      <c r="D7640" s="579"/>
      <c r="E7640" s="583"/>
      <c r="F7640" s="596"/>
      <c r="G7640" s="65">
        <v>0</v>
      </c>
      <c r="H7640" s="591" t="s">
        <v>280</v>
      </c>
      <c r="I7640" s="589" t="s">
        <v>280</v>
      </c>
    </row>
    <row r="7641" spans="1:9">
      <c r="A7641" s="577"/>
      <c r="B7641" s="65">
        <v>7839</v>
      </c>
      <c r="C7641" s="579" t="s">
        <v>281</v>
      </c>
      <c r="D7641" s="579"/>
      <c r="E7641" s="583"/>
      <c r="F7641" s="596"/>
      <c r="G7641" s="65">
        <v>0</v>
      </c>
      <c r="H7641" s="591" t="s">
        <v>280</v>
      </c>
      <c r="I7641" s="589" t="s">
        <v>280</v>
      </c>
    </row>
    <row r="7642" spans="1:9">
      <c r="A7642" s="577"/>
      <c r="B7642" s="65">
        <v>7840</v>
      </c>
      <c r="C7642" s="579" t="s">
        <v>281</v>
      </c>
      <c r="D7642" s="579"/>
      <c r="E7642" s="583"/>
      <c r="F7642" s="596"/>
      <c r="G7642" s="65">
        <v>0</v>
      </c>
      <c r="H7642" s="591" t="s">
        <v>280</v>
      </c>
      <c r="I7642" s="589" t="s">
        <v>280</v>
      </c>
    </row>
    <row r="7643" spans="1:9">
      <c r="A7643" s="577"/>
      <c r="B7643" s="65">
        <v>7841</v>
      </c>
      <c r="C7643" s="579" t="s">
        <v>281</v>
      </c>
      <c r="D7643" s="579"/>
      <c r="E7643" s="583"/>
      <c r="F7643" s="596"/>
      <c r="G7643" s="65">
        <v>0</v>
      </c>
      <c r="H7643" s="591" t="s">
        <v>280</v>
      </c>
      <c r="I7643" s="589" t="s">
        <v>280</v>
      </c>
    </row>
    <row r="7644" spans="1:9">
      <c r="A7644" s="577"/>
      <c r="B7644" s="65">
        <v>7842</v>
      </c>
      <c r="C7644" s="579" t="s">
        <v>281</v>
      </c>
      <c r="D7644" s="579"/>
      <c r="E7644" s="583"/>
      <c r="F7644" s="596"/>
      <c r="G7644" s="65">
        <v>0</v>
      </c>
      <c r="H7644" s="591" t="s">
        <v>280</v>
      </c>
      <c r="I7644" s="589" t="s">
        <v>280</v>
      </c>
    </row>
    <row r="7645" spans="1:9">
      <c r="A7645" s="577"/>
      <c r="B7645" s="65">
        <v>7843</v>
      </c>
      <c r="C7645" s="579" t="s">
        <v>281</v>
      </c>
      <c r="D7645" s="579"/>
      <c r="E7645" s="583"/>
      <c r="F7645" s="596"/>
      <c r="G7645" s="65">
        <v>0</v>
      </c>
      <c r="H7645" s="591" t="s">
        <v>280</v>
      </c>
      <c r="I7645" s="589" t="s">
        <v>280</v>
      </c>
    </row>
    <row r="7646" spans="1:9">
      <c r="A7646" s="577"/>
      <c r="B7646" s="65">
        <v>7844</v>
      </c>
      <c r="C7646" s="579" t="s">
        <v>281</v>
      </c>
      <c r="D7646" s="579"/>
      <c r="E7646" s="583"/>
      <c r="F7646" s="596"/>
      <c r="G7646" s="65">
        <v>0</v>
      </c>
      <c r="H7646" s="591" t="s">
        <v>280</v>
      </c>
      <c r="I7646" s="589" t="s">
        <v>280</v>
      </c>
    </row>
    <row r="7647" spans="1:9">
      <c r="A7647" s="577"/>
      <c r="B7647" s="65">
        <v>7845</v>
      </c>
      <c r="C7647" s="579" t="s">
        <v>281</v>
      </c>
      <c r="D7647" s="579"/>
      <c r="E7647" s="583"/>
      <c r="F7647" s="596"/>
      <c r="G7647" s="65">
        <v>0</v>
      </c>
      <c r="H7647" s="591" t="s">
        <v>280</v>
      </c>
      <c r="I7647" s="589" t="s">
        <v>280</v>
      </c>
    </row>
    <row r="7648" spans="1:9">
      <c r="A7648" s="577"/>
      <c r="B7648" s="65">
        <v>7846</v>
      </c>
      <c r="C7648" s="579" t="s">
        <v>281</v>
      </c>
      <c r="D7648" s="579"/>
      <c r="E7648" s="583"/>
      <c r="F7648" s="596"/>
      <c r="G7648" s="65">
        <v>0</v>
      </c>
      <c r="H7648" s="591" t="s">
        <v>280</v>
      </c>
      <c r="I7648" s="589" t="s">
        <v>280</v>
      </c>
    </row>
    <row r="7649" spans="1:9">
      <c r="A7649" s="577"/>
      <c r="B7649" s="65">
        <v>7847</v>
      </c>
      <c r="C7649" s="579" t="s">
        <v>281</v>
      </c>
      <c r="D7649" s="579"/>
      <c r="E7649" s="583"/>
      <c r="F7649" s="596"/>
      <c r="G7649" s="65">
        <v>0</v>
      </c>
      <c r="H7649" s="591" t="s">
        <v>280</v>
      </c>
      <c r="I7649" s="589" t="s">
        <v>280</v>
      </c>
    </row>
    <row r="7650" spans="1:9">
      <c r="A7650" s="577"/>
      <c r="B7650" s="65">
        <v>7848</v>
      </c>
      <c r="C7650" s="579" t="s">
        <v>281</v>
      </c>
      <c r="D7650" s="579"/>
      <c r="E7650" s="583"/>
      <c r="F7650" s="596"/>
      <c r="G7650" s="65">
        <v>0</v>
      </c>
      <c r="H7650" s="591" t="s">
        <v>280</v>
      </c>
      <c r="I7650" s="589" t="s">
        <v>280</v>
      </c>
    </row>
    <row r="7651" spans="1:9">
      <c r="A7651" s="577"/>
      <c r="B7651" s="65">
        <v>7849</v>
      </c>
      <c r="C7651" s="579" t="s">
        <v>281</v>
      </c>
      <c r="D7651" s="579"/>
      <c r="E7651" s="583"/>
      <c r="F7651" s="596"/>
      <c r="G7651" s="65">
        <v>0</v>
      </c>
      <c r="H7651" s="591" t="s">
        <v>280</v>
      </c>
      <c r="I7651" s="589" t="s">
        <v>280</v>
      </c>
    </row>
    <row r="7652" spans="1:9">
      <c r="A7652" s="577"/>
      <c r="B7652" s="65">
        <v>7850</v>
      </c>
      <c r="C7652" s="579" t="s">
        <v>281</v>
      </c>
      <c r="D7652" s="579"/>
      <c r="E7652" s="583"/>
      <c r="F7652" s="596"/>
      <c r="G7652" s="65">
        <v>0</v>
      </c>
      <c r="H7652" s="591" t="s">
        <v>280</v>
      </c>
      <c r="I7652" s="589" t="s">
        <v>280</v>
      </c>
    </row>
    <row r="7653" spans="1:9">
      <c r="A7653" s="577"/>
      <c r="B7653" s="65">
        <v>7851</v>
      </c>
      <c r="C7653" s="579" t="s">
        <v>281</v>
      </c>
      <c r="D7653" s="579"/>
      <c r="E7653" s="583"/>
      <c r="F7653" s="596"/>
      <c r="G7653" s="65">
        <v>0</v>
      </c>
      <c r="H7653" s="591" t="s">
        <v>280</v>
      </c>
      <c r="I7653" s="589" t="s">
        <v>280</v>
      </c>
    </row>
    <row r="7654" spans="1:9">
      <c r="A7654" s="577"/>
      <c r="B7654" s="65">
        <v>7852</v>
      </c>
      <c r="C7654" s="579" t="s">
        <v>281</v>
      </c>
      <c r="D7654" s="579"/>
      <c r="E7654" s="583"/>
      <c r="F7654" s="596"/>
      <c r="G7654" s="65">
        <v>0</v>
      </c>
      <c r="H7654" s="591" t="s">
        <v>280</v>
      </c>
      <c r="I7654" s="589" t="s">
        <v>280</v>
      </c>
    </row>
    <row r="7655" spans="1:9">
      <c r="A7655" s="577"/>
      <c r="B7655" s="65">
        <v>7853</v>
      </c>
      <c r="C7655" s="579" t="s">
        <v>281</v>
      </c>
      <c r="D7655" s="579"/>
      <c r="E7655" s="583"/>
      <c r="F7655" s="596"/>
      <c r="G7655" s="65">
        <v>0</v>
      </c>
      <c r="H7655" s="591" t="s">
        <v>280</v>
      </c>
      <c r="I7655" s="589" t="s">
        <v>280</v>
      </c>
    </row>
    <row r="7656" spans="1:9">
      <c r="A7656" s="577"/>
      <c r="B7656" s="65">
        <v>7854</v>
      </c>
      <c r="C7656" s="579" t="s">
        <v>281</v>
      </c>
      <c r="D7656" s="579"/>
      <c r="E7656" s="583"/>
      <c r="F7656" s="596"/>
      <c r="G7656" s="65">
        <v>0</v>
      </c>
      <c r="H7656" s="591" t="s">
        <v>280</v>
      </c>
      <c r="I7656" s="589" t="s">
        <v>280</v>
      </c>
    </row>
    <row r="7657" spans="1:9">
      <c r="A7657" s="577"/>
      <c r="B7657" s="65">
        <v>7855</v>
      </c>
      <c r="C7657" s="579" t="s">
        <v>281</v>
      </c>
      <c r="D7657" s="579"/>
      <c r="E7657" s="583"/>
      <c r="F7657" s="596"/>
      <c r="G7657" s="65">
        <v>0</v>
      </c>
      <c r="H7657" s="591" t="s">
        <v>280</v>
      </c>
      <c r="I7657" s="589" t="s">
        <v>280</v>
      </c>
    </row>
    <row r="7658" spans="1:9">
      <c r="A7658" s="577"/>
      <c r="B7658" s="65">
        <v>7856</v>
      </c>
      <c r="C7658" s="579" t="s">
        <v>281</v>
      </c>
      <c r="D7658" s="579"/>
      <c r="E7658" s="583"/>
      <c r="F7658" s="596"/>
      <c r="G7658" s="65">
        <v>0</v>
      </c>
      <c r="H7658" s="591" t="s">
        <v>280</v>
      </c>
      <c r="I7658" s="589" t="s">
        <v>280</v>
      </c>
    </row>
    <row r="7659" spans="1:9">
      <c r="A7659" s="577"/>
      <c r="B7659" s="65">
        <v>7857</v>
      </c>
      <c r="C7659" s="579" t="s">
        <v>281</v>
      </c>
      <c r="D7659" s="579"/>
      <c r="E7659" s="583"/>
      <c r="F7659" s="596"/>
      <c r="G7659" s="65">
        <v>0</v>
      </c>
      <c r="H7659" s="591" t="s">
        <v>280</v>
      </c>
      <c r="I7659" s="589" t="s">
        <v>280</v>
      </c>
    </row>
    <row r="7660" spans="1:9">
      <c r="A7660" s="577"/>
      <c r="B7660" s="65">
        <v>7858</v>
      </c>
      <c r="C7660" s="579" t="s">
        <v>281</v>
      </c>
      <c r="D7660" s="579"/>
      <c r="E7660" s="583"/>
      <c r="F7660" s="596"/>
      <c r="G7660" s="65">
        <v>0</v>
      </c>
      <c r="H7660" s="591" t="s">
        <v>280</v>
      </c>
      <c r="I7660" s="589" t="s">
        <v>280</v>
      </c>
    </row>
    <row r="7661" spans="1:9">
      <c r="A7661" s="577"/>
      <c r="B7661" s="65">
        <v>7859</v>
      </c>
      <c r="C7661" s="579" t="s">
        <v>281</v>
      </c>
      <c r="D7661" s="579"/>
      <c r="E7661" s="583"/>
      <c r="F7661" s="596"/>
      <c r="G7661" s="65">
        <v>0</v>
      </c>
      <c r="H7661" s="591" t="s">
        <v>280</v>
      </c>
      <c r="I7661" s="589" t="s">
        <v>280</v>
      </c>
    </row>
    <row r="7662" spans="1:9">
      <c r="A7662" s="577"/>
      <c r="B7662" s="65">
        <v>7860</v>
      </c>
      <c r="C7662" s="579" t="s">
        <v>281</v>
      </c>
      <c r="D7662" s="579"/>
      <c r="E7662" s="583"/>
      <c r="F7662" s="596"/>
      <c r="G7662" s="65">
        <v>0</v>
      </c>
      <c r="H7662" s="591" t="s">
        <v>280</v>
      </c>
      <c r="I7662" s="589" t="s">
        <v>280</v>
      </c>
    </row>
    <row r="7663" spans="1:9">
      <c r="A7663" s="577"/>
      <c r="B7663" s="65">
        <v>7861</v>
      </c>
      <c r="C7663" s="579" t="s">
        <v>281</v>
      </c>
      <c r="D7663" s="579"/>
      <c r="E7663" s="583"/>
      <c r="F7663" s="596"/>
      <c r="G7663" s="65">
        <v>0</v>
      </c>
      <c r="H7663" s="591" t="s">
        <v>280</v>
      </c>
      <c r="I7663" s="589" t="s">
        <v>280</v>
      </c>
    </row>
    <row r="7664" spans="1:9">
      <c r="A7664" s="577"/>
      <c r="B7664" s="65">
        <v>7862</v>
      </c>
      <c r="C7664" s="579" t="s">
        <v>281</v>
      </c>
      <c r="D7664" s="579"/>
      <c r="E7664" s="583"/>
      <c r="F7664" s="596"/>
      <c r="G7664" s="65">
        <v>0</v>
      </c>
      <c r="H7664" s="591" t="s">
        <v>280</v>
      </c>
      <c r="I7664" s="589" t="s">
        <v>280</v>
      </c>
    </row>
    <row r="7665" spans="1:9">
      <c r="A7665" s="577"/>
      <c r="B7665" s="65">
        <v>7863</v>
      </c>
      <c r="C7665" s="579" t="s">
        <v>281</v>
      </c>
      <c r="D7665" s="579"/>
      <c r="E7665" s="583"/>
      <c r="F7665" s="596"/>
      <c r="G7665" s="65">
        <v>0</v>
      </c>
      <c r="H7665" s="591" t="s">
        <v>280</v>
      </c>
      <c r="I7665" s="589" t="s">
        <v>280</v>
      </c>
    </row>
    <row r="7666" spans="1:9">
      <c r="A7666" s="577"/>
      <c r="B7666" s="65">
        <v>7864</v>
      </c>
      <c r="C7666" s="579" t="s">
        <v>281</v>
      </c>
      <c r="D7666" s="579"/>
      <c r="E7666" s="583"/>
      <c r="F7666" s="596"/>
      <c r="G7666" s="65">
        <v>0</v>
      </c>
      <c r="H7666" s="591" t="s">
        <v>280</v>
      </c>
      <c r="I7666" s="589" t="s">
        <v>280</v>
      </c>
    </row>
    <row r="7667" spans="1:9">
      <c r="A7667" s="577"/>
      <c r="B7667" s="65">
        <v>7865</v>
      </c>
      <c r="C7667" s="579" t="s">
        <v>281</v>
      </c>
      <c r="D7667" s="579"/>
      <c r="E7667" s="583"/>
      <c r="F7667" s="596"/>
      <c r="G7667" s="65">
        <v>0</v>
      </c>
      <c r="H7667" s="591" t="s">
        <v>280</v>
      </c>
      <c r="I7667" s="589" t="s">
        <v>280</v>
      </c>
    </row>
    <row r="7668" spans="1:9">
      <c r="A7668" s="577"/>
      <c r="B7668" s="65">
        <v>7866</v>
      </c>
      <c r="C7668" s="579" t="s">
        <v>281</v>
      </c>
      <c r="D7668" s="579"/>
      <c r="E7668" s="583"/>
      <c r="F7668" s="596"/>
      <c r="G7668" s="65">
        <v>0</v>
      </c>
      <c r="H7668" s="591" t="s">
        <v>280</v>
      </c>
      <c r="I7668" s="589" t="s">
        <v>280</v>
      </c>
    </row>
    <row r="7669" spans="1:9">
      <c r="A7669" s="577"/>
      <c r="B7669" s="65">
        <v>7867</v>
      </c>
      <c r="C7669" s="579" t="s">
        <v>281</v>
      </c>
      <c r="D7669" s="579"/>
      <c r="E7669" s="583"/>
      <c r="F7669" s="596"/>
      <c r="G7669" s="65">
        <v>0</v>
      </c>
      <c r="H7669" s="591" t="s">
        <v>280</v>
      </c>
      <c r="I7669" s="589" t="s">
        <v>280</v>
      </c>
    </row>
    <row r="7670" spans="1:9">
      <c r="A7670" s="577"/>
      <c r="B7670" s="65">
        <v>7868</v>
      </c>
      <c r="C7670" s="579" t="s">
        <v>281</v>
      </c>
      <c r="D7670" s="579"/>
      <c r="E7670" s="583"/>
      <c r="F7670" s="596"/>
      <c r="G7670" s="65">
        <v>0</v>
      </c>
      <c r="H7670" s="591" t="s">
        <v>280</v>
      </c>
      <c r="I7670" s="589" t="s">
        <v>280</v>
      </c>
    </row>
    <row r="7671" spans="1:9">
      <c r="A7671" s="577"/>
      <c r="B7671" s="65">
        <v>7869</v>
      </c>
      <c r="C7671" s="579" t="s">
        <v>281</v>
      </c>
      <c r="D7671" s="579"/>
      <c r="E7671" s="583"/>
      <c r="F7671" s="596"/>
      <c r="G7671" s="65">
        <v>0</v>
      </c>
      <c r="H7671" s="591" t="s">
        <v>280</v>
      </c>
      <c r="I7671" s="589" t="s">
        <v>280</v>
      </c>
    </row>
    <row r="7672" spans="1:9">
      <c r="A7672" s="577"/>
      <c r="B7672" s="65">
        <v>7870</v>
      </c>
      <c r="C7672" s="579" t="s">
        <v>281</v>
      </c>
      <c r="D7672" s="579"/>
      <c r="E7672" s="583"/>
      <c r="F7672" s="596"/>
      <c r="G7672" s="65">
        <v>0</v>
      </c>
      <c r="H7672" s="591" t="s">
        <v>280</v>
      </c>
      <c r="I7672" s="589" t="s">
        <v>280</v>
      </c>
    </row>
    <row r="7673" spans="1:9">
      <c r="A7673" s="577"/>
      <c r="B7673" s="65">
        <v>7871</v>
      </c>
      <c r="C7673" s="579" t="s">
        <v>281</v>
      </c>
      <c r="D7673" s="579"/>
      <c r="E7673" s="583"/>
      <c r="F7673" s="596"/>
      <c r="G7673" s="65">
        <v>0</v>
      </c>
      <c r="H7673" s="591" t="s">
        <v>280</v>
      </c>
      <c r="I7673" s="589" t="s">
        <v>280</v>
      </c>
    </row>
    <row r="7674" spans="1:9">
      <c r="A7674" s="577"/>
      <c r="B7674" s="65">
        <v>7872</v>
      </c>
      <c r="C7674" s="579" t="s">
        <v>281</v>
      </c>
      <c r="D7674" s="579"/>
      <c r="E7674" s="583"/>
      <c r="F7674" s="596"/>
      <c r="G7674" s="65">
        <v>0</v>
      </c>
      <c r="H7674" s="591" t="s">
        <v>280</v>
      </c>
      <c r="I7674" s="589" t="s">
        <v>280</v>
      </c>
    </row>
    <row r="7675" spans="1:9">
      <c r="A7675" s="577"/>
      <c r="B7675" s="65">
        <v>7873</v>
      </c>
      <c r="C7675" s="579" t="s">
        <v>281</v>
      </c>
      <c r="D7675" s="579"/>
      <c r="E7675" s="583"/>
      <c r="F7675" s="596"/>
      <c r="G7675" s="65">
        <v>0</v>
      </c>
      <c r="H7675" s="591" t="s">
        <v>280</v>
      </c>
      <c r="I7675" s="589" t="s">
        <v>280</v>
      </c>
    </row>
    <row r="7676" spans="1:9">
      <c r="A7676" s="577"/>
      <c r="B7676" s="65">
        <v>7874</v>
      </c>
      <c r="C7676" s="579" t="s">
        <v>281</v>
      </c>
      <c r="D7676" s="579"/>
      <c r="E7676" s="583"/>
      <c r="F7676" s="596"/>
      <c r="G7676" s="65">
        <v>0</v>
      </c>
      <c r="H7676" s="591" t="s">
        <v>280</v>
      </c>
      <c r="I7676" s="589" t="s">
        <v>280</v>
      </c>
    </row>
    <row r="7677" spans="1:9">
      <c r="A7677" s="577"/>
      <c r="B7677" s="65">
        <v>7875</v>
      </c>
      <c r="C7677" s="579" t="s">
        <v>281</v>
      </c>
      <c r="D7677" s="579"/>
      <c r="E7677" s="583"/>
      <c r="F7677" s="596"/>
      <c r="G7677" s="65">
        <v>0</v>
      </c>
      <c r="H7677" s="591" t="s">
        <v>280</v>
      </c>
      <c r="I7677" s="589" t="s">
        <v>280</v>
      </c>
    </row>
    <row r="7678" spans="1:9">
      <c r="A7678" s="577"/>
      <c r="B7678" s="65">
        <v>7876</v>
      </c>
      <c r="C7678" s="579" t="s">
        <v>281</v>
      </c>
      <c r="D7678" s="579"/>
      <c r="E7678" s="583"/>
      <c r="F7678" s="596"/>
      <c r="G7678" s="65">
        <v>0</v>
      </c>
      <c r="H7678" s="591" t="s">
        <v>280</v>
      </c>
      <c r="I7678" s="589" t="s">
        <v>280</v>
      </c>
    </row>
    <row r="7679" spans="1:9">
      <c r="A7679" s="577"/>
      <c r="B7679" s="65">
        <v>7877</v>
      </c>
      <c r="C7679" s="579" t="s">
        <v>281</v>
      </c>
      <c r="D7679" s="579"/>
      <c r="E7679" s="583"/>
      <c r="F7679" s="596"/>
      <c r="G7679" s="65">
        <v>0</v>
      </c>
      <c r="H7679" s="591" t="s">
        <v>280</v>
      </c>
      <c r="I7679" s="589" t="s">
        <v>280</v>
      </c>
    </row>
    <row r="7680" spans="1:9">
      <c r="A7680" s="577"/>
      <c r="B7680" s="65">
        <v>7878</v>
      </c>
      <c r="C7680" s="579" t="s">
        <v>281</v>
      </c>
      <c r="D7680" s="579"/>
      <c r="E7680" s="583"/>
      <c r="F7680" s="596"/>
      <c r="G7680" s="65">
        <v>0</v>
      </c>
      <c r="H7680" s="591" t="s">
        <v>280</v>
      </c>
      <c r="I7680" s="589" t="s">
        <v>280</v>
      </c>
    </row>
    <row r="7681" spans="1:9">
      <c r="A7681" s="577"/>
      <c r="B7681" s="65">
        <v>7879</v>
      </c>
      <c r="C7681" s="579" t="s">
        <v>281</v>
      </c>
      <c r="D7681" s="579"/>
      <c r="E7681" s="583"/>
      <c r="F7681" s="596"/>
      <c r="G7681" s="65">
        <v>0</v>
      </c>
      <c r="H7681" s="591" t="s">
        <v>280</v>
      </c>
      <c r="I7681" s="589" t="s">
        <v>280</v>
      </c>
    </row>
    <row r="7682" spans="1:9">
      <c r="A7682" s="577"/>
      <c r="B7682" s="65">
        <v>7880</v>
      </c>
      <c r="C7682" s="579" t="s">
        <v>281</v>
      </c>
      <c r="D7682" s="579"/>
      <c r="E7682" s="583"/>
      <c r="F7682" s="596"/>
      <c r="G7682" s="65">
        <v>0</v>
      </c>
      <c r="H7682" s="591" t="s">
        <v>280</v>
      </c>
      <c r="I7682" s="589" t="s">
        <v>280</v>
      </c>
    </row>
    <row r="7683" spans="1:9">
      <c r="A7683" s="577"/>
      <c r="B7683" s="65">
        <v>7881</v>
      </c>
      <c r="C7683" s="579" t="s">
        <v>281</v>
      </c>
      <c r="D7683" s="579"/>
      <c r="E7683" s="583"/>
      <c r="F7683" s="596"/>
      <c r="G7683" s="65">
        <v>0</v>
      </c>
      <c r="H7683" s="591" t="s">
        <v>280</v>
      </c>
      <c r="I7683" s="589" t="s">
        <v>280</v>
      </c>
    </row>
    <row r="7684" spans="1:9">
      <c r="A7684" s="577"/>
      <c r="B7684" s="65">
        <v>7882</v>
      </c>
      <c r="C7684" s="579" t="s">
        <v>281</v>
      </c>
      <c r="D7684" s="579"/>
      <c r="E7684" s="583"/>
      <c r="F7684" s="596"/>
      <c r="G7684" s="65">
        <v>0</v>
      </c>
      <c r="H7684" s="591" t="s">
        <v>280</v>
      </c>
      <c r="I7684" s="589" t="s">
        <v>280</v>
      </c>
    </row>
    <row r="7685" spans="1:9">
      <c r="A7685" s="577"/>
      <c r="B7685" s="65">
        <v>7883</v>
      </c>
      <c r="C7685" s="579" t="s">
        <v>281</v>
      </c>
      <c r="D7685" s="579"/>
      <c r="E7685" s="583"/>
      <c r="F7685" s="596"/>
      <c r="G7685" s="65">
        <v>0</v>
      </c>
      <c r="H7685" s="591" t="s">
        <v>280</v>
      </c>
      <c r="I7685" s="589" t="s">
        <v>280</v>
      </c>
    </row>
    <row r="7686" spans="1:9">
      <c r="A7686" s="577"/>
      <c r="B7686" s="65">
        <v>7884</v>
      </c>
      <c r="C7686" s="579" t="s">
        <v>281</v>
      </c>
      <c r="D7686" s="579"/>
      <c r="E7686" s="583"/>
      <c r="F7686" s="596"/>
      <c r="G7686" s="65">
        <v>0</v>
      </c>
      <c r="H7686" s="591" t="s">
        <v>280</v>
      </c>
      <c r="I7686" s="589" t="s">
        <v>280</v>
      </c>
    </row>
    <row r="7687" spans="1:9">
      <c r="A7687" s="577"/>
      <c r="B7687" s="65">
        <v>7885</v>
      </c>
      <c r="C7687" s="579" t="s">
        <v>281</v>
      </c>
      <c r="D7687" s="579"/>
      <c r="E7687" s="583"/>
      <c r="F7687" s="596"/>
      <c r="G7687" s="65">
        <v>0</v>
      </c>
      <c r="H7687" s="591" t="s">
        <v>280</v>
      </c>
      <c r="I7687" s="589" t="s">
        <v>280</v>
      </c>
    </row>
    <row r="7688" spans="1:9">
      <c r="A7688" s="577"/>
      <c r="B7688" s="65">
        <v>7886</v>
      </c>
      <c r="C7688" s="579" t="s">
        <v>281</v>
      </c>
      <c r="D7688" s="579"/>
      <c r="E7688" s="583"/>
      <c r="F7688" s="596"/>
      <c r="G7688" s="65">
        <v>0</v>
      </c>
      <c r="H7688" s="591" t="s">
        <v>280</v>
      </c>
      <c r="I7688" s="589" t="s">
        <v>280</v>
      </c>
    </row>
    <row r="7689" spans="1:9">
      <c r="A7689" s="577"/>
      <c r="B7689" s="65">
        <v>7887</v>
      </c>
      <c r="C7689" s="579" t="s">
        <v>281</v>
      </c>
      <c r="D7689" s="579"/>
      <c r="E7689" s="583"/>
      <c r="F7689" s="596"/>
      <c r="G7689" s="65">
        <v>0</v>
      </c>
      <c r="H7689" s="591" t="s">
        <v>280</v>
      </c>
      <c r="I7689" s="589" t="s">
        <v>280</v>
      </c>
    </row>
    <row r="7690" spans="1:9">
      <c r="A7690" s="577"/>
      <c r="B7690" s="65">
        <v>7888</v>
      </c>
      <c r="C7690" s="579" t="s">
        <v>281</v>
      </c>
      <c r="D7690" s="579"/>
      <c r="E7690" s="583"/>
      <c r="F7690" s="596"/>
      <c r="G7690" s="65">
        <v>0</v>
      </c>
      <c r="H7690" s="591" t="s">
        <v>280</v>
      </c>
      <c r="I7690" s="589" t="s">
        <v>280</v>
      </c>
    </row>
    <row r="7691" spans="1:9">
      <c r="A7691" s="577"/>
      <c r="B7691" s="65">
        <v>7889</v>
      </c>
      <c r="C7691" s="579" t="s">
        <v>281</v>
      </c>
      <c r="D7691" s="579"/>
      <c r="E7691" s="583"/>
      <c r="F7691" s="596"/>
      <c r="G7691" s="65">
        <v>0</v>
      </c>
      <c r="H7691" s="591" t="s">
        <v>280</v>
      </c>
      <c r="I7691" s="589" t="s">
        <v>280</v>
      </c>
    </row>
    <row r="7692" spans="1:9">
      <c r="A7692" s="577"/>
      <c r="B7692" s="65">
        <v>7890</v>
      </c>
      <c r="C7692" s="579" t="s">
        <v>281</v>
      </c>
      <c r="D7692" s="579"/>
      <c r="E7692" s="583"/>
      <c r="F7692" s="596"/>
      <c r="G7692" s="65">
        <v>0</v>
      </c>
      <c r="H7692" s="591" t="s">
        <v>280</v>
      </c>
      <c r="I7692" s="589" t="s">
        <v>280</v>
      </c>
    </row>
    <row r="7693" spans="1:9">
      <c r="A7693" s="577"/>
      <c r="B7693" s="65">
        <v>7891</v>
      </c>
      <c r="C7693" s="579" t="s">
        <v>281</v>
      </c>
      <c r="D7693" s="579"/>
      <c r="E7693" s="583"/>
      <c r="F7693" s="596"/>
      <c r="G7693" s="65">
        <v>0</v>
      </c>
      <c r="H7693" s="591" t="s">
        <v>280</v>
      </c>
      <c r="I7693" s="589" t="s">
        <v>280</v>
      </c>
    </row>
    <row r="7694" spans="1:9">
      <c r="A7694" s="577"/>
      <c r="B7694" s="65">
        <v>7892</v>
      </c>
      <c r="C7694" s="579" t="s">
        <v>281</v>
      </c>
      <c r="D7694" s="579"/>
      <c r="E7694" s="583"/>
      <c r="F7694" s="596"/>
      <c r="G7694" s="65">
        <v>0</v>
      </c>
      <c r="H7694" s="591" t="s">
        <v>280</v>
      </c>
      <c r="I7694" s="589" t="s">
        <v>280</v>
      </c>
    </row>
    <row r="7695" spans="1:9">
      <c r="A7695" s="577"/>
      <c r="B7695" s="65">
        <v>7893</v>
      </c>
      <c r="C7695" s="579" t="s">
        <v>281</v>
      </c>
      <c r="D7695" s="579"/>
      <c r="E7695" s="583"/>
      <c r="F7695" s="596"/>
      <c r="G7695" s="65">
        <v>0</v>
      </c>
      <c r="H7695" s="591" t="s">
        <v>280</v>
      </c>
      <c r="I7695" s="589" t="s">
        <v>280</v>
      </c>
    </row>
    <row r="7696" spans="1:9">
      <c r="A7696" s="577"/>
      <c r="B7696" s="65">
        <v>7894</v>
      </c>
      <c r="C7696" s="579" t="s">
        <v>281</v>
      </c>
      <c r="D7696" s="579"/>
      <c r="E7696" s="583"/>
      <c r="F7696" s="596"/>
      <c r="G7696" s="65">
        <v>0</v>
      </c>
      <c r="H7696" s="591" t="s">
        <v>280</v>
      </c>
      <c r="I7696" s="589" t="s">
        <v>280</v>
      </c>
    </row>
    <row r="7697" spans="1:9">
      <c r="A7697" s="577"/>
      <c r="B7697" s="65">
        <v>7895</v>
      </c>
      <c r="C7697" s="579" t="s">
        <v>281</v>
      </c>
      <c r="D7697" s="579"/>
      <c r="E7697" s="583"/>
      <c r="F7697" s="596"/>
      <c r="G7697" s="65">
        <v>0</v>
      </c>
      <c r="H7697" s="591" t="s">
        <v>280</v>
      </c>
      <c r="I7697" s="589" t="s">
        <v>280</v>
      </c>
    </row>
    <row r="7698" spans="1:9">
      <c r="A7698" s="577"/>
      <c r="B7698" s="65">
        <v>7896</v>
      </c>
      <c r="C7698" s="579" t="s">
        <v>281</v>
      </c>
      <c r="D7698" s="579"/>
      <c r="E7698" s="583"/>
      <c r="F7698" s="596"/>
      <c r="G7698" s="65">
        <v>0</v>
      </c>
      <c r="H7698" s="591" t="s">
        <v>280</v>
      </c>
      <c r="I7698" s="589" t="s">
        <v>280</v>
      </c>
    </row>
    <row r="7699" spans="1:9">
      <c r="A7699" s="577"/>
      <c r="B7699" s="65">
        <v>7897</v>
      </c>
      <c r="C7699" s="579" t="s">
        <v>281</v>
      </c>
      <c r="D7699" s="579"/>
      <c r="E7699" s="583"/>
      <c r="F7699" s="596"/>
      <c r="G7699" s="65">
        <v>0</v>
      </c>
      <c r="H7699" s="591" t="s">
        <v>280</v>
      </c>
      <c r="I7699" s="589" t="s">
        <v>280</v>
      </c>
    </row>
    <row r="7700" spans="1:9">
      <c r="A7700" s="577"/>
      <c r="B7700" s="65">
        <v>7898</v>
      </c>
      <c r="C7700" s="579" t="s">
        <v>281</v>
      </c>
      <c r="D7700" s="579"/>
      <c r="E7700" s="583"/>
      <c r="F7700" s="596"/>
      <c r="G7700" s="65">
        <v>0</v>
      </c>
      <c r="H7700" s="591" t="s">
        <v>280</v>
      </c>
      <c r="I7700" s="589" t="s">
        <v>280</v>
      </c>
    </row>
    <row r="7701" spans="1:9">
      <c r="A7701" s="577"/>
      <c r="B7701" s="65">
        <v>7899</v>
      </c>
      <c r="C7701" s="579" t="s">
        <v>281</v>
      </c>
      <c r="D7701" s="579"/>
      <c r="E7701" s="583"/>
      <c r="F7701" s="596"/>
      <c r="G7701" s="65">
        <v>0</v>
      </c>
      <c r="H7701" s="591" t="s">
        <v>280</v>
      </c>
      <c r="I7701" s="589" t="s">
        <v>280</v>
      </c>
    </row>
    <row r="7702" spans="1:9">
      <c r="A7702" s="577"/>
      <c r="B7702" s="65">
        <v>7900</v>
      </c>
      <c r="C7702" s="579" t="s">
        <v>281</v>
      </c>
      <c r="D7702" s="579"/>
      <c r="E7702" s="583"/>
      <c r="F7702" s="596"/>
      <c r="G7702" s="65">
        <v>0</v>
      </c>
      <c r="H7702" s="591" t="s">
        <v>280</v>
      </c>
      <c r="I7702" s="589" t="s">
        <v>280</v>
      </c>
    </row>
    <row r="7703" spans="1:9">
      <c r="A7703" s="577"/>
      <c r="B7703" s="65">
        <v>7901</v>
      </c>
      <c r="C7703" s="579" t="s">
        <v>281</v>
      </c>
      <c r="D7703" s="579"/>
      <c r="E7703" s="583"/>
      <c r="F7703" s="596"/>
      <c r="G7703" s="65">
        <v>0</v>
      </c>
      <c r="H7703" s="591" t="s">
        <v>280</v>
      </c>
      <c r="I7703" s="589" t="s">
        <v>280</v>
      </c>
    </row>
    <row r="7704" spans="1:9">
      <c r="A7704" s="577"/>
      <c r="B7704" s="65">
        <v>7902</v>
      </c>
      <c r="C7704" s="579" t="s">
        <v>281</v>
      </c>
      <c r="D7704" s="579"/>
      <c r="E7704" s="583"/>
      <c r="F7704" s="596"/>
      <c r="G7704" s="65">
        <v>0</v>
      </c>
      <c r="H7704" s="591" t="s">
        <v>280</v>
      </c>
      <c r="I7704" s="589" t="s">
        <v>280</v>
      </c>
    </row>
    <row r="7705" spans="1:9">
      <c r="A7705" s="577"/>
      <c r="B7705" s="65">
        <v>7903</v>
      </c>
      <c r="C7705" s="579" t="s">
        <v>281</v>
      </c>
      <c r="D7705" s="579"/>
      <c r="E7705" s="583"/>
      <c r="F7705" s="596"/>
      <c r="G7705" s="65">
        <v>0</v>
      </c>
      <c r="H7705" s="591" t="s">
        <v>280</v>
      </c>
      <c r="I7705" s="589" t="s">
        <v>280</v>
      </c>
    </row>
    <row r="7706" spans="1:9">
      <c r="A7706" s="577"/>
      <c r="B7706" s="65">
        <v>7904</v>
      </c>
      <c r="C7706" s="579" t="s">
        <v>281</v>
      </c>
      <c r="D7706" s="579"/>
      <c r="E7706" s="583"/>
      <c r="F7706" s="596"/>
      <c r="G7706" s="65">
        <v>0</v>
      </c>
      <c r="H7706" s="591" t="s">
        <v>280</v>
      </c>
      <c r="I7706" s="589" t="s">
        <v>280</v>
      </c>
    </row>
    <row r="7707" spans="1:9">
      <c r="A7707" s="577"/>
      <c r="B7707" s="65">
        <v>7905</v>
      </c>
      <c r="C7707" s="579" t="s">
        <v>281</v>
      </c>
      <c r="D7707" s="579"/>
      <c r="E7707" s="583"/>
      <c r="F7707" s="596"/>
      <c r="G7707" s="65">
        <v>0</v>
      </c>
      <c r="H7707" s="591" t="s">
        <v>280</v>
      </c>
      <c r="I7707" s="589" t="s">
        <v>280</v>
      </c>
    </row>
    <row r="7708" spans="1:9">
      <c r="A7708" s="577"/>
      <c r="B7708" s="65">
        <v>7906</v>
      </c>
      <c r="C7708" s="579" t="s">
        <v>281</v>
      </c>
      <c r="D7708" s="579"/>
      <c r="E7708" s="583"/>
      <c r="F7708" s="596"/>
      <c r="G7708" s="65">
        <v>0</v>
      </c>
      <c r="H7708" s="591" t="s">
        <v>280</v>
      </c>
      <c r="I7708" s="589" t="s">
        <v>280</v>
      </c>
    </row>
    <row r="7709" spans="1:9">
      <c r="A7709" s="577"/>
      <c r="B7709" s="65">
        <v>7907</v>
      </c>
      <c r="C7709" s="579" t="s">
        <v>281</v>
      </c>
      <c r="D7709" s="579"/>
      <c r="E7709" s="583"/>
      <c r="F7709" s="596"/>
      <c r="G7709" s="65">
        <v>0</v>
      </c>
      <c r="H7709" s="591" t="s">
        <v>280</v>
      </c>
      <c r="I7709" s="589" t="s">
        <v>280</v>
      </c>
    </row>
    <row r="7710" spans="1:9">
      <c r="A7710" s="577"/>
      <c r="B7710" s="65">
        <v>7908</v>
      </c>
      <c r="C7710" s="579" t="s">
        <v>281</v>
      </c>
      <c r="D7710" s="579"/>
      <c r="E7710" s="583"/>
      <c r="F7710" s="596"/>
      <c r="G7710" s="65">
        <v>0</v>
      </c>
      <c r="H7710" s="591" t="s">
        <v>280</v>
      </c>
      <c r="I7710" s="589" t="s">
        <v>280</v>
      </c>
    </row>
    <row r="7711" spans="1:9">
      <c r="A7711" s="577"/>
      <c r="B7711" s="65">
        <v>7909</v>
      </c>
      <c r="C7711" s="579" t="s">
        <v>281</v>
      </c>
      <c r="D7711" s="579"/>
      <c r="E7711" s="583"/>
      <c r="F7711" s="596"/>
      <c r="G7711" s="65">
        <v>0</v>
      </c>
      <c r="H7711" s="591" t="s">
        <v>280</v>
      </c>
      <c r="I7711" s="589" t="s">
        <v>280</v>
      </c>
    </row>
    <row r="7712" spans="1:9">
      <c r="A7712" s="577"/>
      <c r="B7712" s="65">
        <v>7910</v>
      </c>
      <c r="C7712" s="579" t="s">
        <v>281</v>
      </c>
      <c r="D7712" s="579"/>
      <c r="E7712" s="583"/>
      <c r="F7712" s="596"/>
      <c r="G7712" s="65">
        <v>0</v>
      </c>
      <c r="H7712" s="591" t="s">
        <v>280</v>
      </c>
      <c r="I7712" s="589" t="s">
        <v>280</v>
      </c>
    </row>
    <row r="7713" spans="1:9">
      <c r="A7713" s="577"/>
      <c r="B7713" s="65">
        <v>7911</v>
      </c>
      <c r="C7713" s="579" t="s">
        <v>281</v>
      </c>
      <c r="D7713" s="579"/>
      <c r="E7713" s="583"/>
      <c r="F7713" s="596"/>
      <c r="G7713" s="65">
        <v>0</v>
      </c>
      <c r="H7713" s="591" t="s">
        <v>280</v>
      </c>
      <c r="I7713" s="589" t="s">
        <v>280</v>
      </c>
    </row>
    <row r="7714" spans="1:9">
      <c r="A7714" s="577"/>
      <c r="B7714" s="65">
        <v>7912</v>
      </c>
      <c r="C7714" s="579" t="s">
        <v>281</v>
      </c>
      <c r="D7714" s="579"/>
      <c r="E7714" s="583"/>
      <c r="F7714" s="596"/>
      <c r="G7714" s="65">
        <v>0</v>
      </c>
      <c r="H7714" s="591" t="s">
        <v>280</v>
      </c>
      <c r="I7714" s="589" t="s">
        <v>280</v>
      </c>
    </row>
    <row r="7715" spans="1:9">
      <c r="A7715" s="577"/>
      <c r="B7715" s="65">
        <v>7913</v>
      </c>
      <c r="C7715" s="579" t="s">
        <v>281</v>
      </c>
      <c r="D7715" s="579"/>
      <c r="E7715" s="583"/>
      <c r="F7715" s="596"/>
      <c r="G7715" s="65">
        <v>0</v>
      </c>
      <c r="H7715" s="591" t="s">
        <v>280</v>
      </c>
      <c r="I7715" s="589" t="s">
        <v>280</v>
      </c>
    </row>
    <row r="7716" spans="1:9">
      <c r="A7716" s="577"/>
      <c r="B7716" s="65">
        <v>7914</v>
      </c>
      <c r="C7716" s="579" t="s">
        <v>281</v>
      </c>
      <c r="D7716" s="579"/>
      <c r="E7716" s="583"/>
      <c r="F7716" s="596"/>
      <c r="G7716" s="65">
        <v>0</v>
      </c>
      <c r="H7716" s="591" t="s">
        <v>280</v>
      </c>
      <c r="I7716" s="589" t="s">
        <v>280</v>
      </c>
    </row>
    <row r="7717" spans="1:9">
      <c r="A7717" s="577"/>
      <c r="B7717" s="65">
        <v>7915</v>
      </c>
      <c r="C7717" s="579" t="s">
        <v>281</v>
      </c>
      <c r="D7717" s="579"/>
      <c r="E7717" s="583"/>
      <c r="F7717" s="596"/>
      <c r="G7717" s="65">
        <v>0</v>
      </c>
      <c r="H7717" s="591" t="s">
        <v>280</v>
      </c>
      <c r="I7717" s="589" t="s">
        <v>280</v>
      </c>
    </row>
    <row r="7718" spans="1:9">
      <c r="A7718" s="577"/>
      <c r="B7718" s="65">
        <v>7916</v>
      </c>
      <c r="C7718" s="579" t="s">
        <v>281</v>
      </c>
      <c r="D7718" s="579"/>
      <c r="E7718" s="583"/>
      <c r="F7718" s="596"/>
      <c r="G7718" s="65">
        <v>0</v>
      </c>
      <c r="H7718" s="591" t="s">
        <v>280</v>
      </c>
      <c r="I7718" s="589" t="s">
        <v>280</v>
      </c>
    </row>
    <row r="7719" spans="1:9">
      <c r="A7719" s="577"/>
      <c r="B7719" s="65">
        <v>7917</v>
      </c>
      <c r="C7719" s="579" t="s">
        <v>281</v>
      </c>
      <c r="D7719" s="579"/>
      <c r="E7719" s="583"/>
      <c r="F7719" s="596"/>
      <c r="G7719" s="65">
        <v>0</v>
      </c>
      <c r="H7719" s="591" t="s">
        <v>280</v>
      </c>
      <c r="I7719" s="589" t="s">
        <v>280</v>
      </c>
    </row>
    <row r="7720" spans="1:9">
      <c r="A7720" s="577"/>
      <c r="B7720" s="65">
        <v>7918</v>
      </c>
      <c r="C7720" s="579" t="s">
        <v>281</v>
      </c>
      <c r="D7720" s="579"/>
      <c r="E7720" s="583"/>
      <c r="F7720" s="596"/>
      <c r="G7720" s="65">
        <v>0</v>
      </c>
      <c r="H7720" s="591" t="s">
        <v>280</v>
      </c>
      <c r="I7720" s="589" t="s">
        <v>280</v>
      </c>
    </row>
    <row r="7721" spans="1:9">
      <c r="A7721" s="577"/>
      <c r="B7721" s="65">
        <v>7919</v>
      </c>
      <c r="C7721" s="579" t="s">
        <v>281</v>
      </c>
      <c r="D7721" s="579"/>
      <c r="E7721" s="583"/>
      <c r="F7721" s="596"/>
      <c r="G7721" s="65">
        <v>0</v>
      </c>
      <c r="H7721" s="591" t="s">
        <v>280</v>
      </c>
      <c r="I7721" s="589" t="s">
        <v>280</v>
      </c>
    </row>
    <row r="7722" spans="1:9">
      <c r="A7722" s="577"/>
      <c r="B7722" s="65">
        <v>7920</v>
      </c>
      <c r="C7722" s="579" t="s">
        <v>281</v>
      </c>
      <c r="D7722" s="579"/>
      <c r="E7722" s="583"/>
      <c r="F7722" s="596"/>
      <c r="G7722" s="65">
        <v>0</v>
      </c>
      <c r="H7722" s="591" t="s">
        <v>280</v>
      </c>
      <c r="I7722" s="589" t="s">
        <v>280</v>
      </c>
    </row>
    <row r="7723" spans="1:9">
      <c r="A7723" s="577"/>
      <c r="B7723" s="65">
        <v>7921</v>
      </c>
      <c r="C7723" s="579" t="s">
        <v>281</v>
      </c>
      <c r="D7723" s="579"/>
      <c r="E7723" s="583"/>
      <c r="F7723" s="596"/>
      <c r="G7723" s="65">
        <v>0</v>
      </c>
      <c r="H7723" s="591" t="s">
        <v>280</v>
      </c>
      <c r="I7723" s="589" t="s">
        <v>280</v>
      </c>
    </row>
    <row r="7724" spans="1:9">
      <c r="A7724" s="577"/>
      <c r="B7724" s="65">
        <v>7922</v>
      </c>
      <c r="C7724" s="579" t="s">
        <v>281</v>
      </c>
      <c r="D7724" s="579"/>
      <c r="E7724" s="583"/>
      <c r="F7724" s="596"/>
      <c r="G7724" s="65">
        <v>0</v>
      </c>
      <c r="H7724" s="591" t="s">
        <v>280</v>
      </c>
      <c r="I7724" s="589" t="s">
        <v>280</v>
      </c>
    </row>
    <row r="7725" spans="1:9">
      <c r="A7725" s="577"/>
      <c r="B7725" s="65">
        <v>7923</v>
      </c>
      <c r="C7725" s="579" t="s">
        <v>281</v>
      </c>
      <c r="D7725" s="579"/>
      <c r="E7725" s="583"/>
      <c r="F7725" s="596"/>
      <c r="G7725" s="65">
        <v>0</v>
      </c>
      <c r="H7725" s="591" t="s">
        <v>280</v>
      </c>
      <c r="I7725" s="589" t="s">
        <v>280</v>
      </c>
    </row>
    <row r="7726" spans="1:9">
      <c r="A7726" s="577"/>
      <c r="B7726" s="65">
        <v>7924</v>
      </c>
      <c r="C7726" s="579" t="s">
        <v>281</v>
      </c>
      <c r="D7726" s="579"/>
      <c r="E7726" s="583"/>
      <c r="F7726" s="596"/>
      <c r="G7726" s="65">
        <v>0</v>
      </c>
      <c r="H7726" s="591" t="s">
        <v>280</v>
      </c>
      <c r="I7726" s="589" t="s">
        <v>280</v>
      </c>
    </row>
    <row r="7727" spans="1:9">
      <c r="A7727" s="577"/>
      <c r="B7727" s="65">
        <v>7925</v>
      </c>
      <c r="C7727" s="579" t="s">
        <v>281</v>
      </c>
      <c r="D7727" s="579"/>
      <c r="E7727" s="583"/>
      <c r="F7727" s="596"/>
      <c r="G7727" s="65">
        <v>0</v>
      </c>
      <c r="H7727" s="591" t="s">
        <v>280</v>
      </c>
      <c r="I7727" s="589" t="s">
        <v>280</v>
      </c>
    </row>
    <row r="7728" spans="1:9">
      <c r="A7728" s="577"/>
      <c r="B7728" s="65">
        <v>7926</v>
      </c>
      <c r="C7728" s="579" t="s">
        <v>281</v>
      </c>
      <c r="D7728" s="579"/>
      <c r="E7728" s="583"/>
      <c r="F7728" s="596"/>
      <c r="G7728" s="65">
        <v>0</v>
      </c>
      <c r="H7728" s="591" t="s">
        <v>280</v>
      </c>
      <c r="I7728" s="589" t="s">
        <v>280</v>
      </c>
    </row>
    <row r="7729" spans="1:9">
      <c r="A7729" s="577"/>
      <c r="B7729" s="65">
        <v>7927</v>
      </c>
      <c r="C7729" s="579" t="s">
        <v>281</v>
      </c>
      <c r="D7729" s="579"/>
      <c r="E7729" s="583"/>
      <c r="F7729" s="596"/>
      <c r="G7729" s="65">
        <v>0</v>
      </c>
      <c r="H7729" s="591" t="s">
        <v>280</v>
      </c>
      <c r="I7729" s="589" t="s">
        <v>280</v>
      </c>
    </row>
    <row r="7730" spans="1:9">
      <c r="A7730" s="577"/>
      <c r="B7730" s="65">
        <v>7928</v>
      </c>
      <c r="C7730" s="579" t="s">
        <v>281</v>
      </c>
      <c r="D7730" s="579"/>
      <c r="E7730" s="583"/>
      <c r="F7730" s="596"/>
      <c r="G7730" s="65">
        <v>0</v>
      </c>
      <c r="H7730" s="591" t="s">
        <v>280</v>
      </c>
      <c r="I7730" s="589" t="s">
        <v>280</v>
      </c>
    </row>
    <row r="7731" spans="1:9">
      <c r="A7731" s="577"/>
      <c r="B7731" s="65">
        <v>7929</v>
      </c>
      <c r="C7731" s="579" t="s">
        <v>281</v>
      </c>
      <c r="D7731" s="579"/>
      <c r="E7731" s="583"/>
      <c r="F7731" s="596"/>
      <c r="G7731" s="65">
        <v>0</v>
      </c>
      <c r="H7731" s="591" t="s">
        <v>280</v>
      </c>
      <c r="I7731" s="589" t="s">
        <v>280</v>
      </c>
    </row>
    <row r="7732" spans="1:9">
      <c r="A7732" s="577"/>
      <c r="B7732" s="65">
        <v>7930</v>
      </c>
      <c r="C7732" s="579" t="s">
        <v>281</v>
      </c>
      <c r="D7732" s="579"/>
      <c r="E7732" s="583"/>
      <c r="F7732" s="596"/>
      <c r="G7732" s="65">
        <v>0</v>
      </c>
      <c r="H7732" s="591" t="s">
        <v>280</v>
      </c>
      <c r="I7732" s="589" t="s">
        <v>280</v>
      </c>
    </row>
    <row r="7733" spans="1:9">
      <c r="A7733" s="577"/>
      <c r="B7733" s="65">
        <v>7931</v>
      </c>
      <c r="C7733" s="579" t="s">
        <v>281</v>
      </c>
      <c r="D7733" s="579"/>
      <c r="E7733" s="583"/>
      <c r="F7733" s="596"/>
      <c r="G7733" s="65">
        <v>0</v>
      </c>
      <c r="H7733" s="591" t="s">
        <v>280</v>
      </c>
      <c r="I7733" s="589" t="s">
        <v>280</v>
      </c>
    </row>
    <row r="7734" spans="1:9">
      <c r="A7734" s="577"/>
      <c r="B7734" s="65">
        <v>7932</v>
      </c>
      <c r="C7734" s="579" t="s">
        <v>281</v>
      </c>
      <c r="D7734" s="579"/>
      <c r="E7734" s="583"/>
      <c r="F7734" s="596"/>
      <c r="G7734" s="65">
        <v>0</v>
      </c>
      <c r="H7734" s="591" t="s">
        <v>280</v>
      </c>
      <c r="I7734" s="589" t="s">
        <v>280</v>
      </c>
    </row>
    <row r="7735" spans="1:9">
      <c r="A7735" s="577"/>
      <c r="B7735" s="65">
        <v>7933</v>
      </c>
      <c r="C7735" s="579" t="s">
        <v>281</v>
      </c>
      <c r="D7735" s="579"/>
      <c r="E7735" s="583"/>
      <c r="F7735" s="596"/>
      <c r="G7735" s="65">
        <v>0</v>
      </c>
      <c r="H7735" s="591" t="s">
        <v>280</v>
      </c>
      <c r="I7735" s="589" t="s">
        <v>280</v>
      </c>
    </row>
    <row r="7736" spans="1:9">
      <c r="A7736" s="577"/>
      <c r="B7736" s="65">
        <v>7934</v>
      </c>
      <c r="C7736" s="579" t="s">
        <v>281</v>
      </c>
      <c r="D7736" s="579"/>
      <c r="E7736" s="583"/>
      <c r="F7736" s="596"/>
      <c r="G7736" s="65">
        <v>0</v>
      </c>
      <c r="H7736" s="591" t="s">
        <v>280</v>
      </c>
      <c r="I7736" s="589" t="s">
        <v>280</v>
      </c>
    </row>
    <row r="7737" spans="1:9">
      <c r="A7737" s="577"/>
      <c r="B7737" s="65">
        <v>7935</v>
      </c>
      <c r="C7737" s="579" t="s">
        <v>281</v>
      </c>
      <c r="D7737" s="579"/>
      <c r="E7737" s="583"/>
      <c r="F7737" s="596"/>
      <c r="G7737" s="65">
        <v>0</v>
      </c>
      <c r="H7737" s="591" t="s">
        <v>280</v>
      </c>
      <c r="I7737" s="589" t="s">
        <v>280</v>
      </c>
    </row>
    <row r="7738" spans="1:9">
      <c r="A7738" s="577"/>
      <c r="B7738" s="65">
        <v>7936</v>
      </c>
      <c r="C7738" s="579" t="s">
        <v>281</v>
      </c>
      <c r="D7738" s="579"/>
      <c r="E7738" s="583"/>
      <c r="F7738" s="596"/>
      <c r="G7738" s="65">
        <v>0</v>
      </c>
      <c r="H7738" s="591" t="s">
        <v>280</v>
      </c>
      <c r="I7738" s="589" t="s">
        <v>280</v>
      </c>
    </row>
    <row r="7739" spans="1:9">
      <c r="A7739" s="577"/>
      <c r="B7739" s="65">
        <v>7937</v>
      </c>
      <c r="C7739" s="579" t="s">
        <v>281</v>
      </c>
      <c r="D7739" s="579"/>
      <c r="E7739" s="583"/>
      <c r="F7739" s="596"/>
      <c r="G7739" s="65">
        <v>0</v>
      </c>
      <c r="H7739" s="591" t="s">
        <v>280</v>
      </c>
      <c r="I7739" s="589" t="s">
        <v>280</v>
      </c>
    </row>
    <row r="7740" spans="1:9">
      <c r="A7740" s="577"/>
      <c r="B7740" s="65">
        <v>7938</v>
      </c>
      <c r="C7740" s="579" t="s">
        <v>281</v>
      </c>
      <c r="D7740" s="579"/>
      <c r="E7740" s="583"/>
      <c r="F7740" s="596"/>
      <c r="G7740" s="65">
        <v>0</v>
      </c>
      <c r="H7740" s="591" t="s">
        <v>280</v>
      </c>
      <c r="I7740" s="589" t="s">
        <v>280</v>
      </c>
    </row>
    <row r="7741" spans="1:9">
      <c r="A7741" s="577"/>
      <c r="B7741" s="65">
        <v>7939</v>
      </c>
      <c r="C7741" s="579" t="s">
        <v>281</v>
      </c>
      <c r="D7741" s="579"/>
      <c r="E7741" s="583"/>
      <c r="F7741" s="596"/>
      <c r="G7741" s="65">
        <v>0</v>
      </c>
      <c r="H7741" s="591" t="s">
        <v>280</v>
      </c>
      <c r="I7741" s="589" t="s">
        <v>280</v>
      </c>
    </row>
    <row r="7742" spans="1:9">
      <c r="A7742" s="577"/>
      <c r="B7742" s="65">
        <v>7940</v>
      </c>
      <c r="C7742" s="579" t="s">
        <v>281</v>
      </c>
      <c r="D7742" s="579"/>
      <c r="E7742" s="583"/>
      <c r="F7742" s="596"/>
      <c r="G7742" s="65">
        <v>0</v>
      </c>
      <c r="H7742" s="591" t="s">
        <v>280</v>
      </c>
      <c r="I7742" s="589" t="s">
        <v>280</v>
      </c>
    </row>
    <row r="7743" spans="1:9">
      <c r="A7743" s="577"/>
      <c r="B7743" s="65">
        <v>7941</v>
      </c>
      <c r="C7743" s="579" t="s">
        <v>281</v>
      </c>
      <c r="D7743" s="579"/>
      <c r="E7743" s="583"/>
      <c r="F7743" s="596"/>
      <c r="G7743" s="65">
        <v>0</v>
      </c>
      <c r="H7743" s="591" t="s">
        <v>280</v>
      </c>
      <c r="I7743" s="589" t="s">
        <v>280</v>
      </c>
    </row>
    <row r="7744" spans="1:9">
      <c r="A7744" s="577"/>
      <c r="B7744" s="65">
        <v>7942</v>
      </c>
      <c r="C7744" s="579" t="s">
        <v>281</v>
      </c>
      <c r="D7744" s="579"/>
      <c r="E7744" s="583"/>
      <c r="F7744" s="596"/>
      <c r="G7744" s="65">
        <v>0</v>
      </c>
      <c r="H7744" s="591" t="s">
        <v>280</v>
      </c>
      <c r="I7744" s="589" t="s">
        <v>280</v>
      </c>
    </row>
    <row r="7745" spans="1:9">
      <c r="A7745" s="577"/>
      <c r="B7745" s="65">
        <v>7943</v>
      </c>
      <c r="C7745" s="579" t="s">
        <v>281</v>
      </c>
      <c r="D7745" s="579"/>
      <c r="E7745" s="583"/>
      <c r="F7745" s="596"/>
      <c r="G7745" s="65">
        <v>0</v>
      </c>
      <c r="H7745" s="591" t="s">
        <v>280</v>
      </c>
      <c r="I7745" s="589" t="s">
        <v>280</v>
      </c>
    </row>
    <row r="7746" spans="1:9">
      <c r="A7746" s="577"/>
      <c r="B7746" s="65">
        <v>7944</v>
      </c>
      <c r="C7746" s="579" t="s">
        <v>281</v>
      </c>
      <c r="D7746" s="579"/>
      <c r="E7746" s="583"/>
      <c r="F7746" s="596"/>
      <c r="G7746" s="65">
        <v>0</v>
      </c>
      <c r="H7746" s="591" t="s">
        <v>280</v>
      </c>
      <c r="I7746" s="589" t="s">
        <v>280</v>
      </c>
    </row>
    <row r="7747" spans="1:9">
      <c r="A7747" s="577"/>
      <c r="B7747" s="65">
        <v>7945</v>
      </c>
      <c r="C7747" s="579" t="s">
        <v>281</v>
      </c>
      <c r="D7747" s="579"/>
      <c r="E7747" s="583"/>
      <c r="F7747" s="596"/>
      <c r="G7747" s="65">
        <v>0</v>
      </c>
      <c r="H7747" s="591" t="s">
        <v>280</v>
      </c>
      <c r="I7747" s="589" t="s">
        <v>280</v>
      </c>
    </row>
    <row r="7748" spans="1:9">
      <c r="A7748" s="577"/>
      <c r="B7748" s="65">
        <v>7946</v>
      </c>
      <c r="C7748" s="579" t="s">
        <v>281</v>
      </c>
      <c r="D7748" s="579"/>
      <c r="E7748" s="583"/>
      <c r="F7748" s="596"/>
      <c r="G7748" s="65">
        <v>0</v>
      </c>
      <c r="H7748" s="591" t="s">
        <v>280</v>
      </c>
      <c r="I7748" s="589" t="s">
        <v>280</v>
      </c>
    </row>
    <row r="7749" spans="1:9">
      <c r="A7749" s="577"/>
      <c r="B7749" s="65">
        <v>7947</v>
      </c>
      <c r="C7749" s="579" t="s">
        <v>281</v>
      </c>
      <c r="D7749" s="579"/>
      <c r="E7749" s="583"/>
      <c r="F7749" s="596"/>
      <c r="G7749" s="65">
        <v>0</v>
      </c>
      <c r="H7749" s="591" t="s">
        <v>280</v>
      </c>
      <c r="I7749" s="589" t="s">
        <v>280</v>
      </c>
    </row>
    <row r="7750" spans="1:9">
      <c r="A7750" s="577"/>
      <c r="B7750" s="65">
        <v>7948</v>
      </c>
      <c r="C7750" s="579" t="s">
        <v>281</v>
      </c>
      <c r="D7750" s="579"/>
      <c r="E7750" s="583"/>
      <c r="F7750" s="596"/>
      <c r="G7750" s="65">
        <v>0</v>
      </c>
      <c r="H7750" s="591" t="s">
        <v>280</v>
      </c>
      <c r="I7750" s="589" t="s">
        <v>280</v>
      </c>
    </row>
    <row r="7751" spans="1:9">
      <c r="A7751" s="577"/>
      <c r="B7751" s="65">
        <v>7949</v>
      </c>
      <c r="C7751" s="579" t="s">
        <v>281</v>
      </c>
      <c r="D7751" s="579"/>
      <c r="E7751" s="583"/>
      <c r="F7751" s="596"/>
      <c r="G7751" s="65">
        <v>0</v>
      </c>
      <c r="H7751" s="591" t="s">
        <v>280</v>
      </c>
      <c r="I7751" s="589" t="s">
        <v>280</v>
      </c>
    </row>
    <row r="7752" spans="1:9">
      <c r="A7752" s="577"/>
      <c r="B7752" s="65">
        <v>7950</v>
      </c>
      <c r="C7752" s="579" t="s">
        <v>281</v>
      </c>
      <c r="D7752" s="579"/>
      <c r="E7752" s="583"/>
      <c r="F7752" s="596"/>
      <c r="G7752" s="65">
        <v>0</v>
      </c>
      <c r="H7752" s="591" t="s">
        <v>280</v>
      </c>
      <c r="I7752" s="589" t="s">
        <v>280</v>
      </c>
    </row>
    <row r="7753" spans="1:9">
      <c r="A7753" s="577"/>
      <c r="B7753" s="65">
        <v>7951</v>
      </c>
      <c r="C7753" s="579" t="s">
        <v>281</v>
      </c>
      <c r="D7753" s="579"/>
      <c r="E7753" s="583"/>
      <c r="F7753" s="596"/>
      <c r="G7753" s="65">
        <v>0</v>
      </c>
      <c r="H7753" s="591" t="s">
        <v>280</v>
      </c>
      <c r="I7753" s="589" t="s">
        <v>280</v>
      </c>
    </row>
    <row r="7754" spans="1:9">
      <c r="A7754" s="577"/>
      <c r="B7754" s="65">
        <v>7952</v>
      </c>
      <c r="C7754" s="579" t="s">
        <v>281</v>
      </c>
      <c r="D7754" s="579"/>
      <c r="E7754" s="583"/>
      <c r="F7754" s="596"/>
      <c r="G7754" s="65">
        <v>0</v>
      </c>
      <c r="H7754" s="591" t="s">
        <v>280</v>
      </c>
      <c r="I7754" s="589" t="s">
        <v>280</v>
      </c>
    </row>
    <row r="7755" spans="1:9">
      <c r="A7755" s="577"/>
      <c r="B7755" s="65">
        <v>7953</v>
      </c>
      <c r="C7755" s="579" t="s">
        <v>281</v>
      </c>
      <c r="D7755" s="579"/>
      <c r="E7755" s="583"/>
      <c r="F7755" s="596"/>
      <c r="G7755" s="65">
        <v>0</v>
      </c>
      <c r="H7755" s="591" t="s">
        <v>280</v>
      </c>
      <c r="I7755" s="589" t="s">
        <v>280</v>
      </c>
    </row>
    <row r="7756" spans="1:9">
      <c r="A7756" s="577"/>
      <c r="B7756" s="65">
        <v>7954</v>
      </c>
      <c r="C7756" s="579" t="s">
        <v>281</v>
      </c>
      <c r="D7756" s="579"/>
      <c r="E7756" s="583"/>
      <c r="F7756" s="596"/>
      <c r="G7756" s="65">
        <v>0</v>
      </c>
      <c r="H7756" s="591" t="s">
        <v>280</v>
      </c>
      <c r="I7756" s="589" t="s">
        <v>280</v>
      </c>
    </row>
    <row r="7757" spans="1:9">
      <c r="A7757" s="577"/>
      <c r="B7757" s="65">
        <v>7955</v>
      </c>
      <c r="C7757" s="579" t="s">
        <v>281</v>
      </c>
      <c r="D7757" s="579"/>
      <c r="E7757" s="583"/>
      <c r="F7757" s="596"/>
      <c r="G7757" s="65">
        <v>0</v>
      </c>
      <c r="H7757" s="591" t="s">
        <v>280</v>
      </c>
      <c r="I7757" s="589" t="s">
        <v>280</v>
      </c>
    </row>
    <row r="7758" spans="1:9">
      <c r="A7758" s="577"/>
      <c r="B7758" s="65">
        <v>7956</v>
      </c>
      <c r="C7758" s="579" t="s">
        <v>281</v>
      </c>
      <c r="D7758" s="579"/>
      <c r="E7758" s="583"/>
      <c r="F7758" s="596"/>
      <c r="G7758" s="65">
        <v>0</v>
      </c>
      <c r="H7758" s="591" t="s">
        <v>280</v>
      </c>
      <c r="I7758" s="589" t="s">
        <v>280</v>
      </c>
    </row>
    <row r="7759" spans="1:9">
      <c r="A7759" s="577"/>
      <c r="B7759" s="65">
        <v>7957</v>
      </c>
      <c r="C7759" s="579" t="s">
        <v>281</v>
      </c>
      <c r="D7759" s="579"/>
      <c r="E7759" s="583"/>
      <c r="F7759" s="596"/>
      <c r="G7759" s="65">
        <v>0</v>
      </c>
      <c r="H7759" s="591" t="s">
        <v>280</v>
      </c>
      <c r="I7759" s="589" t="s">
        <v>280</v>
      </c>
    </row>
    <row r="7760" spans="1:9">
      <c r="A7760" s="577"/>
      <c r="B7760" s="65">
        <v>7958</v>
      </c>
      <c r="C7760" s="579" t="s">
        <v>281</v>
      </c>
      <c r="D7760" s="579"/>
      <c r="E7760" s="583"/>
      <c r="F7760" s="596"/>
      <c r="G7760" s="65">
        <v>0</v>
      </c>
      <c r="H7760" s="591" t="s">
        <v>280</v>
      </c>
      <c r="I7760" s="589" t="s">
        <v>280</v>
      </c>
    </row>
    <row r="7761" spans="1:9">
      <c r="A7761" s="577"/>
      <c r="B7761" s="65">
        <v>7959</v>
      </c>
      <c r="C7761" s="579" t="s">
        <v>281</v>
      </c>
      <c r="D7761" s="579"/>
      <c r="E7761" s="583"/>
      <c r="F7761" s="596"/>
      <c r="G7761" s="65">
        <v>0</v>
      </c>
      <c r="H7761" s="591" t="s">
        <v>280</v>
      </c>
      <c r="I7761" s="589" t="s">
        <v>280</v>
      </c>
    </row>
    <row r="7762" spans="1:9">
      <c r="A7762" s="577"/>
      <c r="B7762" s="65">
        <v>7960</v>
      </c>
      <c r="C7762" s="579" t="s">
        <v>281</v>
      </c>
      <c r="D7762" s="579"/>
      <c r="E7762" s="583"/>
      <c r="F7762" s="596"/>
      <c r="G7762" s="65">
        <v>0</v>
      </c>
      <c r="H7762" s="591" t="s">
        <v>280</v>
      </c>
      <c r="I7762" s="589" t="s">
        <v>280</v>
      </c>
    </row>
    <row r="7763" spans="1:9">
      <c r="A7763" s="577"/>
      <c r="B7763" s="65">
        <v>7961</v>
      </c>
      <c r="C7763" s="579" t="s">
        <v>281</v>
      </c>
      <c r="D7763" s="579"/>
      <c r="E7763" s="583"/>
      <c r="F7763" s="596"/>
      <c r="G7763" s="65">
        <v>0</v>
      </c>
      <c r="H7763" s="591" t="s">
        <v>280</v>
      </c>
      <c r="I7763" s="589" t="s">
        <v>280</v>
      </c>
    </row>
    <row r="7764" spans="1:9">
      <c r="A7764" s="577"/>
      <c r="B7764" s="65">
        <v>7962</v>
      </c>
      <c r="C7764" s="579" t="s">
        <v>281</v>
      </c>
      <c r="D7764" s="579"/>
      <c r="E7764" s="583"/>
      <c r="F7764" s="596"/>
      <c r="G7764" s="65">
        <v>0</v>
      </c>
      <c r="H7764" s="591" t="s">
        <v>280</v>
      </c>
      <c r="I7764" s="589" t="s">
        <v>280</v>
      </c>
    </row>
    <row r="7765" spans="1:9">
      <c r="A7765" s="577"/>
      <c r="B7765" s="65">
        <v>7963</v>
      </c>
      <c r="C7765" s="579" t="s">
        <v>281</v>
      </c>
      <c r="D7765" s="579"/>
      <c r="E7765" s="583"/>
      <c r="F7765" s="596"/>
      <c r="G7765" s="65">
        <v>0</v>
      </c>
      <c r="H7765" s="591" t="s">
        <v>280</v>
      </c>
      <c r="I7765" s="589" t="s">
        <v>280</v>
      </c>
    </row>
    <row r="7766" spans="1:9">
      <c r="A7766" s="577"/>
      <c r="B7766" s="65">
        <v>7964</v>
      </c>
      <c r="C7766" s="579" t="s">
        <v>281</v>
      </c>
      <c r="D7766" s="579"/>
      <c r="E7766" s="583"/>
      <c r="F7766" s="596"/>
      <c r="G7766" s="65">
        <v>0</v>
      </c>
      <c r="H7766" s="591" t="s">
        <v>280</v>
      </c>
      <c r="I7766" s="589" t="s">
        <v>280</v>
      </c>
    </row>
    <row r="7767" spans="1:9">
      <c r="A7767" s="577"/>
      <c r="B7767" s="65">
        <v>7965</v>
      </c>
      <c r="C7767" s="579" t="s">
        <v>281</v>
      </c>
      <c r="D7767" s="579"/>
      <c r="E7767" s="583"/>
      <c r="F7767" s="596"/>
      <c r="G7767" s="65">
        <v>0</v>
      </c>
      <c r="H7767" s="591" t="s">
        <v>280</v>
      </c>
      <c r="I7767" s="589" t="s">
        <v>280</v>
      </c>
    </row>
    <row r="7768" spans="1:9">
      <c r="A7768" s="577"/>
      <c r="B7768" s="65">
        <v>7966</v>
      </c>
      <c r="C7768" s="579" t="s">
        <v>281</v>
      </c>
      <c r="D7768" s="579"/>
      <c r="E7768" s="583"/>
      <c r="F7768" s="596"/>
      <c r="G7768" s="65">
        <v>0</v>
      </c>
      <c r="H7768" s="591" t="s">
        <v>280</v>
      </c>
      <c r="I7768" s="589" t="s">
        <v>280</v>
      </c>
    </row>
    <row r="7769" spans="1:9">
      <c r="A7769" s="577"/>
      <c r="B7769" s="65">
        <v>7967</v>
      </c>
      <c r="C7769" s="579" t="s">
        <v>281</v>
      </c>
      <c r="D7769" s="579"/>
      <c r="E7769" s="583"/>
      <c r="F7769" s="596"/>
      <c r="G7769" s="65">
        <v>0</v>
      </c>
      <c r="H7769" s="591" t="s">
        <v>280</v>
      </c>
      <c r="I7769" s="589" t="s">
        <v>280</v>
      </c>
    </row>
    <row r="7770" spans="1:9">
      <c r="A7770" s="577"/>
      <c r="B7770" s="65">
        <v>7968</v>
      </c>
      <c r="C7770" s="579" t="s">
        <v>281</v>
      </c>
      <c r="D7770" s="579"/>
      <c r="E7770" s="583"/>
      <c r="F7770" s="596"/>
      <c r="G7770" s="65">
        <v>0</v>
      </c>
      <c r="H7770" s="591" t="s">
        <v>280</v>
      </c>
      <c r="I7770" s="589" t="s">
        <v>280</v>
      </c>
    </row>
    <row r="7771" spans="1:9">
      <c r="A7771" s="577"/>
      <c r="B7771" s="65">
        <v>7969</v>
      </c>
      <c r="C7771" s="579" t="s">
        <v>281</v>
      </c>
      <c r="D7771" s="579"/>
      <c r="E7771" s="583"/>
      <c r="F7771" s="596"/>
      <c r="G7771" s="65">
        <v>0</v>
      </c>
      <c r="H7771" s="591" t="s">
        <v>280</v>
      </c>
      <c r="I7771" s="589" t="s">
        <v>280</v>
      </c>
    </row>
    <row r="7772" spans="1:9">
      <c r="A7772" s="577"/>
      <c r="B7772" s="65">
        <v>7970</v>
      </c>
      <c r="C7772" s="579" t="s">
        <v>281</v>
      </c>
      <c r="D7772" s="579"/>
      <c r="E7772" s="583"/>
      <c r="F7772" s="596"/>
      <c r="G7772" s="65">
        <v>0</v>
      </c>
      <c r="H7772" s="591" t="s">
        <v>280</v>
      </c>
      <c r="I7772" s="589" t="s">
        <v>280</v>
      </c>
    </row>
    <row r="7773" spans="1:9">
      <c r="A7773" s="577"/>
      <c r="B7773" s="65">
        <v>7971</v>
      </c>
      <c r="C7773" s="579" t="s">
        <v>281</v>
      </c>
      <c r="D7773" s="579"/>
      <c r="E7773" s="583"/>
      <c r="F7773" s="596"/>
      <c r="G7773" s="65">
        <v>0</v>
      </c>
      <c r="H7773" s="591" t="s">
        <v>280</v>
      </c>
      <c r="I7773" s="589" t="s">
        <v>280</v>
      </c>
    </row>
    <row r="7774" spans="1:9">
      <c r="A7774" s="577"/>
      <c r="B7774" s="65">
        <v>7972</v>
      </c>
      <c r="C7774" s="579" t="s">
        <v>281</v>
      </c>
      <c r="D7774" s="579"/>
      <c r="E7774" s="583"/>
      <c r="F7774" s="596"/>
      <c r="G7774" s="65">
        <v>0</v>
      </c>
      <c r="H7774" s="591" t="s">
        <v>280</v>
      </c>
      <c r="I7774" s="589" t="s">
        <v>280</v>
      </c>
    </row>
    <row r="7775" spans="1:9">
      <c r="A7775" s="577"/>
      <c r="B7775" s="65">
        <v>7973</v>
      </c>
      <c r="C7775" s="579" t="s">
        <v>281</v>
      </c>
      <c r="D7775" s="579"/>
      <c r="E7775" s="583"/>
      <c r="F7775" s="596"/>
      <c r="G7775" s="65">
        <v>0</v>
      </c>
      <c r="H7775" s="591" t="s">
        <v>280</v>
      </c>
      <c r="I7775" s="589" t="s">
        <v>280</v>
      </c>
    </row>
    <row r="7776" spans="1:9">
      <c r="A7776" s="577"/>
      <c r="B7776" s="65">
        <v>7974</v>
      </c>
      <c r="C7776" s="579" t="s">
        <v>281</v>
      </c>
      <c r="D7776" s="579"/>
      <c r="E7776" s="583"/>
      <c r="F7776" s="596"/>
      <c r="G7776" s="65">
        <v>0</v>
      </c>
      <c r="H7776" s="591" t="s">
        <v>280</v>
      </c>
      <c r="I7776" s="589" t="s">
        <v>280</v>
      </c>
    </row>
    <row r="7777" spans="1:9">
      <c r="A7777" s="577"/>
      <c r="B7777" s="65">
        <v>7975</v>
      </c>
      <c r="C7777" s="579" t="s">
        <v>281</v>
      </c>
      <c r="D7777" s="579"/>
      <c r="E7777" s="583"/>
      <c r="F7777" s="596"/>
      <c r="G7777" s="65">
        <v>0</v>
      </c>
      <c r="H7777" s="591" t="s">
        <v>280</v>
      </c>
      <c r="I7777" s="589" t="s">
        <v>280</v>
      </c>
    </row>
    <row r="7778" spans="1:9">
      <c r="A7778" s="577"/>
      <c r="B7778" s="65">
        <v>7976</v>
      </c>
      <c r="C7778" s="579" t="s">
        <v>281</v>
      </c>
      <c r="D7778" s="579"/>
      <c r="E7778" s="583"/>
      <c r="F7778" s="596"/>
      <c r="G7778" s="65">
        <v>0</v>
      </c>
      <c r="H7778" s="591" t="s">
        <v>280</v>
      </c>
      <c r="I7778" s="589" t="s">
        <v>280</v>
      </c>
    </row>
    <row r="7779" spans="1:9">
      <c r="A7779" s="577"/>
      <c r="B7779" s="65">
        <v>7977</v>
      </c>
      <c r="C7779" s="579" t="s">
        <v>281</v>
      </c>
      <c r="D7779" s="579"/>
      <c r="E7779" s="583"/>
      <c r="F7779" s="596"/>
      <c r="G7779" s="65">
        <v>0</v>
      </c>
      <c r="H7779" s="591" t="s">
        <v>280</v>
      </c>
      <c r="I7779" s="589" t="s">
        <v>280</v>
      </c>
    </row>
    <row r="7780" spans="1:9">
      <c r="A7780" s="577"/>
      <c r="B7780" s="65">
        <v>7978</v>
      </c>
      <c r="C7780" s="579" t="s">
        <v>281</v>
      </c>
      <c r="D7780" s="579"/>
      <c r="E7780" s="583"/>
      <c r="F7780" s="596"/>
      <c r="G7780" s="65">
        <v>0</v>
      </c>
      <c r="H7780" s="591" t="s">
        <v>280</v>
      </c>
      <c r="I7780" s="589" t="s">
        <v>280</v>
      </c>
    </row>
    <row r="7781" spans="1:9">
      <c r="A7781" s="577"/>
      <c r="B7781" s="65">
        <v>7979</v>
      </c>
      <c r="C7781" s="579" t="s">
        <v>281</v>
      </c>
      <c r="D7781" s="579"/>
      <c r="E7781" s="583"/>
      <c r="F7781" s="596"/>
      <c r="G7781" s="65">
        <v>0</v>
      </c>
      <c r="H7781" s="591" t="s">
        <v>280</v>
      </c>
      <c r="I7781" s="589" t="s">
        <v>280</v>
      </c>
    </row>
    <row r="7782" spans="1:9">
      <c r="A7782" s="577"/>
      <c r="B7782" s="65">
        <v>7980</v>
      </c>
      <c r="C7782" s="579" t="s">
        <v>281</v>
      </c>
      <c r="D7782" s="579"/>
      <c r="E7782" s="583"/>
      <c r="F7782" s="596"/>
      <c r="G7782" s="65">
        <v>0</v>
      </c>
      <c r="H7782" s="591" t="s">
        <v>280</v>
      </c>
      <c r="I7782" s="589" t="s">
        <v>280</v>
      </c>
    </row>
    <row r="7783" spans="1:9">
      <c r="A7783" s="577"/>
      <c r="B7783" s="65">
        <v>7981</v>
      </c>
      <c r="C7783" s="579" t="s">
        <v>281</v>
      </c>
      <c r="D7783" s="579"/>
      <c r="E7783" s="583"/>
      <c r="F7783" s="596"/>
      <c r="G7783" s="65">
        <v>0</v>
      </c>
      <c r="H7783" s="591" t="s">
        <v>280</v>
      </c>
      <c r="I7783" s="589" t="s">
        <v>280</v>
      </c>
    </row>
    <row r="7784" spans="1:9">
      <c r="A7784" s="577"/>
      <c r="B7784" s="65">
        <v>7982</v>
      </c>
      <c r="C7784" s="579" t="s">
        <v>281</v>
      </c>
      <c r="D7784" s="579"/>
      <c r="E7784" s="583"/>
      <c r="F7784" s="596"/>
      <c r="G7784" s="65">
        <v>0</v>
      </c>
      <c r="H7784" s="591" t="s">
        <v>280</v>
      </c>
      <c r="I7784" s="589" t="s">
        <v>280</v>
      </c>
    </row>
    <row r="7785" spans="1:9">
      <c r="A7785" s="577"/>
      <c r="B7785" s="65">
        <v>7983</v>
      </c>
      <c r="C7785" s="579" t="s">
        <v>281</v>
      </c>
      <c r="D7785" s="579"/>
      <c r="E7785" s="583"/>
      <c r="F7785" s="596"/>
      <c r="G7785" s="65">
        <v>0</v>
      </c>
      <c r="H7785" s="591" t="s">
        <v>280</v>
      </c>
      <c r="I7785" s="589" t="s">
        <v>280</v>
      </c>
    </row>
    <row r="7786" spans="1:9">
      <c r="A7786" s="577"/>
      <c r="B7786" s="65">
        <v>7984</v>
      </c>
      <c r="C7786" s="579" t="s">
        <v>281</v>
      </c>
      <c r="D7786" s="579"/>
      <c r="E7786" s="583"/>
      <c r="F7786" s="596"/>
      <c r="G7786" s="65">
        <v>0</v>
      </c>
      <c r="H7786" s="591" t="s">
        <v>280</v>
      </c>
      <c r="I7786" s="589" t="s">
        <v>280</v>
      </c>
    </row>
    <row r="7787" spans="1:9">
      <c r="A7787" s="577"/>
      <c r="B7787" s="65">
        <v>7985</v>
      </c>
      <c r="C7787" s="579" t="s">
        <v>281</v>
      </c>
      <c r="D7787" s="579"/>
      <c r="E7787" s="583"/>
      <c r="F7787" s="596"/>
      <c r="G7787" s="65">
        <v>0</v>
      </c>
      <c r="H7787" s="591" t="s">
        <v>280</v>
      </c>
      <c r="I7787" s="589" t="s">
        <v>280</v>
      </c>
    </row>
    <row r="7788" spans="1:9">
      <c r="A7788" s="577"/>
      <c r="B7788" s="65">
        <v>7986</v>
      </c>
      <c r="C7788" s="579" t="s">
        <v>281</v>
      </c>
      <c r="D7788" s="579"/>
      <c r="E7788" s="583"/>
      <c r="F7788" s="596"/>
      <c r="G7788" s="65">
        <v>0</v>
      </c>
      <c r="H7788" s="591" t="s">
        <v>280</v>
      </c>
      <c r="I7788" s="589" t="s">
        <v>280</v>
      </c>
    </row>
    <row r="7789" spans="1:9">
      <c r="A7789" s="577"/>
      <c r="B7789" s="65">
        <v>7987</v>
      </c>
      <c r="C7789" s="579" t="s">
        <v>281</v>
      </c>
      <c r="D7789" s="579"/>
      <c r="E7789" s="583"/>
      <c r="F7789" s="596"/>
      <c r="G7789" s="65">
        <v>0</v>
      </c>
      <c r="H7789" s="591" t="s">
        <v>280</v>
      </c>
      <c r="I7789" s="589" t="s">
        <v>280</v>
      </c>
    </row>
    <row r="7790" spans="1:9">
      <c r="A7790" s="577"/>
      <c r="B7790" s="65">
        <v>7988</v>
      </c>
      <c r="C7790" s="579" t="s">
        <v>281</v>
      </c>
      <c r="D7790" s="579"/>
      <c r="E7790" s="583"/>
      <c r="F7790" s="596"/>
      <c r="G7790" s="65">
        <v>0</v>
      </c>
      <c r="H7790" s="591" t="s">
        <v>280</v>
      </c>
      <c r="I7790" s="589" t="s">
        <v>280</v>
      </c>
    </row>
    <row r="7791" spans="1:9">
      <c r="A7791" s="577"/>
      <c r="B7791" s="65">
        <v>7989</v>
      </c>
      <c r="C7791" s="579" t="s">
        <v>281</v>
      </c>
      <c r="D7791" s="579"/>
      <c r="E7791" s="583"/>
      <c r="F7791" s="596"/>
      <c r="G7791" s="65">
        <v>0</v>
      </c>
      <c r="H7791" s="591" t="s">
        <v>280</v>
      </c>
      <c r="I7791" s="589" t="s">
        <v>280</v>
      </c>
    </row>
    <row r="7792" spans="1:9">
      <c r="A7792" s="577"/>
      <c r="B7792" s="65">
        <v>7990</v>
      </c>
      <c r="C7792" s="579" t="s">
        <v>281</v>
      </c>
      <c r="D7792" s="579"/>
      <c r="E7792" s="583"/>
      <c r="F7792" s="596"/>
      <c r="G7792" s="65">
        <v>0</v>
      </c>
      <c r="H7792" s="591" t="s">
        <v>280</v>
      </c>
      <c r="I7792" s="589" t="s">
        <v>280</v>
      </c>
    </row>
    <row r="7793" spans="1:9">
      <c r="A7793" s="577"/>
      <c r="B7793" s="65">
        <v>7991</v>
      </c>
      <c r="C7793" s="579" t="s">
        <v>281</v>
      </c>
      <c r="D7793" s="579"/>
      <c r="E7793" s="583"/>
      <c r="F7793" s="596"/>
      <c r="G7793" s="65">
        <v>0</v>
      </c>
      <c r="H7793" s="591" t="s">
        <v>280</v>
      </c>
      <c r="I7793" s="589" t="s">
        <v>280</v>
      </c>
    </row>
    <row r="7794" spans="1:9">
      <c r="A7794" s="577"/>
      <c r="B7794" s="65">
        <v>7992</v>
      </c>
      <c r="C7794" s="579" t="s">
        <v>281</v>
      </c>
      <c r="D7794" s="579"/>
      <c r="E7794" s="583"/>
      <c r="F7794" s="596"/>
      <c r="G7794" s="65">
        <v>0</v>
      </c>
      <c r="H7794" s="591" t="s">
        <v>280</v>
      </c>
      <c r="I7794" s="589" t="s">
        <v>280</v>
      </c>
    </row>
    <row r="7795" spans="1:9">
      <c r="A7795" s="577"/>
      <c r="B7795" s="65">
        <v>7993</v>
      </c>
      <c r="C7795" s="579" t="s">
        <v>281</v>
      </c>
      <c r="D7795" s="579"/>
      <c r="E7795" s="583"/>
      <c r="F7795" s="596"/>
      <c r="G7795" s="65">
        <v>0</v>
      </c>
      <c r="H7795" s="591" t="s">
        <v>280</v>
      </c>
      <c r="I7795" s="589" t="s">
        <v>280</v>
      </c>
    </row>
    <row r="7796" spans="1:9">
      <c r="A7796" s="577"/>
      <c r="B7796" s="65">
        <v>7994</v>
      </c>
      <c r="C7796" s="579" t="s">
        <v>281</v>
      </c>
      <c r="D7796" s="579"/>
      <c r="E7796" s="583"/>
      <c r="F7796" s="596"/>
      <c r="G7796" s="65">
        <v>0</v>
      </c>
      <c r="H7796" s="591" t="s">
        <v>280</v>
      </c>
      <c r="I7796" s="589" t="s">
        <v>280</v>
      </c>
    </row>
    <row r="7797" spans="1:9">
      <c r="A7797" s="577"/>
      <c r="B7797" s="65">
        <v>7995</v>
      </c>
      <c r="C7797" s="579" t="s">
        <v>281</v>
      </c>
      <c r="D7797" s="579"/>
      <c r="E7797" s="583"/>
      <c r="F7797" s="596"/>
      <c r="G7797" s="65">
        <v>0</v>
      </c>
      <c r="H7797" s="591" t="s">
        <v>280</v>
      </c>
      <c r="I7797" s="589" t="s">
        <v>280</v>
      </c>
    </row>
    <row r="7798" spans="1:9">
      <c r="A7798" s="577"/>
      <c r="B7798" s="65">
        <v>7996</v>
      </c>
      <c r="C7798" s="579" t="s">
        <v>281</v>
      </c>
      <c r="D7798" s="579"/>
      <c r="E7798" s="583"/>
      <c r="F7798" s="596"/>
      <c r="G7798" s="65">
        <v>0</v>
      </c>
      <c r="H7798" s="591" t="s">
        <v>280</v>
      </c>
      <c r="I7798" s="589" t="s">
        <v>280</v>
      </c>
    </row>
    <row r="7799" spans="1:9">
      <c r="A7799" s="577"/>
      <c r="B7799" s="65">
        <v>7997</v>
      </c>
      <c r="C7799" s="579" t="s">
        <v>281</v>
      </c>
      <c r="D7799" s="579"/>
      <c r="E7799" s="583"/>
      <c r="F7799" s="596"/>
      <c r="G7799" s="65">
        <v>0</v>
      </c>
      <c r="H7799" s="591" t="s">
        <v>280</v>
      </c>
      <c r="I7799" s="589" t="s">
        <v>280</v>
      </c>
    </row>
    <row r="7800" spans="1:9">
      <c r="A7800" s="577"/>
      <c r="B7800" s="65">
        <v>7998</v>
      </c>
      <c r="C7800" s="579" t="s">
        <v>281</v>
      </c>
      <c r="D7800" s="579"/>
      <c r="E7800" s="583"/>
      <c r="F7800" s="596"/>
      <c r="G7800" s="65">
        <v>0</v>
      </c>
      <c r="H7800" s="591" t="s">
        <v>280</v>
      </c>
      <c r="I7800" s="589" t="s">
        <v>280</v>
      </c>
    </row>
    <row r="7801" spans="1:9">
      <c r="A7801" s="577"/>
      <c r="B7801" s="65">
        <v>7999</v>
      </c>
      <c r="C7801" s="579" t="s">
        <v>281</v>
      </c>
      <c r="D7801" s="579"/>
      <c r="E7801" s="583"/>
      <c r="F7801" s="596"/>
      <c r="G7801" s="65">
        <v>0</v>
      </c>
      <c r="H7801" s="591" t="s">
        <v>280</v>
      </c>
      <c r="I7801" s="589" t="s">
        <v>280</v>
      </c>
    </row>
    <row r="7802" spans="1:9">
      <c r="A7802" s="577"/>
      <c r="B7802" s="65">
        <v>8000</v>
      </c>
      <c r="C7802" s="579" t="s">
        <v>281</v>
      </c>
      <c r="D7802" s="579"/>
      <c r="E7802" s="583"/>
      <c r="F7802" s="596"/>
      <c r="G7802" s="65">
        <v>0</v>
      </c>
      <c r="H7802" s="591" t="s">
        <v>280</v>
      </c>
      <c r="I7802" s="589" t="s">
        <v>280</v>
      </c>
    </row>
    <row r="7803" spans="1:9">
      <c r="A7803" s="577"/>
      <c r="B7803" s="65">
        <v>8001</v>
      </c>
      <c r="C7803" s="579" t="s">
        <v>281</v>
      </c>
      <c r="D7803" s="579"/>
      <c r="E7803" s="583"/>
      <c r="F7803" s="596"/>
      <c r="G7803" s="65">
        <v>0</v>
      </c>
      <c r="H7803" s="591" t="s">
        <v>280</v>
      </c>
      <c r="I7803" s="589" t="s">
        <v>280</v>
      </c>
    </row>
    <row r="7804" spans="1:9">
      <c r="A7804" s="577"/>
      <c r="B7804" s="65">
        <v>8002</v>
      </c>
      <c r="C7804" s="579" t="s">
        <v>281</v>
      </c>
      <c r="D7804" s="579"/>
      <c r="E7804" s="583"/>
      <c r="F7804" s="596"/>
      <c r="G7804" s="65">
        <v>0</v>
      </c>
      <c r="H7804" s="591" t="s">
        <v>280</v>
      </c>
      <c r="I7804" s="589" t="s">
        <v>280</v>
      </c>
    </row>
    <row r="7805" spans="1:9">
      <c r="A7805" s="577"/>
      <c r="B7805" s="65">
        <v>8003</v>
      </c>
      <c r="C7805" s="579" t="s">
        <v>281</v>
      </c>
      <c r="D7805" s="579"/>
      <c r="E7805" s="583"/>
      <c r="F7805" s="596"/>
      <c r="G7805" s="65">
        <v>0</v>
      </c>
      <c r="H7805" s="591" t="s">
        <v>280</v>
      </c>
      <c r="I7805" s="589" t="s">
        <v>280</v>
      </c>
    </row>
    <row r="7806" spans="1:9">
      <c r="A7806" s="577"/>
      <c r="B7806" s="65">
        <v>8004</v>
      </c>
      <c r="C7806" s="579" t="s">
        <v>281</v>
      </c>
      <c r="D7806" s="579"/>
      <c r="E7806" s="583"/>
      <c r="F7806" s="596"/>
      <c r="G7806" s="65">
        <v>0</v>
      </c>
      <c r="H7806" s="591" t="s">
        <v>280</v>
      </c>
      <c r="I7806" s="589" t="s">
        <v>280</v>
      </c>
    </row>
    <row r="7807" spans="1:9">
      <c r="A7807" s="577"/>
      <c r="B7807" s="65">
        <v>8005</v>
      </c>
      <c r="C7807" s="579" t="s">
        <v>281</v>
      </c>
      <c r="D7807" s="579"/>
      <c r="E7807" s="583"/>
      <c r="F7807" s="596"/>
      <c r="G7807" s="65">
        <v>0</v>
      </c>
      <c r="H7807" s="591" t="s">
        <v>280</v>
      </c>
      <c r="I7807" s="589" t="s">
        <v>280</v>
      </c>
    </row>
    <row r="7808" spans="1:9">
      <c r="A7808" s="577"/>
      <c r="B7808" s="65">
        <v>8006</v>
      </c>
      <c r="C7808" s="579" t="s">
        <v>281</v>
      </c>
      <c r="D7808" s="579"/>
      <c r="E7808" s="583"/>
      <c r="F7808" s="596"/>
      <c r="G7808" s="65">
        <v>0</v>
      </c>
      <c r="H7808" s="591" t="s">
        <v>280</v>
      </c>
      <c r="I7808" s="589" t="s">
        <v>280</v>
      </c>
    </row>
    <row r="7809" spans="1:9">
      <c r="A7809" s="577"/>
      <c r="B7809" s="65">
        <v>8007</v>
      </c>
      <c r="C7809" s="579" t="s">
        <v>281</v>
      </c>
      <c r="D7809" s="579"/>
      <c r="E7809" s="583"/>
      <c r="F7809" s="596"/>
      <c r="G7809" s="65">
        <v>0</v>
      </c>
      <c r="H7809" s="591" t="s">
        <v>280</v>
      </c>
      <c r="I7809" s="589" t="s">
        <v>280</v>
      </c>
    </row>
    <row r="7810" spans="1:9">
      <c r="A7810" s="577"/>
      <c r="B7810" s="65">
        <v>8008</v>
      </c>
      <c r="C7810" s="579" t="s">
        <v>281</v>
      </c>
      <c r="D7810" s="579"/>
      <c r="E7810" s="583"/>
      <c r="F7810" s="596"/>
      <c r="G7810" s="65">
        <v>0</v>
      </c>
      <c r="H7810" s="591" t="s">
        <v>280</v>
      </c>
      <c r="I7810" s="589" t="s">
        <v>280</v>
      </c>
    </row>
    <row r="7811" spans="1:9">
      <c r="A7811" s="577"/>
      <c r="B7811" s="65">
        <v>8009</v>
      </c>
      <c r="C7811" s="579" t="s">
        <v>281</v>
      </c>
      <c r="D7811" s="579"/>
      <c r="E7811" s="583"/>
      <c r="F7811" s="596"/>
      <c r="G7811" s="65">
        <v>0</v>
      </c>
      <c r="H7811" s="591" t="s">
        <v>280</v>
      </c>
      <c r="I7811" s="589" t="s">
        <v>280</v>
      </c>
    </row>
    <row r="7812" spans="1:9">
      <c r="A7812" s="577"/>
      <c r="B7812" s="65">
        <v>8010</v>
      </c>
      <c r="C7812" s="579" t="s">
        <v>281</v>
      </c>
      <c r="D7812" s="579"/>
      <c r="E7812" s="583"/>
      <c r="F7812" s="596"/>
      <c r="G7812" s="65">
        <v>0</v>
      </c>
      <c r="H7812" s="591" t="s">
        <v>280</v>
      </c>
      <c r="I7812" s="589" t="s">
        <v>280</v>
      </c>
    </row>
    <row r="7813" spans="1:9">
      <c r="A7813" s="577"/>
      <c r="B7813" s="65">
        <v>8011</v>
      </c>
      <c r="C7813" s="579" t="s">
        <v>281</v>
      </c>
      <c r="D7813" s="579"/>
      <c r="E7813" s="583"/>
      <c r="F7813" s="596"/>
      <c r="G7813" s="65">
        <v>0</v>
      </c>
      <c r="H7813" s="591" t="s">
        <v>280</v>
      </c>
      <c r="I7813" s="589" t="s">
        <v>280</v>
      </c>
    </row>
    <row r="7814" spans="1:9">
      <c r="A7814" s="577"/>
      <c r="B7814" s="65">
        <v>8012</v>
      </c>
      <c r="C7814" s="579" t="s">
        <v>281</v>
      </c>
      <c r="D7814" s="579"/>
      <c r="E7814" s="583"/>
      <c r="F7814" s="596"/>
      <c r="G7814" s="65">
        <v>0</v>
      </c>
      <c r="H7814" s="591" t="s">
        <v>280</v>
      </c>
      <c r="I7814" s="589" t="s">
        <v>280</v>
      </c>
    </row>
    <row r="7815" spans="1:9">
      <c r="A7815" s="577"/>
      <c r="B7815" s="65">
        <v>8013</v>
      </c>
      <c r="C7815" s="579" t="s">
        <v>281</v>
      </c>
      <c r="D7815" s="579"/>
      <c r="E7815" s="583"/>
      <c r="F7815" s="596"/>
      <c r="G7815" s="65">
        <v>0</v>
      </c>
      <c r="H7815" s="591" t="s">
        <v>280</v>
      </c>
      <c r="I7815" s="589" t="s">
        <v>280</v>
      </c>
    </row>
    <row r="7816" spans="1:9">
      <c r="A7816" s="577"/>
      <c r="B7816" s="65">
        <v>8014</v>
      </c>
      <c r="C7816" s="579" t="s">
        <v>281</v>
      </c>
      <c r="D7816" s="579"/>
      <c r="E7816" s="583"/>
      <c r="F7816" s="596"/>
      <c r="G7816" s="65">
        <v>0</v>
      </c>
      <c r="H7816" s="591" t="s">
        <v>280</v>
      </c>
      <c r="I7816" s="589" t="s">
        <v>280</v>
      </c>
    </row>
    <row r="7817" spans="1:9">
      <c r="A7817" s="577"/>
      <c r="B7817" s="65">
        <v>8015</v>
      </c>
      <c r="C7817" s="579" t="s">
        <v>281</v>
      </c>
      <c r="D7817" s="579"/>
      <c r="E7817" s="583"/>
      <c r="F7817" s="596"/>
      <c r="G7817" s="65">
        <v>0</v>
      </c>
      <c r="H7817" s="591" t="s">
        <v>280</v>
      </c>
      <c r="I7817" s="589" t="s">
        <v>280</v>
      </c>
    </row>
    <row r="7818" spans="1:9">
      <c r="A7818" s="577"/>
      <c r="B7818" s="65">
        <v>8016</v>
      </c>
      <c r="C7818" s="579" t="s">
        <v>281</v>
      </c>
      <c r="D7818" s="579"/>
      <c r="E7818" s="583"/>
      <c r="F7818" s="596"/>
      <c r="G7818" s="65">
        <v>0</v>
      </c>
      <c r="H7818" s="591" t="s">
        <v>280</v>
      </c>
      <c r="I7818" s="589" t="s">
        <v>280</v>
      </c>
    </row>
    <row r="7819" spans="1:9">
      <c r="A7819" s="577"/>
      <c r="B7819" s="65">
        <v>8017</v>
      </c>
      <c r="C7819" s="579" t="s">
        <v>281</v>
      </c>
      <c r="D7819" s="579"/>
      <c r="E7819" s="583"/>
      <c r="F7819" s="596"/>
      <c r="G7819" s="65">
        <v>0</v>
      </c>
      <c r="H7819" s="591" t="s">
        <v>280</v>
      </c>
      <c r="I7819" s="589" t="s">
        <v>280</v>
      </c>
    </row>
    <row r="7820" spans="1:9">
      <c r="A7820" s="577"/>
      <c r="B7820" s="65">
        <v>8018</v>
      </c>
      <c r="C7820" s="579" t="s">
        <v>281</v>
      </c>
      <c r="D7820" s="579"/>
      <c r="E7820" s="583"/>
      <c r="F7820" s="596"/>
      <c r="G7820" s="65">
        <v>0</v>
      </c>
      <c r="H7820" s="591" t="s">
        <v>280</v>
      </c>
      <c r="I7820" s="589" t="s">
        <v>280</v>
      </c>
    </row>
    <row r="7821" spans="1:9">
      <c r="A7821" s="577"/>
      <c r="B7821" s="65">
        <v>8019</v>
      </c>
      <c r="C7821" s="579" t="s">
        <v>281</v>
      </c>
      <c r="D7821" s="579"/>
      <c r="E7821" s="583"/>
      <c r="F7821" s="596"/>
      <c r="G7821" s="65">
        <v>0</v>
      </c>
      <c r="H7821" s="591" t="s">
        <v>280</v>
      </c>
      <c r="I7821" s="589" t="s">
        <v>280</v>
      </c>
    </row>
    <row r="7822" spans="1:9">
      <c r="A7822" s="577"/>
      <c r="B7822" s="65">
        <v>8020</v>
      </c>
      <c r="C7822" s="579" t="s">
        <v>281</v>
      </c>
      <c r="D7822" s="579"/>
      <c r="E7822" s="583"/>
      <c r="F7822" s="596"/>
      <c r="G7822" s="65">
        <v>0</v>
      </c>
      <c r="H7822" s="591" t="s">
        <v>280</v>
      </c>
      <c r="I7822" s="589" t="s">
        <v>280</v>
      </c>
    </row>
    <row r="7823" spans="1:9">
      <c r="A7823" s="577"/>
      <c r="B7823" s="65">
        <v>8021</v>
      </c>
      <c r="C7823" s="579" t="s">
        <v>281</v>
      </c>
      <c r="D7823" s="579"/>
      <c r="E7823" s="583"/>
      <c r="F7823" s="596"/>
      <c r="G7823" s="65">
        <v>0</v>
      </c>
      <c r="H7823" s="591" t="s">
        <v>280</v>
      </c>
      <c r="I7823" s="589" t="s">
        <v>280</v>
      </c>
    </row>
    <row r="7824" spans="1:9">
      <c r="A7824" s="577"/>
      <c r="B7824" s="65">
        <v>8022</v>
      </c>
      <c r="C7824" s="579" t="s">
        <v>281</v>
      </c>
      <c r="D7824" s="579"/>
      <c r="E7824" s="583"/>
      <c r="F7824" s="596"/>
      <c r="G7824" s="65">
        <v>0</v>
      </c>
      <c r="H7824" s="591" t="s">
        <v>280</v>
      </c>
      <c r="I7824" s="589" t="s">
        <v>280</v>
      </c>
    </row>
    <row r="7825" spans="1:9">
      <c r="A7825" s="577"/>
      <c r="B7825" s="65">
        <v>8023</v>
      </c>
      <c r="C7825" s="579" t="s">
        <v>281</v>
      </c>
      <c r="D7825" s="579"/>
      <c r="E7825" s="583"/>
      <c r="F7825" s="596"/>
      <c r="G7825" s="65">
        <v>0</v>
      </c>
      <c r="H7825" s="591" t="s">
        <v>280</v>
      </c>
      <c r="I7825" s="589" t="s">
        <v>280</v>
      </c>
    </row>
    <row r="7826" spans="1:9">
      <c r="A7826" s="577"/>
      <c r="B7826" s="65">
        <v>8024</v>
      </c>
      <c r="C7826" s="579" t="s">
        <v>281</v>
      </c>
      <c r="D7826" s="579"/>
      <c r="E7826" s="583"/>
      <c r="F7826" s="596"/>
      <c r="G7826" s="65">
        <v>0</v>
      </c>
      <c r="H7826" s="591" t="s">
        <v>280</v>
      </c>
      <c r="I7826" s="589" t="s">
        <v>280</v>
      </c>
    </row>
    <row r="7827" spans="1:9">
      <c r="A7827" s="577"/>
      <c r="B7827" s="65">
        <v>8025</v>
      </c>
      <c r="C7827" s="579" t="s">
        <v>281</v>
      </c>
      <c r="D7827" s="579"/>
      <c r="E7827" s="583"/>
      <c r="F7827" s="596"/>
      <c r="G7827" s="65">
        <v>0</v>
      </c>
      <c r="H7827" s="591" t="s">
        <v>280</v>
      </c>
      <c r="I7827" s="589" t="s">
        <v>280</v>
      </c>
    </row>
    <row r="7828" spans="1:9">
      <c r="A7828" s="577"/>
      <c r="B7828" s="65">
        <v>8026</v>
      </c>
      <c r="C7828" s="579" t="s">
        <v>281</v>
      </c>
      <c r="D7828" s="579"/>
      <c r="E7828" s="583"/>
      <c r="F7828" s="596"/>
      <c r="G7828" s="65">
        <v>0</v>
      </c>
      <c r="H7828" s="591" t="s">
        <v>280</v>
      </c>
      <c r="I7828" s="589" t="s">
        <v>280</v>
      </c>
    </row>
    <row r="7829" spans="1:9">
      <c r="A7829" s="577"/>
      <c r="B7829" s="65">
        <v>8027</v>
      </c>
      <c r="C7829" s="579" t="s">
        <v>281</v>
      </c>
      <c r="D7829" s="579"/>
      <c r="E7829" s="583"/>
      <c r="F7829" s="596"/>
      <c r="G7829" s="65">
        <v>0</v>
      </c>
      <c r="H7829" s="591" t="s">
        <v>280</v>
      </c>
      <c r="I7829" s="589" t="s">
        <v>280</v>
      </c>
    </row>
    <row r="7830" spans="1:9">
      <c r="A7830" s="577"/>
      <c r="B7830" s="65">
        <v>8028</v>
      </c>
      <c r="C7830" s="579" t="s">
        <v>281</v>
      </c>
      <c r="D7830" s="579"/>
      <c r="E7830" s="583"/>
      <c r="F7830" s="596"/>
      <c r="G7830" s="65">
        <v>0</v>
      </c>
      <c r="H7830" s="591" t="s">
        <v>280</v>
      </c>
      <c r="I7830" s="589" t="s">
        <v>280</v>
      </c>
    </row>
    <row r="7831" spans="1:9">
      <c r="A7831" s="577"/>
      <c r="B7831" s="65">
        <v>8029</v>
      </c>
      <c r="C7831" s="579" t="s">
        <v>281</v>
      </c>
      <c r="D7831" s="579"/>
      <c r="E7831" s="583"/>
      <c r="F7831" s="596"/>
      <c r="G7831" s="65">
        <v>0</v>
      </c>
      <c r="H7831" s="591" t="s">
        <v>280</v>
      </c>
      <c r="I7831" s="589" t="s">
        <v>280</v>
      </c>
    </row>
    <row r="7832" spans="1:9">
      <c r="A7832" s="577"/>
      <c r="B7832" s="65">
        <v>8030</v>
      </c>
      <c r="C7832" s="579" t="s">
        <v>281</v>
      </c>
      <c r="D7832" s="579"/>
      <c r="E7832" s="583"/>
      <c r="F7832" s="596"/>
      <c r="G7832" s="65">
        <v>0</v>
      </c>
      <c r="H7832" s="591" t="s">
        <v>280</v>
      </c>
      <c r="I7832" s="589" t="s">
        <v>280</v>
      </c>
    </row>
    <row r="7833" spans="1:9">
      <c r="A7833" s="577"/>
      <c r="B7833" s="65">
        <v>8031</v>
      </c>
      <c r="C7833" s="579" t="s">
        <v>281</v>
      </c>
      <c r="D7833" s="579"/>
      <c r="E7833" s="583"/>
      <c r="F7833" s="596"/>
      <c r="G7833" s="65">
        <v>0</v>
      </c>
      <c r="H7833" s="591" t="s">
        <v>280</v>
      </c>
      <c r="I7833" s="589" t="s">
        <v>280</v>
      </c>
    </row>
    <row r="7834" spans="1:9">
      <c r="A7834" s="577"/>
      <c r="B7834" s="65">
        <v>8032</v>
      </c>
      <c r="C7834" s="579" t="s">
        <v>281</v>
      </c>
      <c r="D7834" s="579"/>
      <c r="E7834" s="583"/>
      <c r="F7834" s="596"/>
      <c r="G7834" s="65">
        <v>0</v>
      </c>
      <c r="H7834" s="591" t="s">
        <v>280</v>
      </c>
      <c r="I7834" s="589" t="s">
        <v>280</v>
      </c>
    </row>
    <row r="7835" spans="1:9">
      <c r="A7835" s="577"/>
      <c r="B7835" s="65">
        <v>8033</v>
      </c>
      <c r="C7835" s="579" t="s">
        <v>281</v>
      </c>
      <c r="D7835" s="579"/>
      <c r="E7835" s="583"/>
      <c r="F7835" s="596"/>
      <c r="G7835" s="65">
        <v>0</v>
      </c>
      <c r="H7835" s="591" t="s">
        <v>280</v>
      </c>
      <c r="I7835" s="589" t="s">
        <v>280</v>
      </c>
    </row>
    <row r="7836" spans="1:9">
      <c r="A7836" s="577"/>
      <c r="B7836" s="65">
        <v>8034</v>
      </c>
      <c r="C7836" s="579" t="s">
        <v>281</v>
      </c>
      <c r="D7836" s="579"/>
      <c r="E7836" s="583"/>
      <c r="F7836" s="596"/>
      <c r="G7836" s="65">
        <v>0</v>
      </c>
      <c r="H7836" s="591" t="s">
        <v>280</v>
      </c>
      <c r="I7836" s="589" t="s">
        <v>280</v>
      </c>
    </row>
    <row r="7837" spans="1:9">
      <c r="A7837" s="577"/>
      <c r="B7837" s="65">
        <v>8035</v>
      </c>
      <c r="C7837" s="579" t="s">
        <v>281</v>
      </c>
      <c r="D7837" s="579"/>
      <c r="E7837" s="583"/>
      <c r="F7837" s="596"/>
      <c r="G7837" s="65">
        <v>0</v>
      </c>
      <c r="H7837" s="591" t="s">
        <v>280</v>
      </c>
      <c r="I7837" s="589" t="s">
        <v>280</v>
      </c>
    </row>
    <row r="7838" spans="1:9">
      <c r="A7838" s="577"/>
      <c r="B7838" s="65">
        <v>8036</v>
      </c>
      <c r="C7838" s="579" t="s">
        <v>281</v>
      </c>
      <c r="D7838" s="579"/>
      <c r="E7838" s="583"/>
      <c r="F7838" s="596"/>
      <c r="G7838" s="65">
        <v>0</v>
      </c>
      <c r="H7838" s="591" t="s">
        <v>280</v>
      </c>
      <c r="I7838" s="589" t="s">
        <v>280</v>
      </c>
    </row>
    <row r="7839" spans="1:9">
      <c r="A7839" s="577"/>
      <c r="B7839" s="65">
        <v>8037</v>
      </c>
      <c r="C7839" s="579" t="s">
        <v>281</v>
      </c>
      <c r="D7839" s="579"/>
      <c r="E7839" s="583"/>
      <c r="F7839" s="596"/>
      <c r="G7839" s="65">
        <v>0</v>
      </c>
      <c r="H7839" s="591" t="s">
        <v>280</v>
      </c>
      <c r="I7839" s="589" t="s">
        <v>280</v>
      </c>
    </row>
    <row r="7840" spans="1:9">
      <c r="A7840" s="577"/>
      <c r="B7840" s="65">
        <v>8038</v>
      </c>
      <c r="C7840" s="579" t="s">
        <v>281</v>
      </c>
      <c r="D7840" s="579"/>
      <c r="E7840" s="583"/>
      <c r="F7840" s="596"/>
      <c r="G7840" s="65">
        <v>0</v>
      </c>
      <c r="H7840" s="591" t="s">
        <v>280</v>
      </c>
      <c r="I7840" s="589" t="s">
        <v>280</v>
      </c>
    </row>
    <row r="7841" spans="1:9">
      <c r="A7841" s="577"/>
      <c r="B7841" s="65">
        <v>8039</v>
      </c>
      <c r="C7841" s="579" t="s">
        <v>281</v>
      </c>
      <c r="D7841" s="579"/>
      <c r="E7841" s="583"/>
      <c r="F7841" s="596"/>
      <c r="G7841" s="65">
        <v>0</v>
      </c>
      <c r="H7841" s="591" t="s">
        <v>280</v>
      </c>
      <c r="I7841" s="589" t="s">
        <v>280</v>
      </c>
    </row>
    <row r="7842" spans="1:9">
      <c r="A7842" s="577"/>
      <c r="B7842" s="65">
        <v>8040</v>
      </c>
      <c r="C7842" s="579" t="s">
        <v>281</v>
      </c>
      <c r="D7842" s="579"/>
      <c r="E7842" s="583"/>
      <c r="F7842" s="596"/>
      <c r="G7842" s="65">
        <v>0</v>
      </c>
      <c r="H7842" s="591" t="s">
        <v>280</v>
      </c>
      <c r="I7842" s="589" t="s">
        <v>280</v>
      </c>
    </row>
    <row r="7843" spans="1:9">
      <c r="A7843" s="577"/>
      <c r="B7843" s="65">
        <v>8041</v>
      </c>
      <c r="C7843" s="579" t="s">
        <v>281</v>
      </c>
      <c r="D7843" s="579"/>
      <c r="E7843" s="583"/>
      <c r="F7843" s="596"/>
      <c r="G7843" s="65">
        <v>0</v>
      </c>
      <c r="H7843" s="591" t="s">
        <v>280</v>
      </c>
      <c r="I7843" s="589" t="s">
        <v>280</v>
      </c>
    </row>
    <row r="7844" spans="1:9">
      <c r="A7844" s="577"/>
      <c r="B7844" s="65">
        <v>8042</v>
      </c>
      <c r="C7844" s="579" t="s">
        <v>281</v>
      </c>
      <c r="D7844" s="579"/>
      <c r="E7844" s="583"/>
      <c r="F7844" s="596"/>
      <c r="G7844" s="65">
        <v>0</v>
      </c>
      <c r="H7844" s="591" t="s">
        <v>280</v>
      </c>
      <c r="I7844" s="589" t="s">
        <v>280</v>
      </c>
    </row>
    <row r="7845" spans="1:9">
      <c r="A7845" s="577"/>
      <c r="B7845" s="65">
        <v>8043</v>
      </c>
      <c r="C7845" s="579" t="s">
        <v>281</v>
      </c>
      <c r="D7845" s="579"/>
      <c r="E7845" s="583"/>
      <c r="F7845" s="596"/>
      <c r="G7845" s="65">
        <v>0</v>
      </c>
      <c r="H7845" s="591" t="s">
        <v>280</v>
      </c>
      <c r="I7845" s="589" t="s">
        <v>280</v>
      </c>
    </row>
    <row r="7846" spans="1:9">
      <c r="A7846" s="577"/>
      <c r="B7846" s="65">
        <v>8044</v>
      </c>
      <c r="C7846" s="579" t="s">
        <v>281</v>
      </c>
      <c r="D7846" s="579"/>
      <c r="E7846" s="583"/>
      <c r="F7846" s="596"/>
      <c r="G7846" s="65">
        <v>0</v>
      </c>
      <c r="H7846" s="591" t="s">
        <v>280</v>
      </c>
      <c r="I7846" s="589" t="s">
        <v>280</v>
      </c>
    </row>
    <row r="7847" spans="1:9">
      <c r="A7847" s="577"/>
      <c r="B7847" s="65">
        <v>8045</v>
      </c>
      <c r="C7847" s="579" t="s">
        <v>281</v>
      </c>
      <c r="D7847" s="579"/>
      <c r="E7847" s="583"/>
      <c r="F7847" s="596"/>
      <c r="G7847" s="65">
        <v>0</v>
      </c>
      <c r="H7847" s="591" t="s">
        <v>280</v>
      </c>
      <c r="I7847" s="589" t="s">
        <v>280</v>
      </c>
    </row>
    <row r="7848" spans="1:9">
      <c r="A7848" s="577"/>
      <c r="B7848" s="65">
        <v>8046</v>
      </c>
      <c r="C7848" s="579" t="s">
        <v>281</v>
      </c>
      <c r="D7848" s="579"/>
      <c r="E7848" s="583"/>
      <c r="F7848" s="596"/>
      <c r="G7848" s="65">
        <v>0</v>
      </c>
      <c r="H7848" s="591" t="s">
        <v>280</v>
      </c>
      <c r="I7848" s="589" t="s">
        <v>280</v>
      </c>
    </row>
    <row r="7849" spans="1:9">
      <c r="A7849" s="577"/>
      <c r="B7849" s="65">
        <v>8047</v>
      </c>
      <c r="C7849" s="579" t="s">
        <v>281</v>
      </c>
      <c r="D7849" s="579"/>
      <c r="E7849" s="583"/>
      <c r="F7849" s="596"/>
      <c r="G7849" s="65">
        <v>0</v>
      </c>
      <c r="H7849" s="591" t="s">
        <v>280</v>
      </c>
      <c r="I7849" s="589" t="s">
        <v>280</v>
      </c>
    </row>
    <row r="7850" spans="1:9">
      <c r="A7850" s="577"/>
      <c r="B7850" s="65">
        <v>8048</v>
      </c>
      <c r="C7850" s="579" t="s">
        <v>281</v>
      </c>
      <c r="D7850" s="579"/>
      <c r="E7850" s="583"/>
      <c r="F7850" s="596"/>
      <c r="G7850" s="65">
        <v>0</v>
      </c>
      <c r="H7850" s="591" t="s">
        <v>280</v>
      </c>
      <c r="I7850" s="589" t="s">
        <v>280</v>
      </c>
    </row>
    <row r="7851" spans="1:9">
      <c r="A7851" s="577"/>
      <c r="B7851" s="65">
        <v>8049</v>
      </c>
      <c r="C7851" s="579" t="s">
        <v>281</v>
      </c>
      <c r="D7851" s="579"/>
      <c r="E7851" s="583"/>
      <c r="F7851" s="596"/>
      <c r="G7851" s="65">
        <v>0</v>
      </c>
      <c r="H7851" s="591" t="s">
        <v>280</v>
      </c>
      <c r="I7851" s="589" t="s">
        <v>280</v>
      </c>
    </row>
    <row r="7852" spans="1:9">
      <c r="A7852" s="577"/>
      <c r="B7852" s="65">
        <v>8050</v>
      </c>
      <c r="C7852" s="579" t="s">
        <v>281</v>
      </c>
      <c r="D7852" s="579"/>
      <c r="E7852" s="583"/>
      <c r="F7852" s="596"/>
      <c r="G7852" s="65">
        <v>0</v>
      </c>
      <c r="H7852" s="591" t="s">
        <v>280</v>
      </c>
      <c r="I7852" s="589" t="s">
        <v>280</v>
      </c>
    </row>
    <row r="7853" spans="1:9">
      <c r="A7853" s="577"/>
      <c r="B7853" s="65">
        <v>8051</v>
      </c>
      <c r="C7853" s="579" t="s">
        <v>281</v>
      </c>
      <c r="D7853" s="579"/>
      <c r="E7853" s="583"/>
      <c r="F7853" s="596"/>
      <c r="G7853" s="65">
        <v>0</v>
      </c>
      <c r="H7853" s="591" t="s">
        <v>280</v>
      </c>
      <c r="I7853" s="589" t="s">
        <v>280</v>
      </c>
    </row>
    <row r="7854" spans="1:9">
      <c r="A7854" s="577"/>
      <c r="B7854" s="65">
        <v>8052</v>
      </c>
      <c r="C7854" s="579" t="s">
        <v>281</v>
      </c>
      <c r="D7854" s="579"/>
      <c r="E7854" s="583"/>
      <c r="F7854" s="596"/>
      <c r="G7854" s="65">
        <v>0</v>
      </c>
      <c r="H7854" s="591" t="s">
        <v>280</v>
      </c>
      <c r="I7854" s="589" t="s">
        <v>280</v>
      </c>
    </row>
    <row r="7855" spans="1:9">
      <c r="A7855" s="577"/>
      <c r="B7855" s="65">
        <v>8053</v>
      </c>
      <c r="C7855" s="579" t="s">
        <v>281</v>
      </c>
      <c r="D7855" s="579"/>
      <c r="E7855" s="583"/>
      <c r="F7855" s="596"/>
      <c r="G7855" s="65">
        <v>0</v>
      </c>
      <c r="H7855" s="591" t="s">
        <v>280</v>
      </c>
      <c r="I7855" s="589" t="s">
        <v>280</v>
      </c>
    </row>
    <row r="7856" spans="1:9">
      <c r="A7856" s="577"/>
      <c r="B7856" s="65">
        <v>8054</v>
      </c>
      <c r="C7856" s="579" t="s">
        <v>281</v>
      </c>
      <c r="D7856" s="579"/>
      <c r="E7856" s="583"/>
      <c r="F7856" s="596"/>
      <c r="G7856" s="65">
        <v>0</v>
      </c>
      <c r="H7856" s="591" t="s">
        <v>280</v>
      </c>
      <c r="I7856" s="589" t="s">
        <v>280</v>
      </c>
    </row>
    <row r="7857" spans="1:9">
      <c r="A7857" s="577"/>
      <c r="B7857" s="65">
        <v>8055</v>
      </c>
      <c r="C7857" s="579" t="s">
        <v>281</v>
      </c>
      <c r="D7857" s="579"/>
      <c r="E7857" s="583"/>
      <c r="F7857" s="596"/>
      <c r="G7857" s="65">
        <v>0</v>
      </c>
      <c r="H7857" s="591" t="s">
        <v>280</v>
      </c>
      <c r="I7857" s="589" t="s">
        <v>280</v>
      </c>
    </row>
    <row r="7858" spans="1:9">
      <c r="A7858" s="577"/>
      <c r="B7858" s="65">
        <v>8056</v>
      </c>
      <c r="C7858" s="579" t="s">
        <v>281</v>
      </c>
      <c r="D7858" s="579"/>
      <c r="E7858" s="583"/>
      <c r="F7858" s="596"/>
      <c r="G7858" s="65">
        <v>0</v>
      </c>
      <c r="H7858" s="591" t="s">
        <v>280</v>
      </c>
      <c r="I7858" s="589" t="s">
        <v>280</v>
      </c>
    </row>
    <row r="7859" spans="1:9">
      <c r="A7859" s="577"/>
      <c r="B7859" s="65">
        <v>8057</v>
      </c>
      <c r="C7859" s="579" t="s">
        <v>281</v>
      </c>
      <c r="D7859" s="579"/>
      <c r="E7859" s="583"/>
      <c r="F7859" s="596"/>
      <c r="G7859" s="65">
        <v>0</v>
      </c>
      <c r="H7859" s="591" t="s">
        <v>280</v>
      </c>
      <c r="I7859" s="589" t="s">
        <v>280</v>
      </c>
    </row>
    <row r="7860" spans="1:9">
      <c r="A7860" s="577"/>
      <c r="B7860" s="65">
        <v>8058</v>
      </c>
      <c r="C7860" s="579" t="s">
        <v>281</v>
      </c>
      <c r="D7860" s="579"/>
      <c r="E7860" s="583"/>
      <c r="F7860" s="596"/>
      <c r="G7860" s="65">
        <v>0</v>
      </c>
      <c r="H7860" s="591" t="s">
        <v>280</v>
      </c>
      <c r="I7860" s="589" t="s">
        <v>280</v>
      </c>
    </row>
    <row r="7861" spans="1:9">
      <c r="A7861" s="577"/>
      <c r="B7861" s="65">
        <v>8059</v>
      </c>
      <c r="C7861" s="579" t="s">
        <v>281</v>
      </c>
      <c r="D7861" s="579"/>
      <c r="E7861" s="583"/>
      <c r="F7861" s="596"/>
      <c r="G7861" s="65">
        <v>0</v>
      </c>
      <c r="H7861" s="591" t="s">
        <v>280</v>
      </c>
      <c r="I7861" s="589" t="s">
        <v>280</v>
      </c>
    </row>
    <row r="7862" spans="1:9">
      <c r="A7862" s="577"/>
      <c r="B7862" s="65">
        <v>8060</v>
      </c>
      <c r="C7862" s="579" t="s">
        <v>281</v>
      </c>
      <c r="D7862" s="579"/>
      <c r="E7862" s="583"/>
      <c r="F7862" s="596"/>
      <c r="G7862" s="65">
        <v>0</v>
      </c>
      <c r="H7862" s="591" t="s">
        <v>280</v>
      </c>
      <c r="I7862" s="589" t="s">
        <v>280</v>
      </c>
    </row>
    <row r="7863" spans="1:9">
      <c r="A7863" s="577"/>
      <c r="B7863" s="65">
        <v>8061</v>
      </c>
      <c r="C7863" s="579" t="s">
        <v>281</v>
      </c>
      <c r="D7863" s="579"/>
      <c r="E7863" s="583"/>
      <c r="F7863" s="596"/>
      <c r="G7863" s="65">
        <v>0</v>
      </c>
      <c r="H7863" s="591" t="s">
        <v>280</v>
      </c>
      <c r="I7863" s="589" t="s">
        <v>280</v>
      </c>
    </row>
    <row r="7864" spans="1:9">
      <c r="A7864" s="577"/>
      <c r="B7864" s="65">
        <v>8062</v>
      </c>
      <c r="C7864" s="579" t="s">
        <v>281</v>
      </c>
      <c r="D7864" s="579"/>
      <c r="E7864" s="583"/>
      <c r="F7864" s="596"/>
      <c r="G7864" s="65">
        <v>0</v>
      </c>
      <c r="H7864" s="591" t="s">
        <v>280</v>
      </c>
      <c r="I7864" s="589" t="s">
        <v>280</v>
      </c>
    </row>
    <row r="7865" spans="1:9">
      <c r="A7865" s="577"/>
      <c r="B7865" s="65">
        <v>8063</v>
      </c>
      <c r="C7865" s="579" t="s">
        <v>281</v>
      </c>
      <c r="D7865" s="579"/>
      <c r="E7865" s="583"/>
      <c r="F7865" s="596"/>
      <c r="G7865" s="65">
        <v>0</v>
      </c>
      <c r="H7865" s="591" t="s">
        <v>280</v>
      </c>
      <c r="I7865" s="589" t="s">
        <v>280</v>
      </c>
    </row>
    <row r="7866" spans="1:9">
      <c r="A7866" s="577"/>
      <c r="B7866" s="65">
        <v>8064</v>
      </c>
      <c r="C7866" s="579" t="s">
        <v>281</v>
      </c>
      <c r="D7866" s="579"/>
      <c r="E7866" s="583"/>
      <c r="F7866" s="596"/>
      <c r="G7866" s="65">
        <v>0</v>
      </c>
      <c r="H7866" s="591" t="s">
        <v>280</v>
      </c>
      <c r="I7866" s="589" t="s">
        <v>280</v>
      </c>
    </row>
    <row r="7867" spans="1:9">
      <c r="A7867" s="577"/>
      <c r="B7867" s="65">
        <v>8065</v>
      </c>
      <c r="C7867" s="579" t="s">
        <v>281</v>
      </c>
      <c r="D7867" s="579"/>
      <c r="E7867" s="583"/>
      <c r="F7867" s="596"/>
      <c r="G7867" s="65">
        <v>0</v>
      </c>
      <c r="H7867" s="591" t="s">
        <v>280</v>
      </c>
      <c r="I7867" s="589" t="s">
        <v>280</v>
      </c>
    </row>
    <row r="7868" spans="1:9">
      <c r="A7868" s="577"/>
      <c r="B7868" s="65">
        <v>8066</v>
      </c>
      <c r="C7868" s="579" t="s">
        <v>281</v>
      </c>
      <c r="D7868" s="579"/>
      <c r="E7868" s="583"/>
      <c r="F7868" s="596"/>
      <c r="G7868" s="65">
        <v>0</v>
      </c>
      <c r="H7868" s="591" t="s">
        <v>280</v>
      </c>
      <c r="I7868" s="589" t="s">
        <v>280</v>
      </c>
    </row>
    <row r="7869" spans="1:9">
      <c r="A7869" s="577"/>
      <c r="B7869" s="65">
        <v>8067</v>
      </c>
      <c r="C7869" s="579" t="s">
        <v>281</v>
      </c>
      <c r="D7869" s="579"/>
      <c r="E7869" s="583"/>
      <c r="F7869" s="596"/>
      <c r="G7869" s="65">
        <v>0</v>
      </c>
      <c r="H7869" s="591" t="s">
        <v>280</v>
      </c>
      <c r="I7869" s="589" t="s">
        <v>280</v>
      </c>
    </row>
    <row r="7870" spans="1:9">
      <c r="A7870" s="577"/>
      <c r="B7870" s="65">
        <v>8068</v>
      </c>
      <c r="C7870" s="579" t="s">
        <v>281</v>
      </c>
      <c r="D7870" s="579"/>
      <c r="E7870" s="583"/>
      <c r="F7870" s="596"/>
      <c r="G7870" s="65">
        <v>0</v>
      </c>
      <c r="H7870" s="591" t="s">
        <v>280</v>
      </c>
      <c r="I7870" s="589" t="s">
        <v>280</v>
      </c>
    </row>
    <row r="7871" spans="1:9">
      <c r="A7871" s="577"/>
      <c r="B7871" s="65">
        <v>8069</v>
      </c>
      <c r="C7871" s="579" t="s">
        <v>281</v>
      </c>
      <c r="D7871" s="579"/>
      <c r="E7871" s="583"/>
      <c r="F7871" s="596"/>
      <c r="G7871" s="65">
        <v>0</v>
      </c>
      <c r="H7871" s="591" t="s">
        <v>280</v>
      </c>
      <c r="I7871" s="589" t="s">
        <v>280</v>
      </c>
    </row>
    <row r="7872" spans="1:9">
      <c r="A7872" s="577"/>
      <c r="B7872" s="65">
        <v>8070</v>
      </c>
      <c r="C7872" s="579" t="s">
        <v>281</v>
      </c>
      <c r="D7872" s="579"/>
      <c r="E7872" s="583"/>
      <c r="F7872" s="596"/>
      <c r="G7872" s="65">
        <v>0</v>
      </c>
      <c r="H7872" s="591" t="s">
        <v>280</v>
      </c>
      <c r="I7872" s="589" t="s">
        <v>280</v>
      </c>
    </row>
    <row r="7873" spans="1:9">
      <c r="A7873" s="577"/>
      <c r="B7873" s="65">
        <v>8071</v>
      </c>
      <c r="C7873" s="579" t="s">
        <v>281</v>
      </c>
      <c r="D7873" s="579"/>
      <c r="E7873" s="583"/>
      <c r="F7873" s="596"/>
      <c r="G7873" s="65">
        <v>0</v>
      </c>
      <c r="H7873" s="591" t="s">
        <v>280</v>
      </c>
      <c r="I7873" s="589" t="s">
        <v>280</v>
      </c>
    </row>
    <row r="7874" spans="1:9">
      <c r="A7874" s="577"/>
      <c r="B7874" s="65">
        <v>8072</v>
      </c>
      <c r="C7874" s="579" t="s">
        <v>281</v>
      </c>
      <c r="D7874" s="579"/>
      <c r="E7874" s="583"/>
      <c r="F7874" s="596"/>
      <c r="G7874" s="65">
        <v>0</v>
      </c>
      <c r="H7874" s="591" t="s">
        <v>280</v>
      </c>
      <c r="I7874" s="589" t="s">
        <v>280</v>
      </c>
    </row>
    <row r="7875" spans="1:9">
      <c r="A7875" s="577"/>
      <c r="B7875" s="65">
        <v>8073</v>
      </c>
      <c r="C7875" s="579" t="s">
        <v>281</v>
      </c>
      <c r="D7875" s="579"/>
      <c r="E7875" s="583"/>
      <c r="F7875" s="596"/>
      <c r="G7875" s="65">
        <v>0</v>
      </c>
      <c r="H7875" s="591" t="s">
        <v>280</v>
      </c>
      <c r="I7875" s="589" t="s">
        <v>280</v>
      </c>
    </row>
    <row r="7876" spans="1:9">
      <c r="A7876" s="577"/>
      <c r="B7876" s="65">
        <v>8074</v>
      </c>
      <c r="C7876" s="579" t="s">
        <v>281</v>
      </c>
      <c r="D7876" s="579"/>
      <c r="E7876" s="583"/>
      <c r="F7876" s="596"/>
      <c r="G7876" s="65">
        <v>0</v>
      </c>
      <c r="H7876" s="591" t="s">
        <v>280</v>
      </c>
      <c r="I7876" s="589" t="s">
        <v>280</v>
      </c>
    </row>
    <row r="7877" spans="1:9">
      <c r="A7877" s="577"/>
      <c r="B7877" s="65">
        <v>8075</v>
      </c>
      <c r="C7877" s="579" t="s">
        <v>281</v>
      </c>
      <c r="D7877" s="579"/>
      <c r="E7877" s="583"/>
      <c r="F7877" s="596"/>
      <c r="G7877" s="65">
        <v>0</v>
      </c>
      <c r="H7877" s="591" t="s">
        <v>280</v>
      </c>
      <c r="I7877" s="589" t="s">
        <v>280</v>
      </c>
    </row>
    <row r="7878" spans="1:9">
      <c r="A7878" s="577"/>
      <c r="B7878" s="65">
        <v>8076</v>
      </c>
      <c r="C7878" s="579" t="s">
        <v>281</v>
      </c>
      <c r="D7878" s="579"/>
      <c r="E7878" s="583"/>
      <c r="F7878" s="596"/>
      <c r="G7878" s="65">
        <v>0</v>
      </c>
      <c r="H7878" s="591" t="s">
        <v>280</v>
      </c>
      <c r="I7878" s="589" t="s">
        <v>280</v>
      </c>
    </row>
    <row r="7879" spans="1:9">
      <c r="A7879" s="577"/>
      <c r="B7879" s="65">
        <v>8077</v>
      </c>
      <c r="C7879" s="579" t="s">
        <v>281</v>
      </c>
      <c r="D7879" s="579"/>
      <c r="E7879" s="583"/>
      <c r="F7879" s="596"/>
      <c r="G7879" s="65">
        <v>0</v>
      </c>
      <c r="H7879" s="591" t="s">
        <v>280</v>
      </c>
      <c r="I7879" s="589" t="s">
        <v>280</v>
      </c>
    </row>
    <row r="7880" spans="1:9">
      <c r="A7880" s="577"/>
      <c r="B7880" s="65">
        <v>8078</v>
      </c>
      <c r="C7880" s="579" t="s">
        <v>281</v>
      </c>
      <c r="D7880" s="579"/>
      <c r="E7880" s="583"/>
      <c r="F7880" s="596"/>
      <c r="G7880" s="65">
        <v>0</v>
      </c>
      <c r="H7880" s="591" t="s">
        <v>280</v>
      </c>
      <c r="I7880" s="589" t="s">
        <v>280</v>
      </c>
    </row>
    <row r="7881" spans="1:9">
      <c r="A7881" s="577"/>
      <c r="B7881" s="65">
        <v>8079</v>
      </c>
      <c r="C7881" s="579" t="s">
        <v>281</v>
      </c>
      <c r="D7881" s="579"/>
      <c r="E7881" s="583"/>
      <c r="F7881" s="596"/>
      <c r="G7881" s="65">
        <v>0</v>
      </c>
      <c r="H7881" s="591" t="s">
        <v>280</v>
      </c>
      <c r="I7881" s="589" t="s">
        <v>280</v>
      </c>
    </row>
    <row r="7882" spans="1:9">
      <c r="A7882" s="577"/>
      <c r="B7882" s="65">
        <v>8080</v>
      </c>
      <c r="C7882" s="579" t="s">
        <v>281</v>
      </c>
      <c r="D7882" s="579"/>
      <c r="E7882" s="583"/>
      <c r="F7882" s="596"/>
      <c r="G7882" s="65">
        <v>0</v>
      </c>
      <c r="H7882" s="591" t="s">
        <v>280</v>
      </c>
      <c r="I7882" s="589" t="s">
        <v>280</v>
      </c>
    </row>
    <row r="7883" spans="1:9">
      <c r="A7883" s="577"/>
      <c r="B7883" s="65">
        <v>8081</v>
      </c>
      <c r="C7883" s="579" t="s">
        <v>281</v>
      </c>
      <c r="D7883" s="579"/>
      <c r="E7883" s="583"/>
      <c r="F7883" s="596"/>
      <c r="G7883" s="65">
        <v>0</v>
      </c>
      <c r="H7883" s="591" t="s">
        <v>280</v>
      </c>
      <c r="I7883" s="589" t="s">
        <v>280</v>
      </c>
    </row>
    <row r="7884" spans="1:9">
      <c r="A7884" s="577"/>
      <c r="B7884" s="65">
        <v>8082</v>
      </c>
      <c r="C7884" s="579" t="s">
        <v>281</v>
      </c>
      <c r="D7884" s="579"/>
      <c r="E7884" s="583"/>
      <c r="F7884" s="596"/>
      <c r="G7884" s="65">
        <v>0</v>
      </c>
      <c r="H7884" s="591" t="s">
        <v>280</v>
      </c>
      <c r="I7884" s="589" t="s">
        <v>280</v>
      </c>
    </row>
    <row r="7885" spans="1:9">
      <c r="A7885" s="577"/>
      <c r="B7885" s="65">
        <v>8083</v>
      </c>
      <c r="C7885" s="579" t="s">
        <v>281</v>
      </c>
      <c r="D7885" s="579"/>
      <c r="E7885" s="583"/>
      <c r="F7885" s="596"/>
      <c r="G7885" s="65">
        <v>0</v>
      </c>
      <c r="H7885" s="591" t="s">
        <v>280</v>
      </c>
      <c r="I7885" s="589" t="s">
        <v>280</v>
      </c>
    </row>
    <row r="7886" spans="1:9">
      <c r="A7886" s="577"/>
      <c r="B7886" s="65">
        <v>8084</v>
      </c>
      <c r="C7886" s="579" t="s">
        <v>281</v>
      </c>
      <c r="D7886" s="579"/>
      <c r="E7886" s="583"/>
      <c r="F7886" s="596"/>
      <c r="G7886" s="65">
        <v>0</v>
      </c>
      <c r="H7886" s="591" t="s">
        <v>280</v>
      </c>
      <c r="I7886" s="589" t="s">
        <v>280</v>
      </c>
    </row>
    <row r="7887" spans="1:9">
      <c r="A7887" s="577"/>
      <c r="B7887" s="65">
        <v>8085</v>
      </c>
      <c r="C7887" s="579" t="s">
        <v>281</v>
      </c>
      <c r="D7887" s="579"/>
      <c r="E7887" s="583"/>
      <c r="F7887" s="596"/>
      <c r="G7887" s="65">
        <v>0</v>
      </c>
      <c r="H7887" s="591" t="s">
        <v>280</v>
      </c>
      <c r="I7887" s="589" t="s">
        <v>280</v>
      </c>
    </row>
    <row r="7888" spans="1:9">
      <c r="A7888" s="577"/>
      <c r="B7888" s="65">
        <v>8086</v>
      </c>
      <c r="C7888" s="579" t="s">
        <v>281</v>
      </c>
      <c r="D7888" s="579"/>
      <c r="E7888" s="583"/>
      <c r="F7888" s="596"/>
      <c r="G7888" s="65">
        <v>0</v>
      </c>
      <c r="H7888" s="591" t="s">
        <v>280</v>
      </c>
      <c r="I7888" s="589" t="s">
        <v>280</v>
      </c>
    </row>
    <row r="7889" spans="1:9">
      <c r="A7889" s="577"/>
      <c r="B7889" s="65">
        <v>8087</v>
      </c>
      <c r="C7889" s="579" t="s">
        <v>281</v>
      </c>
      <c r="D7889" s="579"/>
      <c r="E7889" s="583"/>
      <c r="F7889" s="596"/>
      <c r="G7889" s="65">
        <v>0</v>
      </c>
      <c r="H7889" s="591" t="s">
        <v>280</v>
      </c>
      <c r="I7889" s="589" t="s">
        <v>280</v>
      </c>
    </row>
    <row r="7890" spans="1:9">
      <c r="A7890" s="577"/>
      <c r="B7890" s="65">
        <v>8088</v>
      </c>
      <c r="C7890" s="579" t="s">
        <v>281</v>
      </c>
      <c r="D7890" s="579"/>
      <c r="E7890" s="583"/>
      <c r="F7890" s="596"/>
      <c r="G7890" s="65">
        <v>0</v>
      </c>
      <c r="H7890" s="591" t="s">
        <v>280</v>
      </c>
      <c r="I7890" s="589" t="s">
        <v>280</v>
      </c>
    </row>
    <row r="7891" spans="1:9">
      <c r="A7891" s="577"/>
      <c r="B7891" s="65">
        <v>8089</v>
      </c>
      <c r="C7891" s="579" t="s">
        <v>281</v>
      </c>
      <c r="D7891" s="579"/>
      <c r="E7891" s="583"/>
      <c r="F7891" s="596"/>
      <c r="G7891" s="65">
        <v>0</v>
      </c>
      <c r="H7891" s="591" t="s">
        <v>280</v>
      </c>
      <c r="I7891" s="589" t="s">
        <v>280</v>
      </c>
    </row>
    <row r="7892" spans="1:9">
      <c r="A7892" s="577"/>
      <c r="B7892" s="65">
        <v>8090</v>
      </c>
      <c r="C7892" s="579" t="s">
        <v>281</v>
      </c>
      <c r="D7892" s="579"/>
      <c r="E7892" s="583"/>
      <c r="F7892" s="596"/>
      <c r="G7892" s="65">
        <v>0</v>
      </c>
      <c r="H7892" s="591" t="s">
        <v>280</v>
      </c>
      <c r="I7892" s="589" t="s">
        <v>280</v>
      </c>
    </row>
    <row r="7893" spans="1:9">
      <c r="A7893" s="577"/>
      <c r="B7893" s="65">
        <v>8091</v>
      </c>
      <c r="C7893" s="579" t="s">
        <v>281</v>
      </c>
      <c r="D7893" s="579"/>
      <c r="E7893" s="583"/>
      <c r="F7893" s="596"/>
      <c r="G7893" s="65">
        <v>0</v>
      </c>
      <c r="H7893" s="591" t="s">
        <v>280</v>
      </c>
      <c r="I7893" s="589" t="s">
        <v>280</v>
      </c>
    </row>
    <row r="7894" spans="1:9">
      <c r="A7894" s="577"/>
      <c r="B7894" s="65">
        <v>8092</v>
      </c>
      <c r="C7894" s="579" t="s">
        <v>281</v>
      </c>
      <c r="D7894" s="579"/>
      <c r="E7894" s="583"/>
      <c r="F7894" s="596"/>
      <c r="G7894" s="65">
        <v>0</v>
      </c>
      <c r="H7894" s="591" t="s">
        <v>280</v>
      </c>
      <c r="I7894" s="589" t="s">
        <v>280</v>
      </c>
    </row>
    <row r="7895" spans="1:9">
      <c r="A7895" s="577"/>
      <c r="B7895" s="65">
        <v>8093</v>
      </c>
      <c r="C7895" s="579" t="s">
        <v>281</v>
      </c>
      <c r="D7895" s="579"/>
      <c r="E7895" s="583"/>
      <c r="F7895" s="596"/>
      <c r="G7895" s="65">
        <v>0</v>
      </c>
      <c r="H7895" s="591" t="s">
        <v>280</v>
      </c>
      <c r="I7895" s="589" t="s">
        <v>280</v>
      </c>
    </row>
    <row r="7896" spans="1:9">
      <c r="A7896" s="577"/>
      <c r="B7896" s="65">
        <v>8094</v>
      </c>
      <c r="C7896" s="579" t="s">
        <v>281</v>
      </c>
      <c r="D7896" s="579"/>
      <c r="E7896" s="583"/>
      <c r="F7896" s="596"/>
      <c r="G7896" s="65">
        <v>0</v>
      </c>
      <c r="H7896" s="591" t="s">
        <v>280</v>
      </c>
      <c r="I7896" s="589" t="s">
        <v>280</v>
      </c>
    </row>
    <row r="7897" spans="1:9">
      <c r="A7897" s="577"/>
      <c r="B7897" s="65">
        <v>8095</v>
      </c>
      <c r="C7897" s="579" t="s">
        <v>281</v>
      </c>
      <c r="D7897" s="579"/>
      <c r="E7897" s="583"/>
      <c r="F7897" s="596"/>
      <c r="G7897" s="65">
        <v>0</v>
      </c>
      <c r="H7897" s="591" t="s">
        <v>280</v>
      </c>
      <c r="I7897" s="589" t="s">
        <v>280</v>
      </c>
    </row>
    <row r="7898" spans="1:9">
      <c r="A7898" s="577"/>
      <c r="B7898" s="65">
        <v>8096</v>
      </c>
      <c r="C7898" s="579" t="s">
        <v>281</v>
      </c>
      <c r="D7898" s="579"/>
      <c r="E7898" s="583"/>
      <c r="F7898" s="596"/>
      <c r="G7898" s="65">
        <v>0</v>
      </c>
      <c r="H7898" s="591" t="s">
        <v>280</v>
      </c>
      <c r="I7898" s="589" t="s">
        <v>280</v>
      </c>
    </row>
    <row r="7899" spans="1:9">
      <c r="A7899" s="577"/>
      <c r="B7899" s="65">
        <v>8097</v>
      </c>
      <c r="C7899" s="579" t="s">
        <v>281</v>
      </c>
      <c r="D7899" s="579"/>
      <c r="E7899" s="583"/>
      <c r="F7899" s="596"/>
      <c r="G7899" s="65">
        <v>0</v>
      </c>
      <c r="H7899" s="591" t="s">
        <v>280</v>
      </c>
      <c r="I7899" s="589" t="s">
        <v>280</v>
      </c>
    </row>
    <row r="7900" spans="1:9">
      <c r="A7900" s="577"/>
      <c r="B7900" s="65">
        <v>8098</v>
      </c>
      <c r="C7900" s="579" t="s">
        <v>281</v>
      </c>
      <c r="D7900" s="579"/>
      <c r="E7900" s="583"/>
      <c r="F7900" s="596"/>
      <c r="G7900" s="65">
        <v>0</v>
      </c>
      <c r="H7900" s="591" t="s">
        <v>280</v>
      </c>
      <c r="I7900" s="589" t="s">
        <v>280</v>
      </c>
    </row>
    <row r="7901" spans="1:9">
      <c r="A7901" s="577"/>
      <c r="B7901" s="65">
        <v>8099</v>
      </c>
      <c r="C7901" s="579" t="s">
        <v>281</v>
      </c>
      <c r="D7901" s="579"/>
      <c r="E7901" s="583"/>
      <c r="F7901" s="596"/>
      <c r="G7901" s="65">
        <v>0</v>
      </c>
      <c r="H7901" s="591" t="s">
        <v>280</v>
      </c>
      <c r="I7901" s="589" t="s">
        <v>280</v>
      </c>
    </row>
    <row r="7902" spans="1:9">
      <c r="A7902" s="577"/>
      <c r="B7902" s="65">
        <v>8100</v>
      </c>
      <c r="C7902" s="579" t="s">
        <v>281</v>
      </c>
      <c r="D7902" s="579"/>
      <c r="E7902" s="583"/>
      <c r="F7902" s="596"/>
      <c r="G7902" s="65">
        <v>0</v>
      </c>
      <c r="H7902" s="591" t="s">
        <v>280</v>
      </c>
      <c r="I7902" s="589" t="s">
        <v>280</v>
      </c>
    </row>
    <row r="7903" spans="1:9">
      <c r="A7903" s="577"/>
      <c r="B7903" s="65">
        <v>8101</v>
      </c>
      <c r="C7903" s="579" t="s">
        <v>281</v>
      </c>
      <c r="D7903" s="579"/>
      <c r="E7903" s="583"/>
      <c r="F7903" s="596"/>
      <c r="G7903" s="65">
        <v>0</v>
      </c>
      <c r="H7903" s="591" t="s">
        <v>280</v>
      </c>
      <c r="I7903" s="589" t="s">
        <v>280</v>
      </c>
    </row>
    <row r="7904" spans="1:9">
      <c r="A7904" s="577"/>
      <c r="B7904" s="65">
        <v>8102</v>
      </c>
      <c r="C7904" s="579" t="s">
        <v>281</v>
      </c>
      <c r="D7904" s="579"/>
      <c r="E7904" s="583"/>
      <c r="F7904" s="596"/>
      <c r="G7904" s="65">
        <v>0</v>
      </c>
      <c r="H7904" s="591" t="s">
        <v>280</v>
      </c>
      <c r="I7904" s="589" t="s">
        <v>280</v>
      </c>
    </row>
    <row r="7905" spans="1:9">
      <c r="A7905" s="577"/>
      <c r="B7905" s="65">
        <v>8103</v>
      </c>
      <c r="C7905" s="579" t="s">
        <v>281</v>
      </c>
      <c r="D7905" s="579"/>
      <c r="E7905" s="583"/>
      <c r="F7905" s="596"/>
      <c r="G7905" s="65">
        <v>0</v>
      </c>
      <c r="H7905" s="591" t="s">
        <v>280</v>
      </c>
      <c r="I7905" s="589" t="s">
        <v>280</v>
      </c>
    </row>
    <row r="7906" spans="1:9">
      <c r="A7906" s="577"/>
      <c r="B7906" s="65">
        <v>8104</v>
      </c>
      <c r="C7906" s="579" t="s">
        <v>281</v>
      </c>
      <c r="D7906" s="579"/>
      <c r="E7906" s="583"/>
      <c r="F7906" s="596"/>
      <c r="G7906" s="65">
        <v>0</v>
      </c>
      <c r="H7906" s="591" t="s">
        <v>280</v>
      </c>
      <c r="I7906" s="589" t="s">
        <v>280</v>
      </c>
    </row>
    <row r="7907" spans="1:9">
      <c r="A7907" s="577"/>
      <c r="B7907" s="65">
        <v>8105</v>
      </c>
      <c r="C7907" s="579" t="s">
        <v>281</v>
      </c>
      <c r="D7907" s="579"/>
      <c r="E7907" s="583"/>
      <c r="F7907" s="596"/>
      <c r="G7907" s="65">
        <v>0</v>
      </c>
      <c r="H7907" s="591" t="s">
        <v>280</v>
      </c>
      <c r="I7907" s="589" t="s">
        <v>280</v>
      </c>
    </row>
    <row r="7908" spans="1:9">
      <c r="A7908" s="577"/>
      <c r="B7908" s="65">
        <v>8106</v>
      </c>
      <c r="C7908" s="579" t="s">
        <v>281</v>
      </c>
      <c r="D7908" s="579"/>
      <c r="E7908" s="583"/>
      <c r="F7908" s="596"/>
      <c r="G7908" s="65">
        <v>0</v>
      </c>
      <c r="H7908" s="591" t="s">
        <v>280</v>
      </c>
      <c r="I7908" s="589" t="s">
        <v>280</v>
      </c>
    </row>
    <row r="7909" spans="1:9">
      <c r="A7909" s="577"/>
      <c r="B7909" s="65">
        <v>8107</v>
      </c>
      <c r="C7909" s="579" t="s">
        <v>281</v>
      </c>
      <c r="D7909" s="579"/>
      <c r="E7909" s="583"/>
      <c r="F7909" s="596"/>
      <c r="G7909" s="65">
        <v>0</v>
      </c>
      <c r="H7909" s="591" t="s">
        <v>280</v>
      </c>
      <c r="I7909" s="589" t="s">
        <v>280</v>
      </c>
    </row>
    <row r="7910" spans="1:9">
      <c r="A7910" s="577"/>
      <c r="B7910" s="65">
        <v>8108</v>
      </c>
      <c r="C7910" s="579" t="s">
        <v>281</v>
      </c>
      <c r="D7910" s="579"/>
      <c r="E7910" s="583"/>
      <c r="F7910" s="596"/>
      <c r="G7910" s="65">
        <v>0</v>
      </c>
      <c r="H7910" s="591" t="s">
        <v>280</v>
      </c>
      <c r="I7910" s="589" t="s">
        <v>280</v>
      </c>
    </row>
    <row r="7911" spans="1:9">
      <c r="A7911" s="577"/>
      <c r="B7911" s="65">
        <v>8109</v>
      </c>
      <c r="C7911" s="579" t="s">
        <v>281</v>
      </c>
      <c r="D7911" s="579"/>
      <c r="E7911" s="583"/>
      <c r="F7911" s="596"/>
      <c r="G7911" s="65">
        <v>0</v>
      </c>
      <c r="H7911" s="591" t="s">
        <v>280</v>
      </c>
      <c r="I7911" s="589" t="s">
        <v>280</v>
      </c>
    </row>
    <row r="7912" spans="1:9">
      <c r="A7912" s="577"/>
      <c r="B7912" s="65">
        <v>8110</v>
      </c>
      <c r="C7912" s="579" t="s">
        <v>281</v>
      </c>
      <c r="D7912" s="579"/>
      <c r="E7912" s="583"/>
      <c r="F7912" s="596"/>
      <c r="G7912" s="65">
        <v>0</v>
      </c>
      <c r="H7912" s="591" t="s">
        <v>280</v>
      </c>
      <c r="I7912" s="589" t="s">
        <v>280</v>
      </c>
    </row>
    <row r="7913" spans="1:9">
      <c r="A7913" s="577"/>
      <c r="B7913" s="65">
        <v>8111</v>
      </c>
      <c r="C7913" s="579" t="s">
        <v>281</v>
      </c>
      <c r="D7913" s="579"/>
      <c r="E7913" s="583"/>
      <c r="F7913" s="596"/>
      <c r="G7913" s="65">
        <v>0</v>
      </c>
      <c r="H7913" s="591" t="s">
        <v>280</v>
      </c>
      <c r="I7913" s="589" t="s">
        <v>280</v>
      </c>
    </row>
    <row r="7914" spans="1:9">
      <c r="A7914" s="577"/>
      <c r="B7914" s="65">
        <v>8112</v>
      </c>
      <c r="C7914" s="579" t="s">
        <v>281</v>
      </c>
      <c r="D7914" s="579"/>
      <c r="E7914" s="583"/>
      <c r="F7914" s="596"/>
      <c r="G7914" s="65">
        <v>0</v>
      </c>
      <c r="H7914" s="591" t="s">
        <v>280</v>
      </c>
      <c r="I7914" s="589" t="s">
        <v>280</v>
      </c>
    </row>
    <row r="7915" spans="1:9">
      <c r="A7915" s="577"/>
      <c r="B7915" s="65">
        <v>8113</v>
      </c>
      <c r="C7915" s="579" t="s">
        <v>281</v>
      </c>
      <c r="D7915" s="579"/>
      <c r="E7915" s="583"/>
      <c r="F7915" s="596"/>
      <c r="G7915" s="65">
        <v>0</v>
      </c>
      <c r="H7915" s="591" t="s">
        <v>280</v>
      </c>
      <c r="I7915" s="589" t="s">
        <v>280</v>
      </c>
    </row>
    <row r="7916" spans="1:9">
      <c r="A7916" s="577"/>
      <c r="B7916" s="65">
        <v>8114</v>
      </c>
      <c r="C7916" s="579" t="s">
        <v>281</v>
      </c>
      <c r="D7916" s="579"/>
      <c r="E7916" s="583"/>
      <c r="F7916" s="596"/>
      <c r="G7916" s="65">
        <v>0</v>
      </c>
      <c r="H7916" s="591" t="s">
        <v>280</v>
      </c>
      <c r="I7916" s="589" t="s">
        <v>280</v>
      </c>
    </row>
    <row r="7917" spans="1:9">
      <c r="A7917" s="577"/>
      <c r="B7917" s="65">
        <v>8115</v>
      </c>
      <c r="C7917" s="579" t="s">
        <v>281</v>
      </c>
      <c r="D7917" s="579"/>
      <c r="E7917" s="583"/>
      <c r="F7917" s="596"/>
      <c r="G7917" s="65">
        <v>0</v>
      </c>
      <c r="H7917" s="591" t="s">
        <v>280</v>
      </c>
      <c r="I7917" s="589" t="s">
        <v>280</v>
      </c>
    </row>
    <row r="7918" spans="1:9">
      <c r="A7918" s="577"/>
      <c r="B7918" s="65">
        <v>8116</v>
      </c>
      <c r="C7918" s="579" t="s">
        <v>281</v>
      </c>
      <c r="D7918" s="579"/>
      <c r="E7918" s="583"/>
      <c r="F7918" s="596"/>
      <c r="G7918" s="65">
        <v>0</v>
      </c>
      <c r="H7918" s="591" t="s">
        <v>280</v>
      </c>
      <c r="I7918" s="589" t="s">
        <v>280</v>
      </c>
    </row>
    <row r="7919" spans="1:9">
      <c r="A7919" s="577"/>
      <c r="B7919" s="65">
        <v>8117</v>
      </c>
      <c r="C7919" s="579" t="s">
        <v>281</v>
      </c>
      <c r="D7919" s="579"/>
      <c r="E7919" s="583"/>
      <c r="F7919" s="596"/>
      <c r="G7919" s="65">
        <v>0</v>
      </c>
      <c r="H7919" s="591" t="s">
        <v>280</v>
      </c>
      <c r="I7919" s="589" t="s">
        <v>280</v>
      </c>
    </row>
    <row r="7920" spans="1:9">
      <c r="A7920" s="577"/>
      <c r="B7920" s="65">
        <v>8118</v>
      </c>
      <c r="C7920" s="579" t="s">
        <v>281</v>
      </c>
      <c r="D7920" s="579"/>
      <c r="E7920" s="583"/>
      <c r="F7920" s="596"/>
      <c r="G7920" s="65">
        <v>0</v>
      </c>
      <c r="H7920" s="591" t="s">
        <v>280</v>
      </c>
      <c r="I7920" s="589" t="s">
        <v>280</v>
      </c>
    </row>
    <row r="7921" spans="1:9">
      <c r="A7921" s="577"/>
      <c r="B7921" s="65">
        <v>8119</v>
      </c>
      <c r="C7921" s="579" t="s">
        <v>281</v>
      </c>
      <c r="D7921" s="579"/>
      <c r="E7921" s="583"/>
      <c r="F7921" s="596"/>
      <c r="G7921" s="65">
        <v>0</v>
      </c>
      <c r="H7921" s="591" t="s">
        <v>280</v>
      </c>
      <c r="I7921" s="589" t="s">
        <v>280</v>
      </c>
    </row>
    <row r="7922" spans="1:9">
      <c r="A7922" s="577"/>
      <c r="B7922" s="65">
        <v>8120</v>
      </c>
      <c r="C7922" s="579" t="s">
        <v>281</v>
      </c>
      <c r="D7922" s="579"/>
      <c r="E7922" s="583"/>
      <c r="F7922" s="596"/>
      <c r="G7922" s="65">
        <v>0</v>
      </c>
      <c r="H7922" s="591" t="s">
        <v>280</v>
      </c>
      <c r="I7922" s="589" t="s">
        <v>280</v>
      </c>
    </row>
    <row r="7923" spans="1:9">
      <c r="A7923" s="577"/>
      <c r="B7923" s="65">
        <v>8121</v>
      </c>
      <c r="C7923" s="579" t="s">
        <v>281</v>
      </c>
      <c r="D7923" s="579"/>
      <c r="E7923" s="583"/>
      <c r="F7923" s="596"/>
      <c r="G7923" s="65">
        <v>0</v>
      </c>
      <c r="H7923" s="591" t="s">
        <v>280</v>
      </c>
      <c r="I7923" s="589" t="s">
        <v>280</v>
      </c>
    </row>
    <row r="7924" spans="1:9">
      <c r="A7924" s="577"/>
      <c r="B7924" s="65">
        <v>8122</v>
      </c>
      <c r="C7924" s="579" t="s">
        <v>281</v>
      </c>
      <c r="D7924" s="579"/>
      <c r="E7924" s="583"/>
      <c r="F7924" s="596"/>
      <c r="G7924" s="65">
        <v>0</v>
      </c>
      <c r="H7924" s="591" t="s">
        <v>280</v>
      </c>
      <c r="I7924" s="589" t="s">
        <v>280</v>
      </c>
    </row>
    <row r="7925" spans="1:9">
      <c r="A7925" s="577"/>
      <c r="B7925" s="65">
        <v>8123</v>
      </c>
      <c r="C7925" s="579" t="s">
        <v>281</v>
      </c>
      <c r="D7925" s="579"/>
      <c r="E7925" s="583"/>
      <c r="F7925" s="596"/>
      <c r="G7925" s="65">
        <v>0</v>
      </c>
      <c r="H7925" s="591" t="s">
        <v>280</v>
      </c>
      <c r="I7925" s="589" t="s">
        <v>280</v>
      </c>
    </row>
    <row r="7926" spans="1:9">
      <c r="A7926" s="577"/>
      <c r="B7926" s="65">
        <v>8124</v>
      </c>
      <c r="C7926" s="579" t="s">
        <v>281</v>
      </c>
      <c r="D7926" s="579"/>
      <c r="E7926" s="583"/>
      <c r="F7926" s="596"/>
      <c r="G7926" s="65">
        <v>0</v>
      </c>
      <c r="H7926" s="591" t="s">
        <v>280</v>
      </c>
      <c r="I7926" s="589" t="s">
        <v>280</v>
      </c>
    </row>
    <row r="7927" spans="1:9">
      <c r="A7927" s="577"/>
      <c r="B7927" s="65">
        <v>8125</v>
      </c>
      <c r="C7927" s="579" t="s">
        <v>281</v>
      </c>
      <c r="D7927" s="579"/>
      <c r="E7927" s="583"/>
      <c r="F7927" s="596"/>
      <c r="G7927" s="65">
        <v>0</v>
      </c>
      <c r="H7927" s="591" t="s">
        <v>280</v>
      </c>
      <c r="I7927" s="589" t="s">
        <v>280</v>
      </c>
    </row>
    <row r="7928" spans="1:9">
      <c r="A7928" s="577"/>
      <c r="B7928" s="65">
        <v>8126</v>
      </c>
      <c r="C7928" s="579" t="s">
        <v>281</v>
      </c>
      <c r="D7928" s="579"/>
      <c r="E7928" s="583"/>
      <c r="F7928" s="596"/>
      <c r="G7928" s="65">
        <v>0</v>
      </c>
      <c r="H7928" s="591" t="s">
        <v>280</v>
      </c>
      <c r="I7928" s="589" t="s">
        <v>280</v>
      </c>
    </row>
    <row r="7929" spans="1:9">
      <c r="A7929" s="577"/>
      <c r="B7929" s="65">
        <v>8127</v>
      </c>
      <c r="C7929" s="579" t="s">
        <v>281</v>
      </c>
      <c r="D7929" s="579"/>
      <c r="E7929" s="583"/>
      <c r="F7929" s="596"/>
      <c r="G7929" s="65">
        <v>0</v>
      </c>
      <c r="H7929" s="591" t="s">
        <v>280</v>
      </c>
      <c r="I7929" s="589" t="s">
        <v>280</v>
      </c>
    </row>
    <row r="7930" spans="1:9">
      <c r="A7930" s="577"/>
      <c r="B7930" s="65">
        <v>8128</v>
      </c>
      <c r="C7930" s="579" t="s">
        <v>281</v>
      </c>
      <c r="D7930" s="579"/>
      <c r="E7930" s="583"/>
      <c r="F7930" s="596"/>
      <c r="G7930" s="65">
        <v>0</v>
      </c>
      <c r="H7930" s="591" t="s">
        <v>280</v>
      </c>
      <c r="I7930" s="589" t="s">
        <v>280</v>
      </c>
    </row>
    <row r="7931" spans="1:9">
      <c r="A7931" s="577"/>
      <c r="B7931" s="65">
        <v>8129</v>
      </c>
      <c r="C7931" s="579" t="s">
        <v>281</v>
      </c>
      <c r="D7931" s="579"/>
      <c r="E7931" s="583"/>
      <c r="F7931" s="596"/>
      <c r="G7931" s="65">
        <v>0</v>
      </c>
      <c r="H7931" s="591" t="s">
        <v>280</v>
      </c>
      <c r="I7931" s="589" t="s">
        <v>280</v>
      </c>
    </row>
    <row r="7932" spans="1:9">
      <c r="A7932" s="577"/>
      <c r="B7932" s="65">
        <v>8130</v>
      </c>
      <c r="C7932" s="579" t="s">
        <v>281</v>
      </c>
      <c r="D7932" s="579"/>
      <c r="E7932" s="583"/>
      <c r="F7932" s="596"/>
      <c r="G7932" s="65">
        <v>0</v>
      </c>
      <c r="H7932" s="591" t="s">
        <v>280</v>
      </c>
      <c r="I7932" s="589" t="s">
        <v>280</v>
      </c>
    </row>
    <row r="7933" spans="1:9">
      <c r="A7933" s="577"/>
      <c r="B7933" s="65">
        <v>8131</v>
      </c>
      <c r="C7933" s="579" t="s">
        <v>281</v>
      </c>
      <c r="D7933" s="579"/>
      <c r="E7933" s="583"/>
      <c r="F7933" s="596"/>
      <c r="G7933" s="65">
        <v>0</v>
      </c>
      <c r="H7933" s="591" t="s">
        <v>280</v>
      </c>
      <c r="I7933" s="589" t="s">
        <v>280</v>
      </c>
    </row>
    <row r="7934" spans="1:9">
      <c r="A7934" s="577"/>
      <c r="B7934" s="65">
        <v>8132</v>
      </c>
      <c r="C7934" s="579" t="s">
        <v>281</v>
      </c>
      <c r="D7934" s="579"/>
      <c r="E7934" s="583"/>
      <c r="F7934" s="596"/>
      <c r="G7934" s="65">
        <v>0</v>
      </c>
      <c r="H7934" s="591" t="s">
        <v>280</v>
      </c>
      <c r="I7934" s="589" t="s">
        <v>280</v>
      </c>
    </row>
    <row r="7935" spans="1:9">
      <c r="A7935" s="577"/>
      <c r="B7935" s="65">
        <v>8133</v>
      </c>
      <c r="C7935" s="579" t="s">
        <v>281</v>
      </c>
      <c r="D7935" s="579"/>
      <c r="E7935" s="583"/>
      <c r="F7935" s="596"/>
      <c r="G7935" s="65">
        <v>0</v>
      </c>
      <c r="H7935" s="591" t="s">
        <v>280</v>
      </c>
      <c r="I7935" s="589" t="s">
        <v>280</v>
      </c>
    </row>
    <row r="7936" spans="1:9">
      <c r="A7936" s="577"/>
      <c r="B7936" s="65">
        <v>8134</v>
      </c>
      <c r="C7936" s="579" t="s">
        <v>281</v>
      </c>
      <c r="D7936" s="579"/>
      <c r="E7936" s="583"/>
      <c r="F7936" s="596"/>
      <c r="G7936" s="65">
        <v>0</v>
      </c>
      <c r="H7936" s="591" t="s">
        <v>280</v>
      </c>
      <c r="I7936" s="589" t="s">
        <v>280</v>
      </c>
    </row>
    <row r="7937" spans="1:9">
      <c r="A7937" s="577"/>
      <c r="B7937" s="65">
        <v>8135</v>
      </c>
      <c r="C7937" s="579" t="s">
        <v>281</v>
      </c>
      <c r="D7937" s="579"/>
      <c r="E7937" s="583"/>
      <c r="F7937" s="596"/>
      <c r="G7937" s="65">
        <v>0</v>
      </c>
      <c r="H7937" s="591" t="s">
        <v>280</v>
      </c>
      <c r="I7937" s="589" t="s">
        <v>280</v>
      </c>
    </row>
    <row r="7938" spans="1:9">
      <c r="A7938" s="577"/>
      <c r="B7938" s="65">
        <v>8136</v>
      </c>
      <c r="C7938" s="579" t="s">
        <v>281</v>
      </c>
      <c r="D7938" s="579"/>
      <c r="E7938" s="583"/>
      <c r="F7938" s="596"/>
      <c r="G7938" s="65">
        <v>0</v>
      </c>
      <c r="H7938" s="591" t="s">
        <v>280</v>
      </c>
      <c r="I7938" s="589" t="s">
        <v>280</v>
      </c>
    </row>
    <row r="7939" spans="1:9">
      <c r="A7939" s="577"/>
      <c r="B7939" s="65">
        <v>8137</v>
      </c>
      <c r="C7939" s="579" t="s">
        <v>281</v>
      </c>
      <c r="D7939" s="579"/>
      <c r="E7939" s="583"/>
      <c r="F7939" s="596"/>
      <c r="G7939" s="65">
        <v>0</v>
      </c>
      <c r="H7939" s="591" t="s">
        <v>280</v>
      </c>
      <c r="I7939" s="589" t="s">
        <v>280</v>
      </c>
    </row>
    <row r="7940" spans="1:9">
      <c r="A7940" s="577"/>
      <c r="B7940" s="65">
        <v>8138</v>
      </c>
      <c r="C7940" s="579" t="s">
        <v>281</v>
      </c>
      <c r="D7940" s="579"/>
      <c r="E7940" s="583"/>
      <c r="F7940" s="596"/>
      <c r="G7940" s="65">
        <v>0</v>
      </c>
      <c r="H7940" s="591" t="s">
        <v>280</v>
      </c>
      <c r="I7940" s="589" t="s">
        <v>280</v>
      </c>
    </row>
    <row r="7941" spans="1:9">
      <c r="A7941" s="577"/>
      <c r="B7941" s="65">
        <v>8139</v>
      </c>
      <c r="C7941" s="579" t="s">
        <v>281</v>
      </c>
      <c r="D7941" s="579"/>
      <c r="E7941" s="583"/>
      <c r="F7941" s="596"/>
      <c r="G7941" s="65">
        <v>0</v>
      </c>
      <c r="H7941" s="591" t="s">
        <v>280</v>
      </c>
      <c r="I7941" s="589" t="s">
        <v>280</v>
      </c>
    </row>
    <row r="7942" spans="1:9">
      <c r="A7942" s="577"/>
      <c r="B7942" s="65">
        <v>8140</v>
      </c>
      <c r="C7942" s="579" t="s">
        <v>281</v>
      </c>
      <c r="D7942" s="579"/>
      <c r="E7942" s="583"/>
      <c r="F7942" s="596"/>
      <c r="G7942" s="65">
        <v>0</v>
      </c>
      <c r="H7942" s="591" t="s">
        <v>280</v>
      </c>
      <c r="I7942" s="589" t="s">
        <v>280</v>
      </c>
    </row>
    <row r="7943" spans="1:9">
      <c r="A7943" s="577"/>
      <c r="B7943" s="65">
        <v>8141</v>
      </c>
      <c r="C7943" s="579" t="s">
        <v>281</v>
      </c>
      <c r="D7943" s="579"/>
      <c r="E7943" s="583"/>
      <c r="F7943" s="596"/>
      <c r="G7943" s="65">
        <v>0</v>
      </c>
      <c r="H7943" s="591" t="s">
        <v>280</v>
      </c>
      <c r="I7943" s="589" t="s">
        <v>280</v>
      </c>
    </row>
    <row r="7944" spans="1:9">
      <c r="A7944" s="577"/>
      <c r="B7944" s="65">
        <v>8142</v>
      </c>
      <c r="C7944" s="579" t="s">
        <v>281</v>
      </c>
      <c r="D7944" s="579"/>
      <c r="E7944" s="583"/>
      <c r="F7944" s="596"/>
      <c r="G7944" s="65">
        <v>0</v>
      </c>
      <c r="H7944" s="591" t="s">
        <v>280</v>
      </c>
      <c r="I7944" s="589" t="s">
        <v>280</v>
      </c>
    </row>
    <row r="7945" spans="1:9">
      <c r="A7945" s="577"/>
      <c r="B7945" s="65">
        <v>8143</v>
      </c>
      <c r="C7945" s="579" t="s">
        <v>281</v>
      </c>
      <c r="D7945" s="579"/>
      <c r="E7945" s="583"/>
      <c r="F7945" s="596"/>
      <c r="G7945" s="65">
        <v>0</v>
      </c>
      <c r="H7945" s="591" t="s">
        <v>280</v>
      </c>
      <c r="I7945" s="589" t="s">
        <v>280</v>
      </c>
    </row>
    <row r="7946" spans="1:9">
      <c r="A7946" s="577"/>
      <c r="B7946" s="65">
        <v>8144</v>
      </c>
      <c r="C7946" s="579" t="s">
        <v>281</v>
      </c>
      <c r="D7946" s="579"/>
      <c r="E7946" s="583"/>
      <c r="F7946" s="596"/>
      <c r="G7946" s="65">
        <v>0</v>
      </c>
      <c r="H7946" s="591" t="s">
        <v>280</v>
      </c>
      <c r="I7946" s="589" t="s">
        <v>280</v>
      </c>
    </row>
    <row r="7947" spans="1:9">
      <c r="A7947" s="577"/>
      <c r="B7947" s="65">
        <v>8145</v>
      </c>
      <c r="C7947" s="579" t="s">
        <v>281</v>
      </c>
      <c r="D7947" s="579"/>
      <c r="E7947" s="583"/>
      <c r="F7947" s="596"/>
      <c r="G7947" s="65">
        <v>0</v>
      </c>
      <c r="H7947" s="591" t="s">
        <v>280</v>
      </c>
      <c r="I7947" s="589" t="s">
        <v>280</v>
      </c>
    </row>
    <row r="7948" spans="1:9">
      <c r="A7948" s="577"/>
      <c r="B7948" s="65">
        <v>8146</v>
      </c>
      <c r="C7948" s="579" t="s">
        <v>281</v>
      </c>
      <c r="D7948" s="579"/>
      <c r="E7948" s="583"/>
      <c r="F7948" s="596"/>
      <c r="G7948" s="65">
        <v>0</v>
      </c>
      <c r="H7948" s="591" t="s">
        <v>280</v>
      </c>
      <c r="I7948" s="589" t="s">
        <v>280</v>
      </c>
    </row>
    <row r="7949" spans="1:9">
      <c r="A7949" s="577"/>
      <c r="B7949" s="65">
        <v>8147</v>
      </c>
      <c r="C7949" s="579" t="s">
        <v>281</v>
      </c>
      <c r="D7949" s="579"/>
      <c r="E7949" s="583"/>
      <c r="F7949" s="596"/>
      <c r="G7949" s="65">
        <v>0</v>
      </c>
      <c r="H7949" s="591" t="s">
        <v>280</v>
      </c>
      <c r="I7949" s="589" t="s">
        <v>280</v>
      </c>
    </row>
    <row r="7950" spans="1:9">
      <c r="A7950" s="577"/>
      <c r="B7950" s="65">
        <v>8148</v>
      </c>
      <c r="C7950" s="579" t="s">
        <v>281</v>
      </c>
      <c r="D7950" s="579"/>
      <c r="E7950" s="583"/>
      <c r="F7950" s="596"/>
      <c r="G7950" s="65">
        <v>0</v>
      </c>
      <c r="H7950" s="591" t="s">
        <v>280</v>
      </c>
      <c r="I7950" s="589" t="s">
        <v>280</v>
      </c>
    </row>
    <row r="7951" spans="1:9">
      <c r="A7951" s="577"/>
      <c r="B7951" s="65">
        <v>8149</v>
      </c>
      <c r="C7951" s="579" t="s">
        <v>281</v>
      </c>
      <c r="D7951" s="579"/>
      <c r="E7951" s="583"/>
      <c r="F7951" s="596"/>
      <c r="G7951" s="65">
        <v>0</v>
      </c>
      <c r="H7951" s="591" t="s">
        <v>280</v>
      </c>
      <c r="I7951" s="589" t="s">
        <v>280</v>
      </c>
    </row>
    <row r="7952" spans="1:9">
      <c r="A7952" s="577"/>
      <c r="B7952" s="65">
        <v>8150</v>
      </c>
      <c r="C7952" s="579" t="s">
        <v>281</v>
      </c>
      <c r="D7952" s="579"/>
      <c r="E7952" s="583"/>
      <c r="F7952" s="596"/>
      <c r="G7952" s="65">
        <v>0</v>
      </c>
      <c r="H7952" s="591" t="s">
        <v>280</v>
      </c>
      <c r="I7952" s="589" t="s">
        <v>280</v>
      </c>
    </row>
    <row r="7953" spans="1:9">
      <c r="A7953" s="577"/>
      <c r="B7953" s="65">
        <v>8151</v>
      </c>
      <c r="C7953" s="579" t="s">
        <v>281</v>
      </c>
      <c r="D7953" s="579"/>
      <c r="E7953" s="583"/>
      <c r="F7953" s="596"/>
      <c r="G7953" s="65">
        <v>0</v>
      </c>
      <c r="H7953" s="591" t="s">
        <v>280</v>
      </c>
      <c r="I7953" s="589" t="s">
        <v>280</v>
      </c>
    </row>
    <row r="7954" spans="1:9">
      <c r="A7954" s="577"/>
      <c r="B7954" s="65">
        <v>8152</v>
      </c>
      <c r="C7954" s="579" t="s">
        <v>281</v>
      </c>
      <c r="D7954" s="579"/>
      <c r="E7954" s="583"/>
      <c r="F7954" s="596"/>
      <c r="G7954" s="65">
        <v>0</v>
      </c>
      <c r="H7954" s="591" t="s">
        <v>280</v>
      </c>
      <c r="I7954" s="589" t="s">
        <v>280</v>
      </c>
    </row>
    <row r="7955" spans="1:9">
      <c r="A7955" s="577"/>
      <c r="B7955" s="65">
        <v>8153</v>
      </c>
      <c r="C7955" s="579" t="s">
        <v>281</v>
      </c>
      <c r="D7955" s="579"/>
      <c r="E7955" s="583"/>
      <c r="F7955" s="596"/>
      <c r="G7955" s="65">
        <v>0</v>
      </c>
      <c r="H7955" s="591" t="s">
        <v>280</v>
      </c>
      <c r="I7955" s="589" t="s">
        <v>280</v>
      </c>
    </row>
    <row r="7956" spans="1:9">
      <c r="A7956" s="577"/>
      <c r="B7956" s="65">
        <v>8154</v>
      </c>
      <c r="C7956" s="579" t="s">
        <v>281</v>
      </c>
      <c r="D7956" s="579"/>
      <c r="E7956" s="583"/>
      <c r="F7956" s="596"/>
      <c r="G7956" s="65">
        <v>0</v>
      </c>
      <c r="H7956" s="591" t="s">
        <v>280</v>
      </c>
      <c r="I7956" s="589" t="s">
        <v>280</v>
      </c>
    </row>
    <row r="7957" spans="1:9">
      <c r="A7957" s="577"/>
      <c r="B7957" s="65">
        <v>8155</v>
      </c>
      <c r="C7957" s="579" t="s">
        <v>281</v>
      </c>
      <c r="D7957" s="579"/>
      <c r="E7957" s="583"/>
      <c r="F7957" s="596"/>
      <c r="G7957" s="65">
        <v>0</v>
      </c>
      <c r="H7957" s="591" t="s">
        <v>280</v>
      </c>
      <c r="I7957" s="589" t="s">
        <v>280</v>
      </c>
    </row>
    <row r="7958" spans="1:9">
      <c r="A7958" s="577"/>
      <c r="B7958" s="65">
        <v>8156</v>
      </c>
      <c r="C7958" s="579" t="s">
        <v>281</v>
      </c>
      <c r="D7958" s="579"/>
      <c r="E7958" s="583"/>
      <c r="F7958" s="596"/>
      <c r="G7958" s="65">
        <v>0</v>
      </c>
      <c r="H7958" s="591" t="s">
        <v>280</v>
      </c>
      <c r="I7958" s="589" t="s">
        <v>280</v>
      </c>
    </row>
    <row r="7959" spans="1:9">
      <c r="A7959" s="577"/>
      <c r="B7959" s="65">
        <v>8157</v>
      </c>
      <c r="C7959" s="579" t="s">
        <v>281</v>
      </c>
      <c r="D7959" s="579"/>
      <c r="E7959" s="583"/>
      <c r="F7959" s="596"/>
      <c r="G7959" s="65">
        <v>0</v>
      </c>
      <c r="H7959" s="591" t="s">
        <v>280</v>
      </c>
      <c r="I7959" s="589" t="s">
        <v>280</v>
      </c>
    </row>
    <row r="7960" spans="1:9">
      <c r="A7960" s="577"/>
      <c r="B7960" s="65">
        <v>8158</v>
      </c>
      <c r="C7960" s="579" t="s">
        <v>281</v>
      </c>
      <c r="D7960" s="579"/>
      <c r="E7960" s="583"/>
      <c r="F7960" s="596"/>
      <c r="G7960" s="65">
        <v>0</v>
      </c>
      <c r="H7960" s="591" t="s">
        <v>280</v>
      </c>
      <c r="I7960" s="589" t="s">
        <v>280</v>
      </c>
    </row>
    <row r="7961" spans="1:9">
      <c r="A7961" s="577"/>
      <c r="B7961" s="65">
        <v>8159</v>
      </c>
      <c r="C7961" s="579" t="s">
        <v>281</v>
      </c>
      <c r="D7961" s="579"/>
      <c r="E7961" s="583"/>
      <c r="F7961" s="596"/>
      <c r="G7961" s="65">
        <v>0</v>
      </c>
      <c r="H7961" s="591" t="s">
        <v>280</v>
      </c>
      <c r="I7961" s="589" t="s">
        <v>280</v>
      </c>
    </row>
    <row r="7962" spans="1:9">
      <c r="A7962" s="577"/>
      <c r="B7962" s="65">
        <v>8160</v>
      </c>
      <c r="C7962" s="579" t="s">
        <v>281</v>
      </c>
      <c r="D7962" s="579"/>
      <c r="E7962" s="583"/>
      <c r="F7962" s="596"/>
      <c r="G7962" s="65">
        <v>0</v>
      </c>
      <c r="H7962" s="591" t="s">
        <v>280</v>
      </c>
      <c r="I7962" s="589" t="s">
        <v>280</v>
      </c>
    </row>
    <row r="7963" spans="1:9">
      <c r="A7963" s="577"/>
      <c r="B7963" s="65">
        <v>8161</v>
      </c>
      <c r="C7963" s="579" t="s">
        <v>281</v>
      </c>
      <c r="D7963" s="579"/>
      <c r="E7963" s="583"/>
      <c r="F7963" s="596"/>
      <c r="G7963" s="65">
        <v>0</v>
      </c>
      <c r="H7963" s="591" t="s">
        <v>280</v>
      </c>
      <c r="I7963" s="589" t="s">
        <v>280</v>
      </c>
    </row>
    <row r="7964" spans="1:9">
      <c r="A7964" s="577"/>
      <c r="B7964" s="65">
        <v>8162</v>
      </c>
      <c r="C7964" s="579" t="s">
        <v>281</v>
      </c>
      <c r="D7964" s="579"/>
      <c r="E7964" s="583"/>
      <c r="F7964" s="596"/>
      <c r="G7964" s="65">
        <v>0</v>
      </c>
      <c r="H7964" s="591" t="s">
        <v>280</v>
      </c>
      <c r="I7964" s="589" t="s">
        <v>280</v>
      </c>
    </row>
    <row r="7965" spans="1:9">
      <c r="A7965" s="577"/>
      <c r="B7965" s="65">
        <v>8163</v>
      </c>
      <c r="C7965" s="579" t="s">
        <v>281</v>
      </c>
      <c r="D7965" s="579"/>
      <c r="E7965" s="583"/>
      <c r="F7965" s="596"/>
      <c r="G7965" s="65">
        <v>0</v>
      </c>
      <c r="H7965" s="591" t="s">
        <v>280</v>
      </c>
      <c r="I7965" s="589" t="s">
        <v>280</v>
      </c>
    </row>
    <row r="7966" spans="1:9">
      <c r="A7966" s="577"/>
      <c r="B7966" s="65">
        <v>8164</v>
      </c>
      <c r="C7966" s="579" t="s">
        <v>281</v>
      </c>
      <c r="D7966" s="579"/>
      <c r="E7966" s="583"/>
      <c r="F7966" s="596"/>
      <c r="G7966" s="65">
        <v>0</v>
      </c>
      <c r="H7966" s="591" t="s">
        <v>280</v>
      </c>
      <c r="I7966" s="589" t="s">
        <v>280</v>
      </c>
    </row>
    <row r="7967" spans="1:9">
      <c r="A7967" s="577"/>
      <c r="B7967" s="65">
        <v>8165</v>
      </c>
      <c r="C7967" s="579" t="s">
        <v>281</v>
      </c>
      <c r="D7967" s="579"/>
      <c r="E7967" s="583"/>
      <c r="F7967" s="596"/>
      <c r="G7967" s="65">
        <v>0</v>
      </c>
      <c r="H7967" s="591" t="s">
        <v>280</v>
      </c>
      <c r="I7967" s="589" t="s">
        <v>280</v>
      </c>
    </row>
    <row r="7968" spans="1:9">
      <c r="A7968" s="577"/>
      <c r="B7968" s="65">
        <v>8166</v>
      </c>
      <c r="C7968" s="579" t="s">
        <v>281</v>
      </c>
      <c r="D7968" s="579"/>
      <c r="E7968" s="583"/>
      <c r="F7968" s="596"/>
      <c r="G7968" s="65">
        <v>0</v>
      </c>
      <c r="H7968" s="591" t="s">
        <v>280</v>
      </c>
      <c r="I7968" s="589" t="s">
        <v>280</v>
      </c>
    </row>
    <row r="7969" spans="1:9">
      <c r="A7969" s="577"/>
      <c r="B7969" s="65">
        <v>8167</v>
      </c>
      <c r="C7969" s="579" t="s">
        <v>281</v>
      </c>
      <c r="D7969" s="579"/>
      <c r="E7969" s="583"/>
      <c r="F7969" s="596"/>
      <c r="G7969" s="65">
        <v>0</v>
      </c>
      <c r="H7969" s="591" t="s">
        <v>280</v>
      </c>
      <c r="I7969" s="589" t="s">
        <v>280</v>
      </c>
    </row>
    <row r="7970" spans="1:9">
      <c r="A7970" s="577"/>
      <c r="B7970" s="65">
        <v>8168</v>
      </c>
      <c r="C7970" s="579" t="s">
        <v>281</v>
      </c>
      <c r="D7970" s="579"/>
      <c r="E7970" s="583"/>
      <c r="F7970" s="596"/>
      <c r="G7970" s="65">
        <v>0</v>
      </c>
      <c r="H7970" s="591" t="s">
        <v>280</v>
      </c>
      <c r="I7970" s="589" t="s">
        <v>280</v>
      </c>
    </row>
    <row r="7971" spans="1:9">
      <c r="A7971" s="577"/>
      <c r="B7971" s="65">
        <v>8169</v>
      </c>
      <c r="C7971" s="579" t="s">
        <v>281</v>
      </c>
      <c r="D7971" s="579"/>
      <c r="E7971" s="583"/>
      <c r="F7971" s="596"/>
      <c r="G7971" s="65">
        <v>0</v>
      </c>
      <c r="H7971" s="591" t="s">
        <v>280</v>
      </c>
      <c r="I7971" s="589" t="s">
        <v>280</v>
      </c>
    </row>
    <row r="7972" spans="1:9">
      <c r="A7972" s="577"/>
      <c r="B7972" s="65">
        <v>8170</v>
      </c>
      <c r="C7972" s="579" t="s">
        <v>281</v>
      </c>
      <c r="D7972" s="579"/>
      <c r="E7972" s="583"/>
      <c r="F7972" s="596"/>
      <c r="G7972" s="65">
        <v>0</v>
      </c>
      <c r="H7972" s="591" t="s">
        <v>280</v>
      </c>
      <c r="I7972" s="589" t="s">
        <v>280</v>
      </c>
    </row>
    <row r="7973" spans="1:9">
      <c r="A7973" s="577"/>
      <c r="B7973" s="65">
        <v>8171</v>
      </c>
      <c r="C7973" s="579" t="s">
        <v>281</v>
      </c>
      <c r="D7973" s="579"/>
      <c r="E7973" s="583"/>
      <c r="F7973" s="596"/>
      <c r="G7973" s="65">
        <v>0</v>
      </c>
      <c r="H7973" s="591" t="s">
        <v>280</v>
      </c>
      <c r="I7973" s="589" t="s">
        <v>280</v>
      </c>
    </row>
    <row r="7974" spans="1:9">
      <c r="A7974" s="577"/>
      <c r="B7974" s="65">
        <v>8172</v>
      </c>
      <c r="C7974" s="579" t="s">
        <v>281</v>
      </c>
      <c r="D7974" s="579"/>
      <c r="E7974" s="583"/>
      <c r="F7974" s="596"/>
      <c r="G7974" s="65">
        <v>0</v>
      </c>
      <c r="H7974" s="591" t="s">
        <v>280</v>
      </c>
      <c r="I7974" s="589" t="s">
        <v>280</v>
      </c>
    </row>
    <row r="7975" spans="1:9">
      <c r="A7975" s="577"/>
      <c r="B7975" s="65">
        <v>8173</v>
      </c>
      <c r="C7975" s="579" t="s">
        <v>281</v>
      </c>
      <c r="D7975" s="579"/>
      <c r="E7975" s="583"/>
      <c r="F7975" s="596"/>
      <c r="G7975" s="65">
        <v>0</v>
      </c>
      <c r="H7975" s="591" t="s">
        <v>280</v>
      </c>
      <c r="I7975" s="589" t="s">
        <v>280</v>
      </c>
    </row>
    <row r="7976" spans="1:9">
      <c r="A7976" s="577"/>
      <c r="B7976" s="65">
        <v>8174</v>
      </c>
      <c r="C7976" s="579" t="s">
        <v>281</v>
      </c>
      <c r="D7976" s="579"/>
      <c r="E7976" s="583"/>
      <c r="F7976" s="596"/>
      <c r="G7976" s="65">
        <v>0</v>
      </c>
      <c r="H7976" s="591" t="s">
        <v>280</v>
      </c>
      <c r="I7976" s="589" t="s">
        <v>280</v>
      </c>
    </row>
    <row r="7977" spans="1:9">
      <c r="A7977" s="577"/>
      <c r="B7977" s="65">
        <v>8175</v>
      </c>
      <c r="C7977" s="579" t="s">
        <v>281</v>
      </c>
      <c r="D7977" s="579"/>
      <c r="E7977" s="583"/>
      <c r="F7977" s="596"/>
      <c r="G7977" s="65">
        <v>0</v>
      </c>
      <c r="H7977" s="591" t="s">
        <v>280</v>
      </c>
      <c r="I7977" s="589" t="s">
        <v>280</v>
      </c>
    </row>
    <row r="7978" spans="1:9">
      <c r="A7978" s="577"/>
      <c r="B7978" s="65">
        <v>8176</v>
      </c>
      <c r="C7978" s="579" t="s">
        <v>281</v>
      </c>
      <c r="D7978" s="579"/>
      <c r="E7978" s="583"/>
      <c r="F7978" s="596"/>
      <c r="G7978" s="65">
        <v>0</v>
      </c>
      <c r="H7978" s="591" t="s">
        <v>280</v>
      </c>
      <c r="I7978" s="589" t="s">
        <v>280</v>
      </c>
    </row>
    <row r="7979" spans="1:9">
      <c r="A7979" s="577"/>
      <c r="B7979" s="65">
        <v>8177</v>
      </c>
      <c r="C7979" s="579" t="s">
        <v>281</v>
      </c>
      <c r="D7979" s="579"/>
      <c r="E7979" s="583"/>
      <c r="F7979" s="596"/>
      <c r="G7979" s="65">
        <v>0</v>
      </c>
      <c r="H7979" s="591" t="s">
        <v>280</v>
      </c>
      <c r="I7979" s="589" t="s">
        <v>280</v>
      </c>
    </row>
    <row r="7980" spans="1:9">
      <c r="A7980" s="577"/>
      <c r="B7980" s="65">
        <v>8178</v>
      </c>
      <c r="C7980" s="579" t="s">
        <v>281</v>
      </c>
      <c r="D7980" s="579"/>
      <c r="E7980" s="583"/>
      <c r="F7980" s="596"/>
      <c r="G7980" s="65">
        <v>0</v>
      </c>
      <c r="H7980" s="591" t="s">
        <v>280</v>
      </c>
      <c r="I7980" s="589" t="s">
        <v>280</v>
      </c>
    </row>
    <row r="7981" spans="1:9">
      <c r="A7981" s="577"/>
      <c r="B7981" s="65">
        <v>8179</v>
      </c>
      <c r="C7981" s="579" t="s">
        <v>281</v>
      </c>
      <c r="D7981" s="579"/>
      <c r="E7981" s="583"/>
      <c r="F7981" s="596"/>
      <c r="G7981" s="65">
        <v>0</v>
      </c>
      <c r="H7981" s="591" t="s">
        <v>280</v>
      </c>
      <c r="I7981" s="589" t="s">
        <v>280</v>
      </c>
    </row>
    <row r="7982" spans="1:9">
      <c r="A7982" s="577"/>
      <c r="B7982" s="65">
        <v>8180</v>
      </c>
      <c r="C7982" s="579" t="s">
        <v>281</v>
      </c>
      <c r="D7982" s="579"/>
      <c r="E7982" s="583"/>
      <c r="F7982" s="596"/>
      <c r="G7982" s="65">
        <v>0</v>
      </c>
      <c r="H7982" s="591" t="s">
        <v>280</v>
      </c>
      <c r="I7982" s="589" t="s">
        <v>280</v>
      </c>
    </row>
    <row r="7983" spans="1:9">
      <c r="A7983" s="577"/>
      <c r="B7983" s="65">
        <v>8181</v>
      </c>
      <c r="C7983" s="579" t="s">
        <v>281</v>
      </c>
      <c r="D7983" s="579"/>
      <c r="E7983" s="583"/>
      <c r="F7983" s="596"/>
      <c r="G7983" s="65">
        <v>0</v>
      </c>
      <c r="H7983" s="591" t="s">
        <v>280</v>
      </c>
      <c r="I7983" s="589" t="s">
        <v>280</v>
      </c>
    </row>
    <row r="7984" spans="1:9">
      <c r="A7984" s="577"/>
      <c r="B7984" s="65">
        <v>8182</v>
      </c>
      <c r="C7984" s="579" t="s">
        <v>281</v>
      </c>
      <c r="D7984" s="579"/>
      <c r="E7984" s="583"/>
      <c r="F7984" s="596"/>
      <c r="G7984" s="65">
        <v>0</v>
      </c>
      <c r="H7984" s="591" t="s">
        <v>280</v>
      </c>
      <c r="I7984" s="589" t="s">
        <v>280</v>
      </c>
    </row>
    <row r="7985" spans="1:9">
      <c r="A7985" s="577"/>
      <c r="B7985" s="65">
        <v>8183</v>
      </c>
      <c r="C7985" s="579" t="s">
        <v>281</v>
      </c>
      <c r="D7985" s="579"/>
      <c r="E7985" s="583"/>
      <c r="F7985" s="596"/>
      <c r="G7985" s="65">
        <v>0</v>
      </c>
      <c r="H7985" s="591" t="s">
        <v>280</v>
      </c>
      <c r="I7985" s="589" t="s">
        <v>280</v>
      </c>
    </row>
    <row r="7986" spans="1:9">
      <c r="A7986" s="577"/>
      <c r="B7986" s="65">
        <v>8184</v>
      </c>
      <c r="C7986" s="579" t="s">
        <v>281</v>
      </c>
      <c r="D7986" s="579"/>
      <c r="E7986" s="583"/>
      <c r="F7986" s="596"/>
      <c r="G7986" s="65">
        <v>0</v>
      </c>
      <c r="H7986" s="591" t="s">
        <v>280</v>
      </c>
      <c r="I7986" s="589" t="s">
        <v>280</v>
      </c>
    </row>
    <row r="7987" spans="1:9">
      <c r="A7987" s="577"/>
      <c r="B7987" s="65">
        <v>8185</v>
      </c>
      <c r="C7987" s="579" t="s">
        <v>281</v>
      </c>
      <c r="D7987" s="579"/>
      <c r="E7987" s="583"/>
      <c r="F7987" s="596"/>
      <c r="G7987" s="65">
        <v>0</v>
      </c>
      <c r="H7987" s="591" t="s">
        <v>280</v>
      </c>
      <c r="I7987" s="589" t="s">
        <v>280</v>
      </c>
    </row>
    <row r="7988" spans="1:9">
      <c r="A7988" s="577"/>
      <c r="B7988" s="65">
        <v>8186</v>
      </c>
      <c r="C7988" s="579" t="s">
        <v>281</v>
      </c>
      <c r="D7988" s="579"/>
      <c r="E7988" s="583"/>
      <c r="F7988" s="596"/>
      <c r="G7988" s="65">
        <v>0</v>
      </c>
      <c r="H7988" s="591" t="s">
        <v>280</v>
      </c>
      <c r="I7988" s="589" t="s">
        <v>280</v>
      </c>
    </row>
    <row r="7989" spans="1:9">
      <c r="A7989" s="577"/>
      <c r="B7989" s="65">
        <v>8187</v>
      </c>
      <c r="C7989" s="579" t="s">
        <v>281</v>
      </c>
      <c r="D7989" s="579"/>
      <c r="E7989" s="583"/>
      <c r="F7989" s="596"/>
      <c r="G7989" s="65">
        <v>0</v>
      </c>
      <c r="H7989" s="591" t="s">
        <v>280</v>
      </c>
      <c r="I7989" s="589" t="s">
        <v>280</v>
      </c>
    </row>
    <row r="7990" spans="1:9">
      <c r="A7990" s="577"/>
      <c r="B7990" s="65">
        <v>8188</v>
      </c>
      <c r="C7990" s="579" t="s">
        <v>281</v>
      </c>
      <c r="D7990" s="579"/>
      <c r="E7990" s="583"/>
      <c r="F7990" s="596"/>
      <c r="G7990" s="65">
        <v>0</v>
      </c>
      <c r="H7990" s="591" t="s">
        <v>280</v>
      </c>
      <c r="I7990" s="589" t="s">
        <v>280</v>
      </c>
    </row>
    <row r="7991" spans="1:9">
      <c r="A7991" s="577"/>
      <c r="B7991" s="65">
        <v>8189</v>
      </c>
      <c r="C7991" s="579" t="s">
        <v>281</v>
      </c>
      <c r="D7991" s="579"/>
      <c r="E7991" s="583"/>
      <c r="F7991" s="596"/>
      <c r="G7991" s="65">
        <v>0</v>
      </c>
      <c r="H7991" s="591" t="s">
        <v>280</v>
      </c>
      <c r="I7991" s="589" t="s">
        <v>280</v>
      </c>
    </row>
    <row r="7992" spans="1:9">
      <c r="A7992" s="577"/>
      <c r="B7992" s="65">
        <v>8190</v>
      </c>
      <c r="C7992" s="579" t="s">
        <v>281</v>
      </c>
      <c r="D7992" s="579"/>
      <c r="E7992" s="583"/>
      <c r="F7992" s="596"/>
      <c r="G7992" s="65">
        <v>0</v>
      </c>
      <c r="H7992" s="591" t="s">
        <v>280</v>
      </c>
      <c r="I7992" s="589" t="s">
        <v>280</v>
      </c>
    </row>
    <row r="7993" spans="1:9">
      <c r="A7993" s="577"/>
      <c r="B7993" s="65">
        <v>8191</v>
      </c>
      <c r="C7993" s="579" t="s">
        <v>281</v>
      </c>
      <c r="D7993" s="579"/>
      <c r="E7993" s="583"/>
      <c r="F7993" s="596"/>
      <c r="G7993" s="65">
        <v>0</v>
      </c>
      <c r="H7993" s="591" t="s">
        <v>280</v>
      </c>
      <c r="I7993" s="589" t="s">
        <v>280</v>
      </c>
    </row>
    <row r="7994" spans="1:9">
      <c r="A7994" s="577"/>
      <c r="B7994" s="65">
        <v>8192</v>
      </c>
      <c r="C7994" s="579" t="s">
        <v>281</v>
      </c>
      <c r="D7994" s="579"/>
      <c r="E7994" s="583"/>
      <c r="F7994" s="596"/>
      <c r="G7994" s="65">
        <v>0</v>
      </c>
      <c r="H7994" s="591" t="s">
        <v>280</v>
      </c>
      <c r="I7994" s="589" t="s">
        <v>280</v>
      </c>
    </row>
    <row r="7995" spans="1:9">
      <c r="A7995" s="577"/>
      <c r="B7995" s="65">
        <v>8193</v>
      </c>
      <c r="C7995" s="579" t="s">
        <v>281</v>
      </c>
      <c r="D7995" s="579"/>
      <c r="E7995" s="583"/>
      <c r="F7995" s="596"/>
      <c r="G7995" s="65">
        <v>0</v>
      </c>
      <c r="H7995" s="591" t="s">
        <v>280</v>
      </c>
      <c r="I7995" s="589" t="s">
        <v>280</v>
      </c>
    </row>
    <row r="7996" spans="1:9">
      <c r="A7996" s="577"/>
      <c r="B7996" s="65">
        <v>8194</v>
      </c>
      <c r="C7996" s="579" t="s">
        <v>281</v>
      </c>
      <c r="D7996" s="579"/>
      <c r="E7996" s="583"/>
      <c r="F7996" s="596"/>
      <c r="G7996" s="65">
        <v>0</v>
      </c>
      <c r="H7996" s="591" t="s">
        <v>280</v>
      </c>
      <c r="I7996" s="589" t="s">
        <v>280</v>
      </c>
    </row>
    <row r="7997" spans="1:9">
      <c r="A7997" s="577"/>
      <c r="B7997" s="65">
        <v>8195</v>
      </c>
      <c r="C7997" s="579" t="s">
        <v>281</v>
      </c>
      <c r="D7997" s="579"/>
      <c r="E7997" s="583"/>
      <c r="F7997" s="596"/>
      <c r="G7997" s="65">
        <v>0</v>
      </c>
      <c r="H7997" s="591" t="s">
        <v>280</v>
      </c>
      <c r="I7997" s="589" t="s">
        <v>280</v>
      </c>
    </row>
    <row r="7998" spans="1:9">
      <c r="A7998" s="577"/>
      <c r="B7998" s="65">
        <v>8196</v>
      </c>
      <c r="C7998" s="579" t="s">
        <v>281</v>
      </c>
      <c r="D7998" s="579"/>
      <c r="E7998" s="583"/>
      <c r="F7998" s="596"/>
      <c r="G7998" s="65">
        <v>0</v>
      </c>
      <c r="H7998" s="591" t="s">
        <v>280</v>
      </c>
      <c r="I7998" s="589" t="s">
        <v>280</v>
      </c>
    </row>
    <row r="7999" spans="1:9">
      <c r="A7999" s="577"/>
      <c r="B7999" s="65">
        <v>8197</v>
      </c>
      <c r="C7999" s="579" t="s">
        <v>281</v>
      </c>
      <c r="D7999" s="579"/>
      <c r="E7999" s="583"/>
      <c r="F7999" s="596"/>
      <c r="G7999" s="65">
        <v>0</v>
      </c>
      <c r="H7999" s="591" t="s">
        <v>280</v>
      </c>
      <c r="I7999" s="589" t="s">
        <v>280</v>
      </c>
    </row>
    <row r="8000" spans="1:9">
      <c r="A8000" s="577"/>
      <c r="B8000" s="65">
        <v>8198</v>
      </c>
      <c r="C8000" s="579" t="s">
        <v>281</v>
      </c>
      <c r="D8000" s="579"/>
      <c r="E8000" s="583"/>
      <c r="F8000" s="596"/>
      <c r="G8000" s="65">
        <v>0</v>
      </c>
      <c r="H8000" s="591" t="s">
        <v>280</v>
      </c>
      <c r="I8000" s="589" t="s">
        <v>280</v>
      </c>
    </row>
    <row r="8001" spans="1:9">
      <c r="A8001" s="577"/>
      <c r="B8001" s="65">
        <v>8199</v>
      </c>
      <c r="C8001" s="579" t="s">
        <v>281</v>
      </c>
      <c r="D8001" s="579"/>
      <c r="E8001" s="583"/>
      <c r="F8001" s="596"/>
      <c r="G8001" s="65">
        <v>0</v>
      </c>
      <c r="H8001" s="591" t="s">
        <v>280</v>
      </c>
      <c r="I8001" s="589" t="s">
        <v>280</v>
      </c>
    </row>
    <row r="8002" spans="1:9">
      <c r="A8002" s="577"/>
      <c r="B8002" s="65">
        <v>8200</v>
      </c>
      <c r="C8002" s="579" t="s">
        <v>281</v>
      </c>
      <c r="D8002" s="579"/>
      <c r="E8002" s="583"/>
      <c r="F8002" s="596"/>
      <c r="G8002" s="65">
        <v>0</v>
      </c>
      <c r="H8002" s="591" t="s">
        <v>280</v>
      </c>
      <c r="I8002" s="589" t="s">
        <v>280</v>
      </c>
    </row>
    <row r="8003" spans="1:9">
      <c r="A8003" s="577"/>
      <c r="B8003" s="65">
        <v>8201</v>
      </c>
      <c r="C8003" s="579" t="s">
        <v>281</v>
      </c>
      <c r="D8003" s="579"/>
      <c r="E8003" s="583"/>
      <c r="F8003" s="596"/>
      <c r="G8003" s="65">
        <v>0</v>
      </c>
      <c r="H8003" s="591" t="s">
        <v>280</v>
      </c>
      <c r="I8003" s="589" t="s">
        <v>280</v>
      </c>
    </row>
    <row r="8004" spans="1:9">
      <c r="A8004" s="577"/>
      <c r="B8004" s="65">
        <v>8202</v>
      </c>
      <c r="C8004" s="579" t="s">
        <v>281</v>
      </c>
      <c r="D8004" s="579"/>
      <c r="E8004" s="583"/>
      <c r="F8004" s="596"/>
      <c r="G8004" s="65">
        <v>0</v>
      </c>
      <c r="H8004" s="591" t="s">
        <v>280</v>
      </c>
      <c r="I8004" s="589" t="s">
        <v>280</v>
      </c>
    </row>
    <row r="8005" spans="1:9">
      <c r="A8005" s="577"/>
      <c r="B8005" s="65">
        <v>8203</v>
      </c>
      <c r="C8005" s="579" t="s">
        <v>281</v>
      </c>
      <c r="D8005" s="579"/>
      <c r="E8005" s="583"/>
      <c r="F8005" s="596"/>
      <c r="G8005" s="65">
        <v>0</v>
      </c>
      <c r="H8005" s="591" t="s">
        <v>280</v>
      </c>
      <c r="I8005" s="589" t="s">
        <v>280</v>
      </c>
    </row>
    <row r="8006" spans="1:9">
      <c r="A8006" s="577"/>
      <c r="B8006" s="65">
        <v>8204</v>
      </c>
      <c r="C8006" s="579" t="s">
        <v>281</v>
      </c>
      <c r="D8006" s="579"/>
      <c r="E8006" s="583"/>
      <c r="F8006" s="596"/>
      <c r="G8006" s="65">
        <v>0</v>
      </c>
      <c r="H8006" s="591" t="s">
        <v>280</v>
      </c>
      <c r="I8006" s="589" t="s">
        <v>280</v>
      </c>
    </row>
    <row r="8007" spans="1:9">
      <c r="A8007" s="577"/>
      <c r="B8007" s="65">
        <v>8205</v>
      </c>
      <c r="C8007" s="579" t="s">
        <v>281</v>
      </c>
      <c r="D8007" s="579"/>
      <c r="E8007" s="583"/>
      <c r="F8007" s="596"/>
      <c r="G8007" s="65">
        <v>0</v>
      </c>
      <c r="H8007" s="591" t="s">
        <v>280</v>
      </c>
      <c r="I8007" s="589" t="s">
        <v>280</v>
      </c>
    </row>
    <row r="8008" spans="1:9">
      <c r="A8008" s="577"/>
      <c r="B8008" s="65">
        <v>8206</v>
      </c>
      <c r="C8008" s="579" t="s">
        <v>281</v>
      </c>
      <c r="D8008" s="579"/>
      <c r="E8008" s="583"/>
      <c r="F8008" s="596"/>
      <c r="G8008" s="65">
        <v>0</v>
      </c>
      <c r="H8008" s="591" t="s">
        <v>280</v>
      </c>
      <c r="I8008" s="589" t="s">
        <v>280</v>
      </c>
    </row>
    <row r="8009" spans="1:9">
      <c r="A8009" s="577"/>
      <c r="B8009" s="65">
        <v>8207</v>
      </c>
      <c r="C8009" s="579" t="s">
        <v>281</v>
      </c>
      <c r="D8009" s="579"/>
      <c r="E8009" s="583"/>
      <c r="F8009" s="596"/>
      <c r="G8009" s="65">
        <v>0</v>
      </c>
      <c r="H8009" s="591" t="s">
        <v>280</v>
      </c>
      <c r="I8009" s="589" t="s">
        <v>280</v>
      </c>
    </row>
    <row r="8010" spans="1:9">
      <c r="A8010" s="577"/>
      <c r="B8010" s="65">
        <v>8208</v>
      </c>
      <c r="C8010" s="579" t="s">
        <v>281</v>
      </c>
      <c r="D8010" s="579"/>
      <c r="E8010" s="583"/>
      <c r="F8010" s="596"/>
      <c r="G8010" s="65">
        <v>0</v>
      </c>
      <c r="H8010" s="591" t="s">
        <v>280</v>
      </c>
      <c r="I8010" s="589" t="s">
        <v>280</v>
      </c>
    </row>
    <row r="8011" spans="1:9">
      <c r="A8011" s="577"/>
      <c r="B8011" s="65">
        <v>8209</v>
      </c>
      <c r="C8011" s="579" t="s">
        <v>281</v>
      </c>
      <c r="D8011" s="579"/>
      <c r="E8011" s="583"/>
      <c r="F8011" s="596"/>
      <c r="G8011" s="65">
        <v>0</v>
      </c>
      <c r="H8011" s="591" t="s">
        <v>280</v>
      </c>
      <c r="I8011" s="589" t="s">
        <v>280</v>
      </c>
    </row>
    <row r="8012" spans="1:9">
      <c r="A8012" s="577"/>
      <c r="B8012" s="65">
        <v>8210</v>
      </c>
      <c r="C8012" s="579" t="s">
        <v>281</v>
      </c>
      <c r="D8012" s="579"/>
      <c r="E8012" s="583"/>
      <c r="F8012" s="596"/>
      <c r="G8012" s="65">
        <v>0</v>
      </c>
      <c r="H8012" s="591" t="s">
        <v>280</v>
      </c>
      <c r="I8012" s="589" t="s">
        <v>280</v>
      </c>
    </row>
    <row r="8013" spans="1:9">
      <c r="A8013" s="577"/>
      <c r="B8013" s="65">
        <v>8211</v>
      </c>
      <c r="C8013" s="579" t="s">
        <v>281</v>
      </c>
      <c r="D8013" s="579"/>
      <c r="E8013" s="583"/>
      <c r="F8013" s="596"/>
      <c r="G8013" s="65">
        <v>0</v>
      </c>
      <c r="H8013" s="591" t="s">
        <v>280</v>
      </c>
      <c r="I8013" s="589" t="s">
        <v>280</v>
      </c>
    </row>
    <row r="8014" spans="1:9">
      <c r="A8014" s="577"/>
      <c r="B8014" s="65">
        <v>8212</v>
      </c>
      <c r="C8014" s="579" t="s">
        <v>281</v>
      </c>
      <c r="D8014" s="579"/>
      <c r="E8014" s="583"/>
      <c r="F8014" s="596"/>
      <c r="G8014" s="65">
        <v>0</v>
      </c>
      <c r="H8014" s="591" t="s">
        <v>280</v>
      </c>
      <c r="I8014" s="589" t="s">
        <v>280</v>
      </c>
    </row>
    <row r="8015" spans="1:9">
      <c r="A8015" s="577"/>
      <c r="B8015" s="65">
        <v>8213</v>
      </c>
      <c r="C8015" s="579" t="s">
        <v>281</v>
      </c>
      <c r="D8015" s="579"/>
      <c r="E8015" s="583"/>
      <c r="F8015" s="596"/>
      <c r="G8015" s="65">
        <v>0</v>
      </c>
      <c r="H8015" s="591" t="s">
        <v>280</v>
      </c>
      <c r="I8015" s="589" t="s">
        <v>280</v>
      </c>
    </row>
    <row r="8016" spans="1:9">
      <c r="A8016" s="577"/>
      <c r="B8016" s="65">
        <v>8214</v>
      </c>
      <c r="C8016" s="579" t="s">
        <v>281</v>
      </c>
      <c r="D8016" s="579"/>
      <c r="E8016" s="583"/>
      <c r="F8016" s="596"/>
      <c r="G8016" s="65">
        <v>0</v>
      </c>
      <c r="H8016" s="591" t="s">
        <v>280</v>
      </c>
      <c r="I8016" s="589" t="s">
        <v>280</v>
      </c>
    </row>
    <row r="8017" spans="1:9">
      <c r="A8017" s="577"/>
      <c r="B8017" s="65">
        <v>8215</v>
      </c>
      <c r="C8017" s="579" t="s">
        <v>281</v>
      </c>
      <c r="D8017" s="579"/>
      <c r="E8017" s="583"/>
      <c r="F8017" s="596"/>
      <c r="G8017" s="65">
        <v>0</v>
      </c>
      <c r="H8017" s="591" t="s">
        <v>280</v>
      </c>
      <c r="I8017" s="589" t="s">
        <v>280</v>
      </c>
    </row>
    <row r="8018" spans="1:9">
      <c r="A8018" s="577"/>
      <c r="B8018" s="65">
        <v>8216</v>
      </c>
      <c r="C8018" s="579" t="s">
        <v>281</v>
      </c>
      <c r="D8018" s="579"/>
      <c r="E8018" s="583"/>
      <c r="F8018" s="596"/>
      <c r="G8018" s="65">
        <v>0</v>
      </c>
      <c r="H8018" s="591" t="s">
        <v>280</v>
      </c>
      <c r="I8018" s="589" t="s">
        <v>280</v>
      </c>
    </row>
    <row r="8019" spans="1:9">
      <c r="A8019" s="577"/>
      <c r="B8019" s="65">
        <v>8217</v>
      </c>
      <c r="C8019" s="579" t="s">
        <v>281</v>
      </c>
      <c r="D8019" s="579"/>
      <c r="E8019" s="583"/>
      <c r="F8019" s="596"/>
      <c r="G8019" s="65">
        <v>0</v>
      </c>
      <c r="H8019" s="591" t="s">
        <v>280</v>
      </c>
      <c r="I8019" s="589" t="s">
        <v>280</v>
      </c>
    </row>
    <row r="8020" spans="1:9">
      <c r="A8020" s="577"/>
      <c r="B8020" s="65">
        <v>8218</v>
      </c>
      <c r="C8020" s="579" t="s">
        <v>281</v>
      </c>
      <c r="D8020" s="579"/>
      <c r="E8020" s="583"/>
      <c r="F8020" s="596"/>
      <c r="G8020" s="65">
        <v>0</v>
      </c>
      <c r="H8020" s="591" t="s">
        <v>280</v>
      </c>
      <c r="I8020" s="589" t="s">
        <v>280</v>
      </c>
    </row>
    <row r="8021" spans="1:9">
      <c r="A8021" s="577"/>
      <c r="B8021" s="65">
        <v>8219</v>
      </c>
      <c r="C8021" s="579" t="s">
        <v>281</v>
      </c>
      <c r="D8021" s="579"/>
      <c r="E8021" s="583"/>
      <c r="F8021" s="596"/>
      <c r="G8021" s="65">
        <v>0</v>
      </c>
      <c r="H8021" s="591" t="s">
        <v>280</v>
      </c>
      <c r="I8021" s="589" t="s">
        <v>280</v>
      </c>
    </row>
    <row r="8022" spans="1:9">
      <c r="A8022" s="577"/>
      <c r="B8022" s="65">
        <v>8220</v>
      </c>
      <c r="C8022" s="579" t="s">
        <v>281</v>
      </c>
      <c r="D8022" s="579"/>
      <c r="E8022" s="583"/>
      <c r="F8022" s="596"/>
      <c r="G8022" s="65">
        <v>0</v>
      </c>
      <c r="H8022" s="591" t="s">
        <v>280</v>
      </c>
      <c r="I8022" s="589" t="s">
        <v>280</v>
      </c>
    </row>
    <row r="8023" spans="1:9">
      <c r="A8023" s="577"/>
      <c r="B8023" s="65">
        <v>8221</v>
      </c>
      <c r="C8023" s="579" t="s">
        <v>281</v>
      </c>
      <c r="D8023" s="579"/>
      <c r="E8023" s="583"/>
      <c r="F8023" s="596"/>
      <c r="G8023" s="65">
        <v>0</v>
      </c>
      <c r="H8023" s="591" t="s">
        <v>280</v>
      </c>
      <c r="I8023" s="589" t="s">
        <v>280</v>
      </c>
    </row>
    <row r="8024" spans="1:9">
      <c r="A8024" s="577"/>
      <c r="B8024" s="65">
        <v>8222</v>
      </c>
      <c r="C8024" s="579" t="s">
        <v>281</v>
      </c>
      <c r="D8024" s="579"/>
      <c r="E8024" s="583"/>
      <c r="F8024" s="596"/>
      <c r="G8024" s="65">
        <v>0</v>
      </c>
      <c r="H8024" s="591" t="s">
        <v>280</v>
      </c>
      <c r="I8024" s="589" t="s">
        <v>280</v>
      </c>
    </row>
    <row r="8025" spans="1:9">
      <c r="A8025" s="577"/>
      <c r="B8025" s="65">
        <v>8223</v>
      </c>
      <c r="C8025" s="579" t="s">
        <v>281</v>
      </c>
      <c r="D8025" s="579"/>
      <c r="E8025" s="583"/>
      <c r="F8025" s="596"/>
      <c r="G8025" s="65">
        <v>0</v>
      </c>
      <c r="H8025" s="591" t="s">
        <v>280</v>
      </c>
      <c r="I8025" s="589" t="s">
        <v>280</v>
      </c>
    </row>
    <row r="8026" spans="1:9">
      <c r="A8026" s="577"/>
      <c r="B8026" s="65">
        <v>8224</v>
      </c>
      <c r="C8026" s="579" t="s">
        <v>281</v>
      </c>
      <c r="D8026" s="579"/>
      <c r="E8026" s="583"/>
      <c r="F8026" s="596"/>
      <c r="G8026" s="65">
        <v>0</v>
      </c>
      <c r="H8026" s="591" t="s">
        <v>280</v>
      </c>
      <c r="I8026" s="589" t="s">
        <v>280</v>
      </c>
    </row>
    <row r="8027" spans="1:9">
      <c r="A8027" s="577"/>
      <c r="B8027" s="65">
        <v>8225</v>
      </c>
      <c r="C8027" s="579" t="s">
        <v>281</v>
      </c>
      <c r="D8027" s="579"/>
      <c r="E8027" s="583"/>
      <c r="F8027" s="596"/>
      <c r="G8027" s="65">
        <v>0</v>
      </c>
      <c r="H8027" s="591" t="s">
        <v>280</v>
      </c>
      <c r="I8027" s="589" t="s">
        <v>280</v>
      </c>
    </row>
    <row r="8028" spans="1:9">
      <c r="A8028" s="577"/>
      <c r="B8028" s="65">
        <v>8226</v>
      </c>
      <c r="C8028" s="579" t="s">
        <v>281</v>
      </c>
      <c r="D8028" s="579"/>
      <c r="E8028" s="583"/>
      <c r="F8028" s="596"/>
      <c r="G8028" s="65">
        <v>0</v>
      </c>
      <c r="H8028" s="591" t="s">
        <v>280</v>
      </c>
      <c r="I8028" s="589" t="s">
        <v>280</v>
      </c>
    </row>
    <row r="8029" spans="1:9">
      <c r="A8029" s="577"/>
      <c r="B8029" s="65">
        <v>8227</v>
      </c>
      <c r="C8029" s="579" t="s">
        <v>281</v>
      </c>
      <c r="D8029" s="579"/>
      <c r="E8029" s="583"/>
      <c r="F8029" s="596"/>
      <c r="G8029" s="65">
        <v>0</v>
      </c>
      <c r="H8029" s="591" t="s">
        <v>280</v>
      </c>
      <c r="I8029" s="589" t="s">
        <v>280</v>
      </c>
    </row>
    <row r="8030" spans="1:9">
      <c r="A8030" s="577"/>
      <c r="B8030" s="65">
        <v>8228</v>
      </c>
      <c r="C8030" s="579" t="s">
        <v>281</v>
      </c>
      <c r="D8030" s="579"/>
      <c r="E8030" s="583"/>
      <c r="F8030" s="596"/>
      <c r="G8030" s="65">
        <v>0</v>
      </c>
      <c r="H8030" s="591" t="s">
        <v>280</v>
      </c>
      <c r="I8030" s="589" t="s">
        <v>280</v>
      </c>
    </row>
    <row r="8031" spans="1:9">
      <c r="A8031" s="577"/>
      <c r="B8031" s="65">
        <v>8229</v>
      </c>
      <c r="C8031" s="579" t="s">
        <v>281</v>
      </c>
      <c r="D8031" s="579"/>
      <c r="E8031" s="583"/>
      <c r="F8031" s="596"/>
      <c r="G8031" s="65">
        <v>0</v>
      </c>
      <c r="H8031" s="591" t="s">
        <v>280</v>
      </c>
      <c r="I8031" s="589" t="s">
        <v>280</v>
      </c>
    </row>
    <row r="8032" spans="1:9">
      <c r="A8032" s="577"/>
      <c r="B8032" s="65">
        <v>8230</v>
      </c>
      <c r="C8032" s="579" t="s">
        <v>281</v>
      </c>
      <c r="D8032" s="579"/>
      <c r="E8032" s="583"/>
      <c r="F8032" s="596"/>
      <c r="G8032" s="65">
        <v>0</v>
      </c>
      <c r="H8032" s="591" t="s">
        <v>280</v>
      </c>
      <c r="I8032" s="589" t="s">
        <v>280</v>
      </c>
    </row>
    <row r="8033" spans="1:9">
      <c r="A8033" s="577"/>
      <c r="B8033" s="65">
        <v>8231</v>
      </c>
      <c r="C8033" s="579" t="s">
        <v>281</v>
      </c>
      <c r="D8033" s="579"/>
      <c r="E8033" s="583"/>
      <c r="F8033" s="596"/>
      <c r="G8033" s="65">
        <v>0</v>
      </c>
      <c r="H8033" s="591" t="s">
        <v>280</v>
      </c>
      <c r="I8033" s="589" t="s">
        <v>280</v>
      </c>
    </row>
    <row r="8034" spans="1:9">
      <c r="A8034" s="577"/>
      <c r="B8034" s="65">
        <v>8232</v>
      </c>
      <c r="C8034" s="579" t="s">
        <v>281</v>
      </c>
      <c r="D8034" s="579"/>
      <c r="E8034" s="583"/>
      <c r="F8034" s="596"/>
      <c r="G8034" s="65">
        <v>0</v>
      </c>
      <c r="H8034" s="591" t="s">
        <v>280</v>
      </c>
      <c r="I8034" s="589" t="s">
        <v>280</v>
      </c>
    </row>
    <row r="8035" spans="1:9">
      <c r="A8035" s="577"/>
      <c r="B8035" s="65">
        <v>8233</v>
      </c>
      <c r="C8035" s="579" t="s">
        <v>281</v>
      </c>
      <c r="D8035" s="579"/>
      <c r="E8035" s="583"/>
      <c r="F8035" s="596"/>
      <c r="G8035" s="65">
        <v>0</v>
      </c>
      <c r="H8035" s="591" t="s">
        <v>280</v>
      </c>
      <c r="I8035" s="589" t="s">
        <v>280</v>
      </c>
    </row>
    <row r="8036" spans="1:9">
      <c r="A8036" s="577"/>
      <c r="B8036" s="65">
        <v>8234</v>
      </c>
      <c r="C8036" s="579" t="s">
        <v>281</v>
      </c>
      <c r="D8036" s="579"/>
      <c r="E8036" s="583"/>
      <c r="F8036" s="596"/>
      <c r="G8036" s="65">
        <v>0</v>
      </c>
      <c r="H8036" s="591" t="s">
        <v>280</v>
      </c>
      <c r="I8036" s="589" t="s">
        <v>280</v>
      </c>
    </row>
    <row r="8037" spans="1:9">
      <c r="A8037" s="577"/>
      <c r="B8037" s="65">
        <v>8235</v>
      </c>
      <c r="C8037" s="579" t="s">
        <v>281</v>
      </c>
      <c r="D8037" s="579"/>
      <c r="E8037" s="583"/>
      <c r="F8037" s="596"/>
      <c r="G8037" s="65">
        <v>0</v>
      </c>
      <c r="H8037" s="591" t="s">
        <v>280</v>
      </c>
      <c r="I8037" s="589" t="s">
        <v>280</v>
      </c>
    </row>
    <row r="8038" spans="1:9">
      <c r="A8038" s="577"/>
      <c r="B8038" s="65">
        <v>8236</v>
      </c>
      <c r="C8038" s="579" t="s">
        <v>281</v>
      </c>
      <c r="D8038" s="579"/>
      <c r="E8038" s="583"/>
      <c r="F8038" s="596"/>
      <c r="G8038" s="65">
        <v>0</v>
      </c>
      <c r="H8038" s="591" t="s">
        <v>280</v>
      </c>
      <c r="I8038" s="589" t="s">
        <v>280</v>
      </c>
    </row>
    <row r="8039" spans="1:9">
      <c r="A8039" s="577"/>
      <c r="B8039" s="65">
        <v>8237</v>
      </c>
      <c r="C8039" s="579" t="s">
        <v>281</v>
      </c>
      <c r="D8039" s="579"/>
      <c r="E8039" s="583"/>
      <c r="F8039" s="596"/>
      <c r="G8039" s="65">
        <v>0</v>
      </c>
      <c r="H8039" s="591" t="s">
        <v>280</v>
      </c>
      <c r="I8039" s="589" t="s">
        <v>280</v>
      </c>
    </row>
    <row r="8040" spans="1:9">
      <c r="A8040" s="577"/>
      <c r="B8040" s="65">
        <v>8238</v>
      </c>
      <c r="C8040" s="579" t="s">
        <v>281</v>
      </c>
      <c r="D8040" s="579"/>
      <c r="E8040" s="583"/>
      <c r="F8040" s="596"/>
      <c r="G8040" s="65">
        <v>0</v>
      </c>
      <c r="H8040" s="591" t="s">
        <v>280</v>
      </c>
      <c r="I8040" s="589" t="s">
        <v>280</v>
      </c>
    </row>
    <row r="8041" spans="1:9">
      <c r="A8041" s="577"/>
      <c r="B8041" s="65">
        <v>8239</v>
      </c>
      <c r="C8041" s="579" t="s">
        <v>281</v>
      </c>
      <c r="D8041" s="579"/>
      <c r="E8041" s="583"/>
      <c r="F8041" s="596"/>
      <c r="G8041" s="65">
        <v>0</v>
      </c>
      <c r="H8041" s="591" t="s">
        <v>280</v>
      </c>
      <c r="I8041" s="589" t="s">
        <v>280</v>
      </c>
    </row>
    <row r="8042" spans="1:9">
      <c r="A8042" s="577"/>
      <c r="B8042" s="65">
        <v>8240</v>
      </c>
      <c r="C8042" s="579" t="s">
        <v>281</v>
      </c>
      <c r="D8042" s="579"/>
      <c r="E8042" s="583"/>
      <c r="F8042" s="596"/>
      <c r="G8042" s="65">
        <v>0</v>
      </c>
      <c r="H8042" s="591" t="s">
        <v>280</v>
      </c>
      <c r="I8042" s="589" t="s">
        <v>280</v>
      </c>
    </row>
    <row r="8043" spans="1:9">
      <c r="A8043" s="577"/>
      <c r="B8043" s="65">
        <v>8241</v>
      </c>
      <c r="C8043" s="579" t="s">
        <v>281</v>
      </c>
      <c r="D8043" s="579"/>
      <c r="E8043" s="583"/>
      <c r="F8043" s="596"/>
      <c r="G8043" s="65">
        <v>0</v>
      </c>
      <c r="H8043" s="591" t="s">
        <v>280</v>
      </c>
      <c r="I8043" s="589" t="s">
        <v>280</v>
      </c>
    </row>
    <row r="8044" spans="1:9">
      <c r="A8044" s="577"/>
      <c r="B8044" s="65">
        <v>8242</v>
      </c>
      <c r="C8044" s="579" t="s">
        <v>281</v>
      </c>
      <c r="D8044" s="579"/>
      <c r="E8044" s="583"/>
      <c r="F8044" s="596"/>
      <c r="G8044" s="65">
        <v>0</v>
      </c>
      <c r="H8044" s="591" t="s">
        <v>280</v>
      </c>
      <c r="I8044" s="589" t="s">
        <v>280</v>
      </c>
    </row>
    <row r="8045" spans="1:9">
      <c r="A8045" s="577"/>
      <c r="B8045" s="65">
        <v>8243</v>
      </c>
      <c r="C8045" s="579" t="s">
        <v>281</v>
      </c>
      <c r="D8045" s="579"/>
      <c r="E8045" s="583"/>
      <c r="F8045" s="596"/>
      <c r="G8045" s="65">
        <v>0</v>
      </c>
      <c r="H8045" s="591" t="s">
        <v>280</v>
      </c>
      <c r="I8045" s="589" t="s">
        <v>280</v>
      </c>
    </row>
    <row r="8046" spans="1:9">
      <c r="A8046" s="577"/>
      <c r="B8046" s="65">
        <v>8244</v>
      </c>
      <c r="C8046" s="579" t="s">
        <v>281</v>
      </c>
      <c r="D8046" s="579"/>
      <c r="E8046" s="583"/>
      <c r="F8046" s="596"/>
      <c r="G8046" s="65">
        <v>0</v>
      </c>
      <c r="H8046" s="591" t="s">
        <v>280</v>
      </c>
      <c r="I8046" s="589" t="s">
        <v>280</v>
      </c>
    </row>
    <row r="8047" spans="1:9">
      <c r="A8047" s="577"/>
      <c r="B8047" s="65">
        <v>8245</v>
      </c>
      <c r="C8047" s="579" t="s">
        <v>281</v>
      </c>
      <c r="D8047" s="579"/>
      <c r="E8047" s="583"/>
      <c r="F8047" s="596"/>
      <c r="G8047" s="65">
        <v>0</v>
      </c>
      <c r="H8047" s="591" t="s">
        <v>280</v>
      </c>
      <c r="I8047" s="589" t="s">
        <v>280</v>
      </c>
    </row>
    <row r="8048" spans="1:9">
      <c r="A8048" s="577"/>
      <c r="B8048" s="65">
        <v>8246</v>
      </c>
      <c r="C8048" s="579" t="s">
        <v>281</v>
      </c>
      <c r="D8048" s="579"/>
      <c r="E8048" s="583"/>
      <c r="F8048" s="596"/>
      <c r="G8048" s="65">
        <v>0</v>
      </c>
      <c r="H8048" s="591" t="s">
        <v>280</v>
      </c>
      <c r="I8048" s="589" t="s">
        <v>280</v>
      </c>
    </row>
    <row r="8049" spans="1:9">
      <c r="A8049" s="577"/>
      <c r="B8049" s="65">
        <v>8247</v>
      </c>
      <c r="C8049" s="579" t="s">
        <v>281</v>
      </c>
      <c r="D8049" s="579"/>
      <c r="E8049" s="583"/>
      <c r="F8049" s="596"/>
      <c r="G8049" s="65">
        <v>0</v>
      </c>
      <c r="H8049" s="591" t="s">
        <v>280</v>
      </c>
      <c r="I8049" s="589" t="s">
        <v>280</v>
      </c>
    </row>
    <row r="8050" spans="1:9">
      <c r="A8050" s="577"/>
      <c r="B8050" s="65">
        <v>8248</v>
      </c>
      <c r="C8050" s="579" t="s">
        <v>281</v>
      </c>
      <c r="D8050" s="579"/>
      <c r="E8050" s="583"/>
      <c r="F8050" s="596"/>
      <c r="G8050" s="65">
        <v>0</v>
      </c>
      <c r="H8050" s="591" t="s">
        <v>280</v>
      </c>
      <c r="I8050" s="589" t="s">
        <v>280</v>
      </c>
    </row>
    <row r="8051" spans="1:9">
      <c r="A8051" s="577"/>
      <c r="B8051" s="65">
        <v>8249</v>
      </c>
      <c r="C8051" s="579" t="s">
        <v>281</v>
      </c>
      <c r="D8051" s="579"/>
      <c r="E8051" s="583"/>
      <c r="F8051" s="596"/>
      <c r="G8051" s="65">
        <v>0</v>
      </c>
      <c r="H8051" s="591" t="s">
        <v>280</v>
      </c>
      <c r="I8051" s="589" t="s">
        <v>280</v>
      </c>
    </row>
    <row r="8052" spans="1:9">
      <c r="A8052" s="577"/>
      <c r="B8052" s="65">
        <v>8250</v>
      </c>
      <c r="C8052" s="579" t="s">
        <v>281</v>
      </c>
      <c r="D8052" s="579"/>
      <c r="E8052" s="583"/>
      <c r="F8052" s="596"/>
      <c r="G8052" s="65">
        <v>0</v>
      </c>
      <c r="H8052" s="591" t="s">
        <v>280</v>
      </c>
      <c r="I8052" s="589" t="s">
        <v>280</v>
      </c>
    </row>
    <row r="8053" spans="1:9">
      <c r="A8053" s="577"/>
      <c r="B8053" s="65">
        <v>8251</v>
      </c>
      <c r="C8053" s="579" t="s">
        <v>281</v>
      </c>
      <c r="D8053" s="579"/>
      <c r="E8053" s="583"/>
      <c r="F8053" s="596"/>
      <c r="G8053" s="65">
        <v>0</v>
      </c>
      <c r="H8053" s="591" t="s">
        <v>280</v>
      </c>
      <c r="I8053" s="589" t="s">
        <v>280</v>
      </c>
    </row>
    <row r="8054" spans="1:9">
      <c r="A8054" s="577"/>
      <c r="B8054" s="65">
        <v>8252</v>
      </c>
      <c r="C8054" s="579" t="s">
        <v>281</v>
      </c>
      <c r="D8054" s="579"/>
      <c r="E8054" s="583"/>
      <c r="F8054" s="596"/>
      <c r="G8054" s="65">
        <v>0</v>
      </c>
      <c r="H8054" s="591" t="s">
        <v>280</v>
      </c>
      <c r="I8054" s="589" t="s">
        <v>280</v>
      </c>
    </row>
    <row r="8055" spans="1:9">
      <c r="A8055" s="577"/>
      <c r="B8055" s="65">
        <v>8253</v>
      </c>
      <c r="C8055" s="579" t="s">
        <v>281</v>
      </c>
      <c r="D8055" s="579"/>
      <c r="E8055" s="583"/>
      <c r="F8055" s="596"/>
      <c r="G8055" s="65">
        <v>0</v>
      </c>
      <c r="H8055" s="591" t="s">
        <v>280</v>
      </c>
      <c r="I8055" s="589" t="s">
        <v>280</v>
      </c>
    </row>
    <row r="8056" spans="1:9">
      <c r="A8056" s="577"/>
      <c r="B8056" s="65">
        <v>8254</v>
      </c>
      <c r="C8056" s="579" t="s">
        <v>281</v>
      </c>
      <c r="D8056" s="579"/>
      <c r="E8056" s="583"/>
      <c r="F8056" s="596"/>
      <c r="G8056" s="65">
        <v>0</v>
      </c>
      <c r="H8056" s="591" t="s">
        <v>280</v>
      </c>
      <c r="I8056" s="589" t="s">
        <v>280</v>
      </c>
    </row>
    <row r="8057" spans="1:9">
      <c r="A8057" s="577"/>
      <c r="B8057" s="65">
        <v>8255</v>
      </c>
      <c r="C8057" s="579" t="s">
        <v>281</v>
      </c>
      <c r="D8057" s="579"/>
      <c r="E8057" s="583"/>
      <c r="F8057" s="596"/>
      <c r="G8057" s="65">
        <v>0</v>
      </c>
      <c r="H8057" s="591" t="s">
        <v>280</v>
      </c>
      <c r="I8057" s="589" t="s">
        <v>280</v>
      </c>
    </row>
    <row r="8058" spans="1:9">
      <c r="A8058" s="577"/>
      <c r="B8058" s="65">
        <v>8256</v>
      </c>
      <c r="C8058" s="579" t="s">
        <v>281</v>
      </c>
      <c r="D8058" s="579"/>
      <c r="E8058" s="583"/>
      <c r="F8058" s="596"/>
      <c r="G8058" s="65">
        <v>0</v>
      </c>
      <c r="H8058" s="591" t="s">
        <v>280</v>
      </c>
      <c r="I8058" s="589" t="s">
        <v>280</v>
      </c>
    </row>
    <row r="8059" spans="1:9">
      <c r="A8059" s="577"/>
      <c r="B8059" s="65">
        <v>8257</v>
      </c>
      <c r="C8059" s="579" t="s">
        <v>281</v>
      </c>
      <c r="D8059" s="579"/>
      <c r="E8059" s="583"/>
      <c r="F8059" s="596"/>
      <c r="G8059" s="65">
        <v>0</v>
      </c>
      <c r="H8059" s="591" t="s">
        <v>280</v>
      </c>
      <c r="I8059" s="589" t="s">
        <v>280</v>
      </c>
    </row>
    <row r="8060" spans="1:9">
      <c r="A8060" s="577"/>
      <c r="B8060" s="65">
        <v>8258</v>
      </c>
      <c r="C8060" s="579" t="s">
        <v>281</v>
      </c>
      <c r="D8060" s="579"/>
      <c r="E8060" s="583"/>
      <c r="F8060" s="596"/>
      <c r="G8060" s="65">
        <v>0</v>
      </c>
      <c r="H8060" s="591" t="s">
        <v>280</v>
      </c>
      <c r="I8060" s="589" t="s">
        <v>280</v>
      </c>
    </row>
    <row r="8061" spans="1:9">
      <c r="A8061" s="577"/>
      <c r="B8061" s="65">
        <v>8259</v>
      </c>
      <c r="C8061" s="579" t="s">
        <v>281</v>
      </c>
      <c r="D8061" s="579"/>
      <c r="E8061" s="583"/>
      <c r="F8061" s="596"/>
      <c r="G8061" s="65">
        <v>0</v>
      </c>
      <c r="H8061" s="591" t="s">
        <v>280</v>
      </c>
      <c r="I8061" s="589" t="s">
        <v>280</v>
      </c>
    </row>
    <row r="8062" spans="1:9">
      <c r="A8062" s="577"/>
      <c r="B8062" s="65">
        <v>8260</v>
      </c>
      <c r="C8062" s="579" t="s">
        <v>281</v>
      </c>
      <c r="D8062" s="579"/>
      <c r="E8062" s="583"/>
      <c r="F8062" s="596"/>
      <c r="G8062" s="65">
        <v>0</v>
      </c>
      <c r="H8062" s="591" t="s">
        <v>280</v>
      </c>
      <c r="I8062" s="589" t="s">
        <v>280</v>
      </c>
    </row>
    <row r="8063" spans="1:9">
      <c r="A8063" s="577"/>
      <c r="B8063" s="65">
        <v>8261</v>
      </c>
      <c r="C8063" s="579" t="s">
        <v>281</v>
      </c>
      <c r="D8063" s="579"/>
      <c r="E8063" s="583"/>
      <c r="F8063" s="596"/>
      <c r="G8063" s="65">
        <v>0</v>
      </c>
      <c r="H8063" s="591" t="s">
        <v>280</v>
      </c>
      <c r="I8063" s="589" t="s">
        <v>280</v>
      </c>
    </row>
    <row r="8064" spans="1:9">
      <c r="A8064" s="577"/>
      <c r="B8064" s="65">
        <v>8262</v>
      </c>
      <c r="C8064" s="579" t="s">
        <v>281</v>
      </c>
      <c r="D8064" s="579"/>
      <c r="E8064" s="583"/>
      <c r="F8064" s="596"/>
      <c r="G8064" s="65">
        <v>0</v>
      </c>
      <c r="H8064" s="591" t="s">
        <v>280</v>
      </c>
      <c r="I8064" s="589" t="s">
        <v>280</v>
      </c>
    </row>
    <row r="8065" spans="1:9">
      <c r="A8065" s="577"/>
      <c r="B8065" s="65">
        <v>8263</v>
      </c>
      <c r="C8065" s="579" t="s">
        <v>281</v>
      </c>
      <c r="D8065" s="579"/>
      <c r="E8065" s="583"/>
      <c r="F8065" s="596"/>
      <c r="G8065" s="65">
        <v>0</v>
      </c>
      <c r="H8065" s="591" t="s">
        <v>280</v>
      </c>
      <c r="I8065" s="589" t="s">
        <v>280</v>
      </c>
    </row>
    <row r="8066" spans="1:9">
      <c r="A8066" s="577"/>
      <c r="B8066" s="65">
        <v>8264</v>
      </c>
      <c r="C8066" s="579" t="s">
        <v>281</v>
      </c>
      <c r="D8066" s="579"/>
      <c r="E8066" s="583"/>
      <c r="F8066" s="596"/>
      <c r="G8066" s="65">
        <v>0</v>
      </c>
      <c r="H8066" s="591" t="s">
        <v>280</v>
      </c>
      <c r="I8066" s="589" t="s">
        <v>280</v>
      </c>
    </row>
    <row r="8067" spans="1:9">
      <c r="A8067" s="577"/>
      <c r="B8067" s="65">
        <v>8265</v>
      </c>
      <c r="C8067" s="579" t="s">
        <v>281</v>
      </c>
      <c r="D8067" s="579"/>
      <c r="E8067" s="583"/>
      <c r="F8067" s="596"/>
      <c r="G8067" s="65">
        <v>0</v>
      </c>
      <c r="H8067" s="591" t="s">
        <v>280</v>
      </c>
      <c r="I8067" s="589" t="s">
        <v>280</v>
      </c>
    </row>
    <row r="8068" spans="1:9">
      <c r="A8068" s="577"/>
      <c r="B8068" s="65">
        <v>8266</v>
      </c>
      <c r="C8068" s="579" t="s">
        <v>281</v>
      </c>
      <c r="D8068" s="579"/>
      <c r="E8068" s="583"/>
      <c r="F8068" s="596"/>
      <c r="G8068" s="65">
        <v>0</v>
      </c>
      <c r="H8068" s="591" t="s">
        <v>280</v>
      </c>
      <c r="I8068" s="589" t="s">
        <v>280</v>
      </c>
    </row>
    <row r="8069" spans="1:9">
      <c r="A8069" s="577"/>
      <c r="B8069" s="65">
        <v>8267</v>
      </c>
      <c r="C8069" s="579" t="s">
        <v>281</v>
      </c>
      <c r="D8069" s="579"/>
      <c r="E8069" s="583"/>
      <c r="F8069" s="596"/>
      <c r="G8069" s="65">
        <v>0</v>
      </c>
      <c r="H8069" s="591" t="s">
        <v>280</v>
      </c>
      <c r="I8069" s="589" t="s">
        <v>280</v>
      </c>
    </row>
    <row r="8070" spans="1:9">
      <c r="A8070" s="577"/>
      <c r="B8070" s="65">
        <v>8268</v>
      </c>
      <c r="C8070" s="579" t="s">
        <v>281</v>
      </c>
      <c r="D8070" s="579"/>
      <c r="E8070" s="583"/>
      <c r="F8070" s="596"/>
      <c r="G8070" s="65">
        <v>0</v>
      </c>
      <c r="H8070" s="591" t="s">
        <v>280</v>
      </c>
      <c r="I8070" s="589" t="s">
        <v>280</v>
      </c>
    </row>
    <row r="8071" spans="1:9">
      <c r="A8071" s="577"/>
      <c r="B8071" s="65">
        <v>8269</v>
      </c>
      <c r="C8071" s="579" t="s">
        <v>281</v>
      </c>
      <c r="D8071" s="579"/>
      <c r="E8071" s="583"/>
      <c r="F8071" s="596"/>
      <c r="G8071" s="65">
        <v>0</v>
      </c>
      <c r="H8071" s="591" t="s">
        <v>280</v>
      </c>
      <c r="I8071" s="589" t="s">
        <v>280</v>
      </c>
    </row>
    <row r="8072" spans="1:9">
      <c r="A8072" s="577"/>
      <c r="B8072" s="65">
        <v>8270</v>
      </c>
      <c r="C8072" s="579" t="s">
        <v>281</v>
      </c>
      <c r="D8072" s="579"/>
      <c r="E8072" s="583"/>
      <c r="F8072" s="596"/>
      <c r="G8072" s="65">
        <v>0</v>
      </c>
      <c r="H8072" s="591" t="s">
        <v>280</v>
      </c>
      <c r="I8072" s="589" t="s">
        <v>280</v>
      </c>
    </row>
    <row r="8073" spans="1:9">
      <c r="A8073" s="577"/>
      <c r="B8073" s="65">
        <v>8271</v>
      </c>
      <c r="C8073" s="579" t="s">
        <v>281</v>
      </c>
      <c r="D8073" s="579"/>
      <c r="E8073" s="583"/>
      <c r="F8073" s="596"/>
      <c r="G8073" s="65">
        <v>0</v>
      </c>
      <c r="H8073" s="591" t="s">
        <v>280</v>
      </c>
      <c r="I8073" s="589" t="s">
        <v>280</v>
      </c>
    </row>
    <row r="8074" spans="1:9">
      <c r="A8074" s="577"/>
      <c r="B8074" s="65">
        <v>8272</v>
      </c>
      <c r="C8074" s="579" t="s">
        <v>281</v>
      </c>
      <c r="D8074" s="579"/>
      <c r="E8074" s="583"/>
      <c r="F8074" s="596"/>
      <c r="G8074" s="65">
        <v>0</v>
      </c>
      <c r="H8074" s="591" t="s">
        <v>280</v>
      </c>
      <c r="I8074" s="589" t="s">
        <v>280</v>
      </c>
    </row>
    <row r="8075" spans="1:9">
      <c r="A8075" s="577"/>
      <c r="B8075" s="65">
        <v>8273</v>
      </c>
      <c r="C8075" s="579" t="s">
        <v>281</v>
      </c>
      <c r="D8075" s="579"/>
      <c r="E8075" s="583"/>
      <c r="F8075" s="596"/>
      <c r="G8075" s="65">
        <v>0</v>
      </c>
      <c r="H8075" s="591" t="s">
        <v>280</v>
      </c>
      <c r="I8075" s="589" t="s">
        <v>280</v>
      </c>
    </row>
    <row r="8076" spans="1:9">
      <c r="A8076" s="577"/>
      <c r="B8076" s="65">
        <v>8274</v>
      </c>
      <c r="C8076" s="579" t="s">
        <v>281</v>
      </c>
      <c r="D8076" s="579"/>
      <c r="E8076" s="583"/>
      <c r="F8076" s="596"/>
      <c r="G8076" s="65">
        <v>0</v>
      </c>
      <c r="H8076" s="591" t="s">
        <v>280</v>
      </c>
      <c r="I8076" s="589" t="s">
        <v>280</v>
      </c>
    </row>
    <row r="8077" spans="1:9">
      <c r="A8077" s="577"/>
      <c r="B8077" s="65">
        <v>8275</v>
      </c>
      <c r="C8077" s="579" t="s">
        <v>281</v>
      </c>
      <c r="D8077" s="579"/>
      <c r="E8077" s="583"/>
      <c r="F8077" s="596"/>
      <c r="G8077" s="65">
        <v>0</v>
      </c>
      <c r="H8077" s="591" t="s">
        <v>280</v>
      </c>
      <c r="I8077" s="589" t="s">
        <v>280</v>
      </c>
    </row>
    <row r="8078" spans="1:9">
      <c r="A8078" s="577"/>
      <c r="B8078" s="65">
        <v>8276</v>
      </c>
      <c r="C8078" s="579" t="s">
        <v>281</v>
      </c>
      <c r="D8078" s="579"/>
      <c r="E8078" s="583"/>
      <c r="F8078" s="596"/>
      <c r="G8078" s="65">
        <v>0</v>
      </c>
      <c r="H8078" s="591" t="s">
        <v>280</v>
      </c>
      <c r="I8078" s="589" t="s">
        <v>280</v>
      </c>
    </row>
    <row r="8079" spans="1:9">
      <c r="A8079" s="577"/>
      <c r="B8079" s="65">
        <v>8277</v>
      </c>
      <c r="C8079" s="579" t="s">
        <v>281</v>
      </c>
      <c r="D8079" s="579"/>
      <c r="E8079" s="583"/>
      <c r="F8079" s="596"/>
      <c r="G8079" s="65">
        <v>0</v>
      </c>
      <c r="H8079" s="591" t="s">
        <v>280</v>
      </c>
      <c r="I8079" s="589" t="s">
        <v>280</v>
      </c>
    </row>
    <row r="8080" spans="1:9">
      <c r="A8080" s="577"/>
      <c r="B8080" s="65">
        <v>8278</v>
      </c>
      <c r="C8080" s="579" t="s">
        <v>281</v>
      </c>
      <c r="D8080" s="579"/>
      <c r="E8080" s="583"/>
      <c r="F8080" s="596"/>
      <c r="G8080" s="65">
        <v>0</v>
      </c>
      <c r="H8080" s="591" t="s">
        <v>280</v>
      </c>
      <c r="I8080" s="589" t="s">
        <v>280</v>
      </c>
    </row>
    <row r="8081" spans="1:9">
      <c r="A8081" s="577"/>
      <c r="B8081" s="65">
        <v>8279</v>
      </c>
      <c r="C8081" s="579" t="s">
        <v>281</v>
      </c>
      <c r="D8081" s="579"/>
      <c r="E8081" s="583"/>
      <c r="F8081" s="596"/>
      <c r="G8081" s="65">
        <v>0</v>
      </c>
      <c r="H8081" s="591" t="s">
        <v>280</v>
      </c>
      <c r="I8081" s="589" t="s">
        <v>280</v>
      </c>
    </row>
    <row r="8082" spans="1:9">
      <c r="A8082" s="577"/>
      <c r="B8082" s="65">
        <v>8280</v>
      </c>
      <c r="C8082" s="579" t="s">
        <v>281</v>
      </c>
      <c r="D8082" s="579"/>
      <c r="E8082" s="583"/>
      <c r="F8082" s="596"/>
      <c r="G8082" s="65">
        <v>0</v>
      </c>
      <c r="H8082" s="591" t="s">
        <v>280</v>
      </c>
      <c r="I8082" s="589" t="s">
        <v>280</v>
      </c>
    </row>
    <row r="8083" spans="1:9">
      <c r="A8083" s="577"/>
      <c r="B8083" s="65">
        <v>8281</v>
      </c>
      <c r="C8083" s="579" t="s">
        <v>281</v>
      </c>
      <c r="D8083" s="579"/>
      <c r="E8083" s="583"/>
      <c r="F8083" s="596"/>
      <c r="G8083" s="65">
        <v>0</v>
      </c>
      <c r="H8083" s="591" t="s">
        <v>280</v>
      </c>
      <c r="I8083" s="589" t="s">
        <v>280</v>
      </c>
    </row>
    <row r="8084" spans="1:9">
      <c r="A8084" s="577"/>
      <c r="B8084" s="65">
        <v>8282</v>
      </c>
      <c r="C8084" s="579" t="s">
        <v>281</v>
      </c>
      <c r="D8084" s="579"/>
      <c r="E8084" s="583"/>
      <c r="F8084" s="596"/>
      <c r="G8084" s="65">
        <v>0</v>
      </c>
      <c r="H8084" s="591" t="s">
        <v>280</v>
      </c>
      <c r="I8084" s="589" t="s">
        <v>280</v>
      </c>
    </row>
    <row r="8085" spans="1:9">
      <c r="A8085" s="577"/>
      <c r="B8085" s="65">
        <v>8283</v>
      </c>
      <c r="C8085" s="579" t="s">
        <v>281</v>
      </c>
      <c r="D8085" s="579"/>
      <c r="E8085" s="583"/>
      <c r="F8085" s="596"/>
      <c r="G8085" s="65">
        <v>0</v>
      </c>
      <c r="H8085" s="591" t="s">
        <v>280</v>
      </c>
      <c r="I8085" s="589" t="s">
        <v>280</v>
      </c>
    </row>
    <row r="8086" spans="1:9">
      <c r="A8086" s="577"/>
      <c r="B8086" s="65">
        <v>8284</v>
      </c>
      <c r="C8086" s="579" t="s">
        <v>281</v>
      </c>
      <c r="D8086" s="579"/>
      <c r="E8086" s="583"/>
      <c r="F8086" s="596"/>
      <c r="G8086" s="65">
        <v>0</v>
      </c>
      <c r="H8086" s="591" t="s">
        <v>280</v>
      </c>
      <c r="I8086" s="589" t="s">
        <v>280</v>
      </c>
    </row>
    <row r="8087" spans="1:9">
      <c r="A8087" s="577"/>
      <c r="B8087" s="65">
        <v>8285</v>
      </c>
      <c r="C8087" s="579" t="s">
        <v>281</v>
      </c>
      <c r="D8087" s="579"/>
      <c r="E8087" s="583"/>
      <c r="F8087" s="596"/>
      <c r="G8087" s="65">
        <v>0</v>
      </c>
      <c r="H8087" s="591" t="s">
        <v>280</v>
      </c>
      <c r="I8087" s="589" t="s">
        <v>280</v>
      </c>
    </row>
    <row r="8088" spans="1:9">
      <c r="A8088" s="577"/>
      <c r="B8088" s="65">
        <v>8286</v>
      </c>
      <c r="C8088" s="579" t="s">
        <v>281</v>
      </c>
      <c r="D8088" s="579"/>
      <c r="E8088" s="583"/>
      <c r="F8088" s="596"/>
      <c r="G8088" s="65">
        <v>0</v>
      </c>
      <c r="H8088" s="591" t="s">
        <v>280</v>
      </c>
      <c r="I8088" s="589" t="s">
        <v>280</v>
      </c>
    </row>
    <row r="8089" spans="1:9">
      <c r="A8089" s="577"/>
      <c r="B8089" s="65">
        <v>8287</v>
      </c>
      <c r="C8089" s="579" t="s">
        <v>281</v>
      </c>
      <c r="D8089" s="579"/>
      <c r="E8089" s="583"/>
      <c r="F8089" s="596"/>
      <c r="G8089" s="65">
        <v>0</v>
      </c>
      <c r="H8089" s="591" t="s">
        <v>280</v>
      </c>
      <c r="I8089" s="589" t="s">
        <v>280</v>
      </c>
    </row>
    <row r="8090" spans="1:9">
      <c r="A8090" s="577"/>
      <c r="B8090" s="65">
        <v>8288</v>
      </c>
      <c r="C8090" s="579" t="s">
        <v>281</v>
      </c>
      <c r="D8090" s="579"/>
      <c r="E8090" s="583"/>
      <c r="F8090" s="596"/>
      <c r="G8090" s="65">
        <v>0</v>
      </c>
      <c r="H8090" s="591" t="s">
        <v>280</v>
      </c>
      <c r="I8090" s="589" t="s">
        <v>280</v>
      </c>
    </row>
    <row r="8091" spans="1:9">
      <c r="A8091" s="577"/>
      <c r="B8091" s="65">
        <v>8289</v>
      </c>
      <c r="C8091" s="579" t="s">
        <v>281</v>
      </c>
      <c r="D8091" s="579"/>
      <c r="E8091" s="583"/>
      <c r="F8091" s="596"/>
      <c r="G8091" s="65">
        <v>0</v>
      </c>
      <c r="H8091" s="591" t="s">
        <v>280</v>
      </c>
      <c r="I8091" s="589" t="s">
        <v>280</v>
      </c>
    </row>
    <row r="8092" spans="1:9">
      <c r="A8092" s="577"/>
      <c r="B8092" s="65">
        <v>8290</v>
      </c>
      <c r="C8092" s="579" t="s">
        <v>281</v>
      </c>
      <c r="D8092" s="579"/>
      <c r="E8092" s="583"/>
      <c r="F8092" s="596"/>
      <c r="G8092" s="65">
        <v>0</v>
      </c>
      <c r="H8092" s="591" t="s">
        <v>280</v>
      </c>
      <c r="I8092" s="589" t="s">
        <v>280</v>
      </c>
    </row>
    <row r="8093" spans="1:9">
      <c r="A8093" s="577"/>
      <c r="B8093" s="65">
        <v>8291</v>
      </c>
      <c r="C8093" s="579" t="s">
        <v>281</v>
      </c>
      <c r="D8093" s="579"/>
      <c r="E8093" s="583"/>
      <c r="F8093" s="596"/>
      <c r="G8093" s="65">
        <v>0</v>
      </c>
      <c r="H8093" s="591" t="s">
        <v>280</v>
      </c>
      <c r="I8093" s="589" t="s">
        <v>280</v>
      </c>
    </row>
    <row r="8094" spans="1:9">
      <c r="A8094" s="577"/>
      <c r="B8094" s="65">
        <v>8292</v>
      </c>
      <c r="C8094" s="579" t="s">
        <v>281</v>
      </c>
      <c r="D8094" s="579"/>
      <c r="E8094" s="583"/>
      <c r="F8094" s="596"/>
      <c r="G8094" s="65">
        <v>0</v>
      </c>
      <c r="H8094" s="591" t="s">
        <v>280</v>
      </c>
      <c r="I8094" s="589" t="s">
        <v>280</v>
      </c>
    </row>
    <row r="8095" spans="1:9">
      <c r="A8095" s="577"/>
      <c r="B8095" s="65">
        <v>8293</v>
      </c>
      <c r="C8095" s="579" t="s">
        <v>281</v>
      </c>
      <c r="D8095" s="579"/>
      <c r="E8095" s="583"/>
      <c r="F8095" s="596"/>
      <c r="G8095" s="65">
        <v>0</v>
      </c>
      <c r="H8095" s="591" t="s">
        <v>280</v>
      </c>
      <c r="I8095" s="589" t="s">
        <v>280</v>
      </c>
    </row>
    <row r="8096" spans="1:9">
      <c r="A8096" s="577"/>
      <c r="B8096" s="65">
        <v>8294</v>
      </c>
      <c r="C8096" s="579" t="s">
        <v>281</v>
      </c>
      <c r="D8096" s="579"/>
      <c r="E8096" s="583"/>
      <c r="F8096" s="596"/>
      <c r="G8096" s="65">
        <v>0</v>
      </c>
      <c r="H8096" s="591" t="s">
        <v>280</v>
      </c>
      <c r="I8096" s="589" t="s">
        <v>280</v>
      </c>
    </row>
    <row r="8097" spans="1:9">
      <c r="A8097" s="577"/>
      <c r="B8097" s="65">
        <v>8295</v>
      </c>
      <c r="C8097" s="579" t="s">
        <v>281</v>
      </c>
      <c r="D8097" s="579"/>
      <c r="E8097" s="583"/>
      <c r="F8097" s="596"/>
      <c r="G8097" s="65">
        <v>0</v>
      </c>
      <c r="H8097" s="591" t="s">
        <v>280</v>
      </c>
      <c r="I8097" s="589" t="s">
        <v>280</v>
      </c>
    </row>
    <row r="8098" spans="1:9">
      <c r="A8098" s="577"/>
      <c r="B8098" s="65">
        <v>8296</v>
      </c>
      <c r="C8098" s="579" t="s">
        <v>281</v>
      </c>
      <c r="D8098" s="579"/>
      <c r="E8098" s="583"/>
      <c r="F8098" s="596"/>
      <c r="G8098" s="65">
        <v>0</v>
      </c>
      <c r="H8098" s="591" t="s">
        <v>280</v>
      </c>
      <c r="I8098" s="589" t="s">
        <v>280</v>
      </c>
    </row>
    <row r="8099" spans="1:9">
      <c r="A8099" s="577"/>
      <c r="B8099" s="65">
        <v>8297</v>
      </c>
      <c r="C8099" s="579" t="s">
        <v>281</v>
      </c>
      <c r="D8099" s="579"/>
      <c r="E8099" s="583"/>
      <c r="F8099" s="596"/>
      <c r="G8099" s="65">
        <v>0</v>
      </c>
      <c r="H8099" s="591" t="s">
        <v>280</v>
      </c>
      <c r="I8099" s="589" t="s">
        <v>280</v>
      </c>
    </row>
    <row r="8100" spans="1:9">
      <c r="A8100" s="577"/>
      <c r="B8100" s="65">
        <v>8298</v>
      </c>
      <c r="C8100" s="579" t="s">
        <v>281</v>
      </c>
      <c r="D8100" s="579"/>
      <c r="E8100" s="583"/>
      <c r="F8100" s="596"/>
      <c r="G8100" s="65">
        <v>0</v>
      </c>
      <c r="H8100" s="591" t="s">
        <v>280</v>
      </c>
      <c r="I8100" s="589" t="s">
        <v>280</v>
      </c>
    </row>
    <row r="8101" spans="1:9">
      <c r="A8101" s="577"/>
      <c r="B8101" s="65">
        <v>8299</v>
      </c>
      <c r="C8101" s="579" t="s">
        <v>281</v>
      </c>
      <c r="D8101" s="579"/>
      <c r="E8101" s="583"/>
      <c r="F8101" s="596"/>
      <c r="G8101" s="65">
        <v>0</v>
      </c>
      <c r="H8101" s="591" t="s">
        <v>280</v>
      </c>
      <c r="I8101" s="589" t="s">
        <v>280</v>
      </c>
    </row>
    <row r="8102" spans="1:9">
      <c r="A8102" s="577"/>
      <c r="B8102" s="65">
        <v>8300</v>
      </c>
      <c r="C8102" s="579" t="s">
        <v>281</v>
      </c>
      <c r="D8102" s="579"/>
      <c r="E8102" s="583"/>
      <c r="F8102" s="596"/>
      <c r="G8102" s="65">
        <v>0</v>
      </c>
      <c r="H8102" s="591" t="s">
        <v>280</v>
      </c>
      <c r="I8102" s="589" t="s">
        <v>280</v>
      </c>
    </row>
    <row r="8103" spans="1:9">
      <c r="A8103" s="577"/>
      <c r="B8103" s="65">
        <v>8301</v>
      </c>
      <c r="C8103" s="579" t="s">
        <v>281</v>
      </c>
      <c r="D8103" s="579"/>
      <c r="E8103" s="583"/>
      <c r="F8103" s="596"/>
      <c r="G8103" s="65">
        <v>0</v>
      </c>
      <c r="H8103" s="591" t="s">
        <v>280</v>
      </c>
      <c r="I8103" s="589" t="s">
        <v>280</v>
      </c>
    </row>
    <row r="8104" spans="1:9">
      <c r="A8104" s="577"/>
      <c r="B8104" s="65">
        <v>8302</v>
      </c>
      <c r="C8104" s="579" t="s">
        <v>281</v>
      </c>
      <c r="D8104" s="579"/>
      <c r="E8104" s="583"/>
      <c r="F8104" s="596"/>
      <c r="G8104" s="65">
        <v>0</v>
      </c>
      <c r="H8104" s="591" t="s">
        <v>280</v>
      </c>
      <c r="I8104" s="589" t="s">
        <v>280</v>
      </c>
    </row>
    <row r="8105" spans="1:9">
      <c r="A8105" s="577"/>
      <c r="B8105" s="65">
        <v>8303</v>
      </c>
      <c r="C8105" s="579" t="s">
        <v>281</v>
      </c>
      <c r="D8105" s="579"/>
      <c r="E8105" s="583"/>
      <c r="F8105" s="596"/>
      <c r="G8105" s="65">
        <v>0</v>
      </c>
      <c r="H8105" s="591" t="s">
        <v>280</v>
      </c>
      <c r="I8105" s="589" t="s">
        <v>280</v>
      </c>
    </row>
    <row r="8106" spans="1:9">
      <c r="A8106" s="577"/>
      <c r="B8106" s="65">
        <v>8304</v>
      </c>
      <c r="C8106" s="579" t="s">
        <v>281</v>
      </c>
      <c r="D8106" s="579"/>
      <c r="E8106" s="583"/>
      <c r="F8106" s="596"/>
      <c r="G8106" s="65">
        <v>0</v>
      </c>
      <c r="H8106" s="591" t="s">
        <v>280</v>
      </c>
      <c r="I8106" s="589" t="s">
        <v>280</v>
      </c>
    </row>
    <row r="8107" spans="1:9">
      <c r="A8107" s="577"/>
      <c r="B8107" s="65">
        <v>8305</v>
      </c>
      <c r="C8107" s="579" t="s">
        <v>281</v>
      </c>
      <c r="D8107" s="579"/>
      <c r="E8107" s="583"/>
      <c r="F8107" s="596"/>
      <c r="G8107" s="65">
        <v>0</v>
      </c>
      <c r="H8107" s="591" t="s">
        <v>280</v>
      </c>
      <c r="I8107" s="589" t="s">
        <v>280</v>
      </c>
    </row>
    <row r="8108" spans="1:9">
      <c r="A8108" s="577"/>
      <c r="B8108" s="65">
        <v>8306</v>
      </c>
      <c r="C8108" s="579" t="s">
        <v>281</v>
      </c>
      <c r="D8108" s="579"/>
      <c r="E8108" s="583"/>
      <c r="F8108" s="596"/>
      <c r="G8108" s="65">
        <v>0</v>
      </c>
      <c r="H8108" s="591" t="s">
        <v>280</v>
      </c>
      <c r="I8108" s="589" t="s">
        <v>280</v>
      </c>
    </row>
    <row r="8109" spans="1:9">
      <c r="A8109" s="577"/>
      <c r="B8109" s="65">
        <v>8307</v>
      </c>
      <c r="C8109" s="579" t="s">
        <v>281</v>
      </c>
      <c r="D8109" s="579"/>
      <c r="E8109" s="583"/>
      <c r="F8109" s="596"/>
      <c r="G8109" s="65">
        <v>0</v>
      </c>
      <c r="H8109" s="591" t="s">
        <v>280</v>
      </c>
      <c r="I8109" s="589" t="s">
        <v>280</v>
      </c>
    </row>
    <row r="8110" spans="1:9">
      <c r="A8110" s="577"/>
      <c r="B8110" s="65">
        <v>8308</v>
      </c>
      <c r="C8110" s="579" t="s">
        <v>281</v>
      </c>
      <c r="D8110" s="579"/>
      <c r="E8110" s="583"/>
      <c r="F8110" s="596"/>
      <c r="G8110" s="65">
        <v>0</v>
      </c>
      <c r="H8110" s="591" t="s">
        <v>280</v>
      </c>
      <c r="I8110" s="589" t="s">
        <v>280</v>
      </c>
    </row>
    <row r="8111" spans="1:9">
      <c r="A8111" s="577"/>
      <c r="B8111" s="65">
        <v>8309</v>
      </c>
      <c r="C8111" s="579" t="s">
        <v>281</v>
      </c>
      <c r="D8111" s="579"/>
      <c r="E8111" s="583"/>
      <c r="F8111" s="596"/>
      <c r="G8111" s="65">
        <v>0</v>
      </c>
      <c r="H8111" s="591" t="s">
        <v>280</v>
      </c>
      <c r="I8111" s="589" t="s">
        <v>280</v>
      </c>
    </row>
    <row r="8112" spans="1:9">
      <c r="A8112" s="577"/>
      <c r="B8112" s="65">
        <v>8310</v>
      </c>
      <c r="C8112" s="579" t="s">
        <v>281</v>
      </c>
      <c r="D8112" s="579"/>
      <c r="E8112" s="583"/>
      <c r="F8112" s="596"/>
      <c r="G8112" s="65">
        <v>0</v>
      </c>
      <c r="H8112" s="591" t="s">
        <v>280</v>
      </c>
      <c r="I8112" s="589" t="s">
        <v>280</v>
      </c>
    </row>
    <row r="8113" spans="1:9">
      <c r="A8113" s="577"/>
      <c r="B8113" s="65">
        <v>8311</v>
      </c>
      <c r="C8113" s="579" t="s">
        <v>281</v>
      </c>
      <c r="D8113" s="579"/>
      <c r="E8113" s="583"/>
      <c r="F8113" s="596"/>
      <c r="G8113" s="65">
        <v>0</v>
      </c>
      <c r="H8113" s="591" t="s">
        <v>280</v>
      </c>
      <c r="I8113" s="589" t="s">
        <v>280</v>
      </c>
    </row>
    <row r="8114" spans="1:9">
      <c r="A8114" s="577"/>
      <c r="B8114" s="65">
        <v>8312</v>
      </c>
      <c r="C8114" s="579" t="s">
        <v>281</v>
      </c>
      <c r="D8114" s="579"/>
      <c r="E8114" s="583"/>
      <c r="F8114" s="596"/>
      <c r="G8114" s="65">
        <v>0</v>
      </c>
      <c r="H8114" s="591" t="s">
        <v>280</v>
      </c>
      <c r="I8114" s="589" t="s">
        <v>280</v>
      </c>
    </row>
    <row r="8115" spans="1:9">
      <c r="A8115" s="577"/>
      <c r="B8115" s="65">
        <v>8313</v>
      </c>
      <c r="C8115" s="579" t="s">
        <v>281</v>
      </c>
      <c r="D8115" s="579"/>
      <c r="E8115" s="583"/>
      <c r="F8115" s="596"/>
      <c r="G8115" s="65">
        <v>0</v>
      </c>
      <c r="H8115" s="591" t="s">
        <v>280</v>
      </c>
      <c r="I8115" s="589" t="s">
        <v>280</v>
      </c>
    </row>
    <row r="8116" spans="1:9">
      <c r="A8116" s="577"/>
      <c r="B8116" s="65">
        <v>8314</v>
      </c>
      <c r="C8116" s="579" t="s">
        <v>281</v>
      </c>
      <c r="D8116" s="579"/>
      <c r="E8116" s="583"/>
      <c r="F8116" s="596"/>
      <c r="G8116" s="65">
        <v>0</v>
      </c>
      <c r="H8116" s="591" t="s">
        <v>280</v>
      </c>
      <c r="I8116" s="589" t="s">
        <v>280</v>
      </c>
    </row>
    <row r="8117" spans="1:9">
      <c r="A8117" s="577"/>
      <c r="B8117" s="65">
        <v>8315</v>
      </c>
      <c r="C8117" s="579" t="s">
        <v>281</v>
      </c>
      <c r="D8117" s="579"/>
      <c r="E8117" s="583"/>
      <c r="F8117" s="596"/>
      <c r="G8117" s="65">
        <v>0</v>
      </c>
      <c r="H8117" s="591" t="s">
        <v>280</v>
      </c>
      <c r="I8117" s="589" t="s">
        <v>280</v>
      </c>
    </row>
    <row r="8118" spans="1:9">
      <c r="A8118" s="577"/>
      <c r="B8118" s="65">
        <v>8316</v>
      </c>
      <c r="C8118" s="579" t="s">
        <v>281</v>
      </c>
      <c r="D8118" s="579"/>
      <c r="E8118" s="583"/>
      <c r="F8118" s="596"/>
      <c r="G8118" s="65">
        <v>0</v>
      </c>
      <c r="H8118" s="591" t="s">
        <v>280</v>
      </c>
      <c r="I8118" s="589" t="s">
        <v>280</v>
      </c>
    </row>
    <row r="8119" spans="1:9">
      <c r="A8119" s="577"/>
      <c r="B8119" s="65">
        <v>8317</v>
      </c>
      <c r="C8119" s="579" t="s">
        <v>281</v>
      </c>
      <c r="D8119" s="579"/>
      <c r="E8119" s="583"/>
      <c r="F8119" s="596"/>
      <c r="G8119" s="65">
        <v>0</v>
      </c>
      <c r="H8119" s="591" t="s">
        <v>280</v>
      </c>
      <c r="I8119" s="589" t="s">
        <v>280</v>
      </c>
    </row>
    <row r="8120" spans="1:9">
      <c r="A8120" s="577"/>
      <c r="B8120" s="65">
        <v>8318</v>
      </c>
      <c r="C8120" s="579" t="s">
        <v>281</v>
      </c>
      <c r="D8120" s="579"/>
      <c r="E8120" s="583"/>
      <c r="F8120" s="596"/>
      <c r="G8120" s="65">
        <v>0</v>
      </c>
      <c r="H8120" s="591" t="s">
        <v>280</v>
      </c>
      <c r="I8120" s="589" t="s">
        <v>280</v>
      </c>
    </row>
    <row r="8121" spans="1:9">
      <c r="A8121" s="577"/>
      <c r="B8121" s="65">
        <v>8319</v>
      </c>
      <c r="C8121" s="579" t="s">
        <v>281</v>
      </c>
      <c r="D8121" s="579"/>
      <c r="E8121" s="583"/>
      <c r="F8121" s="596"/>
      <c r="G8121" s="65">
        <v>0</v>
      </c>
      <c r="H8121" s="591" t="s">
        <v>280</v>
      </c>
      <c r="I8121" s="589" t="s">
        <v>280</v>
      </c>
    </row>
    <row r="8122" spans="1:9">
      <c r="A8122" s="577"/>
      <c r="B8122" s="65">
        <v>8320</v>
      </c>
      <c r="C8122" s="579" t="s">
        <v>281</v>
      </c>
      <c r="D8122" s="579"/>
      <c r="E8122" s="583"/>
      <c r="F8122" s="596"/>
      <c r="G8122" s="65">
        <v>0</v>
      </c>
      <c r="H8122" s="591" t="s">
        <v>280</v>
      </c>
      <c r="I8122" s="589" t="s">
        <v>280</v>
      </c>
    </row>
    <row r="8123" spans="1:9">
      <c r="A8123" s="577"/>
      <c r="B8123" s="65">
        <v>8321</v>
      </c>
      <c r="C8123" s="579" t="s">
        <v>281</v>
      </c>
      <c r="D8123" s="579"/>
      <c r="E8123" s="583"/>
      <c r="F8123" s="596"/>
      <c r="G8123" s="65">
        <v>0</v>
      </c>
      <c r="H8123" s="591" t="s">
        <v>280</v>
      </c>
      <c r="I8123" s="589" t="s">
        <v>280</v>
      </c>
    </row>
    <row r="8124" spans="1:9">
      <c r="A8124" s="577"/>
      <c r="B8124" s="65">
        <v>8322</v>
      </c>
      <c r="C8124" s="579" t="s">
        <v>281</v>
      </c>
      <c r="D8124" s="579"/>
      <c r="E8124" s="583"/>
      <c r="F8124" s="596"/>
      <c r="G8124" s="65">
        <v>0</v>
      </c>
      <c r="H8124" s="591" t="s">
        <v>280</v>
      </c>
      <c r="I8124" s="589" t="s">
        <v>280</v>
      </c>
    </row>
    <row r="8125" spans="1:9">
      <c r="A8125" s="577"/>
      <c r="B8125" s="65">
        <v>8323</v>
      </c>
      <c r="C8125" s="579" t="s">
        <v>281</v>
      </c>
      <c r="D8125" s="579"/>
      <c r="E8125" s="583"/>
      <c r="F8125" s="596"/>
      <c r="G8125" s="65">
        <v>0</v>
      </c>
      <c r="H8125" s="591" t="s">
        <v>280</v>
      </c>
      <c r="I8125" s="589" t="s">
        <v>280</v>
      </c>
    </row>
    <row r="8126" spans="1:9">
      <c r="A8126" s="577"/>
      <c r="B8126" s="65">
        <v>8324</v>
      </c>
      <c r="C8126" s="579" t="s">
        <v>281</v>
      </c>
      <c r="D8126" s="579"/>
      <c r="E8126" s="583"/>
      <c r="F8126" s="596"/>
      <c r="G8126" s="65">
        <v>0</v>
      </c>
      <c r="H8126" s="591" t="s">
        <v>280</v>
      </c>
      <c r="I8126" s="589" t="s">
        <v>280</v>
      </c>
    </row>
    <row r="8127" spans="1:9">
      <c r="A8127" s="577"/>
      <c r="B8127" s="65">
        <v>8325</v>
      </c>
      <c r="C8127" s="579" t="s">
        <v>281</v>
      </c>
      <c r="D8127" s="579"/>
      <c r="E8127" s="583"/>
      <c r="F8127" s="596"/>
      <c r="G8127" s="65">
        <v>0</v>
      </c>
      <c r="H8127" s="591" t="s">
        <v>280</v>
      </c>
      <c r="I8127" s="589" t="s">
        <v>280</v>
      </c>
    </row>
    <row r="8128" spans="1:9">
      <c r="A8128" s="577"/>
      <c r="B8128" s="65">
        <v>8326</v>
      </c>
      <c r="C8128" s="579" t="s">
        <v>281</v>
      </c>
      <c r="D8128" s="579"/>
      <c r="E8128" s="583"/>
      <c r="F8128" s="596"/>
      <c r="G8128" s="65">
        <v>0</v>
      </c>
      <c r="H8128" s="591" t="s">
        <v>280</v>
      </c>
      <c r="I8128" s="589" t="s">
        <v>280</v>
      </c>
    </row>
    <row r="8129" spans="1:9">
      <c r="A8129" s="577"/>
      <c r="B8129" s="65">
        <v>8327</v>
      </c>
      <c r="C8129" s="579" t="s">
        <v>281</v>
      </c>
      <c r="D8129" s="579"/>
      <c r="E8129" s="583"/>
      <c r="F8129" s="596"/>
      <c r="G8129" s="65">
        <v>0</v>
      </c>
      <c r="H8129" s="591" t="s">
        <v>280</v>
      </c>
      <c r="I8129" s="589" t="s">
        <v>280</v>
      </c>
    </row>
    <row r="8130" spans="1:9">
      <c r="A8130" s="577"/>
      <c r="B8130" s="65">
        <v>8328</v>
      </c>
      <c r="C8130" s="579" t="s">
        <v>281</v>
      </c>
      <c r="D8130" s="579"/>
      <c r="E8130" s="583"/>
      <c r="F8130" s="596"/>
      <c r="G8130" s="65">
        <v>0</v>
      </c>
      <c r="H8130" s="591" t="s">
        <v>280</v>
      </c>
      <c r="I8130" s="589" t="s">
        <v>280</v>
      </c>
    </row>
    <row r="8131" spans="1:9">
      <c r="A8131" s="577"/>
      <c r="B8131" s="65">
        <v>8329</v>
      </c>
      <c r="C8131" s="579" t="s">
        <v>281</v>
      </c>
      <c r="D8131" s="579"/>
      <c r="E8131" s="583"/>
      <c r="F8131" s="596"/>
      <c r="G8131" s="65">
        <v>0</v>
      </c>
      <c r="H8131" s="591" t="s">
        <v>280</v>
      </c>
      <c r="I8131" s="589" t="s">
        <v>280</v>
      </c>
    </row>
    <row r="8132" spans="1:9">
      <c r="A8132" s="577"/>
      <c r="B8132" s="65">
        <v>8330</v>
      </c>
      <c r="C8132" s="579" t="s">
        <v>281</v>
      </c>
      <c r="D8132" s="579"/>
      <c r="E8132" s="583"/>
      <c r="F8132" s="596"/>
      <c r="G8132" s="65">
        <v>0</v>
      </c>
      <c r="H8132" s="591" t="s">
        <v>280</v>
      </c>
      <c r="I8132" s="589" t="s">
        <v>280</v>
      </c>
    </row>
    <row r="8133" spans="1:9">
      <c r="A8133" s="577"/>
      <c r="B8133" s="65">
        <v>8331</v>
      </c>
      <c r="C8133" s="579" t="s">
        <v>281</v>
      </c>
      <c r="D8133" s="579"/>
      <c r="E8133" s="583"/>
      <c r="F8133" s="596"/>
      <c r="G8133" s="65">
        <v>0</v>
      </c>
      <c r="H8133" s="591" t="s">
        <v>280</v>
      </c>
      <c r="I8133" s="589" t="s">
        <v>280</v>
      </c>
    </row>
    <row r="8134" spans="1:9">
      <c r="A8134" s="577"/>
      <c r="B8134" s="65">
        <v>8332</v>
      </c>
      <c r="C8134" s="579" t="s">
        <v>281</v>
      </c>
      <c r="D8134" s="579"/>
      <c r="E8134" s="583"/>
      <c r="F8134" s="596"/>
      <c r="G8134" s="65">
        <v>0</v>
      </c>
      <c r="H8134" s="591" t="s">
        <v>280</v>
      </c>
      <c r="I8134" s="589" t="s">
        <v>280</v>
      </c>
    </row>
    <row r="8135" spans="1:9">
      <c r="A8135" s="577"/>
      <c r="B8135" s="65">
        <v>8333</v>
      </c>
      <c r="C8135" s="579" t="s">
        <v>281</v>
      </c>
      <c r="D8135" s="579"/>
      <c r="E8135" s="583"/>
      <c r="F8135" s="596"/>
      <c r="G8135" s="65">
        <v>0</v>
      </c>
      <c r="H8135" s="591" t="s">
        <v>280</v>
      </c>
      <c r="I8135" s="589" t="s">
        <v>280</v>
      </c>
    </row>
    <row r="8136" spans="1:9">
      <c r="A8136" s="577"/>
      <c r="B8136" s="65">
        <v>8334</v>
      </c>
      <c r="C8136" s="579" t="s">
        <v>281</v>
      </c>
      <c r="D8136" s="579"/>
      <c r="E8136" s="583"/>
      <c r="F8136" s="596"/>
      <c r="G8136" s="65">
        <v>0</v>
      </c>
      <c r="H8136" s="591" t="s">
        <v>280</v>
      </c>
      <c r="I8136" s="589" t="s">
        <v>280</v>
      </c>
    </row>
    <row r="8137" spans="1:9">
      <c r="A8137" s="577"/>
      <c r="B8137" s="65">
        <v>8335</v>
      </c>
      <c r="C8137" s="579" t="s">
        <v>281</v>
      </c>
      <c r="D8137" s="579"/>
      <c r="E8137" s="583"/>
      <c r="F8137" s="596"/>
      <c r="G8137" s="65">
        <v>0</v>
      </c>
      <c r="H8137" s="591" t="s">
        <v>280</v>
      </c>
      <c r="I8137" s="589" t="s">
        <v>280</v>
      </c>
    </row>
    <row r="8138" spans="1:9">
      <c r="A8138" s="577"/>
      <c r="B8138" s="65">
        <v>8336</v>
      </c>
      <c r="C8138" s="579" t="s">
        <v>281</v>
      </c>
      <c r="D8138" s="579"/>
      <c r="E8138" s="583"/>
      <c r="F8138" s="596"/>
      <c r="G8138" s="65">
        <v>0</v>
      </c>
      <c r="H8138" s="591" t="s">
        <v>280</v>
      </c>
      <c r="I8138" s="589" t="s">
        <v>280</v>
      </c>
    </row>
    <row r="8139" spans="1:9">
      <c r="A8139" s="577"/>
      <c r="B8139" s="65">
        <v>8337</v>
      </c>
      <c r="C8139" s="579" t="s">
        <v>281</v>
      </c>
      <c r="D8139" s="579"/>
      <c r="E8139" s="583"/>
      <c r="F8139" s="596"/>
      <c r="G8139" s="65">
        <v>0</v>
      </c>
      <c r="H8139" s="591" t="s">
        <v>280</v>
      </c>
      <c r="I8139" s="589" t="s">
        <v>280</v>
      </c>
    </row>
    <row r="8140" spans="1:9">
      <c r="A8140" s="577"/>
      <c r="B8140" s="65">
        <v>8338</v>
      </c>
      <c r="C8140" s="579" t="s">
        <v>281</v>
      </c>
      <c r="D8140" s="579"/>
      <c r="E8140" s="583"/>
      <c r="F8140" s="596"/>
      <c r="G8140" s="65">
        <v>0</v>
      </c>
      <c r="H8140" s="591" t="s">
        <v>280</v>
      </c>
      <c r="I8140" s="589" t="s">
        <v>280</v>
      </c>
    </row>
    <row r="8141" spans="1:9">
      <c r="A8141" s="577"/>
      <c r="B8141" s="65">
        <v>8339</v>
      </c>
      <c r="C8141" s="579" t="s">
        <v>281</v>
      </c>
      <c r="D8141" s="579"/>
      <c r="E8141" s="583"/>
      <c r="F8141" s="596"/>
      <c r="G8141" s="65">
        <v>0</v>
      </c>
      <c r="H8141" s="591" t="s">
        <v>280</v>
      </c>
      <c r="I8141" s="589" t="s">
        <v>280</v>
      </c>
    </row>
    <row r="8142" spans="1:9">
      <c r="A8142" s="577"/>
      <c r="B8142" s="65">
        <v>8340</v>
      </c>
      <c r="C8142" s="579" t="s">
        <v>281</v>
      </c>
      <c r="D8142" s="579"/>
      <c r="E8142" s="583"/>
      <c r="F8142" s="596"/>
      <c r="G8142" s="65">
        <v>0</v>
      </c>
      <c r="H8142" s="591" t="s">
        <v>280</v>
      </c>
      <c r="I8142" s="589" t="s">
        <v>280</v>
      </c>
    </row>
    <row r="8143" spans="1:9">
      <c r="A8143" s="577"/>
      <c r="B8143" s="65">
        <v>8341</v>
      </c>
      <c r="C8143" s="579" t="s">
        <v>281</v>
      </c>
      <c r="D8143" s="579"/>
      <c r="E8143" s="583"/>
      <c r="F8143" s="596"/>
      <c r="G8143" s="65">
        <v>0</v>
      </c>
      <c r="H8143" s="591" t="s">
        <v>280</v>
      </c>
      <c r="I8143" s="589" t="s">
        <v>280</v>
      </c>
    </row>
    <row r="8144" spans="1:9">
      <c r="A8144" s="577"/>
      <c r="B8144" s="65">
        <v>8342</v>
      </c>
      <c r="C8144" s="579" t="s">
        <v>281</v>
      </c>
      <c r="D8144" s="579"/>
      <c r="E8144" s="583"/>
      <c r="F8144" s="596"/>
      <c r="G8144" s="65">
        <v>0</v>
      </c>
      <c r="H8144" s="591" t="s">
        <v>280</v>
      </c>
      <c r="I8144" s="589" t="s">
        <v>280</v>
      </c>
    </row>
    <row r="8145" spans="1:9">
      <c r="A8145" s="577"/>
      <c r="B8145" s="65">
        <v>8343</v>
      </c>
      <c r="C8145" s="579" t="s">
        <v>281</v>
      </c>
      <c r="D8145" s="579"/>
      <c r="E8145" s="583"/>
      <c r="F8145" s="596"/>
      <c r="G8145" s="65">
        <v>0</v>
      </c>
      <c r="H8145" s="591" t="s">
        <v>280</v>
      </c>
      <c r="I8145" s="589" t="s">
        <v>280</v>
      </c>
    </row>
    <row r="8146" spans="1:9">
      <c r="A8146" s="577"/>
      <c r="B8146" s="65">
        <v>8344</v>
      </c>
      <c r="C8146" s="579" t="s">
        <v>281</v>
      </c>
      <c r="D8146" s="579"/>
      <c r="E8146" s="583"/>
      <c r="F8146" s="596"/>
      <c r="G8146" s="65">
        <v>0</v>
      </c>
      <c r="H8146" s="591" t="s">
        <v>280</v>
      </c>
      <c r="I8146" s="589" t="s">
        <v>280</v>
      </c>
    </row>
    <row r="8147" spans="1:9">
      <c r="A8147" s="577"/>
      <c r="B8147" s="65">
        <v>8345</v>
      </c>
      <c r="C8147" s="579" t="s">
        <v>281</v>
      </c>
      <c r="D8147" s="579"/>
      <c r="E8147" s="583"/>
      <c r="F8147" s="596"/>
      <c r="G8147" s="65">
        <v>0</v>
      </c>
      <c r="H8147" s="591" t="s">
        <v>280</v>
      </c>
      <c r="I8147" s="589" t="s">
        <v>280</v>
      </c>
    </row>
    <row r="8148" spans="1:9">
      <c r="A8148" s="577"/>
      <c r="B8148" s="65">
        <v>8346</v>
      </c>
      <c r="C8148" s="579" t="s">
        <v>281</v>
      </c>
      <c r="D8148" s="579"/>
      <c r="E8148" s="583"/>
      <c r="F8148" s="596"/>
      <c r="G8148" s="65">
        <v>0</v>
      </c>
      <c r="H8148" s="591" t="s">
        <v>280</v>
      </c>
      <c r="I8148" s="589" t="s">
        <v>280</v>
      </c>
    </row>
    <row r="8149" spans="1:9">
      <c r="A8149" s="577"/>
      <c r="B8149" s="65">
        <v>8347</v>
      </c>
      <c r="C8149" s="579" t="s">
        <v>281</v>
      </c>
      <c r="D8149" s="579"/>
      <c r="E8149" s="583"/>
      <c r="F8149" s="596"/>
      <c r="G8149" s="65">
        <v>0</v>
      </c>
      <c r="H8149" s="591" t="s">
        <v>280</v>
      </c>
      <c r="I8149" s="589" t="s">
        <v>280</v>
      </c>
    </row>
    <row r="8150" spans="1:9">
      <c r="A8150" s="577"/>
      <c r="B8150" s="65">
        <v>8348</v>
      </c>
      <c r="C8150" s="579" t="s">
        <v>281</v>
      </c>
      <c r="D8150" s="579"/>
      <c r="E8150" s="583"/>
      <c r="F8150" s="596"/>
      <c r="G8150" s="65">
        <v>0</v>
      </c>
      <c r="H8150" s="591" t="s">
        <v>280</v>
      </c>
      <c r="I8150" s="589" t="s">
        <v>280</v>
      </c>
    </row>
    <row r="8151" spans="1:9">
      <c r="A8151" s="577"/>
      <c r="B8151" s="65">
        <v>8349</v>
      </c>
      <c r="C8151" s="579" t="s">
        <v>281</v>
      </c>
      <c r="D8151" s="579"/>
      <c r="E8151" s="583"/>
      <c r="F8151" s="596"/>
      <c r="G8151" s="65">
        <v>0</v>
      </c>
      <c r="H8151" s="591" t="s">
        <v>280</v>
      </c>
      <c r="I8151" s="589" t="s">
        <v>280</v>
      </c>
    </row>
    <row r="8152" spans="1:9">
      <c r="A8152" s="577"/>
      <c r="B8152" s="65">
        <v>8350</v>
      </c>
      <c r="C8152" s="579" t="s">
        <v>281</v>
      </c>
      <c r="D8152" s="579"/>
      <c r="E8152" s="583"/>
      <c r="F8152" s="596"/>
      <c r="G8152" s="65">
        <v>0</v>
      </c>
      <c r="H8152" s="591" t="s">
        <v>280</v>
      </c>
      <c r="I8152" s="589" t="s">
        <v>280</v>
      </c>
    </row>
    <row r="8153" spans="1:9">
      <c r="A8153" s="577"/>
      <c r="B8153" s="65">
        <v>8351</v>
      </c>
      <c r="C8153" s="579" t="s">
        <v>281</v>
      </c>
      <c r="D8153" s="579"/>
      <c r="E8153" s="583"/>
      <c r="F8153" s="596"/>
      <c r="G8153" s="65">
        <v>0</v>
      </c>
      <c r="H8153" s="591" t="s">
        <v>280</v>
      </c>
      <c r="I8153" s="589" t="s">
        <v>280</v>
      </c>
    </row>
    <row r="8154" spans="1:9">
      <c r="A8154" s="577"/>
      <c r="B8154" s="65">
        <v>8352</v>
      </c>
      <c r="C8154" s="579" t="s">
        <v>281</v>
      </c>
      <c r="D8154" s="579"/>
      <c r="E8154" s="583"/>
      <c r="F8154" s="596"/>
      <c r="G8154" s="65">
        <v>0</v>
      </c>
      <c r="H8154" s="591" t="s">
        <v>280</v>
      </c>
      <c r="I8154" s="589" t="s">
        <v>280</v>
      </c>
    </row>
    <row r="8155" spans="1:9">
      <c r="A8155" s="577"/>
      <c r="B8155" s="65">
        <v>8353</v>
      </c>
      <c r="C8155" s="579" t="s">
        <v>281</v>
      </c>
      <c r="D8155" s="579"/>
      <c r="E8155" s="583"/>
      <c r="F8155" s="596"/>
      <c r="G8155" s="65">
        <v>0</v>
      </c>
      <c r="H8155" s="591" t="s">
        <v>280</v>
      </c>
      <c r="I8155" s="589" t="s">
        <v>280</v>
      </c>
    </row>
    <row r="8156" spans="1:9">
      <c r="A8156" s="577"/>
      <c r="B8156" s="65">
        <v>8354</v>
      </c>
      <c r="C8156" s="579" t="s">
        <v>281</v>
      </c>
      <c r="D8156" s="579"/>
      <c r="E8156" s="583"/>
      <c r="F8156" s="596"/>
      <c r="G8156" s="65">
        <v>0</v>
      </c>
      <c r="H8156" s="591" t="s">
        <v>280</v>
      </c>
      <c r="I8156" s="589" t="s">
        <v>280</v>
      </c>
    </row>
    <row r="8157" spans="1:9">
      <c r="A8157" s="577"/>
      <c r="B8157" s="65">
        <v>8355</v>
      </c>
      <c r="C8157" s="579" t="s">
        <v>281</v>
      </c>
      <c r="D8157" s="579"/>
      <c r="E8157" s="583"/>
      <c r="F8157" s="596"/>
      <c r="G8157" s="65">
        <v>0</v>
      </c>
      <c r="H8157" s="591" t="s">
        <v>280</v>
      </c>
      <c r="I8157" s="589" t="s">
        <v>280</v>
      </c>
    </row>
    <row r="8158" spans="1:9">
      <c r="A8158" s="577"/>
      <c r="B8158" s="65">
        <v>8356</v>
      </c>
      <c r="C8158" s="579" t="s">
        <v>281</v>
      </c>
      <c r="D8158" s="579"/>
      <c r="E8158" s="583"/>
      <c r="F8158" s="596"/>
      <c r="G8158" s="65">
        <v>0</v>
      </c>
      <c r="H8158" s="591" t="s">
        <v>280</v>
      </c>
      <c r="I8158" s="589" t="s">
        <v>280</v>
      </c>
    </row>
    <row r="8159" spans="1:9">
      <c r="A8159" s="577"/>
      <c r="B8159" s="65">
        <v>8357</v>
      </c>
      <c r="C8159" s="579" t="s">
        <v>281</v>
      </c>
      <c r="D8159" s="579"/>
      <c r="E8159" s="583"/>
      <c r="F8159" s="596"/>
      <c r="G8159" s="65">
        <v>0</v>
      </c>
      <c r="H8159" s="591" t="s">
        <v>280</v>
      </c>
      <c r="I8159" s="589" t="s">
        <v>280</v>
      </c>
    </row>
    <row r="8160" spans="1:9">
      <c r="A8160" s="577"/>
      <c r="B8160" s="65">
        <v>8358</v>
      </c>
      <c r="C8160" s="579" t="s">
        <v>281</v>
      </c>
      <c r="D8160" s="579"/>
      <c r="E8160" s="583"/>
      <c r="F8160" s="596"/>
      <c r="G8160" s="65">
        <v>0</v>
      </c>
      <c r="H8160" s="591" t="s">
        <v>280</v>
      </c>
      <c r="I8160" s="589" t="s">
        <v>280</v>
      </c>
    </row>
    <row r="8161" spans="1:9">
      <c r="A8161" s="577"/>
      <c r="B8161" s="65">
        <v>8359</v>
      </c>
      <c r="C8161" s="579" t="s">
        <v>281</v>
      </c>
      <c r="D8161" s="579"/>
      <c r="E8161" s="583"/>
      <c r="F8161" s="596"/>
      <c r="G8161" s="65">
        <v>0</v>
      </c>
      <c r="H8161" s="591" t="s">
        <v>280</v>
      </c>
      <c r="I8161" s="589" t="s">
        <v>280</v>
      </c>
    </row>
    <row r="8162" spans="1:9">
      <c r="A8162" s="577"/>
      <c r="B8162" s="65">
        <v>8360</v>
      </c>
      <c r="C8162" s="579" t="s">
        <v>281</v>
      </c>
      <c r="D8162" s="579"/>
      <c r="E8162" s="583"/>
      <c r="F8162" s="596"/>
      <c r="G8162" s="65">
        <v>0</v>
      </c>
      <c r="H8162" s="591" t="s">
        <v>280</v>
      </c>
      <c r="I8162" s="589" t="s">
        <v>280</v>
      </c>
    </row>
    <row r="8163" spans="1:9">
      <c r="A8163" s="577"/>
      <c r="B8163" s="65">
        <v>8361</v>
      </c>
      <c r="C8163" s="579" t="s">
        <v>281</v>
      </c>
      <c r="D8163" s="579"/>
      <c r="E8163" s="583"/>
      <c r="F8163" s="596"/>
      <c r="G8163" s="65">
        <v>0</v>
      </c>
      <c r="H8163" s="591" t="s">
        <v>280</v>
      </c>
      <c r="I8163" s="589" t="s">
        <v>280</v>
      </c>
    </row>
    <row r="8164" spans="1:9">
      <c r="A8164" s="577"/>
      <c r="B8164" s="65">
        <v>8362</v>
      </c>
      <c r="C8164" s="579" t="s">
        <v>281</v>
      </c>
      <c r="D8164" s="579"/>
      <c r="E8164" s="583"/>
      <c r="F8164" s="596"/>
      <c r="G8164" s="65">
        <v>0</v>
      </c>
      <c r="H8164" s="591" t="s">
        <v>280</v>
      </c>
      <c r="I8164" s="589" t="s">
        <v>280</v>
      </c>
    </row>
    <row r="8165" spans="1:9">
      <c r="A8165" s="577"/>
      <c r="B8165" s="65">
        <v>8363</v>
      </c>
      <c r="C8165" s="579" t="s">
        <v>281</v>
      </c>
      <c r="D8165" s="579"/>
      <c r="E8165" s="583"/>
      <c r="F8165" s="596"/>
      <c r="G8165" s="65">
        <v>0</v>
      </c>
      <c r="H8165" s="591" t="s">
        <v>280</v>
      </c>
      <c r="I8165" s="589" t="s">
        <v>280</v>
      </c>
    </row>
    <row r="8166" spans="1:9">
      <c r="A8166" s="577"/>
      <c r="B8166" s="65">
        <v>8364</v>
      </c>
      <c r="C8166" s="579" t="s">
        <v>281</v>
      </c>
      <c r="D8166" s="579"/>
      <c r="E8166" s="583"/>
      <c r="F8166" s="596"/>
      <c r="G8166" s="65">
        <v>0</v>
      </c>
      <c r="H8166" s="591" t="s">
        <v>280</v>
      </c>
      <c r="I8166" s="589" t="s">
        <v>280</v>
      </c>
    </row>
    <row r="8167" spans="1:9">
      <c r="A8167" s="577"/>
      <c r="B8167" s="65">
        <v>8365</v>
      </c>
      <c r="C8167" s="579" t="s">
        <v>281</v>
      </c>
      <c r="D8167" s="579"/>
      <c r="E8167" s="583"/>
      <c r="F8167" s="596"/>
      <c r="G8167" s="65">
        <v>0</v>
      </c>
      <c r="H8167" s="591" t="s">
        <v>280</v>
      </c>
      <c r="I8167" s="589" t="s">
        <v>280</v>
      </c>
    </row>
    <row r="8168" spans="1:9">
      <c r="A8168" s="577"/>
      <c r="B8168" s="65">
        <v>8366</v>
      </c>
      <c r="C8168" s="579" t="s">
        <v>281</v>
      </c>
      <c r="D8168" s="579"/>
      <c r="E8168" s="583"/>
      <c r="F8168" s="596"/>
      <c r="G8168" s="65">
        <v>0</v>
      </c>
      <c r="H8168" s="591" t="s">
        <v>280</v>
      </c>
      <c r="I8168" s="589" t="s">
        <v>280</v>
      </c>
    </row>
    <row r="8169" spans="1:9">
      <c r="A8169" s="577"/>
      <c r="B8169" s="65">
        <v>8367</v>
      </c>
      <c r="C8169" s="579" t="s">
        <v>281</v>
      </c>
      <c r="D8169" s="579"/>
      <c r="E8169" s="583"/>
      <c r="F8169" s="596"/>
      <c r="G8169" s="65">
        <v>0</v>
      </c>
      <c r="H8169" s="591" t="s">
        <v>280</v>
      </c>
      <c r="I8169" s="589" t="s">
        <v>280</v>
      </c>
    </row>
    <row r="8170" spans="1:9">
      <c r="A8170" s="577"/>
      <c r="B8170" s="65">
        <v>8368</v>
      </c>
      <c r="C8170" s="579" t="s">
        <v>281</v>
      </c>
      <c r="D8170" s="579"/>
      <c r="E8170" s="583"/>
      <c r="F8170" s="596"/>
      <c r="G8170" s="65">
        <v>0</v>
      </c>
      <c r="H8170" s="591" t="s">
        <v>280</v>
      </c>
      <c r="I8170" s="589" t="s">
        <v>280</v>
      </c>
    </row>
    <row r="8171" spans="1:9">
      <c r="A8171" s="577"/>
      <c r="B8171" s="65">
        <v>8369</v>
      </c>
      <c r="C8171" s="579" t="s">
        <v>281</v>
      </c>
      <c r="D8171" s="579"/>
      <c r="E8171" s="583"/>
      <c r="F8171" s="596"/>
      <c r="G8171" s="65">
        <v>0</v>
      </c>
      <c r="H8171" s="591" t="s">
        <v>280</v>
      </c>
      <c r="I8171" s="589" t="s">
        <v>280</v>
      </c>
    </row>
    <row r="8172" spans="1:9">
      <c r="A8172" s="577"/>
      <c r="B8172" s="65">
        <v>8370</v>
      </c>
      <c r="C8172" s="579" t="s">
        <v>281</v>
      </c>
      <c r="D8172" s="579"/>
      <c r="E8172" s="583"/>
      <c r="F8172" s="596"/>
      <c r="G8172" s="65">
        <v>0</v>
      </c>
      <c r="H8172" s="591" t="s">
        <v>280</v>
      </c>
      <c r="I8172" s="589" t="s">
        <v>280</v>
      </c>
    </row>
    <row r="8173" spans="1:9">
      <c r="A8173" s="577"/>
      <c r="B8173" s="65">
        <v>8371</v>
      </c>
      <c r="C8173" s="579" t="s">
        <v>281</v>
      </c>
      <c r="D8173" s="579"/>
      <c r="E8173" s="583"/>
      <c r="F8173" s="596"/>
      <c r="G8173" s="65">
        <v>0</v>
      </c>
      <c r="H8173" s="591" t="s">
        <v>280</v>
      </c>
      <c r="I8173" s="589" t="s">
        <v>280</v>
      </c>
    </row>
    <row r="8174" spans="1:9">
      <c r="A8174" s="577"/>
      <c r="B8174" s="65">
        <v>8372</v>
      </c>
      <c r="C8174" s="579" t="s">
        <v>281</v>
      </c>
      <c r="D8174" s="579"/>
      <c r="E8174" s="583"/>
      <c r="F8174" s="596"/>
      <c r="G8174" s="65">
        <v>0</v>
      </c>
      <c r="H8174" s="591" t="s">
        <v>280</v>
      </c>
      <c r="I8174" s="589" t="s">
        <v>280</v>
      </c>
    </row>
    <row r="8175" spans="1:9">
      <c r="A8175" s="577"/>
      <c r="B8175" s="65">
        <v>8373</v>
      </c>
      <c r="C8175" s="579" t="s">
        <v>281</v>
      </c>
      <c r="D8175" s="579"/>
      <c r="E8175" s="583"/>
      <c r="F8175" s="596"/>
      <c r="G8175" s="65">
        <v>0</v>
      </c>
      <c r="H8175" s="591" t="s">
        <v>280</v>
      </c>
      <c r="I8175" s="589" t="s">
        <v>280</v>
      </c>
    </row>
    <row r="8176" spans="1:9">
      <c r="A8176" s="577"/>
      <c r="B8176" s="65">
        <v>8374</v>
      </c>
      <c r="C8176" s="579" t="s">
        <v>281</v>
      </c>
      <c r="D8176" s="579"/>
      <c r="E8176" s="583"/>
      <c r="F8176" s="596"/>
      <c r="G8176" s="65">
        <v>0</v>
      </c>
      <c r="H8176" s="591" t="s">
        <v>280</v>
      </c>
      <c r="I8176" s="589" t="s">
        <v>280</v>
      </c>
    </row>
    <row r="8177" spans="1:9">
      <c r="A8177" s="577"/>
      <c r="B8177" s="65">
        <v>8375</v>
      </c>
      <c r="C8177" s="579" t="s">
        <v>281</v>
      </c>
      <c r="D8177" s="579"/>
      <c r="E8177" s="583"/>
      <c r="F8177" s="596"/>
      <c r="G8177" s="65">
        <v>0</v>
      </c>
      <c r="H8177" s="591" t="s">
        <v>280</v>
      </c>
      <c r="I8177" s="589" t="s">
        <v>280</v>
      </c>
    </row>
    <row r="8178" spans="1:9">
      <c r="A8178" s="577"/>
      <c r="B8178" s="65">
        <v>8376</v>
      </c>
      <c r="C8178" s="579" t="s">
        <v>281</v>
      </c>
      <c r="D8178" s="579"/>
      <c r="E8178" s="583"/>
      <c r="F8178" s="596"/>
      <c r="G8178" s="65">
        <v>0</v>
      </c>
      <c r="H8178" s="591" t="s">
        <v>280</v>
      </c>
      <c r="I8178" s="589" t="s">
        <v>280</v>
      </c>
    </row>
    <row r="8179" spans="1:9">
      <c r="A8179" s="577"/>
      <c r="B8179" s="65">
        <v>8377</v>
      </c>
      <c r="C8179" s="579" t="s">
        <v>281</v>
      </c>
      <c r="D8179" s="579"/>
      <c r="E8179" s="583"/>
      <c r="F8179" s="596"/>
      <c r="G8179" s="65">
        <v>0</v>
      </c>
      <c r="H8179" s="591" t="s">
        <v>280</v>
      </c>
      <c r="I8179" s="589" t="s">
        <v>280</v>
      </c>
    </row>
    <row r="8180" spans="1:9">
      <c r="A8180" s="577"/>
      <c r="B8180" s="65">
        <v>8378</v>
      </c>
      <c r="C8180" s="579" t="s">
        <v>281</v>
      </c>
      <c r="D8180" s="579"/>
      <c r="E8180" s="583"/>
      <c r="F8180" s="596"/>
      <c r="G8180" s="65">
        <v>0</v>
      </c>
      <c r="H8180" s="591" t="s">
        <v>280</v>
      </c>
      <c r="I8180" s="589" t="s">
        <v>280</v>
      </c>
    </row>
    <row r="8181" spans="1:9">
      <c r="A8181" s="577"/>
      <c r="B8181" s="65">
        <v>8379</v>
      </c>
      <c r="C8181" s="579" t="s">
        <v>281</v>
      </c>
      <c r="D8181" s="579"/>
      <c r="E8181" s="583"/>
      <c r="F8181" s="596"/>
      <c r="G8181" s="65">
        <v>0</v>
      </c>
      <c r="H8181" s="591" t="s">
        <v>280</v>
      </c>
      <c r="I8181" s="589" t="s">
        <v>280</v>
      </c>
    </row>
    <row r="8182" spans="1:9">
      <c r="A8182" s="577"/>
      <c r="B8182" s="65">
        <v>8380</v>
      </c>
      <c r="C8182" s="579" t="s">
        <v>281</v>
      </c>
      <c r="D8182" s="579"/>
      <c r="E8182" s="583"/>
      <c r="F8182" s="596"/>
      <c r="G8182" s="65">
        <v>0</v>
      </c>
      <c r="H8182" s="591" t="s">
        <v>280</v>
      </c>
      <c r="I8182" s="589" t="s">
        <v>280</v>
      </c>
    </row>
    <row r="8183" spans="1:9">
      <c r="A8183" s="577"/>
      <c r="B8183" s="65">
        <v>8381</v>
      </c>
      <c r="C8183" s="579" t="s">
        <v>281</v>
      </c>
      <c r="D8183" s="579"/>
      <c r="E8183" s="583"/>
      <c r="F8183" s="596"/>
      <c r="G8183" s="65">
        <v>0</v>
      </c>
      <c r="H8183" s="591" t="s">
        <v>280</v>
      </c>
      <c r="I8183" s="589" t="s">
        <v>280</v>
      </c>
    </row>
    <row r="8184" spans="1:9">
      <c r="A8184" s="577"/>
      <c r="B8184" s="65">
        <v>8382</v>
      </c>
      <c r="C8184" s="579" t="s">
        <v>281</v>
      </c>
      <c r="D8184" s="579"/>
      <c r="E8184" s="583"/>
      <c r="F8184" s="596"/>
      <c r="G8184" s="65">
        <v>0</v>
      </c>
      <c r="H8184" s="591" t="s">
        <v>280</v>
      </c>
      <c r="I8184" s="589" t="s">
        <v>280</v>
      </c>
    </row>
    <row r="8185" spans="1:9">
      <c r="A8185" s="577"/>
      <c r="B8185" s="65">
        <v>8383</v>
      </c>
      <c r="C8185" s="579" t="s">
        <v>281</v>
      </c>
      <c r="D8185" s="579"/>
      <c r="E8185" s="583"/>
      <c r="F8185" s="596"/>
      <c r="G8185" s="65">
        <v>0</v>
      </c>
      <c r="H8185" s="591" t="s">
        <v>280</v>
      </c>
      <c r="I8185" s="589" t="s">
        <v>280</v>
      </c>
    </row>
    <row r="8186" spans="1:9">
      <c r="A8186" s="577"/>
      <c r="B8186" s="65">
        <v>8384</v>
      </c>
      <c r="C8186" s="579" t="s">
        <v>281</v>
      </c>
      <c r="D8186" s="579"/>
      <c r="E8186" s="583"/>
      <c r="F8186" s="596"/>
      <c r="G8186" s="65">
        <v>0</v>
      </c>
      <c r="H8186" s="591" t="s">
        <v>280</v>
      </c>
      <c r="I8186" s="589" t="s">
        <v>280</v>
      </c>
    </row>
    <row r="8187" spans="1:9">
      <c r="A8187" s="577"/>
      <c r="B8187" s="65">
        <v>8385</v>
      </c>
      <c r="C8187" s="579" t="s">
        <v>281</v>
      </c>
      <c r="D8187" s="579"/>
      <c r="E8187" s="583"/>
      <c r="F8187" s="596"/>
      <c r="G8187" s="65">
        <v>0</v>
      </c>
      <c r="H8187" s="591" t="s">
        <v>280</v>
      </c>
      <c r="I8187" s="589" t="s">
        <v>280</v>
      </c>
    </row>
    <row r="8188" spans="1:9">
      <c r="A8188" s="577"/>
      <c r="B8188" s="65">
        <v>8386</v>
      </c>
      <c r="C8188" s="579" t="s">
        <v>281</v>
      </c>
      <c r="D8188" s="579"/>
      <c r="E8188" s="583"/>
      <c r="F8188" s="596"/>
      <c r="G8188" s="65">
        <v>0</v>
      </c>
      <c r="H8188" s="591" t="s">
        <v>280</v>
      </c>
      <c r="I8188" s="589" t="s">
        <v>280</v>
      </c>
    </row>
    <row r="8189" spans="1:9">
      <c r="A8189" s="577"/>
      <c r="B8189" s="65">
        <v>8387</v>
      </c>
      <c r="C8189" s="579" t="s">
        <v>281</v>
      </c>
      <c r="D8189" s="579"/>
      <c r="E8189" s="583"/>
      <c r="F8189" s="596"/>
      <c r="G8189" s="65">
        <v>0</v>
      </c>
      <c r="H8189" s="591" t="s">
        <v>280</v>
      </c>
      <c r="I8189" s="589" t="s">
        <v>280</v>
      </c>
    </row>
    <row r="8190" spans="1:9">
      <c r="A8190" s="577"/>
      <c r="B8190" s="65">
        <v>8388</v>
      </c>
      <c r="C8190" s="579" t="s">
        <v>281</v>
      </c>
      <c r="D8190" s="579"/>
      <c r="E8190" s="583"/>
      <c r="F8190" s="596"/>
      <c r="G8190" s="65">
        <v>0</v>
      </c>
      <c r="H8190" s="591" t="s">
        <v>280</v>
      </c>
      <c r="I8190" s="589" t="s">
        <v>280</v>
      </c>
    </row>
    <row r="8191" spans="1:9">
      <c r="A8191" s="577"/>
      <c r="B8191" s="65">
        <v>8389</v>
      </c>
      <c r="C8191" s="579" t="s">
        <v>281</v>
      </c>
      <c r="D8191" s="579"/>
      <c r="E8191" s="583"/>
      <c r="F8191" s="596"/>
      <c r="G8191" s="65">
        <v>0</v>
      </c>
      <c r="H8191" s="591" t="s">
        <v>280</v>
      </c>
      <c r="I8191" s="589" t="s">
        <v>280</v>
      </c>
    </row>
    <row r="8192" spans="1:9">
      <c r="A8192" s="577"/>
      <c r="B8192" s="65">
        <v>8390</v>
      </c>
      <c r="C8192" s="579" t="s">
        <v>281</v>
      </c>
      <c r="D8192" s="579"/>
      <c r="E8192" s="583"/>
      <c r="F8192" s="596"/>
      <c r="G8192" s="65">
        <v>0</v>
      </c>
      <c r="H8192" s="591" t="s">
        <v>280</v>
      </c>
      <c r="I8192" s="589" t="s">
        <v>280</v>
      </c>
    </row>
    <row r="8193" spans="1:9">
      <c r="A8193" s="577"/>
      <c r="B8193" s="65">
        <v>8391</v>
      </c>
      <c r="C8193" s="579" t="s">
        <v>281</v>
      </c>
      <c r="D8193" s="579"/>
      <c r="E8193" s="583"/>
      <c r="F8193" s="596"/>
      <c r="G8193" s="65">
        <v>0</v>
      </c>
      <c r="H8193" s="591" t="s">
        <v>280</v>
      </c>
      <c r="I8193" s="589" t="s">
        <v>280</v>
      </c>
    </row>
    <row r="8194" spans="1:9">
      <c r="A8194" s="577"/>
      <c r="B8194" s="65">
        <v>8392</v>
      </c>
      <c r="C8194" s="579" t="s">
        <v>281</v>
      </c>
      <c r="D8194" s="579"/>
      <c r="E8194" s="583"/>
      <c r="F8194" s="596"/>
      <c r="G8194" s="65">
        <v>0</v>
      </c>
      <c r="H8194" s="591" t="s">
        <v>280</v>
      </c>
      <c r="I8194" s="589" t="s">
        <v>280</v>
      </c>
    </row>
    <row r="8195" spans="1:9">
      <c r="A8195" s="577"/>
      <c r="B8195" s="65">
        <v>8393</v>
      </c>
      <c r="C8195" s="579" t="s">
        <v>281</v>
      </c>
      <c r="D8195" s="579"/>
      <c r="E8195" s="583"/>
      <c r="F8195" s="596"/>
      <c r="G8195" s="65">
        <v>0</v>
      </c>
      <c r="H8195" s="591" t="s">
        <v>280</v>
      </c>
      <c r="I8195" s="589" t="s">
        <v>280</v>
      </c>
    </row>
    <row r="8196" spans="1:9">
      <c r="A8196" s="577"/>
      <c r="B8196" s="65">
        <v>8394</v>
      </c>
      <c r="C8196" s="579" t="s">
        <v>281</v>
      </c>
      <c r="D8196" s="579"/>
      <c r="E8196" s="583"/>
      <c r="F8196" s="596"/>
      <c r="G8196" s="65">
        <v>0</v>
      </c>
      <c r="H8196" s="591" t="s">
        <v>280</v>
      </c>
      <c r="I8196" s="589" t="s">
        <v>280</v>
      </c>
    </row>
    <row r="8197" spans="1:9">
      <c r="A8197" s="577"/>
      <c r="B8197" s="65">
        <v>8395</v>
      </c>
      <c r="C8197" s="579" t="s">
        <v>281</v>
      </c>
      <c r="D8197" s="579"/>
      <c r="E8197" s="583"/>
      <c r="F8197" s="596"/>
      <c r="G8197" s="65">
        <v>0</v>
      </c>
      <c r="H8197" s="591" t="s">
        <v>280</v>
      </c>
      <c r="I8197" s="589" t="s">
        <v>280</v>
      </c>
    </row>
    <row r="8198" spans="1:9">
      <c r="A8198" s="577"/>
      <c r="B8198" s="65">
        <v>8396</v>
      </c>
      <c r="C8198" s="579" t="s">
        <v>281</v>
      </c>
      <c r="D8198" s="579"/>
      <c r="E8198" s="583"/>
      <c r="F8198" s="596"/>
      <c r="G8198" s="65">
        <v>0</v>
      </c>
      <c r="H8198" s="591" t="s">
        <v>280</v>
      </c>
      <c r="I8198" s="589" t="s">
        <v>280</v>
      </c>
    </row>
    <row r="8199" spans="1:9">
      <c r="A8199" s="577"/>
      <c r="B8199" s="65">
        <v>8397</v>
      </c>
      <c r="C8199" s="579" t="s">
        <v>281</v>
      </c>
      <c r="D8199" s="579"/>
      <c r="E8199" s="583"/>
      <c r="F8199" s="596"/>
      <c r="G8199" s="65">
        <v>0</v>
      </c>
      <c r="H8199" s="591" t="s">
        <v>280</v>
      </c>
      <c r="I8199" s="589" t="s">
        <v>280</v>
      </c>
    </row>
    <row r="8200" spans="1:9">
      <c r="A8200" s="577"/>
      <c r="B8200" s="65">
        <v>8398</v>
      </c>
      <c r="C8200" s="579" t="s">
        <v>281</v>
      </c>
      <c r="D8200" s="579"/>
      <c r="E8200" s="583"/>
      <c r="F8200" s="596"/>
      <c r="G8200" s="65">
        <v>0</v>
      </c>
      <c r="H8200" s="591" t="s">
        <v>280</v>
      </c>
      <c r="I8200" s="589" t="s">
        <v>280</v>
      </c>
    </row>
    <row r="8201" spans="1:9">
      <c r="A8201" s="577"/>
      <c r="B8201" s="65">
        <v>8399</v>
      </c>
      <c r="C8201" s="579" t="s">
        <v>281</v>
      </c>
      <c r="D8201" s="579"/>
      <c r="E8201" s="583"/>
      <c r="F8201" s="596"/>
      <c r="G8201" s="65">
        <v>0</v>
      </c>
      <c r="H8201" s="591" t="s">
        <v>280</v>
      </c>
      <c r="I8201" s="589" t="s">
        <v>280</v>
      </c>
    </row>
    <row r="8202" spans="1:9">
      <c r="A8202" s="577"/>
      <c r="B8202" s="65">
        <v>8400</v>
      </c>
      <c r="C8202" s="579" t="s">
        <v>281</v>
      </c>
      <c r="D8202" s="579"/>
      <c r="E8202" s="583"/>
      <c r="F8202" s="596"/>
      <c r="G8202" s="65">
        <v>0</v>
      </c>
      <c r="H8202" s="591" t="s">
        <v>280</v>
      </c>
      <c r="I8202" s="589" t="s">
        <v>280</v>
      </c>
    </row>
    <row r="8203" spans="1:9">
      <c r="A8203" s="577"/>
      <c r="B8203" s="65">
        <v>8401</v>
      </c>
      <c r="C8203" s="579" t="s">
        <v>281</v>
      </c>
      <c r="D8203" s="579"/>
      <c r="E8203" s="583"/>
      <c r="F8203" s="596"/>
      <c r="G8203" s="65">
        <v>0</v>
      </c>
      <c r="H8203" s="591" t="s">
        <v>280</v>
      </c>
      <c r="I8203" s="589" t="s">
        <v>280</v>
      </c>
    </row>
    <row r="8204" spans="1:9">
      <c r="A8204" s="577"/>
      <c r="B8204" s="65">
        <v>8402</v>
      </c>
      <c r="C8204" s="579" t="s">
        <v>281</v>
      </c>
      <c r="D8204" s="579"/>
      <c r="E8204" s="583"/>
      <c r="F8204" s="596"/>
      <c r="G8204" s="65">
        <v>0</v>
      </c>
      <c r="H8204" s="591" t="s">
        <v>280</v>
      </c>
      <c r="I8204" s="589" t="s">
        <v>280</v>
      </c>
    </row>
    <row r="8205" spans="1:9">
      <c r="A8205" s="577"/>
      <c r="B8205" s="65">
        <v>8403</v>
      </c>
      <c r="C8205" s="579" t="s">
        <v>281</v>
      </c>
      <c r="D8205" s="579"/>
      <c r="E8205" s="583"/>
      <c r="F8205" s="596"/>
      <c r="G8205" s="65">
        <v>0</v>
      </c>
      <c r="H8205" s="591" t="s">
        <v>280</v>
      </c>
      <c r="I8205" s="589" t="s">
        <v>280</v>
      </c>
    </row>
    <row r="8206" spans="1:9">
      <c r="A8206" s="577"/>
      <c r="B8206" s="65">
        <v>8404</v>
      </c>
      <c r="C8206" s="579" t="s">
        <v>281</v>
      </c>
      <c r="D8206" s="579"/>
      <c r="E8206" s="583"/>
      <c r="F8206" s="596"/>
      <c r="G8206" s="65">
        <v>0</v>
      </c>
      <c r="H8206" s="591" t="s">
        <v>280</v>
      </c>
      <c r="I8206" s="589" t="s">
        <v>280</v>
      </c>
    </row>
    <row r="8207" spans="1:9">
      <c r="A8207" s="577"/>
      <c r="B8207" s="65">
        <v>8405</v>
      </c>
      <c r="C8207" s="579" t="s">
        <v>281</v>
      </c>
      <c r="D8207" s="579"/>
      <c r="E8207" s="583"/>
      <c r="F8207" s="596"/>
      <c r="G8207" s="65">
        <v>0</v>
      </c>
      <c r="H8207" s="591" t="s">
        <v>280</v>
      </c>
      <c r="I8207" s="589" t="s">
        <v>280</v>
      </c>
    </row>
    <row r="8208" spans="1:9">
      <c r="A8208" s="577"/>
      <c r="B8208" s="65">
        <v>8406</v>
      </c>
      <c r="C8208" s="579" t="s">
        <v>281</v>
      </c>
      <c r="D8208" s="579"/>
      <c r="E8208" s="583"/>
      <c r="F8208" s="596"/>
      <c r="G8208" s="65">
        <v>0</v>
      </c>
      <c r="H8208" s="591" t="s">
        <v>280</v>
      </c>
      <c r="I8208" s="589" t="s">
        <v>280</v>
      </c>
    </row>
    <row r="8209" spans="1:9">
      <c r="A8209" s="577"/>
      <c r="B8209" s="65">
        <v>8407</v>
      </c>
      <c r="C8209" s="579" t="s">
        <v>281</v>
      </c>
      <c r="D8209" s="579"/>
      <c r="E8209" s="583"/>
      <c r="F8209" s="596"/>
      <c r="G8209" s="65">
        <v>0</v>
      </c>
      <c r="H8209" s="591" t="s">
        <v>280</v>
      </c>
      <c r="I8209" s="589" t="s">
        <v>280</v>
      </c>
    </row>
    <row r="8210" spans="1:9">
      <c r="A8210" s="577"/>
      <c r="B8210" s="65">
        <v>8408</v>
      </c>
      <c r="C8210" s="579" t="s">
        <v>281</v>
      </c>
      <c r="D8210" s="579"/>
      <c r="E8210" s="583"/>
      <c r="F8210" s="596"/>
      <c r="G8210" s="65">
        <v>0</v>
      </c>
      <c r="H8210" s="591" t="s">
        <v>280</v>
      </c>
      <c r="I8210" s="589" t="s">
        <v>280</v>
      </c>
    </row>
    <row r="8211" spans="1:9">
      <c r="A8211" s="577"/>
      <c r="B8211" s="65">
        <v>8409</v>
      </c>
      <c r="C8211" s="579" t="s">
        <v>281</v>
      </c>
      <c r="D8211" s="579"/>
      <c r="E8211" s="583"/>
      <c r="F8211" s="596"/>
      <c r="G8211" s="65">
        <v>0</v>
      </c>
      <c r="H8211" s="591" t="s">
        <v>280</v>
      </c>
      <c r="I8211" s="589" t="s">
        <v>280</v>
      </c>
    </row>
    <row r="8212" spans="1:9">
      <c r="A8212" s="577"/>
      <c r="B8212" s="65">
        <v>8410</v>
      </c>
      <c r="C8212" s="579" t="s">
        <v>281</v>
      </c>
      <c r="D8212" s="579"/>
      <c r="E8212" s="583"/>
      <c r="F8212" s="596"/>
      <c r="G8212" s="65">
        <v>0</v>
      </c>
      <c r="H8212" s="591" t="s">
        <v>280</v>
      </c>
      <c r="I8212" s="589" t="s">
        <v>280</v>
      </c>
    </row>
    <row r="8213" spans="1:9">
      <c r="A8213" s="577"/>
      <c r="B8213" s="65">
        <v>8411</v>
      </c>
      <c r="C8213" s="579" t="s">
        <v>281</v>
      </c>
      <c r="D8213" s="579"/>
      <c r="E8213" s="583"/>
      <c r="F8213" s="596"/>
      <c r="G8213" s="65">
        <v>0</v>
      </c>
      <c r="H8213" s="591" t="s">
        <v>280</v>
      </c>
      <c r="I8213" s="589" t="s">
        <v>280</v>
      </c>
    </row>
    <row r="8214" spans="1:9">
      <c r="A8214" s="577"/>
      <c r="B8214" s="65">
        <v>8412</v>
      </c>
      <c r="C8214" s="579" t="s">
        <v>281</v>
      </c>
      <c r="D8214" s="579"/>
      <c r="E8214" s="583"/>
      <c r="F8214" s="596"/>
      <c r="G8214" s="65">
        <v>0</v>
      </c>
      <c r="H8214" s="591" t="s">
        <v>280</v>
      </c>
      <c r="I8214" s="589" t="s">
        <v>280</v>
      </c>
    </row>
    <row r="8215" spans="1:9">
      <c r="A8215" s="577"/>
      <c r="B8215" s="65">
        <v>8413</v>
      </c>
      <c r="C8215" s="579" t="s">
        <v>281</v>
      </c>
      <c r="D8215" s="579"/>
      <c r="E8215" s="583"/>
      <c r="F8215" s="596"/>
      <c r="G8215" s="65">
        <v>0</v>
      </c>
      <c r="H8215" s="591" t="s">
        <v>280</v>
      </c>
      <c r="I8215" s="589" t="s">
        <v>280</v>
      </c>
    </row>
    <row r="8216" spans="1:9">
      <c r="A8216" s="577"/>
      <c r="B8216" s="65">
        <v>8414</v>
      </c>
      <c r="C8216" s="579" t="s">
        <v>281</v>
      </c>
      <c r="D8216" s="579"/>
      <c r="E8216" s="583"/>
      <c r="F8216" s="596"/>
      <c r="G8216" s="65">
        <v>0</v>
      </c>
      <c r="H8216" s="591" t="s">
        <v>280</v>
      </c>
      <c r="I8216" s="589" t="s">
        <v>280</v>
      </c>
    </row>
    <row r="8217" spans="1:9">
      <c r="A8217" s="577"/>
      <c r="B8217" s="65">
        <v>8415</v>
      </c>
      <c r="C8217" s="579" t="s">
        <v>281</v>
      </c>
      <c r="D8217" s="579"/>
      <c r="E8217" s="583"/>
      <c r="F8217" s="596"/>
      <c r="G8217" s="65">
        <v>0</v>
      </c>
      <c r="H8217" s="591" t="s">
        <v>280</v>
      </c>
      <c r="I8217" s="589" t="s">
        <v>280</v>
      </c>
    </row>
    <row r="8218" spans="1:9">
      <c r="A8218" s="577"/>
      <c r="B8218" s="65">
        <v>8416</v>
      </c>
      <c r="C8218" s="579" t="s">
        <v>281</v>
      </c>
      <c r="D8218" s="579"/>
      <c r="E8218" s="583"/>
      <c r="F8218" s="596"/>
      <c r="G8218" s="65">
        <v>0</v>
      </c>
      <c r="H8218" s="591" t="s">
        <v>280</v>
      </c>
      <c r="I8218" s="589" t="s">
        <v>280</v>
      </c>
    </row>
    <row r="8219" spans="1:9">
      <c r="A8219" s="577"/>
      <c r="B8219" s="65">
        <v>8417</v>
      </c>
      <c r="C8219" s="579" t="s">
        <v>281</v>
      </c>
      <c r="D8219" s="579"/>
      <c r="E8219" s="583"/>
      <c r="F8219" s="596"/>
      <c r="G8219" s="65">
        <v>0</v>
      </c>
      <c r="H8219" s="591" t="s">
        <v>280</v>
      </c>
      <c r="I8219" s="589" t="s">
        <v>280</v>
      </c>
    </row>
    <row r="8220" spans="1:9">
      <c r="A8220" s="577"/>
      <c r="B8220" s="65">
        <v>8418</v>
      </c>
      <c r="C8220" s="579" t="s">
        <v>281</v>
      </c>
      <c r="D8220" s="579"/>
      <c r="E8220" s="583"/>
      <c r="F8220" s="596"/>
      <c r="G8220" s="65">
        <v>0</v>
      </c>
      <c r="H8220" s="591" t="s">
        <v>280</v>
      </c>
      <c r="I8220" s="589" t="s">
        <v>280</v>
      </c>
    </row>
    <row r="8221" spans="1:9">
      <c r="A8221" s="577"/>
      <c r="B8221" s="65">
        <v>8419</v>
      </c>
      <c r="C8221" s="579" t="s">
        <v>281</v>
      </c>
      <c r="D8221" s="579"/>
      <c r="E8221" s="583"/>
      <c r="F8221" s="596"/>
      <c r="G8221" s="65">
        <v>0</v>
      </c>
      <c r="H8221" s="591" t="s">
        <v>280</v>
      </c>
      <c r="I8221" s="589" t="s">
        <v>280</v>
      </c>
    </row>
    <row r="8222" spans="1:9">
      <c r="A8222" s="577"/>
      <c r="B8222" s="65">
        <v>8420</v>
      </c>
      <c r="C8222" s="579" t="s">
        <v>281</v>
      </c>
      <c r="D8222" s="579"/>
      <c r="E8222" s="583"/>
      <c r="F8222" s="596"/>
      <c r="G8222" s="65">
        <v>0</v>
      </c>
      <c r="H8222" s="591" t="s">
        <v>280</v>
      </c>
      <c r="I8222" s="589" t="s">
        <v>280</v>
      </c>
    </row>
    <row r="8223" spans="1:9">
      <c r="A8223" s="577"/>
      <c r="B8223" s="65">
        <v>8421</v>
      </c>
      <c r="C8223" s="579" t="s">
        <v>281</v>
      </c>
      <c r="D8223" s="579"/>
      <c r="E8223" s="583"/>
      <c r="F8223" s="596"/>
      <c r="G8223" s="65">
        <v>0</v>
      </c>
      <c r="H8223" s="591" t="s">
        <v>280</v>
      </c>
      <c r="I8223" s="589" t="s">
        <v>280</v>
      </c>
    </row>
    <row r="8224" spans="1:9">
      <c r="A8224" s="577"/>
      <c r="B8224" s="65">
        <v>8422</v>
      </c>
      <c r="C8224" s="579" t="s">
        <v>281</v>
      </c>
      <c r="D8224" s="579"/>
      <c r="E8224" s="583"/>
      <c r="F8224" s="596"/>
      <c r="G8224" s="65">
        <v>0</v>
      </c>
      <c r="H8224" s="591" t="s">
        <v>280</v>
      </c>
      <c r="I8224" s="589" t="s">
        <v>280</v>
      </c>
    </row>
    <row r="8225" spans="1:9">
      <c r="A8225" s="577"/>
      <c r="B8225" s="65">
        <v>8423</v>
      </c>
      <c r="C8225" s="579" t="s">
        <v>281</v>
      </c>
      <c r="D8225" s="579"/>
      <c r="E8225" s="583"/>
      <c r="F8225" s="596"/>
      <c r="G8225" s="65">
        <v>0</v>
      </c>
      <c r="H8225" s="591" t="s">
        <v>280</v>
      </c>
      <c r="I8225" s="589" t="s">
        <v>280</v>
      </c>
    </row>
    <row r="8226" spans="1:9">
      <c r="A8226" s="577"/>
      <c r="B8226" s="65">
        <v>8424</v>
      </c>
      <c r="C8226" s="579" t="s">
        <v>281</v>
      </c>
      <c r="D8226" s="579"/>
      <c r="E8226" s="583"/>
      <c r="F8226" s="596"/>
      <c r="G8226" s="65">
        <v>0</v>
      </c>
      <c r="H8226" s="591" t="s">
        <v>280</v>
      </c>
      <c r="I8226" s="589" t="s">
        <v>280</v>
      </c>
    </row>
    <row r="8227" spans="1:9">
      <c r="A8227" s="577"/>
      <c r="B8227" s="65">
        <v>8425</v>
      </c>
      <c r="C8227" s="579" t="s">
        <v>281</v>
      </c>
      <c r="D8227" s="579"/>
      <c r="E8227" s="583"/>
      <c r="F8227" s="596"/>
      <c r="G8227" s="65">
        <v>0</v>
      </c>
      <c r="H8227" s="591" t="s">
        <v>280</v>
      </c>
      <c r="I8227" s="589" t="s">
        <v>280</v>
      </c>
    </row>
    <row r="8228" spans="1:9">
      <c r="A8228" s="577"/>
      <c r="B8228" s="65">
        <v>8426</v>
      </c>
      <c r="C8228" s="579" t="s">
        <v>281</v>
      </c>
      <c r="D8228" s="579"/>
      <c r="E8228" s="583"/>
      <c r="F8228" s="596"/>
      <c r="G8228" s="65">
        <v>0</v>
      </c>
      <c r="H8228" s="591" t="s">
        <v>280</v>
      </c>
      <c r="I8228" s="589" t="s">
        <v>280</v>
      </c>
    </row>
    <row r="8229" spans="1:9">
      <c r="A8229" s="577"/>
      <c r="B8229" s="65">
        <v>8427</v>
      </c>
      <c r="C8229" s="579" t="s">
        <v>281</v>
      </c>
      <c r="D8229" s="579"/>
      <c r="E8229" s="583"/>
      <c r="F8229" s="596"/>
      <c r="G8229" s="65">
        <v>0</v>
      </c>
      <c r="H8229" s="591" t="s">
        <v>280</v>
      </c>
      <c r="I8229" s="589" t="s">
        <v>280</v>
      </c>
    </row>
    <row r="8230" spans="1:9">
      <c r="A8230" s="577"/>
      <c r="B8230" s="65">
        <v>8428</v>
      </c>
      <c r="C8230" s="579" t="s">
        <v>281</v>
      </c>
      <c r="D8230" s="579"/>
      <c r="E8230" s="583"/>
      <c r="F8230" s="596"/>
      <c r="G8230" s="65">
        <v>0</v>
      </c>
      <c r="H8230" s="591" t="s">
        <v>280</v>
      </c>
      <c r="I8230" s="589" t="s">
        <v>280</v>
      </c>
    </row>
    <row r="8231" spans="1:9">
      <c r="A8231" s="577"/>
      <c r="B8231" s="65">
        <v>8429</v>
      </c>
      <c r="C8231" s="579" t="s">
        <v>281</v>
      </c>
      <c r="D8231" s="579"/>
      <c r="E8231" s="583"/>
      <c r="F8231" s="596"/>
      <c r="G8231" s="65">
        <v>0</v>
      </c>
      <c r="H8231" s="591" t="s">
        <v>280</v>
      </c>
      <c r="I8231" s="589" t="s">
        <v>280</v>
      </c>
    </row>
    <row r="8232" spans="1:9">
      <c r="A8232" s="577"/>
      <c r="B8232" s="65">
        <v>8430</v>
      </c>
      <c r="C8232" s="579" t="s">
        <v>281</v>
      </c>
      <c r="D8232" s="579"/>
      <c r="E8232" s="583"/>
      <c r="F8232" s="596"/>
      <c r="G8232" s="65">
        <v>0</v>
      </c>
      <c r="H8232" s="591" t="s">
        <v>280</v>
      </c>
      <c r="I8232" s="589" t="s">
        <v>280</v>
      </c>
    </row>
    <row r="8233" spans="1:9">
      <c r="A8233" s="577"/>
      <c r="B8233" s="65">
        <v>8431</v>
      </c>
      <c r="C8233" s="579" t="s">
        <v>281</v>
      </c>
      <c r="D8233" s="579"/>
      <c r="E8233" s="583"/>
      <c r="F8233" s="596"/>
      <c r="G8233" s="65">
        <v>0</v>
      </c>
      <c r="H8233" s="591" t="s">
        <v>280</v>
      </c>
      <c r="I8233" s="589" t="s">
        <v>280</v>
      </c>
    </row>
    <row r="8234" spans="1:9">
      <c r="A8234" s="577"/>
      <c r="B8234" s="65">
        <v>8432</v>
      </c>
      <c r="C8234" s="579" t="s">
        <v>281</v>
      </c>
      <c r="D8234" s="579"/>
      <c r="E8234" s="583"/>
      <c r="F8234" s="596"/>
      <c r="G8234" s="65">
        <v>0</v>
      </c>
      <c r="H8234" s="591" t="s">
        <v>280</v>
      </c>
      <c r="I8234" s="589" t="s">
        <v>280</v>
      </c>
    </row>
    <row r="8235" spans="1:9">
      <c r="A8235" s="577"/>
      <c r="B8235" s="65">
        <v>8433</v>
      </c>
      <c r="C8235" s="579" t="s">
        <v>281</v>
      </c>
      <c r="D8235" s="579"/>
      <c r="E8235" s="583"/>
      <c r="F8235" s="596"/>
      <c r="G8235" s="65">
        <v>0</v>
      </c>
      <c r="H8235" s="591" t="s">
        <v>280</v>
      </c>
      <c r="I8235" s="589" t="s">
        <v>280</v>
      </c>
    </row>
    <row r="8236" spans="1:9">
      <c r="A8236" s="577"/>
      <c r="B8236" s="65">
        <v>8434</v>
      </c>
      <c r="C8236" s="579" t="s">
        <v>281</v>
      </c>
      <c r="D8236" s="579"/>
      <c r="E8236" s="583"/>
      <c r="F8236" s="596"/>
      <c r="G8236" s="65">
        <v>0</v>
      </c>
      <c r="H8236" s="591" t="s">
        <v>280</v>
      </c>
      <c r="I8236" s="589" t="s">
        <v>280</v>
      </c>
    </row>
    <row r="8237" spans="1:9">
      <c r="A8237" s="577"/>
      <c r="B8237" s="65">
        <v>8435</v>
      </c>
      <c r="C8237" s="579" t="s">
        <v>281</v>
      </c>
      <c r="D8237" s="579"/>
      <c r="E8237" s="583"/>
      <c r="F8237" s="596"/>
      <c r="G8237" s="65">
        <v>0</v>
      </c>
      <c r="H8237" s="591" t="s">
        <v>280</v>
      </c>
      <c r="I8237" s="589" t="s">
        <v>280</v>
      </c>
    </row>
    <row r="8238" spans="1:9">
      <c r="A8238" s="577"/>
      <c r="B8238" s="65">
        <v>8436</v>
      </c>
      <c r="C8238" s="579" t="s">
        <v>281</v>
      </c>
      <c r="D8238" s="579"/>
      <c r="E8238" s="583"/>
      <c r="F8238" s="596"/>
      <c r="G8238" s="65">
        <v>0</v>
      </c>
      <c r="H8238" s="591" t="s">
        <v>280</v>
      </c>
      <c r="I8238" s="589" t="s">
        <v>280</v>
      </c>
    </row>
    <row r="8239" spans="1:9">
      <c r="A8239" s="577"/>
      <c r="B8239" s="65">
        <v>8437</v>
      </c>
      <c r="C8239" s="579" t="s">
        <v>281</v>
      </c>
      <c r="D8239" s="579"/>
      <c r="E8239" s="583"/>
      <c r="F8239" s="596"/>
      <c r="G8239" s="65">
        <v>0</v>
      </c>
      <c r="H8239" s="591" t="s">
        <v>280</v>
      </c>
      <c r="I8239" s="589" t="s">
        <v>280</v>
      </c>
    </row>
    <row r="8240" spans="1:9">
      <c r="A8240" s="577"/>
      <c r="B8240" s="65">
        <v>8438</v>
      </c>
      <c r="C8240" s="579" t="s">
        <v>281</v>
      </c>
      <c r="D8240" s="579"/>
      <c r="E8240" s="583"/>
      <c r="F8240" s="596"/>
      <c r="G8240" s="65">
        <v>0</v>
      </c>
      <c r="H8240" s="591" t="s">
        <v>280</v>
      </c>
      <c r="I8240" s="589" t="s">
        <v>280</v>
      </c>
    </row>
    <row r="8241" spans="1:9">
      <c r="A8241" s="577"/>
      <c r="B8241" s="65">
        <v>8439</v>
      </c>
      <c r="C8241" s="579" t="s">
        <v>281</v>
      </c>
      <c r="D8241" s="579"/>
      <c r="E8241" s="583"/>
      <c r="F8241" s="596"/>
      <c r="G8241" s="65">
        <v>0</v>
      </c>
      <c r="H8241" s="591" t="s">
        <v>280</v>
      </c>
      <c r="I8241" s="589" t="s">
        <v>280</v>
      </c>
    </row>
    <row r="8242" spans="1:9">
      <c r="A8242" s="577"/>
      <c r="B8242" s="65">
        <v>8440</v>
      </c>
      <c r="C8242" s="579" t="s">
        <v>281</v>
      </c>
      <c r="D8242" s="579"/>
      <c r="E8242" s="583"/>
      <c r="F8242" s="596"/>
      <c r="G8242" s="65">
        <v>0</v>
      </c>
      <c r="H8242" s="591" t="s">
        <v>280</v>
      </c>
      <c r="I8242" s="589" t="s">
        <v>280</v>
      </c>
    </row>
    <row r="8243" spans="1:9">
      <c r="A8243" s="577"/>
      <c r="B8243" s="65">
        <v>8441</v>
      </c>
      <c r="C8243" s="579" t="s">
        <v>281</v>
      </c>
      <c r="D8243" s="579"/>
      <c r="E8243" s="583"/>
      <c r="F8243" s="596"/>
      <c r="G8243" s="65">
        <v>0</v>
      </c>
      <c r="H8243" s="591" t="s">
        <v>280</v>
      </c>
      <c r="I8243" s="589" t="s">
        <v>280</v>
      </c>
    </row>
    <row r="8244" spans="1:9">
      <c r="A8244" s="577"/>
      <c r="B8244" s="65">
        <v>8442</v>
      </c>
      <c r="C8244" s="579" t="s">
        <v>281</v>
      </c>
      <c r="D8244" s="579"/>
      <c r="E8244" s="583"/>
      <c r="F8244" s="596"/>
      <c r="G8244" s="65">
        <v>0</v>
      </c>
      <c r="H8244" s="591" t="s">
        <v>280</v>
      </c>
      <c r="I8244" s="589" t="s">
        <v>280</v>
      </c>
    </row>
    <row r="8245" spans="1:9">
      <c r="A8245" s="577"/>
      <c r="B8245" s="65">
        <v>8443</v>
      </c>
      <c r="C8245" s="579" t="s">
        <v>281</v>
      </c>
      <c r="D8245" s="579"/>
      <c r="E8245" s="583"/>
      <c r="F8245" s="596"/>
      <c r="G8245" s="65">
        <v>0</v>
      </c>
      <c r="H8245" s="591" t="s">
        <v>280</v>
      </c>
      <c r="I8245" s="589" t="s">
        <v>280</v>
      </c>
    </row>
    <row r="8246" spans="1:9">
      <c r="A8246" s="577"/>
      <c r="B8246" s="65">
        <v>8444</v>
      </c>
      <c r="C8246" s="579" t="s">
        <v>281</v>
      </c>
      <c r="D8246" s="579"/>
      <c r="E8246" s="583"/>
      <c r="F8246" s="596"/>
      <c r="G8246" s="65">
        <v>0</v>
      </c>
      <c r="H8246" s="591" t="s">
        <v>280</v>
      </c>
      <c r="I8246" s="589" t="s">
        <v>280</v>
      </c>
    </row>
    <row r="8247" spans="1:9">
      <c r="A8247" s="577"/>
      <c r="B8247" s="65">
        <v>8445</v>
      </c>
      <c r="C8247" s="579" t="s">
        <v>281</v>
      </c>
      <c r="D8247" s="579"/>
      <c r="E8247" s="583"/>
      <c r="F8247" s="596"/>
      <c r="G8247" s="65">
        <v>0</v>
      </c>
      <c r="H8247" s="591" t="s">
        <v>280</v>
      </c>
      <c r="I8247" s="589" t="s">
        <v>280</v>
      </c>
    </row>
    <row r="8248" spans="1:9">
      <c r="A8248" s="577"/>
      <c r="B8248" s="65">
        <v>8446</v>
      </c>
      <c r="C8248" s="579" t="s">
        <v>281</v>
      </c>
      <c r="D8248" s="579"/>
      <c r="E8248" s="583"/>
      <c r="F8248" s="596"/>
      <c r="G8248" s="65">
        <v>0</v>
      </c>
      <c r="H8248" s="591" t="s">
        <v>280</v>
      </c>
      <c r="I8248" s="589" t="s">
        <v>280</v>
      </c>
    </row>
    <row r="8249" spans="1:9">
      <c r="A8249" s="577"/>
      <c r="B8249" s="65">
        <v>8447</v>
      </c>
      <c r="C8249" s="579" t="s">
        <v>281</v>
      </c>
      <c r="D8249" s="579"/>
      <c r="E8249" s="583"/>
      <c r="F8249" s="596"/>
      <c r="G8249" s="65">
        <v>0</v>
      </c>
      <c r="H8249" s="591" t="s">
        <v>280</v>
      </c>
      <c r="I8249" s="589" t="s">
        <v>280</v>
      </c>
    </row>
    <row r="8250" spans="1:9">
      <c r="A8250" s="577"/>
      <c r="B8250" s="65">
        <v>8448</v>
      </c>
      <c r="C8250" s="579" t="s">
        <v>281</v>
      </c>
      <c r="D8250" s="579"/>
      <c r="E8250" s="583"/>
      <c r="F8250" s="596"/>
      <c r="G8250" s="65">
        <v>0</v>
      </c>
      <c r="H8250" s="591" t="s">
        <v>280</v>
      </c>
      <c r="I8250" s="589" t="s">
        <v>280</v>
      </c>
    </row>
    <row r="8251" spans="1:9">
      <c r="A8251" s="577"/>
      <c r="B8251" s="65">
        <v>8449</v>
      </c>
      <c r="C8251" s="579" t="s">
        <v>281</v>
      </c>
      <c r="D8251" s="579"/>
      <c r="E8251" s="583"/>
      <c r="F8251" s="596"/>
      <c r="G8251" s="65">
        <v>0</v>
      </c>
      <c r="H8251" s="591" t="s">
        <v>280</v>
      </c>
      <c r="I8251" s="589" t="s">
        <v>280</v>
      </c>
    </row>
    <row r="8252" spans="1:9">
      <c r="A8252" s="577"/>
      <c r="B8252" s="65">
        <v>8450</v>
      </c>
      <c r="C8252" s="579" t="s">
        <v>281</v>
      </c>
      <c r="D8252" s="579"/>
      <c r="E8252" s="583"/>
      <c r="F8252" s="596"/>
      <c r="G8252" s="65">
        <v>0</v>
      </c>
      <c r="H8252" s="591" t="s">
        <v>280</v>
      </c>
      <c r="I8252" s="589" t="s">
        <v>280</v>
      </c>
    </row>
    <row r="8253" spans="1:9">
      <c r="A8253" s="577"/>
      <c r="B8253" s="65">
        <v>8451</v>
      </c>
      <c r="C8253" s="579" t="s">
        <v>281</v>
      </c>
      <c r="D8253" s="579"/>
      <c r="E8253" s="583"/>
      <c r="F8253" s="596"/>
      <c r="G8253" s="65">
        <v>0</v>
      </c>
      <c r="H8253" s="591" t="s">
        <v>280</v>
      </c>
      <c r="I8253" s="589" t="s">
        <v>280</v>
      </c>
    </row>
    <row r="8254" spans="1:9">
      <c r="A8254" s="577"/>
      <c r="B8254" s="65">
        <v>8452</v>
      </c>
      <c r="C8254" s="579" t="s">
        <v>281</v>
      </c>
      <c r="D8254" s="579"/>
      <c r="E8254" s="583"/>
      <c r="F8254" s="596"/>
      <c r="G8254" s="65">
        <v>0</v>
      </c>
      <c r="H8254" s="591" t="s">
        <v>280</v>
      </c>
      <c r="I8254" s="589" t="s">
        <v>280</v>
      </c>
    </row>
    <row r="8255" spans="1:9">
      <c r="A8255" s="577"/>
      <c r="B8255" s="65">
        <v>8453</v>
      </c>
      <c r="C8255" s="579" t="s">
        <v>281</v>
      </c>
      <c r="D8255" s="579"/>
      <c r="E8255" s="583"/>
      <c r="F8255" s="596"/>
      <c r="G8255" s="65">
        <v>0</v>
      </c>
      <c r="H8255" s="591" t="s">
        <v>280</v>
      </c>
      <c r="I8255" s="589" t="s">
        <v>280</v>
      </c>
    </row>
    <row r="8256" spans="1:9">
      <c r="A8256" s="577"/>
      <c r="B8256" s="65">
        <v>8454</v>
      </c>
      <c r="C8256" s="579" t="s">
        <v>281</v>
      </c>
      <c r="D8256" s="579"/>
      <c r="E8256" s="583"/>
      <c r="F8256" s="596"/>
      <c r="G8256" s="65">
        <v>0</v>
      </c>
      <c r="H8256" s="591" t="s">
        <v>280</v>
      </c>
      <c r="I8256" s="589" t="s">
        <v>280</v>
      </c>
    </row>
    <row r="8257" spans="1:9">
      <c r="A8257" s="577"/>
      <c r="B8257" s="65">
        <v>8455</v>
      </c>
      <c r="C8257" s="579" t="s">
        <v>281</v>
      </c>
      <c r="D8257" s="579"/>
      <c r="E8257" s="583"/>
      <c r="F8257" s="596"/>
      <c r="G8257" s="65">
        <v>0</v>
      </c>
      <c r="H8257" s="591" t="s">
        <v>280</v>
      </c>
      <c r="I8257" s="589" t="s">
        <v>280</v>
      </c>
    </row>
    <row r="8258" spans="1:9">
      <c r="A8258" s="577"/>
      <c r="B8258" s="65">
        <v>8456</v>
      </c>
      <c r="C8258" s="579" t="s">
        <v>281</v>
      </c>
      <c r="D8258" s="579"/>
      <c r="E8258" s="583"/>
      <c r="F8258" s="596"/>
      <c r="G8258" s="65">
        <v>0</v>
      </c>
      <c r="H8258" s="591" t="s">
        <v>280</v>
      </c>
      <c r="I8258" s="589" t="s">
        <v>280</v>
      </c>
    </row>
    <row r="8259" spans="1:9">
      <c r="A8259" s="577"/>
      <c r="B8259" s="65">
        <v>8457</v>
      </c>
      <c r="C8259" s="579" t="s">
        <v>281</v>
      </c>
      <c r="D8259" s="579"/>
      <c r="E8259" s="583"/>
      <c r="F8259" s="596"/>
      <c r="G8259" s="65">
        <v>0</v>
      </c>
      <c r="H8259" s="591" t="s">
        <v>280</v>
      </c>
      <c r="I8259" s="589" t="s">
        <v>280</v>
      </c>
    </row>
    <row r="8260" spans="1:9">
      <c r="A8260" s="577"/>
      <c r="B8260" s="65">
        <v>8458</v>
      </c>
      <c r="C8260" s="579" t="s">
        <v>281</v>
      </c>
      <c r="D8260" s="579"/>
      <c r="E8260" s="583"/>
      <c r="F8260" s="596"/>
      <c r="G8260" s="65">
        <v>0</v>
      </c>
      <c r="H8260" s="591" t="s">
        <v>280</v>
      </c>
      <c r="I8260" s="589" t="s">
        <v>280</v>
      </c>
    </row>
    <row r="8261" spans="1:9">
      <c r="A8261" s="577"/>
      <c r="B8261" s="65">
        <v>8459</v>
      </c>
      <c r="C8261" s="579" t="s">
        <v>281</v>
      </c>
      <c r="D8261" s="579"/>
      <c r="E8261" s="583"/>
      <c r="F8261" s="596"/>
      <c r="G8261" s="65">
        <v>0</v>
      </c>
      <c r="H8261" s="591" t="s">
        <v>280</v>
      </c>
      <c r="I8261" s="589" t="s">
        <v>280</v>
      </c>
    </row>
    <row r="8262" spans="1:9">
      <c r="A8262" s="577"/>
      <c r="B8262" s="65">
        <v>8460</v>
      </c>
      <c r="C8262" s="579" t="s">
        <v>281</v>
      </c>
      <c r="D8262" s="579"/>
      <c r="E8262" s="583"/>
      <c r="F8262" s="596"/>
      <c r="G8262" s="65">
        <v>0</v>
      </c>
      <c r="H8262" s="591" t="s">
        <v>280</v>
      </c>
      <c r="I8262" s="589" t="s">
        <v>280</v>
      </c>
    </row>
    <row r="8263" spans="1:9">
      <c r="A8263" s="577"/>
      <c r="B8263" s="65">
        <v>8461</v>
      </c>
      <c r="C8263" s="579" t="s">
        <v>281</v>
      </c>
      <c r="D8263" s="579"/>
      <c r="E8263" s="583"/>
      <c r="F8263" s="596"/>
      <c r="G8263" s="65">
        <v>0</v>
      </c>
      <c r="H8263" s="591" t="s">
        <v>280</v>
      </c>
      <c r="I8263" s="589" t="s">
        <v>280</v>
      </c>
    </row>
    <row r="8264" spans="1:9">
      <c r="A8264" s="577"/>
      <c r="B8264" s="65">
        <v>8462</v>
      </c>
      <c r="C8264" s="579" t="s">
        <v>281</v>
      </c>
      <c r="D8264" s="579"/>
      <c r="E8264" s="583"/>
      <c r="F8264" s="596"/>
      <c r="G8264" s="65">
        <v>0</v>
      </c>
      <c r="H8264" s="591" t="s">
        <v>280</v>
      </c>
      <c r="I8264" s="589" t="s">
        <v>280</v>
      </c>
    </row>
    <row r="8265" spans="1:9">
      <c r="A8265" s="577"/>
      <c r="B8265" s="65">
        <v>8463</v>
      </c>
      <c r="C8265" s="579" t="s">
        <v>281</v>
      </c>
      <c r="D8265" s="579"/>
      <c r="E8265" s="583"/>
      <c r="F8265" s="596"/>
      <c r="G8265" s="65">
        <v>0</v>
      </c>
      <c r="H8265" s="591" t="s">
        <v>280</v>
      </c>
      <c r="I8265" s="589" t="s">
        <v>280</v>
      </c>
    </row>
    <row r="8266" spans="1:9">
      <c r="A8266" s="577"/>
      <c r="B8266" s="65">
        <v>8464</v>
      </c>
      <c r="C8266" s="579" t="s">
        <v>281</v>
      </c>
      <c r="D8266" s="579"/>
      <c r="E8266" s="583"/>
      <c r="F8266" s="596"/>
      <c r="G8266" s="65">
        <v>0</v>
      </c>
      <c r="H8266" s="591" t="s">
        <v>280</v>
      </c>
      <c r="I8266" s="589" t="s">
        <v>280</v>
      </c>
    </row>
    <row r="8267" spans="1:9">
      <c r="A8267" s="577"/>
      <c r="B8267" s="65">
        <v>8465</v>
      </c>
      <c r="C8267" s="579" t="s">
        <v>281</v>
      </c>
      <c r="D8267" s="579"/>
      <c r="E8267" s="583"/>
      <c r="F8267" s="596"/>
      <c r="G8267" s="65">
        <v>0</v>
      </c>
      <c r="H8267" s="591" t="s">
        <v>280</v>
      </c>
      <c r="I8267" s="589" t="s">
        <v>280</v>
      </c>
    </row>
    <row r="8268" spans="1:9">
      <c r="A8268" s="577"/>
      <c r="B8268" s="65">
        <v>8466</v>
      </c>
      <c r="C8268" s="579" t="s">
        <v>281</v>
      </c>
      <c r="D8268" s="579"/>
      <c r="E8268" s="583"/>
      <c r="F8268" s="596"/>
      <c r="G8268" s="65">
        <v>0</v>
      </c>
      <c r="H8268" s="591" t="s">
        <v>280</v>
      </c>
      <c r="I8268" s="589" t="s">
        <v>280</v>
      </c>
    </row>
    <row r="8269" spans="1:9">
      <c r="A8269" s="577"/>
      <c r="B8269" s="65">
        <v>8467</v>
      </c>
      <c r="C8269" s="579" t="s">
        <v>281</v>
      </c>
      <c r="D8269" s="579"/>
      <c r="E8269" s="583"/>
      <c r="F8269" s="596"/>
      <c r="G8269" s="65">
        <v>0</v>
      </c>
      <c r="H8269" s="591" t="s">
        <v>280</v>
      </c>
      <c r="I8269" s="589" t="s">
        <v>280</v>
      </c>
    </row>
    <row r="8270" spans="1:9">
      <c r="A8270" s="577"/>
      <c r="B8270" s="65">
        <v>8468</v>
      </c>
      <c r="C8270" s="579" t="s">
        <v>281</v>
      </c>
      <c r="D8270" s="579"/>
      <c r="E8270" s="583"/>
      <c r="F8270" s="596"/>
      <c r="G8270" s="65">
        <v>0</v>
      </c>
      <c r="H8270" s="591" t="s">
        <v>280</v>
      </c>
      <c r="I8270" s="589" t="s">
        <v>280</v>
      </c>
    </row>
    <row r="8271" spans="1:9">
      <c r="A8271" s="577"/>
      <c r="B8271" s="65">
        <v>8469</v>
      </c>
      <c r="C8271" s="579" t="s">
        <v>281</v>
      </c>
      <c r="D8271" s="579"/>
      <c r="E8271" s="583"/>
      <c r="F8271" s="596"/>
      <c r="G8271" s="65">
        <v>0</v>
      </c>
      <c r="H8271" s="591" t="s">
        <v>280</v>
      </c>
      <c r="I8271" s="589" t="s">
        <v>280</v>
      </c>
    </row>
    <row r="8272" spans="1:9">
      <c r="A8272" s="577"/>
      <c r="B8272" s="65">
        <v>8470</v>
      </c>
      <c r="C8272" s="579" t="s">
        <v>281</v>
      </c>
      <c r="D8272" s="579"/>
      <c r="E8272" s="583"/>
      <c r="F8272" s="596"/>
      <c r="G8272" s="65">
        <v>0</v>
      </c>
      <c r="H8272" s="591" t="s">
        <v>280</v>
      </c>
      <c r="I8272" s="589" t="s">
        <v>280</v>
      </c>
    </row>
    <row r="8273" spans="1:9">
      <c r="A8273" s="577"/>
      <c r="B8273" s="65">
        <v>8471</v>
      </c>
      <c r="C8273" s="579" t="s">
        <v>281</v>
      </c>
      <c r="D8273" s="579"/>
      <c r="E8273" s="583"/>
      <c r="F8273" s="596"/>
      <c r="G8273" s="65">
        <v>0</v>
      </c>
      <c r="H8273" s="591" t="s">
        <v>280</v>
      </c>
      <c r="I8273" s="589" t="s">
        <v>280</v>
      </c>
    </row>
    <row r="8274" spans="1:9">
      <c r="A8274" s="577"/>
      <c r="B8274" s="65">
        <v>8472</v>
      </c>
      <c r="C8274" s="579" t="s">
        <v>281</v>
      </c>
      <c r="D8274" s="579"/>
      <c r="E8274" s="583"/>
      <c r="F8274" s="596"/>
      <c r="G8274" s="65">
        <v>0</v>
      </c>
      <c r="H8274" s="591" t="s">
        <v>280</v>
      </c>
      <c r="I8274" s="589" t="s">
        <v>280</v>
      </c>
    </row>
    <row r="8275" spans="1:9">
      <c r="A8275" s="577"/>
      <c r="B8275" s="65">
        <v>8473</v>
      </c>
      <c r="C8275" s="579" t="s">
        <v>281</v>
      </c>
      <c r="D8275" s="579"/>
      <c r="E8275" s="583"/>
      <c r="F8275" s="596"/>
      <c r="G8275" s="65">
        <v>0</v>
      </c>
      <c r="H8275" s="591" t="s">
        <v>280</v>
      </c>
      <c r="I8275" s="589" t="s">
        <v>280</v>
      </c>
    </row>
    <row r="8276" spans="1:9">
      <c r="A8276" s="577"/>
      <c r="B8276" s="65">
        <v>8474</v>
      </c>
      <c r="C8276" s="579" t="s">
        <v>281</v>
      </c>
      <c r="D8276" s="579"/>
      <c r="E8276" s="583"/>
      <c r="F8276" s="596"/>
      <c r="G8276" s="65">
        <v>0</v>
      </c>
      <c r="H8276" s="591" t="s">
        <v>280</v>
      </c>
      <c r="I8276" s="589" t="s">
        <v>280</v>
      </c>
    </row>
    <row r="8277" spans="1:9">
      <c r="A8277" s="577"/>
      <c r="B8277" s="65">
        <v>8475</v>
      </c>
      <c r="C8277" s="579" t="s">
        <v>281</v>
      </c>
      <c r="D8277" s="579"/>
      <c r="E8277" s="583"/>
      <c r="F8277" s="596"/>
      <c r="G8277" s="65">
        <v>0</v>
      </c>
      <c r="H8277" s="591" t="s">
        <v>280</v>
      </c>
      <c r="I8277" s="589" t="s">
        <v>280</v>
      </c>
    </row>
    <row r="8278" spans="1:9">
      <c r="A8278" s="577"/>
      <c r="B8278" s="65">
        <v>8476</v>
      </c>
      <c r="C8278" s="579" t="s">
        <v>281</v>
      </c>
      <c r="D8278" s="579"/>
      <c r="E8278" s="583"/>
      <c r="F8278" s="596"/>
      <c r="G8278" s="65">
        <v>0</v>
      </c>
      <c r="H8278" s="591" t="s">
        <v>280</v>
      </c>
      <c r="I8278" s="589" t="s">
        <v>280</v>
      </c>
    </row>
    <row r="8279" spans="1:9">
      <c r="A8279" s="577"/>
      <c r="B8279" s="65">
        <v>8477</v>
      </c>
      <c r="C8279" s="579" t="s">
        <v>281</v>
      </c>
      <c r="D8279" s="579"/>
      <c r="E8279" s="583"/>
      <c r="F8279" s="596"/>
      <c r="G8279" s="65">
        <v>0</v>
      </c>
      <c r="H8279" s="591" t="s">
        <v>280</v>
      </c>
      <c r="I8279" s="589" t="s">
        <v>280</v>
      </c>
    </row>
    <row r="8280" spans="1:9">
      <c r="A8280" s="577"/>
      <c r="B8280" s="65">
        <v>8478</v>
      </c>
      <c r="C8280" s="579" t="s">
        <v>281</v>
      </c>
      <c r="D8280" s="579"/>
      <c r="E8280" s="583"/>
      <c r="F8280" s="596"/>
      <c r="G8280" s="65">
        <v>0</v>
      </c>
      <c r="H8280" s="591" t="s">
        <v>280</v>
      </c>
      <c r="I8280" s="589" t="s">
        <v>280</v>
      </c>
    </row>
    <row r="8281" spans="1:9">
      <c r="A8281" s="577"/>
      <c r="B8281" s="65">
        <v>8479</v>
      </c>
      <c r="C8281" s="579" t="s">
        <v>281</v>
      </c>
      <c r="D8281" s="579"/>
      <c r="E8281" s="583"/>
      <c r="F8281" s="596"/>
      <c r="G8281" s="65">
        <v>0</v>
      </c>
      <c r="H8281" s="591" t="s">
        <v>280</v>
      </c>
      <c r="I8281" s="589" t="s">
        <v>280</v>
      </c>
    </row>
    <row r="8282" spans="1:9">
      <c r="A8282" s="577"/>
      <c r="B8282" s="65">
        <v>8480</v>
      </c>
      <c r="C8282" s="579" t="s">
        <v>281</v>
      </c>
      <c r="D8282" s="579"/>
      <c r="E8282" s="583"/>
      <c r="F8282" s="596"/>
      <c r="G8282" s="65">
        <v>0</v>
      </c>
      <c r="H8282" s="591" t="s">
        <v>280</v>
      </c>
      <c r="I8282" s="589" t="s">
        <v>280</v>
      </c>
    </row>
    <row r="8283" spans="1:9">
      <c r="A8283" s="577"/>
      <c r="B8283" s="65">
        <v>8481</v>
      </c>
      <c r="C8283" s="579" t="s">
        <v>281</v>
      </c>
      <c r="D8283" s="579"/>
      <c r="E8283" s="583"/>
      <c r="F8283" s="596"/>
      <c r="G8283" s="65">
        <v>0</v>
      </c>
      <c r="H8283" s="591" t="s">
        <v>280</v>
      </c>
      <c r="I8283" s="589" t="s">
        <v>280</v>
      </c>
    </row>
    <row r="8284" spans="1:9">
      <c r="A8284" s="577"/>
      <c r="B8284" s="65">
        <v>8482</v>
      </c>
      <c r="C8284" s="579" t="s">
        <v>281</v>
      </c>
      <c r="D8284" s="579"/>
      <c r="E8284" s="583"/>
      <c r="F8284" s="596"/>
      <c r="G8284" s="65">
        <v>0</v>
      </c>
      <c r="H8284" s="591" t="s">
        <v>280</v>
      </c>
      <c r="I8284" s="589" t="s">
        <v>280</v>
      </c>
    </row>
    <row r="8285" spans="1:9">
      <c r="A8285" s="577"/>
      <c r="B8285" s="65">
        <v>8483</v>
      </c>
      <c r="C8285" s="579" t="s">
        <v>281</v>
      </c>
      <c r="D8285" s="579"/>
      <c r="E8285" s="583"/>
      <c r="F8285" s="596"/>
      <c r="G8285" s="65">
        <v>0</v>
      </c>
      <c r="H8285" s="591" t="s">
        <v>280</v>
      </c>
      <c r="I8285" s="589" t="s">
        <v>280</v>
      </c>
    </row>
    <row r="8286" spans="1:9">
      <c r="A8286" s="577"/>
      <c r="B8286" s="65">
        <v>8484</v>
      </c>
      <c r="C8286" s="579" t="s">
        <v>281</v>
      </c>
      <c r="D8286" s="579"/>
      <c r="E8286" s="583"/>
      <c r="F8286" s="596"/>
      <c r="G8286" s="65">
        <v>0</v>
      </c>
      <c r="H8286" s="591" t="s">
        <v>280</v>
      </c>
      <c r="I8286" s="589" t="s">
        <v>280</v>
      </c>
    </row>
    <row r="8287" spans="1:9">
      <c r="A8287" s="577"/>
      <c r="B8287" s="65">
        <v>8485</v>
      </c>
      <c r="C8287" s="579" t="s">
        <v>281</v>
      </c>
      <c r="D8287" s="579"/>
      <c r="E8287" s="583"/>
      <c r="F8287" s="596"/>
      <c r="G8287" s="65">
        <v>0</v>
      </c>
      <c r="H8287" s="591" t="s">
        <v>280</v>
      </c>
      <c r="I8287" s="589" t="s">
        <v>280</v>
      </c>
    </row>
    <row r="8288" spans="1:9">
      <c r="A8288" s="577"/>
      <c r="B8288" s="65">
        <v>8486</v>
      </c>
      <c r="C8288" s="579" t="s">
        <v>281</v>
      </c>
      <c r="D8288" s="579"/>
      <c r="E8288" s="583"/>
      <c r="F8288" s="596"/>
      <c r="G8288" s="65">
        <v>0</v>
      </c>
      <c r="H8288" s="591" t="s">
        <v>280</v>
      </c>
      <c r="I8288" s="589" t="s">
        <v>280</v>
      </c>
    </row>
    <row r="8289" spans="1:9">
      <c r="A8289" s="577"/>
      <c r="B8289" s="65">
        <v>8487</v>
      </c>
      <c r="C8289" s="579" t="s">
        <v>281</v>
      </c>
      <c r="D8289" s="579"/>
      <c r="E8289" s="583"/>
      <c r="F8289" s="596"/>
      <c r="G8289" s="65">
        <v>0</v>
      </c>
      <c r="H8289" s="591" t="s">
        <v>280</v>
      </c>
      <c r="I8289" s="589" t="s">
        <v>280</v>
      </c>
    </row>
    <row r="8290" spans="1:9">
      <c r="A8290" s="577"/>
      <c r="B8290" s="65">
        <v>8488</v>
      </c>
      <c r="C8290" s="579" t="s">
        <v>281</v>
      </c>
      <c r="D8290" s="579"/>
      <c r="E8290" s="583"/>
      <c r="F8290" s="596"/>
      <c r="G8290" s="65">
        <v>0</v>
      </c>
      <c r="H8290" s="591" t="s">
        <v>280</v>
      </c>
      <c r="I8290" s="589" t="s">
        <v>280</v>
      </c>
    </row>
    <row r="8291" spans="1:9">
      <c r="A8291" s="577"/>
      <c r="B8291" s="65">
        <v>8489</v>
      </c>
      <c r="C8291" s="579" t="s">
        <v>281</v>
      </c>
      <c r="D8291" s="579"/>
      <c r="E8291" s="583"/>
      <c r="F8291" s="596"/>
      <c r="G8291" s="65">
        <v>0</v>
      </c>
      <c r="H8291" s="591" t="s">
        <v>280</v>
      </c>
      <c r="I8291" s="589" t="s">
        <v>280</v>
      </c>
    </row>
    <row r="8292" spans="1:9">
      <c r="A8292" s="577"/>
      <c r="B8292" s="65">
        <v>8490</v>
      </c>
      <c r="C8292" s="579" t="s">
        <v>281</v>
      </c>
      <c r="D8292" s="579"/>
      <c r="E8292" s="583"/>
      <c r="F8292" s="596"/>
      <c r="G8292" s="65">
        <v>0</v>
      </c>
      <c r="H8292" s="591" t="s">
        <v>280</v>
      </c>
      <c r="I8292" s="589" t="s">
        <v>280</v>
      </c>
    </row>
    <row r="8293" spans="1:9">
      <c r="A8293" s="577"/>
      <c r="B8293" s="65">
        <v>8491</v>
      </c>
      <c r="C8293" s="579" t="s">
        <v>281</v>
      </c>
      <c r="D8293" s="579"/>
      <c r="E8293" s="583"/>
      <c r="F8293" s="596"/>
      <c r="G8293" s="65">
        <v>0</v>
      </c>
      <c r="H8293" s="591" t="s">
        <v>280</v>
      </c>
      <c r="I8293" s="589" t="s">
        <v>280</v>
      </c>
    </row>
    <row r="8294" spans="1:9">
      <c r="A8294" s="577"/>
      <c r="B8294" s="65">
        <v>8492</v>
      </c>
      <c r="C8294" s="579" t="s">
        <v>281</v>
      </c>
      <c r="D8294" s="579"/>
      <c r="E8294" s="583"/>
      <c r="F8294" s="596"/>
      <c r="G8294" s="65">
        <v>0</v>
      </c>
      <c r="H8294" s="591" t="s">
        <v>280</v>
      </c>
      <c r="I8294" s="589" t="s">
        <v>280</v>
      </c>
    </row>
    <row r="8295" spans="1:9">
      <c r="A8295" s="577"/>
      <c r="B8295" s="65">
        <v>8493</v>
      </c>
      <c r="C8295" s="579" t="s">
        <v>281</v>
      </c>
      <c r="D8295" s="579"/>
      <c r="E8295" s="583"/>
      <c r="F8295" s="596"/>
      <c r="G8295" s="65">
        <v>0</v>
      </c>
      <c r="H8295" s="591" t="s">
        <v>280</v>
      </c>
      <c r="I8295" s="589" t="s">
        <v>280</v>
      </c>
    </row>
    <row r="8296" spans="1:9">
      <c r="A8296" s="577"/>
      <c r="B8296" s="65">
        <v>8494</v>
      </c>
      <c r="C8296" s="579" t="s">
        <v>281</v>
      </c>
      <c r="D8296" s="579"/>
      <c r="E8296" s="583"/>
      <c r="F8296" s="596"/>
      <c r="G8296" s="65">
        <v>0</v>
      </c>
      <c r="H8296" s="591" t="s">
        <v>280</v>
      </c>
      <c r="I8296" s="589" t="s">
        <v>280</v>
      </c>
    </row>
    <row r="8297" spans="1:9">
      <c r="A8297" s="577"/>
      <c r="B8297" s="65">
        <v>8495</v>
      </c>
      <c r="C8297" s="579" t="s">
        <v>281</v>
      </c>
      <c r="D8297" s="579"/>
      <c r="E8297" s="583"/>
      <c r="F8297" s="596"/>
      <c r="G8297" s="65">
        <v>0</v>
      </c>
      <c r="H8297" s="591" t="s">
        <v>280</v>
      </c>
      <c r="I8297" s="589" t="s">
        <v>280</v>
      </c>
    </row>
    <row r="8298" spans="1:9">
      <c r="A8298" s="577"/>
      <c r="B8298" s="65">
        <v>8496</v>
      </c>
      <c r="C8298" s="579" t="s">
        <v>281</v>
      </c>
      <c r="D8298" s="579"/>
      <c r="E8298" s="583"/>
      <c r="F8298" s="596"/>
      <c r="G8298" s="65">
        <v>0</v>
      </c>
      <c r="H8298" s="591" t="s">
        <v>280</v>
      </c>
      <c r="I8298" s="589" t="s">
        <v>280</v>
      </c>
    </row>
    <row r="8299" spans="1:9">
      <c r="A8299" s="577"/>
      <c r="B8299" s="65">
        <v>8497</v>
      </c>
      <c r="C8299" s="579" t="s">
        <v>281</v>
      </c>
      <c r="D8299" s="579"/>
      <c r="E8299" s="583"/>
      <c r="F8299" s="596"/>
      <c r="G8299" s="65">
        <v>0</v>
      </c>
      <c r="H8299" s="591" t="s">
        <v>280</v>
      </c>
      <c r="I8299" s="589" t="s">
        <v>280</v>
      </c>
    </row>
    <row r="8300" spans="1:9">
      <c r="A8300" s="577"/>
      <c r="B8300" s="65">
        <v>8498</v>
      </c>
      <c r="C8300" s="579" t="s">
        <v>281</v>
      </c>
      <c r="D8300" s="579"/>
      <c r="E8300" s="583"/>
      <c r="F8300" s="596"/>
      <c r="G8300" s="65">
        <v>0</v>
      </c>
      <c r="H8300" s="591" t="s">
        <v>280</v>
      </c>
      <c r="I8300" s="589" t="s">
        <v>280</v>
      </c>
    </row>
    <row r="8301" spans="1:9">
      <c r="A8301" s="577"/>
      <c r="B8301" s="65">
        <v>8499</v>
      </c>
      <c r="C8301" s="579" t="s">
        <v>281</v>
      </c>
      <c r="D8301" s="579"/>
      <c r="E8301" s="583"/>
      <c r="F8301" s="596"/>
      <c r="G8301" s="65">
        <v>0</v>
      </c>
      <c r="H8301" s="591" t="s">
        <v>280</v>
      </c>
      <c r="I8301" s="589" t="s">
        <v>280</v>
      </c>
    </row>
    <row r="8302" spans="1:9">
      <c r="A8302" s="577"/>
      <c r="B8302" s="65">
        <v>8500</v>
      </c>
      <c r="C8302" s="579" t="s">
        <v>281</v>
      </c>
      <c r="D8302" s="579"/>
      <c r="E8302" s="583"/>
      <c r="F8302" s="596"/>
      <c r="G8302" s="65">
        <v>0</v>
      </c>
      <c r="H8302" s="591" t="s">
        <v>280</v>
      </c>
      <c r="I8302" s="589" t="s">
        <v>280</v>
      </c>
    </row>
    <row r="8303" spans="1:9">
      <c r="A8303" s="577"/>
      <c r="B8303" s="65">
        <v>8501</v>
      </c>
      <c r="C8303" s="579" t="s">
        <v>281</v>
      </c>
      <c r="D8303" s="579"/>
      <c r="E8303" s="583"/>
      <c r="F8303" s="596"/>
      <c r="G8303" s="65">
        <v>0</v>
      </c>
      <c r="H8303" s="591" t="s">
        <v>280</v>
      </c>
      <c r="I8303" s="589" t="s">
        <v>280</v>
      </c>
    </row>
    <row r="8304" spans="1:9">
      <c r="A8304" s="577"/>
      <c r="B8304" s="65">
        <v>8502</v>
      </c>
      <c r="C8304" s="579" t="s">
        <v>281</v>
      </c>
      <c r="D8304" s="579"/>
      <c r="E8304" s="583"/>
      <c r="F8304" s="596"/>
      <c r="G8304" s="65">
        <v>0</v>
      </c>
      <c r="H8304" s="591" t="s">
        <v>280</v>
      </c>
      <c r="I8304" s="589" t="s">
        <v>280</v>
      </c>
    </row>
    <row r="8305" spans="1:9">
      <c r="A8305" s="577"/>
      <c r="B8305" s="65">
        <v>8503</v>
      </c>
      <c r="C8305" s="579" t="s">
        <v>281</v>
      </c>
      <c r="D8305" s="579"/>
      <c r="E8305" s="583"/>
      <c r="F8305" s="596"/>
      <c r="G8305" s="65">
        <v>0</v>
      </c>
      <c r="H8305" s="591" t="s">
        <v>280</v>
      </c>
      <c r="I8305" s="589" t="s">
        <v>280</v>
      </c>
    </row>
    <row r="8306" spans="1:9">
      <c r="A8306" s="577"/>
      <c r="B8306" s="65">
        <v>8504</v>
      </c>
      <c r="C8306" s="579" t="s">
        <v>281</v>
      </c>
      <c r="D8306" s="579"/>
      <c r="E8306" s="583"/>
      <c r="F8306" s="596"/>
      <c r="G8306" s="65">
        <v>0</v>
      </c>
      <c r="H8306" s="591" t="s">
        <v>280</v>
      </c>
      <c r="I8306" s="589" t="s">
        <v>280</v>
      </c>
    </row>
    <row r="8307" spans="1:9">
      <c r="A8307" s="577"/>
      <c r="B8307" s="65">
        <v>8505</v>
      </c>
      <c r="C8307" s="579" t="s">
        <v>281</v>
      </c>
      <c r="D8307" s="579"/>
      <c r="E8307" s="583"/>
      <c r="F8307" s="596"/>
      <c r="G8307" s="65">
        <v>0</v>
      </c>
      <c r="H8307" s="591" t="s">
        <v>280</v>
      </c>
      <c r="I8307" s="589" t="s">
        <v>280</v>
      </c>
    </row>
    <row r="8308" spans="1:9">
      <c r="A8308" s="577"/>
      <c r="B8308" s="65">
        <v>8506</v>
      </c>
      <c r="C8308" s="579" t="s">
        <v>281</v>
      </c>
      <c r="D8308" s="579"/>
      <c r="E8308" s="583"/>
      <c r="F8308" s="596"/>
      <c r="G8308" s="65">
        <v>0</v>
      </c>
      <c r="H8308" s="591" t="s">
        <v>280</v>
      </c>
      <c r="I8308" s="589" t="s">
        <v>280</v>
      </c>
    </row>
    <row r="8309" spans="1:9">
      <c r="A8309" s="577"/>
      <c r="B8309" s="65">
        <v>8507</v>
      </c>
      <c r="C8309" s="579" t="s">
        <v>281</v>
      </c>
      <c r="D8309" s="579"/>
      <c r="E8309" s="583"/>
      <c r="F8309" s="596"/>
      <c r="G8309" s="65">
        <v>0</v>
      </c>
      <c r="H8309" s="591" t="s">
        <v>280</v>
      </c>
      <c r="I8309" s="589" t="s">
        <v>280</v>
      </c>
    </row>
    <row r="8310" spans="1:9">
      <c r="A8310" s="577"/>
      <c r="B8310" s="65">
        <v>8508</v>
      </c>
      <c r="C8310" s="579" t="s">
        <v>281</v>
      </c>
      <c r="D8310" s="579"/>
      <c r="E8310" s="583"/>
      <c r="F8310" s="596"/>
      <c r="G8310" s="65">
        <v>0</v>
      </c>
      <c r="H8310" s="591" t="s">
        <v>280</v>
      </c>
      <c r="I8310" s="589" t="s">
        <v>280</v>
      </c>
    </row>
    <row r="8311" spans="1:9">
      <c r="A8311" s="577"/>
      <c r="B8311" s="65">
        <v>8509</v>
      </c>
      <c r="C8311" s="579" t="s">
        <v>281</v>
      </c>
      <c r="D8311" s="579"/>
      <c r="E8311" s="583"/>
      <c r="F8311" s="596"/>
      <c r="G8311" s="65">
        <v>0</v>
      </c>
      <c r="H8311" s="591" t="s">
        <v>280</v>
      </c>
      <c r="I8311" s="589" t="s">
        <v>280</v>
      </c>
    </row>
    <row r="8312" spans="1:9">
      <c r="A8312" s="577"/>
      <c r="B8312" s="65">
        <v>8510</v>
      </c>
      <c r="C8312" s="579" t="s">
        <v>281</v>
      </c>
      <c r="D8312" s="579"/>
      <c r="E8312" s="583"/>
      <c r="F8312" s="596"/>
      <c r="G8312" s="65">
        <v>0</v>
      </c>
      <c r="H8312" s="591" t="s">
        <v>280</v>
      </c>
      <c r="I8312" s="589" t="s">
        <v>280</v>
      </c>
    </row>
    <row r="8313" spans="1:9">
      <c r="A8313" s="577"/>
      <c r="B8313" s="65">
        <v>8511</v>
      </c>
      <c r="C8313" s="579" t="s">
        <v>281</v>
      </c>
      <c r="D8313" s="579"/>
      <c r="E8313" s="583"/>
      <c r="F8313" s="596"/>
      <c r="G8313" s="65">
        <v>0</v>
      </c>
      <c r="H8313" s="591" t="s">
        <v>280</v>
      </c>
      <c r="I8313" s="589" t="s">
        <v>280</v>
      </c>
    </row>
    <row r="8314" spans="1:9">
      <c r="A8314" s="577"/>
      <c r="B8314" s="65">
        <v>8512</v>
      </c>
      <c r="C8314" s="579" t="s">
        <v>281</v>
      </c>
      <c r="D8314" s="579"/>
      <c r="E8314" s="583"/>
      <c r="F8314" s="596"/>
      <c r="G8314" s="65">
        <v>0</v>
      </c>
      <c r="H8314" s="591" t="s">
        <v>280</v>
      </c>
      <c r="I8314" s="589" t="s">
        <v>280</v>
      </c>
    </row>
    <row r="8315" spans="1:9">
      <c r="A8315" s="577"/>
      <c r="B8315" s="65">
        <v>8513</v>
      </c>
      <c r="C8315" s="579" t="s">
        <v>281</v>
      </c>
      <c r="D8315" s="579"/>
      <c r="E8315" s="583"/>
      <c r="F8315" s="596"/>
      <c r="G8315" s="65">
        <v>0</v>
      </c>
      <c r="H8315" s="591" t="s">
        <v>280</v>
      </c>
      <c r="I8315" s="589" t="s">
        <v>280</v>
      </c>
    </row>
    <row r="8316" spans="1:9">
      <c r="A8316" s="577"/>
      <c r="B8316" s="65">
        <v>8514</v>
      </c>
      <c r="C8316" s="579" t="s">
        <v>281</v>
      </c>
      <c r="D8316" s="579"/>
      <c r="E8316" s="583"/>
      <c r="F8316" s="596"/>
      <c r="G8316" s="65">
        <v>0</v>
      </c>
      <c r="H8316" s="591" t="s">
        <v>280</v>
      </c>
      <c r="I8316" s="589" t="s">
        <v>280</v>
      </c>
    </row>
    <row r="8317" spans="1:9">
      <c r="A8317" s="577"/>
      <c r="B8317" s="65">
        <v>8515</v>
      </c>
      <c r="C8317" s="579" t="s">
        <v>281</v>
      </c>
      <c r="D8317" s="579"/>
      <c r="E8317" s="583"/>
      <c r="F8317" s="596"/>
      <c r="G8317" s="65">
        <v>0</v>
      </c>
      <c r="H8317" s="591" t="s">
        <v>280</v>
      </c>
      <c r="I8317" s="589" t="s">
        <v>280</v>
      </c>
    </row>
    <row r="8318" spans="1:9">
      <c r="A8318" s="577"/>
      <c r="B8318" s="65">
        <v>8516</v>
      </c>
      <c r="C8318" s="579" t="s">
        <v>281</v>
      </c>
      <c r="D8318" s="579"/>
      <c r="E8318" s="583"/>
      <c r="F8318" s="596"/>
      <c r="G8318" s="65">
        <v>0</v>
      </c>
      <c r="H8318" s="591" t="s">
        <v>280</v>
      </c>
      <c r="I8318" s="589" t="s">
        <v>280</v>
      </c>
    </row>
    <row r="8319" spans="1:9">
      <c r="A8319" s="577"/>
      <c r="B8319" s="65">
        <v>8517</v>
      </c>
      <c r="C8319" s="579" t="s">
        <v>281</v>
      </c>
      <c r="D8319" s="579"/>
      <c r="E8319" s="583"/>
      <c r="F8319" s="596"/>
      <c r="G8319" s="65">
        <v>0</v>
      </c>
      <c r="H8319" s="591" t="s">
        <v>280</v>
      </c>
      <c r="I8319" s="589" t="s">
        <v>280</v>
      </c>
    </row>
    <row r="8320" spans="1:9">
      <c r="A8320" s="577"/>
      <c r="B8320" s="65">
        <v>8518</v>
      </c>
      <c r="C8320" s="579" t="s">
        <v>281</v>
      </c>
      <c r="D8320" s="579"/>
      <c r="E8320" s="583"/>
      <c r="F8320" s="596"/>
      <c r="G8320" s="65">
        <v>0</v>
      </c>
      <c r="H8320" s="591" t="s">
        <v>280</v>
      </c>
      <c r="I8320" s="589" t="s">
        <v>280</v>
      </c>
    </row>
    <row r="8321" spans="1:9">
      <c r="A8321" s="577"/>
      <c r="B8321" s="65">
        <v>8519</v>
      </c>
      <c r="C8321" s="579" t="s">
        <v>281</v>
      </c>
      <c r="D8321" s="579"/>
      <c r="E8321" s="583"/>
      <c r="F8321" s="596"/>
      <c r="G8321" s="65">
        <v>0</v>
      </c>
      <c r="H8321" s="591" t="s">
        <v>280</v>
      </c>
      <c r="I8321" s="589" t="s">
        <v>280</v>
      </c>
    </row>
    <row r="8322" spans="1:9">
      <c r="A8322" s="577"/>
      <c r="B8322" s="65">
        <v>8520</v>
      </c>
      <c r="C8322" s="579" t="s">
        <v>281</v>
      </c>
      <c r="D8322" s="579"/>
      <c r="E8322" s="583"/>
      <c r="F8322" s="596"/>
      <c r="G8322" s="65">
        <v>0</v>
      </c>
      <c r="H8322" s="591" t="s">
        <v>280</v>
      </c>
      <c r="I8322" s="589" t="s">
        <v>280</v>
      </c>
    </row>
    <row r="8323" spans="1:9">
      <c r="A8323" s="577"/>
      <c r="B8323" s="65">
        <v>8521</v>
      </c>
      <c r="C8323" s="579" t="s">
        <v>281</v>
      </c>
      <c r="D8323" s="579"/>
      <c r="E8323" s="583"/>
      <c r="F8323" s="596"/>
      <c r="G8323" s="65">
        <v>0</v>
      </c>
      <c r="H8323" s="591" t="s">
        <v>280</v>
      </c>
      <c r="I8323" s="589" t="s">
        <v>280</v>
      </c>
    </row>
    <row r="8324" spans="1:9">
      <c r="A8324" s="577"/>
      <c r="B8324" s="65">
        <v>8522</v>
      </c>
      <c r="C8324" s="579" t="s">
        <v>281</v>
      </c>
      <c r="D8324" s="579"/>
      <c r="E8324" s="583"/>
      <c r="F8324" s="596"/>
      <c r="G8324" s="65">
        <v>0</v>
      </c>
      <c r="H8324" s="591" t="s">
        <v>280</v>
      </c>
      <c r="I8324" s="589" t="s">
        <v>280</v>
      </c>
    </row>
    <row r="8325" spans="1:9">
      <c r="A8325" s="577"/>
      <c r="B8325" s="65">
        <v>8523</v>
      </c>
      <c r="C8325" s="579" t="s">
        <v>281</v>
      </c>
      <c r="D8325" s="579"/>
      <c r="E8325" s="583"/>
      <c r="F8325" s="596"/>
      <c r="G8325" s="65">
        <v>0</v>
      </c>
      <c r="H8325" s="591" t="s">
        <v>280</v>
      </c>
      <c r="I8325" s="589" t="s">
        <v>280</v>
      </c>
    </row>
    <row r="8326" spans="1:9">
      <c r="A8326" s="577"/>
      <c r="B8326" s="65">
        <v>8524</v>
      </c>
      <c r="C8326" s="579" t="s">
        <v>281</v>
      </c>
      <c r="D8326" s="579"/>
      <c r="E8326" s="583"/>
      <c r="F8326" s="596"/>
      <c r="G8326" s="65">
        <v>0</v>
      </c>
      <c r="H8326" s="591" t="s">
        <v>280</v>
      </c>
      <c r="I8326" s="589" t="s">
        <v>280</v>
      </c>
    </row>
    <row r="8327" spans="1:9">
      <c r="A8327" s="577"/>
      <c r="B8327" s="65">
        <v>8525</v>
      </c>
      <c r="C8327" s="579" t="s">
        <v>281</v>
      </c>
      <c r="D8327" s="579"/>
      <c r="E8327" s="583"/>
      <c r="F8327" s="596"/>
      <c r="G8327" s="65">
        <v>0</v>
      </c>
      <c r="H8327" s="591" t="s">
        <v>280</v>
      </c>
      <c r="I8327" s="589" t="s">
        <v>280</v>
      </c>
    </row>
    <row r="8328" spans="1:9">
      <c r="A8328" s="577"/>
      <c r="B8328" s="65">
        <v>8526</v>
      </c>
      <c r="C8328" s="579" t="s">
        <v>281</v>
      </c>
      <c r="D8328" s="579"/>
      <c r="E8328" s="583"/>
      <c r="F8328" s="596"/>
      <c r="G8328" s="65">
        <v>0</v>
      </c>
      <c r="H8328" s="591" t="s">
        <v>280</v>
      </c>
      <c r="I8328" s="589" t="s">
        <v>280</v>
      </c>
    </row>
    <row r="8329" spans="1:9">
      <c r="A8329" s="577"/>
      <c r="B8329" s="65">
        <v>8527</v>
      </c>
      <c r="C8329" s="579" t="s">
        <v>281</v>
      </c>
      <c r="D8329" s="579"/>
      <c r="E8329" s="583"/>
      <c r="F8329" s="596"/>
      <c r="G8329" s="65">
        <v>0</v>
      </c>
      <c r="H8329" s="591" t="s">
        <v>280</v>
      </c>
      <c r="I8329" s="589" t="s">
        <v>280</v>
      </c>
    </row>
    <row r="8330" spans="1:9">
      <c r="A8330" s="577"/>
      <c r="B8330" s="65">
        <v>8528</v>
      </c>
      <c r="C8330" s="579" t="s">
        <v>281</v>
      </c>
      <c r="D8330" s="579"/>
      <c r="E8330" s="583"/>
      <c r="F8330" s="596"/>
      <c r="G8330" s="65">
        <v>0</v>
      </c>
      <c r="H8330" s="591" t="s">
        <v>280</v>
      </c>
      <c r="I8330" s="589" t="s">
        <v>280</v>
      </c>
    </row>
    <row r="8331" spans="1:9">
      <c r="A8331" s="577"/>
      <c r="B8331" s="65">
        <v>8529</v>
      </c>
      <c r="C8331" s="579" t="s">
        <v>281</v>
      </c>
      <c r="D8331" s="579"/>
      <c r="E8331" s="583"/>
      <c r="F8331" s="596"/>
      <c r="G8331" s="65">
        <v>0</v>
      </c>
      <c r="H8331" s="591" t="s">
        <v>280</v>
      </c>
      <c r="I8331" s="589" t="s">
        <v>280</v>
      </c>
    </row>
    <row r="8332" spans="1:9">
      <c r="A8332" s="577"/>
      <c r="B8332" s="65">
        <v>8530</v>
      </c>
      <c r="C8332" s="579" t="s">
        <v>281</v>
      </c>
      <c r="D8332" s="579"/>
      <c r="E8332" s="583"/>
      <c r="F8332" s="596"/>
      <c r="G8332" s="65">
        <v>0</v>
      </c>
      <c r="H8332" s="591" t="s">
        <v>280</v>
      </c>
      <c r="I8332" s="589" t="s">
        <v>280</v>
      </c>
    </row>
    <row r="8333" spans="1:9">
      <c r="A8333" s="577"/>
      <c r="B8333" s="65">
        <v>8531</v>
      </c>
      <c r="C8333" s="579" t="s">
        <v>281</v>
      </c>
      <c r="D8333" s="579"/>
      <c r="E8333" s="583"/>
      <c r="F8333" s="596"/>
      <c r="G8333" s="65">
        <v>0</v>
      </c>
      <c r="H8333" s="591" t="s">
        <v>280</v>
      </c>
      <c r="I8333" s="589" t="s">
        <v>280</v>
      </c>
    </row>
    <row r="8334" spans="1:9">
      <c r="A8334" s="577"/>
      <c r="B8334" s="65">
        <v>8532</v>
      </c>
      <c r="C8334" s="579" t="s">
        <v>281</v>
      </c>
      <c r="D8334" s="579"/>
      <c r="E8334" s="583"/>
      <c r="F8334" s="596"/>
      <c r="G8334" s="65">
        <v>0</v>
      </c>
      <c r="H8334" s="591" t="s">
        <v>280</v>
      </c>
      <c r="I8334" s="589" t="s">
        <v>280</v>
      </c>
    </row>
    <row r="8335" spans="1:9">
      <c r="A8335" s="577"/>
      <c r="B8335" s="65">
        <v>8533</v>
      </c>
      <c r="C8335" s="579" t="s">
        <v>281</v>
      </c>
      <c r="D8335" s="579"/>
      <c r="E8335" s="583"/>
      <c r="F8335" s="596"/>
      <c r="G8335" s="65">
        <v>0</v>
      </c>
      <c r="H8335" s="591" t="s">
        <v>280</v>
      </c>
      <c r="I8335" s="589" t="s">
        <v>280</v>
      </c>
    </row>
    <row r="8336" spans="1:9">
      <c r="A8336" s="577"/>
      <c r="B8336" s="65">
        <v>8534</v>
      </c>
      <c r="C8336" s="579" t="s">
        <v>281</v>
      </c>
      <c r="D8336" s="579"/>
      <c r="E8336" s="583"/>
      <c r="F8336" s="596"/>
      <c r="G8336" s="65">
        <v>0</v>
      </c>
      <c r="H8336" s="591" t="s">
        <v>280</v>
      </c>
      <c r="I8336" s="589" t="s">
        <v>280</v>
      </c>
    </row>
    <row r="8337" spans="1:9">
      <c r="A8337" s="577"/>
      <c r="B8337" s="65">
        <v>8535</v>
      </c>
      <c r="C8337" s="579" t="s">
        <v>281</v>
      </c>
      <c r="D8337" s="579"/>
      <c r="E8337" s="583"/>
      <c r="F8337" s="596"/>
      <c r="G8337" s="65">
        <v>0</v>
      </c>
      <c r="H8337" s="591" t="s">
        <v>280</v>
      </c>
      <c r="I8337" s="589" t="s">
        <v>280</v>
      </c>
    </row>
    <row r="8338" spans="1:9">
      <c r="A8338" s="577"/>
      <c r="B8338" s="65">
        <v>8536</v>
      </c>
      <c r="C8338" s="579" t="s">
        <v>281</v>
      </c>
      <c r="D8338" s="579"/>
      <c r="E8338" s="583"/>
      <c r="F8338" s="596"/>
      <c r="G8338" s="65">
        <v>0</v>
      </c>
      <c r="H8338" s="591" t="s">
        <v>280</v>
      </c>
      <c r="I8338" s="589" t="s">
        <v>280</v>
      </c>
    </row>
    <row r="8339" spans="1:9">
      <c r="A8339" s="577"/>
      <c r="B8339" s="65">
        <v>8537</v>
      </c>
      <c r="C8339" s="579" t="s">
        <v>281</v>
      </c>
      <c r="D8339" s="579"/>
      <c r="E8339" s="583"/>
      <c r="F8339" s="596"/>
      <c r="G8339" s="65">
        <v>0</v>
      </c>
      <c r="H8339" s="591" t="s">
        <v>280</v>
      </c>
      <c r="I8339" s="589" t="s">
        <v>280</v>
      </c>
    </row>
    <row r="8340" spans="1:9">
      <c r="A8340" s="577"/>
      <c r="B8340" s="65">
        <v>8538</v>
      </c>
      <c r="C8340" s="579" t="s">
        <v>281</v>
      </c>
      <c r="D8340" s="579"/>
      <c r="E8340" s="583"/>
      <c r="F8340" s="596"/>
      <c r="G8340" s="65">
        <v>0</v>
      </c>
      <c r="H8340" s="591" t="s">
        <v>280</v>
      </c>
      <c r="I8340" s="589" t="s">
        <v>280</v>
      </c>
    </row>
    <row r="8341" spans="1:9">
      <c r="A8341" s="577"/>
      <c r="B8341" s="65">
        <v>8539</v>
      </c>
      <c r="C8341" s="579" t="s">
        <v>281</v>
      </c>
      <c r="D8341" s="579"/>
      <c r="E8341" s="583"/>
      <c r="F8341" s="596"/>
      <c r="G8341" s="65">
        <v>0</v>
      </c>
      <c r="H8341" s="591" t="s">
        <v>280</v>
      </c>
      <c r="I8341" s="589" t="s">
        <v>280</v>
      </c>
    </row>
    <row r="8342" spans="1:9">
      <c r="A8342" s="577"/>
      <c r="B8342" s="65">
        <v>8540</v>
      </c>
      <c r="C8342" s="579" t="s">
        <v>281</v>
      </c>
      <c r="D8342" s="579"/>
      <c r="E8342" s="583"/>
      <c r="F8342" s="596"/>
      <c r="G8342" s="65">
        <v>0</v>
      </c>
      <c r="H8342" s="591" t="s">
        <v>280</v>
      </c>
      <c r="I8342" s="589" t="s">
        <v>280</v>
      </c>
    </row>
    <row r="8343" spans="1:9">
      <c r="A8343" s="577"/>
      <c r="B8343" s="65">
        <v>8541</v>
      </c>
      <c r="C8343" s="579" t="s">
        <v>281</v>
      </c>
      <c r="D8343" s="579"/>
      <c r="E8343" s="583"/>
      <c r="F8343" s="596"/>
      <c r="G8343" s="65">
        <v>0</v>
      </c>
      <c r="H8343" s="591" t="s">
        <v>280</v>
      </c>
      <c r="I8343" s="589" t="s">
        <v>280</v>
      </c>
    </row>
    <row r="8344" spans="1:9">
      <c r="A8344" s="577"/>
      <c r="B8344" s="65">
        <v>8542</v>
      </c>
      <c r="C8344" s="579" t="s">
        <v>281</v>
      </c>
      <c r="D8344" s="579"/>
      <c r="E8344" s="583"/>
      <c r="F8344" s="596"/>
      <c r="G8344" s="65">
        <v>0</v>
      </c>
      <c r="H8344" s="591" t="s">
        <v>280</v>
      </c>
      <c r="I8344" s="589" t="s">
        <v>280</v>
      </c>
    </row>
    <row r="8345" spans="1:9">
      <c r="A8345" s="577"/>
      <c r="B8345" s="65">
        <v>8543</v>
      </c>
      <c r="C8345" s="579" t="s">
        <v>281</v>
      </c>
      <c r="D8345" s="579"/>
      <c r="E8345" s="583"/>
      <c r="F8345" s="596"/>
      <c r="G8345" s="65">
        <v>0</v>
      </c>
      <c r="H8345" s="591" t="s">
        <v>280</v>
      </c>
      <c r="I8345" s="589" t="s">
        <v>280</v>
      </c>
    </row>
    <row r="8346" spans="1:9">
      <c r="A8346" s="577"/>
      <c r="B8346" s="65">
        <v>8544</v>
      </c>
      <c r="C8346" s="579" t="s">
        <v>281</v>
      </c>
      <c r="D8346" s="579"/>
      <c r="E8346" s="583"/>
      <c r="F8346" s="596"/>
      <c r="G8346" s="65">
        <v>0</v>
      </c>
      <c r="H8346" s="591" t="s">
        <v>280</v>
      </c>
      <c r="I8346" s="589" t="s">
        <v>280</v>
      </c>
    </row>
    <row r="8347" spans="1:9">
      <c r="A8347" s="577"/>
      <c r="B8347" s="65">
        <v>8545</v>
      </c>
      <c r="C8347" s="579" t="s">
        <v>281</v>
      </c>
      <c r="D8347" s="579"/>
      <c r="E8347" s="583"/>
      <c r="F8347" s="596"/>
      <c r="G8347" s="65">
        <v>0</v>
      </c>
      <c r="H8347" s="591" t="s">
        <v>280</v>
      </c>
      <c r="I8347" s="589" t="s">
        <v>280</v>
      </c>
    </row>
    <row r="8348" spans="1:9">
      <c r="A8348" s="577"/>
      <c r="B8348" s="65">
        <v>8546</v>
      </c>
      <c r="C8348" s="579" t="s">
        <v>281</v>
      </c>
      <c r="D8348" s="579"/>
      <c r="E8348" s="583"/>
      <c r="F8348" s="596"/>
      <c r="G8348" s="65">
        <v>0</v>
      </c>
      <c r="H8348" s="591" t="s">
        <v>280</v>
      </c>
      <c r="I8348" s="589" t="s">
        <v>280</v>
      </c>
    </row>
    <row r="8349" spans="1:9">
      <c r="A8349" s="577"/>
      <c r="B8349" s="65">
        <v>8547</v>
      </c>
      <c r="C8349" s="579" t="s">
        <v>281</v>
      </c>
      <c r="D8349" s="579"/>
      <c r="E8349" s="583"/>
      <c r="F8349" s="596"/>
      <c r="G8349" s="65">
        <v>0</v>
      </c>
      <c r="H8349" s="591" t="s">
        <v>280</v>
      </c>
      <c r="I8349" s="589" t="s">
        <v>280</v>
      </c>
    </row>
    <row r="8350" spans="1:9">
      <c r="A8350" s="577"/>
      <c r="B8350" s="65">
        <v>8548</v>
      </c>
      <c r="C8350" s="579" t="s">
        <v>281</v>
      </c>
      <c r="D8350" s="579"/>
      <c r="E8350" s="583"/>
      <c r="F8350" s="596"/>
      <c r="G8350" s="65">
        <v>0</v>
      </c>
      <c r="H8350" s="591" t="s">
        <v>280</v>
      </c>
      <c r="I8350" s="589" t="s">
        <v>280</v>
      </c>
    </row>
    <row r="8351" spans="1:9">
      <c r="A8351" s="577"/>
      <c r="B8351" s="65">
        <v>8549</v>
      </c>
      <c r="C8351" s="579" t="s">
        <v>281</v>
      </c>
      <c r="D8351" s="579"/>
      <c r="E8351" s="583"/>
      <c r="F8351" s="596"/>
      <c r="G8351" s="65">
        <v>0</v>
      </c>
      <c r="H8351" s="591" t="s">
        <v>280</v>
      </c>
      <c r="I8351" s="589" t="s">
        <v>280</v>
      </c>
    </row>
    <row r="8352" spans="1:9">
      <c r="A8352" s="577"/>
      <c r="B8352" s="65">
        <v>8550</v>
      </c>
      <c r="C8352" s="579" t="s">
        <v>281</v>
      </c>
      <c r="D8352" s="579"/>
      <c r="E8352" s="583"/>
      <c r="F8352" s="596"/>
      <c r="G8352" s="65">
        <v>0</v>
      </c>
      <c r="H8352" s="591" t="s">
        <v>280</v>
      </c>
      <c r="I8352" s="589" t="s">
        <v>280</v>
      </c>
    </row>
    <row r="8353" spans="1:9">
      <c r="A8353" s="577"/>
      <c r="B8353" s="65">
        <v>8551</v>
      </c>
      <c r="C8353" s="579" t="s">
        <v>281</v>
      </c>
      <c r="D8353" s="579"/>
      <c r="E8353" s="583"/>
      <c r="F8353" s="596"/>
      <c r="G8353" s="65">
        <v>0</v>
      </c>
      <c r="H8353" s="591" t="s">
        <v>280</v>
      </c>
      <c r="I8353" s="589" t="s">
        <v>280</v>
      </c>
    </row>
    <row r="8354" spans="1:9">
      <c r="A8354" s="577"/>
      <c r="B8354" s="65">
        <v>8552</v>
      </c>
      <c r="C8354" s="579" t="s">
        <v>281</v>
      </c>
      <c r="D8354" s="579"/>
      <c r="E8354" s="583"/>
      <c r="F8354" s="596"/>
      <c r="G8354" s="65">
        <v>0</v>
      </c>
      <c r="H8354" s="591" t="s">
        <v>280</v>
      </c>
      <c r="I8354" s="589" t="s">
        <v>280</v>
      </c>
    </row>
    <row r="8355" spans="1:9">
      <c r="A8355" s="577"/>
      <c r="B8355" s="65">
        <v>8553</v>
      </c>
      <c r="C8355" s="579" t="s">
        <v>281</v>
      </c>
      <c r="D8355" s="579"/>
      <c r="E8355" s="583"/>
      <c r="F8355" s="596"/>
      <c r="G8355" s="65">
        <v>0</v>
      </c>
      <c r="H8355" s="591" t="s">
        <v>280</v>
      </c>
      <c r="I8355" s="589" t="s">
        <v>280</v>
      </c>
    </row>
    <row r="8356" spans="1:9">
      <c r="A8356" s="577"/>
      <c r="B8356" s="65">
        <v>8554</v>
      </c>
      <c r="C8356" s="579" t="s">
        <v>281</v>
      </c>
      <c r="D8356" s="579"/>
      <c r="E8356" s="583"/>
      <c r="F8356" s="596"/>
      <c r="G8356" s="65">
        <v>0</v>
      </c>
      <c r="H8356" s="591" t="s">
        <v>280</v>
      </c>
      <c r="I8356" s="589" t="s">
        <v>280</v>
      </c>
    </row>
    <row r="8357" spans="1:9">
      <c r="A8357" s="577"/>
      <c r="B8357" s="65">
        <v>8555</v>
      </c>
      <c r="C8357" s="579" t="s">
        <v>281</v>
      </c>
      <c r="D8357" s="579"/>
      <c r="E8357" s="583"/>
      <c r="F8357" s="596"/>
      <c r="G8357" s="65">
        <v>0</v>
      </c>
      <c r="H8357" s="591" t="s">
        <v>280</v>
      </c>
      <c r="I8357" s="589" t="s">
        <v>280</v>
      </c>
    </row>
    <row r="8358" spans="1:9">
      <c r="A8358" s="577"/>
      <c r="B8358" s="65">
        <v>8556</v>
      </c>
      <c r="C8358" s="579" t="s">
        <v>281</v>
      </c>
      <c r="D8358" s="579"/>
      <c r="E8358" s="583"/>
      <c r="F8358" s="596"/>
      <c r="G8358" s="65">
        <v>0</v>
      </c>
      <c r="H8358" s="591" t="s">
        <v>280</v>
      </c>
      <c r="I8358" s="589" t="s">
        <v>280</v>
      </c>
    </row>
    <row r="8359" spans="1:9">
      <c r="A8359" s="577"/>
      <c r="B8359" s="65">
        <v>8557</v>
      </c>
      <c r="C8359" s="579" t="s">
        <v>281</v>
      </c>
      <c r="D8359" s="579"/>
      <c r="E8359" s="583"/>
      <c r="F8359" s="596"/>
      <c r="G8359" s="65">
        <v>0</v>
      </c>
      <c r="H8359" s="591" t="s">
        <v>280</v>
      </c>
      <c r="I8359" s="589" t="s">
        <v>280</v>
      </c>
    </row>
    <row r="8360" spans="1:9">
      <c r="A8360" s="577"/>
      <c r="B8360" s="65">
        <v>8558</v>
      </c>
      <c r="C8360" s="579" t="s">
        <v>281</v>
      </c>
      <c r="D8360" s="579"/>
      <c r="E8360" s="583"/>
      <c r="F8360" s="596"/>
      <c r="G8360" s="65">
        <v>0</v>
      </c>
      <c r="H8360" s="591" t="s">
        <v>280</v>
      </c>
      <c r="I8360" s="589" t="s">
        <v>280</v>
      </c>
    </row>
    <row r="8361" spans="1:9">
      <c r="A8361" s="577"/>
      <c r="B8361" s="65">
        <v>8559</v>
      </c>
      <c r="C8361" s="579" t="s">
        <v>281</v>
      </c>
      <c r="D8361" s="579"/>
      <c r="E8361" s="583"/>
      <c r="F8361" s="596"/>
      <c r="G8361" s="65">
        <v>0</v>
      </c>
      <c r="H8361" s="591" t="s">
        <v>280</v>
      </c>
      <c r="I8361" s="589" t="s">
        <v>280</v>
      </c>
    </row>
    <row r="8362" spans="1:9">
      <c r="A8362" s="577"/>
      <c r="B8362" s="65">
        <v>8560</v>
      </c>
      <c r="C8362" s="579" t="s">
        <v>281</v>
      </c>
      <c r="D8362" s="579"/>
      <c r="E8362" s="583"/>
      <c r="F8362" s="596"/>
      <c r="G8362" s="65">
        <v>0</v>
      </c>
      <c r="H8362" s="591" t="s">
        <v>280</v>
      </c>
      <c r="I8362" s="589" t="s">
        <v>280</v>
      </c>
    </row>
    <row r="8363" spans="1:9">
      <c r="A8363" s="577"/>
      <c r="B8363" s="65">
        <v>8561</v>
      </c>
      <c r="C8363" s="579" t="s">
        <v>281</v>
      </c>
      <c r="D8363" s="579"/>
      <c r="E8363" s="583"/>
      <c r="F8363" s="596"/>
      <c r="G8363" s="65">
        <v>0</v>
      </c>
      <c r="H8363" s="591" t="s">
        <v>280</v>
      </c>
      <c r="I8363" s="589" t="s">
        <v>280</v>
      </c>
    </row>
    <row r="8364" spans="1:9">
      <c r="A8364" s="577"/>
      <c r="B8364" s="65">
        <v>8562</v>
      </c>
      <c r="C8364" s="579" t="s">
        <v>281</v>
      </c>
      <c r="D8364" s="579"/>
      <c r="E8364" s="583"/>
      <c r="F8364" s="596"/>
      <c r="G8364" s="65">
        <v>0</v>
      </c>
      <c r="H8364" s="591" t="s">
        <v>280</v>
      </c>
      <c r="I8364" s="589" t="s">
        <v>280</v>
      </c>
    </row>
    <row r="8365" spans="1:9">
      <c r="A8365" s="577"/>
      <c r="B8365" s="65">
        <v>8563</v>
      </c>
      <c r="C8365" s="579" t="s">
        <v>281</v>
      </c>
      <c r="D8365" s="579"/>
      <c r="E8365" s="583"/>
      <c r="F8365" s="596"/>
      <c r="G8365" s="65">
        <v>0</v>
      </c>
      <c r="H8365" s="591" t="s">
        <v>280</v>
      </c>
      <c r="I8365" s="589" t="s">
        <v>280</v>
      </c>
    </row>
    <row r="8366" spans="1:9">
      <c r="A8366" s="577"/>
      <c r="B8366" s="65">
        <v>8564</v>
      </c>
      <c r="C8366" s="579" t="s">
        <v>281</v>
      </c>
      <c r="D8366" s="579"/>
      <c r="E8366" s="583"/>
      <c r="F8366" s="596"/>
      <c r="G8366" s="65">
        <v>0</v>
      </c>
      <c r="H8366" s="591" t="s">
        <v>280</v>
      </c>
      <c r="I8366" s="589" t="s">
        <v>280</v>
      </c>
    </row>
    <row r="8367" spans="1:9">
      <c r="A8367" s="577"/>
      <c r="B8367" s="65">
        <v>8565</v>
      </c>
      <c r="C8367" s="579" t="s">
        <v>281</v>
      </c>
      <c r="D8367" s="579"/>
      <c r="E8367" s="583"/>
      <c r="F8367" s="596"/>
      <c r="G8367" s="65">
        <v>0</v>
      </c>
      <c r="H8367" s="591" t="s">
        <v>280</v>
      </c>
      <c r="I8367" s="589" t="s">
        <v>280</v>
      </c>
    </row>
    <row r="8368" spans="1:9">
      <c r="A8368" s="577"/>
      <c r="B8368" s="65">
        <v>8566</v>
      </c>
      <c r="C8368" s="579" t="s">
        <v>281</v>
      </c>
      <c r="D8368" s="579"/>
      <c r="E8368" s="583"/>
      <c r="F8368" s="596"/>
      <c r="G8368" s="65">
        <v>0</v>
      </c>
      <c r="H8368" s="591" t="s">
        <v>280</v>
      </c>
      <c r="I8368" s="589" t="s">
        <v>280</v>
      </c>
    </row>
    <row r="8369" spans="1:9">
      <c r="A8369" s="577"/>
      <c r="B8369" s="65">
        <v>8567</v>
      </c>
      <c r="C8369" s="579" t="s">
        <v>281</v>
      </c>
      <c r="D8369" s="579"/>
      <c r="E8369" s="583"/>
      <c r="F8369" s="596"/>
      <c r="G8369" s="65">
        <v>0</v>
      </c>
      <c r="H8369" s="591" t="s">
        <v>280</v>
      </c>
      <c r="I8369" s="589" t="s">
        <v>280</v>
      </c>
    </row>
    <row r="8370" spans="1:9">
      <c r="A8370" s="577"/>
      <c r="B8370" s="65">
        <v>8568</v>
      </c>
      <c r="C8370" s="579" t="s">
        <v>281</v>
      </c>
      <c r="D8370" s="579"/>
      <c r="E8370" s="583"/>
      <c r="F8370" s="596"/>
      <c r="G8370" s="65">
        <v>0</v>
      </c>
      <c r="H8370" s="591" t="s">
        <v>280</v>
      </c>
      <c r="I8370" s="589" t="s">
        <v>280</v>
      </c>
    </row>
    <row r="8371" spans="1:9">
      <c r="A8371" s="577"/>
      <c r="B8371" s="65">
        <v>8569</v>
      </c>
      <c r="C8371" s="579" t="s">
        <v>281</v>
      </c>
      <c r="D8371" s="579"/>
      <c r="E8371" s="583"/>
      <c r="F8371" s="596"/>
      <c r="G8371" s="65">
        <v>0</v>
      </c>
      <c r="H8371" s="591" t="s">
        <v>280</v>
      </c>
      <c r="I8371" s="589" t="s">
        <v>280</v>
      </c>
    </row>
    <row r="8372" spans="1:9">
      <c r="A8372" s="577"/>
      <c r="B8372" s="65">
        <v>8570</v>
      </c>
      <c r="C8372" s="579" t="s">
        <v>281</v>
      </c>
      <c r="D8372" s="579"/>
      <c r="E8372" s="583"/>
      <c r="F8372" s="596"/>
      <c r="G8372" s="65">
        <v>0</v>
      </c>
      <c r="H8372" s="591" t="s">
        <v>280</v>
      </c>
      <c r="I8372" s="589" t="s">
        <v>280</v>
      </c>
    </row>
    <row r="8373" spans="1:9">
      <c r="A8373" s="577"/>
      <c r="B8373" s="65">
        <v>8571</v>
      </c>
      <c r="C8373" s="579" t="s">
        <v>281</v>
      </c>
      <c r="D8373" s="579"/>
      <c r="E8373" s="583"/>
      <c r="F8373" s="596"/>
      <c r="G8373" s="65">
        <v>0</v>
      </c>
      <c r="H8373" s="591" t="s">
        <v>280</v>
      </c>
      <c r="I8373" s="589" t="s">
        <v>280</v>
      </c>
    </row>
    <row r="8374" spans="1:9">
      <c r="A8374" s="577"/>
      <c r="B8374" s="65">
        <v>8572</v>
      </c>
      <c r="C8374" s="579" t="s">
        <v>281</v>
      </c>
      <c r="D8374" s="579"/>
      <c r="E8374" s="583"/>
      <c r="F8374" s="596"/>
      <c r="G8374" s="65">
        <v>0</v>
      </c>
      <c r="H8374" s="591" t="s">
        <v>280</v>
      </c>
      <c r="I8374" s="589" t="s">
        <v>280</v>
      </c>
    </row>
    <row r="8375" spans="1:9">
      <c r="A8375" s="577"/>
      <c r="B8375" s="65">
        <v>8573</v>
      </c>
      <c r="C8375" s="579" t="s">
        <v>281</v>
      </c>
      <c r="D8375" s="579"/>
      <c r="E8375" s="583"/>
      <c r="F8375" s="596"/>
      <c r="G8375" s="65">
        <v>0</v>
      </c>
      <c r="H8375" s="591" t="s">
        <v>280</v>
      </c>
      <c r="I8375" s="589" t="s">
        <v>280</v>
      </c>
    </row>
    <row r="8376" spans="1:9">
      <c r="A8376" s="577"/>
      <c r="B8376" s="65">
        <v>8574</v>
      </c>
      <c r="C8376" s="579" t="s">
        <v>281</v>
      </c>
      <c r="D8376" s="579"/>
      <c r="E8376" s="583"/>
      <c r="F8376" s="596"/>
      <c r="G8376" s="65">
        <v>0</v>
      </c>
      <c r="H8376" s="591" t="s">
        <v>280</v>
      </c>
      <c r="I8376" s="589" t="s">
        <v>280</v>
      </c>
    </row>
    <row r="8377" spans="1:9">
      <c r="A8377" s="577"/>
      <c r="B8377" s="65">
        <v>8575</v>
      </c>
      <c r="C8377" s="579" t="s">
        <v>281</v>
      </c>
      <c r="D8377" s="579"/>
      <c r="E8377" s="583"/>
      <c r="F8377" s="596"/>
      <c r="G8377" s="65">
        <v>0</v>
      </c>
      <c r="H8377" s="591" t="s">
        <v>280</v>
      </c>
      <c r="I8377" s="589" t="s">
        <v>280</v>
      </c>
    </row>
    <row r="8378" spans="1:9">
      <c r="A8378" s="577"/>
      <c r="B8378" s="65">
        <v>8576</v>
      </c>
      <c r="C8378" s="579" t="s">
        <v>281</v>
      </c>
      <c r="D8378" s="579"/>
      <c r="E8378" s="583"/>
      <c r="F8378" s="596"/>
      <c r="G8378" s="65">
        <v>0</v>
      </c>
      <c r="H8378" s="591" t="s">
        <v>280</v>
      </c>
      <c r="I8378" s="589" t="s">
        <v>280</v>
      </c>
    </row>
    <row r="8379" spans="1:9">
      <c r="A8379" s="577"/>
      <c r="B8379" s="65">
        <v>8577</v>
      </c>
      <c r="C8379" s="579" t="s">
        <v>281</v>
      </c>
      <c r="D8379" s="579"/>
      <c r="E8379" s="583"/>
      <c r="F8379" s="596"/>
      <c r="G8379" s="65">
        <v>0</v>
      </c>
      <c r="H8379" s="591" t="s">
        <v>280</v>
      </c>
      <c r="I8379" s="589" t="s">
        <v>280</v>
      </c>
    </row>
    <row r="8380" spans="1:9">
      <c r="A8380" s="577"/>
      <c r="B8380" s="65">
        <v>8578</v>
      </c>
      <c r="C8380" s="579" t="s">
        <v>281</v>
      </c>
      <c r="D8380" s="579"/>
      <c r="E8380" s="583"/>
      <c r="F8380" s="596"/>
      <c r="G8380" s="65">
        <v>0</v>
      </c>
      <c r="H8380" s="591" t="s">
        <v>280</v>
      </c>
      <c r="I8380" s="589" t="s">
        <v>280</v>
      </c>
    </row>
    <row r="8381" spans="1:9">
      <c r="A8381" s="577"/>
      <c r="B8381" s="65">
        <v>8579</v>
      </c>
      <c r="C8381" s="579" t="s">
        <v>281</v>
      </c>
      <c r="D8381" s="579"/>
      <c r="E8381" s="583"/>
      <c r="F8381" s="596"/>
      <c r="G8381" s="65">
        <v>0</v>
      </c>
      <c r="H8381" s="591" t="s">
        <v>280</v>
      </c>
      <c r="I8381" s="589" t="s">
        <v>280</v>
      </c>
    </row>
    <row r="8382" spans="1:9">
      <c r="A8382" s="577"/>
      <c r="B8382" s="65">
        <v>8580</v>
      </c>
      <c r="C8382" s="579" t="s">
        <v>281</v>
      </c>
      <c r="D8382" s="579"/>
      <c r="E8382" s="583"/>
      <c r="F8382" s="596"/>
      <c r="G8382" s="65">
        <v>0</v>
      </c>
      <c r="H8382" s="591" t="s">
        <v>280</v>
      </c>
      <c r="I8382" s="589" t="s">
        <v>280</v>
      </c>
    </row>
    <row r="8383" spans="1:9">
      <c r="A8383" s="577"/>
      <c r="B8383" s="65">
        <v>8581</v>
      </c>
      <c r="C8383" s="579" t="s">
        <v>281</v>
      </c>
      <c r="D8383" s="579"/>
      <c r="E8383" s="583"/>
      <c r="F8383" s="596"/>
      <c r="G8383" s="65">
        <v>0</v>
      </c>
      <c r="H8383" s="591" t="s">
        <v>280</v>
      </c>
      <c r="I8383" s="589" t="s">
        <v>280</v>
      </c>
    </row>
    <row r="8384" spans="1:9">
      <c r="A8384" s="577"/>
      <c r="B8384" s="65">
        <v>8582</v>
      </c>
      <c r="C8384" s="579" t="s">
        <v>281</v>
      </c>
      <c r="D8384" s="579"/>
      <c r="E8384" s="583"/>
      <c r="F8384" s="596"/>
      <c r="G8384" s="65">
        <v>0</v>
      </c>
      <c r="H8384" s="591" t="s">
        <v>280</v>
      </c>
      <c r="I8384" s="589" t="s">
        <v>280</v>
      </c>
    </row>
    <row r="8385" spans="1:9">
      <c r="A8385" s="577"/>
      <c r="B8385" s="65">
        <v>8583</v>
      </c>
      <c r="C8385" s="579" t="s">
        <v>281</v>
      </c>
      <c r="D8385" s="579"/>
      <c r="E8385" s="583"/>
      <c r="F8385" s="596"/>
      <c r="G8385" s="65">
        <v>0</v>
      </c>
      <c r="H8385" s="591" t="s">
        <v>280</v>
      </c>
      <c r="I8385" s="589" t="s">
        <v>280</v>
      </c>
    </row>
    <row r="8386" spans="1:9">
      <c r="A8386" s="577"/>
      <c r="B8386" s="65">
        <v>8584</v>
      </c>
      <c r="C8386" s="579" t="s">
        <v>281</v>
      </c>
      <c r="D8386" s="579"/>
      <c r="E8386" s="583"/>
      <c r="F8386" s="596"/>
      <c r="G8386" s="65">
        <v>0</v>
      </c>
      <c r="H8386" s="591" t="s">
        <v>280</v>
      </c>
      <c r="I8386" s="589" t="s">
        <v>280</v>
      </c>
    </row>
    <row r="8387" spans="1:9">
      <c r="A8387" s="577"/>
      <c r="B8387" s="65">
        <v>8585</v>
      </c>
      <c r="C8387" s="579" t="s">
        <v>281</v>
      </c>
      <c r="D8387" s="579"/>
      <c r="E8387" s="583"/>
      <c r="F8387" s="596"/>
      <c r="G8387" s="65">
        <v>0</v>
      </c>
      <c r="H8387" s="591" t="s">
        <v>280</v>
      </c>
      <c r="I8387" s="589" t="s">
        <v>280</v>
      </c>
    </row>
    <row r="8388" spans="1:9">
      <c r="A8388" s="577"/>
      <c r="B8388" s="65">
        <v>8586</v>
      </c>
      <c r="C8388" s="579" t="s">
        <v>281</v>
      </c>
      <c r="D8388" s="579"/>
      <c r="E8388" s="583"/>
      <c r="F8388" s="596"/>
      <c r="G8388" s="65">
        <v>0</v>
      </c>
      <c r="H8388" s="591" t="s">
        <v>280</v>
      </c>
      <c r="I8388" s="589" t="s">
        <v>280</v>
      </c>
    </row>
    <row r="8389" spans="1:9">
      <c r="A8389" s="577"/>
      <c r="B8389" s="65">
        <v>8587</v>
      </c>
      <c r="C8389" s="579" t="s">
        <v>281</v>
      </c>
      <c r="D8389" s="579"/>
      <c r="E8389" s="583"/>
      <c r="F8389" s="596"/>
      <c r="G8389" s="65">
        <v>0</v>
      </c>
      <c r="H8389" s="591" t="s">
        <v>280</v>
      </c>
      <c r="I8389" s="589" t="s">
        <v>280</v>
      </c>
    </row>
    <row r="8390" spans="1:9">
      <c r="A8390" s="577"/>
      <c r="B8390" s="65">
        <v>8588</v>
      </c>
      <c r="C8390" s="579" t="s">
        <v>281</v>
      </c>
      <c r="D8390" s="579"/>
      <c r="E8390" s="583"/>
      <c r="F8390" s="596"/>
      <c r="G8390" s="65">
        <v>0</v>
      </c>
      <c r="H8390" s="591" t="s">
        <v>280</v>
      </c>
      <c r="I8390" s="589" t="s">
        <v>280</v>
      </c>
    </row>
    <row r="8391" spans="1:9">
      <c r="A8391" s="577"/>
      <c r="B8391" s="65">
        <v>8589</v>
      </c>
      <c r="C8391" s="579" t="s">
        <v>281</v>
      </c>
      <c r="D8391" s="579"/>
      <c r="E8391" s="583"/>
      <c r="F8391" s="596"/>
      <c r="G8391" s="65">
        <v>0</v>
      </c>
      <c r="H8391" s="591" t="s">
        <v>280</v>
      </c>
      <c r="I8391" s="589" t="s">
        <v>280</v>
      </c>
    </row>
    <row r="8392" spans="1:9">
      <c r="A8392" s="577"/>
      <c r="B8392" s="65">
        <v>8590</v>
      </c>
      <c r="C8392" s="579" t="s">
        <v>281</v>
      </c>
      <c r="D8392" s="579"/>
      <c r="E8392" s="583"/>
      <c r="F8392" s="596"/>
      <c r="G8392" s="65">
        <v>0</v>
      </c>
      <c r="H8392" s="591" t="s">
        <v>280</v>
      </c>
      <c r="I8392" s="589" t="s">
        <v>280</v>
      </c>
    </row>
    <row r="8393" spans="1:9">
      <c r="A8393" s="577"/>
      <c r="B8393" s="65">
        <v>8591</v>
      </c>
      <c r="C8393" s="579" t="s">
        <v>281</v>
      </c>
      <c r="D8393" s="579"/>
      <c r="E8393" s="583"/>
      <c r="F8393" s="596"/>
      <c r="G8393" s="65">
        <v>0</v>
      </c>
      <c r="H8393" s="591" t="s">
        <v>280</v>
      </c>
      <c r="I8393" s="589" t="s">
        <v>280</v>
      </c>
    </row>
    <row r="8394" spans="1:9">
      <c r="A8394" s="577"/>
      <c r="B8394" s="65">
        <v>8592</v>
      </c>
      <c r="C8394" s="579" t="s">
        <v>281</v>
      </c>
      <c r="D8394" s="579"/>
      <c r="E8394" s="583"/>
      <c r="F8394" s="596"/>
      <c r="G8394" s="65">
        <v>0</v>
      </c>
      <c r="H8394" s="591" t="s">
        <v>280</v>
      </c>
      <c r="I8394" s="589" t="s">
        <v>280</v>
      </c>
    </row>
    <row r="8395" spans="1:9">
      <c r="A8395" s="577"/>
      <c r="B8395" s="65">
        <v>8593</v>
      </c>
      <c r="C8395" s="579" t="s">
        <v>281</v>
      </c>
      <c r="D8395" s="579"/>
      <c r="E8395" s="583"/>
      <c r="F8395" s="596"/>
      <c r="G8395" s="65">
        <v>0</v>
      </c>
      <c r="H8395" s="591" t="s">
        <v>280</v>
      </c>
      <c r="I8395" s="589" t="s">
        <v>280</v>
      </c>
    </row>
    <row r="8396" spans="1:9">
      <c r="A8396" s="577"/>
      <c r="B8396" s="65">
        <v>8594</v>
      </c>
      <c r="C8396" s="579" t="s">
        <v>281</v>
      </c>
      <c r="D8396" s="579"/>
      <c r="E8396" s="583"/>
      <c r="F8396" s="596"/>
      <c r="G8396" s="65">
        <v>0</v>
      </c>
      <c r="H8396" s="591" t="s">
        <v>280</v>
      </c>
      <c r="I8396" s="589" t="s">
        <v>280</v>
      </c>
    </row>
    <row r="8397" spans="1:9">
      <c r="A8397" s="577"/>
      <c r="B8397" s="65">
        <v>8595</v>
      </c>
      <c r="C8397" s="579" t="s">
        <v>281</v>
      </c>
      <c r="D8397" s="579"/>
      <c r="E8397" s="583"/>
      <c r="F8397" s="596"/>
      <c r="G8397" s="65">
        <v>0</v>
      </c>
      <c r="H8397" s="591" t="s">
        <v>280</v>
      </c>
      <c r="I8397" s="589" t="s">
        <v>280</v>
      </c>
    </row>
    <row r="8398" spans="1:9">
      <c r="A8398" s="577"/>
      <c r="B8398" s="65">
        <v>8596</v>
      </c>
      <c r="C8398" s="579" t="s">
        <v>281</v>
      </c>
      <c r="D8398" s="579"/>
      <c r="E8398" s="583"/>
      <c r="F8398" s="596"/>
      <c r="G8398" s="65">
        <v>0</v>
      </c>
      <c r="H8398" s="591" t="s">
        <v>280</v>
      </c>
      <c r="I8398" s="589" t="s">
        <v>280</v>
      </c>
    </row>
    <row r="8399" spans="1:9">
      <c r="A8399" s="577"/>
      <c r="B8399" s="65">
        <v>8597</v>
      </c>
      <c r="C8399" s="579" t="s">
        <v>281</v>
      </c>
      <c r="D8399" s="579"/>
      <c r="E8399" s="583"/>
      <c r="F8399" s="596"/>
      <c r="G8399" s="65">
        <v>0</v>
      </c>
      <c r="H8399" s="591" t="s">
        <v>280</v>
      </c>
      <c r="I8399" s="589" t="s">
        <v>280</v>
      </c>
    </row>
    <row r="8400" spans="1:9">
      <c r="A8400" s="577"/>
      <c r="B8400" s="65">
        <v>8598</v>
      </c>
      <c r="C8400" s="579" t="s">
        <v>281</v>
      </c>
      <c r="D8400" s="579"/>
      <c r="E8400" s="583"/>
      <c r="F8400" s="596"/>
      <c r="G8400" s="65">
        <v>0</v>
      </c>
      <c r="H8400" s="591" t="s">
        <v>280</v>
      </c>
      <c r="I8400" s="589" t="s">
        <v>280</v>
      </c>
    </row>
    <row r="8401" spans="1:9">
      <c r="A8401" s="577"/>
      <c r="B8401" s="65">
        <v>8599</v>
      </c>
      <c r="C8401" s="579" t="s">
        <v>281</v>
      </c>
      <c r="D8401" s="579"/>
      <c r="E8401" s="583"/>
      <c r="F8401" s="596"/>
      <c r="G8401" s="65">
        <v>0</v>
      </c>
      <c r="H8401" s="591" t="s">
        <v>280</v>
      </c>
      <c r="I8401" s="589" t="s">
        <v>280</v>
      </c>
    </row>
    <row r="8402" spans="1:9">
      <c r="A8402" s="577"/>
      <c r="B8402" s="65">
        <v>8600</v>
      </c>
      <c r="C8402" s="579" t="s">
        <v>281</v>
      </c>
      <c r="D8402" s="579"/>
      <c r="E8402" s="583"/>
      <c r="F8402" s="596"/>
      <c r="G8402" s="65">
        <v>0</v>
      </c>
      <c r="H8402" s="591" t="s">
        <v>280</v>
      </c>
      <c r="I8402" s="589" t="s">
        <v>280</v>
      </c>
    </row>
    <row r="8403" spans="1:9">
      <c r="A8403" s="577"/>
      <c r="B8403" s="65">
        <v>8601</v>
      </c>
      <c r="C8403" s="579" t="s">
        <v>281</v>
      </c>
      <c r="D8403" s="579"/>
      <c r="E8403" s="583"/>
      <c r="F8403" s="596"/>
      <c r="G8403" s="65">
        <v>0</v>
      </c>
      <c r="H8403" s="591" t="s">
        <v>280</v>
      </c>
      <c r="I8403" s="589" t="s">
        <v>280</v>
      </c>
    </row>
    <row r="8404" spans="1:9">
      <c r="A8404" s="577"/>
      <c r="B8404" s="65">
        <v>8602</v>
      </c>
      <c r="C8404" s="579" t="s">
        <v>281</v>
      </c>
      <c r="D8404" s="579"/>
      <c r="E8404" s="583"/>
      <c r="F8404" s="596"/>
      <c r="G8404" s="65">
        <v>0</v>
      </c>
      <c r="H8404" s="591" t="s">
        <v>280</v>
      </c>
      <c r="I8404" s="589" t="s">
        <v>280</v>
      </c>
    </row>
    <row r="8405" spans="1:9">
      <c r="A8405" s="577"/>
      <c r="B8405" s="65">
        <v>8603</v>
      </c>
      <c r="C8405" s="579" t="s">
        <v>281</v>
      </c>
      <c r="D8405" s="579"/>
      <c r="E8405" s="583"/>
      <c r="F8405" s="596"/>
      <c r="G8405" s="65">
        <v>0</v>
      </c>
      <c r="H8405" s="591" t="s">
        <v>280</v>
      </c>
      <c r="I8405" s="589" t="s">
        <v>280</v>
      </c>
    </row>
    <row r="8406" spans="1:9">
      <c r="A8406" s="577"/>
      <c r="B8406" s="65">
        <v>8604</v>
      </c>
      <c r="C8406" s="579" t="s">
        <v>281</v>
      </c>
      <c r="D8406" s="579"/>
      <c r="E8406" s="583"/>
      <c r="F8406" s="596"/>
      <c r="G8406" s="65">
        <v>0</v>
      </c>
      <c r="H8406" s="591" t="s">
        <v>280</v>
      </c>
      <c r="I8406" s="589" t="s">
        <v>280</v>
      </c>
    </row>
    <row r="8407" spans="1:9">
      <c r="A8407" s="577"/>
      <c r="B8407" s="65">
        <v>8605</v>
      </c>
      <c r="C8407" s="579" t="s">
        <v>281</v>
      </c>
      <c r="D8407" s="579"/>
      <c r="E8407" s="583"/>
      <c r="F8407" s="596"/>
      <c r="G8407" s="65">
        <v>0</v>
      </c>
      <c r="H8407" s="591" t="s">
        <v>280</v>
      </c>
      <c r="I8407" s="589" t="s">
        <v>280</v>
      </c>
    </row>
    <row r="8408" spans="1:9">
      <c r="A8408" s="577"/>
      <c r="B8408" s="65">
        <v>8606</v>
      </c>
      <c r="C8408" s="579" t="s">
        <v>281</v>
      </c>
      <c r="D8408" s="579"/>
      <c r="E8408" s="583"/>
      <c r="F8408" s="596"/>
      <c r="G8408" s="65">
        <v>0</v>
      </c>
      <c r="H8408" s="591" t="s">
        <v>280</v>
      </c>
      <c r="I8408" s="589" t="s">
        <v>280</v>
      </c>
    </row>
    <row r="8409" spans="1:9">
      <c r="A8409" s="577"/>
      <c r="B8409" s="65">
        <v>8607</v>
      </c>
      <c r="C8409" s="579" t="s">
        <v>281</v>
      </c>
      <c r="D8409" s="579"/>
      <c r="E8409" s="583"/>
      <c r="F8409" s="596"/>
      <c r="G8409" s="65">
        <v>0</v>
      </c>
      <c r="H8409" s="591" t="s">
        <v>280</v>
      </c>
      <c r="I8409" s="589" t="s">
        <v>280</v>
      </c>
    </row>
    <row r="8410" spans="1:9">
      <c r="A8410" s="577"/>
      <c r="B8410" s="65">
        <v>8608</v>
      </c>
      <c r="C8410" s="579" t="s">
        <v>281</v>
      </c>
      <c r="D8410" s="579"/>
      <c r="E8410" s="583"/>
      <c r="F8410" s="596"/>
      <c r="G8410" s="65">
        <v>0</v>
      </c>
      <c r="H8410" s="591" t="s">
        <v>280</v>
      </c>
      <c r="I8410" s="589" t="s">
        <v>280</v>
      </c>
    </row>
    <row r="8411" spans="1:9">
      <c r="A8411" s="577"/>
      <c r="B8411" s="65">
        <v>8609</v>
      </c>
      <c r="C8411" s="579" t="s">
        <v>281</v>
      </c>
      <c r="D8411" s="579"/>
      <c r="E8411" s="583"/>
      <c r="F8411" s="596"/>
      <c r="G8411" s="65">
        <v>0</v>
      </c>
      <c r="H8411" s="591" t="s">
        <v>280</v>
      </c>
      <c r="I8411" s="589" t="s">
        <v>280</v>
      </c>
    </row>
    <row r="8412" spans="1:9">
      <c r="A8412" s="577"/>
      <c r="B8412" s="65">
        <v>8610</v>
      </c>
      <c r="C8412" s="579" t="s">
        <v>281</v>
      </c>
      <c r="D8412" s="579"/>
      <c r="E8412" s="583"/>
      <c r="F8412" s="596"/>
      <c r="G8412" s="65">
        <v>0</v>
      </c>
      <c r="H8412" s="591" t="s">
        <v>280</v>
      </c>
      <c r="I8412" s="589" t="s">
        <v>280</v>
      </c>
    </row>
    <row r="8413" spans="1:9">
      <c r="A8413" s="577"/>
      <c r="B8413" s="65">
        <v>8611</v>
      </c>
      <c r="C8413" s="579" t="s">
        <v>281</v>
      </c>
      <c r="D8413" s="579"/>
      <c r="E8413" s="583"/>
      <c r="F8413" s="596"/>
      <c r="G8413" s="65">
        <v>0</v>
      </c>
      <c r="H8413" s="591" t="s">
        <v>280</v>
      </c>
      <c r="I8413" s="589" t="s">
        <v>280</v>
      </c>
    </row>
    <row r="8414" spans="1:9">
      <c r="A8414" s="577"/>
      <c r="B8414" s="65">
        <v>8612</v>
      </c>
      <c r="C8414" s="579" t="s">
        <v>281</v>
      </c>
      <c r="D8414" s="579"/>
      <c r="E8414" s="583"/>
      <c r="F8414" s="596"/>
      <c r="G8414" s="65">
        <v>0</v>
      </c>
      <c r="H8414" s="591" t="s">
        <v>280</v>
      </c>
      <c r="I8414" s="589" t="s">
        <v>280</v>
      </c>
    </row>
    <row r="8415" spans="1:9">
      <c r="A8415" s="577"/>
      <c r="B8415" s="65">
        <v>8613</v>
      </c>
      <c r="C8415" s="579" t="s">
        <v>281</v>
      </c>
      <c r="D8415" s="579"/>
      <c r="E8415" s="583"/>
      <c r="F8415" s="596"/>
      <c r="G8415" s="65">
        <v>0</v>
      </c>
      <c r="H8415" s="591" t="s">
        <v>280</v>
      </c>
      <c r="I8415" s="589" t="s">
        <v>280</v>
      </c>
    </row>
    <row r="8416" spans="1:9">
      <c r="A8416" s="577"/>
      <c r="B8416" s="65">
        <v>8614</v>
      </c>
      <c r="C8416" s="579" t="s">
        <v>281</v>
      </c>
      <c r="D8416" s="579"/>
      <c r="E8416" s="583"/>
      <c r="F8416" s="596"/>
      <c r="G8416" s="65">
        <v>0</v>
      </c>
      <c r="H8416" s="591" t="s">
        <v>280</v>
      </c>
      <c r="I8416" s="589" t="s">
        <v>280</v>
      </c>
    </row>
    <row r="8417" spans="1:9">
      <c r="A8417" s="577"/>
      <c r="B8417" s="65">
        <v>8615</v>
      </c>
      <c r="C8417" s="579" t="s">
        <v>281</v>
      </c>
      <c r="D8417" s="579"/>
      <c r="E8417" s="583"/>
      <c r="F8417" s="596"/>
      <c r="G8417" s="65">
        <v>0</v>
      </c>
      <c r="H8417" s="591" t="s">
        <v>280</v>
      </c>
      <c r="I8417" s="589" t="s">
        <v>280</v>
      </c>
    </row>
    <row r="8418" spans="1:9">
      <c r="A8418" s="577"/>
      <c r="B8418" s="65">
        <v>8616</v>
      </c>
      <c r="C8418" s="579" t="s">
        <v>281</v>
      </c>
      <c r="D8418" s="579"/>
      <c r="E8418" s="583"/>
      <c r="F8418" s="596"/>
      <c r="G8418" s="65">
        <v>0</v>
      </c>
      <c r="H8418" s="591" t="s">
        <v>280</v>
      </c>
      <c r="I8418" s="589" t="s">
        <v>280</v>
      </c>
    </row>
    <row r="8419" spans="1:9">
      <c r="A8419" s="577"/>
      <c r="B8419" s="65">
        <v>8617</v>
      </c>
      <c r="C8419" s="579" t="s">
        <v>281</v>
      </c>
      <c r="D8419" s="579"/>
      <c r="E8419" s="583"/>
      <c r="F8419" s="596"/>
      <c r="G8419" s="65">
        <v>0</v>
      </c>
      <c r="H8419" s="591" t="s">
        <v>280</v>
      </c>
      <c r="I8419" s="589" t="s">
        <v>280</v>
      </c>
    </row>
    <row r="8420" spans="1:9">
      <c r="A8420" s="577"/>
      <c r="B8420" s="65">
        <v>8618</v>
      </c>
      <c r="C8420" s="579" t="s">
        <v>281</v>
      </c>
      <c r="D8420" s="579"/>
      <c r="E8420" s="583"/>
      <c r="F8420" s="596"/>
      <c r="G8420" s="65">
        <v>0</v>
      </c>
      <c r="H8420" s="591" t="s">
        <v>280</v>
      </c>
      <c r="I8420" s="589" t="s">
        <v>280</v>
      </c>
    </row>
    <row r="8421" spans="1:9">
      <c r="A8421" s="577"/>
      <c r="B8421" s="65">
        <v>8619</v>
      </c>
      <c r="C8421" s="579" t="s">
        <v>281</v>
      </c>
      <c r="D8421" s="579"/>
      <c r="E8421" s="583"/>
      <c r="F8421" s="596"/>
      <c r="G8421" s="65">
        <v>0</v>
      </c>
      <c r="H8421" s="591" t="s">
        <v>280</v>
      </c>
      <c r="I8421" s="589" t="s">
        <v>280</v>
      </c>
    </row>
    <row r="8422" spans="1:9">
      <c r="A8422" s="577"/>
      <c r="B8422" s="65">
        <v>8620</v>
      </c>
      <c r="C8422" s="579" t="s">
        <v>281</v>
      </c>
      <c r="D8422" s="579"/>
      <c r="E8422" s="583"/>
      <c r="F8422" s="596"/>
      <c r="G8422" s="65">
        <v>0</v>
      </c>
      <c r="H8422" s="591" t="s">
        <v>280</v>
      </c>
      <c r="I8422" s="589" t="s">
        <v>280</v>
      </c>
    </row>
    <row r="8423" spans="1:9">
      <c r="A8423" s="577"/>
      <c r="B8423" s="65">
        <v>8621</v>
      </c>
      <c r="C8423" s="579" t="s">
        <v>281</v>
      </c>
      <c r="D8423" s="579"/>
      <c r="E8423" s="583"/>
      <c r="F8423" s="596"/>
      <c r="G8423" s="65">
        <v>0</v>
      </c>
      <c r="H8423" s="591" t="s">
        <v>280</v>
      </c>
      <c r="I8423" s="589" t="s">
        <v>280</v>
      </c>
    </row>
    <row r="8424" spans="1:9">
      <c r="A8424" s="577"/>
      <c r="B8424" s="65">
        <v>8622</v>
      </c>
      <c r="C8424" s="579" t="s">
        <v>281</v>
      </c>
      <c r="D8424" s="579"/>
      <c r="E8424" s="583"/>
      <c r="F8424" s="596"/>
      <c r="G8424" s="65">
        <v>0</v>
      </c>
      <c r="H8424" s="591" t="s">
        <v>280</v>
      </c>
      <c r="I8424" s="589" t="s">
        <v>280</v>
      </c>
    </row>
    <row r="8425" spans="1:9">
      <c r="A8425" s="577"/>
      <c r="B8425" s="65">
        <v>8623</v>
      </c>
      <c r="C8425" s="579" t="s">
        <v>281</v>
      </c>
      <c r="D8425" s="579"/>
      <c r="E8425" s="583"/>
      <c r="F8425" s="596"/>
      <c r="G8425" s="65">
        <v>0</v>
      </c>
      <c r="H8425" s="591" t="s">
        <v>280</v>
      </c>
      <c r="I8425" s="589" t="s">
        <v>280</v>
      </c>
    </row>
    <row r="8426" spans="1:9">
      <c r="A8426" s="577"/>
      <c r="B8426" s="65">
        <v>8624</v>
      </c>
      <c r="C8426" s="579" t="s">
        <v>281</v>
      </c>
      <c r="D8426" s="579"/>
      <c r="E8426" s="583"/>
      <c r="F8426" s="596"/>
      <c r="G8426" s="65">
        <v>0</v>
      </c>
      <c r="H8426" s="591" t="s">
        <v>280</v>
      </c>
      <c r="I8426" s="589" t="s">
        <v>280</v>
      </c>
    </row>
    <row r="8427" spans="1:9">
      <c r="A8427" s="577"/>
      <c r="B8427" s="65">
        <v>8625</v>
      </c>
      <c r="C8427" s="579" t="s">
        <v>281</v>
      </c>
      <c r="D8427" s="579"/>
      <c r="E8427" s="583"/>
      <c r="F8427" s="596"/>
      <c r="G8427" s="65">
        <v>0</v>
      </c>
      <c r="H8427" s="591" t="s">
        <v>280</v>
      </c>
      <c r="I8427" s="589" t="s">
        <v>280</v>
      </c>
    </row>
    <row r="8428" spans="1:9">
      <c r="A8428" s="577"/>
      <c r="B8428" s="65">
        <v>8626</v>
      </c>
      <c r="C8428" s="579" t="s">
        <v>281</v>
      </c>
      <c r="D8428" s="579"/>
      <c r="E8428" s="583"/>
      <c r="F8428" s="596"/>
      <c r="G8428" s="65">
        <v>0</v>
      </c>
      <c r="H8428" s="591" t="s">
        <v>280</v>
      </c>
      <c r="I8428" s="589" t="s">
        <v>280</v>
      </c>
    </row>
    <row r="8429" spans="1:9">
      <c r="A8429" s="577"/>
      <c r="B8429" s="65">
        <v>8627</v>
      </c>
      <c r="C8429" s="579" t="s">
        <v>281</v>
      </c>
      <c r="D8429" s="579"/>
      <c r="E8429" s="583"/>
      <c r="F8429" s="596"/>
      <c r="G8429" s="65">
        <v>0</v>
      </c>
      <c r="H8429" s="591" t="s">
        <v>280</v>
      </c>
      <c r="I8429" s="589" t="s">
        <v>280</v>
      </c>
    </row>
    <row r="8430" spans="1:9">
      <c r="A8430" s="577"/>
      <c r="B8430" s="65">
        <v>8628</v>
      </c>
      <c r="C8430" s="579" t="s">
        <v>281</v>
      </c>
      <c r="D8430" s="579"/>
      <c r="E8430" s="583"/>
      <c r="F8430" s="596"/>
      <c r="G8430" s="65">
        <v>0</v>
      </c>
      <c r="H8430" s="591" t="s">
        <v>280</v>
      </c>
      <c r="I8430" s="589" t="s">
        <v>280</v>
      </c>
    </row>
    <row r="8431" spans="1:9">
      <c r="A8431" s="577"/>
      <c r="B8431" s="65">
        <v>8629</v>
      </c>
      <c r="C8431" s="579" t="s">
        <v>281</v>
      </c>
      <c r="D8431" s="579"/>
      <c r="E8431" s="583"/>
      <c r="F8431" s="596"/>
      <c r="G8431" s="65">
        <v>0</v>
      </c>
      <c r="H8431" s="591" t="s">
        <v>280</v>
      </c>
      <c r="I8431" s="589" t="s">
        <v>280</v>
      </c>
    </row>
    <row r="8432" spans="1:9">
      <c r="A8432" s="577"/>
      <c r="B8432" s="65">
        <v>8630</v>
      </c>
      <c r="C8432" s="579" t="s">
        <v>281</v>
      </c>
      <c r="D8432" s="579"/>
      <c r="E8432" s="583"/>
      <c r="F8432" s="596"/>
      <c r="G8432" s="65">
        <v>0</v>
      </c>
      <c r="H8432" s="591" t="s">
        <v>280</v>
      </c>
      <c r="I8432" s="589" t="s">
        <v>280</v>
      </c>
    </row>
    <row r="8433" spans="1:9">
      <c r="A8433" s="577"/>
      <c r="B8433" s="65">
        <v>8631</v>
      </c>
      <c r="C8433" s="579" t="s">
        <v>281</v>
      </c>
      <c r="D8433" s="579"/>
      <c r="E8433" s="583"/>
      <c r="F8433" s="596"/>
      <c r="G8433" s="65">
        <v>0</v>
      </c>
      <c r="H8433" s="591" t="s">
        <v>280</v>
      </c>
      <c r="I8433" s="589" t="s">
        <v>280</v>
      </c>
    </row>
    <row r="8434" spans="1:9">
      <c r="A8434" s="577"/>
      <c r="B8434" s="65">
        <v>8632</v>
      </c>
      <c r="C8434" s="579" t="s">
        <v>281</v>
      </c>
      <c r="D8434" s="579"/>
      <c r="E8434" s="583"/>
      <c r="F8434" s="596"/>
      <c r="G8434" s="65">
        <v>0</v>
      </c>
      <c r="H8434" s="591" t="s">
        <v>280</v>
      </c>
      <c r="I8434" s="589" t="s">
        <v>280</v>
      </c>
    </row>
    <row r="8435" spans="1:9">
      <c r="A8435" s="577"/>
      <c r="B8435" s="65">
        <v>8633</v>
      </c>
      <c r="C8435" s="579" t="s">
        <v>281</v>
      </c>
      <c r="D8435" s="579"/>
      <c r="E8435" s="583"/>
      <c r="F8435" s="596"/>
      <c r="G8435" s="65">
        <v>0</v>
      </c>
      <c r="H8435" s="591" t="s">
        <v>280</v>
      </c>
      <c r="I8435" s="589" t="s">
        <v>280</v>
      </c>
    </row>
    <row r="8436" spans="1:9">
      <c r="A8436" s="577"/>
      <c r="B8436" s="65">
        <v>8634</v>
      </c>
      <c r="C8436" s="579" t="s">
        <v>281</v>
      </c>
      <c r="D8436" s="579"/>
      <c r="E8436" s="583"/>
      <c r="F8436" s="596"/>
      <c r="G8436" s="65">
        <v>0</v>
      </c>
      <c r="H8436" s="591" t="s">
        <v>280</v>
      </c>
      <c r="I8436" s="589" t="s">
        <v>280</v>
      </c>
    </row>
    <row r="8437" spans="1:9">
      <c r="A8437" s="577"/>
      <c r="B8437" s="65">
        <v>8635</v>
      </c>
      <c r="C8437" s="579" t="s">
        <v>281</v>
      </c>
      <c r="D8437" s="579"/>
      <c r="E8437" s="583"/>
      <c r="F8437" s="596"/>
      <c r="G8437" s="65">
        <v>0</v>
      </c>
      <c r="H8437" s="591" t="s">
        <v>280</v>
      </c>
      <c r="I8437" s="589" t="s">
        <v>280</v>
      </c>
    </row>
    <row r="8438" spans="1:9">
      <c r="A8438" s="577"/>
      <c r="B8438" s="65">
        <v>8636</v>
      </c>
      <c r="C8438" s="579" t="s">
        <v>281</v>
      </c>
      <c r="D8438" s="579"/>
      <c r="E8438" s="583"/>
      <c r="F8438" s="596"/>
      <c r="G8438" s="65">
        <v>0</v>
      </c>
      <c r="H8438" s="591" t="s">
        <v>280</v>
      </c>
      <c r="I8438" s="589" t="s">
        <v>280</v>
      </c>
    </row>
    <row r="8439" spans="1:9">
      <c r="A8439" s="577"/>
      <c r="B8439" s="65">
        <v>8637</v>
      </c>
      <c r="C8439" s="579" t="s">
        <v>281</v>
      </c>
      <c r="D8439" s="579"/>
      <c r="E8439" s="583"/>
      <c r="F8439" s="596"/>
      <c r="G8439" s="65">
        <v>0</v>
      </c>
      <c r="H8439" s="591" t="s">
        <v>280</v>
      </c>
      <c r="I8439" s="589" t="s">
        <v>280</v>
      </c>
    </row>
    <row r="8440" spans="1:9">
      <c r="A8440" s="577"/>
      <c r="B8440" s="65">
        <v>8638</v>
      </c>
      <c r="C8440" s="579" t="s">
        <v>281</v>
      </c>
      <c r="D8440" s="579"/>
      <c r="E8440" s="583"/>
      <c r="F8440" s="596"/>
      <c r="G8440" s="65">
        <v>0</v>
      </c>
      <c r="H8440" s="591" t="s">
        <v>280</v>
      </c>
      <c r="I8440" s="589" t="s">
        <v>280</v>
      </c>
    </row>
    <row r="8441" spans="1:9">
      <c r="A8441" s="577"/>
      <c r="B8441" s="65">
        <v>8639</v>
      </c>
      <c r="C8441" s="579" t="s">
        <v>281</v>
      </c>
      <c r="D8441" s="579"/>
      <c r="E8441" s="583"/>
      <c r="F8441" s="596"/>
      <c r="G8441" s="65">
        <v>0</v>
      </c>
      <c r="H8441" s="591" t="s">
        <v>280</v>
      </c>
      <c r="I8441" s="589" t="s">
        <v>280</v>
      </c>
    </row>
    <row r="8442" spans="1:9">
      <c r="A8442" s="577"/>
      <c r="B8442" s="65">
        <v>8640</v>
      </c>
      <c r="C8442" s="579" t="s">
        <v>281</v>
      </c>
      <c r="D8442" s="579"/>
      <c r="E8442" s="583"/>
      <c r="F8442" s="596"/>
      <c r="G8442" s="65">
        <v>0</v>
      </c>
      <c r="H8442" s="591" t="s">
        <v>280</v>
      </c>
      <c r="I8442" s="589" t="s">
        <v>280</v>
      </c>
    </row>
    <row r="8443" spans="1:9">
      <c r="A8443" s="577"/>
      <c r="B8443" s="65">
        <v>8641</v>
      </c>
      <c r="C8443" s="579" t="s">
        <v>281</v>
      </c>
      <c r="D8443" s="579"/>
      <c r="E8443" s="583"/>
      <c r="F8443" s="596"/>
      <c r="G8443" s="65">
        <v>0</v>
      </c>
      <c r="H8443" s="591" t="s">
        <v>280</v>
      </c>
      <c r="I8443" s="589" t="s">
        <v>280</v>
      </c>
    </row>
    <row r="8444" spans="1:9">
      <c r="A8444" s="577"/>
      <c r="B8444" s="65">
        <v>8642</v>
      </c>
      <c r="C8444" s="579" t="s">
        <v>281</v>
      </c>
      <c r="D8444" s="579"/>
      <c r="E8444" s="583"/>
      <c r="F8444" s="596"/>
      <c r="G8444" s="65">
        <v>0</v>
      </c>
      <c r="H8444" s="591" t="s">
        <v>280</v>
      </c>
      <c r="I8444" s="589" t="s">
        <v>280</v>
      </c>
    </row>
    <row r="8445" spans="1:9">
      <c r="A8445" s="577"/>
      <c r="B8445" s="65">
        <v>8643</v>
      </c>
      <c r="C8445" s="579" t="s">
        <v>281</v>
      </c>
      <c r="D8445" s="579"/>
      <c r="E8445" s="583"/>
      <c r="F8445" s="596"/>
      <c r="G8445" s="65">
        <v>0</v>
      </c>
      <c r="H8445" s="591" t="s">
        <v>280</v>
      </c>
      <c r="I8445" s="589" t="s">
        <v>280</v>
      </c>
    </row>
    <row r="8446" spans="1:9">
      <c r="A8446" s="577"/>
      <c r="B8446" s="65">
        <v>8644</v>
      </c>
      <c r="C8446" s="579" t="s">
        <v>281</v>
      </c>
      <c r="D8446" s="579"/>
      <c r="E8446" s="583"/>
      <c r="F8446" s="596"/>
      <c r="G8446" s="65">
        <v>0</v>
      </c>
      <c r="H8446" s="591" t="s">
        <v>280</v>
      </c>
      <c r="I8446" s="589" t="s">
        <v>280</v>
      </c>
    </row>
    <row r="8447" spans="1:9">
      <c r="A8447" s="577"/>
      <c r="B8447" s="65">
        <v>8645</v>
      </c>
      <c r="C8447" s="579" t="s">
        <v>281</v>
      </c>
      <c r="D8447" s="579"/>
      <c r="E8447" s="583"/>
      <c r="F8447" s="596"/>
      <c r="G8447" s="65">
        <v>0</v>
      </c>
      <c r="H8447" s="591" t="s">
        <v>280</v>
      </c>
      <c r="I8447" s="589" t="s">
        <v>280</v>
      </c>
    </row>
    <row r="8448" spans="1:9">
      <c r="A8448" s="577"/>
      <c r="B8448" s="65">
        <v>8646</v>
      </c>
      <c r="C8448" s="579" t="s">
        <v>281</v>
      </c>
      <c r="D8448" s="579"/>
      <c r="E8448" s="583"/>
      <c r="F8448" s="596"/>
      <c r="G8448" s="65">
        <v>0</v>
      </c>
      <c r="H8448" s="591" t="s">
        <v>280</v>
      </c>
      <c r="I8448" s="589" t="s">
        <v>280</v>
      </c>
    </row>
    <row r="8449" spans="1:9">
      <c r="A8449" s="577"/>
      <c r="B8449" s="65">
        <v>8647</v>
      </c>
      <c r="C8449" s="579" t="s">
        <v>281</v>
      </c>
      <c r="D8449" s="579"/>
      <c r="E8449" s="583"/>
      <c r="F8449" s="596"/>
      <c r="G8449" s="65">
        <v>0</v>
      </c>
      <c r="H8449" s="591" t="s">
        <v>280</v>
      </c>
      <c r="I8449" s="589" t="s">
        <v>280</v>
      </c>
    </row>
    <row r="8450" spans="1:9">
      <c r="A8450" s="577"/>
      <c r="B8450" s="65">
        <v>8648</v>
      </c>
      <c r="C8450" s="579" t="s">
        <v>281</v>
      </c>
      <c r="D8450" s="579"/>
      <c r="E8450" s="583"/>
      <c r="F8450" s="596"/>
      <c r="G8450" s="65">
        <v>0</v>
      </c>
      <c r="H8450" s="591" t="s">
        <v>280</v>
      </c>
      <c r="I8450" s="589" t="s">
        <v>280</v>
      </c>
    </row>
    <row r="8451" spans="1:9">
      <c r="A8451" s="577"/>
      <c r="B8451" s="65">
        <v>8649</v>
      </c>
      <c r="C8451" s="579" t="s">
        <v>281</v>
      </c>
      <c r="D8451" s="579"/>
      <c r="E8451" s="583"/>
      <c r="F8451" s="596"/>
      <c r="G8451" s="65">
        <v>0</v>
      </c>
      <c r="H8451" s="591" t="s">
        <v>280</v>
      </c>
      <c r="I8451" s="589" t="s">
        <v>280</v>
      </c>
    </row>
    <row r="8452" spans="1:9">
      <c r="A8452" s="577"/>
      <c r="B8452" s="65">
        <v>8650</v>
      </c>
      <c r="C8452" s="579" t="s">
        <v>281</v>
      </c>
      <c r="D8452" s="579"/>
      <c r="E8452" s="583"/>
      <c r="F8452" s="596"/>
      <c r="G8452" s="65">
        <v>0</v>
      </c>
      <c r="H8452" s="591" t="s">
        <v>280</v>
      </c>
      <c r="I8452" s="589" t="s">
        <v>280</v>
      </c>
    </row>
    <row r="8453" spans="1:9">
      <c r="A8453" s="577"/>
      <c r="B8453" s="65">
        <v>8651</v>
      </c>
      <c r="C8453" s="579" t="s">
        <v>281</v>
      </c>
      <c r="D8453" s="579"/>
      <c r="E8453" s="583"/>
      <c r="F8453" s="596"/>
      <c r="G8453" s="65">
        <v>0</v>
      </c>
      <c r="H8453" s="591" t="s">
        <v>280</v>
      </c>
      <c r="I8453" s="589" t="s">
        <v>280</v>
      </c>
    </row>
    <row r="8454" spans="1:9">
      <c r="A8454" s="577"/>
      <c r="B8454" s="65">
        <v>8652</v>
      </c>
      <c r="C8454" s="579" t="s">
        <v>281</v>
      </c>
      <c r="D8454" s="579"/>
      <c r="E8454" s="583"/>
      <c r="F8454" s="596"/>
      <c r="G8454" s="65">
        <v>0</v>
      </c>
      <c r="H8454" s="591" t="s">
        <v>280</v>
      </c>
      <c r="I8454" s="589" t="s">
        <v>280</v>
      </c>
    </row>
    <row r="8455" spans="1:9">
      <c r="A8455" s="577"/>
      <c r="B8455" s="65">
        <v>8653</v>
      </c>
      <c r="C8455" s="579" t="s">
        <v>281</v>
      </c>
      <c r="D8455" s="579"/>
      <c r="E8455" s="583"/>
      <c r="F8455" s="596"/>
      <c r="G8455" s="65">
        <v>0</v>
      </c>
      <c r="H8455" s="591" t="s">
        <v>280</v>
      </c>
      <c r="I8455" s="589" t="s">
        <v>280</v>
      </c>
    </row>
    <row r="8456" spans="1:9">
      <c r="A8456" s="577"/>
      <c r="B8456" s="65">
        <v>8654</v>
      </c>
      <c r="C8456" s="579" t="s">
        <v>281</v>
      </c>
      <c r="D8456" s="579"/>
      <c r="E8456" s="583"/>
      <c r="F8456" s="596"/>
      <c r="G8456" s="65">
        <v>0</v>
      </c>
      <c r="H8456" s="591" t="s">
        <v>280</v>
      </c>
      <c r="I8456" s="589" t="s">
        <v>280</v>
      </c>
    </row>
    <row r="8457" spans="1:9">
      <c r="A8457" s="577"/>
      <c r="B8457" s="65">
        <v>8655</v>
      </c>
      <c r="C8457" s="579" t="s">
        <v>281</v>
      </c>
      <c r="D8457" s="579"/>
      <c r="E8457" s="583"/>
      <c r="F8457" s="596"/>
      <c r="G8457" s="65">
        <v>0</v>
      </c>
      <c r="H8457" s="591" t="s">
        <v>280</v>
      </c>
      <c r="I8457" s="589" t="s">
        <v>280</v>
      </c>
    </row>
    <row r="8458" spans="1:9">
      <c r="A8458" s="577"/>
      <c r="B8458" s="65">
        <v>8656</v>
      </c>
      <c r="C8458" s="579" t="s">
        <v>281</v>
      </c>
      <c r="D8458" s="579"/>
      <c r="E8458" s="583"/>
      <c r="F8458" s="596"/>
      <c r="G8458" s="65">
        <v>0</v>
      </c>
      <c r="H8458" s="591" t="s">
        <v>280</v>
      </c>
      <c r="I8458" s="589" t="s">
        <v>280</v>
      </c>
    </row>
    <row r="8459" spans="1:9">
      <c r="A8459" s="577"/>
      <c r="B8459" s="65">
        <v>8657</v>
      </c>
      <c r="C8459" s="579" t="s">
        <v>281</v>
      </c>
      <c r="D8459" s="579"/>
      <c r="E8459" s="583"/>
      <c r="F8459" s="596"/>
      <c r="G8459" s="65">
        <v>0</v>
      </c>
      <c r="H8459" s="591" t="s">
        <v>280</v>
      </c>
      <c r="I8459" s="589" t="s">
        <v>280</v>
      </c>
    </row>
    <row r="8460" spans="1:9">
      <c r="A8460" s="577"/>
      <c r="B8460" s="65">
        <v>8658</v>
      </c>
      <c r="C8460" s="579" t="s">
        <v>281</v>
      </c>
      <c r="D8460" s="579"/>
      <c r="E8460" s="583"/>
      <c r="F8460" s="596"/>
      <c r="G8460" s="65">
        <v>0</v>
      </c>
      <c r="H8460" s="591" t="s">
        <v>280</v>
      </c>
      <c r="I8460" s="589" t="s">
        <v>280</v>
      </c>
    </row>
    <row r="8461" spans="1:9">
      <c r="A8461" s="577"/>
      <c r="B8461" s="65">
        <v>8659</v>
      </c>
      <c r="C8461" s="579" t="s">
        <v>281</v>
      </c>
      <c r="D8461" s="579"/>
      <c r="E8461" s="583"/>
      <c r="F8461" s="596"/>
      <c r="G8461" s="65">
        <v>0</v>
      </c>
      <c r="H8461" s="591" t="s">
        <v>280</v>
      </c>
      <c r="I8461" s="589" t="s">
        <v>280</v>
      </c>
    </row>
    <row r="8462" spans="1:9">
      <c r="A8462" s="577"/>
      <c r="B8462" s="65">
        <v>8660</v>
      </c>
      <c r="C8462" s="579" t="s">
        <v>281</v>
      </c>
      <c r="D8462" s="579"/>
      <c r="E8462" s="583"/>
      <c r="F8462" s="596"/>
      <c r="G8462" s="65">
        <v>0</v>
      </c>
      <c r="H8462" s="591" t="s">
        <v>280</v>
      </c>
      <c r="I8462" s="589" t="s">
        <v>280</v>
      </c>
    </row>
    <row r="8463" spans="1:9">
      <c r="A8463" s="577"/>
      <c r="B8463" s="65">
        <v>8661</v>
      </c>
      <c r="C8463" s="579" t="s">
        <v>281</v>
      </c>
      <c r="D8463" s="579"/>
      <c r="E8463" s="583"/>
      <c r="F8463" s="596"/>
      <c r="G8463" s="65">
        <v>0</v>
      </c>
      <c r="H8463" s="591" t="s">
        <v>280</v>
      </c>
      <c r="I8463" s="589" t="s">
        <v>280</v>
      </c>
    </row>
    <row r="8464" spans="1:9">
      <c r="A8464" s="577"/>
      <c r="B8464" s="65">
        <v>8662</v>
      </c>
      <c r="C8464" s="579" t="s">
        <v>281</v>
      </c>
      <c r="D8464" s="579"/>
      <c r="E8464" s="583"/>
      <c r="F8464" s="596"/>
      <c r="G8464" s="65">
        <v>0</v>
      </c>
      <c r="H8464" s="591" t="s">
        <v>280</v>
      </c>
      <c r="I8464" s="589" t="s">
        <v>280</v>
      </c>
    </row>
    <row r="8465" spans="1:9">
      <c r="A8465" s="577"/>
      <c r="B8465" s="65">
        <v>8663</v>
      </c>
      <c r="C8465" s="579" t="s">
        <v>281</v>
      </c>
      <c r="D8465" s="579"/>
      <c r="E8465" s="583"/>
      <c r="F8465" s="596"/>
      <c r="G8465" s="65">
        <v>0</v>
      </c>
      <c r="H8465" s="591" t="s">
        <v>280</v>
      </c>
      <c r="I8465" s="589" t="s">
        <v>280</v>
      </c>
    </row>
    <row r="8466" spans="1:9">
      <c r="A8466" s="577"/>
      <c r="B8466" s="65">
        <v>8664</v>
      </c>
      <c r="C8466" s="579" t="s">
        <v>281</v>
      </c>
      <c r="D8466" s="579"/>
      <c r="E8466" s="583"/>
      <c r="F8466" s="596"/>
      <c r="G8466" s="65">
        <v>0</v>
      </c>
      <c r="H8466" s="591" t="s">
        <v>280</v>
      </c>
      <c r="I8466" s="589" t="s">
        <v>280</v>
      </c>
    </row>
    <row r="8467" spans="1:9">
      <c r="A8467" s="577"/>
      <c r="B8467" s="65">
        <v>8665</v>
      </c>
      <c r="C8467" s="579" t="s">
        <v>281</v>
      </c>
      <c r="D8467" s="579"/>
      <c r="E8467" s="583"/>
      <c r="F8467" s="596"/>
      <c r="G8467" s="65">
        <v>0</v>
      </c>
      <c r="H8467" s="591" t="s">
        <v>280</v>
      </c>
      <c r="I8467" s="589" t="s">
        <v>280</v>
      </c>
    </row>
    <row r="8468" spans="1:9">
      <c r="A8468" s="577"/>
      <c r="B8468" s="65">
        <v>8666</v>
      </c>
      <c r="C8468" s="579" t="s">
        <v>281</v>
      </c>
      <c r="D8468" s="579"/>
      <c r="E8468" s="583"/>
      <c r="F8468" s="596"/>
      <c r="G8468" s="65">
        <v>0</v>
      </c>
      <c r="H8468" s="591" t="s">
        <v>280</v>
      </c>
      <c r="I8468" s="589" t="s">
        <v>280</v>
      </c>
    </row>
    <row r="8469" spans="1:9">
      <c r="A8469" s="577"/>
      <c r="B8469" s="65">
        <v>8667</v>
      </c>
      <c r="C8469" s="579" t="s">
        <v>281</v>
      </c>
      <c r="D8469" s="579"/>
      <c r="E8469" s="583"/>
      <c r="F8469" s="596"/>
      <c r="G8469" s="65">
        <v>0</v>
      </c>
      <c r="H8469" s="591" t="s">
        <v>280</v>
      </c>
      <c r="I8469" s="589" t="s">
        <v>280</v>
      </c>
    </row>
    <row r="8470" spans="1:9">
      <c r="A8470" s="577"/>
      <c r="B8470" s="65">
        <v>8668</v>
      </c>
      <c r="C8470" s="579" t="s">
        <v>281</v>
      </c>
      <c r="D8470" s="579"/>
      <c r="E8470" s="583"/>
      <c r="F8470" s="596"/>
      <c r="G8470" s="65">
        <v>0</v>
      </c>
      <c r="H8470" s="591" t="s">
        <v>280</v>
      </c>
      <c r="I8470" s="589" t="s">
        <v>280</v>
      </c>
    </row>
    <row r="8471" spans="1:9">
      <c r="A8471" s="577"/>
      <c r="B8471" s="65">
        <v>8669</v>
      </c>
      <c r="C8471" s="579" t="s">
        <v>281</v>
      </c>
      <c r="D8471" s="579"/>
      <c r="E8471" s="583"/>
      <c r="F8471" s="596"/>
      <c r="G8471" s="65">
        <v>0</v>
      </c>
      <c r="H8471" s="591" t="s">
        <v>280</v>
      </c>
      <c r="I8471" s="589" t="s">
        <v>280</v>
      </c>
    </row>
    <row r="8472" spans="1:9">
      <c r="A8472" s="577"/>
      <c r="B8472" s="65">
        <v>8670</v>
      </c>
      <c r="C8472" s="579" t="s">
        <v>281</v>
      </c>
      <c r="D8472" s="579"/>
      <c r="E8472" s="583"/>
      <c r="F8472" s="596"/>
      <c r="G8472" s="65">
        <v>0</v>
      </c>
      <c r="H8472" s="591" t="s">
        <v>280</v>
      </c>
      <c r="I8472" s="589" t="s">
        <v>280</v>
      </c>
    </row>
    <row r="8473" spans="1:9">
      <c r="A8473" s="577"/>
      <c r="B8473" s="65">
        <v>8671</v>
      </c>
      <c r="C8473" s="579" t="s">
        <v>281</v>
      </c>
      <c r="D8473" s="579"/>
      <c r="E8473" s="583"/>
      <c r="F8473" s="596"/>
      <c r="G8473" s="65">
        <v>0</v>
      </c>
      <c r="H8473" s="591" t="s">
        <v>280</v>
      </c>
      <c r="I8473" s="589" t="s">
        <v>280</v>
      </c>
    </row>
    <row r="8474" spans="1:9">
      <c r="A8474" s="577"/>
      <c r="B8474" s="65">
        <v>8672</v>
      </c>
      <c r="C8474" s="579" t="s">
        <v>281</v>
      </c>
      <c r="D8474" s="579"/>
      <c r="E8474" s="583"/>
      <c r="F8474" s="596"/>
      <c r="G8474" s="65">
        <v>0</v>
      </c>
      <c r="H8474" s="591" t="s">
        <v>280</v>
      </c>
      <c r="I8474" s="589" t="s">
        <v>280</v>
      </c>
    </row>
    <row r="8475" spans="1:9">
      <c r="A8475" s="577"/>
      <c r="B8475" s="65">
        <v>8673</v>
      </c>
      <c r="C8475" s="579" t="s">
        <v>281</v>
      </c>
      <c r="D8475" s="579"/>
      <c r="E8475" s="583"/>
      <c r="F8475" s="596"/>
      <c r="G8475" s="65">
        <v>0</v>
      </c>
      <c r="H8475" s="591" t="s">
        <v>280</v>
      </c>
      <c r="I8475" s="589" t="s">
        <v>280</v>
      </c>
    </row>
    <row r="8476" spans="1:9">
      <c r="A8476" s="577"/>
      <c r="B8476" s="65">
        <v>8674</v>
      </c>
      <c r="C8476" s="579" t="s">
        <v>281</v>
      </c>
      <c r="D8476" s="579"/>
      <c r="E8476" s="583"/>
      <c r="F8476" s="596"/>
      <c r="G8476" s="65">
        <v>0</v>
      </c>
      <c r="H8476" s="591" t="s">
        <v>280</v>
      </c>
      <c r="I8476" s="589" t="s">
        <v>280</v>
      </c>
    </row>
    <row r="8477" spans="1:9">
      <c r="A8477" s="577"/>
      <c r="B8477" s="65">
        <v>8675</v>
      </c>
      <c r="C8477" s="579" t="s">
        <v>281</v>
      </c>
      <c r="D8477" s="579"/>
      <c r="E8477" s="583"/>
      <c r="F8477" s="596"/>
      <c r="G8477" s="65">
        <v>0</v>
      </c>
      <c r="H8477" s="591" t="s">
        <v>280</v>
      </c>
      <c r="I8477" s="589" t="s">
        <v>280</v>
      </c>
    </row>
    <row r="8478" spans="1:9">
      <c r="A8478" s="577"/>
      <c r="B8478" s="65">
        <v>8676</v>
      </c>
      <c r="C8478" s="579" t="s">
        <v>281</v>
      </c>
      <c r="D8478" s="579"/>
      <c r="E8478" s="583"/>
      <c r="F8478" s="596"/>
      <c r="G8478" s="65">
        <v>0</v>
      </c>
      <c r="H8478" s="591" t="s">
        <v>280</v>
      </c>
      <c r="I8478" s="589" t="s">
        <v>280</v>
      </c>
    </row>
    <row r="8479" spans="1:9">
      <c r="A8479" s="577"/>
      <c r="B8479" s="65">
        <v>8677</v>
      </c>
      <c r="C8479" s="579" t="s">
        <v>281</v>
      </c>
      <c r="D8479" s="579"/>
      <c r="E8479" s="583"/>
      <c r="F8479" s="596"/>
      <c r="G8479" s="65">
        <v>0</v>
      </c>
      <c r="H8479" s="591" t="s">
        <v>280</v>
      </c>
      <c r="I8479" s="589" t="s">
        <v>280</v>
      </c>
    </row>
    <row r="8480" spans="1:9">
      <c r="A8480" s="577"/>
      <c r="B8480" s="65">
        <v>8678</v>
      </c>
      <c r="C8480" s="579" t="s">
        <v>281</v>
      </c>
      <c r="D8480" s="579"/>
      <c r="E8480" s="583"/>
      <c r="F8480" s="596"/>
      <c r="G8480" s="65">
        <v>0</v>
      </c>
      <c r="H8480" s="591" t="s">
        <v>280</v>
      </c>
      <c r="I8480" s="589" t="s">
        <v>280</v>
      </c>
    </row>
    <row r="8481" spans="1:9">
      <c r="A8481" s="577"/>
      <c r="B8481" s="65">
        <v>8679</v>
      </c>
      <c r="C8481" s="579" t="s">
        <v>281</v>
      </c>
      <c r="D8481" s="579"/>
      <c r="E8481" s="583"/>
      <c r="F8481" s="596"/>
      <c r="G8481" s="65">
        <v>0</v>
      </c>
      <c r="H8481" s="591" t="s">
        <v>280</v>
      </c>
      <c r="I8481" s="589" t="s">
        <v>280</v>
      </c>
    </row>
    <row r="8482" spans="1:9">
      <c r="A8482" s="577"/>
      <c r="B8482" s="65">
        <v>8680</v>
      </c>
      <c r="C8482" s="579" t="s">
        <v>281</v>
      </c>
      <c r="D8482" s="579"/>
      <c r="E8482" s="583"/>
      <c r="F8482" s="596"/>
      <c r="G8482" s="65">
        <v>0</v>
      </c>
      <c r="H8482" s="591" t="s">
        <v>280</v>
      </c>
      <c r="I8482" s="589" t="s">
        <v>280</v>
      </c>
    </row>
    <row r="8483" spans="1:9">
      <c r="A8483" s="577"/>
      <c r="B8483" s="65">
        <v>8681</v>
      </c>
      <c r="C8483" s="579" t="s">
        <v>281</v>
      </c>
      <c r="D8483" s="579"/>
      <c r="E8483" s="583"/>
      <c r="F8483" s="596"/>
      <c r="G8483" s="65">
        <v>0</v>
      </c>
      <c r="H8483" s="591" t="s">
        <v>280</v>
      </c>
      <c r="I8483" s="589" t="s">
        <v>280</v>
      </c>
    </row>
    <row r="8484" spans="1:9">
      <c r="A8484" s="577"/>
      <c r="B8484" s="65">
        <v>8682</v>
      </c>
      <c r="C8484" s="579" t="s">
        <v>281</v>
      </c>
      <c r="D8484" s="579"/>
      <c r="E8484" s="583"/>
      <c r="F8484" s="596"/>
      <c r="G8484" s="65">
        <v>0</v>
      </c>
      <c r="H8484" s="591" t="s">
        <v>280</v>
      </c>
      <c r="I8484" s="589" t="s">
        <v>280</v>
      </c>
    </row>
    <row r="8485" spans="1:9">
      <c r="A8485" s="577"/>
      <c r="B8485" s="65">
        <v>8683</v>
      </c>
      <c r="C8485" s="579" t="s">
        <v>281</v>
      </c>
      <c r="D8485" s="579"/>
      <c r="E8485" s="583"/>
      <c r="F8485" s="596"/>
      <c r="G8485" s="65">
        <v>0</v>
      </c>
      <c r="H8485" s="591" t="s">
        <v>280</v>
      </c>
      <c r="I8485" s="589" t="s">
        <v>280</v>
      </c>
    </row>
    <row r="8486" spans="1:9">
      <c r="A8486" s="577"/>
      <c r="B8486" s="65">
        <v>8684</v>
      </c>
      <c r="C8486" s="579" t="s">
        <v>281</v>
      </c>
      <c r="D8486" s="579"/>
      <c r="E8486" s="583"/>
      <c r="F8486" s="596"/>
      <c r="G8486" s="65">
        <v>0</v>
      </c>
      <c r="H8486" s="591" t="s">
        <v>280</v>
      </c>
      <c r="I8486" s="589" t="s">
        <v>280</v>
      </c>
    </row>
    <row r="8487" spans="1:9">
      <c r="A8487" s="577"/>
      <c r="B8487" s="65">
        <v>8685</v>
      </c>
      <c r="C8487" s="579" t="s">
        <v>281</v>
      </c>
      <c r="D8487" s="579"/>
      <c r="E8487" s="583"/>
      <c r="F8487" s="596"/>
      <c r="G8487" s="65">
        <v>0</v>
      </c>
      <c r="H8487" s="591" t="s">
        <v>280</v>
      </c>
      <c r="I8487" s="589" t="s">
        <v>280</v>
      </c>
    </row>
    <row r="8488" spans="1:9">
      <c r="A8488" s="577"/>
      <c r="B8488" s="65">
        <v>8686</v>
      </c>
      <c r="C8488" s="579" t="s">
        <v>281</v>
      </c>
      <c r="D8488" s="579"/>
      <c r="E8488" s="583"/>
      <c r="F8488" s="596"/>
      <c r="G8488" s="65">
        <v>0</v>
      </c>
      <c r="H8488" s="591" t="s">
        <v>280</v>
      </c>
      <c r="I8488" s="589" t="s">
        <v>280</v>
      </c>
    </row>
    <row r="8489" spans="1:9">
      <c r="A8489" s="577"/>
      <c r="B8489" s="65">
        <v>8687</v>
      </c>
      <c r="C8489" s="579" t="s">
        <v>281</v>
      </c>
      <c r="D8489" s="579"/>
      <c r="E8489" s="583"/>
      <c r="F8489" s="596"/>
      <c r="G8489" s="65">
        <v>0</v>
      </c>
      <c r="H8489" s="591" t="s">
        <v>280</v>
      </c>
      <c r="I8489" s="589" t="s">
        <v>280</v>
      </c>
    </row>
    <row r="8490" spans="1:9">
      <c r="A8490" s="577"/>
      <c r="B8490" s="65">
        <v>8688</v>
      </c>
      <c r="C8490" s="579" t="s">
        <v>281</v>
      </c>
      <c r="D8490" s="579"/>
      <c r="E8490" s="583"/>
      <c r="F8490" s="596"/>
      <c r="G8490" s="65">
        <v>0</v>
      </c>
      <c r="H8490" s="591" t="s">
        <v>280</v>
      </c>
      <c r="I8490" s="589" t="s">
        <v>280</v>
      </c>
    </row>
    <row r="8491" spans="1:9">
      <c r="A8491" s="577"/>
      <c r="B8491" s="65">
        <v>8689</v>
      </c>
      <c r="C8491" s="579" t="s">
        <v>281</v>
      </c>
      <c r="D8491" s="579"/>
      <c r="E8491" s="583"/>
      <c r="F8491" s="596"/>
      <c r="G8491" s="65">
        <v>0</v>
      </c>
      <c r="H8491" s="591" t="s">
        <v>280</v>
      </c>
      <c r="I8491" s="589" t="s">
        <v>280</v>
      </c>
    </row>
    <row r="8492" spans="1:9">
      <c r="A8492" s="577"/>
      <c r="B8492" s="65">
        <v>8690</v>
      </c>
      <c r="C8492" s="579" t="s">
        <v>281</v>
      </c>
      <c r="D8492" s="579"/>
      <c r="E8492" s="583"/>
      <c r="F8492" s="596"/>
      <c r="G8492" s="65">
        <v>0</v>
      </c>
      <c r="H8492" s="591" t="s">
        <v>280</v>
      </c>
      <c r="I8492" s="589" t="s">
        <v>280</v>
      </c>
    </row>
    <row r="8493" spans="1:9">
      <c r="A8493" s="577"/>
      <c r="B8493" s="65">
        <v>8691</v>
      </c>
      <c r="C8493" s="579" t="s">
        <v>281</v>
      </c>
      <c r="D8493" s="579"/>
      <c r="E8493" s="583"/>
      <c r="F8493" s="596"/>
      <c r="G8493" s="65">
        <v>0</v>
      </c>
      <c r="H8493" s="591" t="s">
        <v>280</v>
      </c>
      <c r="I8493" s="589" t="s">
        <v>280</v>
      </c>
    </row>
    <row r="8494" spans="1:9">
      <c r="A8494" s="577"/>
      <c r="B8494" s="65">
        <v>8692</v>
      </c>
      <c r="C8494" s="579" t="s">
        <v>281</v>
      </c>
      <c r="D8494" s="579"/>
      <c r="E8494" s="583"/>
      <c r="F8494" s="596"/>
      <c r="G8494" s="65">
        <v>0</v>
      </c>
      <c r="H8494" s="591" t="s">
        <v>280</v>
      </c>
      <c r="I8494" s="589" t="s">
        <v>280</v>
      </c>
    </row>
    <row r="8495" spans="1:9">
      <c r="A8495" s="577"/>
      <c r="B8495" s="65">
        <v>8693</v>
      </c>
      <c r="C8495" s="579" t="s">
        <v>281</v>
      </c>
      <c r="D8495" s="579"/>
      <c r="E8495" s="583"/>
      <c r="F8495" s="596"/>
      <c r="G8495" s="65">
        <v>0</v>
      </c>
      <c r="H8495" s="591" t="s">
        <v>280</v>
      </c>
      <c r="I8495" s="589" t="s">
        <v>280</v>
      </c>
    </row>
    <row r="8496" spans="1:9">
      <c r="A8496" s="577"/>
      <c r="B8496" s="65">
        <v>8694</v>
      </c>
      <c r="C8496" s="579" t="s">
        <v>281</v>
      </c>
      <c r="D8496" s="579"/>
      <c r="E8496" s="583"/>
      <c r="F8496" s="596"/>
      <c r="G8496" s="65">
        <v>0</v>
      </c>
      <c r="H8496" s="591" t="s">
        <v>280</v>
      </c>
      <c r="I8496" s="589" t="s">
        <v>280</v>
      </c>
    </row>
    <row r="8497" spans="1:9">
      <c r="A8497" s="577"/>
      <c r="B8497" s="65">
        <v>8695</v>
      </c>
      <c r="C8497" s="579" t="s">
        <v>281</v>
      </c>
      <c r="D8497" s="579"/>
      <c r="E8497" s="583"/>
      <c r="F8497" s="596"/>
      <c r="G8497" s="65">
        <v>0</v>
      </c>
      <c r="H8497" s="591" t="s">
        <v>280</v>
      </c>
      <c r="I8497" s="589" t="s">
        <v>280</v>
      </c>
    </row>
    <row r="8498" spans="1:9">
      <c r="A8498" s="577"/>
      <c r="B8498" s="65">
        <v>8696</v>
      </c>
      <c r="C8498" s="579" t="s">
        <v>281</v>
      </c>
      <c r="D8498" s="579"/>
      <c r="E8498" s="583"/>
      <c r="F8498" s="596"/>
      <c r="G8498" s="65">
        <v>0</v>
      </c>
      <c r="H8498" s="591" t="s">
        <v>280</v>
      </c>
      <c r="I8498" s="589" t="s">
        <v>280</v>
      </c>
    </row>
    <row r="8499" spans="1:9">
      <c r="A8499" s="577"/>
      <c r="B8499" s="65">
        <v>8697</v>
      </c>
      <c r="C8499" s="579" t="s">
        <v>281</v>
      </c>
      <c r="D8499" s="579"/>
      <c r="E8499" s="583"/>
      <c r="F8499" s="596"/>
      <c r="G8499" s="65">
        <v>0</v>
      </c>
      <c r="H8499" s="591" t="s">
        <v>280</v>
      </c>
      <c r="I8499" s="589" t="s">
        <v>280</v>
      </c>
    </row>
    <row r="8500" spans="1:9">
      <c r="A8500" s="577"/>
      <c r="B8500" s="65">
        <v>8698</v>
      </c>
      <c r="C8500" s="579" t="s">
        <v>281</v>
      </c>
      <c r="D8500" s="579"/>
      <c r="E8500" s="583"/>
      <c r="F8500" s="596"/>
      <c r="G8500" s="65">
        <v>0</v>
      </c>
      <c r="H8500" s="591" t="s">
        <v>280</v>
      </c>
      <c r="I8500" s="589" t="s">
        <v>280</v>
      </c>
    </row>
    <row r="8501" spans="1:9">
      <c r="A8501" s="577"/>
      <c r="B8501" s="65">
        <v>8699</v>
      </c>
      <c r="C8501" s="579" t="s">
        <v>281</v>
      </c>
      <c r="D8501" s="579"/>
      <c r="E8501" s="583"/>
      <c r="F8501" s="596"/>
      <c r="G8501" s="65">
        <v>0</v>
      </c>
      <c r="H8501" s="591" t="s">
        <v>280</v>
      </c>
      <c r="I8501" s="589" t="s">
        <v>280</v>
      </c>
    </row>
    <row r="8502" spans="1:9">
      <c r="A8502" s="577"/>
      <c r="B8502" s="65">
        <v>8700</v>
      </c>
      <c r="C8502" s="579" t="s">
        <v>281</v>
      </c>
      <c r="D8502" s="579"/>
      <c r="E8502" s="583"/>
      <c r="F8502" s="596"/>
      <c r="G8502" s="65">
        <v>0</v>
      </c>
      <c r="H8502" s="591" t="s">
        <v>280</v>
      </c>
      <c r="I8502" s="589" t="s">
        <v>280</v>
      </c>
    </row>
    <row r="8503" spans="1:9">
      <c r="A8503" s="577"/>
      <c r="B8503" s="65">
        <v>8701</v>
      </c>
      <c r="C8503" s="579" t="s">
        <v>281</v>
      </c>
      <c r="D8503" s="579"/>
      <c r="E8503" s="583"/>
      <c r="F8503" s="596"/>
      <c r="G8503" s="65">
        <v>0</v>
      </c>
      <c r="H8503" s="591" t="s">
        <v>280</v>
      </c>
      <c r="I8503" s="589" t="s">
        <v>280</v>
      </c>
    </row>
    <row r="8504" spans="1:9">
      <c r="A8504" s="577"/>
      <c r="B8504" s="65">
        <v>8702</v>
      </c>
      <c r="C8504" s="579" t="s">
        <v>281</v>
      </c>
      <c r="D8504" s="579"/>
      <c r="E8504" s="583"/>
      <c r="F8504" s="596"/>
      <c r="G8504" s="65">
        <v>0</v>
      </c>
      <c r="H8504" s="591" t="s">
        <v>280</v>
      </c>
      <c r="I8504" s="589" t="s">
        <v>280</v>
      </c>
    </row>
    <row r="8505" spans="1:9">
      <c r="A8505" s="577"/>
      <c r="B8505" s="65">
        <v>8703</v>
      </c>
      <c r="C8505" s="579" t="s">
        <v>281</v>
      </c>
      <c r="D8505" s="579"/>
      <c r="E8505" s="583"/>
      <c r="F8505" s="596"/>
      <c r="G8505" s="65">
        <v>0</v>
      </c>
      <c r="H8505" s="591" t="s">
        <v>280</v>
      </c>
      <c r="I8505" s="589" t="s">
        <v>280</v>
      </c>
    </row>
    <row r="8506" spans="1:9">
      <c r="A8506" s="577"/>
      <c r="B8506" s="65">
        <v>8704</v>
      </c>
      <c r="C8506" s="579" t="s">
        <v>281</v>
      </c>
      <c r="D8506" s="579"/>
      <c r="E8506" s="583"/>
      <c r="F8506" s="596"/>
      <c r="G8506" s="65">
        <v>0</v>
      </c>
      <c r="H8506" s="591" t="s">
        <v>280</v>
      </c>
      <c r="I8506" s="589" t="s">
        <v>280</v>
      </c>
    </row>
    <row r="8507" spans="1:9">
      <c r="A8507" s="577"/>
      <c r="B8507" s="65">
        <v>8705</v>
      </c>
      <c r="C8507" s="579" t="s">
        <v>281</v>
      </c>
      <c r="D8507" s="579"/>
      <c r="E8507" s="583"/>
      <c r="F8507" s="596"/>
      <c r="G8507" s="65">
        <v>0</v>
      </c>
      <c r="H8507" s="591" t="s">
        <v>280</v>
      </c>
      <c r="I8507" s="589" t="s">
        <v>280</v>
      </c>
    </row>
    <row r="8508" spans="1:9">
      <c r="A8508" s="577"/>
      <c r="B8508" s="65">
        <v>8706</v>
      </c>
      <c r="C8508" s="579" t="s">
        <v>281</v>
      </c>
      <c r="D8508" s="579"/>
      <c r="E8508" s="583"/>
      <c r="F8508" s="596"/>
      <c r="G8508" s="65">
        <v>0</v>
      </c>
      <c r="H8508" s="591" t="s">
        <v>280</v>
      </c>
      <c r="I8508" s="589" t="s">
        <v>280</v>
      </c>
    </row>
    <row r="8509" spans="1:9">
      <c r="A8509" s="577"/>
      <c r="B8509" s="65">
        <v>8707</v>
      </c>
      <c r="C8509" s="579" t="s">
        <v>281</v>
      </c>
      <c r="D8509" s="579"/>
      <c r="E8509" s="583"/>
      <c r="F8509" s="596"/>
      <c r="G8509" s="65">
        <v>0</v>
      </c>
      <c r="H8509" s="591" t="s">
        <v>280</v>
      </c>
      <c r="I8509" s="589" t="s">
        <v>280</v>
      </c>
    </row>
    <row r="8510" spans="1:9">
      <c r="A8510" s="577"/>
      <c r="B8510" s="65">
        <v>8708</v>
      </c>
      <c r="C8510" s="579" t="s">
        <v>281</v>
      </c>
      <c r="D8510" s="579"/>
      <c r="E8510" s="583"/>
      <c r="F8510" s="596"/>
      <c r="G8510" s="65">
        <v>0</v>
      </c>
      <c r="H8510" s="591" t="s">
        <v>280</v>
      </c>
      <c r="I8510" s="589" t="s">
        <v>280</v>
      </c>
    </row>
    <row r="8511" spans="1:9">
      <c r="A8511" s="577"/>
      <c r="B8511" s="65">
        <v>8709</v>
      </c>
      <c r="C8511" s="579" t="s">
        <v>281</v>
      </c>
      <c r="D8511" s="579"/>
      <c r="E8511" s="583"/>
      <c r="F8511" s="596"/>
      <c r="G8511" s="65">
        <v>0</v>
      </c>
      <c r="H8511" s="591" t="s">
        <v>280</v>
      </c>
      <c r="I8511" s="589" t="s">
        <v>280</v>
      </c>
    </row>
    <row r="8512" spans="1:9">
      <c r="A8512" s="577"/>
      <c r="B8512" s="65">
        <v>8710</v>
      </c>
      <c r="C8512" s="579" t="s">
        <v>281</v>
      </c>
      <c r="D8512" s="579"/>
      <c r="E8512" s="583"/>
      <c r="F8512" s="596"/>
      <c r="G8512" s="65">
        <v>0</v>
      </c>
      <c r="H8512" s="591" t="s">
        <v>280</v>
      </c>
      <c r="I8512" s="589" t="s">
        <v>280</v>
      </c>
    </row>
    <row r="8513" spans="1:9">
      <c r="A8513" s="577"/>
      <c r="B8513" s="65">
        <v>8711</v>
      </c>
      <c r="C8513" s="579" t="s">
        <v>281</v>
      </c>
      <c r="D8513" s="579"/>
      <c r="E8513" s="583"/>
      <c r="F8513" s="596"/>
      <c r="G8513" s="65">
        <v>0</v>
      </c>
      <c r="H8513" s="591" t="s">
        <v>280</v>
      </c>
      <c r="I8513" s="589" t="s">
        <v>280</v>
      </c>
    </row>
    <row r="8514" spans="1:9">
      <c r="A8514" s="577"/>
      <c r="B8514" s="65">
        <v>8712</v>
      </c>
      <c r="C8514" s="579" t="s">
        <v>281</v>
      </c>
      <c r="D8514" s="579"/>
      <c r="E8514" s="583"/>
      <c r="F8514" s="596"/>
      <c r="G8514" s="65">
        <v>0</v>
      </c>
      <c r="H8514" s="591" t="s">
        <v>280</v>
      </c>
      <c r="I8514" s="589" t="s">
        <v>280</v>
      </c>
    </row>
    <row r="8515" spans="1:9">
      <c r="A8515" s="577"/>
      <c r="B8515" s="65">
        <v>8713</v>
      </c>
      <c r="C8515" s="579" t="s">
        <v>281</v>
      </c>
      <c r="D8515" s="579"/>
      <c r="E8515" s="583"/>
      <c r="F8515" s="596"/>
      <c r="G8515" s="65">
        <v>0</v>
      </c>
      <c r="H8515" s="591" t="s">
        <v>280</v>
      </c>
      <c r="I8515" s="589" t="s">
        <v>280</v>
      </c>
    </row>
    <row r="8516" spans="1:9">
      <c r="A8516" s="577"/>
      <c r="B8516" s="65">
        <v>8714</v>
      </c>
      <c r="C8516" s="579" t="s">
        <v>281</v>
      </c>
      <c r="D8516" s="579"/>
      <c r="E8516" s="583"/>
      <c r="F8516" s="596"/>
      <c r="G8516" s="65">
        <v>0</v>
      </c>
      <c r="H8516" s="591" t="s">
        <v>280</v>
      </c>
      <c r="I8516" s="589" t="s">
        <v>280</v>
      </c>
    </row>
    <row r="8517" spans="1:9">
      <c r="A8517" s="577"/>
      <c r="B8517" s="65">
        <v>8715</v>
      </c>
      <c r="C8517" s="579" t="s">
        <v>281</v>
      </c>
      <c r="D8517" s="579"/>
      <c r="E8517" s="583"/>
      <c r="F8517" s="596"/>
      <c r="G8517" s="65">
        <v>0</v>
      </c>
      <c r="H8517" s="591" t="s">
        <v>280</v>
      </c>
      <c r="I8517" s="589" t="s">
        <v>280</v>
      </c>
    </row>
    <row r="8518" spans="1:9">
      <c r="A8518" s="577"/>
      <c r="B8518" s="65">
        <v>8716</v>
      </c>
      <c r="C8518" s="579" t="s">
        <v>281</v>
      </c>
      <c r="D8518" s="579"/>
      <c r="E8518" s="583"/>
      <c r="F8518" s="596"/>
      <c r="G8518" s="65">
        <v>0</v>
      </c>
      <c r="H8518" s="591" t="s">
        <v>280</v>
      </c>
      <c r="I8518" s="589" t="s">
        <v>280</v>
      </c>
    </row>
    <row r="8519" spans="1:9">
      <c r="A8519" s="577"/>
      <c r="B8519" s="65">
        <v>8717</v>
      </c>
      <c r="C8519" s="579" t="s">
        <v>281</v>
      </c>
      <c r="D8519" s="579"/>
      <c r="E8519" s="583"/>
      <c r="F8519" s="596"/>
      <c r="G8519" s="65">
        <v>0</v>
      </c>
      <c r="H8519" s="591" t="s">
        <v>280</v>
      </c>
      <c r="I8519" s="589" t="s">
        <v>280</v>
      </c>
    </row>
    <row r="8520" spans="1:9">
      <c r="A8520" s="577"/>
      <c r="B8520" s="65">
        <v>8718</v>
      </c>
      <c r="C8520" s="579" t="s">
        <v>281</v>
      </c>
      <c r="D8520" s="579"/>
      <c r="E8520" s="583"/>
      <c r="F8520" s="596"/>
      <c r="G8520" s="65">
        <v>0</v>
      </c>
      <c r="H8520" s="591" t="s">
        <v>280</v>
      </c>
      <c r="I8520" s="589" t="s">
        <v>280</v>
      </c>
    </row>
    <row r="8521" spans="1:9">
      <c r="A8521" s="577"/>
      <c r="B8521" s="65">
        <v>8719</v>
      </c>
      <c r="C8521" s="579" t="s">
        <v>281</v>
      </c>
      <c r="D8521" s="579"/>
      <c r="E8521" s="583"/>
      <c r="F8521" s="596"/>
      <c r="G8521" s="65">
        <v>0</v>
      </c>
      <c r="H8521" s="591" t="s">
        <v>280</v>
      </c>
      <c r="I8521" s="589" t="s">
        <v>280</v>
      </c>
    </row>
    <row r="8522" spans="1:9">
      <c r="A8522" s="577"/>
      <c r="B8522" s="65">
        <v>8720</v>
      </c>
      <c r="C8522" s="579" t="s">
        <v>281</v>
      </c>
      <c r="D8522" s="579"/>
      <c r="E8522" s="583"/>
      <c r="F8522" s="596"/>
      <c r="G8522" s="65">
        <v>0</v>
      </c>
      <c r="H8522" s="591" t="s">
        <v>280</v>
      </c>
      <c r="I8522" s="589" t="s">
        <v>280</v>
      </c>
    </row>
    <row r="8523" spans="1:9">
      <c r="A8523" s="577"/>
      <c r="B8523" s="65">
        <v>8721</v>
      </c>
      <c r="C8523" s="579" t="s">
        <v>281</v>
      </c>
      <c r="D8523" s="579"/>
      <c r="E8523" s="583"/>
      <c r="F8523" s="596"/>
      <c r="G8523" s="65">
        <v>0</v>
      </c>
      <c r="H8523" s="591" t="s">
        <v>280</v>
      </c>
      <c r="I8523" s="589" t="s">
        <v>280</v>
      </c>
    </row>
    <row r="8524" spans="1:9">
      <c r="A8524" s="577"/>
      <c r="B8524" s="65">
        <v>8722</v>
      </c>
      <c r="C8524" s="579" t="s">
        <v>281</v>
      </c>
      <c r="D8524" s="579"/>
      <c r="E8524" s="583"/>
      <c r="F8524" s="596"/>
      <c r="G8524" s="65">
        <v>0</v>
      </c>
      <c r="H8524" s="591" t="s">
        <v>280</v>
      </c>
      <c r="I8524" s="589" t="s">
        <v>280</v>
      </c>
    </row>
    <row r="8525" spans="1:9">
      <c r="A8525" s="577"/>
      <c r="B8525" s="65">
        <v>8723</v>
      </c>
      <c r="C8525" s="579" t="s">
        <v>281</v>
      </c>
      <c r="D8525" s="579"/>
      <c r="E8525" s="583"/>
      <c r="F8525" s="596"/>
      <c r="G8525" s="65">
        <v>0</v>
      </c>
      <c r="H8525" s="591" t="s">
        <v>280</v>
      </c>
      <c r="I8525" s="589" t="s">
        <v>280</v>
      </c>
    </row>
    <row r="8526" spans="1:9">
      <c r="A8526" s="577"/>
      <c r="B8526" s="65">
        <v>8724</v>
      </c>
      <c r="C8526" s="579" t="s">
        <v>281</v>
      </c>
      <c r="D8526" s="579"/>
      <c r="E8526" s="583"/>
      <c r="F8526" s="596"/>
      <c r="G8526" s="65">
        <v>0</v>
      </c>
      <c r="H8526" s="591" t="s">
        <v>280</v>
      </c>
      <c r="I8526" s="589" t="s">
        <v>280</v>
      </c>
    </row>
    <row r="8527" spans="1:9">
      <c r="A8527" s="577"/>
      <c r="B8527" s="65">
        <v>8725</v>
      </c>
      <c r="C8527" s="579" t="s">
        <v>281</v>
      </c>
      <c r="D8527" s="579"/>
      <c r="E8527" s="583"/>
      <c r="F8527" s="596"/>
      <c r="G8527" s="65">
        <v>0</v>
      </c>
      <c r="H8527" s="591" t="s">
        <v>280</v>
      </c>
      <c r="I8527" s="589" t="s">
        <v>280</v>
      </c>
    </row>
    <row r="8528" spans="1:9">
      <c r="A8528" s="577"/>
      <c r="B8528" s="65">
        <v>8726</v>
      </c>
      <c r="C8528" s="579" t="s">
        <v>281</v>
      </c>
      <c r="D8528" s="579"/>
      <c r="E8528" s="583"/>
      <c r="F8528" s="596"/>
      <c r="G8528" s="65">
        <v>0</v>
      </c>
      <c r="H8528" s="591" t="s">
        <v>280</v>
      </c>
      <c r="I8528" s="589" t="s">
        <v>280</v>
      </c>
    </row>
    <row r="8529" spans="1:9">
      <c r="A8529" s="577"/>
      <c r="B8529" s="65">
        <v>8727</v>
      </c>
      <c r="C8529" s="579" t="s">
        <v>281</v>
      </c>
      <c r="D8529" s="579"/>
      <c r="E8529" s="583"/>
      <c r="F8529" s="596"/>
      <c r="G8529" s="65">
        <v>0</v>
      </c>
      <c r="H8529" s="591" t="s">
        <v>280</v>
      </c>
      <c r="I8529" s="589" t="s">
        <v>280</v>
      </c>
    </row>
    <row r="8530" spans="1:9">
      <c r="A8530" s="577"/>
      <c r="B8530" s="65">
        <v>8728</v>
      </c>
      <c r="C8530" s="579" t="s">
        <v>281</v>
      </c>
      <c r="D8530" s="579"/>
      <c r="E8530" s="583"/>
      <c r="F8530" s="596"/>
      <c r="G8530" s="65">
        <v>0</v>
      </c>
      <c r="H8530" s="591" t="s">
        <v>280</v>
      </c>
      <c r="I8530" s="589" t="s">
        <v>280</v>
      </c>
    </row>
    <row r="8531" spans="1:9">
      <c r="A8531" s="577"/>
      <c r="B8531" s="65">
        <v>8729</v>
      </c>
      <c r="C8531" s="579" t="s">
        <v>281</v>
      </c>
      <c r="D8531" s="579"/>
      <c r="E8531" s="583"/>
      <c r="F8531" s="596"/>
      <c r="G8531" s="65">
        <v>0</v>
      </c>
      <c r="H8531" s="591" t="s">
        <v>280</v>
      </c>
      <c r="I8531" s="589" t="s">
        <v>280</v>
      </c>
    </row>
    <row r="8532" spans="1:9">
      <c r="A8532" s="577"/>
      <c r="B8532" s="65">
        <v>8730</v>
      </c>
      <c r="C8532" s="579" t="s">
        <v>281</v>
      </c>
      <c r="D8532" s="579"/>
      <c r="E8532" s="583"/>
      <c r="F8532" s="596"/>
      <c r="G8532" s="65">
        <v>0</v>
      </c>
      <c r="H8532" s="591" t="s">
        <v>280</v>
      </c>
      <c r="I8532" s="589" t="s">
        <v>280</v>
      </c>
    </row>
    <row r="8533" spans="1:9">
      <c r="A8533" s="577"/>
      <c r="B8533" s="65">
        <v>8731</v>
      </c>
      <c r="C8533" s="579" t="s">
        <v>281</v>
      </c>
      <c r="D8533" s="579"/>
      <c r="E8533" s="583"/>
      <c r="F8533" s="596"/>
      <c r="G8533" s="65">
        <v>0</v>
      </c>
      <c r="H8533" s="591" t="s">
        <v>280</v>
      </c>
      <c r="I8533" s="589" t="s">
        <v>280</v>
      </c>
    </row>
    <row r="8534" spans="1:9">
      <c r="A8534" s="577"/>
      <c r="B8534" s="65">
        <v>8732</v>
      </c>
      <c r="C8534" s="579" t="s">
        <v>281</v>
      </c>
      <c r="D8534" s="579"/>
      <c r="E8534" s="583"/>
      <c r="F8534" s="596"/>
      <c r="G8534" s="65">
        <v>0</v>
      </c>
      <c r="H8534" s="591" t="s">
        <v>280</v>
      </c>
      <c r="I8534" s="589" t="s">
        <v>280</v>
      </c>
    </row>
    <row r="8535" spans="1:9">
      <c r="A8535" s="577"/>
      <c r="B8535" s="65">
        <v>8733</v>
      </c>
      <c r="C8535" s="579" t="s">
        <v>281</v>
      </c>
      <c r="D8535" s="579"/>
      <c r="E8535" s="583"/>
      <c r="F8535" s="596"/>
      <c r="G8535" s="65">
        <v>0</v>
      </c>
      <c r="H8535" s="591" t="s">
        <v>280</v>
      </c>
      <c r="I8535" s="589" t="s">
        <v>280</v>
      </c>
    </row>
    <row r="8536" spans="1:9">
      <c r="A8536" s="577"/>
      <c r="B8536" s="65">
        <v>8734</v>
      </c>
      <c r="C8536" s="579" t="s">
        <v>281</v>
      </c>
      <c r="D8536" s="579"/>
      <c r="E8536" s="583"/>
      <c r="F8536" s="596"/>
      <c r="G8536" s="65">
        <v>0</v>
      </c>
      <c r="H8536" s="591" t="s">
        <v>280</v>
      </c>
      <c r="I8536" s="589" t="s">
        <v>280</v>
      </c>
    </row>
    <row r="8537" spans="1:9">
      <c r="A8537" s="577"/>
      <c r="B8537" s="65">
        <v>8735</v>
      </c>
      <c r="C8537" s="579" t="s">
        <v>281</v>
      </c>
      <c r="D8537" s="579"/>
      <c r="E8537" s="583"/>
      <c r="F8537" s="596"/>
      <c r="G8537" s="65">
        <v>0</v>
      </c>
      <c r="H8537" s="591" t="s">
        <v>280</v>
      </c>
      <c r="I8537" s="589" t="s">
        <v>280</v>
      </c>
    </row>
    <row r="8538" spans="1:9">
      <c r="A8538" s="577"/>
      <c r="B8538" s="65">
        <v>8736</v>
      </c>
      <c r="C8538" s="579" t="s">
        <v>281</v>
      </c>
      <c r="D8538" s="579"/>
      <c r="E8538" s="583"/>
      <c r="F8538" s="596"/>
      <c r="G8538" s="65">
        <v>0</v>
      </c>
      <c r="H8538" s="591" t="s">
        <v>280</v>
      </c>
      <c r="I8538" s="589" t="s">
        <v>280</v>
      </c>
    </row>
    <row r="8539" spans="1:9">
      <c r="A8539" s="577"/>
      <c r="B8539" s="65">
        <v>8737</v>
      </c>
      <c r="C8539" s="579" t="s">
        <v>281</v>
      </c>
      <c r="D8539" s="579"/>
      <c r="E8539" s="583"/>
      <c r="F8539" s="596"/>
      <c r="G8539" s="65">
        <v>0</v>
      </c>
      <c r="H8539" s="591" t="s">
        <v>280</v>
      </c>
      <c r="I8539" s="589" t="s">
        <v>280</v>
      </c>
    </row>
    <row r="8540" spans="1:9">
      <c r="A8540" s="577"/>
      <c r="B8540" s="65">
        <v>8738</v>
      </c>
      <c r="C8540" s="579" t="s">
        <v>281</v>
      </c>
      <c r="D8540" s="579"/>
      <c r="E8540" s="583"/>
      <c r="F8540" s="596"/>
      <c r="G8540" s="65">
        <v>0</v>
      </c>
      <c r="H8540" s="591" t="s">
        <v>280</v>
      </c>
      <c r="I8540" s="589" t="s">
        <v>280</v>
      </c>
    </row>
    <row r="8541" spans="1:9">
      <c r="A8541" s="577"/>
      <c r="B8541" s="65">
        <v>8739</v>
      </c>
      <c r="C8541" s="579" t="s">
        <v>281</v>
      </c>
      <c r="D8541" s="579"/>
      <c r="E8541" s="583"/>
      <c r="F8541" s="596"/>
      <c r="G8541" s="65">
        <v>0</v>
      </c>
      <c r="H8541" s="591" t="s">
        <v>280</v>
      </c>
      <c r="I8541" s="589" t="s">
        <v>280</v>
      </c>
    </row>
    <row r="8542" spans="1:9">
      <c r="A8542" s="577"/>
      <c r="B8542" s="65">
        <v>8740</v>
      </c>
      <c r="C8542" s="579" t="s">
        <v>281</v>
      </c>
      <c r="D8542" s="579"/>
      <c r="E8542" s="583"/>
      <c r="F8542" s="596"/>
      <c r="G8542" s="65">
        <v>0</v>
      </c>
      <c r="H8542" s="591" t="s">
        <v>280</v>
      </c>
      <c r="I8542" s="589" t="s">
        <v>280</v>
      </c>
    </row>
    <row r="8543" spans="1:9">
      <c r="A8543" s="577"/>
      <c r="B8543" s="65">
        <v>8741</v>
      </c>
      <c r="C8543" s="579" t="s">
        <v>281</v>
      </c>
      <c r="D8543" s="579"/>
      <c r="E8543" s="583"/>
      <c r="F8543" s="596"/>
      <c r="G8543" s="65">
        <v>0</v>
      </c>
      <c r="H8543" s="591" t="s">
        <v>280</v>
      </c>
      <c r="I8543" s="589" t="s">
        <v>280</v>
      </c>
    </row>
    <row r="8544" spans="1:9">
      <c r="A8544" s="577"/>
      <c r="B8544" s="65">
        <v>8742</v>
      </c>
      <c r="C8544" s="579" t="s">
        <v>281</v>
      </c>
      <c r="D8544" s="579"/>
      <c r="E8544" s="583"/>
      <c r="F8544" s="596"/>
      <c r="G8544" s="65">
        <v>0</v>
      </c>
      <c r="H8544" s="591" t="s">
        <v>280</v>
      </c>
      <c r="I8544" s="589" t="s">
        <v>280</v>
      </c>
    </row>
    <row r="8545" spans="1:9">
      <c r="A8545" s="577"/>
      <c r="B8545" s="65">
        <v>8743</v>
      </c>
      <c r="C8545" s="579" t="s">
        <v>281</v>
      </c>
      <c r="D8545" s="579"/>
      <c r="E8545" s="583"/>
      <c r="F8545" s="596"/>
      <c r="G8545" s="65">
        <v>0</v>
      </c>
      <c r="H8545" s="591" t="s">
        <v>280</v>
      </c>
      <c r="I8545" s="589" t="s">
        <v>280</v>
      </c>
    </row>
    <row r="8546" spans="1:9">
      <c r="A8546" s="577"/>
      <c r="B8546" s="65">
        <v>8744</v>
      </c>
      <c r="C8546" s="579" t="s">
        <v>281</v>
      </c>
      <c r="D8546" s="579"/>
      <c r="E8546" s="583"/>
      <c r="F8546" s="596"/>
      <c r="G8546" s="65">
        <v>0</v>
      </c>
      <c r="H8546" s="591" t="s">
        <v>280</v>
      </c>
      <c r="I8546" s="589" t="s">
        <v>280</v>
      </c>
    </row>
    <row r="8547" spans="1:9">
      <c r="A8547" s="577"/>
      <c r="B8547" s="65">
        <v>8745</v>
      </c>
      <c r="C8547" s="579" t="s">
        <v>281</v>
      </c>
      <c r="D8547" s="579"/>
      <c r="E8547" s="583"/>
      <c r="F8547" s="596"/>
      <c r="G8547" s="65">
        <v>0</v>
      </c>
      <c r="H8547" s="591" t="s">
        <v>280</v>
      </c>
      <c r="I8547" s="589" t="s">
        <v>280</v>
      </c>
    </row>
    <row r="8548" spans="1:9">
      <c r="A8548" s="577"/>
      <c r="B8548" s="65">
        <v>8746</v>
      </c>
      <c r="C8548" s="579" t="s">
        <v>281</v>
      </c>
      <c r="D8548" s="579"/>
      <c r="E8548" s="583"/>
      <c r="F8548" s="596"/>
      <c r="G8548" s="65">
        <v>0</v>
      </c>
      <c r="H8548" s="591" t="s">
        <v>280</v>
      </c>
      <c r="I8548" s="589" t="s">
        <v>280</v>
      </c>
    </row>
    <row r="8549" spans="1:9">
      <c r="A8549" s="577"/>
      <c r="B8549" s="65">
        <v>8747</v>
      </c>
      <c r="C8549" s="579" t="s">
        <v>281</v>
      </c>
      <c r="D8549" s="579"/>
      <c r="E8549" s="583"/>
      <c r="F8549" s="596"/>
      <c r="G8549" s="65">
        <v>0</v>
      </c>
      <c r="H8549" s="591" t="s">
        <v>280</v>
      </c>
      <c r="I8549" s="589" t="s">
        <v>280</v>
      </c>
    </row>
    <row r="8550" spans="1:9">
      <c r="A8550" s="577"/>
      <c r="B8550" s="65">
        <v>8748</v>
      </c>
      <c r="C8550" s="579" t="s">
        <v>281</v>
      </c>
      <c r="D8550" s="579"/>
      <c r="E8550" s="583"/>
      <c r="F8550" s="596"/>
      <c r="G8550" s="65">
        <v>0</v>
      </c>
      <c r="H8550" s="591" t="s">
        <v>280</v>
      </c>
      <c r="I8550" s="589" t="s">
        <v>280</v>
      </c>
    </row>
    <row r="8551" spans="1:9">
      <c r="A8551" s="577"/>
      <c r="B8551" s="65">
        <v>8749</v>
      </c>
      <c r="C8551" s="579" t="s">
        <v>281</v>
      </c>
      <c r="D8551" s="579"/>
      <c r="E8551" s="583"/>
      <c r="F8551" s="596"/>
      <c r="G8551" s="65">
        <v>0</v>
      </c>
      <c r="H8551" s="591" t="s">
        <v>280</v>
      </c>
      <c r="I8551" s="589" t="s">
        <v>280</v>
      </c>
    </row>
    <row r="8552" spans="1:9">
      <c r="A8552" s="577"/>
      <c r="B8552" s="65">
        <v>8750</v>
      </c>
      <c r="C8552" s="579" t="s">
        <v>281</v>
      </c>
      <c r="D8552" s="579"/>
      <c r="E8552" s="583"/>
      <c r="F8552" s="596"/>
      <c r="G8552" s="65">
        <v>0</v>
      </c>
      <c r="H8552" s="591" t="s">
        <v>280</v>
      </c>
      <c r="I8552" s="589" t="s">
        <v>280</v>
      </c>
    </row>
    <row r="8553" spans="1:9">
      <c r="A8553" s="577"/>
      <c r="B8553" s="65">
        <v>8751</v>
      </c>
      <c r="C8553" s="579" t="s">
        <v>281</v>
      </c>
      <c r="D8553" s="579"/>
      <c r="E8553" s="583"/>
      <c r="F8553" s="596"/>
      <c r="G8553" s="65">
        <v>0</v>
      </c>
      <c r="H8553" s="591" t="s">
        <v>280</v>
      </c>
      <c r="I8553" s="589" t="s">
        <v>280</v>
      </c>
    </row>
    <row r="8554" spans="1:9">
      <c r="A8554" s="577"/>
      <c r="B8554" s="65">
        <v>8752</v>
      </c>
      <c r="C8554" s="579" t="s">
        <v>281</v>
      </c>
      <c r="D8554" s="579"/>
      <c r="E8554" s="583"/>
      <c r="F8554" s="596"/>
      <c r="G8554" s="65">
        <v>0</v>
      </c>
      <c r="H8554" s="591" t="s">
        <v>280</v>
      </c>
      <c r="I8554" s="589" t="s">
        <v>280</v>
      </c>
    </row>
    <row r="8555" spans="1:9">
      <c r="A8555" s="577"/>
      <c r="B8555" s="65">
        <v>8753</v>
      </c>
      <c r="C8555" s="579" t="s">
        <v>281</v>
      </c>
      <c r="D8555" s="579"/>
      <c r="E8555" s="583"/>
      <c r="F8555" s="596"/>
      <c r="G8555" s="65">
        <v>0</v>
      </c>
      <c r="H8555" s="591" t="s">
        <v>280</v>
      </c>
      <c r="I8555" s="589" t="s">
        <v>280</v>
      </c>
    </row>
    <row r="8556" spans="1:9">
      <c r="A8556" s="577"/>
      <c r="B8556" s="65">
        <v>8754</v>
      </c>
      <c r="C8556" s="579" t="s">
        <v>281</v>
      </c>
      <c r="D8556" s="579"/>
      <c r="E8556" s="583"/>
      <c r="F8556" s="596"/>
      <c r="G8556" s="65">
        <v>0</v>
      </c>
      <c r="H8556" s="591" t="s">
        <v>280</v>
      </c>
      <c r="I8556" s="589" t="s">
        <v>280</v>
      </c>
    </row>
    <row r="8557" spans="1:9">
      <c r="A8557" s="577"/>
      <c r="B8557" s="65">
        <v>8755</v>
      </c>
      <c r="C8557" s="579" t="s">
        <v>281</v>
      </c>
      <c r="D8557" s="579"/>
      <c r="E8557" s="583"/>
      <c r="F8557" s="596"/>
      <c r="G8557" s="65">
        <v>0</v>
      </c>
      <c r="H8557" s="591" t="s">
        <v>280</v>
      </c>
      <c r="I8557" s="589" t="s">
        <v>280</v>
      </c>
    </row>
    <row r="8558" spans="1:9">
      <c r="A8558" s="577"/>
      <c r="B8558" s="65">
        <v>8756</v>
      </c>
      <c r="C8558" s="579" t="s">
        <v>281</v>
      </c>
      <c r="D8558" s="579"/>
      <c r="E8558" s="583"/>
      <c r="F8558" s="596"/>
      <c r="G8558" s="65">
        <v>0</v>
      </c>
      <c r="H8558" s="591" t="s">
        <v>280</v>
      </c>
      <c r="I8558" s="589" t="s">
        <v>280</v>
      </c>
    </row>
    <row r="8559" spans="1:9">
      <c r="A8559" s="577"/>
      <c r="B8559" s="65">
        <v>8757</v>
      </c>
      <c r="C8559" s="579" t="s">
        <v>281</v>
      </c>
      <c r="D8559" s="579"/>
      <c r="E8559" s="583"/>
      <c r="F8559" s="596"/>
      <c r="G8559" s="65">
        <v>0</v>
      </c>
      <c r="H8559" s="591" t="s">
        <v>280</v>
      </c>
      <c r="I8559" s="589" t="s">
        <v>280</v>
      </c>
    </row>
    <row r="8560" spans="1:9">
      <c r="A8560" s="577"/>
      <c r="B8560" s="65">
        <v>8758</v>
      </c>
      <c r="C8560" s="579" t="s">
        <v>281</v>
      </c>
      <c r="D8560" s="579"/>
      <c r="E8560" s="583"/>
      <c r="F8560" s="596"/>
      <c r="G8560" s="65">
        <v>0</v>
      </c>
      <c r="H8560" s="591" t="s">
        <v>280</v>
      </c>
      <c r="I8560" s="589" t="s">
        <v>280</v>
      </c>
    </row>
    <row r="8561" spans="1:9">
      <c r="A8561" s="577"/>
      <c r="B8561" s="65">
        <v>8759</v>
      </c>
      <c r="C8561" s="579" t="s">
        <v>281</v>
      </c>
      <c r="D8561" s="579"/>
      <c r="E8561" s="583"/>
      <c r="F8561" s="596"/>
      <c r="G8561" s="65">
        <v>0</v>
      </c>
      <c r="H8561" s="591" t="s">
        <v>280</v>
      </c>
      <c r="I8561" s="589" t="s">
        <v>280</v>
      </c>
    </row>
    <row r="8562" spans="1:9">
      <c r="A8562" s="577"/>
      <c r="B8562" s="65">
        <v>8760</v>
      </c>
      <c r="C8562" s="579" t="s">
        <v>281</v>
      </c>
      <c r="D8562" s="579"/>
      <c r="E8562" s="583"/>
      <c r="F8562" s="596"/>
      <c r="G8562" s="65">
        <v>0</v>
      </c>
      <c r="H8562" s="591" t="s">
        <v>280</v>
      </c>
      <c r="I8562" s="589" t="s">
        <v>280</v>
      </c>
    </row>
    <row r="8563" spans="1:9">
      <c r="A8563" s="577"/>
      <c r="B8563" s="65">
        <v>8761</v>
      </c>
      <c r="C8563" s="579" t="s">
        <v>281</v>
      </c>
      <c r="D8563" s="579"/>
      <c r="E8563" s="583"/>
      <c r="F8563" s="596"/>
      <c r="G8563" s="65">
        <v>0</v>
      </c>
      <c r="H8563" s="591" t="s">
        <v>280</v>
      </c>
      <c r="I8563" s="589" t="s">
        <v>280</v>
      </c>
    </row>
    <row r="8564" spans="1:9">
      <c r="A8564" s="577"/>
      <c r="B8564" s="65">
        <v>8762</v>
      </c>
      <c r="C8564" s="579" t="s">
        <v>281</v>
      </c>
      <c r="D8564" s="579"/>
      <c r="E8564" s="583"/>
      <c r="F8564" s="596"/>
      <c r="G8564" s="65">
        <v>0</v>
      </c>
      <c r="H8564" s="591" t="s">
        <v>280</v>
      </c>
      <c r="I8564" s="589" t="s">
        <v>280</v>
      </c>
    </row>
    <row r="8565" spans="1:9">
      <c r="A8565" s="577"/>
      <c r="B8565" s="65">
        <v>8763</v>
      </c>
      <c r="C8565" s="579" t="s">
        <v>281</v>
      </c>
      <c r="D8565" s="579"/>
      <c r="E8565" s="583"/>
      <c r="F8565" s="596"/>
      <c r="G8565" s="65">
        <v>0</v>
      </c>
      <c r="H8565" s="591" t="s">
        <v>280</v>
      </c>
      <c r="I8565" s="589" t="s">
        <v>280</v>
      </c>
    </row>
    <row r="8566" spans="1:9">
      <c r="A8566" s="577"/>
      <c r="B8566" s="65">
        <v>8764</v>
      </c>
      <c r="C8566" s="579" t="s">
        <v>281</v>
      </c>
      <c r="D8566" s="579"/>
      <c r="E8566" s="583"/>
      <c r="F8566" s="596"/>
      <c r="G8566" s="65">
        <v>0</v>
      </c>
      <c r="H8566" s="591" t="s">
        <v>280</v>
      </c>
      <c r="I8566" s="589" t="s">
        <v>280</v>
      </c>
    </row>
    <row r="8567" spans="1:9">
      <c r="A8567" s="577"/>
      <c r="B8567" s="65">
        <v>8765</v>
      </c>
      <c r="C8567" s="579" t="s">
        <v>281</v>
      </c>
      <c r="D8567" s="579"/>
      <c r="E8567" s="583"/>
      <c r="F8567" s="596"/>
      <c r="G8567" s="65">
        <v>0</v>
      </c>
      <c r="H8567" s="591" t="s">
        <v>280</v>
      </c>
      <c r="I8567" s="589" t="s">
        <v>280</v>
      </c>
    </row>
    <row r="8568" spans="1:9">
      <c r="A8568" s="577"/>
      <c r="B8568" s="65">
        <v>8766</v>
      </c>
      <c r="C8568" s="579" t="s">
        <v>281</v>
      </c>
      <c r="D8568" s="579"/>
      <c r="E8568" s="583"/>
      <c r="F8568" s="596"/>
      <c r="G8568" s="65">
        <v>0</v>
      </c>
      <c r="H8568" s="591" t="s">
        <v>280</v>
      </c>
      <c r="I8568" s="589" t="s">
        <v>280</v>
      </c>
    </row>
    <row r="8569" spans="1:9">
      <c r="A8569" s="577"/>
      <c r="B8569" s="65">
        <v>8767</v>
      </c>
      <c r="C8569" s="579" t="s">
        <v>281</v>
      </c>
      <c r="D8569" s="579"/>
      <c r="E8569" s="583"/>
      <c r="F8569" s="596"/>
      <c r="G8569" s="65">
        <v>0</v>
      </c>
      <c r="H8569" s="591" t="s">
        <v>280</v>
      </c>
      <c r="I8569" s="589" t="s">
        <v>280</v>
      </c>
    </row>
    <row r="8570" spans="1:9">
      <c r="A8570" s="577"/>
      <c r="B8570" s="65">
        <v>8768</v>
      </c>
      <c r="C8570" s="579" t="s">
        <v>281</v>
      </c>
      <c r="D8570" s="579"/>
      <c r="E8570" s="583"/>
      <c r="F8570" s="596"/>
      <c r="G8570" s="65">
        <v>0</v>
      </c>
      <c r="H8570" s="591" t="s">
        <v>280</v>
      </c>
      <c r="I8570" s="589" t="s">
        <v>280</v>
      </c>
    </row>
    <row r="8571" spans="1:9">
      <c r="A8571" s="577"/>
      <c r="B8571" s="65">
        <v>8769</v>
      </c>
      <c r="C8571" s="579" t="s">
        <v>281</v>
      </c>
      <c r="D8571" s="579"/>
      <c r="E8571" s="583"/>
      <c r="F8571" s="596"/>
      <c r="G8571" s="65">
        <v>0</v>
      </c>
      <c r="H8571" s="591" t="s">
        <v>280</v>
      </c>
      <c r="I8571" s="589" t="s">
        <v>280</v>
      </c>
    </row>
    <row r="8572" spans="1:9">
      <c r="A8572" s="577"/>
      <c r="B8572" s="65">
        <v>8770</v>
      </c>
      <c r="C8572" s="579" t="s">
        <v>281</v>
      </c>
      <c r="D8572" s="579"/>
      <c r="E8572" s="583"/>
      <c r="F8572" s="596"/>
      <c r="G8572" s="65">
        <v>0</v>
      </c>
      <c r="H8572" s="591" t="s">
        <v>280</v>
      </c>
      <c r="I8572" s="589" t="s">
        <v>280</v>
      </c>
    </row>
    <row r="8573" spans="1:9">
      <c r="A8573" s="577"/>
      <c r="B8573" s="65">
        <v>8771</v>
      </c>
      <c r="C8573" s="579" t="s">
        <v>281</v>
      </c>
      <c r="D8573" s="579"/>
      <c r="E8573" s="583"/>
      <c r="F8573" s="596"/>
      <c r="G8573" s="65">
        <v>0</v>
      </c>
      <c r="H8573" s="591" t="s">
        <v>280</v>
      </c>
      <c r="I8573" s="589" t="s">
        <v>280</v>
      </c>
    </row>
    <row r="8574" spans="1:9">
      <c r="A8574" s="577"/>
      <c r="B8574" s="65">
        <v>8772</v>
      </c>
      <c r="C8574" s="579" t="s">
        <v>281</v>
      </c>
      <c r="D8574" s="579"/>
      <c r="E8574" s="583"/>
      <c r="F8574" s="596"/>
      <c r="G8574" s="65">
        <v>0</v>
      </c>
      <c r="H8574" s="591" t="s">
        <v>280</v>
      </c>
      <c r="I8574" s="589" t="s">
        <v>280</v>
      </c>
    </row>
    <row r="8575" spans="1:9">
      <c r="A8575" s="577"/>
      <c r="B8575" s="65">
        <v>8773</v>
      </c>
      <c r="C8575" s="579" t="s">
        <v>281</v>
      </c>
      <c r="D8575" s="579"/>
      <c r="E8575" s="583"/>
      <c r="F8575" s="596"/>
      <c r="G8575" s="65">
        <v>0</v>
      </c>
      <c r="H8575" s="591" t="s">
        <v>280</v>
      </c>
      <c r="I8575" s="589" t="s">
        <v>280</v>
      </c>
    </row>
    <row r="8576" spans="1:9">
      <c r="A8576" s="577"/>
      <c r="B8576" s="65">
        <v>8774</v>
      </c>
      <c r="C8576" s="579" t="s">
        <v>281</v>
      </c>
      <c r="D8576" s="579"/>
      <c r="E8576" s="583"/>
      <c r="F8576" s="596"/>
      <c r="G8576" s="65">
        <v>0</v>
      </c>
      <c r="H8576" s="591" t="s">
        <v>280</v>
      </c>
      <c r="I8576" s="589" t="s">
        <v>280</v>
      </c>
    </row>
    <row r="8577" spans="1:9">
      <c r="A8577" s="577"/>
      <c r="B8577" s="65">
        <v>8775</v>
      </c>
      <c r="C8577" s="579" t="s">
        <v>281</v>
      </c>
      <c r="D8577" s="579"/>
      <c r="E8577" s="583"/>
      <c r="F8577" s="596"/>
      <c r="G8577" s="65">
        <v>0</v>
      </c>
      <c r="H8577" s="591" t="s">
        <v>280</v>
      </c>
      <c r="I8577" s="589" t="s">
        <v>280</v>
      </c>
    </row>
    <row r="8578" spans="1:9">
      <c r="A8578" s="577"/>
      <c r="B8578" s="65">
        <v>8776</v>
      </c>
      <c r="C8578" s="579" t="s">
        <v>281</v>
      </c>
      <c r="D8578" s="579"/>
      <c r="E8578" s="583"/>
      <c r="F8578" s="596"/>
      <c r="G8578" s="65">
        <v>0</v>
      </c>
      <c r="H8578" s="591" t="s">
        <v>280</v>
      </c>
      <c r="I8578" s="589" t="s">
        <v>280</v>
      </c>
    </row>
    <row r="8579" spans="1:9">
      <c r="A8579" s="577"/>
      <c r="B8579" s="65">
        <v>8777</v>
      </c>
      <c r="C8579" s="579" t="s">
        <v>281</v>
      </c>
      <c r="D8579" s="579"/>
      <c r="E8579" s="583"/>
      <c r="F8579" s="596"/>
      <c r="G8579" s="65">
        <v>0</v>
      </c>
      <c r="H8579" s="591" t="s">
        <v>280</v>
      </c>
      <c r="I8579" s="589" t="s">
        <v>280</v>
      </c>
    </row>
    <row r="8580" spans="1:9">
      <c r="A8580" s="577"/>
      <c r="B8580" s="65">
        <v>8778</v>
      </c>
      <c r="C8580" s="579" t="s">
        <v>281</v>
      </c>
      <c r="D8580" s="579"/>
      <c r="E8580" s="583"/>
      <c r="F8580" s="596"/>
      <c r="G8580" s="65">
        <v>0</v>
      </c>
      <c r="H8580" s="591" t="s">
        <v>280</v>
      </c>
      <c r="I8580" s="589" t="s">
        <v>280</v>
      </c>
    </row>
    <row r="8581" spans="1:9">
      <c r="A8581" s="577"/>
      <c r="B8581" s="65">
        <v>8779</v>
      </c>
      <c r="C8581" s="579" t="s">
        <v>281</v>
      </c>
      <c r="D8581" s="579"/>
      <c r="E8581" s="583"/>
      <c r="F8581" s="596"/>
      <c r="G8581" s="65">
        <v>0</v>
      </c>
      <c r="H8581" s="591" t="s">
        <v>280</v>
      </c>
      <c r="I8581" s="589" t="s">
        <v>280</v>
      </c>
    </row>
    <row r="8582" spans="1:9">
      <c r="A8582" s="577"/>
      <c r="B8582" s="65">
        <v>8780</v>
      </c>
      <c r="C8582" s="579" t="s">
        <v>281</v>
      </c>
      <c r="D8582" s="579"/>
      <c r="E8582" s="583"/>
      <c r="F8582" s="596"/>
      <c r="G8582" s="65">
        <v>0</v>
      </c>
      <c r="H8582" s="591" t="s">
        <v>280</v>
      </c>
      <c r="I8582" s="589" t="s">
        <v>280</v>
      </c>
    </row>
    <row r="8583" spans="1:9">
      <c r="A8583" s="577"/>
      <c r="B8583" s="65">
        <v>8781</v>
      </c>
      <c r="C8583" s="579" t="s">
        <v>281</v>
      </c>
      <c r="D8583" s="579"/>
      <c r="E8583" s="583"/>
      <c r="F8583" s="596"/>
      <c r="G8583" s="65">
        <v>0</v>
      </c>
      <c r="H8583" s="591" t="s">
        <v>280</v>
      </c>
      <c r="I8583" s="589" t="s">
        <v>280</v>
      </c>
    </row>
    <row r="8584" spans="1:9">
      <c r="A8584" s="577"/>
      <c r="B8584" s="65">
        <v>8782</v>
      </c>
      <c r="C8584" s="579" t="s">
        <v>281</v>
      </c>
      <c r="D8584" s="579"/>
      <c r="E8584" s="583"/>
      <c r="F8584" s="596"/>
      <c r="G8584" s="65">
        <v>0</v>
      </c>
      <c r="H8584" s="591" t="s">
        <v>280</v>
      </c>
      <c r="I8584" s="589" t="s">
        <v>280</v>
      </c>
    </row>
    <row r="8585" spans="1:9">
      <c r="A8585" s="577"/>
      <c r="B8585" s="65">
        <v>8783</v>
      </c>
      <c r="C8585" s="579" t="s">
        <v>281</v>
      </c>
      <c r="D8585" s="579"/>
      <c r="E8585" s="583"/>
      <c r="F8585" s="596"/>
      <c r="G8585" s="65">
        <v>0</v>
      </c>
      <c r="H8585" s="591" t="s">
        <v>280</v>
      </c>
      <c r="I8585" s="589" t="s">
        <v>280</v>
      </c>
    </row>
    <row r="8586" spans="1:9">
      <c r="A8586" s="577"/>
      <c r="B8586" s="65">
        <v>8784</v>
      </c>
      <c r="C8586" s="579" t="s">
        <v>281</v>
      </c>
      <c r="D8586" s="579"/>
      <c r="E8586" s="583"/>
      <c r="F8586" s="596"/>
      <c r="G8586" s="65">
        <v>0</v>
      </c>
      <c r="H8586" s="591" t="s">
        <v>280</v>
      </c>
      <c r="I8586" s="589" t="s">
        <v>280</v>
      </c>
    </row>
    <row r="8587" spans="1:9">
      <c r="A8587" s="577"/>
      <c r="B8587" s="65">
        <v>8785</v>
      </c>
      <c r="C8587" s="579" t="s">
        <v>281</v>
      </c>
      <c r="D8587" s="579"/>
      <c r="E8587" s="583"/>
      <c r="F8587" s="596"/>
      <c r="G8587" s="65">
        <v>0</v>
      </c>
      <c r="H8587" s="591" t="s">
        <v>280</v>
      </c>
      <c r="I8587" s="589" t="s">
        <v>280</v>
      </c>
    </row>
    <row r="8588" spans="1:9">
      <c r="A8588" s="577"/>
      <c r="B8588" s="65">
        <v>8786</v>
      </c>
      <c r="C8588" s="579" t="s">
        <v>281</v>
      </c>
      <c r="D8588" s="579"/>
      <c r="E8588" s="583"/>
      <c r="F8588" s="596"/>
      <c r="G8588" s="65">
        <v>0</v>
      </c>
      <c r="H8588" s="591" t="s">
        <v>280</v>
      </c>
      <c r="I8588" s="589" t="s">
        <v>280</v>
      </c>
    </row>
    <row r="8589" spans="1:9">
      <c r="A8589" s="577"/>
      <c r="B8589" s="65">
        <v>8787</v>
      </c>
      <c r="C8589" s="579" t="s">
        <v>281</v>
      </c>
      <c r="D8589" s="579"/>
      <c r="E8589" s="583"/>
      <c r="F8589" s="596"/>
      <c r="G8589" s="65">
        <v>0</v>
      </c>
      <c r="H8589" s="591" t="s">
        <v>280</v>
      </c>
      <c r="I8589" s="589" t="s">
        <v>280</v>
      </c>
    </row>
    <row r="8590" spans="1:9">
      <c r="A8590" s="577"/>
      <c r="B8590" s="65">
        <v>8788</v>
      </c>
      <c r="C8590" s="579" t="s">
        <v>281</v>
      </c>
      <c r="D8590" s="579"/>
      <c r="E8590" s="583"/>
      <c r="F8590" s="596"/>
      <c r="G8590" s="65">
        <v>0</v>
      </c>
      <c r="H8590" s="591" t="s">
        <v>280</v>
      </c>
      <c r="I8590" s="589" t="s">
        <v>280</v>
      </c>
    </row>
    <row r="8591" spans="1:9">
      <c r="A8591" s="577"/>
      <c r="B8591" s="65">
        <v>8789</v>
      </c>
      <c r="C8591" s="579" t="s">
        <v>281</v>
      </c>
      <c r="D8591" s="579"/>
      <c r="E8591" s="583"/>
      <c r="F8591" s="596"/>
      <c r="G8591" s="65">
        <v>0</v>
      </c>
      <c r="H8591" s="591" t="s">
        <v>280</v>
      </c>
      <c r="I8591" s="589" t="s">
        <v>280</v>
      </c>
    </row>
    <row r="8592" spans="1:9">
      <c r="A8592" s="577"/>
      <c r="B8592" s="65">
        <v>8790</v>
      </c>
      <c r="C8592" s="579" t="s">
        <v>281</v>
      </c>
      <c r="D8592" s="579"/>
      <c r="E8592" s="583"/>
      <c r="F8592" s="596"/>
      <c r="G8592" s="65">
        <v>0</v>
      </c>
      <c r="H8592" s="591" t="s">
        <v>280</v>
      </c>
      <c r="I8592" s="589" t="s">
        <v>280</v>
      </c>
    </row>
    <row r="8593" spans="1:9">
      <c r="A8593" s="577"/>
      <c r="B8593" s="65">
        <v>8791</v>
      </c>
      <c r="C8593" s="579" t="s">
        <v>281</v>
      </c>
      <c r="D8593" s="579"/>
      <c r="E8593" s="583"/>
      <c r="F8593" s="596"/>
      <c r="G8593" s="65">
        <v>0</v>
      </c>
      <c r="H8593" s="591" t="s">
        <v>280</v>
      </c>
      <c r="I8593" s="589" t="s">
        <v>280</v>
      </c>
    </row>
    <row r="8594" spans="1:9">
      <c r="A8594" s="577"/>
      <c r="B8594" s="65">
        <v>8792</v>
      </c>
      <c r="C8594" s="579" t="s">
        <v>281</v>
      </c>
      <c r="D8594" s="579"/>
      <c r="E8594" s="583"/>
      <c r="F8594" s="596"/>
      <c r="G8594" s="65">
        <v>0</v>
      </c>
      <c r="H8594" s="591" t="s">
        <v>280</v>
      </c>
      <c r="I8594" s="589" t="s">
        <v>280</v>
      </c>
    </row>
    <row r="8595" spans="1:9">
      <c r="A8595" s="577"/>
      <c r="B8595" s="65">
        <v>8793</v>
      </c>
      <c r="C8595" s="579" t="s">
        <v>281</v>
      </c>
      <c r="D8595" s="579"/>
      <c r="E8595" s="583"/>
      <c r="F8595" s="596"/>
      <c r="G8595" s="65">
        <v>0</v>
      </c>
      <c r="H8595" s="591" t="s">
        <v>280</v>
      </c>
      <c r="I8595" s="589" t="s">
        <v>280</v>
      </c>
    </row>
    <row r="8596" spans="1:9">
      <c r="A8596" s="577"/>
      <c r="B8596" s="65">
        <v>8794</v>
      </c>
      <c r="C8596" s="579" t="s">
        <v>281</v>
      </c>
      <c r="D8596" s="579"/>
      <c r="E8596" s="583"/>
      <c r="F8596" s="596"/>
      <c r="G8596" s="65">
        <v>0</v>
      </c>
      <c r="H8596" s="591" t="s">
        <v>280</v>
      </c>
      <c r="I8596" s="589" t="s">
        <v>280</v>
      </c>
    </row>
    <row r="8597" spans="1:9">
      <c r="A8597" s="577"/>
      <c r="B8597" s="65">
        <v>8795</v>
      </c>
      <c r="C8597" s="579" t="s">
        <v>281</v>
      </c>
      <c r="D8597" s="579"/>
      <c r="E8597" s="583"/>
      <c r="F8597" s="596"/>
      <c r="G8597" s="65">
        <v>0</v>
      </c>
      <c r="H8597" s="591" t="s">
        <v>280</v>
      </c>
      <c r="I8597" s="589" t="s">
        <v>280</v>
      </c>
    </row>
    <row r="8598" spans="1:9">
      <c r="A8598" s="577"/>
      <c r="B8598" s="65">
        <v>8796</v>
      </c>
      <c r="C8598" s="579" t="s">
        <v>281</v>
      </c>
      <c r="D8598" s="579"/>
      <c r="E8598" s="583"/>
      <c r="F8598" s="596"/>
      <c r="G8598" s="65">
        <v>0</v>
      </c>
      <c r="H8598" s="591" t="s">
        <v>280</v>
      </c>
      <c r="I8598" s="589" t="s">
        <v>280</v>
      </c>
    </row>
    <row r="8599" spans="1:9">
      <c r="A8599" s="577"/>
      <c r="B8599" s="65">
        <v>8797</v>
      </c>
      <c r="C8599" s="579" t="s">
        <v>281</v>
      </c>
      <c r="D8599" s="579"/>
      <c r="E8599" s="583"/>
      <c r="F8599" s="596"/>
      <c r="G8599" s="65">
        <v>0</v>
      </c>
      <c r="H8599" s="591" t="s">
        <v>280</v>
      </c>
      <c r="I8599" s="589" t="s">
        <v>280</v>
      </c>
    </row>
    <row r="8600" spans="1:9">
      <c r="A8600" s="577"/>
      <c r="B8600" s="65">
        <v>8798</v>
      </c>
      <c r="C8600" s="579" t="s">
        <v>281</v>
      </c>
      <c r="D8600" s="579"/>
      <c r="E8600" s="583"/>
      <c r="F8600" s="596"/>
      <c r="G8600" s="65">
        <v>0</v>
      </c>
      <c r="H8600" s="591" t="s">
        <v>280</v>
      </c>
      <c r="I8600" s="589" t="s">
        <v>280</v>
      </c>
    </row>
    <row r="8601" spans="1:9">
      <c r="A8601" s="577"/>
      <c r="B8601" s="65">
        <v>8799</v>
      </c>
      <c r="C8601" s="579" t="s">
        <v>281</v>
      </c>
      <c r="D8601" s="579"/>
      <c r="E8601" s="583"/>
      <c r="F8601" s="596"/>
      <c r="G8601" s="65">
        <v>0</v>
      </c>
      <c r="H8601" s="591" t="s">
        <v>280</v>
      </c>
      <c r="I8601" s="589" t="s">
        <v>280</v>
      </c>
    </row>
    <row r="8602" spans="1:9">
      <c r="A8602" s="577"/>
      <c r="B8602" s="65">
        <v>8800</v>
      </c>
      <c r="C8602" s="579" t="s">
        <v>281</v>
      </c>
      <c r="D8602" s="579"/>
      <c r="E8602" s="583"/>
      <c r="F8602" s="596"/>
      <c r="G8602" s="65">
        <v>0</v>
      </c>
      <c r="H8602" s="591" t="s">
        <v>280</v>
      </c>
      <c r="I8602" s="589" t="s">
        <v>280</v>
      </c>
    </row>
    <row r="8603" spans="1:9">
      <c r="A8603" s="577"/>
      <c r="B8603" s="65">
        <v>8801</v>
      </c>
      <c r="C8603" s="579" t="s">
        <v>281</v>
      </c>
      <c r="D8603" s="579"/>
      <c r="E8603" s="583"/>
      <c r="F8603" s="596"/>
      <c r="G8603" s="65">
        <v>0</v>
      </c>
      <c r="H8603" s="591" t="s">
        <v>280</v>
      </c>
      <c r="I8603" s="589" t="s">
        <v>280</v>
      </c>
    </row>
    <row r="8604" spans="1:9">
      <c r="A8604" s="577"/>
      <c r="B8604" s="65">
        <v>8802</v>
      </c>
      <c r="C8604" s="579" t="s">
        <v>281</v>
      </c>
      <c r="D8604" s="579"/>
      <c r="E8604" s="583"/>
      <c r="F8604" s="596"/>
      <c r="G8604" s="65">
        <v>0</v>
      </c>
      <c r="H8604" s="591" t="s">
        <v>280</v>
      </c>
      <c r="I8604" s="589" t="s">
        <v>280</v>
      </c>
    </row>
    <row r="8605" spans="1:9">
      <c r="A8605" s="577"/>
      <c r="B8605" s="65">
        <v>8803</v>
      </c>
      <c r="C8605" s="579" t="s">
        <v>281</v>
      </c>
      <c r="D8605" s="579"/>
      <c r="E8605" s="583"/>
      <c r="F8605" s="596"/>
      <c r="G8605" s="65">
        <v>0</v>
      </c>
      <c r="H8605" s="591" t="s">
        <v>280</v>
      </c>
      <c r="I8605" s="589" t="s">
        <v>280</v>
      </c>
    </row>
    <row r="8606" spans="1:9">
      <c r="A8606" s="577"/>
      <c r="B8606" s="65">
        <v>8804</v>
      </c>
      <c r="C8606" s="579" t="s">
        <v>281</v>
      </c>
      <c r="D8606" s="579"/>
      <c r="E8606" s="583"/>
      <c r="F8606" s="596"/>
      <c r="G8606" s="65">
        <v>0</v>
      </c>
      <c r="H8606" s="591" t="s">
        <v>280</v>
      </c>
      <c r="I8606" s="589" t="s">
        <v>280</v>
      </c>
    </row>
    <row r="8607" spans="1:9">
      <c r="A8607" s="577"/>
      <c r="B8607" s="65">
        <v>8805</v>
      </c>
      <c r="C8607" s="579" t="s">
        <v>281</v>
      </c>
      <c r="D8607" s="579"/>
      <c r="E8607" s="583"/>
      <c r="F8607" s="596"/>
      <c r="G8607" s="65">
        <v>0</v>
      </c>
      <c r="H8607" s="591" t="s">
        <v>280</v>
      </c>
      <c r="I8607" s="589" t="s">
        <v>280</v>
      </c>
    </row>
    <row r="8608" spans="1:9">
      <c r="A8608" s="577"/>
      <c r="B8608" s="65">
        <v>8806</v>
      </c>
      <c r="C8608" s="579" t="s">
        <v>281</v>
      </c>
      <c r="D8608" s="579"/>
      <c r="E8608" s="583"/>
      <c r="F8608" s="596"/>
      <c r="G8608" s="65">
        <v>0</v>
      </c>
      <c r="H8608" s="591" t="s">
        <v>280</v>
      </c>
      <c r="I8608" s="589" t="s">
        <v>280</v>
      </c>
    </row>
    <row r="8609" spans="1:9">
      <c r="A8609" s="577"/>
      <c r="B8609" s="65">
        <v>8807</v>
      </c>
      <c r="C8609" s="579" t="s">
        <v>281</v>
      </c>
      <c r="D8609" s="579"/>
      <c r="E8609" s="583"/>
      <c r="F8609" s="596"/>
      <c r="G8609" s="65">
        <v>0</v>
      </c>
      <c r="H8609" s="591" t="s">
        <v>280</v>
      </c>
      <c r="I8609" s="589" t="s">
        <v>280</v>
      </c>
    </row>
    <row r="8610" spans="1:9">
      <c r="A8610" s="577"/>
      <c r="B8610" s="65">
        <v>8808</v>
      </c>
      <c r="C8610" s="579" t="s">
        <v>281</v>
      </c>
      <c r="D8610" s="579"/>
      <c r="E8610" s="583"/>
      <c r="F8610" s="596"/>
      <c r="G8610" s="65">
        <v>0</v>
      </c>
      <c r="H8610" s="591" t="s">
        <v>280</v>
      </c>
      <c r="I8610" s="589" t="s">
        <v>280</v>
      </c>
    </row>
    <row r="8611" spans="1:9">
      <c r="A8611" s="577"/>
      <c r="B8611" s="65">
        <v>8809</v>
      </c>
      <c r="C8611" s="579" t="s">
        <v>281</v>
      </c>
      <c r="D8611" s="579"/>
      <c r="E8611" s="583"/>
      <c r="F8611" s="596"/>
      <c r="G8611" s="65">
        <v>0</v>
      </c>
      <c r="H8611" s="591" t="s">
        <v>280</v>
      </c>
      <c r="I8611" s="589" t="s">
        <v>280</v>
      </c>
    </row>
    <row r="8612" spans="1:9">
      <c r="A8612" s="577"/>
      <c r="B8612" s="65">
        <v>8810</v>
      </c>
      <c r="C8612" s="579" t="s">
        <v>281</v>
      </c>
      <c r="D8612" s="579"/>
      <c r="E8612" s="583"/>
      <c r="F8612" s="596"/>
      <c r="G8612" s="65">
        <v>0</v>
      </c>
      <c r="H8612" s="591" t="s">
        <v>280</v>
      </c>
      <c r="I8612" s="589" t="s">
        <v>280</v>
      </c>
    </row>
    <row r="8613" spans="1:9">
      <c r="A8613" s="577"/>
      <c r="B8613" s="65">
        <v>8811</v>
      </c>
      <c r="C8613" s="579" t="s">
        <v>281</v>
      </c>
      <c r="D8613" s="579"/>
      <c r="E8613" s="583"/>
      <c r="F8613" s="596"/>
      <c r="G8613" s="65">
        <v>0</v>
      </c>
      <c r="H8613" s="591" t="s">
        <v>280</v>
      </c>
      <c r="I8613" s="589" t="s">
        <v>280</v>
      </c>
    </row>
    <row r="8614" spans="1:9">
      <c r="A8614" s="577"/>
      <c r="B8614" s="65">
        <v>8812</v>
      </c>
      <c r="C8614" s="579" t="s">
        <v>281</v>
      </c>
      <c r="D8614" s="579"/>
      <c r="E8614" s="583"/>
      <c r="F8614" s="596"/>
      <c r="G8614" s="65">
        <v>0</v>
      </c>
      <c r="H8614" s="591" t="s">
        <v>280</v>
      </c>
      <c r="I8614" s="589" t="s">
        <v>280</v>
      </c>
    </row>
    <row r="8615" spans="1:9">
      <c r="A8615" s="577"/>
      <c r="B8615" s="65">
        <v>8813</v>
      </c>
      <c r="C8615" s="579" t="s">
        <v>281</v>
      </c>
      <c r="D8615" s="579"/>
      <c r="E8615" s="583"/>
      <c r="F8615" s="596"/>
      <c r="G8615" s="65">
        <v>0</v>
      </c>
      <c r="H8615" s="591" t="s">
        <v>280</v>
      </c>
      <c r="I8615" s="589" t="s">
        <v>280</v>
      </c>
    </row>
    <row r="8616" spans="1:9">
      <c r="A8616" s="577"/>
      <c r="B8616" s="65">
        <v>8814</v>
      </c>
      <c r="C8616" s="579" t="s">
        <v>281</v>
      </c>
      <c r="D8616" s="579"/>
      <c r="E8616" s="583"/>
      <c r="F8616" s="596"/>
      <c r="G8616" s="65">
        <v>0</v>
      </c>
      <c r="H8616" s="591" t="s">
        <v>280</v>
      </c>
      <c r="I8616" s="589" t="s">
        <v>280</v>
      </c>
    </row>
    <row r="8617" spans="1:9">
      <c r="A8617" s="577"/>
      <c r="B8617" s="65">
        <v>8815</v>
      </c>
      <c r="C8617" s="579" t="s">
        <v>281</v>
      </c>
      <c r="D8617" s="579"/>
      <c r="E8617" s="583"/>
      <c r="F8617" s="596"/>
      <c r="G8617" s="65">
        <v>0</v>
      </c>
      <c r="H8617" s="591" t="s">
        <v>280</v>
      </c>
      <c r="I8617" s="589" t="s">
        <v>280</v>
      </c>
    </row>
    <row r="8618" spans="1:9">
      <c r="A8618" s="577"/>
      <c r="B8618" s="65">
        <v>8816</v>
      </c>
      <c r="C8618" s="579" t="s">
        <v>281</v>
      </c>
      <c r="D8618" s="579"/>
      <c r="E8618" s="583"/>
      <c r="F8618" s="596"/>
      <c r="G8618" s="65">
        <v>0</v>
      </c>
      <c r="H8618" s="591" t="s">
        <v>280</v>
      </c>
      <c r="I8618" s="589" t="s">
        <v>280</v>
      </c>
    </row>
    <row r="8619" spans="1:9">
      <c r="A8619" s="577"/>
      <c r="B8619" s="65">
        <v>8817</v>
      </c>
      <c r="C8619" s="579" t="s">
        <v>281</v>
      </c>
      <c r="D8619" s="579"/>
      <c r="E8619" s="583"/>
      <c r="F8619" s="596"/>
      <c r="G8619" s="65">
        <v>0</v>
      </c>
      <c r="H8619" s="591" t="s">
        <v>280</v>
      </c>
      <c r="I8619" s="589" t="s">
        <v>280</v>
      </c>
    </row>
    <row r="8620" spans="1:9">
      <c r="A8620" s="577"/>
      <c r="B8620" s="65">
        <v>8818</v>
      </c>
      <c r="C8620" s="579" t="s">
        <v>281</v>
      </c>
      <c r="D8620" s="579"/>
      <c r="E8620" s="583"/>
      <c r="F8620" s="596"/>
      <c r="G8620" s="65">
        <v>0</v>
      </c>
      <c r="H8620" s="591" t="s">
        <v>280</v>
      </c>
      <c r="I8620" s="589" t="s">
        <v>280</v>
      </c>
    </row>
    <row r="8621" spans="1:9">
      <c r="A8621" s="577"/>
      <c r="B8621" s="65">
        <v>8819</v>
      </c>
      <c r="C8621" s="579" t="s">
        <v>281</v>
      </c>
      <c r="D8621" s="579"/>
      <c r="E8621" s="583"/>
      <c r="F8621" s="596"/>
      <c r="G8621" s="65">
        <v>0</v>
      </c>
      <c r="H8621" s="591" t="s">
        <v>280</v>
      </c>
      <c r="I8621" s="589" t="s">
        <v>280</v>
      </c>
    </row>
    <row r="8622" spans="1:9">
      <c r="A8622" s="577"/>
      <c r="B8622" s="65">
        <v>8820</v>
      </c>
      <c r="C8622" s="579" t="s">
        <v>281</v>
      </c>
      <c r="D8622" s="579"/>
      <c r="E8622" s="583"/>
      <c r="F8622" s="596"/>
      <c r="G8622" s="65">
        <v>0</v>
      </c>
      <c r="H8622" s="591" t="s">
        <v>280</v>
      </c>
      <c r="I8622" s="589" t="s">
        <v>280</v>
      </c>
    </row>
    <row r="8623" spans="1:9">
      <c r="A8623" s="577"/>
      <c r="B8623" s="65">
        <v>8821</v>
      </c>
      <c r="C8623" s="579" t="s">
        <v>281</v>
      </c>
      <c r="D8623" s="579"/>
      <c r="E8623" s="583"/>
      <c r="F8623" s="596"/>
      <c r="G8623" s="65">
        <v>0</v>
      </c>
      <c r="H8623" s="591" t="s">
        <v>280</v>
      </c>
      <c r="I8623" s="589" t="s">
        <v>280</v>
      </c>
    </row>
    <row r="8624" spans="1:9">
      <c r="A8624" s="577"/>
      <c r="B8624" s="65">
        <v>8822</v>
      </c>
      <c r="C8624" s="579" t="s">
        <v>281</v>
      </c>
      <c r="D8624" s="579"/>
      <c r="E8624" s="583"/>
      <c r="F8624" s="596"/>
      <c r="G8624" s="65">
        <v>0</v>
      </c>
      <c r="H8624" s="591" t="s">
        <v>280</v>
      </c>
      <c r="I8624" s="589" t="s">
        <v>280</v>
      </c>
    </row>
    <row r="8625" spans="1:9">
      <c r="A8625" s="577"/>
      <c r="B8625" s="65">
        <v>8823</v>
      </c>
      <c r="C8625" s="579" t="s">
        <v>281</v>
      </c>
      <c r="D8625" s="579"/>
      <c r="E8625" s="583"/>
      <c r="F8625" s="596"/>
      <c r="G8625" s="65">
        <v>0</v>
      </c>
      <c r="H8625" s="591" t="s">
        <v>280</v>
      </c>
      <c r="I8625" s="589" t="s">
        <v>280</v>
      </c>
    </row>
    <row r="8626" spans="1:9">
      <c r="A8626" s="577"/>
      <c r="B8626" s="65">
        <v>8824</v>
      </c>
      <c r="C8626" s="579" t="s">
        <v>281</v>
      </c>
      <c r="D8626" s="579"/>
      <c r="E8626" s="583"/>
      <c r="F8626" s="596"/>
      <c r="G8626" s="65">
        <v>0</v>
      </c>
      <c r="H8626" s="591" t="s">
        <v>280</v>
      </c>
      <c r="I8626" s="589" t="s">
        <v>280</v>
      </c>
    </row>
    <row r="8627" spans="1:9">
      <c r="A8627" s="577"/>
      <c r="B8627" s="65">
        <v>8825</v>
      </c>
      <c r="C8627" s="579" t="s">
        <v>281</v>
      </c>
      <c r="D8627" s="579"/>
      <c r="E8627" s="583"/>
      <c r="F8627" s="596"/>
      <c r="G8627" s="65">
        <v>0</v>
      </c>
      <c r="H8627" s="591" t="s">
        <v>280</v>
      </c>
      <c r="I8627" s="589" t="s">
        <v>280</v>
      </c>
    </row>
    <row r="8628" spans="1:9">
      <c r="A8628" s="577"/>
      <c r="B8628" s="65">
        <v>8826</v>
      </c>
      <c r="C8628" s="579" t="s">
        <v>281</v>
      </c>
      <c r="D8628" s="579"/>
      <c r="E8628" s="583"/>
      <c r="F8628" s="596"/>
      <c r="G8628" s="65">
        <v>0</v>
      </c>
      <c r="H8628" s="591" t="s">
        <v>280</v>
      </c>
      <c r="I8628" s="589" t="s">
        <v>280</v>
      </c>
    </row>
    <row r="8629" spans="1:9">
      <c r="A8629" s="577"/>
      <c r="B8629" s="65">
        <v>8827</v>
      </c>
      <c r="C8629" s="579" t="s">
        <v>281</v>
      </c>
      <c r="D8629" s="579"/>
      <c r="E8629" s="583"/>
      <c r="F8629" s="596"/>
      <c r="G8629" s="65">
        <v>0</v>
      </c>
      <c r="H8629" s="591" t="s">
        <v>280</v>
      </c>
      <c r="I8629" s="589" t="s">
        <v>280</v>
      </c>
    </row>
    <row r="8630" spans="1:9">
      <c r="A8630" s="577"/>
      <c r="B8630" s="65">
        <v>8828</v>
      </c>
      <c r="C8630" s="579" t="s">
        <v>281</v>
      </c>
      <c r="D8630" s="579"/>
      <c r="E8630" s="583"/>
      <c r="F8630" s="596"/>
      <c r="G8630" s="65">
        <v>0</v>
      </c>
      <c r="H8630" s="591" t="s">
        <v>280</v>
      </c>
      <c r="I8630" s="589" t="s">
        <v>280</v>
      </c>
    </row>
    <row r="8631" spans="1:9">
      <c r="A8631" s="577"/>
      <c r="B8631" s="65">
        <v>8829</v>
      </c>
      <c r="C8631" s="579" t="s">
        <v>281</v>
      </c>
      <c r="D8631" s="579"/>
      <c r="E8631" s="583"/>
      <c r="F8631" s="596"/>
      <c r="G8631" s="65">
        <v>0</v>
      </c>
      <c r="H8631" s="591" t="s">
        <v>280</v>
      </c>
      <c r="I8631" s="589" t="s">
        <v>280</v>
      </c>
    </row>
    <row r="8632" spans="1:9">
      <c r="A8632" s="577"/>
      <c r="B8632" s="65">
        <v>8830</v>
      </c>
      <c r="C8632" s="579" t="s">
        <v>281</v>
      </c>
      <c r="D8632" s="579"/>
      <c r="E8632" s="583"/>
      <c r="F8632" s="596"/>
      <c r="G8632" s="65">
        <v>0</v>
      </c>
      <c r="H8632" s="591" t="s">
        <v>280</v>
      </c>
      <c r="I8632" s="589" t="s">
        <v>280</v>
      </c>
    </row>
    <row r="8633" spans="1:9">
      <c r="A8633" s="577"/>
      <c r="B8633" s="65">
        <v>8831</v>
      </c>
      <c r="C8633" s="579" t="s">
        <v>281</v>
      </c>
      <c r="D8633" s="579"/>
      <c r="E8633" s="583"/>
      <c r="F8633" s="596"/>
      <c r="G8633" s="65">
        <v>0</v>
      </c>
      <c r="H8633" s="591" t="s">
        <v>280</v>
      </c>
      <c r="I8633" s="589" t="s">
        <v>280</v>
      </c>
    </row>
    <row r="8634" spans="1:9">
      <c r="A8634" s="577"/>
      <c r="B8634" s="65">
        <v>8832</v>
      </c>
      <c r="C8634" s="579" t="s">
        <v>281</v>
      </c>
      <c r="D8634" s="579"/>
      <c r="E8634" s="583"/>
      <c r="F8634" s="596"/>
      <c r="G8634" s="65">
        <v>0</v>
      </c>
      <c r="H8634" s="591" t="s">
        <v>280</v>
      </c>
      <c r="I8634" s="589" t="s">
        <v>280</v>
      </c>
    </row>
    <row r="8635" spans="1:9">
      <c r="A8635" s="577"/>
      <c r="B8635" s="65">
        <v>8833</v>
      </c>
      <c r="C8635" s="579" t="s">
        <v>281</v>
      </c>
      <c r="D8635" s="579"/>
      <c r="E8635" s="583"/>
      <c r="F8635" s="596"/>
      <c r="G8635" s="65">
        <v>0</v>
      </c>
      <c r="H8635" s="591" t="s">
        <v>280</v>
      </c>
      <c r="I8635" s="589" t="s">
        <v>280</v>
      </c>
    </row>
    <row r="8636" spans="1:9">
      <c r="A8636" s="577"/>
      <c r="B8636" s="65">
        <v>8834</v>
      </c>
      <c r="C8636" s="579" t="s">
        <v>281</v>
      </c>
      <c r="D8636" s="579"/>
      <c r="E8636" s="583"/>
      <c r="F8636" s="596"/>
      <c r="G8636" s="65">
        <v>0</v>
      </c>
      <c r="H8636" s="591" t="s">
        <v>280</v>
      </c>
      <c r="I8636" s="589" t="s">
        <v>280</v>
      </c>
    </row>
    <row r="8637" spans="1:9">
      <c r="A8637" s="577"/>
      <c r="B8637" s="65">
        <v>8835</v>
      </c>
      <c r="C8637" s="579" t="s">
        <v>281</v>
      </c>
      <c r="D8637" s="579"/>
      <c r="E8637" s="583"/>
      <c r="F8637" s="596"/>
      <c r="G8637" s="65">
        <v>0</v>
      </c>
      <c r="H8637" s="591" t="s">
        <v>280</v>
      </c>
      <c r="I8637" s="589" t="s">
        <v>280</v>
      </c>
    </row>
    <row r="8638" spans="1:9">
      <c r="A8638" s="577"/>
      <c r="B8638" s="65">
        <v>8836</v>
      </c>
      <c r="C8638" s="579" t="s">
        <v>281</v>
      </c>
      <c r="D8638" s="579"/>
      <c r="E8638" s="583"/>
      <c r="F8638" s="596"/>
      <c r="G8638" s="65">
        <v>0</v>
      </c>
      <c r="H8638" s="591" t="s">
        <v>280</v>
      </c>
      <c r="I8638" s="589" t="s">
        <v>280</v>
      </c>
    </row>
    <row r="8639" spans="1:9">
      <c r="A8639" s="577"/>
      <c r="B8639" s="65">
        <v>8837</v>
      </c>
      <c r="C8639" s="579" t="s">
        <v>281</v>
      </c>
      <c r="D8639" s="579"/>
      <c r="E8639" s="583"/>
      <c r="F8639" s="596"/>
      <c r="G8639" s="65">
        <v>0</v>
      </c>
      <c r="H8639" s="591" t="s">
        <v>280</v>
      </c>
      <c r="I8639" s="589" t="s">
        <v>280</v>
      </c>
    </row>
    <row r="8640" spans="1:9">
      <c r="A8640" s="577"/>
      <c r="B8640" s="65">
        <v>8838</v>
      </c>
      <c r="C8640" s="579" t="s">
        <v>281</v>
      </c>
      <c r="D8640" s="579"/>
      <c r="E8640" s="583"/>
      <c r="F8640" s="596"/>
      <c r="G8640" s="65">
        <v>0</v>
      </c>
      <c r="H8640" s="591" t="s">
        <v>280</v>
      </c>
      <c r="I8640" s="589" t="s">
        <v>280</v>
      </c>
    </row>
    <row r="8641" spans="1:9">
      <c r="A8641" s="577"/>
      <c r="B8641" s="65">
        <v>8839</v>
      </c>
      <c r="C8641" s="579" t="s">
        <v>281</v>
      </c>
      <c r="D8641" s="579"/>
      <c r="E8641" s="583"/>
      <c r="F8641" s="596"/>
      <c r="G8641" s="65">
        <v>0</v>
      </c>
      <c r="H8641" s="591" t="s">
        <v>280</v>
      </c>
      <c r="I8641" s="589" t="s">
        <v>280</v>
      </c>
    </row>
    <row r="8642" spans="1:9">
      <c r="A8642" s="577"/>
      <c r="B8642" s="65">
        <v>8840</v>
      </c>
      <c r="C8642" s="579" t="s">
        <v>281</v>
      </c>
      <c r="D8642" s="579"/>
      <c r="E8642" s="583"/>
      <c r="F8642" s="596"/>
      <c r="G8642" s="65">
        <v>0</v>
      </c>
      <c r="H8642" s="591" t="s">
        <v>280</v>
      </c>
      <c r="I8642" s="589" t="s">
        <v>280</v>
      </c>
    </row>
    <row r="8643" spans="1:9">
      <c r="A8643" s="577"/>
      <c r="B8643" s="65">
        <v>8841</v>
      </c>
      <c r="C8643" s="579" t="s">
        <v>281</v>
      </c>
      <c r="D8643" s="579"/>
      <c r="E8643" s="583"/>
      <c r="F8643" s="596"/>
      <c r="G8643" s="65">
        <v>0</v>
      </c>
      <c r="H8643" s="591" t="s">
        <v>280</v>
      </c>
      <c r="I8643" s="589" t="s">
        <v>280</v>
      </c>
    </row>
    <row r="8644" spans="1:9">
      <c r="A8644" s="577"/>
      <c r="B8644" s="65">
        <v>8842</v>
      </c>
      <c r="C8644" s="579" t="s">
        <v>281</v>
      </c>
      <c r="D8644" s="579"/>
      <c r="E8644" s="583"/>
      <c r="F8644" s="596"/>
      <c r="G8644" s="65">
        <v>0</v>
      </c>
      <c r="H8644" s="591" t="s">
        <v>280</v>
      </c>
      <c r="I8644" s="589" t="s">
        <v>280</v>
      </c>
    </row>
    <row r="8645" spans="1:9">
      <c r="A8645" s="577"/>
      <c r="B8645" s="65">
        <v>8843</v>
      </c>
      <c r="C8645" s="579" t="s">
        <v>281</v>
      </c>
      <c r="D8645" s="579"/>
      <c r="E8645" s="583"/>
      <c r="F8645" s="596"/>
      <c r="G8645" s="65">
        <v>0</v>
      </c>
      <c r="H8645" s="591" t="s">
        <v>280</v>
      </c>
      <c r="I8645" s="589" t="s">
        <v>280</v>
      </c>
    </row>
    <row r="8646" spans="1:9">
      <c r="A8646" s="577"/>
      <c r="B8646" s="65">
        <v>8844</v>
      </c>
      <c r="C8646" s="579" t="s">
        <v>281</v>
      </c>
      <c r="D8646" s="579"/>
      <c r="E8646" s="583"/>
      <c r="F8646" s="596"/>
      <c r="G8646" s="65">
        <v>0</v>
      </c>
      <c r="H8646" s="591" t="s">
        <v>280</v>
      </c>
      <c r="I8646" s="589" t="s">
        <v>280</v>
      </c>
    </row>
    <row r="8647" spans="1:9">
      <c r="A8647" s="577"/>
      <c r="B8647" s="65">
        <v>8845</v>
      </c>
      <c r="C8647" s="579" t="s">
        <v>281</v>
      </c>
      <c r="D8647" s="579"/>
      <c r="E8647" s="583"/>
      <c r="F8647" s="596"/>
      <c r="G8647" s="65">
        <v>0</v>
      </c>
      <c r="H8647" s="591" t="s">
        <v>280</v>
      </c>
      <c r="I8647" s="589" t="s">
        <v>280</v>
      </c>
    </row>
    <row r="8648" spans="1:9">
      <c r="A8648" s="577"/>
      <c r="B8648" s="65">
        <v>8846</v>
      </c>
      <c r="C8648" s="579" t="s">
        <v>281</v>
      </c>
      <c r="D8648" s="579"/>
      <c r="E8648" s="583"/>
      <c r="F8648" s="596"/>
      <c r="G8648" s="65">
        <v>0</v>
      </c>
      <c r="H8648" s="591" t="s">
        <v>280</v>
      </c>
      <c r="I8648" s="589" t="s">
        <v>280</v>
      </c>
    </row>
    <row r="8649" spans="1:9">
      <c r="A8649" s="577"/>
      <c r="B8649" s="65">
        <v>8847</v>
      </c>
      <c r="C8649" s="579" t="s">
        <v>281</v>
      </c>
      <c r="D8649" s="579"/>
      <c r="E8649" s="583"/>
      <c r="F8649" s="596"/>
      <c r="G8649" s="65">
        <v>0</v>
      </c>
      <c r="H8649" s="591" t="s">
        <v>280</v>
      </c>
      <c r="I8649" s="589" t="s">
        <v>280</v>
      </c>
    </row>
    <row r="8650" spans="1:9">
      <c r="A8650" s="577"/>
      <c r="B8650" s="65">
        <v>8848</v>
      </c>
      <c r="C8650" s="579" t="s">
        <v>281</v>
      </c>
      <c r="D8650" s="579"/>
      <c r="E8650" s="583"/>
      <c r="F8650" s="596"/>
      <c r="G8650" s="65">
        <v>0</v>
      </c>
      <c r="H8650" s="591" t="s">
        <v>280</v>
      </c>
      <c r="I8650" s="589" t="s">
        <v>280</v>
      </c>
    </row>
    <row r="8651" spans="1:9">
      <c r="A8651" s="577"/>
      <c r="B8651" s="65">
        <v>8849</v>
      </c>
      <c r="C8651" s="579" t="s">
        <v>281</v>
      </c>
      <c r="D8651" s="579"/>
      <c r="E8651" s="583"/>
      <c r="F8651" s="596"/>
      <c r="G8651" s="65">
        <v>0</v>
      </c>
      <c r="H8651" s="591" t="s">
        <v>280</v>
      </c>
      <c r="I8651" s="589" t="s">
        <v>280</v>
      </c>
    </row>
    <row r="8652" spans="1:9">
      <c r="A8652" s="577"/>
      <c r="B8652" s="65">
        <v>8850</v>
      </c>
      <c r="C8652" s="579" t="s">
        <v>281</v>
      </c>
      <c r="D8652" s="579"/>
      <c r="E8652" s="583"/>
      <c r="F8652" s="596"/>
      <c r="G8652" s="65">
        <v>0</v>
      </c>
      <c r="H8652" s="591" t="s">
        <v>280</v>
      </c>
      <c r="I8652" s="589" t="s">
        <v>280</v>
      </c>
    </row>
    <row r="8653" spans="1:9">
      <c r="A8653" s="577"/>
      <c r="B8653" s="65">
        <v>8851</v>
      </c>
      <c r="C8653" s="579" t="s">
        <v>281</v>
      </c>
      <c r="D8653" s="579"/>
      <c r="E8653" s="583"/>
      <c r="F8653" s="596"/>
      <c r="G8653" s="65">
        <v>0</v>
      </c>
      <c r="H8653" s="591" t="s">
        <v>280</v>
      </c>
      <c r="I8653" s="589" t="s">
        <v>280</v>
      </c>
    </row>
    <row r="8654" spans="1:9">
      <c r="A8654" s="577"/>
      <c r="B8654" s="65">
        <v>8852</v>
      </c>
      <c r="C8654" s="579" t="s">
        <v>281</v>
      </c>
      <c r="D8654" s="579"/>
      <c r="E8654" s="583"/>
      <c r="F8654" s="596"/>
      <c r="G8654" s="65">
        <v>0</v>
      </c>
      <c r="H8654" s="591" t="s">
        <v>280</v>
      </c>
      <c r="I8654" s="589" t="s">
        <v>280</v>
      </c>
    </row>
    <row r="8655" spans="1:9">
      <c r="A8655" s="577"/>
      <c r="B8655" s="65">
        <v>8853</v>
      </c>
      <c r="C8655" s="579" t="s">
        <v>281</v>
      </c>
      <c r="D8655" s="579"/>
      <c r="E8655" s="583"/>
      <c r="F8655" s="596"/>
      <c r="G8655" s="65">
        <v>0</v>
      </c>
      <c r="H8655" s="591" t="s">
        <v>280</v>
      </c>
      <c r="I8655" s="589" t="s">
        <v>280</v>
      </c>
    </row>
    <row r="8656" spans="1:9">
      <c r="A8656" s="577"/>
      <c r="B8656" s="65">
        <v>8854</v>
      </c>
      <c r="C8656" s="579" t="s">
        <v>281</v>
      </c>
      <c r="D8656" s="579"/>
      <c r="E8656" s="583"/>
      <c r="F8656" s="596"/>
      <c r="G8656" s="65">
        <v>0</v>
      </c>
      <c r="H8656" s="591" t="s">
        <v>280</v>
      </c>
      <c r="I8656" s="589" t="s">
        <v>280</v>
      </c>
    </row>
    <row r="8657" spans="1:9">
      <c r="A8657" s="577"/>
      <c r="B8657" s="65">
        <v>8855</v>
      </c>
      <c r="C8657" s="579" t="s">
        <v>281</v>
      </c>
      <c r="D8657" s="579"/>
      <c r="E8657" s="583"/>
      <c r="F8657" s="596"/>
      <c r="G8657" s="65">
        <v>0</v>
      </c>
      <c r="H8657" s="591" t="s">
        <v>280</v>
      </c>
      <c r="I8657" s="589" t="s">
        <v>280</v>
      </c>
    </row>
    <row r="8658" spans="1:9">
      <c r="A8658" s="577"/>
      <c r="B8658" s="65">
        <v>8856</v>
      </c>
      <c r="C8658" s="579" t="s">
        <v>281</v>
      </c>
      <c r="D8658" s="579"/>
      <c r="E8658" s="583"/>
      <c r="F8658" s="596"/>
      <c r="G8658" s="65">
        <v>0</v>
      </c>
      <c r="H8658" s="591" t="s">
        <v>280</v>
      </c>
      <c r="I8658" s="589" t="s">
        <v>280</v>
      </c>
    </row>
    <row r="8659" spans="1:9">
      <c r="A8659" s="577"/>
      <c r="B8659" s="65">
        <v>8857</v>
      </c>
      <c r="C8659" s="579" t="s">
        <v>281</v>
      </c>
      <c r="D8659" s="579"/>
      <c r="E8659" s="583"/>
      <c r="F8659" s="596"/>
      <c r="G8659" s="65">
        <v>0</v>
      </c>
      <c r="H8659" s="591" t="s">
        <v>280</v>
      </c>
      <c r="I8659" s="589" t="s">
        <v>280</v>
      </c>
    </row>
    <row r="8660" spans="1:9">
      <c r="A8660" s="577"/>
      <c r="B8660" s="65">
        <v>8858</v>
      </c>
      <c r="C8660" s="579" t="s">
        <v>281</v>
      </c>
      <c r="D8660" s="579"/>
      <c r="E8660" s="583"/>
      <c r="F8660" s="596"/>
      <c r="G8660" s="65">
        <v>0</v>
      </c>
      <c r="H8660" s="591" t="s">
        <v>280</v>
      </c>
      <c r="I8660" s="589" t="s">
        <v>280</v>
      </c>
    </row>
    <row r="8661" spans="1:9">
      <c r="A8661" s="577"/>
      <c r="B8661" s="65">
        <v>8859</v>
      </c>
      <c r="C8661" s="579" t="s">
        <v>281</v>
      </c>
      <c r="D8661" s="579"/>
      <c r="E8661" s="583"/>
      <c r="F8661" s="596"/>
      <c r="G8661" s="65">
        <v>0</v>
      </c>
      <c r="H8661" s="591" t="s">
        <v>280</v>
      </c>
      <c r="I8661" s="589" t="s">
        <v>280</v>
      </c>
    </row>
    <row r="8662" spans="1:9">
      <c r="A8662" s="577"/>
      <c r="B8662" s="65">
        <v>8860</v>
      </c>
      <c r="C8662" s="579" t="s">
        <v>281</v>
      </c>
      <c r="D8662" s="579"/>
      <c r="E8662" s="583"/>
      <c r="F8662" s="596"/>
      <c r="G8662" s="65">
        <v>0</v>
      </c>
      <c r="H8662" s="591" t="s">
        <v>280</v>
      </c>
      <c r="I8662" s="589" t="s">
        <v>280</v>
      </c>
    </row>
    <row r="8663" spans="1:9">
      <c r="A8663" s="577"/>
      <c r="B8663" s="65">
        <v>8861</v>
      </c>
      <c r="C8663" s="579" t="s">
        <v>281</v>
      </c>
      <c r="D8663" s="579"/>
      <c r="E8663" s="583"/>
      <c r="F8663" s="596"/>
      <c r="G8663" s="65">
        <v>0</v>
      </c>
      <c r="H8663" s="591" t="s">
        <v>280</v>
      </c>
      <c r="I8663" s="589" t="s">
        <v>280</v>
      </c>
    </row>
    <row r="8664" spans="1:9">
      <c r="A8664" s="577"/>
      <c r="B8664" s="65">
        <v>8862</v>
      </c>
      <c r="C8664" s="579" t="s">
        <v>281</v>
      </c>
      <c r="D8664" s="579"/>
      <c r="E8664" s="583"/>
      <c r="F8664" s="596"/>
      <c r="G8664" s="65">
        <v>0</v>
      </c>
      <c r="H8664" s="591" t="s">
        <v>280</v>
      </c>
      <c r="I8664" s="589" t="s">
        <v>280</v>
      </c>
    </row>
    <row r="8665" spans="1:9">
      <c r="A8665" s="577"/>
      <c r="B8665" s="65">
        <v>8863</v>
      </c>
      <c r="C8665" s="579" t="s">
        <v>281</v>
      </c>
      <c r="D8665" s="579"/>
      <c r="E8665" s="583"/>
      <c r="F8665" s="596"/>
      <c r="G8665" s="65">
        <v>0</v>
      </c>
      <c r="H8665" s="591" t="s">
        <v>280</v>
      </c>
      <c r="I8665" s="589" t="s">
        <v>280</v>
      </c>
    </row>
    <row r="8666" spans="1:9">
      <c r="A8666" s="577"/>
      <c r="B8666" s="65">
        <v>8864</v>
      </c>
      <c r="C8666" s="579" t="s">
        <v>281</v>
      </c>
      <c r="D8666" s="579"/>
      <c r="E8666" s="583"/>
      <c r="F8666" s="596"/>
      <c r="G8666" s="65">
        <v>0</v>
      </c>
      <c r="H8666" s="591" t="s">
        <v>280</v>
      </c>
      <c r="I8666" s="589" t="s">
        <v>280</v>
      </c>
    </row>
    <row r="8667" spans="1:9">
      <c r="A8667" s="577"/>
      <c r="B8667" s="65">
        <v>8865</v>
      </c>
      <c r="C8667" s="579" t="s">
        <v>281</v>
      </c>
      <c r="D8667" s="579"/>
      <c r="E8667" s="583"/>
      <c r="F8667" s="596"/>
      <c r="G8667" s="65">
        <v>0</v>
      </c>
      <c r="H8667" s="591" t="s">
        <v>280</v>
      </c>
      <c r="I8667" s="589" t="s">
        <v>280</v>
      </c>
    </row>
    <row r="8668" spans="1:9">
      <c r="A8668" s="577"/>
      <c r="B8668" s="65">
        <v>8866</v>
      </c>
      <c r="C8668" s="579" t="s">
        <v>281</v>
      </c>
      <c r="D8668" s="579"/>
      <c r="E8668" s="583"/>
      <c r="F8668" s="596"/>
      <c r="G8668" s="65">
        <v>0</v>
      </c>
      <c r="H8668" s="591" t="s">
        <v>280</v>
      </c>
      <c r="I8668" s="589" t="s">
        <v>280</v>
      </c>
    </row>
    <row r="8669" spans="1:9">
      <c r="A8669" s="577"/>
      <c r="B8669" s="65">
        <v>8867</v>
      </c>
      <c r="C8669" s="579" t="s">
        <v>281</v>
      </c>
      <c r="D8669" s="579"/>
      <c r="E8669" s="583"/>
      <c r="F8669" s="596"/>
      <c r="G8669" s="65">
        <v>0</v>
      </c>
      <c r="H8669" s="591" t="s">
        <v>280</v>
      </c>
      <c r="I8669" s="589" t="s">
        <v>280</v>
      </c>
    </row>
    <row r="8670" spans="1:9">
      <c r="A8670" s="577"/>
      <c r="B8670" s="65">
        <v>8868</v>
      </c>
      <c r="C8670" s="579" t="s">
        <v>281</v>
      </c>
      <c r="D8670" s="579"/>
      <c r="E8670" s="583"/>
      <c r="F8670" s="596"/>
      <c r="G8670" s="65">
        <v>0</v>
      </c>
      <c r="H8670" s="591" t="s">
        <v>280</v>
      </c>
      <c r="I8670" s="589" t="s">
        <v>280</v>
      </c>
    </row>
    <row r="8671" spans="1:9">
      <c r="A8671" s="577"/>
      <c r="B8671" s="65">
        <v>8869</v>
      </c>
      <c r="C8671" s="579" t="s">
        <v>281</v>
      </c>
      <c r="D8671" s="579"/>
      <c r="E8671" s="583"/>
      <c r="F8671" s="596"/>
      <c r="G8671" s="65">
        <v>0</v>
      </c>
      <c r="H8671" s="591" t="s">
        <v>280</v>
      </c>
      <c r="I8671" s="589" t="s">
        <v>280</v>
      </c>
    </row>
    <row r="8672" spans="1:9">
      <c r="A8672" s="577"/>
      <c r="B8672" s="65">
        <v>8870</v>
      </c>
      <c r="C8672" s="579" t="s">
        <v>281</v>
      </c>
      <c r="D8672" s="579"/>
      <c r="E8672" s="583"/>
      <c r="F8672" s="596"/>
      <c r="G8672" s="65">
        <v>0</v>
      </c>
      <c r="H8672" s="591" t="s">
        <v>280</v>
      </c>
      <c r="I8672" s="589" t="s">
        <v>280</v>
      </c>
    </row>
    <row r="8673" spans="1:9">
      <c r="A8673" s="577"/>
      <c r="B8673" s="65">
        <v>8871</v>
      </c>
      <c r="C8673" s="579" t="s">
        <v>281</v>
      </c>
      <c r="D8673" s="579"/>
      <c r="E8673" s="583"/>
      <c r="F8673" s="596"/>
      <c r="G8673" s="65">
        <v>0</v>
      </c>
      <c r="H8673" s="591" t="s">
        <v>280</v>
      </c>
      <c r="I8673" s="589" t="s">
        <v>280</v>
      </c>
    </row>
    <row r="8674" spans="1:9">
      <c r="A8674" s="577"/>
      <c r="B8674" s="65">
        <v>8872</v>
      </c>
      <c r="C8674" s="579" t="s">
        <v>281</v>
      </c>
      <c r="D8674" s="579"/>
      <c r="E8674" s="583"/>
      <c r="F8674" s="596"/>
      <c r="G8674" s="65">
        <v>0</v>
      </c>
      <c r="H8674" s="591" t="s">
        <v>280</v>
      </c>
      <c r="I8674" s="589" t="s">
        <v>280</v>
      </c>
    </row>
    <row r="8675" spans="1:9">
      <c r="A8675" s="577"/>
      <c r="B8675" s="65">
        <v>8873</v>
      </c>
      <c r="C8675" s="579" t="s">
        <v>281</v>
      </c>
      <c r="D8675" s="579"/>
      <c r="E8675" s="583"/>
      <c r="F8675" s="596"/>
      <c r="G8675" s="65">
        <v>0</v>
      </c>
      <c r="H8675" s="591" t="s">
        <v>280</v>
      </c>
      <c r="I8675" s="589" t="s">
        <v>280</v>
      </c>
    </row>
    <row r="8676" spans="1:9">
      <c r="A8676" s="577"/>
      <c r="B8676" s="65">
        <v>8874</v>
      </c>
      <c r="C8676" s="579" t="s">
        <v>281</v>
      </c>
      <c r="D8676" s="579"/>
      <c r="E8676" s="583"/>
      <c r="F8676" s="596"/>
      <c r="G8676" s="65">
        <v>0</v>
      </c>
      <c r="H8676" s="591" t="s">
        <v>280</v>
      </c>
      <c r="I8676" s="589" t="s">
        <v>280</v>
      </c>
    </row>
    <row r="8677" spans="1:9">
      <c r="A8677" s="577"/>
      <c r="B8677" s="65">
        <v>8875</v>
      </c>
      <c r="C8677" s="579" t="s">
        <v>281</v>
      </c>
      <c r="D8677" s="579"/>
      <c r="E8677" s="583"/>
      <c r="F8677" s="596"/>
      <c r="G8677" s="65">
        <v>0</v>
      </c>
      <c r="H8677" s="591" t="s">
        <v>280</v>
      </c>
      <c r="I8677" s="589" t="s">
        <v>280</v>
      </c>
    </row>
    <row r="8678" spans="1:9">
      <c r="A8678" s="577"/>
      <c r="B8678" s="65">
        <v>8876</v>
      </c>
      <c r="C8678" s="579" t="s">
        <v>281</v>
      </c>
      <c r="D8678" s="579"/>
      <c r="E8678" s="583"/>
      <c r="F8678" s="596"/>
      <c r="G8678" s="65">
        <v>0</v>
      </c>
      <c r="H8678" s="591" t="s">
        <v>280</v>
      </c>
      <c r="I8678" s="589" t="s">
        <v>280</v>
      </c>
    </row>
    <row r="8679" spans="1:9">
      <c r="A8679" s="577"/>
      <c r="B8679" s="65">
        <v>8877</v>
      </c>
      <c r="C8679" s="579" t="s">
        <v>281</v>
      </c>
      <c r="D8679" s="579"/>
      <c r="E8679" s="583"/>
      <c r="F8679" s="596"/>
      <c r="G8679" s="65">
        <v>0</v>
      </c>
      <c r="H8679" s="591" t="s">
        <v>280</v>
      </c>
      <c r="I8679" s="589" t="s">
        <v>280</v>
      </c>
    </row>
    <row r="8680" spans="1:9">
      <c r="A8680" s="577"/>
      <c r="B8680" s="65">
        <v>8878</v>
      </c>
      <c r="C8680" s="579" t="s">
        <v>281</v>
      </c>
      <c r="D8680" s="579"/>
      <c r="E8680" s="583"/>
      <c r="F8680" s="596"/>
      <c r="G8680" s="65">
        <v>0</v>
      </c>
      <c r="H8680" s="591" t="s">
        <v>280</v>
      </c>
      <c r="I8680" s="589" t="s">
        <v>280</v>
      </c>
    </row>
    <row r="8681" spans="1:9">
      <c r="A8681" s="577"/>
      <c r="B8681" s="65">
        <v>8879</v>
      </c>
      <c r="C8681" s="579" t="s">
        <v>281</v>
      </c>
      <c r="D8681" s="579"/>
      <c r="E8681" s="583"/>
      <c r="F8681" s="596"/>
      <c r="G8681" s="65">
        <v>0</v>
      </c>
      <c r="H8681" s="591" t="s">
        <v>280</v>
      </c>
      <c r="I8681" s="589" t="s">
        <v>280</v>
      </c>
    </row>
    <row r="8682" spans="1:9">
      <c r="A8682" s="577"/>
      <c r="B8682" s="65">
        <v>8880</v>
      </c>
      <c r="C8682" s="579" t="s">
        <v>281</v>
      </c>
      <c r="D8682" s="579"/>
      <c r="E8682" s="583"/>
      <c r="F8682" s="596"/>
      <c r="G8682" s="65">
        <v>0</v>
      </c>
      <c r="H8682" s="591" t="s">
        <v>280</v>
      </c>
      <c r="I8682" s="589" t="s">
        <v>280</v>
      </c>
    </row>
    <row r="8683" spans="1:9">
      <c r="A8683" s="577"/>
      <c r="B8683" s="65">
        <v>8881</v>
      </c>
      <c r="C8683" s="579" t="s">
        <v>281</v>
      </c>
      <c r="D8683" s="579"/>
      <c r="E8683" s="583"/>
      <c r="F8683" s="596"/>
      <c r="G8683" s="65">
        <v>0</v>
      </c>
      <c r="H8683" s="591" t="s">
        <v>280</v>
      </c>
      <c r="I8683" s="589" t="s">
        <v>280</v>
      </c>
    </row>
    <row r="8684" spans="1:9">
      <c r="A8684" s="577"/>
      <c r="B8684" s="65">
        <v>8882</v>
      </c>
      <c r="C8684" s="579" t="s">
        <v>281</v>
      </c>
      <c r="D8684" s="579"/>
      <c r="E8684" s="583"/>
      <c r="F8684" s="596"/>
      <c r="G8684" s="65">
        <v>0</v>
      </c>
      <c r="H8684" s="591" t="s">
        <v>280</v>
      </c>
      <c r="I8684" s="589" t="s">
        <v>280</v>
      </c>
    </row>
    <row r="8685" spans="1:9">
      <c r="A8685" s="577"/>
      <c r="B8685" s="65">
        <v>8883</v>
      </c>
      <c r="C8685" s="579" t="s">
        <v>281</v>
      </c>
      <c r="D8685" s="579"/>
      <c r="E8685" s="583"/>
      <c r="F8685" s="596"/>
      <c r="G8685" s="65">
        <v>0</v>
      </c>
      <c r="H8685" s="591" t="s">
        <v>280</v>
      </c>
      <c r="I8685" s="589" t="s">
        <v>280</v>
      </c>
    </row>
    <row r="8686" spans="1:9">
      <c r="A8686" s="577"/>
      <c r="B8686" s="65">
        <v>8884</v>
      </c>
      <c r="C8686" s="579" t="s">
        <v>281</v>
      </c>
      <c r="D8686" s="579"/>
      <c r="E8686" s="583"/>
      <c r="F8686" s="596"/>
      <c r="G8686" s="65">
        <v>0</v>
      </c>
      <c r="H8686" s="591" t="s">
        <v>280</v>
      </c>
      <c r="I8686" s="589" t="s">
        <v>280</v>
      </c>
    </row>
    <row r="8687" spans="1:9">
      <c r="A8687" s="577"/>
      <c r="B8687" s="65">
        <v>8885</v>
      </c>
      <c r="C8687" s="579" t="s">
        <v>281</v>
      </c>
      <c r="D8687" s="579"/>
      <c r="E8687" s="583"/>
      <c r="F8687" s="596"/>
      <c r="G8687" s="65">
        <v>0</v>
      </c>
      <c r="H8687" s="591" t="s">
        <v>280</v>
      </c>
      <c r="I8687" s="589" t="s">
        <v>280</v>
      </c>
    </row>
    <row r="8688" spans="1:9">
      <c r="A8688" s="577"/>
      <c r="B8688" s="65">
        <v>8886</v>
      </c>
      <c r="C8688" s="579" t="s">
        <v>281</v>
      </c>
      <c r="D8688" s="579"/>
      <c r="E8688" s="583"/>
      <c r="F8688" s="596"/>
      <c r="G8688" s="65">
        <v>0</v>
      </c>
      <c r="H8688" s="591" t="s">
        <v>280</v>
      </c>
      <c r="I8688" s="589" t="s">
        <v>280</v>
      </c>
    </row>
    <row r="8689" spans="1:9">
      <c r="A8689" s="577"/>
      <c r="B8689" s="65">
        <v>8887</v>
      </c>
      <c r="C8689" s="579" t="s">
        <v>281</v>
      </c>
      <c r="D8689" s="579"/>
      <c r="E8689" s="583"/>
      <c r="F8689" s="596"/>
      <c r="G8689" s="65">
        <v>0</v>
      </c>
      <c r="H8689" s="591" t="s">
        <v>280</v>
      </c>
      <c r="I8689" s="589" t="s">
        <v>280</v>
      </c>
    </row>
    <row r="8690" spans="1:9">
      <c r="A8690" s="577"/>
      <c r="B8690" s="65">
        <v>8888</v>
      </c>
      <c r="C8690" s="579" t="s">
        <v>281</v>
      </c>
      <c r="D8690" s="579"/>
      <c r="E8690" s="583"/>
      <c r="F8690" s="596"/>
      <c r="G8690" s="65">
        <v>0</v>
      </c>
      <c r="H8690" s="591" t="s">
        <v>280</v>
      </c>
      <c r="I8690" s="589" t="s">
        <v>280</v>
      </c>
    </row>
    <row r="8691" spans="1:9">
      <c r="A8691" s="577"/>
      <c r="B8691" s="65">
        <v>8889</v>
      </c>
      <c r="C8691" s="579" t="s">
        <v>281</v>
      </c>
      <c r="D8691" s="579"/>
      <c r="E8691" s="583"/>
      <c r="F8691" s="596"/>
      <c r="G8691" s="65">
        <v>0</v>
      </c>
      <c r="H8691" s="591" t="s">
        <v>280</v>
      </c>
      <c r="I8691" s="589" t="s">
        <v>280</v>
      </c>
    </row>
    <row r="8692" spans="1:9">
      <c r="A8692" s="577"/>
      <c r="B8692" s="65">
        <v>8890</v>
      </c>
      <c r="C8692" s="579" t="s">
        <v>281</v>
      </c>
      <c r="D8692" s="579"/>
      <c r="E8692" s="583"/>
      <c r="F8692" s="596"/>
      <c r="G8692" s="65">
        <v>0</v>
      </c>
      <c r="H8692" s="591" t="s">
        <v>280</v>
      </c>
      <c r="I8692" s="589" t="s">
        <v>280</v>
      </c>
    </row>
    <row r="8693" spans="1:9">
      <c r="A8693" s="577"/>
      <c r="B8693" s="65">
        <v>8891</v>
      </c>
      <c r="C8693" s="579" t="s">
        <v>281</v>
      </c>
      <c r="D8693" s="579"/>
      <c r="E8693" s="583"/>
      <c r="F8693" s="596"/>
      <c r="G8693" s="65">
        <v>0</v>
      </c>
      <c r="H8693" s="591" t="s">
        <v>280</v>
      </c>
      <c r="I8693" s="589" t="s">
        <v>280</v>
      </c>
    </row>
    <row r="8694" spans="1:9">
      <c r="A8694" s="577"/>
      <c r="B8694" s="65">
        <v>8892</v>
      </c>
      <c r="C8694" s="579" t="s">
        <v>281</v>
      </c>
      <c r="D8694" s="579"/>
      <c r="E8694" s="583"/>
      <c r="F8694" s="596"/>
      <c r="G8694" s="65">
        <v>0</v>
      </c>
      <c r="H8694" s="591" t="s">
        <v>280</v>
      </c>
      <c r="I8694" s="589" t="s">
        <v>280</v>
      </c>
    </row>
    <row r="8695" spans="1:9">
      <c r="A8695" s="577"/>
      <c r="B8695" s="65">
        <v>8893</v>
      </c>
      <c r="C8695" s="579" t="s">
        <v>281</v>
      </c>
      <c r="D8695" s="579"/>
      <c r="E8695" s="583"/>
      <c r="F8695" s="596"/>
      <c r="G8695" s="65">
        <v>0</v>
      </c>
      <c r="H8695" s="591" t="s">
        <v>280</v>
      </c>
      <c r="I8695" s="589" t="s">
        <v>280</v>
      </c>
    </row>
    <row r="8696" spans="1:9">
      <c r="A8696" s="577"/>
      <c r="B8696" s="65">
        <v>8894</v>
      </c>
      <c r="C8696" s="579" t="s">
        <v>281</v>
      </c>
      <c r="D8696" s="579"/>
      <c r="E8696" s="583"/>
      <c r="F8696" s="596"/>
      <c r="G8696" s="65">
        <v>0</v>
      </c>
      <c r="H8696" s="591" t="s">
        <v>280</v>
      </c>
      <c r="I8696" s="589" t="s">
        <v>280</v>
      </c>
    </row>
    <row r="8697" spans="1:9">
      <c r="A8697" s="577"/>
      <c r="B8697" s="65">
        <v>8895</v>
      </c>
      <c r="C8697" s="579" t="s">
        <v>281</v>
      </c>
      <c r="D8697" s="579"/>
      <c r="E8697" s="583"/>
      <c r="F8697" s="596"/>
      <c r="G8697" s="65">
        <v>0</v>
      </c>
      <c r="H8697" s="591" t="s">
        <v>280</v>
      </c>
      <c r="I8697" s="589" t="s">
        <v>280</v>
      </c>
    </row>
    <row r="8698" spans="1:9">
      <c r="A8698" s="577"/>
      <c r="B8698" s="65">
        <v>8896</v>
      </c>
      <c r="C8698" s="579" t="s">
        <v>281</v>
      </c>
      <c r="D8698" s="579"/>
      <c r="E8698" s="583"/>
      <c r="F8698" s="596"/>
      <c r="G8698" s="65">
        <v>0</v>
      </c>
      <c r="H8698" s="591" t="s">
        <v>280</v>
      </c>
      <c r="I8698" s="589" t="s">
        <v>280</v>
      </c>
    </row>
    <row r="8699" spans="1:9">
      <c r="A8699" s="577"/>
      <c r="B8699" s="65">
        <v>8897</v>
      </c>
      <c r="C8699" s="579" t="s">
        <v>281</v>
      </c>
      <c r="D8699" s="579"/>
      <c r="E8699" s="583"/>
      <c r="F8699" s="596"/>
      <c r="G8699" s="65">
        <v>0</v>
      </c>
      <c r="H8699" s="591" t="s">
        <v>280</v>
      </c>
      <c r="I8699" s="589" t="s">
        <v>280</v>
      </c>
    </row>
    <row r="8700" spans="1:9">
      <c r="A8700" s="577"/>
      <c r="B8700" s="65">
        <v>8898</v>
      </c>
      <c r="C8700" s="579" t="s">
        <v>281</v>
      </c>
      <c r="D8700" s="579"/>
      <c r="E8700" s="583"/>
      <c r="F8700" s="596"/>
      <c r="G8700" s="65">
        <v>0</v>
      </c>
      <c r="H8700" s="591" t="s">
        <v>280</v>
      </c>
      <c r="I8700" s="589" t="s">
        <v>280</v>
      </c>
    </row>
    <row r="8701" spans="1:9">
      <c r="A8701" s="577"/>
      <c r="B8701" s="65">
        <v>8899</v>
      </c>
      <c r="C8701" s="579" t="s">
        <v>281</v>
      </c>
      <c r="D8701" s="579"/>
      <c r="E8701" s="583"/>
      <c r="F8701" s="596"/>
      <c r="G8701" s="65">
        <v>0</v>
      </c>
      <c r="H8701" s="591" t="s">
        <v>280</v>
      </c>
      <c r="I8701" s="589" t="s">
        <v>280</v>
      </c>
    </row>
    <row r="8702" spans="1:9">
      <c r="A8702" s="577"/>
      <c r="B8702" s="65">
        <v>8900</v>
      </c>
      <c r="C8702" s="579" t="s">
        <v>281</v>
      </c>
      <c r="D8702" s="579"/>
      <c r="E8702" s="583"/>
      <c r="F8702" s="596"/>
      <c r="G8702" s="65">
        <v>0</v>
      </c>
      <c r="H8702" s="591" t="s">
        <v>280</v>
      </c>
      <c r="I8702" s="589" t="s">
        <v>280</v>
      </c>
    </row>
    <row r="8703" spans="1:9">
      <c r="A8703" s="577"/>
      <c r="B8703" s="65">
        <v>8901</v>
      </c>
      <c r="C8703" s="579" t="s">
        <v>281</v>
      </c>
      <c r="D8703" s="579"/>
      <c r="E8703" s="583"/>
      <c r="F8703" s="596"/>
      <c r="G8703" s="65">
        <v>0</v>
      </c>
      <c r="H8703" s="591" t="s">
        <v>280</v>
      </c>
      <c r="I8703" s="589" t="s">
        <v>280</v>
      </c>
    </row>
    <row r="8704" spans="1:9">
      <c r="A8704" s="577"/>
      <c r="B8704" s="65">
        <v>8902</v>
      </c>
      <c r="C8704" s="579" t="s">
        <v>281</v>
      </c>
      <c r="D8704" s="579"/>
      <c r="E8704" s="583"/>
      <c r="F8704" s="596"/>
      <c r="G8704" s="65">
        <v>0</v>
      </c>
      <c r="H8704" s="591" t="s">
        <v>280</v>
      </c>
      <c r="I8704" s="589" t="s">
        <v>280</v>
      </c>
    </row>
    <row r="8705" spans="1:9">
      <c r="A8705" s="577"/>
      <c r="B8705" s="65">
        <v>8903</v>
      </c>
      <c r="C8705" s="579" t="s">
        <v>281</v>
      </c>
      <c r="D8705" s="579"/>
      <c r="E8705" s="583"/>
      <c r="F8705" s="596"/>
      <c r="G8705" s="65">
        <v>0</v>
      </c>
      <c r="H8705" s="591" t="s">
        <v>280</v>
      </c>
      <c r="I8705" s="589" t="s">
        <v>280</v>
      </c>
    </row>
    <row r="8706" spans="1:9">
      <c r="A8706" s="577"/>
      <c r="B8706" s="65">
        <v>8904</v>
      </c>
      <c r="C8706" s="579" t="s">
        <v>281</v>
      </c>
      <c r="D8706" s="579"/>
      <c r="E8706" s="583"/>
      <c r="F8706" s="596"/>
      <c r="G8706" s="65">
        <v>0</v>
      </c>
      <c r="H8706" s="591" t="s">
        <v>280</v>
      </c>
      <c r="I8706" s="589" t="s">
        <v>280</v>
      </c>
    </row>
    <row r="8707" spans="1:9">
      <c r="A8707" s="577"/>
      <c r="B8707" s="65">
        <v>8905</v>
      </c>
      <c r="C8707" s="579" t="s">
        <v>281</v>
      </c>
      <c r="D8707" s="579"/>
      <c r="E8707" s="583"/>
      <c r="F8707" s="596"/>
      <c r="G8707" s="65">
        <v>0</v>
      </c>
      <c r="H8707" s="591" t="s">
        <v>280</v>
      </c>
      <c r="I8707" s="589" t="s">
        <v>280</v>
      </c>
    </row>
    <row r="8708" spans="1:9">
      <c r="A8708" s="577"/>
      <c r="B8708" s="65">
        <v>8906</v>
      </c>
      <c r="C8708" s="579" t="s">
        <v>281</v>
      </c>
      <c r="D8708" s="579"/>
      <c r="E8708" s="583"/>
      <c r="F8708" s="596"/>
      <c r="G8708" s="65">
        <v>0</v>
      </c>
      <c r="H8708" s="591" t="s">
        <v>280</v>
      </c>
      <c r="I8708" s="589" t="s">
        <v>280</v>
      </c>
    </row>
    <row r="8709" spans="1:9">
      <c r="A8709" s="577"/>
      <c r="B8709" s="65">
        <v>8907</v>
      </c>
      <c r="C8709" s="579" t="s">
        <v>281</v>
      </c>
      <c r="D8709" s="579"/>
      <c r="E8709" s="583"/>
      <c r="F8709" s="596"/>
      <c r="G8709" s="65">
        <v>0</v>
      </c>
      <c r="H8709" s="591" t="s">
        <v>280</v>
      </c>
      <c r="I8709" s="589" t="s">
        <v>280</v>
      </c>
    </row>
    <row r="8710" spans="1:9">
      <c r="A8710" s="577"/>
      <c r="B8710" s="65">
        <v>8908</v>
      </c>
      <c r="C8710" s="579" t="s">
        <v>281</v>
      </c>
      <c r="D8710" s="579"/>
      <c r="E8710" s="583"/>
      <c r="F8710" s="596"/>
      <c r="G8710" s="65">
        <v>0</v>
      </c>
      <c r="H8710" s="591" t="s">
        <v>280</v>
      </c>
      <c r="I8710" s="589" t="s">
        <v>280</v>
      </c>
    </row>
    <row r="8711" spans="1:9">
      <c r="A8711" s="577"/>
      <c r="B8711" s="65">
        <v>8909</v>
      </c>
      <c r="C8711" s="579" t="s">
        <v>281</v>
      </c>
      <c r="D8711" s="579"/>
      <c r="E8711" s="583"/>
      <c r="F8711" s="596"/>
      <c r="G8711" s="65">
        <v>0</v>
      </c>
      <c r="H8711" s="591" t="s">
        <v>280</v>
      </c>
      <c r="I8711" s="589" t="s">
        <v>280</v>
      </c>
    </row>
    <row r="8712" spans="1:9">
      <c r="A8712" s="577"/>
      <c r="B8712" s="65">
        <v>8910</v>
      </c>
      <c r="C8712" s="579" t="s">
        <v>281</v>
      </c>
      <c r="D8712" s="579"/>
      <c r="E8712" s="583"/>
      <c r="F8712" s="596"/>
      <c r="G8712" s="65">
        <v>0</v>
      </c>
      <c r="H8712" s="591" t="s">
        <v>280</v>
      </c>
      <c r="I8712" s="589" t="s">
        <v>280</v>
      </c>
    </row>
    <row r="8713" spans="1:9">
      <c r="A8713" s="577"/>
      <c r="B8713" s="65">
        <v>8911</v>
      </c>
      <c r="C8713" s="579" t="s">
        <v>281</v>
      </c>
      <c r="D8713" s="579"/>
      <c r="E8713" s="583"/>
      <c r="F8713" s="596"/>
      <c r="G8713" s="65">
        <v>0</v>
      </c>
      <c r="H8713" s="591" t="s">
        <v>280</v>
      </c>
      <c r="I8713" s="589" t="s">
        <v>280</v>
      </c>
    </row>
    <row r="8714" spans="1:9">
      <c r="A8714" s="577"/>
      <c r="B8714" s="65">
        <v>8912</v>
      </c>
      <c r="C8714" s="579" t="s">
        <v>281</v>
      </c>
      <c r="D8714" s="579"/>
      <c r="E8714" s="583"/>
      <c r="F8714" s="596"/>
      <c r="G8714" s="65">
        <v>0</v>
      </c>
      <c r="H8714" s="591" t="s">
        <v>280</v>
      </c>
      <c r="I8714" s="589" t="s">
        <v>280</v>
      </c>
    </row>
    <row r="8715" spans="1:9">
      <c r="A8715" s="577"/>
      <c r="B8715" s="65">
        <v>8913</v>
      </c>
      <c r="C8715" s="579" t="s">
        <v>281</v>
      </c>
      <c r="D8715" s="579"/>
      <c r="E8715" s="583"/>
      <c r="F8715" s="596"/>
      <c r="G8715" s="65">
        <v>0</v>
      </c>
      <c r="H8715" s="591" t="s">
        <v>280</v>
      </c>
      <c r="I8715" s="589" t="s">
        <v>280</v>
      </c>
    </row>
    <row r="8716" spans="1:9">
      <c r="A8716" s="577"/>
      <c r="B8716" s="65">
        <v>8914</v>
      </c>
      <c r="C8716" s="579" t="s">
        <v>281</v>
      </c>
      <c r="D8716" s="579"/>
      <c r="E8716" s="583"/>
      <c r="F8716" s="596"/>
      <c r="G8716" s="65">
        <v>0</v>
      </c>
      <c r="H8716" s="591" t="s">
        <v>280</v>
      </c>
      <c r="I8716" s="589" t="s">
        <v>280</v>
      </c>
    </row>
    <row r="8717" spans="1:9">
      <c r="A8717" s="577"/>
      <c r="B8717" s="65">
        <v>8915</v>
      </c>
      <c r="C8717" s="579" t="s">
        <v>281</v>
      </c>
      <c r="D8717" s="579"/>
      <c r="E8717" s="583"/>
      <c r="F8717" s="596"/>
      <c r="G8717" s="65">
        <v>0</v>
      </c>
      <c r="H8717" s="591" t="s">
        <v>280</v>
      </c>
      <c r="I8717" s="589" t="s">
        <v>280</v>
      </c>
    </row>
    <row r="8718" spans="1:9">
      <c r="A8718" s="577"/>
      <c r="B8718" s="65">
        <v>8916</v>
      </c>
      <c r="C8718" s="579" t="s">
        <v>281</v>
      </c>
      <c r="D8718" s="579"/>
      <c r="E8718" s="583"/>
      <c r="F8718" s="596"/>
      <c r="G8718" s="65">
        <v>0</v>
      </c>
      <c r="H8718" s="591" t="s">
        <v>280</v>
      </c>
      <c r="I8718" s="589" t="s">
        <v>280</v>
      </c>
    </row>
    <row r="8719" spans="1:9">
      <c r="A8719" s="577"/>
      <c r="B8719" s="65">
        <v>8917</v>
      </c>
      <c r="C8719" s="579" t="s">
        <v>281</v>
      </c>
      <c r="D8719" s="579"/>
      <c r="E8719" s="583"/>
      <c r="F8719" s="596"/>
      <c r="G8719" s="65">
        <v>0</v>
      </c>
      <c r="H8719" s="591" t="s">
        <v>280</v>
      </c>
      <c r="I8719" s="589" t="s">
        <v>280</v>
      </c>
    </row>
    <row r="8720" spans="1:9">
      <c r="A8720" s="577"/>
      <c r="B8720" s="65">
        <v>8918</v>
      </c>
      <c r="C8720" s="579" t="s">
        <v>281</v>
      </c>
      <c r="D8720" s="579"/>
      <c r="E8720" s="583"/>
      <c r="F8720" s="596"/>
      <c r="G8720" s="65">
        <v>0</v>
      </c>
      <c r="H8720" s="591" t="s">
        <v>280</v>
      </c>
      <c r="I8720" s="589" t="s">
        <v>280</v>
      </c>
    </row>
    <row r="8721" spans="1:9">
      <c r="A8721" s="577"/>
      <c r="B8721" s="65">
        <v>8919</v>
      </c>
      <c r="C8721" s="579" t="s">
        <v>281</v>
      </c>
      <c r="D8721" s="579"/>
      <c r="E8721" s="583"/>
      <c r="F8721" s="596"/>
      <c r="G8721" s="65">
        <v>0</v>
      </c>
      <c r="H8721" s="591" t="s">
        <v>280</v>
      </c>
      <c r="I8721" s="589" t="s">
        <v>280</v>
      </c>
    </row>
    <row r="8722" spans="1:9">
      <c r="A8722" s="577"/>
      <c r="B8722" s="65">
        <v>8920</v>
      </c>
      <c r="C8722" s="579" t="s">
        <v>281</v>
      </c>
      <c r="D8722" s="579"/>
      <c r="E8722" s="583"/>
      <c r="F8722" s="596"/>
      <c r="G8722" s="65">
        <v>0</v>
      </c>
      <c r="H8722" s="591" t="s">
        <v>280</v>
      </c>
      <c r="I8722" s="589" t="s">
        <v>280</v>
      </c>
    </row>
    <row r="8723" spans="1:9">
      <c r="A8723" s="577"/>
      <c r="B8723" s="65">
        <v>8921</v>
      </c>
      <c r="C8723" s="579" t="s">
        <v>281</v>
      </c>
      <c r="D8723" s="579"/>
      <c r="E8723" s="583"/>
      <c r="F8723" s="596"/>
      <c r="G8723" s="65">
        <v>0</v>
      </c>
      <c r="H8723" s="591" t="s">
        <v>280</v>
      </c>
      <c r="I8723" s="589" t="s">
        <v>280</v>
      </c>
    </row>
    <row r="8724" spans="1:9">
      <c r="A8724" s="577"/>
      <c r="B8724" s="65">
        <v>8922</v>
      </c>
      <c r="C8724" s="579" t="s">
        <v>281</v>
      </c>
      <c r="D8724" s="579"/>
      <c r="E8724" s="583"/>
      <c r="F8724" s="596"/>
      <c r="G8724" s="65">
        <v>0</v>
      </c>
      <c r="H8724" s="591" t="s">
        <v>280</v>
      </c>
      <c r="I8724" s="589" t="s">
        <v>280</v>
      </c>
    </row>
    <row r="8725" spans="1:9">
      <c r="A8725" s="577"/>
      <c r="B8725" s="65">
        <v>8923</v>
      </c>
      <c r="C8725" s="579" t="s">
        <v>281</v>
      </c>
      <c r="D8725" s="579"/>
      <c r="E8725" s="583"/>
      <c r="F8725" s="596"/>
      <c r="G8725" s="65">
        <v>0</v>
      </c>
      <c r="H8725" s="591" t="s">
        <v>280</v>
      </c>
      <c r="I8725" s="589" t="s">
        <v>280</v>
      </c>
    </row>
    <row r="8726" spans="1:9">
      <c r="A8726" s="577"/>
      <c r="B8726" s="65">
        <v>8924</v>
      </c>
      <c r="C8726" s="579" t="s">
        <v>281</v>
      </c>
      <c r="D8726" s="579"/>
      <c r="E8726" s="583"/>
      <c r="F8726" s="596"/>
      <c r="G8726" s="65">
        <v>0</v>
      </c>
      <c r="H8726" s="591" t="s">
        <v>280</v>
      </c>
      <c r="I8726" s="589" t="s">
        <v>280</v>
      </c>
    </row>
    <row r="8727" spans="1:9">
      <c r="A8727" s="577"/>
      <c r="B8727" s="65">
        <v>8925</v>
      </c>
      <c r="C8727" s="579" t="s">
        <v>281</v>
      </c>
      <c r="D8727" s="579"/>
      <c r="E8727" s="583"/>
      <c r="F8727" s="596"/>
      <c r="G8727" s="65">
        <v>0</v>
      </c>
      <c r="H8727" s="591" t="s">
        <v>280</v>
      </c>
      <c r="I8727" s="589" t="s">
        <v>280</v>
      </c>
    </row>
    <row r="8728" spans="1:9">
      <c r="A8728" s="577"/>
      <c r="B8728" s="65">
        <v>8926</v>
      </c>
      <c r="C8728" s="579" t="s">
        <v>281</v>
      </c>
      <c r="D8728" s="579"/>
      <c r="E8728" s="583"/>
      <c r="F8728" s="596"/>
      <c r="G8728" s="65">
        <v>0</v>
      </c>
      <c r="H8728" s="591" t="s">
        <v>280</v>
      </c>
      <c r="I8728" s="589" t="s">
        <v>280</v>
      </c>
    </row>
    <row r="8729" spans="1:9">
      <c r="A8729" s="577"/>
      <c r="B8729" s="65">
        <v>8927</v>
      </c>
      <c r="C8729" s="579" t="s">
        <v>281</v>
      </c>
      <c r="D8729" s="579"/>
      <c r="E8729" s="583"/>
      <c r="F8729" s="596"/>
      <c r="G8729" s="65">
        <v>0</v>
      </c>
      <c r="H8729" s="591" t="s">
        <v>280</v>
      </c>
      <c r="I8729" s="589" t="s">
        <v>280</v>
      </c>
    </row>
    <row r="8730" spans="1:9">
      <c r="A8730" s="577"/>
      <c r="B8730" s="65">
        <v>8928</v>
      </c>
      <c r="C8730" s="579" t="s">
        <v>281</v>
      </c>
      <c r="D8730" s="579"/>
      <c r="E8730" s="583"/>
      <c r="F8730" s="596"/>
      <c r="G8730" s="65">
        <v>0</v>
      </c>
      <c r="H8730" s="591" t="s">
        <v>280</v>
      </c>
      <c r="I8730" s="589" t="s">
        <v>280</v>
      </c>
    </row>
    <row r="8731" spans="1:9">
      <c r="A8731" s="577"/>
      <c r="B8731" s="65">
        <v>8929</v>
      </c>
      <c r="C8731" s="579" t="s">
        <v>281</v>
      </c>
      <c r="D8731" s="579"/>
      <c r="E8731" s="583"/>
      <c r="F8731" s="596"/>
      <c r="G8731" s="65">
        <v>0</v>
      </c>
      <c r="H8731" s="591" t="s">
        <v>280</v>
      </c>
      <c r="I8731" s="589" t="s">
        <v>280</v>
      </c>
    </row>
    <row r="8732" spans="1:9">
      <c r="A8732" s="577"/>
      <c r="B8732" s="65">
        <v>8930</v>
      </c>
      <c r="C8732" s="579" t="s">
        <v>281</v>
      </c>
      <c r="D8732" s="579"/>
      <c r="E8732" s="583"/>
      <c r="F8732" s="596"/>
      <c r="G8732" s="65">
        <v>0</v>
      </c>
      <c r="H8732" s="591" t="s">
        <v>280</v>
      </c>
      <c r="I8732" s="589" t="s">
        <v>280</v>
      </c>
    </row>
    <row r="8733" spans="1:9">
      <c r="A8733" s="577"/>
      <c r="B8733" s="65">
        <v>8931</v>
      </c>
      <c r="C8733" s="579" t="s">
        <v>281</v>
      </c>
      <c r="D8733" s="579"/>
      <c r="E8733" s="583"/>
      <c r="F8733" s="596"/>
      <c r="G8733" s="65">
        <v>0</v>
      </c>
      <c r="H8733" s="591" t="s">
        <v>280</v>
      </c>
      <c r="I8733" s="589" t="s">
        <v>280</v>
      </c>
    </row>
    <row r="8734" spans="1:9">
      <c r="A8734" s="577"/>
      <c r="B8734" s="65">
        <v>8932</v>
      </c>
      <c r="C8734" s="579" t="s">
        <v>281</v>
      </c>
      <c r="D8734" s="579"/>
      <c r="E8734" s="583"/>
      <c r="F8734" s="596"/>
      <c r="G8734" s="65">
        <v>0</v>
      </c>
      <c r="H8734" s="591" t="s">
        <v>280</v>
      </c>
      <c r="I8734" s="589" t="s">
        <v>280</v>
      </c>
    </row>
    <row r="8735" spans="1:9">
      <c r="A8735" s="577"/>
      <c r="B8735" s="65">
        <v>8933</v>
      </c>
      <c r="C8735" s="579" t="s">
        <v>281</v>
      </c>
      <c r="D8735" s="579"/>
      <c r="E8735" s="583"/>
      <c r="F8735" s="596"/>
      <c r="G8735" s="65">
        <v>0</v>
      </c>
      <c r="H8735" s="591" t="s">
        <v>280</v>
      </c>
      <c r="I8735" s="589" t="s">
        <v>280</v>
      </c>
    </row>
    <row r="8736" spans="1:9">
      <c r="A8736" s="577"/>
      <c r="B8736" s="65">
        <v>8934</v>
      </c>
      <c r="C8736" s="579" t="s">
        <v>281</v>
      </c>
      <c r="D8736" s="579"/>
      <c r="E8736" s="583"/>
      <c r="F8736" s="596"/>
      <c r="G8736" s="65">
        <v>0</v>
      </c>
      <c r="H8736" s="591" t="s">
        <v>280</v>
      </c>
      <c r="I8736" s="589" t="s">
        <v>280</v>
      </c>
    </row>
    <row r="8737" spans="1:9">
      <c r="A8737" s="577"/>
      <c r="B8737" s="65">
        <v>8935</v>
      </c>
      <c r="C8737" s="579" t="s">
        <v>281</v>
      </c>
      <c r="D8737" s="579"/>
      <c r="E8737" s="583"/>
      <c r="F8737" s="596"/>
      <c r="G8737" s="65">
        <v>0</v>
      </c>
      <c r="H8737" s="591" t="s">
        <v>280</v>
      </c>
      <c r="I8737" s="589" t="s">
        <v>280</v>
      </c>
    </row>
    <row r="8738" spans="1:9">
      <c r="A8738" s="577"/>
      <c r="B8738" s="65">
        <v>8936</v>
      </c>
      <c r="C8738" s="579" t="s">
        <v>281</v>
      </c>
      <c r="D8738" s="579"/>
      <c r="E8738" s="583"/>
      <c r="F8738" s="596"/>
      <c r="G8738" s="65">
        <v>0</v>
      </c>
      <c r="H8738" s="591" t="s">
        <v>280</v>
      </c>
      <c r="I8738" s="589" t="s">
        <v>280</v>
      </c>
    </row>
    <row r="8739" spans="1:9">
      <c r="A8739" s="577"/>
      <c r="B8739" s="65">
        <v>8937</v>
      </c>
      <c r="C8739" s="579" t="s">
        <v>281</v>
      </c>
      <c r="D8739" s="579"/>
      <c r="E8739" s="583"/>
      <c r="F8739" s="596"/>
      <c r="G8739" s="65">
        <v>0</v>
      </c>
      <c r="H8739" s="591" t="s">
        <v>280</v>
      </c>
      <c r="I8739" s="589" t="s">
        <v>280</v>
      </c>
    </row>
    <row r="8740" spans="1:9">
      <c r="A8740" s="577"/>
      <c r="B8740" s="65">
        <v>8938</v>
      </c>
      <c r="C8740" s="579" t="s">
        <v>281</v>
      </c>
      <c r="D8740" s="579"/>
      <c r="E8740" s="583"/>
      <c r="F8740" s="596"/>
      <c r="G8740" s="65">
        <v>0</v>
      </c>
      <c r="H8740" s="591" t="s">
        <v>280</v>
      </c>
      <c r="I8740" s="589" t="s">
        <v>280</v>
      </c>
    </row>
    <row r="8741" spans="1:9">
      <c r="A8741" s="577"/>
      <c r="B8741" s="65">
        <v>8939</v>
      </c>
      <c r="C8741" s="579" t="s">
        <v>281</v>
      </c>
      <c r="D8741" s="579"/>
      <c r="E8741" s="583"/>
      <c r="F8741" s="596"/>
      <c r="G8741" s="65">
        <v>0</v>
      </c>
      <c r="H8741" s="591" t="s">
        <v>280</v>
      </c>
      <c r="I8741" s="589" t="s">
        <v>280</v>
      </c>
    </row>
    <row r="8742" spans="1:9">
      <c r="A8742" s="577"/>
      <c r="B8742" s="65">
        <v>8940</v>
      </c>
      <c r="C8742" s="579" t="s">
        <v>281</v>
      </c>
      <c r="D8742" s="579"/>
      <c r="E8742" s="583"/>
      <c r="F8742" s="596"/>
      <c r="G8742" s="65">
        <v>0</v>
      </c>
      <c r="H8742" s="591" t="s">
        <v>280</v>
      </c>
      <c r="I8742" s="589" t="s">
        <v>280</v>
      </c>
    </row>
    <row r="8743" spans="1:9">
      <c r="A8743" s="577"/>
      <c r="B8743" s="65">
        <v>8941</v>
      </c>
      <c r="C8743" s="579" t="s">
        <v>281</v>
      </c>
      <c r="D8743" s="579"/>
      <c r="E8743" s="583"/>
      <c r="F8743" s="596"/>
      <c r="G8743" s="65">
        <v>0</v>
      </c>
      <c r="H8743" s="591" t="s">
        <v>280</v>
      </c>
      <c r="I8743" s="589" t="s">
        <v>280</v>
      </c>
    </row>
    <row r="8744" spans="1:9">
      <c r="A8744" s="577"/>
      <c r="B8744" s="65">
        <v>8942</v>
      </c>
      <c r="C8744" s="579" t="s">
        <v>281</v>
      </c>
      <c r="D8744" s="579"/>
      <c r="E8744" s="583"/>
      <c r="F8744" s="596"/>
      <c r="G8744" s="65">
        <v>0</v>
      </c>
      <c r="H8744" s="591" t="s">
        <v>280</v>
      </c>
      <c r="I8744" s="589" t="s">
        <v>280</v>
      </c>
    </row>
    <row r="8745" spans="1:9">
      <c r="A8745" s="577"/>
      <c r="B8745" s="65">
        <v>8943</v>
      </c>
      <c r="C8745" s="579" t="s">
        <v>281</v>
      </c>
      <c r="D8745" s="579"/>
      <c r="E8745" s="583"/>
      <c r="F8745" s="596"/>
      <c r="G8745" s="65">
        <v>0</v>
      </c>
      <c r="H8745" s="591" t="s">
        <v>280</v>
      </c>
      <c r="I8745" s="589" t="s">
        <v>280</v>
      </c>
    </row>
    <row r="8746" spans="1:9">
      <c r="A8746" s="577"/>
      <c r="B8746" s="65">
        <v>8944</v>
      </c>
      <c r="C8746" s="579" t="s">
        <v>281</v>
      </c>
      <c r="D8746" s="579"/>
      <c r="E8746" s="583"/>
      <c r="F8746" s="596"/>
      <c r="G8746" s="65">
        <v>0</v>
      </c>
      <c r="H8746" s="591" t="s">
        <v>280</v>
      </c>
      <c r="I8746" s="589" t="s">
        <v>280</v>
      </c>
    </row>
    <row r="8747" spans="1:9">
      <c r="A8747" s="577"/>
      <c r="B8747" s="65">
        <v>8945</v>
      </c>
      <c r="C8747" s="579" t="s">
        <v>281</v>
      </c>
      <c r="D8747" s="579"/>
      <c r="E8747" s="583"/>
      <c r="F8747" s="596"/>
      <c r="G8747" s="65">
        <v>0</v>
      </c>
      <c r="H8747" s="591" t="s">
        <v>280</v>
      </c>
      <c r="I8747" s="589" t="s">
        <v>280</v>
      </c>
    </row>
    <row r="8748" spans="1:9">
      <c r="A8748" s="577"/>
      <c r="B8748" s="65">
        <v>8946</v>
      </c>
      <c r="C8748" s="579" t="s">
        <v>281</v>
      </c>
      <c r="D8748" s="579"/>
      <c r="E8748" s="583"/>
      <c r="F8748" s="596"/>
      <c r="G8748" s="65">
        <v>0</v>
      </c>
      <c r="H8748" s="591" t="s">
        <v>280</v>
      </c>
      <c r="I8748" s="589" t="s">
        <v>280</v>
      </c>
    </row>
    <row r="8749" spans="1:9">
      <c r="A8749" s="577"/>
      <c r="B8749" s="65">
        <v>8947</v>
      </c>
      <c r="C8749" s="579" t="s">
        <v>281</v>
      </c>
      <c r="D8749" s="579"/>
      <c r="E8749" s="583"/>
      <c r="F8749" s="596"/>
      <c r="G8749" s="65">
        <v>0</v>
      </c>
      <c r="H8749" s="591" t="s">
        <v>280</v>
      </c>
      <c r="I8749" s="589" t="s">
        <v>280</v>
      </c>
    </row>
    <row r="8750" spans="1:9">
      <c r="A8750" s="577"/>
      <c r="B8750" s="65">
        <v>8948</v>
      </c>
      <c r="C8750" s="579" t="s">
        <v>281</v>
      </c>
      <c r="D8750" s="579"/>
      <c r="E8750" s="583"/>
      <c r="F8750" s="596"/>
      <c r="G8750" s="65">
        <v>0</v>
      </c>
      <c r="H8750" s="591" t="s">
        <v>280</v>
      </c>
      <c r="I8750" s="589" t="s">
        <v>280</v>
      </c>
    </row>
    <row r="8751" spans="1:9">
      <c r="A8751" s="577"/>
      <c r="B8751" s="65">
        <v>8949</v>
      </c>
      <c r="C8751" s="579" t="s">
        <v>281</v>
      </c>
      <c r="D8751" s="579"/>
      <c r="E8751" s="583"/>
      <c r="F8751" s="596"/>
      <c r="G8751" s="65">
        <v>0</v>
      </c>
      <c r="H8751" s="591" t="s">
        <v>280</v>
      </c>
      <c r="I8751" s="589" t="s">
        <v>280</v>
      </c>
    </row>
    <row r="8752" spans="1:9">
      <c r="A8752" s="577"/>
      <c r="B8752" s="65">
        <v>8950</v>
      </c>
      <c r="C8752" s="579" t="s">
        <v>281</v>
      </c>
      <c r="D8752" s="579"/>
      <c r="E8752" s="583"/>
      <c r="F8752" s="596"/>
      <c r="G8752" s="65">
        <v>0</v>
      </c>
      <c r="H8752" s="591" t="s">
        <v>280</v>
      </c>
      <c r="I8752" s="589" t="s">
        <v>280</v>
      </c>
    </row>
    <row r="8753" spans="1:9">
      <c r="A8753" s="577"/>
      <c r="B8753" s="65">
        <v>8951</v>
      </c>
      <c r="C8753" s="579" t="s">
        <v>281</v>
      </c>
      <c r="D8753" s="579"/>
      <c r="E8753" s="583"/>
      <c r="F8753" s="596"/>
      <c r="G8753" s="65">
        <v>0</v>
      </c>
      <c r="H8753" s="591" t="s">
        <v>280</v>
      </c>
      <c r="I8753" s="589" t="s">
        <v>280</v>
      </c>
    </row>
    <row r="8754" spans="1:9">
      <c r="A8754" s="577"/>
      <c r="B8754" s="65">
        <v>8952</v>
      </c>
      <c r="C8754" s="579" t="s">
        <v>281</v>
      </c>
      <c r="D8754" s="579"/>
      <c r="E8754" s="583"/>
      <c r="F8754" s="596"/>
      <c r="G8754" s="65">
        <v>0</v>
      </c>
      <c r="H8754" s="591" t="s">
        <v>280</v>
      </c>
      <c r="I8754" s="589" t="s">
        <v>280</v>
      </c>
    </row>
    <row r="8755" spans="1:9">
      <c r="A8755" s="577"/>
      <c r="B8755" s="65">
        <v>8953</v>
      </c>
      <c r="C8755" s="579" t="s">
        <v>281</v>
      </c>
      <c r="D8755" s="579"/>
      <c r="E8755" s="583"/>
      <c r="F8755" s="596"/>
      <c r="G8755" s="65">
        <v>0</v>
      </c>
      <c r="H8755" s="591" t="s">
        <v>280</v>
      </c>
      <c r="I8755" s="589" t="s">
        <v>280</v>
      </c>
    </row>
    <row r="8756" spans="1:9">
      <c r="A8756" s="577"/>
      <c r="B8756" s="65">
        <v>8954</v>
      </c>
      <c r="C8756" s="579" t="s">
        <v>281</v>
      </c>
      <c r="D8756" s="579"/>
      <c r="E8756" s="583"/>
      <c r="F8756" s="596"/>
      <c r="G8756" s="65">
        <v>0</v>
      </c>
      <c r="H8756" s="591" t="s">
        <v>280</v>
      </c>
      <c r="I8756" s="589" t="s">
        <v>280</v>
      </c>
    </row>
    <row r="8757" spans="1:9">
      <c r="A8757" s="577"/>
      <c r="B8757" s="65">
        <v>8955</v>
      </c>
      <c r="C8757" s="579" t="s">
        <v>281</v>
      </c>
      <c r="D8757" s="579"/>
      <c r="E8757" s="583"/>
      <c r="F8757" s="596"/>
      <c r="G8757" s="65">
        <v>0</v>
      </c>
      <c r="H8757" s="591" t="s">
        <v>280</v>
      </c>
      <c r="I8757" s="589" t="s">
        <v>280</v>
      </c>
    </row>
    <row r="8758" spans="1:9">
      <c r="A8758" s="577"/>
      <c r="B8758" s="65">
        <v>8956</v>
      </c>
      <c r="C8758" s="579" t="s">
        <v>281</v>
      </c>
      <c r="D8758" s="579"/>
      <c r="E8758" s="583"/>
      <c r="F8758" s="596"/>
      <c r="G8758" s="65">
        <v>0</v>
      </c>
      <c r="H8758" s="591" t="s">
        <v>280</v>
      </c>
      <c r="I8758" s="589" t="s">
        <v>280</v>
      </c>
    </row>
    <row r="8759" spans="1:9">
      <c r="A8759" s="577"/>
      <c r="B8759" s="65">
        <v>8957</v>
      </c>
      <c r="C8759" s="579" t="s">
        <v>281</v>
      </c>
      <c r="D8759" s="579"/>
      <c r="E8759" s="583"/>
      <c r="F8759" s="596"/>
      <c r="G8759" s="65">
        <v>0</v>
      </c>
      <c r="H8759" s="591" t="s">
        <v>280</v>
      </c>
      <c r="I8759" s="589" t="s">
        <v>280</v>
      </c>
    </row>
    <row r="8760" spans="1:9">
      <c r="A8760" s="577"/>
      <c r="B8760" s="65">
        <v>8958</v>
      </c>
      <c r="C8760" s="579" t="s">
        <v>281</v>
      </c>
      <c r="D8760" s="579"/>
      <c r="E8760" s="583"/>
      <c r="F8760" s="596"/>
      <c r="G8760" s="65">
        <v>0</v>
      </c>
      <c r="H8760" s="591" t="s">
        <v>280</v>
      </c>
      <c r="I8760" s="589" t="s">
        <v>280</v>
      </c>
    </row>
    <row r="8761" spans="1:9">
      <c r="A8761" s="577"/>
      <c r="B8761" s="65">
        <v>8959</v>
      </c>
      <c r="C8761" s="579" t="s">
        <v>281</v>
      </c>
      <c r="D8761" s="579"/>
      <c r="E8761" s="583"/>
      <c r="F8761" s="596"/>
      <c r="G8761" s="65">
        <v>0</v>
      </c>
      <c r="H8761" s="591" t="s">
        <v>280</v>
      </c>
      <c r="I8761" s="589" t="s">
        <v>280</v>
      </c>
    </row>
    <row r="8762" spans="1:9">
      <c r="A8762" s="577"/>
      <c r="B8762" s="65">
        <v>8960</v>
      </c>
      <c r="C8762" s="579" t="s">
        <v>281</v>
      </c>
      <c r="D8762" s="579"/>
      <c r="E8762" s="583"/>
      <c r="F8762" s="596"/>
      <c r="G8762" s="65">
        <v>0</v>
      </c>
      <c r="H8762" s="591" t="s">
        <v>280</v>
      </c>
      <c r="I8762" s="589" t="s">
        <v>280</v>
      </c>
    </row>
    <row r="8763" spans="1:9">
      <c r="A8763" s="577"/>
      <c r="B8763" s="65">
        <v>8961</v>
      </c>
      <c r="C8763" s="579" t="s">
        <v>281</v>
      </c>
      <c r="D8763" s="579"/>
      <c r="E8763" s="583"/>
      <c r="F8763" s="596"/>
      <c r="G8763" s="65">
        <v>0</v>
      </c>
      <c r="H8763" s="591" t="s">
        <v>280</v>
      </c>
      <c r="I8763" s="589" t="s">
        <v>280</v>
      </c>
    </row>
    <row r="8764" spans="1:9">
      <c r="A8764" s="577"/>
      <c r="B8764" s="65">
        <v>8962</v>
      </c>
      <c r="C8764" s="579" t="s">
        <v>281</v>
      </c>
      <c r="D8764" s="579"/>
      <c r="E8764" s="583"/>
      <c r="F8764" s="596"/>
      <c r="G8764" s="65">
        <v>0</v>
      </c>
      <c r="H8764" s="591" t="s">
        <v>280</v>
      </c>
      <c r="I8764" s="589" t="s">
        <v>280</v>
      </c>
    </row>
    <row r="8765" spans="1:9">
      <c r="A8765" s="577"/>
      <c r="B8765" s="65">
        <v>8963</v>
      </c>
      <c r="C8765" s="579" t="s">
        <v>281</v>
      </c>
      <c r="D8765" s="579"/>
      <c r="E8765" s="583"/>
      <c r="F8765" s="596"/>
      <c r="G8765" s="65">
        <v>0</v>
      </c>
      <c r="H8765" s="591" t="s">
        <v>280</v>
      </c>
      <c r="I8765" s="589" t="s">
        <v>280</v>
      </c>
    </row>
    <row r="8766" spans="1:9">
      <c r="A8766" s="577"/>
      <c r="B8766" s="65">
        <v>8964</v>
      </c>
      <c r="C8766" s="579" t="s">
        <v>281</v>
      </c>
      <c r="D8766" s="579"/>
      <c r="E8766" s="583"/>
      <c r="F8766" s="596"/>
      <c r="G8766" s="65">
        <v>0</v>
      </c>
      <c r="H8766" s="591" t="s">
        <v>280</v>
      </c>
      <c r="I8766" s="589" t="s">
        <v>280</v>
      </c>
    </row>
    <row r="8767" spans="1:9">
      <c r="A8767" s="577"/>
      <c r="B8767" s="65">
        <v>8965</v>
      </c>
      <c r="C8767" s="579" t="s">
        <v>281</v>
      </c>
      <c r="D8767" s="579"/>
      <c r="E8767" s="583"/>
      <c r="F8767" s="596"/>
      <c r="G8767" s="65">
        <v>0</v>
      </c>
      <c r="H8767" s="591" t="s">
        <v>280</v>
      </c>
      <c r="I8767" s="589" t="s">
        <v>280</v>
      </c>
    </row>
    <row r="8768" spans="1:9">
      <c r="A8768" s="577"/>
      <c r="B8768" s="65">
        <v>8966</v>
      </c>
      <c r="C8768" s="579" t="s">
        <v>281</v>
      </c>
      <c r="D8768" s="579"/>
      <c r="E8768" s="583"/>
      <c r="F8768" s="596"/>
      <c r="G8768" s="65">
        <v>0</v>
      </c>
      <c r="H8768" s="591" t="s">
        <v>280</v>
      </c>
      <c r="I8768" s="589" t="s">
        <v>280</v>
      </c>
    </row>
    <row r="8769" spans="1:9">
      <c r="A8769" s="577"/>
      <c r="B8769" s="65">
        <v>8967</v>
      </c>
      <c r="C8769" s="579" t="s">
        <v>281</v>
      </c>
      <c r="D8769" s="579"/>
      <c r="E8769" s="583"/>
      <c r="F8769" s="596"/>
      <c r="G8769" s="65">
        <v>0</v>
      </c>
      <c r="H8769" s="591" t="s">
        <v>280</v>
      </c>
      <c r="I8769" s="589" t="s">
        <v>280</v>
      </c>
    </row>
    <row r="8770" spans="1:9">
      <c r="A8770" s="577"/>
      <c r="B8770" s="65">
        <v>8968</v>
      </c>
      <c r="C8770" s="579" t="s">
        <v>281</v>
      </c>
      <c r="D8770" s="579"/>
      <c r="E8770" s="583"/>
      <c r="F8770" s="596"/>
      <c r="G8770" s="65">
        <v>0</v>
      </c>
      <c r="H8770" s="591" t="s">
        <v>280</v>
      </c>
      <c r="I8770" s="589" t="s">
        <v>280</v>
      </c>
    </row>
    <row r="8771" spans="1:9">
      <c r="A8771" s="577"/>
      <c r="B8771" s="65">
        <v>8969</v>
      </c>
      <c r="C8771" s="579" t="s">
        <v>281</v>
      </c>
      <c r="D8771" s="579"/>
      <c r="E8771" s="583"/>
      <c r="F8771" s="596"/>
      <c r="G8771" s="65">
        <v>0</v>
      </c>
      <c r="H8771" s="591" t="s">
        <v>280</v>
      </c>
      <c r="I8771" s="589" t="s">
        <v>280</v>
      </c>
    </row>
    <row r="8772" spans="1:9">
      <c r="A8772" s="577"/>
      <c r="B8772" s="65">
        <v>8970</v>
      </c>
      <c r="C8772" s="579" t="s">
        <v>281</v>
      </c>
      <c r="D8772" s="579"/>
      <c r="E8772" s="583"/>
      <c r="F8772" s="596"/>
      <c r="G8772" s="65">
        <v>0</v>
      </c>
      <c r="H8772" s="591" t="s">
        <v>280</v>
      </c>
      <c r="I8772" s="589" t="s">
        <v>280</v>
      </c>
    </row>
    <row r="8773" spans="1:9">
      <c r="A8773" s="577"/>
      <c r="B8773" s="65">
        <v>8971</v>
      </c>
      <c r="C8773" s="579" t="s">
        <v>281</v>
      </c>
      <c r="D8773" s="579"/>
      <c r="E8773" s="583"/>
      <c r="F8773" s="596"/>
      <c r="G8773" s="65">
        <v>0</v>
      </c>
      <c r="H8773" s="591" t="s">
        <v>280</v>
      </c>
      <c r="I8773" s="589" t="s">
        <v>280</v>
      </c>
    </row>
    <row r="8774" spans="1:9">
      <c r="A8774" s="577"/>
      <c r="B8774" s="65">
        <v>8972</v>
      </c>
      <c r="C8774" s="579" t="s">
        <v>281</v>
      </c>
      <c r="D8774" s="579"/>
      <c r="E8774" s="583"/>
      <c r="F8774" s="596"/>
      <c r="G8774" s="65">
        <v>0</v>
      </c>
      <c r="H8774" s="591" t="s">
        <v>280</v>
      </c>
      <c r="I8774" s="589" t="s">
        <v>280</v>
      </c>
    </row>
    <row r="8775" spans="1:9">
      <c r="A8775" s="577"/>
      <c r="B8775" s="65">
        <v>8973</v>
      </c>
      <c r="C8775" s="579" t="s">
        <v>281</v>
      </c>
      <c r="D8775" s="579"/>
      <c r="E8775" s="583"/>
      <c r="F8775" s="596"/>
      <c r="G8775" s="65">
        <v>0</v>
      </c>
      <c r="H8775" s="591" t="s">
        <v>280</v>
      </c>
      <c r="I8775" s="589" t="s">
        <v>280</v>
      </c>
    </row>
    <row r="8776" spans="1:9">
      <c r="A8776" s="577"/>
      <c r="B8776" s="65">
        <v>8974</v>
      </c>
      <c r="C8776" s="579" t="s">
        <v>281</v>
      </c>
      <c r="D8776" s="579"/>
      <c r="E8776" s="583"/>
      <c r="F8776" s="596"/>
      <c r="G8776" s="65">
        <v>0</v>
      </c>
      <c r="H8776" s="591" t="s">
        <v>280</v>
      </c>
      <c r="I8776" s="589" t="s">
        <v>280</v>
      </c>
    </row>
    <row r="8777" spans="1:9">
      <c r="A8777" s="577"/>
      <c r="B8777" s="65">
        <v>8975</v>
      </c>
      <c r="C8777" s="579" t="s">
        <v>281</v>
      </c>
      <c r="D8777" s="579"/>
      <c r="E8777" s="583"/>
      <c r="F8777" s="596"/>
      <c r="G8777" s="65">
        <v>0</v>
      </c>
      <c r="H8777" s="591" t="s">
        <v>280</v>
      </c>
      <c r="I8777" s="589" t="s">
        <v>280</v>
      </c>
    </row>
    <row r="8778" spans="1:9">
      <c r="A8778" s="577"/>
      <c r="B8778" s="65">
        <v>8976</v>
      </c>
      <c r="C8778" s="579" t="s">
        <v>281</v>
      </c>
      <c r="D8778" s="579"/>
      <c r="E8778" s="583"/>
      <c r="F8778" s="596"/>
      <c r="G8778" s="65">
        <v>0</v>
      </c>
      <c r="H8778" s="591" t="s">
        <v>280</v>
      </c>
      <c r="I8778" s="589" t="s">
        <v>280</v>
      </c>
    </row>
    <row r="8779" spans="1:9">
      <c r="A8779" s="577"/>
      <c r="B8779" s="65">
        <v>8977</v>
      </c>
      <c r="C8779" s="579" t="s">
        <v>281</v>
      </c>
      <c r="D8779" s="579"/>
      <c r="E8779" s="583"/>
      <c r="F8779" s="596"/>
      <c r="G8779" s="65">
        <v>0</v>
      </c>
      <c r="H8779" s="591" t="s">
        <v>280</v>
      </c>
      <c r="I8779" s="589" t="s">
        <v>280</v>
      </c>
    </row>
    <row r="8780" spans="1:9">
      <c r="A8780" s="577"/>
      <c r="B8780" s="65">
        <v>8978</v>
      </c>
      <c r="C8780" s="579" t="s">
        <v>281</v>
      </c>
      <c r="D8780" s="579"/>
      <c r="E8780" s="583"/>
      <c r="F8780" s="596"/>
      <c r="G8780" s="65">
        <v>0</v>
      </c>
      <c r="H8780" s="591" t="s">
        <v>280</v>
      </c>
      <c r="I8780" s="589" t="s">
        <v>280</v>
      </c>
    </row>
    <row r="8781" spans="1:9">
      <c r="A8781" s="577"/>
      <c r="B8781" s="65">
        <v>8979</v>
      </c>
      <c r="C8781" s="579" t="s">
        <v>281</v>
      </c>
      <c r="D8781" s="579"/>
      <c r="E8781" s="583"/>
      <c r="F8781" s="596"/>
      <c r="G8781" s="65">
        <v>0</v>
      </c>
      <c r="H8781" s="591" t="s">
        <v>280</v>
      </c>
      <c r="I8781" s="589" t="s">
        <v>280</v>
      </c>
    </row>
    <row r="8782" spans="1:9">
      <c r="A8782" s="577"/>
      <c r="B8782" s="65">
        <v>8980</v>
      </c>
      <c r="C8782" s="579" t="s">
        <v>281</v>
      </c>
      <c r="D8782" s="579"/>
      <c r="E8782" s="583"/>
      <c r="F8782" s="596"/>
      <c r="G8782" s="65">
        <v>0</v>
      </c>
      <c r="H8782" s="591" t="s">
        <v>280</v>
      </c>
      <c r="I8782" s="589" t="s">
        <v>280</v>
      </c>
    </row>
    <row r="8783" spans="1:9">
      <c r="A8783" s="577"/>
      <c r="B8783" s="65">
        <v>8981</v>
      </c>
      <c r="C8783" s="579" t="s">
        <v>281</v>
      </c>
      <c r="D8783" s="579"/>
      <c r="E8783" s="583"/>
      <c r="F8783" s="596"/>
      <c r="G8783" s="65">
        <v>0</v>
      </c>
      <c r="H8783" s="591" t="s">
        <v>280</v>
      </c>
      <c r="I8783" s="589" t="s">
        <v>280</v>
      </c>
    </row>
    <row r="8784" spans="1:9">
      <c r="A8784" s="577"/>
      <c r="B8784" s="65">
        <v>8982</v>
      </c>
      <c r="C8784" s="579" t="s">
        <v>281</v>
      </c>
      <c r="D8784" s="579"/>
      <c r="E8784" s="583"/>
      <c r="F8784" s="596"/>
      <c r="G8784" s="65">
        <v>0</v>
      </c>
      <c r="H8784" s="591" t="s">
        <v>280</v>
      </c>
      <c r="I8784" s="589" t="s">
        <v>280</v>
      </c>
    </row>
    <row r="8785" spans="1:9">
      <c r="A8785" s="577"/>
      <c r="B8785" s="65">
        <v>8983</v>
      </c>
      <c r="C8785" s="579" t="s">
        <v>281</v>
      </c>
      <c r="D8785" s="579"/>
      <c r="E8785" s="583"/>
      <c r="F8785" s="596"/>
      <c r="G8785" s="65">
        <v>0</v>
      </c>
      <c r="H8785" s="591" t="s">
        <v>280</v>
      </c>
      <c r="I8785" s="589" t="s">
        <v>280</v>
      </c>
    </row>
    <row r="8786" spans="1:9">
      <c r="A8786" s="577"/>
      <c r="B8786" s="65">
        <v>8984</v>
      </c>
      <c r="C8786" s="579" t="s">
        <v>281</v>
      </c>
      <c r="D8786" s="579"/>
      <c r="E8786" s="583"/>
      <c r="F8786" s="596"/>
      <c r="G8786" s="65">
        <v>0</v>
      </c>
      <c r="H8786" s="591" t="s">
        <v>280</v>
      </c>
      <c r="I8786" s="589" t="s">
        <v>280</v>
      </c>
    </row>
    <row r="8787" spans="1:9">
      <c r="A8787" s="577"/>
      <c r="B8787" s="65">
        <v>8985</v>
      </c>
      <c r="C8787" s="579" t="s">
        <v>281</v>
      </c>
      <c r="D8787" s="579"/>
      <c r="E8787" s="583"/>
      <c r="F8787" s="596"/>
      <c r="G8787" s="65">
        <v>0</v>
      </c>
      <c r="H8787" s="591" t="s">
        <v>280</v>
      </c>
      <c r="I8787" s="589" t="s">
        <v>280</v>
      </c>
    </row>
    <row r="8788" spans="1:9">
      <c r="A8788" s="577"/>
      <c r="B8788" s="65">
        <v>8986</v>
      </c>
      <c r="C8788" s="579" t="s">
        <v>281</v>
      </c>
      <c r="D8788" s="579"/>
      <c r="E8788" s="583"/>
      <c r="F8788" s="596"/>
      <c r="G8788" s="65">
        <v>0</v>
      </c>
      <c r="H8788" s="591" t="s">
        <v>280</v>
      </c>
      <c r="I8788" s="589" t="s">
        <v>280</v>
      </c>
    </row>
    <row r="8789" spans="1:9">
      <c r="A8789" s="577"/>
      <c r="B8789" s="65">
        <v>8987</v>
      </c>
      <c r="C8789" s="579" t="s">
        <v>281</v>
      </c>
      <c r="D8789" s="579"/>
      <c r="E8789" s="583"/>
      <c r="F8789" s="596"/>
      <c r="G8789" s="65">
        <v>0</v>
      </c>
      <c r="H8789" s="591" t="s">
        <v>280</v>
      </c>
      <c r="I8789" s="589" t="s">
        <v>280</v>
      </c>
    </row>
    <row r="8790" spans="1:9">
      <c r="A8790" s="577"/>
      <c r="B8790" s="65">
        <v>8988</v>
      </c>
      <c r="C8790" s="579" t="s">
        <v>281</v>
      </c>
      <c r="D8790" s="579"/>
      <c r="E8790" s="583"/>
      <c r="F8790" s="596"/>
      <c r="G8790" s="65">
        <v>0</v>
      </c>
      <c r="H8790" s="591" t="s">
        <v>280</v>
      </c>
      <c r="I8790" s="589" t="s">
        <v>280</v>
      </c>
    </row>
    <row r="8791" spans="1:9">
      <c r="A8791" s="577"/>
      <c r="B8791" s="65">
        <v>8989</v>
      </c>
      <c r="C8791" s="579" t="s">
        <v>281</v>
      </c>
      <c r="D8791" s="579"/>
      <c r="E8791" s="583"/>
      <c r="F8791" s="596"/>
      <c r="G8791" s="65">
        <v>0</v>
      </c>
      <c r="H8791" s="591" t="s">
        <v>280</v>
      </c>
      <c r="I8791" s="589" t="s">
        <v>280</v>
      </c>
    </row>
    <row r="8792" spans="1:9">
      <c r="A8792" s="577"/>
      <c r="B8792" s="65">
        <v>8990</v>
      </c>
      <c r="C8792" s="579" t="s">
        <v>281</v>
      </c>
      <c r="D8792" s="579"/>
      <c r="E8792" s="583"/>
      <c r="F8792" s="596"/>
      <c r="G8792" s="65">
        <v>0</v>
      </c>
      <c r="H8792" s="591" t="s">
        <v>280</v>
      </c>
      <c r="I8792" s="589" t="s">
        <v>280</v>
      </c>
    </row>
    <row r="8793" spans="1:9">
      <c r="A8793" s="577"/>
      <c r="B8793" s="65">
        <v>8991</v>
      </c>
      <c r="C8793" s="579" t="s">
        <v>281</v>
      </c>
      <c r="D8793" s="579"/>
      <c r="E8793" s="583"/>
      <c r="F8793" s="596"/>
      <c r="G8793" s="65">
        <v>0</v>
      </c>
      <c r="H8793" s="591" t="s">
        <v>280</v>
      </c>
      <c r="I8793" s="589" t="s">
        <v>280</v>
      </c>
    </row>
    <row r="8794" spans="1:9">
      <c r="A8794" s="577"/>
      <c r="B8794" s="65">
        <v>8992</v>
      </c>
      <c r="C8794" s="579" t="s">
        <v>281</v>
      </c>
      <c r="D8794" s="579"/>
      <c r="E8794" s="583"/>
      <c r="F8794" s="596"/>
      <c r="G8794" s="65">
        <v>0</v>
      </c>
      <c r="H8794" s="591" t="s">
        <v>280</v>
      </c>
      <c r="I8794" s="589" t="s">
        <v>280</v>
      </c>
    </row>
    <row r="8795" spans="1:9">
      <c r="A8795" s="577"/>
      <c r="B8795" s="65">
        <v>8993</v>
      </c>
      <c r="C8795" s="579" t="s">
        <v>281</v>
      </c>
      <c r="D8795" s="579"/>
      <c r="E8795" s="583"/>
      <c r="F8795" s="596"/>
      <c r="G8795" s="65">
        <v>0</v>
      </c>
      <c r="H8795" s="591" t="s">
        <v>280</v>
      </c>
      <c r="I8795" s="589" t="s">
        <v>280</v>
      </c>
    </row>
    <row r="8796" spans="1:9">
      <c r="A8796" s="577"/>
      <c r="B8796" s="65">
        <v>8994</v>
      </c>
      <c r="C8796" s="579" t="s">
        <v>281</v>
      </c>
      <c r="D8796" s="579"/>
      <c r="E8796" s="583"/>
      <c r="F8796" s="596"/>
      <c r="G8796" s="65">
        <v>0</v>
      </c>
      <c r="H8796" s="591" t="s">
        <v>280</v>
      </c>
      <c r="I8796" s="589" t="s">
        <v>280</v>
      </c>
    </row>
    <row r="8797" spans="1:9">
      <c r="A8797" s="577"/>
      <c r="B8797" s="65">
        <v>8995</v>
      </c>
      <c r="C8797" s="579" t="s">
        <v>281</v>
      </c>
      <c r="D8797" s="579"/>
      <c r="E8797" s="583"/>
      <c r="F8797" s="596"/>
      <c r="G8797" s="65">
        <v>0</v>
      </c>
      <c r="H8797" s="591" t="s">
        <v>280</v>
      </c>
      <c r="I8797" s="589" t="s">
        <v>280</v>
      </c>
    </row>
    <row r="8798" spans="1:9">
      <c r="A8798" s="577"/>
      <c r="B8798" s="65">
        <v>8996</v>
      </c>
      <c r="C8798" s="579" t="s">
        <v>281</v>
      </c>
      <c r="D8798" s="579"/>
      <c r="E8798" s="583"/>
      <c r="F8798" s="596"/>
      <c r="G8798" s="65">
        <v>0</v>
      </c>
      <c r="H8798" s="591" t="s">
        <v>280</v>
      </c>
      <c r="I8798" s="589" t="s">
        <v>280</v>
      </c>
    </row>
    <row r="8799" spans="1:9">
      <c r="A8799" s="577"/>
      <c r="B8799" s="65">
        <v>8997</v>
      </c>
      <c r="C8799" s="579" t="s">
        <v>281</v>
      </c>
      <c r="D8799" s="579"/>
      <c r="E8799" s="583"/>
      <c r="F8799" s="596"/>
      <c r="G8799" s="65">
        <v>0</v>
      </c>
      <c r="H8799" s="591" t="s">
        <v>280</v>
      </c>
      <c r="I8799" s="589" t="s">
        <v>280</v>
      </c>
    </row>
    <row r="8800" spans="1:9">
      <c r="A8800" s="577"/>
      <c r="B8800" s="65">
        <v>8998</v>
      </c>
      <c r="C8800" s="579" t="s">
        <v>281</v>
      </c>
      <c r="D8800" s="579"/>
      <c r="E8800" s="583"/>
      <c r="F8800" s="596"/>
      <c r="G8800" s="65">
        <v>0</v>
      </c>
      <c r="H8800" s="591" t="s">
        <v>280</v>
      </c>
      <c r="I8800" s="589" t="s">
        <v>280</v>
      </c>
    </row>
    <row r="8801" spans="1:9">
      <c r="A8801" s="577"/>
      <c r="B8801" s="65">
        <v>8999</v>
      </c>
      <c r="C8801" s="579" t="s">
        <v>281</v>
      </c>
      <c r="D8801" s="579"/>
      <c r="E8801" s="583"/>
      <c r="F8801" s="596"/>
      <c r="G8801" s="65">
        <v>0</v>
      </c>
      <c r="H8801" s="591" t="s">
        <v>280</v>
      </c>
      <c r="I8801" s="589" t="s">
        <v>280</v>
      </c>
    </row>
    <row r="8802" spans="1:9">
      <c r="A8802" s="577"/>
      <c r="B8802" s="65">
        <v>9000</v>
      </c>
      <c r="C8802" s="579" t="s">
        <v>281</v>
      </c>
      <c r="D8802" s="579"/>
      <c r="E8802" s="583"/>
      <c r="F8802" s="596"/>
      <c r="G8802" s="65">
        <v>0</v>
      </c>
      <c r="H8802" s="591" t="s">
        <v>280</v>
      </c>
      <c r="I8802" s="589" t="s">
        <v>280</v>
      </c>
    </row>
    <row r="8803" spans="1:9">
      <c r="A8803" s="577"/>
      <c r="B8803" s="65">
        <v>9001</v>
      </c>
      <c r="C8803" s="579" t="s">
        <v>281</v>
      </c>
      <c r="D8803" s="579"/>
      <c r="E8803" s="583"/>
      <c r="F8803" s="596"/>
      <c r="G8803" s="65">
        <v>0</v>
      </c>
      <c r="H8803" s="591" t="s">
        <v>280</v>
      </c>
      <c r="I8803" s="589" t="s">
        <v>280</v>
      </c>
    </row>
    <row r="8804" spans="1:9">
      <c r="A8804" s="577"/>
      <c r="B8804" s="65">
        <v>9002</v>
      </c>
      <c r="C8804" s="579" t="s">
        <v>281</v>
      </c>
      <c r="D8804" s="579"/>
      <c r="E8804" s="583"/>
      <c r="F8804" s="596"/>
      <c r="G8804" s="65">
        <v>0</v>
      </c>
      <c r="H8804" s="591" t="s">
        <v>280</v>
      </c>
      <c r="I8804" s="589" t="s">
        <v>280</v>
      </c>
    </row>
    <row r="8805" spans="1:9">
      <c r="A8805" s="577"/>
      <c r="B8805" s="65">
        <v>9003</v>
      </c>
      <c r="C8805" s="579" t="s">
        <v>281</v>
      </c>
      <c r="D8805" s="579"/>
      <c r="E8805" s="583"/>
      <c r="F8805" s="596"/>
      <c r="G8805" s="65">
        <v>0</v>
      </c>
      <c r="H8805" s="591" t="s">
        <v>280</v>
      </c>
      <c r="I8805" s="589" t="s">
        <v>280</v>
      </c>
    </row>
    <row r="8806" spans="1:9">
      <c r="A8806" s="577"/>
      <c r="B8806" s="65">
        <v>9004</v>
      </c>
      <c r="C8806" s="579" t="s">
        <v>281</v>
      </c>
      <c r="D8806" s="579"/>
      <c r="E8806" s="583"/>
      <c r="F8806" s="596"/>
      <c r="G8806" s="65">
        <v>0</v>
      </c>
      <c r="H8806" s="591" t="s">
        <v>280</v>
      </c>
      <c r="I8806" s="589" t="s">
        <v>280</v>
      </c>
    </row>
    <row r="8807" spans="1:9">
      <c r="A8807" s="577"/>
      <c r="B8807" s="65">
        <v>9005</v>
      </c>
      <c r="C8807" s="579" t="s">
        <v>281</v>
      </c>
      <c r="D8807" s="579"/>
      <c r="E8807" s="583"/>
      <c r="F8807" s="596"/>
      <c r="G8807" s="65">
        <v>0</v>
      </c>
      <c r="H8807" s="591" t="s">
        <v>280</v>
      </c>
      <c r="I8807" s="589" t="s">
        <v>280</v>
      </c>
    </row>
    <row r="8808" spans="1:9">
      <c r="A8808" s="577"/>
      <c r="B8808" s="65">
        <v>9006</v>
      </c>
      <c r="C8808" s="579" t="s">
        <v>281</v>
      </c>
      <c r="D8808" s="579"/>
      <c r="E8808" s="583"/>
      <c r="F8808" s="596"/>
      <c r="G8808" s="65">
        <v>0</v>
      </c>
      <c r="H8808" s="591" t="s">
        <v>280</v>
      </c>
      <c r="I8808" s="589" t="s">
        <v>280</v>
      </c>
    </row>
    <row r="8809" spans="1:9">
      <c r="A8809" s="577"/>
      <c r="B8809" s="65">
        <v>9007</v>
      </c>
      <c r="C8809" s="579" t="s">
        <v>281</v>
      </c>
      <c r="D8809" s="579"/>
      <c r="E8809" s="583"/>
      <c r="F8809" s="596"/>
      <c r="G8809" s="65">
        <v>0</v>
      </c>
      <c r="H8809" s="591" t="s">
        <v>280</v>
      </c>
      <c r="I8809" s="589" t="s">
        <v>280</v>
      </c>
    </row>
    <row r="8810" spans="1:9">
      <c r="A8810" s="577"/>
      <c r="B8810" s="65">
        <v>9008</v>
      </c>
      <c r="C8810" s="579" t="s">
        <v>281</v>
      </c>
      <c r="D8810" s="579"/>
      <c r="E8810" s="583"/>
      <c r="F8810" s="596"/>
      <c r="G8810" s="65">
        <v>0</v>
      </c>
      <c r="H8810" s="591" t="s">
        <v>280</v>
      </c>
      <c r="I8810" s="589" t="s">
        <v>280</v>
      </c>
    </row>
    <row r="8811" spans="1:9">
      <c r="A8811" s="577"/>
      <c r="B8811" s="65">
        <v>9009</v>
      </c>
      <c r="C8811" s="579" t="s">
        <v>281</v>
      </c>
      <c r="D8811" s="579"/>
      <c r="E8811" s="583"/>
      <c r="F8811" s="596"/>
      <c r="G8811" s="65">
        <v>0</v>
      </c>
      <c r="H8811" s="591" t="s">
        <v>280</v>
      </c>
      <c r="I8811" s="589" t="s">
        <v>280</v>
      </c>
    </row>
    <row r="8812" spans="1:9">
      <c r="A8812" s="577"/>
      <c r="B8812" s="65">
        <v>9010</v>
      </c>
      <c r="C8812" s="579" t="s">
        <v>281</v>
      </c>
      <c r="D8812" s="579"/>
      <c r="E8812" s="583"/>
      <c r="F8812" s="596"/>
      <c r="G8812" s="65">
        <v>0</v>
      </c>
      <c r="H8812" s="591" t="s">
        <v>280</v>
      </c>
      <c r="I8812" s="589" t="s">
        <v>280</v>
      </c>
    </row>
    <row r="8813" spans="1:9">
      <c r="A8813" s="577"/>
      <c r="B8813" s="65">
        <v>9011</v>
      </c>
      <c r="C8813" s="579" t="s">
        <v>281</v>
      </c>
      <c r="D8813" s="579"/>
      <c r="E8813" s="583"/>
      <c r="F8813" s="596"/>
      <c r="G8813" s="65">
        <v>0</v>
      </c>
      <c r="H8813" s="591" t="s">
        <v>280</v>
      </c>
      <c r="I8813" s="589" t="s">
        <v>280</v>
      </c>
    </row>
    <row r="8814" spans="1:9">
      <c r="A8814" s="577"/>
      <c r="B8814" s="65">
        <v>9012</v>
      </c>
      <c r="C8814" s="579" t="s">
        <v>281</v>
      </c>
      <c r="D8814" s="579"/>
      <c r="E8814" s="583"/>
      <c r="F8814" s="596"/>
      <c r="G8814" s="65">
        <v>0</v>
      </c>
      <c r="H8814" s="591" t="s">
        <v>280</v>
      </c>
      <c r="I8814" s="589" t="s">
        <v>280</v>
      </c>
    </row>
    <row r="8815" spans="1:9">
      <c r="A8815" s="577"/>
      <c r="B8815" s="65">
        <v>9013</v>
      </c>
      <c r="C8815" s="579" t="s">
        <v>281</v>
      </c>
      <c r="D8815" s="579"/>
      <c r="E8815" s="583"/>
      <c r="F8815" s="596"/>
      <c r="G8815" s="65">
        <v>0</v>
      </c>
      <c r="H8815" s="591" t="s">
        <v>280</v>
      </c>
      <c r="I8815" s="589" t="s">
        <v>280</v>
      </c>
    </row>
    <row r="8816" spans="1:9">
      <c r="A8816" s="577"/>
      <c r="B8816" s="65">
        <v>9014</v>
      </c>
      <c r="C8816" s="579" t="s">
        <v>281</v>
      </c>
      <c r="D8816" s="579"/>
      <c r="E8816" s="583"/>
      <c r="F8816" s="596"/>
      <c r="G8816" s="65">
        <v>0</v>
      </c>
      <c r="H8816" s="591" t="s">
        <v>280</v>
      </c>
      <c r="I8816" s="589" t="s">
        <v>280</v>
      </c>
    </row>
    <row r="8817" spans="1:9">
      <c r="A8817" s="577"/>
      <c r="B8817" s="65">
        <v>9015</v>
      </c>
      <c r="C8817" s="579" t="s">
        <v>281</v>
      </c>
      <c r="D8817" s="579"/>
      <c r="E8817" s="583"/>
      <c r="F8817" s="596"/>
      <c r="G8817" s="65">
        <v>0</v>
      </c>
      <c r="H8817" s="591" t="s">
        <v>280</v>
      </c>
      <c r="I8817" s="589" t="s">
        <v>280</v>
      </c>
    </row>
    <row r="8818" spans="1:9">
      <c r="A8818" s="577"/>
      <c r="B8818" s="65">
        <v>9016</v>
      </c>
      <c r="C8818" s="579" t="s">
        <v>281</v>
      </c>
      <c r="D8818" s="579"/>
      <c r="E8818" s="583"/>
      <c r="F8818" s="596"/>
      <c r="G8818" s="65">
        <v>0</v>
      </c>
      <c r="H8818" s="591" t="s">
        <v>280</v>
      </c>
      <c r="I8818" s="589" t="s">
        <v>280</v>
      </c>
    </row>
    <row r="8819" spans="1:9">
      <c r="A8819" s="577"/>
      <c r="B8819" s="65">
        <v>9017</v>
      </c>
      <c r="C8819" s="579" t="s">
        <v>281</v>
      </c>
      <c r="D8819" s="579"/>
      <c r="E8819" s="583"/>
      <c r="F8819" s="596"/>
      <c r="G8819" s="65">
        <v>0</v>
      </c>
      <c r="H8819" s="591" t="s">
        <v>280</v>
      </c>
      <c r="I8819" s="589" t="s">
        <v>280</v>
      </c>
    </row>
    <row r="8820" spans="1:9">
      <c r="A8820" s="577"/>
      <c r="B8820" s="65">
        <v>9018</v>
      </c>
      <c r="C8820" s="579" t="s">
        <v>281</v>
      </c>
      <c r="D8820" s="579"/>
      <c r="E8820" s="583"/>
      <c r="F8820" s="596"/>
      <c r="G8820" s="65">
        <v>0</v>
      </c>
      <c r="H8820" s="591" t="s">
        <v>280</v>
      </c>
      <c r="I8820" s="589" t="s">
        <v>280</v>
      </c>
    </row>
    <row r="8821" spans="1:9">
      <c r="A8821" s="577"/>
      <c r="B8821" s="65">
        <v>9019</v>
      </c>
      <c r="C8821" s="579" t="s">
        <v>281</v>
      </c>
      <c r="D8821" s="579"/>
      <c r="E8821" s="583"/>
      <c r="F8821" s="596"/>
      <c r="G8821" s="65">
        <v>0</v>
      </c>
      <c r="H8821" s="591" t="s">
        <v>280</v>
      </c>
      <c r="I8821" s="589" t="s">
        <v>280</v>
      </c>
    </row>
    <row r="8822" spans="1:9">
      <c r="A8822" s="577"/>
      <c r="B8822" s="65">
        <v>9020</v>
      </c>
      <c r="C8822" s="579" t="s">
        <v>281</v>
      </c>
      <c r="D8822" s="579"/>
      <c r="E8822" s="583"/>
      <c r="F8822" s="596"/>
      <c r="G8822" s="65">
        <v>0</v>
      </c>
      <c r="H8822" s="591" t="s">
        <v>280</v>
      </c>
      <c r="I8822" s="589" t="s">
        <v>280</v>
      </c>
    </row>
    <row r="8823" spans="1:9">
      <c r="A8823" s="577"/>
      <c r="B8823" s="65">
        <v>9021</v>
      </c>
      <c r="C8823" s="579" t="s">
        <v>281</v>
      </c>
      <c r="D8823" s="579"/>
      <c r="E8823" s="583"/>
      <c r="F8823" s="596"/>
      <c r="G8823" s="65">
        <v>0</v>
      </c>
      <c r="H8823" s="591" t="s">
        <v>280</v>
      </c>
      <c r="I8823" s="589" t="s">
        <v>280</v>
      </c>
    </row>
    <row r="8824" spans="1:9">
      <c r="A8824" s="577"/>
      <c r="B8824" s="65">
        <v>9022</v>
      </c>
      <c r="C8824" s="579" t="s">
        <v>281</v>
      </c>
      <c r="D8824" s="579"/>
      <c r="E8824" s="583"/>
      <c r="F8824" s="596"/>
      <c r="G8824" s="65">
        <v>0</v>
      </c>
      <c r="H8824" s="591" t="s">
        <v>280</v>
      </c>
      <c r="I8824" s="589" t="s">
        <v>280</v>
      </c>
    </row>
    <row r="8825" spans="1:9">
      <c r="A8825" s="577"/>
      <c r="B8825" s="65">
        <v>9023</v>
      </c>
      <c r="C8825" s="579" t="s">
        <v>281</v>
      </c>
      <c r="D8825" s="579"/>
      <c r="E8825" s="583"/>
      <c r="F8825" s="596"/>
      <c r="G8825" s="65">
        <v>0</v>
      </c>
      <c r="H8825" s="591" t="s">
        <v>280</v>
      </c>
      <c r="I8825" s="589" t="s">
        <v>280</v>
      </c>
    </row>
    <row r="8826" spans="1:9">
      <c r="A8826" s="577"/>
      <c r="B8826" s="65">
        <v>9024</v>
      </c>
      <c r="C8826" s="579" t="s">
        <v>281</v>
      </c>
      <c r="D8826" s="579"/>
      <c r="E8826" s="583"/>
      <c r="F8826" s="596"/>
      <c r="G8826" s="65">
        <v>0</v>
      </c>
      <c r="H8826" s="591" t="s">
        <v>280</v>
      </c>
      <c r="I8826" s="589" t="s">
        <v>280</v>
      </c>
    </row>
    <row r="8827" spans="1:9">
      <c r="A8827" s="577"/>
      <c r="B8827" s="65">
        <v>9025</v>
      </c>
      <c r="C8827" s="579" t="s">
        <v>281</v>
      </c>
      <c r="D8827" s="579"/>
      <c r="E8827" s="583"/>
      <c r="F8827" s="596"/>
      <c r="G8827" s="65">
        <v>0</v>
      </c>
      <c r="H8827" s="591" t="s">
        <v>280</v>
      </c>
      <c r="I8827" s="589" t="s">
        <v>280</v>
      </c>
    </row>
    <row r="8828" spans="1:9">
      <c r="A8828" s="577"/>
      <c r="B8828" s="65">
        <v>9026</v>
      </c>
      <c r="C8828" s="579" t="s">
        <v>281</v>
      </c>
      <c r="D8828" s="579"/>
      <c r="E8828" s="583"/>
      <c r="F8828" s="596"/>
      <c r="G8828" s="65">
        <v>0</v>
      </c>
      <c r="H8828" s="591" t="s">
        <v>280</v>
      </c>
      <c r="I8828" s="589" t="s">
        <v>280</v>
      </c>
    </row>
    <row r="8829" spans="1:9">
      <c r="A8829" s="577"/>
      <c r="B8829" s="65">
        <v>9027</v>
      </c>
      <c r="C8829" s="579" t="s">
        <v>281</v>
      </c>
      <c r="D8829" s="579"/>
      <c r="E8829" s="583"/>
      <c r="F8829" s="596"/>
      <c r="G8829" s="65">
        <v>0</v>
      </c>
      <c r="H8829" s="591" t="s">
        <v>280</v>
      </c>
      <c r="I8829" s="589" t="s">
        <v>280</v>
      </c>
    </row>
    <row r="8830" spans="1:9">
      <c r="A8830" s="577"/>
      <c r="B8830" s="65">
        <v>9028</v>
      </c>
      <c r="C8830" s="579" t="s">
        <v>281</v>
      </c>
      <c r="D8830" s="579"/>
      <c r="E8830" s="583"/>
      <c r="F8830" s="596"/>
      <c r="G8830" s="65">
        <v>0</v>
      </c>
      <c r="H8830" s="591" t="s">
        <v>280</v>
      </c>
      <c r="I8830" s="589" t="s">
        <v>280</v>
      </c>
    </row>
    <row r="8831" spans="1:9">
      <c r="A8831" s="577"/>
      <c r="B8831" s="65">
        <v>9029</v>
      </c>
      <c r="C8831" s="579" t="s">
        <v>281</v>
      </c>
      <c r="D8831" s="579"/>
      <c r="E8831" s="583"/>
      <c r="F8831" s="596"/>
      <c r="G8831" s="65">
        <v>0</v>
      </c>
      <c r="H8831" s="591" t="s">
        <v>280</v>
      </c>
      <c r="I8831" s="589" t="s">
        <v>280</v>
      </c>
    </row>
    <row r="8832" spans="1:9">
      <c r="A8832" s="577"/>
      <c r="B8832" s="65">
        <v>9030</v>
      </c>
      <c r="C8832" s="579" t="s">
        <v>281</v>
      </c>
      <c r="D8832" s="579"/>
      <c r="E8832" s="583"/>
      <c r="F8832" s="596"/>
      <c r="G8832" s="65">
        <v>0</v>
      </c>
      <c r="H8832" s="591" t="s">
        <v>280</v>
      </c>
      <c r="I8832" s="589" t="s">
        <v>280</v>
      </c>
    </row>
    <row r="8833" spans="1:9">
      <c r="A8833" s="577"/>
      <c r="B8833" s="65">
        <v>9031</v>
      </c>
      <c r="C8833" s="579" t="s">
        <v>281</v>
      </c>
      <c r="D8833" s="579"/>
      <c r="E8833" s="583"/>
      <c r="F8833" s="596"/>
      <c r="G8833" s="65">
        <v>0</v>
      </c>
      <c r="H8833" s="591" t="s">
        <v>280</v>
      </c>
      <c r="I8833" s="589" t="s">
        <v>280</v>
      </c>
    </row>
    <row r="8834" spans="1:9">
      <c r="A8834" s="577"/>
      <c r="B8834" s="65">
        <v>9032</v>
      </c>
      <c r="C8834" s="579" t="s">
        <v>281</v>
      </c>
      <c r="D8834" s="579"/>
      <c r="E8834" s="583"/>
      <c r="F8834" s="596"/>
      <c r="G8834" s="65">
        <v>0</v>
      </c>
      <c r="H8834" s="591" t="s">
        <v>280</v>
      </c>
      <c r="I8834" s="589" t="s">
        <v>280</v>
      </c>
    </row>
    <row r="8835" spans="1:9">
      <c r="A8835" s="577"/>
      <c r="B8835" s="65">
        <v>9033</v>
      </c>
      <c r="C8835" s="579" t="s">
        <v>281</v>
      </c>
      <c r="D8835" s="579"/>
      <c r="E8835" s="583"/>
      <c r="F8835" s="596"/>
      <c r="G8835" s="65">
        <v>0</v>
      </c>
      <c r="H8835" s="591" t="s">
        <v>280</v>
      </c>
      <c r="I8835" s="589" t="s">
        <v>280</v>
      </c>
    </row>
    <row r="8836" spans="1:9">
      <c r="A8836" s="577"/>
      <c r="B8836" s="65">
        <v>9034</v>
      </c>
      <c r="C8836" s="579" t="s">
        <v>281</v>
      </c>
      <c r="D8836" s="579"/>
      <c r="E8836" s="583"/>
      <c r="F8836" s="596"/>
      <c r="G8836" s="65">
        <v>0</v>
      </c>
      <c r="H8836" s="591" t="s">
        <v>280</v>
      </c>
      <c r="I8836" s="589" t="s">
        <v>280</v>
      </c>
    </row>
    <row r="8837" spans="1:9">
      <c r="A8837" s="577"/>
      <c r="B8837" s="65">
        <v>9035</v>
      </c>
      <c r="C8837" s="579" t="s">
        <v>281</v>
      </c>
      <c r="D8837" s="579"/>
      <c r="E8837" s="583"/>
      <c r="F8837" s="596"/>
      <c r="G8837" s="65">
        <v>0</v>
      </c>
      <c r="H8837" s="591" t="s">
        <v>280</v>
      </c>
      <c r="I8837" s="589" t="s">
        <v>280</v>
      </c>
    </row>
    <row r="8838" spans="1:9">
      <c r="A8838" s="577"/>
      <c r="B8838" s="65">
        <v>9036</v>
      </c>
      <c r="C8838" s="579" t="s">
        <v>281</v>
      </c>
      <c r="D8838" s="579"/>
      <c r="E8838" s="583"/>
      <c r="F8838" s="596"/>
      <c r="G8838" s="65">
        <v>0</v>
      </c>
      <c r="H8838" s="591" t="s">
        <v>280</v>
      </c>
      <c r="I8838" s="589" t="s">
        <v>280</v>
      </c>
    </row>
    <row r="8839" spans="1:9">
      <c r="A8839" s="577"/>
      <c r="B8839" s="65">
        <v>9037</v>
      </c>
      <c r="C8839" s="579" t="s">
        <v>281</v>
      </c>
      <c r="D8839" s="579"/>
      <c r="E8839" s="583"/>
      <c r="F8839" s="596"/>
      <c r="G8839" s="65">
        <v>0</v>
      </c>
      <c r="H8839" s="591" t="s">
        <v>280</v>
      </c>
      <c r="I8839" s="589" t="s">
        <v>280</v>
      </c>
    </row>
    <row r="8840" spans="1:9">
      <c r="A8840" s="577"/>
      <c r="B8840" s="65">
        <v>9038</v>
      </c>
      <c r="C8840" s="579" t="s">
        <v>281</v>
      </c>
      <c r="D8840" s="579"/>
      <c r="E8840" s="583"/>
      <c r="F8840" s="596"/>
      <c r="G8840" s="65">
        <v>0</v>
      </c>
      <c r="H8840" s="591" t="s">
        <v>280</v>
      </c>
      <c r="I8840" s="589" t="s">
        <v>280</v>
      </c>
    </row>
    <row r="8841" spans="1:9">
      <c r="A8841" s="577"/>
      <c r="B8841" s="65">
        <v>9039</v>
      </c>
      <c r="C8841" s="579" t="s">
        <v>281</v>
      </c>
      <c r="D8841" s="579"/>
      <c r="E8841" s="583"/>
      <c r="F8841" s="596"/>
      <c r="G8841" s="65">
        <v>0</v>
      </c>
      <c r="H8841" s="591" t="s">
        <v>280</v>
      </c>
      <c r="I8841" s="589" t="s">
        <v>280</v>
      </c>
    </row>
    <row r="8842" spans="1:9">
      <c r="A8842" s="577"/>
      <c r="B8842" s="65">
        <v>9040</v>
      </c>
      <c r="C8842" s="579" t="s">
        <v>281</v>
      </c>
      <c r="D8842" s="579"/>
      <c r="E8842" s="583"/>
      <c r="F8842" s="596"/>
      <c r="G8842" s="65">
        <v>0</v>
      </c>
      <c r="H8842" s="591" t="s">
        <v>280</v>
      </c>
      <c r="I8842" s="589" t="s">
        <v>280</v>
      </c>
    </row>
    <row r="8843" spans="1:9">
      <c r="A8843" s="577"/>
      <c r="B8843" s="65">
        <v>9041</v>
      </c>
      <c r="C8843" s="579" t="s">
        <v>281</v>
      </c>
      <c r="D8843" s="579"/>
      <c r="E8843" s="583"/>
      <c r="F8843" s="596"/>
      <c r="G8843" s="65">
        <v>0</v>
      </c>
      <c r="H8843" s="591" t="s">
        <v>280</v>
      </c>
      <c r="I8843" s="589" t="s">
        <v>280</v>
      </c>
    </row>
    <row r="8844" spans="1:9">
      <c r="A8844" s="577"/>
      <c r="B8844" s="65">
        <v>9042</v>
      </c>
      <c r="C8844" s="579" t="s">
        <v>281</v>
      </c>
      <c r="D8844" s="579"/>
      <c r="E8844" s="583"/>
      <c r="F8844" s="596"/>
      <c r="G8844" s="65">
        <v>0</v>
      </c>
      <c r="H8844" s="591" t="s">
        <v>280</v>
      </c>
      <c r="I8844" s="589" t="s">
        <v>280</v>
      </c>
    </row>
    <row r="8845" spans="1:9">
      <c r="A8845" s="577"/>
      <c r="B8845" s="65">
        <v>9043</v>
      </c>
      <c r="C8845" s="579" t="s">
        <v>281</v>
      </c>
      <c r="D8845" s="579"/>
      <c r="E8845" s="583"/>
      <c r="F8845" s="596"/>
      <c r="G8845" s="65">
        <v>0</v>
      </c>
      <c r="H8845" s="591" t="s">
        <v>280</v>
      </c>
      <c r="I8845" s="589" t="s">
        <v>280</v>
      </c>
    </row>
    <row r="8846" spans="1:9">
      <c r="A8846" s="577"/>
      <c r="B8846" s="65">
        <v>9044</v>
      </c>
      <c r="C8846" s="579" t="s">
        <v>281</v>
      </c>
      <c r="D8846" s="579"/>
      <c r="E8846" s="583"/>
      <c r="F8846" s="596"/>
      <c r="G8846" s="65">
        <v>0</v>
      </c>
      <c r="H8846" s="591" t="s">
        <v>280</v>
      </c>
      <c r="I8846" s="589" t="s">
        <v>280</v>
      </c>
    </row>
    <row r="8847" spans="1:9">
      <c r="A8847" s="577"/>
      <c r="B8847" s="65">
        <v>9045</v>
      </c>
      <c r="C8847" s="579" t="s">
        <v>281</v>
      </c>
      <c r="D8847" s="579"/>
      <c r="E8847" s="583"/>
      <c r="F8847" s="596"/>
      <c r="G8847" s="65">
        <v>0</v>
      </c>
      <c r="H8847" s="591" t="s">
        <v>280</v>
      </c>
      <c r="I8847" s="589" t="s">
        <v>280</v>
      </c>
    </row>
    <row r="8848" spans="1:9">
      <c r="A8848" s="577"/>
      <c r="B8848" s="65">
        <v>9046</v>
      </c>
      <c r="C8848" s="579" t="s">
        <v>281</v>
      </c>
      <c r="D8848" s="579"/>
      <c r="E8848" s="583"/>
      <c r="F8848" s="596"/>
      <c r="G8848" s="65">
        <v>0</v>
      </c>
      <c r="H8848" s="591" t="s">
        <v>280</v>
      </c>
      <c r="I8848" s="589" t="s">
        <v>280</v>
      </c>
    </row>
    <row r="8849" spans="1:9">
      <c r="A8849" s="577"/>
      <c r="B8849" s="65">
        <v>9047</v>
      </c>
      <c r="C8849" s="579" t="s">
        <v>281</v>
      </c>
      <c r="D8849" s="579"/>
      <c r="E8849" s="583"/>
      <c r="F8849" s="596"/>
      <c r="G8849" s="65">
        <v>0</v>
      </c>
      <c r="H8849" s="591" t="s">
        <v>280</v>
      </c>
      <c r="I8849" s="589" t="s">
        <v>280</v>
      </c>
    </row>
    <row r="8850" spans="1:9">
      <c r="A8850" s="577"/>
      <c r="B8850" s="65">
        <v>9048</v>
      </c>
      <c r="C8850" s="579" t="s">
        <v>281</v>
      </c>
      <c r="D8850" s="579"/>
      <c r="E8850" s="583"/>
      <c r="F8850" s="596"/>
      <c r="G8850" s="65">
        <v>0</v>
      </c>
      <c r="H8850" s="591" t="s">
        <v>280</v>
      </c>
      <c r="I8850" s="589" t="s">
        <v>280</v>
      </c>
    </row>
    <row r="8851" spans="1:9">
      <c r="A8851" s="577"/>
      <c r="B8851" s="65">
        <v>9049</v>
      </c>
      <c r="C8851" s="579" t="s">
        <v>281</v>
      </c>
      <c r="D8851" s="579"/>
      <c r="E8851" s="583"/>
      <c r="F8851" s="596"/>
      <c r="G8851" s="65">
        <v>0</v>
      </c>
      <c r="H8851" s="591" t="s">
        <v>280</v>
      </c>
      <c r="I8851" s="589" t="s">
        <v>280</v>
      </c>
    </row>
    <row r="8852" spans="1:9">
      <c r="A8852" s="577"/>
      <c r="B8852" s="65">
        <v>9050</v>
      </c>
      <c r="C8852" s="579" t="s">
        <v>281</v>
      </c>
      <c r="D8852" s="579"/>
      <c r="E8852" s="583"/>
      <c r="F8852" s="596"/>
      <c r="G8852" s="65">
        <v>0</v>
      </c>
      <c r="H8852" s="591" t="s">
        <v>280</v>
      </c>
      <c r="I8852" s="589" t="s">
        <v>280</v>
      </c>
    </row>
    <row r="8853" spans="1:9">
      <c r="A8853" s="577"/>
      <c r="B8853" s="65">
        <v>9051</v>
      </c>
      <c r="C8853" s="579" t="s">
        <v>281</v>
      </c>
      <c r="D8853" s="579"/>
      <c r="E8853" s="583"/>
      <c r="F8853" s="596"/>
      <c r="G8853" s="65">
        <v>0</v>
      </c>
      <c r="H8853" s="591" t="s">
        <v>280</v>
      </c>
      <c r="I8853" s="589" t="s">
        <v>280</v>
      </c>
    </row>
    <row r="8854" spans="1:9">
      <c r="A8854" s="577"/>
      <c r="B8854" s="65">
        <v>9052</v>
      </c>
      <c r="C8854" s="579" t="s">
        <v>281</v>
      </c>
      <c r="D8854" s="579"/>
      <c r="E8854" s="583"/>
      <c r="F8854" s="596"/>
      <c r="G8854" s="65">
        <v>0</v>
      </c>
      <c r="H8854" s="591" t="s">
        <v>280</v>
      </c>
      <c r="I8854" s="589" t="s">
        <v>280</v>
      </c>
    </row>
    <row r="8855" spans="1:9">
      <c r="A8855" s="577"/>
      <c r="B8855" s="65">
        <v>9053</v>
      </c>
      <c r="C8855" s="579" t="s">
        <v>281</v>
      </c>
      <c r="D8855" s="579"/>
      <c r="E8855" s="583"/>
      <c r="F8855" s="596"/>
      <c r="G8855" s="65">
        <v>0</v>
      </c>
      <c r="H8855" s="591" t="s">
        <v>280</v>
      </c>
      <c r="I8855" s="589" t="s">
        <v>280</v>
      </c>
    </row>
    <row r="8856" spans="1:9">
      <c r="A8856" s="577"/>
      <c r="B8856" s="65">
        <v>9054</v>
      </c>
      <c r="C8856" s="579" t="s">
        <v>281</v>
      </c>
      <c r="D8856" s="579"/>
      <c r="E8856" s="583"/>
      <c r="F8856" s="596"/>
      <c r="G8856" s="65">
        <v>0</v>
      </c>
      <c r="H8856" s="591" t="s">
        <v>280</v>
      </c>
      <c r="I8856" s="589" t="s">
        <v>280</v>
      </c>
    </row>
    <row r="8857" spans="1:9">
      <c r="A8857" s="577"/>
      <c r="B8857" s="65">
        <v>9055</v>
      </c>
      <c r="C8857" s="579" t="s">
        <v>281</v>
      </c>
      <c r="D8857" s="579"/>
      <c r="E8857" s="583"/>
      <c r="F8857" s="596"/>
      <c r="G8857" s="65">
        <v>0</v>
      </c>
      <c r="H8857" s="591" t="s">
        <v>280</v>
      </c>
      <c r="I8857" s="589" t="s">
        <v>280</v>
      </c>
    </row>
    <row r="8858" spans="1:9">
      <c r="A8858" s="577"/>
      <c r="B8858" s="65">
        <v>9056</v>
      </c>
      <c r="C8858" s="579" t="s">
        <v>281</v>
      </c>
      <c r="D8858" s="579"/>
      <c r="E8858" s="583"/>
      <c r="F8858" s="596"/>
      <c r="G8858" s="65">
        <v>0</v>
      </c>
      <c r="H8858" s="591" t="s">
        <v>280</v>
      </c>
      <c r="I8858" s="589" t="s">
        <v>280</v>
      </c>
    </row>
    <row r="8859" spans="1:9">
      <c r="A8859" s="577"/>
      <c r="B8859" s="65">
        <v>9057</v>
      </c>
      <c r="C8859" s="579" t="s">
        <v>281</v>
      </c>
      <c r="D8859" s="579"/>
      <c r="E8859" s="583"/>
      <c r="F8859" s="596"/>
      <c r="G8859" s="65">
        <v>0</v>
      </c>
      <c r="H8859" s="591" t="s">
        <v>280</v>
      </c>
      <c r="I8859" s="589" t="s">
        <v>280</v>
      </c>
    </row>
    <row r="8860" spans="1:9">
      <c r="A8860" s="577"/>
      <c r="B8860" s="65">
        <v>9058</v>
      </c>
      <c r="C8860" s="579" t="s">
        <v>281</v>
      </c>
      <c r="D8860" s="579"/>
      <c r="E8860" s="583"/>
      <c r="F8860" s="596"/>
      <c r="G8860" s="65">
        <v>0</v>
      </c>
      <c r="H8860" s="591" t="s">
        <v>280</v>
      </c>
      <c r="I8860" s="589" t="s">
        <v>280</v>
      </c>
    </row>
    <row r="8861" spans="1:9">
      <c r="A8861" s="577"/>
      <c r="B8861" s="65">
        <v>9059</v>
      </c>
      <c r="C8861" s="579" t="s">
        <v>281</v>
      </c>
      <c r="D8861" s="579"/>
      <c r="E8861" s="583"/>
      <c r="F8861" s="596"/>
      <c r="G8861" s="65">
        <v>0</v>
      </c>
      <c r="H8861" s="591" t="s">
        <v>280</v>
      </c>
      <c r="I8861" s="589" t="s">
        <v>280</v>
      </c>
    </row>
    <row r="8862" spans="1:9">
      <c r="A8862" s="577"/>
      <c r="B8862" s="65">
        <v>9060</v>
      </c>
      <c r="C8862" s="579" t="s">
        <v>281</v>
      </c>
      <c r="D8862" s="579"/>
      <c r="E8862" s="583"/>
      <c r="F8862" s="596"/>
      <c r="G8862" s="65">
        <v>0</v>
      </c>
      <c r="H8862" s="591" t="s">
        <v>280</v>
      </c>
      <c r="I8862" s="589" t="s">
        <v>280</v>
      </c>
    </row>
    <row r="8863" spans="1:9">
      <c r="A8863" s="577"/>
      <c r="B8863" s="65">
        <v>9061</v>
      </c>
      <c r="C8863" s="579" t="s">
        <v>281</v>
      </c>
      <c r="D8863" s="579"/>
      <c r="E8863" s="583"/>
      <c r="F8863" s="596"/>
      <c r="G8863" s="65">
        <v>0</v>
      </c>
      <c r="H8863" s="591" t="s">
        <v>280</v>
      </c>
      <c r="I8863" s="589" t="s">
        <v>280</v>
      </c>
    </row>
    <row r="8864" spans="1:9">
      <c r="A8864" s="577"/>
      <c r="B8864" s="65">
        <v>9062</v>
      </c>
      <c r="C8864" s="579" t="s">
        <v>281</v>
      </c>
      <c r="D8864" s="579"/>
      <c r="E8864" s="583"/>
      <c r="F8864" s="596"/>
      <c r="G8864" s="65">
        <v>0</v>
      </c>
      <c r="H8864" s="591" t="s">
        <v>280</v>
      </c>
      <c r="I8864" s="589" t="s">
        <v>280</v>
      </c>
    </row>
    <row r="8865" spans="1:9">
      <c r="A8865" s="577"/>
      <c r="B8865" s="65">
        <v>9063</v>
      </c>
      <c r="C8865" s="579" t="s">
        <v>281</v>
      </c>
      <c r="D8865" s="579"/>
      <c r="E8865" s="583"/>
      <c r="F8865" s="596"/>
      <c r="G8865" s="65">
        <v>0</v>
      </c>
      <c r="H8865" s="591" t="s">
        <v>280</v>
      </c>
      <c r="I8865" s="589" t="s">
        <v>280</v>
      </c>
    </row>
    <row r="8866" spans="1:9">
      <c r="A8866" s="577"/>
      <c r="B8866" s="65">
        <v>9064</v>
      </c>
      <c r="C8866" s="579" t="s">
        <v>281</v>
      </c>
      <c r="D8866" s="579"/>
      <c r="E8866" s="583"/>
      <c r="F8866" s="596"/>
      <c r="G8866" s="65">
        <v>0</v>
      </c>
      <c r="H8866" s="591" t="s">
        <v>280</v>
      </c>
      <c r="I8866" s="589" t="s">
        <v>280</v>
      </c>
    </row>
    <row r="8867" spans="1:9">
      <c r="A8867" s="577"/>
      <c r="B8867" s="65">
        <v>9065</v>
      </c>
      <c r="C8867" s="579" t="s">
        <v>281</v>
      </c>
      <c r="D8867" s="579"/>
      <c r="E8867" s="583"/>
      <c r="F8867" s="596"/>
      <c r="G8867" s="65">
        <v>0</v>
      </c>
      <c r="H8867" s="591" t="s">
        <v>280</v>
      </c>
      <c r="I8867" s="589" t="s">
        <v>280</v>
      </c>
    </row>
    <row r="8868" spans="1:9">
      <c r="A8868" s="577"/>
      <c r="B8868" s="65">
        <v>9066</v>
      </c>
      <c r="C8868" s="579" t="s">
        <v>281</v>
      </c>
      <c r="D8868" s="579"/>
      <c r="E8868" s="583"/>
      <c r="F8868" s="596"/>
      <c r="G8868" s="65">
        <v>0</v>
      </c>
      <c r="H8868" s="591" t="s">
        <v>280</v>
      </c>
      <c r="I8868" s="589" t="s">
        <v>280</v>
      </c>
    </row>
    <row r="8869" spans="1:9">
      <c r="A8869" s="577"/>
      <c r="B8869" s="65">
        <v>9067</v>
      </c>
      <c r="C8869" s="579" t="s">
        <v>281</v>
      </c>
      <c r="D8869" s="579"/>
      <c r="E8869" s="583"/>
      <c r="F8869" s="596"/>
      <c r="G8869" s="65">
        <v>0</v>
      </c>
      <c r="H8869" s="591" t="s">
        <v>280</v>
      </c>
      <c r="I8869" s="589" t="s">
        <v>280</v>
      </c>
    </row>
    <row r="8870" spans="1:9">
      <c r="A8870" s="577"/>
      <c r="B8870" s="65">
        <v>9068</v>
      </c>
      <c r="C8870" s="579" t="s">
        <v>281</v>
      </c>
      <c r="D8870" s="579"/>
      <c r="E8870" s="583"/>
      <c r="F8870" s="596"/>
      <c r="G8870" s="65">
        <v>0</v>
      </c>
      <c r="H8870" s="591" t="s">
        <v>280</v>
      </c>
      <c r="I8870" s="589" t="s">
        <v>280</v>
      </c>
    </row>
    <row r="8871" spans="1:9">
      <c r="A8871" s="577"/>
      <c r="B8871" s="65">
        <v>9069</v>
      </c>
      <c r="C8871" s="579" t="s">
        <v>281</v>
      </c>
      <c r="D8871" s="579"/>
      <c r="E8871" s="583"/>
      <c r="F8871" s="596"/>
      <c r="G8871" s="65">
        <v>0</v>
      </c>
      <c r="H8871" s="591" t="s">
        <v>280</v>
      </c>
      <c r="I8871" s="589" t="s">
        <v>280</v>
      </c>
    </row>
    <row r="8872" spans="1:9">
      <c r="A8872" s="577"/>
      <c r="B8872" s="65">
        <v>9070</v>
      </c>
      <c r="C8872" s="579" t="s">
        <v>281</v>
      </c>
      <c r="D8872" s="579"/>
      <c r="E8872" s="583"/>
      <c r="F8872" s="596"/>
      <c r="G8872" s="65">
        <v>0</v>
      </c>
      <c r="H8872" s="591" t="s">
        <v>280</v>
      </c>
      <c r="I8872" s="589" t="s">
        <v>280</v>
      </c>
    </row>
    <row r="8873" spans="1:9">
      <c r="A8873" s="577"/>
      <c r="B8873" s="65">
        <v>9071</v>
      </c>
      <c r="C8873" s="579" t="s">
        <v>281</v>
      </c>
      <c r="D8873" s="579"/>
      <c r="E8873" s="583"/>
      <c r="F8873" s="596"/>
      <c r="G8873" s="65">
        <v>0</v>
      </c>
      <c r="H8873" s="591" t="s">
        <v>280</v>
      </c>
      <c r="I8873" s="589" t="s">
        <v>280</v>
      </c>
    </row>
    <row r="8874" spans="1:9">
      <c r="A8874" s="577"/>
      <c r="B8874" s="65">
        <v>9072</v>
      </c>
      <c r="C8874" s="579" t="s">
        <v>281</v>
      </c>
      <c r="D8874" s="579"/>
      <c r="E8874" s="583"/>
      <c r="F8874" s="596"/>
      <c r="G8874" s="65">
        <v>0</v>
      </c>
      <c r="H8874" s="591" t="s">
        <v>280</v>
      </c>
      <c r="I8874" s="589" t="s">
        <v>280</v>
      </c>
    </row>
    <row r="8875" spans="1:9">
      <c r="A8875" s="577"/>
      <c r="B8875" s="65">
        <v>9073</v>
      </c>
      <c r="C8875" s="579" t="s">
        <v>281</v>
      </c>
      <c r="D8875" s="579"/>
      <c r="E8875" s="583"/>
      <c r="F8875" s="596"/>
      <c r="G8875" s="65">
        <v>0</v>
      </c>
      <c r="H8875" s="591" t="s">
        <v>280</v>
      </c>
      <c r="I8875" s="589" t="s">
        <v>280</v>
      </c>
    </row>
    <row r="8876" spans="1:9">
      <c r="A8876" s="577"/>
      <c r="B8876" s="65">
        <v>9074</v>
      </c>
      <c r="C8876" s="579" t="s">
        <v>281</v>
      </c>
      <c r="D8876" s="579"/>
      <c r="E8876" s="583"/>
      <c r="F8876" s="596"/>
      <c r="G8876" s="65">
        <v>0</v>
      </c>
      <c r="H8876" s="591" t="s">
        <v>280</v>
      </c>
      <c r="I8876" s="589" t="s">
        <v>280</v>
      </c>
    </row>
    <row r="8877" spans="1:9">
      <c r="A8877" s="577"/>
      <c r="B8877" s="65">
        <v>9075</v>
      </c>
      <c r="C8877" s="579" t="s">
        <v>281</v>
      </c>
      <c r="D8877" s="579"/>
      <c r="E8877" s="583"/>
      <c r="F8877" s="596"/>
      <c r="G8877" s="65">
        <v>0</v>
      </c>
      <c r="H8877" s="591" t="s">
        <v>280</v>
      </c>
      <c r="I8877" s="589" t="s">
        <v>280</v>
      </c>
    </row>
    <row r="8878" spans="1:9">
      <c r="A8878" s="577"/>
      <c r="B8878" s="65">
        <v>9076</v>
      </c>
      <c r="C8878" s="579" t="s">
        <v>281</v>
      </c>
      <c r="D8878" s="579"/>
      <c r="E8878" s="583"/>
      <c r="F8878" s="596"/>
      <c r="G8878" s="65">
        <v>0</v>
      </c>
      <c r="H8878" s="591" t="s">
        <v>280</v>
      </c>
      <c r="I8878" s="589" t="s">
        <v>280</v>
      </c>
    </row>
    <row r="8879" spans="1:9">
      <c r="A8879" s="577"/>
      <c r="B8879" s="65">
        <v>9077</v>
      </c>
      <c r="C8879" s="579" t="s">
        <v>281</v>
      </c>
      <c r="D8879" s="579"/>
      <c r="E8879" s="583"/>
      <c r="F8879" s="596"/>
      <c r="G8879" s="65">
        <v>0</v>
      </c>
      <c r="H8879" s="591" t="s">
        <v>280</v>
      </c>
      <c r="I8879" s="589" t="s">
        <v>280</v>
      </c>
    </row>
    <row r="8880" spans="1:9">
      <c r="A8880" s="577"/>
      <c r="B8880" s="65">
        <v>9078</v>
      </c>
      <c r="C8880" s="579" t="s">
        <v>281</v>
      </c>
      <c r="D8880" s="579"/>
      <c r="E8880" s="583"/>
      <c r="F8880" s="596"/>
      <c r="G8880" s="65">
        <v>0</v>
      </c>
      <c r="H8880" s="591" t="s">
        <v>280</v>
      </c>
      <c r="I8880" s="589" t="s">
        <v>280</v>
      </c>
    </row>
    <row r="8881" spans="1:9">
      <c r="A8881" s="577"/>
      <c r="B8881" s="65">
        <v>9079</v>
      </c>
      <c r="C8881" s="579" t="s">
        <v>281</v>
      </c>
      <c r="D8881" s="579"/>
      <c r="E8881" s="583"/>
      <c r="F8881" s="596"/>
      <c r="G8881" s="65">
        <v>0</v>
      </c>
      <c r="H8881" s="591" t="s">
        <v>280</v>
      </c>
      <c r="I8881" s="589" t="s">
        <v>280</v>
      </c>
    </row>
    <row r="8882" spans="1:9">
      <c r="A8882" s="577"/>
      <c r="B8882" s="65">
        <v>9080</v>
      </c>
      <c r="C8882" s="579" t="s">
        <v>281</v>
      </c>
      <c r="D8882" s="579"/>
      <c r="E8882" s="583"/>
      <c r="F8882" s="596"/>
      <c r="G8882" s="65">
        <v>0</v>
      </c>
      <c r="H8882" s="591" t="s">
        <v>280</v>
      </c>
      <c r="I8882" s="589" t="s">
        <v>280</v>
      </c>
    </row>
    <row r="8883" spans="1:9">
      <c r="A8883" s="577"/>
      <c r="B8883" s="65">
        <v>9081</v>
      </c>
      <c r="C8883" s="579" t="s">
        <v>281</v>
      </c>
      <c r="D8883" s="579"/>
      <c r="E8883" s="583"/>
      <c r="F8883" s="596"/>
      <c r="G8883" s="65">
        <v>0</v>
      </c>
      <c r="H8883" s="591" t="s">
        <v>280</v>
      </c>
      <c r="I8883" s="589" t="s">
        <v>280</v>
      </c>
    </row>
    <row r="8884" spans="1:9">
      <c r="A8884" s="577"/>
      <c r="B8884" s="65">
        <v>9082</v>
      </c>
      <c r="C8884" s="579" t="s">
        <v>281</v>
      </c>
      <c r="D8884" s="579"/>
      <c r="E8884" s="583"/>
      <c r="F8884" s="596"/>
      <c r="G8884" s="65">
        <v>0</v>
      </c>
      <c r="H8884" s="591" t="s">
        <v>280</v>
      </c>
      <c r="I8884" s="589" t="s">
        <v>280</v>
      </c>
    </row>
    <row r="8885" spans="1:9">
      <c r="A8885" s="577"/>
      <c r="B8885" s="65">
        <v>9083</v>
      </c>
      <c r="C8885" s="579" t="s">
        <v>281</v>
      </c>
      <c r="D8885" s="579"/>
      <c r="E8885" s="583"/>
      <c r="F8885" s="596"/>
      <c r="G8885" s="65">
        <v>0</v>
      </c>
      <c r="H8885" s="591" t="s">
        <v>280</v>
      </c>
      <c r="I8885" s="589" t="s">
        <v>280</v>
      </c>
    </row>
    <row r="8886" spans="1:9">
      <c r="A8886" s="577"/>
      <c r="B8886" s="65">
        <v>9084</v>
      </c>
      <c r="C8886" s="579" t="s">
        <v>281</v>
      </c>
      <c r="D8886" s="579"/>
      <c r="E8886" s="583"/>
      <c r="F8886" s="596"/>
      <c r="G8886" s="65">
        <v>0</v>
      </c>
      <c r="H8886" s="591" t="s">
        <v>280</v>
      </c>
      <c r="I8886" s="589" t="s">
        <v>280</v>
      </c>
    </row>
    <row r="8887" spans="1:9">
      <c r="A8887" s="577"/>
      <c r="B8887" s="65">
        <v>9085</v>
      </c>
      <c r="C8887" s="579" t="s">
        <v>281</v>
      </c>
      <c r="D8887" s="579"/>
      <c r="E8887" s="583"/>
      <c r="F8887" s="596"/>
      <c r="G8887" s="65">
        <v>0</v>
      </c>
      <c r="H8887" s="591" t="s">
        <v>280</v>
      </c>
      <c r="I8887" s="589" t="s">
        <v>280</v>
      </c>
    </row>
    <row r="8888" spans="1:9">
      <c r="A8888" s="577"/>
      <c r="B8888" s="65">
        <v>9086</v>
      </c>
      <c r="C8888" s="579" t="s">
        <v>281</v>
      </c>
      <c r="D8888" s="579"/>
      <c r="E8888" s="583"/>
      <c r="F8888" s="596"/>
      <c r="G8888" s="65">
        <v>0</v>
      </c>
      <c r="H8888" s="591" t="s">
        <v>280</v>
      </c>
      <c r="I8888" s="589" t="s">
        <v>280</v>
      </c>
    </row>
    <row r="8889" spans="1:9">
      <c r="A8889" s="577"/>
      <c r="B8889" s="65">
        <v>9087</v>
      </c>
      <c r="C8889" s="579" t="s">
        <v>281</v>
      </c>
      <c r="D8889" s="579"/>
      <c r="E8889" s="583"/>
      <c r="F8889" s="596"/>
      <c r="G8889" s="65">
        <v>0</v>
      </c>
      <c r="H8889" s="591" t="s">
        <v>280</v>
      </c>
      <c r="I8889" s="589" t="s">
        <v>280</v>
      </c>
    </row>
    <row r="8890" spans="1:9">
      <c r="A8890" s="577"/>
      <c r="B8890" s="65">
        <v>9088</v>
      </c>
      <c r="C8890" s="579" t="s">
        <v>281</v>
      </c>
      <c r="D8890" s="579"/>
      <c r="E8890" s="583"/>
      <c r="F8890" s="596"/>
      <c r="G8890" s="65">
        <v>0</v>
      </c>
      <c r="H8890" s="591" t="s">
        <v>280</v>
      </c>
      <c r="I8890" s="589" t="s">
        <v>280</v>
      </c>
    </row>
    <row r="8891" spans="1:9">
      <c r="A8891" s="577"/>
      <c r="B8891" s="65">
        <v>9089</v>
      </c>
      <c r="C8891" s="579" t="s">
        <v>281</v>
      </c>
      <c r="D8891" s="579"/>
      <c r="E8891" s="583"/>
      <c r="F8891" s="596"/>
      <c r="G8891" s="65">
        <v>0</v>
      </c>
      <c r="H8891" s="591" t="s">
        <v>280</v>
      </c>
      <c r="I8891" s="589" t="s">
        <v>280</v>
      </c>
    </row>
    <row r="8892" spans="1:9">
      <c r="A8892" s="577"/>
      <c r="B8892" s="65">
        <v>9090</v>
      </c>
      <c r="C8892" s="579" t="s">
        <v>281</v>
      </c>
      <c r="D8892" s="579"/>
      <c r="E8892" s="583"/>
      <c r="F8892" s="596"/>
      <c r="G8892" s="65">
        <v>0</v>
      </c>
      <c r="H8892" s="591" t="s">
        <v>280</v>
      </c>
      <c r="I8892" s="589" t="s">
        <v>280</v>
      </c>
    </row>
    <row r="8893" spans="1:9">
      <c r="A8893" s="577"/>
      <c r="B8893" s="65">
        <v>9091</v>
      </c>
      <c r="C8893" s="579" t="s">
        <v>281</v>
      </c>
      <c r="D8893" s="579"/>
      <c r="E8893" s="583"/>
      <c r="F8893" s="596"/>
      <c r="G8893" s="65">
        <v>0</v>
      </c>
      <c r="H8893" s="591" t="s">
        <v>280</v>
      </c>
      <c r="I8893" s="589" t="s">
        <v>280</v>
      </c>
    </row>
    <row r="8894" spans="1:9">
      <c r="A8894" s="577"/>
      <c r="B8894" s="65">
        <v>9092</v>
      </c>
      <c r="C8894" s="579" t="s">
        <v>281</v>
      </c>
      <c r="D8894" s="579"/>
      <c r="E8894" s="583"/>
      <c r="F8894" s="596"/>
      <c r="G8894" s="65">
        <v>0</v>
      </c>
      <c r="H8894" s="591" t="s">
        <v>280</v>
      </c>
      <c r="I8894" s="589" t="s">
        <v>280</v>
      </c>
    </row>
    <row r="8895" spans="1:9">
      <c r="A8895" s="577"/>
      <c r="B8895" s="65">
        <v>9093</v>
      </c>
      <c r="C8895" s="579" t="s">
        <v>281</v>
      </c>
      <c r="D8895" s="579"/>
      <c r="E8895" s="583"/>
      <c r="F8895" s="596"/>
      <c r="G8895" s="65">
        <v>0</v>
      </c>
      <c r="H8895" s="591" t="s">
        <v>280</v>
      </c>
      <c r="I8895" s="589" t="s">
        <v>280</v>
      </c>
    </row>
    <row r="8896" spans="1:9">
      <c r="A8896" s="577"/>
      <c r="B8896" s="65">
        <v>9094</v>
      </c>
      <c r="C8896" s="579" t="s">
        <v>281</v>
      </c>
      <c r="D8896" s="579"/>
      <c r="E8896" s="583"/>
      <c r="F8896" s="596"/>
      <c r="G8896" s="65">
        <v>0</v>
      </c>
      <c r="H8896" s="591" t="s">
        <v>280</v>
      </c>
      <c r="I8896" s="589" t="s">
        <v>280</v>
      </c>
    </row>
    <row r="8897" spans="1:9">
      <c r="A8897" s="577"/>
      <c r="B8897" s="65">
        <v>9095</v>
      </c>
      <c r="C8897" s="579" t="s">
        <v>281</v>
      </c>
      <c r="D8897" s="579"/>
      <c r="E8897" s="583"/>
      <c r="F8897" s="596"/>
      <c r="G8897" s="65">
        <v>0</v>
      </c>
      <c r="H8897" s="591" t="s">
        <v>280</v>
      </c>
      <c r="I8897" s="589" t="s">
        <v>280</v>
      </c>
    </row>
    <row r="8898" spans="1:9">
      <c r="A8898" s="577"/>
      <c r="B8898" s="65">
        <v>9096</v>
      </c>
      <c r="C8898" s="579" t="s">
        <v>281</v>
      </c>
      <c r="D8898" s="579"/>
      <c r="E8898" s="583"/>
      <c r="F8898" s="596"/>
      <c r="G8898" s="65">
        <v>0</v>
      </c>
      <c r="H8898" s="591" t="s">
        <v>280</v>
      </c>
      <c r="I8898" s="589" t="s">
        <v>280</v>
      </c>
    </row>
    <row r="8899" spans="1:9">
      <c r="A8899" s="577"/>
      <c r="B8899" s="65">
        <v>9097</v>
      </c>
      <c r="C8899" s="579" t="s">
        <v>281</v>
      </c>
      <c r="D8899" s="579"/>
      <c r="E8899" s="583"/>
      <c r="F8899" s="596"/>
      <c r="G8899" s="65">
        <v>0</v>
      </c>
      <c r="H8899" s="591" t="s">
        <v>280</v>
      </c>
      <c r="I8899" s="589" t="s">
        <v>280</v>
      </c>
    </row>
    <row r="8900" spans="1:9">
      <c r="A8900" s="577"/>
      <c r="B8900" s="65">
        <v>9098</v>
      </c>
      <c r="C8900" s="579" t="s">
        <v>281</v>
      </c>
      <c r="D8900" s="579"/>
      <c r="E8900" s="583"/>
      <c r="F8900" s="596"/>
      <c r="G8900" s="65">
        <v>0</v>
      </c>
      <c r="H8900" s="591" t="s">
        <v>280</v>
      </c>
      <c r="I8900" s="589" t="s">
        <v>280</v>
      </c>
    </row>
    <row r="8901" spans="1:9">
      <c r="A8901" s="577"/>
      <c r="B8901" s="65">
        <v>9099</v>
      </c>
      <c r="C8901" s="579" t="s">
        <v>281</v>
      </c>
      <c r="D8901" s="579"/>
      <c r="E8901" s="583"/>
      <c r="F8901" s="596"/>
      <c r="G8901" s="65">
        <v>0</v>
      </c>
      <c r="H8901" s="591" t="s">
        <v>280</v>
      </c>
      <c r="I8901" s="589" t="s">
        <v>280</v>
      </c>
    </row>
    <row r="8902" spans="1:9">
      <c r="A8902" s="577"/>
      <c r="B8902" s="65">
        <v>9100</v>
      </c>
      <c r="C8902" s="579" t="s">
        <v>281</v>
      </c>
      <c r="D8902" s="579"/>
      <c r="E8902" s="583"/>
      <c r="F8902" s="596"/>
      <c r="G8902" s="65">
        <v>0</v>
      </c>
      <c r="H8902" s="591" t="s">
        <v>280</v>
      </c>
      <c r="I8902" s="589" t="s">
        <v>280</v>
      </c>
    </row>
    <row r="8903" spans="1:9">
      <c r="A8903" s="577"/>
      <c r="B8903" s="65">
        <v>9101</v>
      </c>
      <c r="C8903" s="579" t="s">
        <v>281</v>
      </c>
      <c r="D8903" s="579"/>
      <c r="E8903" s="583"/>
      <c r="F8903" s="596"/>
      <c r="G8903" s="65">
        <v>0</v>
      </c>
      <c r="H8903" s="591" t="s">
        <v>280</v>
      </c>
      <c r="I8903" s="589" t="s">
        <v>280</v>
      </c>
    </row>
    <row r="8904" spans="1:9">
      <c r="A8904" s="577"/>
      <c r="B8904" s="65">
        <v>9102</v>
      </c>
      <c r="C8904" s="579" t="s">
        <v>281</v>
      </c>
      <c r="D8904" s="579"/>
      <c r="E8904" s="583"/>
      <c r="F8904" s="596"/>
      <c r="G8904" s="65">
        <v>0</v>
      </c>
      <c r="H8904" s="591" t="s">
        <v>280</v>
      </c>
      <c r="I8904" s="589" t="s">
        <v>280</v>
      </c>
    </row>
    <row r="8905" spans="1:9">
      <c r="A8905" s="577"/>
      <c r="B8905" s="65">
        <v>9103</v>
      </c>
      <c r="C8905" s="579" t="s">
        <v>281</v>
      </c>
      <c r="D8905" s="579"/>
      <c r="E8905" s="583"/>
      <c r="F8905" s="596"/>
      <c r="G8905" s="65">
        <v>0</v>
      </c>
      <c r="H8905" s="591" t="s">
        <v>280</v>
      </c>
      <c r="I8905" s="589" t="s">
        <v>280</v>
      </c>
    </row>
    <row r="8906" spans="1:9">
      <c r="A8906" s="577"/>
      <c r="B8906" s="65">
        <v>9104</v>
      </c>
      <c r="C8906" s="579" t="s">
        <v>281</v>
      </c>
      <c r="D8906" s="579"/>
      <c r="E8906" s="583"/>
      <c r="F8906" s="596"/>
      <c r="G8906" s="65">
        <v>0</v>
      </c>
      <c r="H8906" s="591" t="s">
        <v>280</v>
      </c>
      <c r="I8906" s="589" t="s">
        <v>280</v>
      </c>
    </row>
    <row r="8907" spans="1:9">
      <c r="A8907" s="577"/>
      <c r="B8907" s="65">
        <v>9105</v>
      </c>
      <c r="C8907" s="579" t="s">
        <v>281</v>
      </c>
      <c r="D8907" s="579"/>
      <c r="E8907" s="583"/>
      <c r="F8907" s="596"/>
      <c r="G8907" s="65">
        <v>0</v>
      </c>
      <c r="H8907" s="591" t="s">
        <v>280</v>
      </c>
      <c r="I8907" s="589" t="s">
        <v>280</v>
      </c>
    </row>
    <row r="8908" spans="1:9">
      <c r="A8908" s="577"/>
      <c r="B8908" s="65">
        <v>9106</v>
      </c>
      <c r="C8908" s="579" t="s">
        <v>281</v>
      </c>
      <c r="D8908" s="579"/>
      <c r="E8908" s="583"/>
      <c r="F8908" s="596"/>
      <c r="G8908" s="65">
        <v>0</v>
      </c>
      <c r="H8908" s="591" t="s">
        <v>280</v>
      </c>
      <c r="I8908" s="589" t="s">
        <v>280</v>
      </c>
    </row>
    <row r="8909" spans="1:9">
      <c r="A8909" s="577"/>
      <c r="B8909" s="65">
        <v>9107</v>
      </c>
      <c r="C8909" s="579" t="s">
        <v>281</v>
      </c>
      <c r="D8909" s="579"/>
      <c r="E8909" s="583"/>
      <c r="F8909" s="596"/>
      <c r="G8909" s="65">
        <v>0</v>
      </c>
      <c r="H8909" s="591" t="s">
        <v>280</v>
      </c>
      <c r="I8909" s="589" t="s">
        <v>280</v>
      </c>
    </row>
    <row r="8910" spans="1:9">
      <c r="A8910" s="577"/>
      <c r="B8910" s="65">
        <v>9108</v>
      </c>
      <c r="C8910" s="579" t="s">
        <v>281</v>
      </c>
      <c r="D8910" s="579"/>
      <c r="E8910" s="583"/>
      <c r="F8910" s="596"/>
      <c r="G8910" s="65">
        <v>0</v>
      </c>
      <c r="H8910" s="591" t="s">
        <v>280</v>
      </c>
      <c r="I8910" s="589" t="s">
        <v>280</v>
      </c>
    </row>
    <row r="8911" spans="1:9">
      <c r="A8911" s="577"/>
      <c r="B8911" s="65">
        <v>9109</v>
      </c>
      <c r="C8911" s="579" t="s">
        <v>281</v>
      </c>
      <c r="D8911" s="579"/>
      <c r="E8911" s="583"/>
      <c r="F8911" s="596"/>
      <c r="G8911" s="65">
        <v>0</v>
      </c>
      <c r="H8911" s="591" t="s">
        <v>280</v>
      </c>
      <c r="I8911" s="589" t="s">
        <v>280</v>
      </c>
    </row>
    <row r="8912" spans="1:9">
      <c r="A8912" s="577"/>
      <c r="B8912" s="65">
        <v>9110</v>
      </c>
      <c r="C8912" s="579" t="s">
        <v>281</v>
      </c>
      <c r="D8912" s="579"/>
      <c r="E8912" s="583"/>
      <c r="F8912" s="596"/>
      <c r="G8912" s="65">
        <v>0</v>
      </c>
      <c r="H8912" s="591" t="s">
        <v>280</v>
      </c>
      <c r="I8912" s="589" t="s">
        <v>280</v>
      </c>
    </row>
    <row r="8913" spans="1:9">
      <c r="A8913" s="577"/>
      <c r="B8913" s="65">
        <v>9111</v>
      </c>
      <c r="C8913" s="579" t="s">
        <v>281</v>
      </c>
      <c r="D8913" s="579"/>
      <c r="E8913" s="583"/>
      <c r="F8913" s="596"/>
      <c r="G8913" s="65">
        <v>0</v>
      </c>
      <c r="H8913" s="591" t="s">
        <v>280</v>
      </c>
      <c r="I8913" s="589" t="s">
        <v>280</v>
      </c>
    </row>
    <row r="8914" spans="1:9">
      <c r="A8914" s="577"/>
      <c r="B8914" s="65">
        <v>9112</v>
      </c>
      <c r="C8914" s="579" t="s">
        <v>281</v>
      </c>
      <c r="D8914" s="579"/>
      <c r="E8914" s="583"/>
      <c r="F8914" s="596"/>
      <c r="G8914" s="65">
        <v>0</v>
      </c>
      <c r="H8914" s="591" t="s">
        <v>280</v>
      </c>
      <c r="I8914" s="589" t="s">
        <v>280</v>
      </c>
    </row>
    <row r="8915" spans="1:9">
      <c r="A8915" s="577"/>
      <c r="B8915" s="65">
        <v>9113</v>
      </c>
      <c r="C8915" s="579" t="s">
        <v>281</v>
      </c>
      <c r="D8915" s="579"/>
      <c r="E8915" s="583"/>
      <c r="F8915" s="596"/>
      <c r="G8915" s="65">
        <v>0</v>
      </c>
      <c r="H8915" s="591" t="s">
        <v>280</v>
      </c>
      <c r="I8915" s="589" t="s">
        <v>280</v>
      </c>
    </row>
    <row r="8916" spans="1:9">
      <c r="A8916" s="577"/>
      <c r="B8916" s="65">
        <v>9114</v>
      </c>
      <c r="C8916" s="579" t="s">
        <v>281</v>
      </c>
      <c r="D8916" s="579"/>
      <c r="E8916" s="583"/>
      <c r="F8916" s="596"/>
      <c r="G8916" s="65">
        <v>0</v>
      </c>
      <c r="H8916" s="591" t="s">
        <v>280</v>
      </c>
      <c r="I8916" s="589" t="s">
        <v>280</v>
      </c>
    </row>
    <row r="8917" spans="1:9">
      <c r="A8917" s="577"/>
      <c r="B8917" s="65">
        <v>9115</v>
      </c>
      <c r="C8917" s="579" t="s">
        <v>281</v>
      </c>
      <c r="D8917" s="579"/>
      <c r="E8917" s="583"/>
      <c r="F8917" s="596"/>
      <c r="G8917" s="65">
        <v>0</v>
      </c>
      <c r="H8917" s="591" t="s">
        <v>280</v>
      </c>
      <c r="I8917" s="589" t="s">
        <v>280</v>
      </c>
    </row>
    <row r="8918" spans="1:9">
      <c r="A8918" s="577"/>
      <c r="B8918" s="65">
        <v>9116</v>
      </c>
      <c r="C8918" s="579" t="s">
        <v>281</v>
      </c>
      <c r="D8918" s="579"/>
      <c r="E8918" s="583"/>
      <c r="F8918" s="596"/>
      <c r="G8918" s="65">
        <v>0</v>
      </c>
      <c r="H8918" s="591" t="s">
        <v>280</v>
      </c>
      <c r="I8918" s="589" t="s">
        <v>280</v>
      </c>
    </row>
    <row r="8919" spans="1:9">
      <c r="A8919" s="577"/>
      <c r="B8919" s="65">
        <v>9117</v>
      </c>
      <c r="C8919" s="579" t="s">
        <v>281</v>
      </c>
      <c r="D8919" s="579"/>
      <c r="E8919" s="583"/>
      <c r="F8919" s="596"/>
      <c r="G8919" s="65">
        <v>0</v>
      </c>
      <c r="H8919" s="591" t="s">
        <v>280</v>
      </c>
      <c r="I8919" s="589" t="s">
        <v>280</v>
      </c>
    </row>
    <row r="8920" spans="1:9">
      <c r="A8920" s="577"/>
      <c r="B8920" s="65">
        <v>9118</v>
      </c>
      <c r="C8920" s="579" t="s">
        <v>281</v>
      </c>
      <c r="D8920" s="579"/>
      <c r="E8920" s="583"/>
      <c r="F8920" s="596"/>
      <c r="G8920" s="65">
        <v>0</v>
      </c>
      <c r="H8920" s="591" t="s">
        <v>280</v>
      </c>
      <c r="I8920" s="589" t="s">
        <v>280</v>
      </c>
    </row>
    <row r="8921" spans="1:9">
      <c r="A8921" s="577"/>
      <c r="B8921" s="65">
        <v>9119</v>
      </c>
      <c r="C8921" s="579" t="s">
        <v>281</v>
      </c>
      <c r="D8921" s="579"/>
      <c r="E8921" s="583"/>
      <c r="F8921" s="596"/>
      <c r="G8921" s="65">
        <v>0</v>
      </c>
      <c r="H8921" s="591" t="s">
        <v>280</v>
      </c>
      <c r="I8921" s="589" t="s">
        <v>280</v>
      </c>
    </row>
    <row r="8922" spans="1:9">
      <c r="A8922" s="577"/>
      <c r="B8922" s="65">
        <v>9120</v>
      </c>
      <c r="C8922" s="579" t="s">
        <v>281</v>
      </c>
      <c r="D8922" s="579"/>
      <c r="E8922" s="583"/>
      <c r="F8922" s="596"/>
      <c r="G8922" s="65">
        <v>0</v>
      </c>
      <c r="H8922" s="591" t="s">
        <v>280</v>
      </c>
      <c r="I8922" s="589" t="s">
        <v>280</v>
      </c>
    </row>
    <row r="8923" spans="1:9">
      <c r="A8923" s="577"/>
      <c r="B8923" s="65">
        <v>9121</v>
      </c>
      <c r="C8923" s="579" t="s">
        <v>281</v>
      </c>
      <c r="D8923" s="579"/>
      <c r="E8923" s="583"/>
      <c r="F8923" s="596"/>
      <c r="G8923" s="65">
        <v>0</v>
      </c>
      <c r="H8923" s="591" t="s">
        <v>280</v>
      </c>
      <c r="I8923" s="589" t="s">
        <v>280</v>
      </c>
    </row>
    <row r="8924" spans="1:9">
      <c r="A8924" s="577"/>
      <c r="B8924" s="65">
        <v>9122</v>
      </c>
      <c r="C8924" s="579" t="s">
        <v>281</v>
      </c>
      <c r="D8924" s="579"/>
      <c r="E8924" s="583"/>
      <c r="F8924" s="596"/>
      <c r="G8924" s="65">
        <v>0</v>
      </c>
      <c r="H8924" s="591" t="s">
        <v>280</v>
      </c>
      <c r="I8924" s="589" t="s">
        <v>280</v>
      </c>
    </row>
    <row r="8925" spans="1:9">
      <c r="A8925" s="577"/>
      <c r="B8925" s="65">
        <v>9123</v>
      </c>
      <c r="C8925" s="579" t="s">
        <v>281</v>
      </c>
      <c r="D8925" s="579"/>
      <c r="E8925" s="583"/>
      <c r="F8925" s="596"/>
      <c r="G8925" s="65">
        <v>0</v>
      </c>
      <c r="H8925" s="591" t="s">
        <v>280</v>
      </c>
      <c r="I8925" s="589" t="s">
        <v>280</v>
      </c>
    </row>
    <row r="8926" spans="1:9">
      <c r="A8926" s="577"/>
      <c r="B8926" s="65">
        <v>9124</v>
      </c>
      <c r="C8926" s="579" t="s">
        <v>281</v>
      </c>
      <c r="D8926" s="579"/>
      <c r="E8926" s="583"/>
      <c r="F8926" s="596"/>
      <c r="G8926" s="65">
        <v>0</v>
      </c>
      <c r="H8926" s="591" t="s">
        <v>280</v>
      </c>
      <c r="I8926" s="589" t="s">
        <v>280</v>
      </c>
    </row>
    <row r="8927" spans="1:9">
      <c r="A8927" s="577"/>
      <c r="B8927" s="65">
        <v>9125</v>
      </c>
      <c r="C8927" s="579" t="s">
        <v>281</v>
      </c>
      <c r="D8927" s="579"/>
      <c r="E8927" s="583"/>
      <c r="F8927" s="596"/>
      <c r="G8927" s="65">
        <v>0</v>
      </c>
      <c r="H8927" s="591" t="s">
        <v>280</v>
      </c>
      <c r="I8927" s="589" t="s">
        <v>280</v>
      </c>
    </row>
    <row r="8928" spans="1:9">
      <c r="A8928" s="577"/>
      <c r="B8928" s="65">
        <v>9126</v>
      </c>
      <c r="C8928" s="579" t="s">
        <v>281</v>
      </c>
      <c r="D8928" s="579"/>
      <c r="E8928" s="583"/>
      <c r="F8928" s="596"/>
      <c r="G8928" s="65">
        <v>0</v>
      </c>
      <c r="H8928" s="591" t="s">
        <v>280</v>
      </c>
      <c r="I8928" s="589" t="s">
        <v>280</v>
      </c>
    </row>
    <row r="8929" spans="1:9">
      <c r="A8929" s="577"/>
      <c r="B8929" s="65">
        <v>9127</v>
      </c>
      <c r="C8929" s="579" t="s">
        <v>281</v>
      </c>
      <c r="D8929" s="579"/>
      <c r="E8929" s="583"/>
      <c r="F8929" s="596"/>
      <c r="G8929" s="65">
        <v>0</v>
      </c>
      <c r="H8929" s="591" t="s">
        <v>280</v>
      </c>
      <c r="I8929" s="589" t="s">
        <v>280</v>
      </c>
    </row>
    <row r="8930" spans="1:9">
      <c r="A8930" s="577"/>
      <c r="B8930" s="65">
        <v>9128</v>
      </c>
      <c r="C8930" s="579" t="s">
        <v>281</v>
      </c>
      <c r="D8930" s="579"/>
      <c r="E8930" s="583"/>
      <c r="F8930" s="596"/>
      <c r="G8930" s="65">
        <v>0</v>
      </c>
      <c r="H8930" s="591" t="s">
        <v>280</v>
      </c>
      <c r="I8930" s="589" t="s">
        <v>280</v>
      </c>
    </row>
    <row r="8931" spans="1:9">
      <c r="A8931" s="577"/>
      <c r="B8931" s="65">
        <v>9129</v>
      </c>
      <c r="C8931" s="579" t="s">
        <v>281</v>
      </c>
      <c r="D8931" s="579"/>
      <c r="E8931" s="583"/>
      <c r="F8931" s="596"/>
      <c r="G8931" s="65">
        <v>0</v>
      </c>
      <c r="H8931" s="591" t="s">
        <v>280</v>
      </c>
      <c r="I8931" s="589" t="s">
        <v>280</v>
      </c>
    </row>
    <row r="8932" spans="1:9">
      <c r="A8932" s="577"/>
      <c r="B8932" s="65">
        <v>9130</v>
      </c>
      <c r="C8932" s="579" t="s">
        <v>281</v>
      </c>
      <c r="D8932" s="579"/>
      <c r="E8932" s="583"/>
      <c r="F8932" s="596"/>
      <c r="G8932" s="65">
        <v>0</v>
      </c>
      <c r="H8932" s="591" t="s">
        <v>280</v>
      </c>
      <c r="I8932" s="589" t="s">
        <v>280</v>
      </c>
    </row>
    <row r="8933" spans="1:9">
      <c r="A8933" s="577"/>
      <c r="B8933" s="65">
        <v>9131</v>
      </c>
      <c r="C8933" s="579" t="s">
        <v>281</v>
      </c>
      <c r="D8933" s="579"/>
      <c r="E8933" s="583"/>
      <c r="F8933" s="596"/>
      <c r="G8933" s="65">
        <v>0</v>
      </c>
      <c r="H8933" s="591" t="s">
        <v>280</v>
      </c>
      <c r="I8933" s="589" t="s">
        <v>280</v>
      </c>
    </row>
    <row r="8934" spans="1:9">
      <c r="A8934" s="577"/>
      <c r="B8934" s="65">
        <v>9132</v>
      </c>
      <c r="C8934" s="579" t="s">
        <v>281</v>
      </c>
      <c r="D8934" s="579"/>
      <c r="E8934" s="583"/>
      <c r="F8934" s="596"/>
      <c r="G8934" s="65">
        <v>0</v>
      </c>
      <c r="H8934" s="591" t="s">
        <v>280</v>
      </c>
      <c r="I8934" s="589" t="s">
        <v>280</v>
      </c>
    </row>
    <row r="8935" spans="1:9">
      <c r="A8935" s="577"/>
      <c r="B8935" s="65">
        <v>9133</v>
      </c>
      <c r="C8935" s="579" t="s">
        <v>281</v>
      </c>
      <c r="D8935" s="579"/>
      <c r="E8935" s="583"/>
      <c r="F8935" s="596"/>
      <c r="G8935" s="65">
        <v>0</v>
      </c>
      <c r="H8935" s="591" t="s">
        <v>280</v>
      </c>
      <c r="I8935" s="589" t="s">
        <v>280</v>
      </c>
    </row>
    <row r="8936" spans="1:9">
      <c r="A8936" s="577"/>
      <c r="B8936" s="65">
        <v>9134</v>
      </c>
      <c r="C8936" s="579" t="s">
        <v>281</v>
      </c>
      <c r="D8936" s="579"/>
      <c r="E8936" s="583"/>
      <c r="F8936" s="596"/>
      <c r="G8936" s="65">
        <v>0</v>
      </c>
      <c r="H8936" s="591" t="s">
        <v>280</v>
      </c>
      <c r="I8936" s="589" t="s">
        <v>280</v>
      </c>
    </row>
    <row r="8937" spans="1:9">
      <c r="A8937" s="577"/>
      <c r="B8937" s="65">
        <v>9135</v>
      </c>
      <c r="C8937" s="579" t="s">
        <v>281</v>
      </c>
      <c r="D8937" s="579"/>
      <c r="E8937" s="583"/>
      <c r="F8937" s="596"/>
      <c r="G8937" s="65">
        <v>0</v>
      </c>
      <c r="H8937" s="591" t="s">
        <v>280</v>
      </c>
      <c r="I8937" s="589" t="s">
        <v>280</v>
      </c>
    </row>
    <row r="8938" spans="1:9">
      <c r="A8938" s="577"/>
      <c r="B8938" s="65">
        <v>9136</v>
      </c>
      <c r="C8938" s="579" t="s">
        <v>281</v>
      </c>
      <c r="D8938" s="579"/>
      <c r="E8938" s="583"/>
      <c r="F8938" s="596"/>
      <c r="G8938" s="65">
        <v>0</v>
      </c>
      <c r="H8938" s="591" t="s">
        <v>280</v>
      </c>
      <c r="I8938" s="589" t="s">
        <v>280</v>
      </c>
    </row>
    <row r="8939" spans="1:9">
      <c r="A8939" s="577"/>
      <c r="B8939" s="65">
        <v>9137</v>
      </c>
      <c r="C8939" s="579" t="s">
        <v>281</v>
      </c>
      <c r="D8939" s="579"/>
      <c r="E8939" s="583"/>
      <c r="F8939" s="596"/>
      <c r="G8939" s="65">
        <v>0</v>
      </c>
      <c r="H8939" s="591" t="s">
        <v>280</v>
      </c>
      <c r="I8939" s="589" t="s">
        <v>280</v>
      </c>
    </row>
    <row r="8940" spans="1:9">
      <c r="A8940" s="577"/>
      <c r="B8940" s="65">
        <v>9138</v>
      </c>
      <c r="C8940" s="579" t="s">
        <v>281</v>
      </c>
      <c r="D8940" s="579"/>
      <c r="E8940" s="583"/>
      <c r="F8940" s="596"/>
      <c r="G8940" s="65">
        <v>0</v>
      </c>
      <c r="H8940" s="591" t="s">
        <v>280</v>
      </c>
      <c r="I8940" s="589" t="s">
        <v>280</v>
      </c>
    </row>
    <row r="8941" spans="1:9">
      <c r="A8941" s="577"/>
      <c r="B8941" s="65">
        <v>9139</v>
      </c>
      <c r="C8941" s="579" t="s">
        <v>281</v>
      </c>
      <c r="D8941" s="579"/>
      <c r="E8941" s="583"/>
      <c r="F8941" s="596"/>
      <c r="G8941" s="65">
        <v>0</v>
      </c>
      <c r="H8941" s="591" t="s">
        <v>280</v>
      </c>
      <c r="I8941" s="589" t="s">
        <v>280</v>
      </c>
    </row>
    <row r="8942" spans="1:9">
      <c r="A8942" s="577"/>
      <c r="B8942" s="65">
        <v>9140</v>
      </c>
      <c r="C8942" s="579" t="s">
        <v>281</v>
      </c>
      <c r="D8942" s="579"/>
      <c r="E8942" s="583"/>
      <c r="F8942" s="596"/>
      <c r="G8942" s="65">
        <v>0</v>
      </c>
      <c r="H8942" s="591" t="s">
        <v>280</v>
      </c>
      <c r="I8942" s="589" t="s">
        <v>280</v>
      </c>
    </row>
    <row r="8943" spans="1:9">
      <c r="A8943" s="577"/>
      <c r="B8943" s="65">
        <v>9141</v>
      </c>
      <c r="C8943" s="579" t="s">
        <v>281</v>
      </c>
      <c r="D8943" s="579"/>
      <c r="E8943" s="583"/>
      <c r="F8943" s="596"/>
      <c r="G8943" s="65">
        <v>0</v>
      </c>
      <c r="H8943" s="591" t="s">
        <v>280</v>
      </c>
      <c r="I8943" s="589" t="s">
        <v>280</v>
      </c>
    </row>
    <row r="8944" spans="1:9">
      <c r="A8944" s="577"/>
      <c r="B8944" s="65">
        <v>9142</v>
      </c>
      <c r="C8944" s="579" t="s">
        <v>281</v>
      </c>
      <c r="D8944" s="579"/>
      <c r="E8944" s="583"/>
      <c r="F8944" s="596"/>
      <c r="G8944" s="65">
        <v>0</v>
      </c>
      <c r="H8944" s="591" t="s">
        <v>280</v>
      </c>
      <c r="I8944" s="589" t="s">
        <v>280</v>
      </c>
    </row>
    <row r="8945" spans="1:9">
      <c r="A8945" s="577"/>
      <c r="B8945" s="65">
        <v>9143</v>
      </c>
      <c r="C8945" s="579" t="s">
        <v>281</v>
      </c>
      <c r="D8945" s="579"/>
      <c r="E8945" s="583"/>
      <c r="F8945" s="596"/>
      <c r="G8945" s="65">
        <v>0</v>
      </c>
      <c r="H8945" s="591" t="s">
        <v>280</v>
      </c>
      <c r="I8945" s="589" t="s">
        <v>280</v>
      </c>
    </row>
    <row r="8946" spans="1:9">
      <c r="A8946" s="577"/>
      <c r="B8946" s="65">
        <v>9144</v>
      </c>
      <c r="C8946" s="579" t="s">
        <v>281</v>
      </c>
      <c r="D8946" s="579"/>
      <c r="E8946" s="583"/>
      <c r="F8946" s="596"/>
      <c r="G8946" s="65">
        <v>0</v>
      </c>
      <c r="H8946" s="591" t="s">
        <v>280</v>
      </c>
      <c r="I8946" s="589" t="s">
        <v>280</v>
      </c>
    </row>
    <row r="8947" spans="1:9">
      <c r="A8947" s="577"/>
      <c r="B8947" s="65">
        <v>9145</v>
      </c>
      <c r="C8947" s="579" t="s">
        <v>281</v>
      </c>
      <c r="D8947" s="579"/>
      <c r="E8947" s="583"/>
      <c r="F8947" s="596"/>
      <c r="G8947" s="65">
        <v>0</v>
      </c>
      <c r="H8947" s="591" t="s">
        <v>280</v>
      </c>
      <c r="I8947" s="589" t="s">
        <v>280</v>
      </c>
    </row>
    <row r="8948" spans="1:9">
      <c r="A8948" s="577"/>
      <c r="B8948" s="65">
        <v>9146</v>
      </c>
      <c r="C8948" s="579" t="s">
        <v>281</v>
      </c>
      <c r="D8948" s="579"/>
      <c r="E8948" s="583"/>
      <c r="F8948" s="596"/>
      <c r="G8948" s="65">
        <v>0</v>
      </c>
      <c r="H8948" s="591" t="s">
        <v>280</v>
      </c>
      <c r="I8948" s="589" t="s">
        <v>280</v>
      </c>
    </row>
    <row r="8949" spans="1:9">
      <c r="A8949" s="577"/>
      <c r="B8949" s="65">
        <v>9147</v>
      </c>
      <c r="C8949" s="579" t="s">
        <v>281</v>
      </c>
      <c r="D8949" s="579"/>
      <c r="E8949" s="583"/>
      <c r="F8949" s="596"/>
      <c r="G8949" s="65">
        <v>0</v>
      </c>
      <c r="H8949" s="591" t="s">
        <v>280</v>
      </c>
      <c r="I8949" s="589" t="s">
        <v>280</v>
      </c>
    </row>
    <row r="8950" spans="1:9">
      <c r="A8950" s="577"/>
      <c r="B8950" s="65">
        <v>9148</v>
      </c>
      <c r="C8950" s="579" t="s">
        <v>281</v>
      </c>
      <c r="D8950" s="579"/>
      <c r="E8950" s="583"/>
      <c r="F8950" s="596"/>
      <c r="G8950" s="65">
        <v>0</v>
      </c>
      <c r="H8950" s="591" t="s">
        <v>280</v>
      </c>
      <c r="I8950" s="589" t="s">
        <v>280</v>
      </c>
    </row>
    <row r="8951" spans="1:9">
      <c r="A8951" s="577"/>
      <c r="B8951" s="65">
        <v>9149</v>
      </c>
      <c r="C8951" s="579" t="s">
        <v>281</v>
      </c>
      <c r="D8951" s="579"/>
      <c r="E8951" s="583"/>
      <c r="F8951" s="596"/>
      <c r="G8951" s="65">
        <v>0</v>
      </c>
      <c r="H8951" s="591" t="s">
        <v>280</v>
      </c>
      <c r="I8951" s="589" t="s">
        <v>280</v>
      </c>
    </row>
    <row r="8952" spans="1:9">
      <c r="A8952" s="577"/>
      <c r="B8952" s="65">
        <v>9150</v>
      </c>
      <c r="C8952" s="579" t="s">
        <v>281</v>
      </c>
      <c r="D8952" s="579"/>
      <c r="E8952" s="583"/>
      <c r="F8952" s="596"/>
      <c r="G8952" s="65">
        <v>0</v>
      </c>
      <c r="H8952" s="591" t="s">
        <v>280</v>
      </c>
      <c r="I8952" s="589" t="s">
        <v>280</v>
      </c>
    </row>
    <row r="8953" spans="1:9">
      <c r="A8953" s="577"/>
      <c r="B8953" s="65">
        <v>9151</v>
      </c>
      <c r="C8953" s="579" t="s">
        <v>281</v>
      </c>
      <c r="D8953" s="579"/>
      <c r="E8953" s="583"/>
      <c r="F8953" s="596"/>
      <c r="G8953" s="65">
        <v>0</v>
      </c>
      <c r="H8953" s="591" t="s">
        <v>280</v>
      </c>
      <c r="I8953" s="589" t="s">
        <v>280</v>
      </c>
    </row>
    <row r="8954" spans="1:9">
      <c r="A8954" s="577"/>
      <c r="B8954" s="65">
        <v>9152</v>
      </c>
      <c r="C8954" s="579" t="s">
        <v>281</v>
      </c>
      <c r="D8954" s="579"/>
      <c r="E8954" s="583"/>
      <c r="F8954" s="596"/>
      <c r="G8954" s="65">
        <v>0</v>
      </c>
      <c r="H8954" s="591" t="s">
        <v>280</v>
      </c>
      <c r="I8954" s="589" t="s">
        <v>280</v>
      </c>
    </row>
    <row r="8955" spans="1:9">
      <c r="A8955" s="577"/>
      <c r="B8955" s="65">
        <v>9153</v>
      </c>
      <c r="C8955" s="579" t="s">
        <v>281</v>
      </c>
      <c r="D8955" s="579"/>
      <c r="E8955" s="583"/>
      <c r="F8955" s="596"/>
      <c r="G8955" s="65">
        <v>0</v>
      </c>
      <c r="H8955" s="591" t="s">
        <v>280</v>
      </c>
      <c r="I8955" s="589" t="s">
        <v>280</v>
      </c>
    </row>
    <row r="8956" spans="1:9">
      <c r="A8956" s="577"/>
      <c r="B8956" s="65">
        <v>9154</v>
      </c>
      <c r="C8956" s="579" t="s">
        <v>281</v>
      </c>
      <c r="D8956" s="579"/>
      <c r="E8956" s="583"/>
      <c r="F8956" s="596"/>
      <c r="G8956" s="65">
        <v>0</v>
      </c>
      <c r="H8956" s="591" t="s">
        <v>280</v>
      </c>
      <c r="I8956" s="589" t="s">
        <v>280</v>
      </c>
    </row>
    <row r="8957" spans="1:9">
      <c r="A8957" s="577"/>
      <c r="B8957" s="65">
        <v>9155</v>
      </c>
      <c r="C8957" s="579" t="s">
        <v>281</v>
      </c>
      <c r="D8957" s="579"/>
      <c r="E8957" s="583"/>
      <c r="F8957" s="596"/>
      <c r="G8957" s="65">
        <v>0</v>
      </c>
      <c r="H8957" s="591" t="s">
        <v>280</v>
      </c>
      <c r="I8957" s="589" t="s">
        <v>280</v>
      </c>
    </row>
    <row r="8958" spans="1:9">
      <c r="A8958" s="577"/>
      <c r="B8958" s="65">
        <v>9156</v>
      </c>
      <c r="C8958" s="579" t="s">
        <v>281</v>
      </c>
      <c r="D8958" s="579"/>
      <c r="E8958" s="583"/>
      <c r="F8958" s="596"/>
      <c r="G8958" s="65">
        <v>0</v>
      </c>
      <c r="H8958" s="591" t="s">
        <v>280</v>
      </c>
      <c r="I8958" s="589" t="s">
        <v>280</v>
      </c>
    </row>
    <row r="8959" spans="1:9">
      <c r="A8959" s="577"/>
      <c r="B8959" s="65">
        <v>9157</v>
      </c>
      <c r="C8959" s="579" t="s">
        <v>281</v>
      </c>
      <c r="D8959" s="579"/>
      <c r="E8959" s="583"/>
      <c r="F8959" s="596"/>
      <c r="G8959" s="65">
        <v>0</v>
      </c>
      <c r="H8959" s="591" t="s">
        <v>280</v>
      </c>
      <c r="I8959" s="589" t="s">
        <v>280</v>
      </c>
    </row>
    <row r="8960" spans="1:9">
      <c r="A8960" s="577"/>
      <c r="B8960" s="65">
        <v>9158</v>
      </c>
      <c r="C8960" s="579" t="s">
        <v>281</v>
      </c>
      <c r="D8960" s="579"/>
      <c r="E8960" s="583"/>
      <c r="F8960" s="596"/>
      <c r="G8960" s="65">
        <v>0</v>
      </c>
      <c r="H8960" s="591" t="s">
        <v>280</v>
      </c>
      <c r="I8960" s="589" t="s">
        <v>280</v>
      </c>
    </row>
    <row r="8961" spans="1:9">
      <c r="A8961" s="577"/>
      <c r="B8961" s="65">
        <v>9159</v>
      </c>
      <c r="C8961" s="579" t="s">
        <v>281</v>
      </c>
      <c r="D8961" s="579"/>
      <c r="E8961" s="583"/>
      <c r="F8961" s="596"/>
      <c r="G8961" s="65">
        <v>0</v>
      </c>
      <c r="H8961" s="591" t="s">
        <v>280</v>
      </c>
      <c r="I8961" s="589" t="s">
        <v>280</v>
      </c>
    </row>
    <row r="8962" spans="1:9">
      <c r="A8962" s="577"/>
      <c r="B8962" s="65">
        <v>9160</v>
      </c>
      <c r="C8962" s="579" t="s">
        <v>281</v>
      </c>
      <c r="D8962" s="579"/>
      <c r="E8962" s="583"/>
      <c r="F8962" s="596"/>
      <c r="G8962" s="65">
        <v>0</v>
      </c>
      <c r="H8962" s="591" t="s">
        <v>280</v>
      </c>
      <c r="I8962" s="589" t="s">
        <v>280</v>
      </c>
    </row>
    <row r="8963" spans="1:9">
      <c r="A8963" s="577"/>
      <c r="B8963" s="65">
        <v>9161</v>
      </c>
      <c r="C8963" s="579" t="s">
        <v>281</v>
      </c>
      <c r="D8963" s="579"/>
      <c r="E8963" s="583"/>
      <c r="F8963" s="596"/>
      <c r="G8963" s="65">
        <v>0</v>
      </c>
      <c r="H8963" s="591" t="s">
        <v>280</v>
      </c>
      <c r="I8963" s="589" t="s">
        <v>280</v>
      </c>
    </row>
    <row r="8964" spans="1:9">
      <c r="A8964" s="577"/>
      <c r="B8964" s="65">
        <v>9162</v>
      </c>
      <c r="C8964" s="579" t="s">
        <v>281</v>
      </c>
      <c r="D8964" s="579"/>
      <c r="E8964" s="583"/>
      <c r="F8964" s="596"/>
      <c r="G8964" s="65">
        <v>0</v>
      </c>
      <c r="H8964" s="591" t="s">
        <v>280</v>
      </c>
      <c r="I8964" s="589" t="s">
        <v>280</v>
      </c>
    </row>
    <row r="8965" spans="1:9">
      <c r="A8965" s="577"/>
      <c r="B8965" s="65">
        <v>9163</v>
      </c>
      <c r="C8965" s="579" t="s">
        <v>281</v>
      </c>
      <c r="D8965" s="579"/>
      <c r="E8965" s="583"/>
      <c r="F8965" s="596"/>
      <c r="G8965" s="65">
        <v>0</v>
      </c>
      <c r="H8965" s="591" t="s">
        <v>280</v>
      </c>
      <c r="I8965" s="589" t="s">
        <v>280</v>
      </c>
    </row>
    <row r="8966" spans="1:9">
      <c r="A8966" s="577"/>
      <c r="B8966" s="65">
        <v>9164</v>
      </c>
      <c r="C8966" s="579" t="s">
        <v>281</v>
      </c>
      <c r="D8966" s="579"/>
      <c r="E8966" s="583"/>
      <c r="F8966" s="596"/>
      <c r="G8966" s="65">
        <v>0</v>
      </c>
      <c r="H8966" s="591" t="s">
        <v>280</v>
      </c>
      <c r="I8966" s="589" t="s">
        <v>280</v>
      </c>
    </row>
    <row r="8967" spans="1:9">
      <c r="A8967" s="577"/>
      <c r="B8967" s="65">
        <v>9165</v>
      </c>
      <c r="C8967" s="579" t="s">
        <v>281</v>
      </c>
      <c r="D8967" s="579"/>
      <c r="E8967" s="583"/>
      <c r="F8967" s="596"/>
      <c r="G8967" s="65">
        <v>0</v>
      </c>
      <c r="H8967" s="591" t="s">
        <v>280</v>
      </c>
      <c r="I8967" s="589" t="s">
        <v>280</v>
      </c>
    </row>
    <row r="8968" spans="1:9">
      <c r="A8968" s="577"/>
      <c r="B8968" s="65">
        <v>9166</v>
      </c>
      <c r="C8968" s="579" t="s">
        <v>281</v>
      </c>
      <c r="D8968" s="579"/>
      <c r="E8968" s="583"/>
      <c r="F8968" s="596"/>
      <c r="G8968" s="65">
        <v>0</v>
      </c>
      <c r="H8968" s="591" t="s">
        <v>280</v>
      </c>
      <c r="I8968" s="589" t="s">
        <v>280</v>
      </c>
    </row>
    <row r="8969" spans="1:9">
      <c r="A8969" s="577"/>
      <c r="B8969" s="65">
        <v>9167</v>
      </c>
      <c r="C8969" s="579" t="s">
        <v>281</v>
      </c>
      <c r="D8969" s="579"/>
      <c r="E8969" s="583"/>
      <c r="F8969" s="596"/>
      <c r="G8969" s="65">
        <v>0</v>
      </c>
      <c r="H8969" s="591" t="s">
        <v>280</v>
      </c>
      <c r="I8969" s="589" t="s">
        <v>280</v>
      </c>
    </row>
    <row r="8970" spans="1:9">
      <c r="A8970" s="577"/>
      <c r="B8970" s="65">
        <v>9168</v>
      </c>
      <c r="C8970" s="579" t="s">
        <v>281</v>
      </c>
      <c r="D8970" s="579"/>
      <c r="E8970" s="583"/>
      <c r="F8970" s="596"/>
      <c r="G8970" s="65">
        <v>0</v>
      </c>
      <c r="H8970" s="591" t="s">
        <v>280</v>
      </c>
      <c r="I8970" s="589" t="s">
        <v>280</v>
      </c>
    </row>
    <row r="8971" spans="1:9">
      <c r="A8971" s="577"/>
      <c r="B8971" s="65">
        <v>9169</v>
      </c>
      <c r="C8971" s="579" t="s">
        <v>281</v>
      </c>
      <c r="D8971" s="579"/>
      <c r="E8971" s="583"/>
      <c r="F8971" s="596"/>
      <c r="G8971" s="65">
        <v>0</v>
      </c>
      <c r="H8971" s="591" t="s">
        <v>280</v>
      </c>
      <c r="I8971" s="589" t="s">
        <v>280</v>
      </c>
    </row>
    <row r="8972" spans="1:9">
      <c r="A8972" s="577"/>
      <c r="B8972" s="65">
        <v>9170</v>
      </c>
      <c r="C8972" s="579" t="s">
        <v>281</v>
      </c>
      <c r="D8972" s="579"/>
      <c r="E8972" s="583"/>
      <c r="F8972" s="596"/>
      <c r="G8972" s="65">
        <v>0</v>
      </c>
      <c r="H8972" s="591" t="s">
        <v>280</v>
      </c>
      <c r="I8972" s="589" t="s">
        <v>280</v>
      </c>
    </row>
    <row r="8973" spans="1:9">
      <c r="A8973" s="577"/>
      <c r="B8973" s="65">
        <v>9171</v>
      </c>
      <c r="C8973" s="579" t="s">
        <v>281</v>
      </c>
      <c r="D8973" s="579"/>
      <c r="E8973" s="583"/>
      <c r="F8973" s="596"/>
      <c r="G8973" s="65">
        <v>0</v>
      </c>
      <c r="H8973" s="591" t="s">
        <v>280</v>
      </c>
      <c r="I8973" s="589" t="s">
        <v>280</v>
      </c>
    </row>
    <row r="8974" spans="1:9">
      <c r="A8974" s="577"/>
      <c r="B8974" s="65">
        <v>9172</v>
      </c>
      <c r="C8974" s="579" t="s">
        <v>281</v>
      </c>
      <c r="D8974" s="579"/>
      <c r="E8974" s="583"/>
      <c r="F8974" s="596"/>
      <c r="G8974" s="65">
        <v>0</v>
      </c>
      <c r="H8974" s="591" t="s">
        <v>280</v>
      </c>
      <c r="I8974" s="589" t="s">
        <v>280</v>
      </c>
    </row>
    <row r="8975" spans="1:9">
      <c r="A8975" s="577"/>
      <c r="B8975" s="65">
        <v>9173</v>
      </c>
      <c r="C8975" s="579" t="s">
        <v>281</v>
      </c>
      <c r="D8975" s="579"/>
      <c r="E8975" s="583"/>
      <c r="F8975" s="596"/>
      <c r="G8975" s="65">
        <v>0</v>
      </c>
      <c r="H8975" s="591" t="s">
        <v>280</v>
      </c>
      <c r="I8975" s="589" t="s">
        <v>280</v>
      </c>
    </row>
    <row r="8976" spans="1:9">
      <c r="A8976" s="577"/>
      <c r="B8976" s="65">
        <v>9174</v>
      </c>
      <c r="C8976" s="579" t="s">
        <v>281</v>
      </c>
      <c r="D8976" s="579"/>
      <c r="E8976" s="583"/>
      <c r="F8976" s="596"/>
      <c r="G8976" s="65">
        <v>0</v>
      </c>
      <c r="H8976" s="591" t="s">
        <v>280</v>
      </c>
      <c r="I8976" s="589" t="s">
        <v>280</v>
      </c>
    </row>
    <row r="8977" spans="1:9">
      <c r="A8977" s="577"/>
      <c r="B8977" s="65">
        <v>9175</v>
      </c>
      <c r="C8977" s="579" t="s">
        <v>281</v>
      </c>
      <c r="D8977" s="579"/>
      <c r="E8977" s="583"/>
      <c r="F8977" s="596"/>
      <c r="G8977" s="65">
        <v>0</v>
      </c>
      <c r="H8977" s="591" t="s">
        <v>280</v>
      </c>
      <c r="I8977" s="589" t="s">
        <v>280</v>
      </c>
    </row>
    <row r="8978" spans="1:9">
      <c r="A8978" s="577"/>
      <c r="B8978" s="65">
        <v>9176</v>
      </c>
      <c r="C8978" s="579" t="s">
        <v>281</v>
      </c>
      <c r="D8978" s="579"/>
      <c r="E8978" s="583"/>
      <c r="F8978" s="596"/>
      <c r="G8978" s="65">
        <v>0</v>
      </c>
      <c r="H8978" s="591" t="s">
        <v>280</v>
      </c>
      <c r="I8978" s="589" t="s">
        <v>280</v>
      </c>
    </row>
    <row r="8979" spans="1:9">
      <c r="A8979" s="577"/>
      <c r="B8979" s="65">
        <v>9177</v>
      </c>
      <c r="C8979" s="579" t="s">
        <v>281</v>
      </c>
      <c r="D8979" s="579"/>
      <c r="E8979" s="583"/>
      <c r="F8979" s="596"/>
      <c r="G8979" s="65">
        <v>0</v>
      </c>
      <c r="H8979" s="591" t="s">
        <v>280</v>
      </c>
      <c r="I8979" s="589" t="s">
        <v>280</v>
      </c>
    </row>
    <row r="8980" spans="1:9">
      <c r="A8980" s="577"/>
      <c r="B8980" s="65">
        <v>9178</v>
      </c>
      <c r="C8980" s="579" t="s">
        <v>281</v>
      </c>
      <c r="D8980" s="579"/>
      <c r="E8980" s="583"/>
      <c r="F8980" s="596"/>
      <c r="G8980" s="65">
        <v>0</v>
      </c>
      <c r="H8980" s="591" t="s">
        <v>280</v>
      </c>
      <c r="I8980" s="589" t="s">
        <v>280</v>
      </c>
    </row>
    <row r="8981" spans="1:9">
      <c r="A8981" s="577"/>
      <c r="B8981" s="65">
        <v>9179</v>
      </c>
      <c r="C8981" s="579" t="s">
        <v>281</v>
      </c>
      <c r="D8981" s="579"/>
      <c r="E8981" s="583"/>
      <c r="F8981" s="596"/>
      <c r="G8981" s="65">
        <v>0</v>
      </c>
      <c r="H8981" s="591" t="s">
        <v>280</v>
      </c>
      <c r="I8981" s="589" t="s">
        <v>280</v>
      </c>
    </row>
    <row r="8982" spans="1:9">
      <c r="A8982" s="577"/>
      <c r="B8982" s="65">
        <v>9180</v>
      </c>
      <c r="C8982" s="579" t="s">
        <v>281</v>
      </c>
      <c r="D8982" s="579"/>
      <c r="E8982" s="583"/>
      <c r="F8982" s="596"/>
      <c r="G8982" s="65">
        <v>0</v>
      </c>
      <c r="H8982" s="591" t="s">
        <v>280</v>
      </c>
      <c r="I8982" s="589" t="s">
        <v>280</v>
      </c>
    </row>
    <row r="8983" spans="1:9">
      <c r="A8983" s="577"/>
      <c r="B8983" s="65">
        <v>9181</v>
      </c>
      <c r="C8983" s="579" t="s">
        <v>281</v>
      </c>
      <c r="D8983" s="579"/>
      <c r="E8983" s="583"/>
      <c r="F8983" s="596"/>
      <c r="G8983" s="65">
        <v>0</v>
      </c>
      <c r="H8983" s="591" t="s">
        <v>280</v>
      </c>
      <c r="I8983" s="589" t="s">
        <v>280</v>
      </c>
    </row>
    <row r="8984" spans="1:9">
      <c r="A8984" s="577"/>
      <c r="B8984" s="65">
        <v>9182</v>
      </c>
      <c r="C8984" s="579" t="s">
        <v>281</v>
      </c>
      <c r="D8984" s="579"/>
      <c r="E8984" s="583"/>
      <c r="F8984" s="596"/>
      <c r="G8984" s="65">
        <v>0</v>
      </c>
      <c r="H8984" s="591" t="s">
        <v>280</v>
      </c>
      <c r="I8984" s="589" t="s">
        <v>280</v>
      </c>
    </row>
    <row r="8985" spans="1:9">
      <c r="A8985" s="577"/>
      <c r="B8985" s="65">
        <v>9183</v>
      </c>
      <c r="C8985" s="579" t="s">
        <v>281</v>
      </c>
      <c r="D8985" s="579"/>
      <c r="E8985" s="583"/>
      <c r="F8985" s="596"/>
      <c r="G8985" s="65">
        <v>0</v>
      </c>
      <c r="H8985" s="591" t="s">
        <v>280</v>
      </c>
      <c r="I8985" s="589" t="s">
        <v>280</v>
      </c>
    </row>
    <row r="8986" spans="1:9">
      <c r="A8986" s="577"/>
      <c r="B8986" s="65">
        <v>9184</v>
      </c>
      <c r="C8986" s="579" t="s">
        <v>281</v>
      </c>
      <c r="D8986" s="579"/>
      <c r="E8986" s="583"/>
      <c r="F8986" s="596"/>
      <c r="G8986" s="65">
        <v>0</v>
      </c>
      <c r="H8986" s="591" t="s">
        <v>280</v>
      </c>
      <c r="I8986" s="589" t="s">
        <v>280</v>
      </c>
    </row>
    <row r="8987" spans="1:9">
      <c r="A8987" s="577"/>
      <c r="B8987" s="65">
        <v>9185</v>
      </c>
      <c r="C8987" s="579" t="s">
        <v>281</v>
      </c>
      <c r="D8987" s="579"/>
      <c r="E8987" s="583"/>
      <c r="F8987" s="596"/>
      <c r="G8987" s="65">
        <v>0</v>
      </c>
      <c r="H8987" s="591" t="s">
        <v>280</v>
      </c>
      <c r="I8987" s="589" t="s">
        <v>280</v>
      </c>
    </row>
    <row r="8988" spans="1:9">
      <c r="A8988" s="577"/>
      <c r="B8988" s="65">
        <v>9186</v>
      </c>
      <c r="C8988" s="579" t="s">
        <v>281</v>
      </c>
      <c r="D8988" s="579"/>
      <c r="E8988" s="583"/>
      <c r="F8988" s="596"/>
      <c r="G8988" s="65">
        <v>0</v>
      </c>
      <c r="H8988" s="591" t="s">
        <v>280</v>
      </c>
      <c r="I8988" s="589" t="s">
        <v>280</v>
      </c>
    </row>
    <row r="8989" spans="1:9">
      <c r="A8989" s="577"/>
      <c r="B8989" s="65">
        <v>9187</v>
      </c>
      <c r="C8989" s="579" t="s">
        <v>281</v>
      </c>
      <c r="D8989" s="579"/>
      <c r="E8989" s="583"/>
      <c r="F8989" s="596"/>
      <c r="G8989" s="65">
        <v>0</v>
      </c>
      <c r="H8989" s="591" t="s">
        <v>280</v>
      </c>
      <c r="I8989" s="589" t="s">
        <v>280</v>
      </c>
    </row>
    <row r="8990" spans="1:9">
      <c r="A8990" s="577"/>
      <c r="B8990" s="65">
        <v>9188</v>
      </c>
      <c r="C8990" s="579" t="s">
        <v>281</v>
      </c>
      <c r="D8990" s="579"/>
      <c r="E8990" s="583"/>
      <c r="F8990" s="596"/>
      <c r="G8990" s="65">
        <v>0</v>
      </c>
      <c r="H8990" s="591" t="s">
        <v>280</v>
      </c>
      <c r="I8990" s="589" t="s">
        <v>280</v>
      </c>
    </row>
    <row r="8991" spans="1:9">
      <c r="A8991" s="577"/>
      <c r="B8991" s="65">
        <v>9189</v>
      </c>
      <c r="C8991" s="579" t="s">
        <v>281</v>
      </c>
      <c r="D8991" s="579"/>
      <c r="E8991" s="583"/>
      <c r="F8991" s="596"/>
      <c r="G8991" s="65">
        <v>0</v>
      </c>
      <c r="H8991" s="591" t="s">
        <v>280</v>
      </c>
      <c r="I8991" s="589" t="s">
        <v>280</v>
      </c>
    </row>
    <row r="8992" spans="1:9">
      <c r="A8992" s="577"/>
      <c r="B8992" s="65">
        <v>9190</v>
      </c>
      <c r="C8992" s="579" t="s">
        <v>281</v>
      </c>
      <c r="D8992" s="579"/>
      <c r="E8992" s="583"/>
      <c r="F8992" s="596"/>
      <c r="G8992" s="65">
        <v>0</v>
      </c>
      <c r="H8992" s="591" t="s">
        <v>280</v>
      </c>
      <c r="I8992" s="589" t="s">
        <v>280</v>
      </c>
    </row>
    <row r="8993" spans="1:9">
      <c r="A8993" s="577"/>
      <c r="B8993" s="65">
        <v>9191</v>
      </c>
      <c r="C8993" s="579" t="s">
        <v>281</v>
      </c>
      <c r="D8993" s="579"/>
      <c r="E8993" s="583"/>
      <c r="F8993" s="596"/>
      <c r="G8993" s="65">
        <v>0</v>
      </c>
      <c r="H8993" s="591" t="s">
        <v>280</v>
      </c>
      <c r="I8993" s="589" t="s">
        <v>280</v>
      </c>
    </row>
    <row r="8994" spans="1:9">
      <c r="A8994" s="577"/>
      <c r="B8994" s="65">
        <v>9192</v>
      </c>
      <c r="C8994" s="579" t="s">
        <v>281</v>
      </c>
      <c r="D8994" s="579"/>
      <c r="E8994" s="583"/>
      <c r="F8994" s="596"/>
      <c r="G8994" s="65">
        <v>0</v>
      </c>
      <c r="H8994" s="591" t="s">
        <v>280</v>
      </c>
      <c r="I8994" s="589" t="s">
        <v>280</v>
      </c>
    </row>
    <row r="8995" spans="1:9">
      <c r="A8995" s="577"/>
      <c r="B8995" s="65">
        <v>9193</v>
      </c>
      <c r="C8995" s="579" t="s">
        <v>281</v>
      </c>
      <c r="D8995" s="579"/>
      <c r="E8995" s="583"/>
      <c r="F8995" s="596"/>
      <c r="G8995" s="65">
        <v>0</v>
      </c>
      <c r="H8995" s="591" t="s">
        <v>280</v>
      </c>
      <c r="I8995" s="589" t="s">
        <v>280</v>
      </c>
    </row>
    <row r="8996" spans="1:9">
      <c r="A8996" s="577"/>
      <c r="B8996" s="65">
        <v>9194</v>
      </c>
      <c r="C8996" s="579" t="s">
        <v>281</v>
      </c>
      <c r="D8996" s="579"/>
      <c r="E8996" s="583"/>
      <c r="F8996" s="596"/>
      <c r="G8996" s="65">
        <v>0</v>
      </c>
      <c r="H8996" s="591" t="s">
        <v>280</v>
      </c>
      <c r="I8996" s="589" t="s">
        <v>280</v>
      </c>
    </row>
    <row r="8997" spans="1:9">
      <c r="A8997" s="577"/>
      <c r="B8997" s="65">
        <v>9195</v>
      </c>
      <c r="C8997" s="579" t="s">
        <v>281</v>
      </c>
      <c r="D8997" s="579"/>
      <c r="E8997" s="583"/>
      <c r="F8997" s="596"/>
      <c r="G8997" s="65">
        <v>0</v>
      </c>
      <c r="H8997" s="591" t="s">
        <v>280</v>
      </c>
      <c r="I8997" s="589" t="s">
        <v>280</v>
      </c>
    </row>
    <row r="8998" spans="1:9">
      <c r="A8998" s="577"/>
      <c r="B8998" s="65">
        <v>9196</v>
      </c>
      <c r="C8998" s="579" t="s">
        <v>281</v>
      </c>
      <c r="D8998" s="579"/>
      <c r="E8998" s="583"/>
      <c r="F8998" s="596"/>
      <c r="G8998" s="65">
        <v>0</v>
      </c>
      <c r="H8998" s="591" t="s">
        <v>280</v>
      </c>
      <c r="I8998" s="589" t="s">
        <v>280</v>
      </c>
    </row>
    <row r="8999" spans="1:9">
      <c r="A8999" s="577"/>
      <c r="B8999" s="65">
        <v>9197</v>
      </c>
      <c r="C8999" s="579" t="s">
        <v>281</v>
      </c>
      <c r="D8999" s="579"/>
      <c r="E8999" s="583"/>
      <c r="F8999" s="596"/>
      <c r="G8999" s="65">
        <v>0</v>
      </c>
      <c r="H8999" s="591" t="s">
        <v>280</v>
      </c>
      <c r="I8999" s="589" t="s">
        <v>280</v>
      </c>
    </row>
    <row r="9000" spans="1:9">
      <c r="A9000" s="577"/>
      <c r="B9000" s="65">
        <v>9198</v>
      </c>
      <c r="C9000" s="579" t="s">
        <v>281</v>
      </c>
      <c r="D9000" s="579"/>
      <c r="E9000" s="583"/>
      <c r="F9000" s="596"/>
      <c r="G9000" s="65">
        <v>0</v>
      </c>
      <c r="H9000" s="591" t="s">
        <v>280</v>
      </c>
      <c r="I9000" s="589" t="s">
        <v>280</v>
      </c>
    </row>
    <row r="9001" spans="1:9">
      <c r="A9001" s="577"/>
      <c r="B9001" s="65">
        <v>9199</v>
      </c>
      <c r="C9001" s="579" t="s">
        <v>281</v>
      </c>
      <c r="D9001" s="579"/>
      <c r="E9001" s="583"/>
      <c r="F9001" s="596"/>
      <c r="G9001" s="65">
        <v>0</v>
      </c>
      <c r="H9001" s="591" t="s">
        <v>280</v>
      </c>
      <c r="I9001" s="589" t="s">
        <v>280</v>
      </c>
    </row>
    <row r="9002" spans="1:9">
      <c r="A9002" s="577"/>
      <c r="B9002" s="65">
        <v>9200</v>
      </c>
      <c r="C9002" s="579" t="s">
        <v>281</v>
      </c>
      <c r="D9002" s="579"/>
      <c r="E9002" s="583"/>
      <c r="F9002" s="596"/>
      <c r="G9002" s="65">
        <v>0</v>
      </c>
      <c r="H9002" s="591" t="s">
        <v>280</v>
      </c>
      <c r="I9002" s="589" t="s">
        <v>280</v>
      </c>
    </row>
    <row r="9003" spans="1:9">
      <c r="A9003" s="577"/>
      <c r="B9003" s="65">
        <v>9201</v>
      </c>
      <c r="C9003" s="579" t="s">
        <v>281</v>
      </c>
      <c r="D9003" s="579"/>
      <c r="E9003" s="583"/>
      <c r="F9003" s="596"/>
      <c r="G9003" s="65">
        <v>0</v>
      </c>
      <c r="H9003" s="591" t="s">
        <v>280</v>
      </c>
      <c r="I9003" s="589" t="s">
        <v>280</v>
      </c>
    </row>
    <row r="9004" spans="1:9">
      <c r="A9004" s="577"/>
      <c r="B9004" s="65">
        <v>9202</v>
      </c>
      <c r="C9004" s="579" t="s">
        <v>281</v>
      </c>
      <c r="D9004" s="579"/>
      <c r="E9004" s="583"/>
      <c r="F9004" s="596"/>
      <c r="G9004" s="65">
        <v>0</v>
      </c>
      <c r="H9004" s="591" t="s">
        <v>280</v>
      </c>
      <c r="I9004" s="589" t="s">
        <v>280</v>
      </c>
    </row>
    <row r="9005" spans="1:9">
      <c r="A9005" s="577"/>
      <c r="B9005" s="65">
        <v>9203</v>
      </c>
      <c r="C9005" s="579" t="s">
        <v>281</v>
      </c>
      <c r="D9005" s="579"/>
      <c r="E9005" s="583"/>
      <c r="F9005" s="596"/>
      <c r="G9005" s="65">
        <v>0</v>
      </c>
      <c r="H9005" s="591" t="s">
        <v>280</v>
      </c>
      <c r="I9005" s="589" t="s">
        <v>280</v>
      </c>
    </row>
    <row r="9006" spans="1:9">
      <c r="A9006" s="577"/>
      <c r="B9006" s="65">
        <v>9204</v>
      </c>
      <c r="C9006" s="579" t="s">
        <v>281</v>
      </c>
      <c r="D9006" s="579"/>
      <c r="E9006" s="583"/>
      <c r="F9006" s="596"/>
      <c r="G9006" s="65">
        <v>0</v>
      </c>
      <c r="H9006" s="591" t="s">
        <v>280</v>
      </c>
      <c r="I9006" s="589" t="s">
        <v>280</v>
      </c>
    </row>
    <row r="9007" spans="1:9">
      <c r="A9007" s="577"/>
      <c r="B9007" s="65">
        <v>9205</v>
      </c>
      <c r="C9007" s="579" t="s">
        <v>281</v>
      </c>
      <c r="D9007" s="579"/>
      <c r="E9007" s="583"/>
      <c r="F9007" s="596"/>
      <c r="G9007" s="65">
        <v>0</v>
      </c>
      <c r="H9007" s="591" t="s">
        <v>280</v>
      </c>
      <c r="I9007" s="589" t="s">
        <v>280</v>
      </c>
    </row>
    <row r="9008" spans="1:9">
      <c r="A9008" s="577"/>
      <c r="B9008" s="65">
        <v>9206</v>
      </c>
      <c r="C9008" s="579" t="s">
        <v>281</v>
      </c>
      <c r="D9008" s="579"/>
      <c r="E9008" s="583"/>
      <c r="F9008" s="596"/>
      <c r="G9008" s="65">
        <v>0</v>
      </c>
      <c r="H9008" s="591" t="s">
        <v>280</v>
      </c>
      <c r="I9008" s="589" t="s">
        <v>280</v>
      </c>
    </row>
    <row r="9009" spans="1:9">
      <c r="A9009" s="577"/>
      <c r="B9009" s="65">
        <v>9207</v>
      </c>
      <c r="C9009" s="579" t="s">
        <v>281</v>
      </c>
      <c r="D9009" s="579"/>
      <c r="E9009" s="583"/>
      <c r="F9009" s="596"/>
      <c r="G9009" s="65">
        <v>0</v>
      </c>
      <c r="H9009" s="591" t="s">
        <v>280</v>
      </c>
      <c r="I9009" s="589" t="s">
        <v>280</v>
      </c>
    </row>
    <row r="9010" spans="1:9">
      <c r="A9010" s="577"/>
      <c r="B9010" s="65">
        <v>9208</v>
      </c>
      <c r="C9010" s="579" t="s">
        <v>281</v>
      </c>
      <c r="D9010" s="579"/>
      <c r="E9010" s="583"/>
      <c r="F9010" s="596"/>
      <c r="G9010" s="65">
        <v>0</v>
      </c>
      <c r="H9010" s="591" t="s">
        <v>280</v>
      </c>
      <c r="I9010" s="589" t="s">
        <v>280</v>
      </c>
    </row>
    <row r="9011" spans="1:9">
      <c r="A9011" s="577"/>
      <c r="B9011" s="65">
        <v>9209</v>
      </c>
      <c r="C9011" s="579" t="s">
        <v>281</v>
      </c>
      <c r="D9011" s="579"/>
      <c r="E9011" s="583"/>
      <c r="F9011" s="596"/>
      <c r="G9011" s="65">
        <v>0</v>
      </c>
      <c r="H9011" s="591" t="s">
        <v>280</v>
      </c>
      <c r="I9011" s="589" t="s">
        <v>280</v>
      </c>
    </row>
    <row r="9012" spans="1:9">
      <c r="A9012" s="577"/>
      <c r="B9012" s="65">
        <v>9210</v>
      </c>
      <c r="C9012" s="579" t="s">
        <v>281</v>
      </c>
      <c r="D9012" s="579"/>
      <c r="E9012" s="583"/>
      <c r="F9012" s="596"/>
      <c r="G9012" s="65">
        <v>0</v>
      </c>
      <c r="H9012" s="591" t="s">
        <v>280</v>
      </c>
      <c r="I9012" s="589" t="s">
        <v>280</v>
      </c>
    </row>
    <row r="9013" spans="1:9">
      <c r="A9013" s="577"/>
      <c r="B9013" s="65">
        <v>9211</v>
      </c>
      <c r="C9013" s="579" t="s">
        <v>281</v>
      </c>
      <c r="D9013" s="579"/>
      <c r="E9013" s="583"/>
      <c r="F9013" s="596"/>
      <c r="G9013" s="65">
        <v>0</v>
      </c>
      <c r="H9013" s="591" t="s">
        <v>280</v>
      </c>
      <c r="I9013" s="589" t="s">
        <v>280</v>
      </c>
    </row>
    <row r="9014" spans="1:9">
      <c r="A9014" s="577"/>
      <c r="B9014" s="65">
        <v>9212</v>
      </c>
      <c r="C9014" s="579" t="s">
        <v>281</v>
      </c>
      <c r="D9014" s="579"/>
      <c r="E9014" s="583"/>
      <c r="F9014" s="596"/>
      <c r="G9014" s="65">
        <v>0</v>
      </c>
      <c r="H9014" s="591" t="s">
        <v>280</v>
      </c>
      <c r="I9014" s="589" t="s">
        <v>280</v>
      </c>
    </row>
    <row r="9015" spans="1:9">
      <c r="A9015" s="577"/>
      <c r="B9015" s="65">
        <v>9213</v>
      </c>
      <c r="C9015" s="579" t="s">
        <v>281</v>
      </c>
      <c r="D9015" s="579"/>
      <c r="E9015" s="583"/>
      <c r="F9015" s="596"/>
      <c r="G9015" s="65">
        <v>0</v>
      </c>
      <c r="H9015" s="591" t="s">
        <v>280</v>
      </c>
      <c r="I9015" s="589" t="s">
        <v>280</v>
      </c>
    </row>
    <row r="9016" spans="1:9">
      <c r="A9016" s="577"/>
      <c r="B9016" s="65">
        <v>9214</v>
      </c>
      <c r="C9016" s="579" t="s">
        <v>281</v>
      </c>
      <c r="D9016" s="579"/>
      <c r="E9016" s="583"/>
      <c r="F9016" s="596"/>
      <c r="G9016" s="65">
        <v>0</v>
      </c>
      <c r="H9016" s="591" t="s">
        <v>280</v>
      </c>
      <c r="I9016" s="589" t="s">
        <v>280</v>
      </c>
    </row>
    <row r="9017" spans="1:9">
      <c r="A9017" s="577"/>
      <c r="B9017" s="65">
        <v>9215</v>
      </c>
      <c r="C9017" s="579" t="s">
        <v>281</v>
      </c>
      <c r="D9017" s="579"/>
      <c r="E9017" s="583"/>
      <c r="F9017" s="596"/>
      <c r="G9017" s="65">
        <v>0</v>
      </c>
      <c r="H9017" s="591" t="s">
        <v>280</v>
      </c>
      <c r="I9017" s="589" t="s">
        <v>280</v>
      </c>
    </row>
    <row r="9018" spans="1:9">
      <c r="A9018" s="577"/>
      <c r="B9018" s="65">
        <v>9216</v>
      </c>
      <c r="C9018" s="579" t="s">
        <v>281</v>
      </c>
      <c r="D9018" s="579"/>
      <c r="E9018" s="583"/>
      <c r="F9018" s="596"/>
      <c r="G9018" s="65">
        <v>0</v>
      </c>
      <c r="H9018" s="591" t="s">
        <v>280</v>
      </c>
      <c r="I9018" s="589" t="s">
        <v>280</v>
      </c>
    </row>
    <row r="9019" spans="1:9">
      <c r="A9019" s="577"/>
      <c r="B9019" s="65">
        <v>9217</v>
      </c>
      <c r="C9019" s="579" t="s">
        <v>281</v>
      </c>
      <c r="D9019" s="579"/>
      <c r="E9019" s="583"/>
      <c r="F9019" s="596"/>
      <c r="G9019" s="65">
        <v>0</v>
      </c>
      <c r="H9019" s="591" t="s">
        <v>280</v>
      </c>
      <c r="I9019" s="589" t="s">
        <v>280</v>
      </c>
    </row>
    <row r="9020" spans="1:9">
      <c r="A9020" s="577"/>
      <c r="B9020" s="65">
        <v>9218</v>
      </c>
      <c r="C9020" s="579" t="s">
        <v>281</v>
      </c>
      <c r="D9020" s="579"/>
      <c r="E9020" s="583"/>
      <c r="F9020" s="596"/>
      <c r="G9020" s="65">
        <v>0</v>
      </c>
      <c r="H9020" s="591" t="s">
        <v>280</v>
      </c>
      <c r="I9020" s="589" t="s">
        <v>280</v>
      </c>
    </row>
    <row r="9021" spans="1:9">
      <c r="A9021" s="577"/>
      <c r="B9021" s="65">
        <v>9219</v>
      </c>
      <c r="C9021" s="579" t="s">
        <v>281</v>
      </c>
      <c r="D9021" s="579"/>
      <c r="E9021" s="583"/>
      <c r="F9021" s="596"/>
      <c r="G9021" s="65">
        <v>0</v>
      </c>
      <c r="H9021" s="591" t="s">
        <v>280</v>
      </c>
      <c r="I9021" s="589" t="s">
        <v>280</v>
      </c>
    </row>
    <row r="9022" spans="1:9">
      <c r="A9022" s="577"/>
      <c r="B9022" s="65">
        <v>9220</v>
      </c>
      <c r="C9022" s="579" t="s">
        <v>281</v>
      </c>
      <c r="D9022" s="579"/>
      <c r="E9022" s="583"/>
      <c r="F9022" s="596"/>
      <c r="G9022" s="65">
        <v>0</v>
      </c>
      <c r="H9022" s="591" t="s">
        <v>280</v>
      </c>
      <c r="I9022" s="589" t="s">
        <v>280</v>
      </c>
    </row>
    <row r="9023" spans="1:9">
      <c r="A9023" s="577"/>
      <c r="B9023" s="65">
        <v>9221</v>
      </c>
      <c r="C9023" s="579" t="s">
        <v>281</v>
      </c>
      <c r="D9023" s="579"/>
      <c r="E9023" s="583"/>
      <c r="F9023" s="596"/>
      <c r="G9023" s="65">
        <v>0</v>
      </c>
      <c r="H9023" s="591" t="s">
        <v>280</v>
      </c>
      <c r="I9023" s="589" t="s">
        <v>280</v>
      </c>
    </row>
    <row r="9024" spans="1:9">
      <c r="A9024" s="577"/>
      <c r="B9024" s="65">
        <v>9222</v>
      </c>
      <c r="C9024" s="579" t="s">
        <v>281</v>
      </c>
      <c r="D9024" s="579"/>
      <c r="E9024" s="583"/>
      <c r="F9024" s="596"/>
      <c r="G9024" s="65">
        <v>0</v>
      </c>
      <c r="H9024" s="591" t="s">
        <v>280</v>
      </c>
      <c r="I9024" s="589" t="s">
        <v>280</v>
      </c>
    </row>
    <row r="9025" spans="1:9">
      <c r="A9025" s="577"/>
      <c r="B9025" s="65">
        <v>9223</v>
      </c>
      <c r="C9025" s="579" t="s">
        <v>281</v>
      </c>
      <c r="D9025" s="579"/>
      <c r="E9025" s="583"/>
      <c r="F9025" s="596"/>
      <c r="G9025" s="65">
        <v>0</v>
      </c>
      <c r="H9025" s="591" t="s">
        <v>280</v>
      </c>
      <c r="I9025" s="589" t="s">
        <v>280</v>
      </c>
    </row>
    <row r="9026" spans="1:9">
      <c r="A9026" s="577"/>
      <c r="B9026" s="65">
        <v>9224</v>
      </c>
      <c r="C9026" s="579" t="s">
        <v>281</v>
      </c>
      <c r="D9026" s="579"/>
      <c r="E9026" s="583"/>
      <c r="F9026" s="596"/>
      <c r="G9026" s="65">
        <v>0</v>
      </c>
      <c r="H9026" s="591" t="s">
        <v>280</v>
      </c>
      <c r="I9026" s="589" t="s">
        <v>280</v>
      </c>
    </row>
    <row r="9027" spans="1:9">
      <c r="A9027" s="577"/>
      <c r="B9027" s="65">
        <v>9225</v>
      </c>
      <c r="C9027" s="579" t="s">
        <v>281</v>
      </c>
      <c r="D9027" s="579"/>
      <c r="E9027" s="583"/>
      <c r="F9027" s="596"/>
      <c r="G9027" s="65">
        <v>0</v>
      </c>
      <c r="H9027" s="591" t="s">
        <v>280</v>
      </c>
      <c r="I9027" s="589" t="s">
        <v>280</v>
      </c>
    </row>
    <row r="9028" spans="1:9">
      <c r="A9028" s="577"/>
      <c r="B9028" s="65">
        <v>9226</v>
      </c>
      <c r="C9028" s="579" t="s">
        <v>281</v>
      </c>
      <c r="D9028" s="579"/>
      <c r="E9028" s="583"/>
      <c r="F9028" s="596"/>
      <c r="G9028" s="65">
        <v>0</v>
      </c>
      <c r="H9028" s="591" t="s">
        <v>280</v>
      </c>
      <c r="I9028" s="589" t="s">
        <v>280</v>
      </c>
    </row>
    <row r="9029" spans="1:9">
      <c r="A9029" s="577"/>
      <c r="B9029" s="65">
        <v>9227</v>
      </c>
      <c r="C9029" s="579" t="s">
        <v>281</v>
      </c>
      <c r="D9029" s="579"/>
      <c r="E9029" s="583"/>
      <c r="F9029" s="596"/>
      <c r="G9029" s="65">
        <v>0</v>
      </c>
      <c r="H9029" s="591" t="s">
        <v>280</v>
      </c>
      <c r="I9029" s="589" t="s">
        <v>280</v>
      </c>
    </row>
    <row r="9030" spans="1:9">
      <c r="A9030" s="577"/>
      <c r="B9030" s="65">
        <v>9228</v>
      </c>
      <c r="C9030" s="579" t="s">
        <v>281</v>
      </c>
      <c r="D9030" s="579"/>
      <c r="E9030" s="583"/>
      <c r="F9030" s="596"/>
      <c r="G9030" s="65">
        <v>0</v>
      </c>
      <c r="H9030" s="591" t="s">
        <v>280</v>
      </c>
      <c r="I9030" s="589" t="s">
        <v>280</v>
      </c>
    </row>
    <row r="9031" spans="1:9">
      <c r="A9031" s="577"/>
      <c r="B9031" s="65">
        <v>9229</v>
      </c>
      <c r="C9031" s="579" t="s">
        <v>281</v>
      </c>
      <c r="D9031" s="579"/>
      <c r="E9031" s="583"/>
      <c r="F9031" s="596"/>
      <c r="G9031" s="65">
        <v>0</v>
      </c>
      <c r="H9031" s="591" t="s">
        <v>280</v>
      </c>
      <c r="I9031" s="589" t="s">
        <v>280</v>
      </c>
    </row>
    <row r="9032" spans="1:9">
      <c r="A9032" s="577"/>
      <c r="B9032" s="65">
        <v>9230</v>
      </c>
      <c r="C9032" s="579" t="s">
        <v>281</v>
      </c>
      <c r="D9032" s="579"/>
      <c r="E9032" s="583"/>
      <c r="F9032" s="596"/>
      <c r="G9032" s="65">
        <v>0</v>
      </c>
      <c r="H9032" s="591" t="s">
        <v>280</v>
      </c>
      <c r="I9032" s="589" t="s">
        <v>280</v>
      </c>
    </row>
    <row r="9033" spans="1:9">
      <c r="A9033" s="577"/>
      <c r="B9033" s="65">
        <v>9231</v>
      </c>
      <c r="C9033" s="579" t="s">
        <v>281</v>
      </c>
      <c r="D9033" s="579"/>
      <c r="E9033" s="583"/>
      <c r="F9033" s="596"/>
      <c r="G9033" s="65">
        <v>0</v>
      </c>
      <c r="H9033" s="591" t="s">
        <v>280</v>
      </c>
      <c r="I9033" s="589" t="s">
        <v>280</v>
      </c>
    </row>
    <row r="9034" spans="1:9">
      <c r="A9034" s="577"/>
      <c r="B9034" s="65">
        <v>9232</v>
      </c>
      <c r="C9034" s="579" t="s">
        <v>281</v>
      </c>
      <c r="D9034" s="579"/>
      <c r="E9034" s="583"/>
      <c r="F9034" s="596"/>
      <c r="G9034" s="65">
        <v>0</v>
      </c>
      <c r="H9034" s="591" t="s">
        <v>280</v>
      </c>
      <c r="I9034" s="589" t="s">
        <v>280</v>
      </c>
    </row>
    <row r="9035" spans="1:9">
      <c r="A9035" s="577"/>
      <c r="B9035" s="65">
        <v>9233</v>
      </c>
      <c r="C9035" s="579" t="s">
        <v>281</v>
      </c>
      <c r="D9035" s="579"/>
      <c r="E9035" s="583"/>
      <c r="F9035" s="596"/>
      <c r="G9035" s="65">
        <v>0</v>
      </c>
      <c r="H9035" s="591" t="s">
        <v>280</v>
      </c>
      <c r="I9035" s="589" t="s">
        <v>280</v>
      </c>
    </row>
    <row r="9036" spans="1:9">
      <c r="A9036" s="577"/>
      <c r="B9036" s="65">
        <v>9234</v>
      </c>
      <c r="C9036" s="579" t="s">
        <v>281</v>
      </c>
      <c r="D9036" s="579"/>
      <c r="E9036" s="583"/>
      <c r="F9036" s="596"/>
      <c r="G9036" s="65">
        <v>0</v>
      </c>
      <c r="H9036" s="591" t="s">
        <v>280</v>
      </c>
      <c r="I9036" s="589" t="s">
        <v>280</v>
      </c>
    </row>
    <row r="9037" spans="1:9">
      <c r="A9037" s="577"/>
      <c r="B9037" s="65">
        <v>9235</v>
      </c>
      <c r="C9037" s="579" t="s">
        <v>281</v>
      </c>
      <c r="D9037" s="579"/>
      <c r="E9037" s="583"/>
      <c r="F9037" s="596"/>
      <c r="G9037" s="65">
        <v>0</v>
      </c>
      <c r="H9037" s="591" t="s">
        <v>280</v>
      </c>
      <c r="I9037" s="589" t="s">
        <v>280</v>
      </c>
    </row>
    <row r="9038" spans="1:9">
      <c r="A9038" s="577"/>
      <c r="B9038" s="65">
        <v>9236</v>
      </c>
      <c r="C9038" s="579" t="s">
        <v>281</v>
      </c>
      <c r="D9038" s="579"/>
      <c r="E9038" s="583"/>
      <c r="F9038" s="596"/>
      <c r="G9038" s="65">
        <v>0</v>
      </c>
      <c r="H9038" s="591" t="s">
        <v>280</v>
      </c>
      <c r="I9038" s="589" t="s">
        <v>280</v>
      </c>
    </row>
    <row r="9039" spans="1:9">
      <c r="A9039" s="577"/>
      <c r="B9039" s="65">
        <v>9237</v>
      </c>
      <c r="C9039" s="579" t="s">
        <v>281</v>
      </c>
      <c r="D9039" s="579"/>
      <c r="E9039" s="583"/>
      <c r="F9039" s="596"/>
      <c r="G9039" s="65">
        <v>0</v>
      </c>
      <c r="H9039" s="591" t="s">
        <v>280</v>
      </c>
      <c r="I9039" s="589" t="s">
        <v>280</v>
      </c>
    </row>
    <row r="9040" spans="1:9">
      <c r="A9040" s="577"/>
      <c r="B9040" s="65">
        <v>9238</v>
      </c>
      <c r="C9040" s="579" t="s">
        <v>281</v>
      </c>
      <c r="D9040" s="579"/>
      <c r="E9040" s="583"/>
      <c r="F9040" s="596"/>
      <c r="G9040" s="65">
        <v>0</v>
      </c>
      <c r="H9040" s="591" t="s">
        <v>280</v>
      </c>
      <c r="I9040" s="589" t="s">
        <v>280</v>
      </c>
    </row>
    <row r="9041" spans="1:9">
      <c r="A9041" s="577"/>
      <c r="B9041" s="65">
        <v>9239</v>
      </c>
      <c r="C9041" s="579" t="s">
        <v>281</v>
      </c>
      <c r="D9041" s="579"/>
      <c r="E9041" s="583"/>
      <c r="F9041" s="596"/>
      <c r="G9041" s="65">
        <v>0</v>
      </c>
      <c r="H9041" s="591" t="s">
        <v>280</v>
      </c>
      <c r="I9041" s="589" t="s">
        <v>280</v>
      </c>
    </row>
    <row r="9042" spans="1:9">
      <c r="A9042" s="577"/>
      <c r="B9042" s="65">
        <v>9240</v>
      </c>
      <c r="C9042" s="579" t="s">
        <v>281</v>
      </c>
      <c r="D9042" s="579"/>
      <c r="E9042" s="583"/>
      <c r="F9042" s="596"/>
      <c r="G9042" s="65">
        <v>0</v>
      </c>
      <c r="H9042" s="591" t="s">
        <v>280</v>
      </c>
      <c r="I9042" s="589" t="s">
        <v>280</v>
      </c>
    </row>
    <row r="9043" spans="1:9">
      <c r="A9043" s="577"/>
      <c r="B9043" s="65">
        <v>9241</v>
      </c>
      <c r="C9043" s="579" t="s">
        <v>281</v>
      </c>
      <c r="D9043" s="579"/>
      <c r="E9043" s="583"/>
      <c r="F9043" s="596"/>
      <c r="G9043" s="65">
        <v>0</v>
      </c>
      <c r="H9043" s="591" t="s">
        <v>280</v>
      </c>
      <c r="I9043" s="589" t="s">
        <v>280</v>
      </c>
    </row>
    <row r="9044" spans="1:9">
      <c r="A9044" s="577"/>
      <c r="B9044" s="65">
        <v>9242</v>
      </c>
      <c r="C9044" s="579" t="s">
        <v>281</v>
      </c>
      <c r="D9044" s="579"/>
      <c r="E9044" s="583"/>
      <c r="F9044" s="596"/>
      <c r="G9044" s="65">
        <v>0</v>
      </c>
      <c r="H9044" s="591" t="s">
        <v>280</v>
      </c>
      <c r="I9044" s="589" t="s">
        <v>280</v>
      </c>
    </row>
    <row r="9045" spans="1:9">
      <c r="A9045" s="577"/>
      <c r="B9045" s="65">
        <v>9243</v>
      </c>
      <c r="C9045" s="579" t="s">
        <v>281</v>
      </c>
      <c r="D9045" s="579"/>
      <c r="E9045" s="583"/>
      <c r="F9045" s="596"/>
      <c r="G9045" s="65">
        <v>0</v>
      </c>
      <c r="H9045" s="591" t="s">
        <v>280</v>
      </c>
      <c r="I9045" s="589" t="s">
        <v>280</v>
      </c>
    </row>
    <row r="9046" spans="1:9">
      <c r="A9046" s="577"/>
      <c r="B9046" s="65">
        <v>9244</v>
      </c>
      <c r="C9046" s="579" t="s">
        <v>281</v>
      </c>
      <c r="D9046" s="579"/>
      <c r="E9046" s="583"/>
      <c r="F9046" s="596"/>
      <c r="G9046" s="65">
        <v>0</v>
      </c>
      <c r="H9046" s="591" t="s">
        <v>280</v>
      </c>
      <c r="I9046" s="589" t="s">
        <v>280</v>
      </c>
    </row>
    <row r="9047" spans="1:9">
      <c r="A9047" s="577"/>
      <c r="B9047" s="65">
        <v>9245</v>
      </c>
      <c r="C9047" s="579" t="s">
        <v>281</v>
      </c>
      <c r="D9047" s="579"/>
      <c r="E9047" s="583"/>
      <c r="F9047" s="596"/>
      <c r="G9047" s="65">
        <v>0</v>
      </c>
      <c r="H9047" s="591" t="s">
        <v>280</v>
      </c>
      <c r="I9047" s="589" t="s">
        <v>280</v>
      </c>
    </row>
    <row r="9048" spans="1:9">
      <c r="A9048" s="577"/>
      <c r="B9048" s="65">
        <v>9246</v>
      </c>
      <c r="C9048" s="579" t="s">
        <v>281</v>
      </c>
      <c r="D9048" s="579"/>
      <c r="E9048" s="583"/>
      <c r="F9048" s="596"/>
      <c r="G9048" s="65">
        <v>0</v>
      </c>
      <c r="H9048" s="591" t="s">
        <v>280</v>
      </c>
      <c r="I9048" s="589" t="s">
        <v>280</v>
      </c>
    </row>
    <row r="9049" spans="1:9">
      <c r="A9049" s="577"/>
      <c r="B9049" s="65">
        <v>9247</v>
      </c>
      <c r="C9049" s="579" t="s">
        <v>281</v>
      </c>
      <c r="D9049" s="579"/>
      <c r="E9049" s="583"/>
      <c r="F9049" s="596"/>
      <c r="G9049" s="65">
        <v>0</v>
      </c>
      <c r="H9049" s="591" t="s">
        <v>280</v>
      </c>
      <c r="I9049" s="589" t="s">
        <v>280</v>
      </c>
    </row>
    <row r="9050" spans="1:9">
      <c r="A9050" s="577"/>
      <c r="B9050" s="65">
        <v>9248</v>
      </c>
      <c r="C9050" s="579" t="s">
        <v>281</v>
      </c>
      <c r="D9050" s="579"/>
      <c r="E9050" s="583"/>
      <c r="F9050" s="596"/>
      <c r="G9050" s="65">
        <v>0</v>
      </c>
      <c r="H9050" s="591" t="s">
        <v>280</v>
      </c>
      <c r="I9050" s="589" t="s">
        <v>280</v>
      </c>
    </row>
    <row r="9051" spans="1:9">
      <c r="A9051" s="577"/>
      <c r="B9051" s="65">
        <v>9249</v>
      </c>
      <c r="C9051" s="579" t="s">
        <v>281</v>
      </c>
      <c r="D9051" s="579"/>
      <c r="E9051" s="583"/>
      <c r="F9051" s="596"/>
      <c r="G9051" s="65">
        <v>0</v>
      </c>
      <c r="H9051" s="591" t="s">
        <v>280</v>
      </c>
      <c r="I9051" s="589" t="s">
        <v>280</v>
      </c>
    </row>
    <row r="9052" spans="1:9">
      <c r="A9052" s="577"/>
      <c r="B9052" s="65">
        <v>9250</v>
      </c>
      <c r="C9052" s="579" t="s">
        <v>281</v>
      </c>
      <c r="D9052" s="579"/>
      <c r="E9052" s="583"/>
      <c r="F9052" s="596"/>
      <c r="G9052" s="65">
        <v>0</v>
      </c>
      <c r="H9052" s="591" t="s">
        <v>280</v>
      </c>
      <c r="I9052" s="589" t="s">
        <v>280</v>
      </c>
    </row>
    <row r="9053" spans="1:9">
      <c r="A9053" s="577"/>
      <c r="B9053" s="65">
        <v>9251</v>
      </c>
      <c r="C9053" s="579" t="s">
        <v>281</v>
      </c>
      <c r="D9053" s="579"/>
      <c r="E9053" s="583"/>
      <c r="F9053" s="596"/>
      <c r="G9053" s="65">
        <v>0</v>
      </c>
      <c r="H9053" s="591" t="s">
        <v>280</v>
      </c>
      <c r="I9053" s="589" t="s">
        <v>280</v>
      </c>
    </row>
    <row r="9054" spans="1:9">
      <c r="A9054" s="577"/>
      <c r="B9054" s="65">
        <v>9252</v>
      </c>
      <c r="C9054" s="579" t="s">
        <v>281</v>
      </c>
      <c r="D9054" s="579"/>
      <c r="E9054" s="583"/>
      <c r="F9054" s="596"/>
      <c r="G9054" s="65">
        <v>0</v>
      </c>
      <c r="H9054" s="591" t="s">
        <v>280</v>
      </c>
      <c r="I9054" s="589" t="s">
        <v>280</v>
      </c>
    </row>
    <row r="9055" spans="1:9">
      <c r="A9055" s="577"/>
      <c r="B9055" s="65">
        <v>9253</v>
      </c>
      <c r="C9055" s="579" t="s">
        <v>281</v>
      </c>
      <c r="D9055" s="579"/>
      <c r="E9055" s="583"/>
      <c r="F9055" s="596"/>
      <c r="G9055" s="65">
        <v>0</v>
      </c>
      <c r="H9055" s="591" t="s">
        <v>280</v>
      </c>
      <c r="I9055" s="589" t="s">
        <v>280</v>
      </c>
    </row>
    <row r="9056" spans="1:9">
      <c r="A9056" s="577"/>
      <c r="B9056" s="65">
        <v>9254</v>
      </c>
      <c r="C9056" s="579" t="s">
        <v>281</v>
      </c>
      <c r="D9056" s="579"/>
      <c r="E9056" s="583"/>
      <c r="F9056" s="596"/>
      <c r="G9056" s="65">
        <v>0</v>
      </c>
      <c r="H9056" s="591" t="s">
        <v>280</v>
      </c>
      <c r="I9056" s="589" t="s">
        <v>280</v>
      </c>
    </row>
    <row r="9057" spans="1:9">
      <c r="A9057" s="577"/>
      <c r="B9057" s="65">
        <v>9255</v>
      </c>
      <c r="C9057" s="579" t="s">
        <v>281</v>
      </c>
      <c r="D9057" s="579"/>
      <c r="E9057" s="583"/>
      <c r="F9057" s="596"/>
      <c r="G9057" s="65">
        <v>0</v>
      </c>
      <c r="H9057" s="591" t="s">
        <v>280</v>
      </c>
      <c r="I9057" s="589" t="s">
        <v>280</v>
      </c>
    </row>
    <row r="9058" spans="1:9">
      <c r="A9058" s="577"/>
      <c r="B9058" s="65">
        <v>9256</v>
      </c>
      <c r="C9058" s="579" t="s">
        <v>281</v>
      </c>
      <c r="D9058" s="579"/>
      <c r="E9058" s="583"/>
      <c r="F9058" s="596"/>
      <c r="G9058" s="65">
        <v>0</v>
      </c>
      <c r="H9058" s="591" t="s">
        <v>280</v>
      </c>
      <c r="I9058" s="589" t="s">
        <v>280</v>
      </c>
    </row>
    <row r="9059" spans="1:9">
      <c r="A9059" s="577"/>
      <c r="B9059" s="65">
        <v>9257</v>
      </c>
      <c r="C9059" s="579" t="s">
        <v>281</v>
      </c>
      <c r="D9059" s="579"/>
      <c r="E9059" s="583"/>
      <c r="F9059" s="596"/>
      <c r="G9059" s="65">
        <v>0</v>
      </c>
      <c r="H9059" s="591" t="s">
        <v>280</v>
      </c>
      <c r="I9059" s="589" t="s">
        <v>280</v>
      </c>
    </row>
    <row r="9060" spans="1:9">
      <c r="A9060" s="577"/>
      <c r="B9060" s="65">
        <v>9258</v>
      </c>
      <c r="C9060" s="579" t="s">
        <v>281</v>
      </c>
      <c r="D9060" s="579"/>
      <c r="E9060" s="583"/>
      <c r="F9060" s="596"/>
      <c r="G9060" s="65">
        <v>0</v>
      </c>
      <c r="H9060" s="591" t="s">
        <v>280</v>
      </c>
      <c r="I9060" s="589" t="s">
        <v>280</v>
      </c>
    </row>
    <row r="9061" spans="1:9">
      <c r="A9061" s="577"/>
      <c r="B9061" s="65">
        <v>9259</v>
      </c>
      <c r="C9061" s="579" t="s">
        <v>281</v>
      </c>
      <c r="D9061" s="579"/>
      <c r="E9061" s="583"/>
      <c r="F9061" s="596"/>
      <c r="G9061" s="65">
        <v>0</v>
      </c>
      <c r="H9061" s="591" t="s">
        <v>280</v>
      </c>
      <c r="I9061" s="589" t="s">
        <v>280</v>
      </c>
    </row>
    <row r="9062" spans="1:9">
      <c r="A9062" s="577"/>
      <c r="B9062" s="65">
        <v>9260</v>
      </c>
      <c r="C9062" s="579" t="s">
        <v>281</v>
      </c>
      <c r="D9062" s="579"/>
      <c r="E9062" s="583"/>
      <c r="F9062" s="596"/>
      <c r="G9062" s="65">
        <v>0</v>
      </c>
      <c r="H9062" s="591" t="s">
        <v>280</v>
      </c>
      <c r="I9062" s="589" t="s">
        <v>280</v>
      </c>
    </row>
    <row r="9063" spans="1:9">
      <c r="A9063" s="577"/>
      <c r="B9063" s="65">
        <v>9261</v>
      </c>
      <c r="C9063" s="579" t="s">
        <v>281</v>
      </c>
      <c r="D9063" s="579"/>
      <c r="E9063" s="583"/>
      <c r="F9063" s="596"/>
      <c r="G9063" s="65">
        <v>0</v>
      </c>
      <c r="H9063" s="591" t="s">
        <v>280</v>
      </c>
      <c r="I9063" s="589" t="s">
        <v>280</v>
      </c>
    </row>
    <row r="9064" spans="1:9">
      <c r="A9064" s="577"/>
      <c r="B9064" s="65">
        <v>9262</v>
      </c>
      <c r="C9064" s="579" t="s">
        <v>281</v>
      </c>
      <c r="D9064" s="579"/>
      <c r="E9064" s="583"/>
      <c r="F9064" s="596"/>
      <c r="G9064" s="65">
        <v>0</v>
      </c>
      <c r="H9064" s="591" t="s">
        <v>280</v>
      </c>
      <c r="I9064" s="589" t="s">
        <v>280</v>
      </c>
    </row>
    <row r="9065" spans="1:9">
      <c r="A9065" s="577"/>
      <c r="B9065" s="65">
        <v>9263</v>
      </c>
      <c r="C9065" s="579" t="s">
        <v>281</v>
      </c>
      <c r="D9065" s="579"/>
      <c r="E9065" s="583"/>
      <c r="F9065" s="596"/>
      <c r="G9065" s="65">
        <v>0</v>
      </c>
      <c r="H9065" s="591" t="s">
        <v>280</v>
      </c>
      <c r="I9065" s="589" t="s">
        <v>280</v>
      </c>
    </row>
    <row r="9066" spans="1:9">
      <c r="A9066" s="577"/>
      <c r="B9066" s="65">
        <v>9264</v>
      </c>
      <c r="C9066" s="579" t="s">
        <v>281</v>
      </c>
      <c r="D9066" s="579"/>
      <c r="E9066" s="583"/>
      <c r="F9066" s="596"/>
      <c r="G9066" s="65">
        <v>0</v>
      </c>
      <c r="H9066" s="591" t="s">
        <v>280</v>
      </c>
      <c r="I9066" s="589" t="s">
        <v>280</v>
      </c>
    </row>
    <row r="9067" spans="1:9">
      <c r="A9067" s="577"/>
      <c r="B9067" s="65">
        <v>9265</v>
      </c>
      <c r="C9067" s="579" t="s">
        <v>281</v>
      </c>
      <c r="D9067" s="579"/>
      <c r="E9067" s="583"/>
      <c r="F9067" s="596"/>
      <c r="G9067" s="65">
        <v>0</v>
      </c>
      <c r="H9067" s="591" t="s">
        <v>280</v>
      </c>
      <c r="I9067" s="589" t="s">
        <v>280</v>
      </c>
    </row>
    <row r="9068" spans="1:9">
      <c r="A9068" s="577"/>
      <c r="B9068" s="65">
        <v>9266</v>
      </c>
      <c r="C9068" s="579" t="s">
        <v>281</v>
      </c>
      <c r="D9068" s="579"/>
      <c r="E9068" s="583"/>
      <c r="F9068" s="596"/>
      <c r="G9068" s="65">
        <v>0</v>
      </c>
      <c r="H9068" s="591" t="s">
        <v>280</v>
      </c>
      <c r="I9068" s="589" t="s">
        <v>280</v>
      </c>
    </row>
    <row r="9069" spans="1:9">
      <c r="A9069" s="577"/>
      <c r="B9069" s="65">
        <v>9267</v>
      </c>
      <c r="C9069" s="579" t="s">
        <v>281</v>
      </c>
      <c r="D9069" s="579"/>
      <c r="E9069" s="583"/>
      <c r="F9069" s="596"/>
      <c r="G9069" s="65">
        <v>0</v>
      </c>
      <c r="H9069" s="591" t="s">
        <v>280</v>
      </c>
      <c r="I9069" s="589" t="s">
        <v>280</v>
      </c>
    </row>
    <row r="9070" spans="1:9">
      <c r="A9070" s="577"/>
      <c r="B9070" s="65">
        <v>9268</v>
      </c>
      <c r="C9070" s="579" t="s">
        <v>281</v>
      </c>
      <c r="D9070" s="579"/>
      <c r="E9070" s="583"/>
      <c r="F9070" s="596"/>
      <c r="G9070" s="65">
        <v>0</v>
      </c>
      <c r="H9070" s="591" t="s">
        <v>280</v>
      </c>
      <c r="I9070" s="589" t="s">
        <v>280</v>
      </c>
    </row>
    <row r="9071" spans="1:9">
      <c r="A9071" s="577"/>
      <c r="B9071" s="65">
        <v>9269</v>
      </c>
      <c r="C9071" s="579" t="s">
        <v>281</v>
      </c>
      <c r="D9071" s="579"/>
      <c r="E9071" s="583"/>
      <c r="F9071" s="596"/>
      <c r="G9071" s="65">
        <v>0</v>
      </c>
      <c r="H9071" s="591" t="s">
        <v>280</v>
      </c>
      <c r="I9071" s="589" t="s">
        <v>280</v>
      </c>
    </row>
    <row r="9072" spans="1:9">
      <c r="A9072" s="577"/>
      <c r="B9072" s="65">
        <v>9270</v>
      </c>
      <c r="C9072" s="579" t="s">
        <v>281</v>
      </c>
      <c r="D9072" s="579"/>
      <c r="E9072" s="583"/>
      <c r="F9072" s="596"/>
      <c r="G9072" s="65">
        <v>0</v>
      </c>
      <c r="H9072" s="591" t="s">
        <v>280</v>
      </c>
      <c r="I9072" s="589" t="s">
        <v>280</v>
      </c>
    </row>
    <row r="9073" spans="1:9">
      <c r="A9073" s="577"/>
      <c r="B9073" s="65">
        <v>9271</v>
      </c>
      <c r="C9073" s="579" t="s">
        <v>281</v>
      </c>
      <c r="D9073" s="579"/>
      <c r="E9073" s="583"/>
      <c r="F9073" s="596"/>
      <c r="G9073" s="65">
        <v>0</v>
      </c>
      <c r="H9073" s="591" t="s">
        <v>280</v>
      </c>
      <c r="I9073" s="589" t="s">
        <v>280</v>
      </c>
    </row>
    <row r="9074" spans="1:9">
      <c r="A9074" s="577"/>
      <c r="B9074" s="65">
        <v>9272</v>
      </c>
      <c r="C9074" s="579" t="s">
        <v>281</v>
      </c>
      <c r="D9074" s="579"/>
      <c r="E9074" s="583"/>
      <c r="F9074" s="596"/>
      <c r="G9074" s="65">
        <v>0</v>
      </c>
      <c r="H9074" s="591" t="s">
        <v>280</v>
      </c>
      <c r="I9074" s="589" t="s">
        <v>280</v>
      </c>
    </row>
    <row r="9075" spans="1:9">
      <c r="A9075" s="577"/>
      <c r="B9075" s="65">
        <v>9273</v>
      </c>
      <c r="C9075" s="579" t="s">
        <v>281</v>
      </c>
      <c r="D9075" s="579"/>
      <c r="E9075" s="583"/>
      <c r="F9075" s="596"/>
      <c r="G9075" s="65">
        <v>0</v>
      </c>
      <c r="H9075" s="591" t="s">
        <v>280</v>
      </c>
      <c r="I9075" s="589" t="s">
        <v>280</v>
      </c>
    </row>
    <row r="9076" spans="1:9">
      <c r="A9076" s="577"/>
      <c r="B9076" s="65">
        <v>9274</v>
      </c>
      <c r="C9076" s="579" t="s">
        <v>281</v>
      </c>
      <c r="D9076" s="579"/>
      <c r="E9076" s="583"/>
      <c r="F9076" s="596"/>
      <c r="G9076" s="65">
        <v>0</v>
      </c>
      <c r="H9076" s="591" t="s">
        <v>280</v>
      </c>
      <c r="I9076" s="589" t="s">
        <v>280</v>
      </c>
    </row>
    <row r="9077" spans="1:9">
      <c r="A9077" s="577"/>
      <c r="B9077" s="65">
        <v>9275</v>
      </c>
      <c r="C9077" s="579" t="s">
        <v>281</v>
      </c>
      <c r="D9077" s="579"/>
      <c r="E9077" s="583"/>
      <c r="F9077" s="596"/>
      <c r="G9077" s="65">
        <v>0</v>
      </c>
      <c r="H9077" s="591" t="s">
        <v>280</v>
      </c>
      <c r="I9077" s="589" t="s">
        <v>280</v>
      </c>
    </row>
    <row r="9078" spans="1:9">
      <c r="A9078" s="577"/>
      <c r="B9078" s="65">
        <v>9276</v>
      </c>
      <c r="C9078" s="579" t="s">
        <v>281</v>
      </c>
      <c r="D9078" s="579"/>
      <c r="E9078" s="583"/>
      <c r="F9078" s="596"/>
      <c r="G9078" s="65">
        <v>0</v>
      </c>
      <c r="H9078" s="591" t="s">
        <v>280</v>
      </c>
      <c r="I9078" s="589" t="s">
        <v>280</v>
      </c>
    </row>
    <row r="9079" spans="1:9">
      <c r="A9079" s="577"/>
      <c r="B9079" s="65">
        <v>9277</v>
      </c>
      <c r="C9079" s="579" t="s">
        <v>281</v>
      </c>
      <c r="D9079" s="579"/>
      <c r="E9079" s="583"/>
      <c r="F9079" s="596"/>
      <c r="G9079" s="65">
        <v>0</v>
      </c>
      <c r="H9079" s="591" t="s">
        <v>280</v>
      </c>
      <c r="I9079" s="589" t="s">
        <v>280</v>
      </c>
    </row>
    <row r="9080" spans="1:9">
      <c r="A9080" s="577"/>
      <c r="B9080" s="65">
        <v>9278</v>
      </c>
      <c r="C9080" s="579" t="s">
        <v>281</v>
      </c>
      <c r="D9080" s="579"/>
      <c r="E9080" s="583"/>
      <c r="F9080" s="596"/>
      <c r="G9080" s="65">
        <v>0</v>
      </c>
      <c r="H9080" s="591" t="s">
        <v>280</v>
      </c>
      <c r="I9080" s="589" t="s">
        <v>280</v>
      </c>
    </row>
    <row r="9081" spans="1:9">
      <c r="A9081" s="577"/>
      <c r="B9081" s="65">
        <v>9279</v>
      </c>
      <c r="C9081" s="579" t="s">
        <v>281</v>
      </c>
      <c r="D9081" s="579"/>
      <c r="E9081" s="583"/>
      <c r="F9081" s="596"/>
      <c r="G9081" s="65">
        <v>0</v>
      </c>
      <c r="H9081" s="591" t="s">
        <v>280</v>
      </c>
      <c r="I9081" s="589" t="s">
        <v>280</v>
      </c>
    </row>
    <row r="9082" spans="1:9">
      <c r="A9082" s="577"/>
      <c r="B9082" s="65">
        <v>9280</v>
      </c>
      <c r="C9082" s="579" t="s">
        <v>281</v>
      </c>
      <c r="D9082" s="579"/>
      <c r="E9082" s="583"/>
      <c r="F9082" s="596"/>
      <c r="G9082" s="65">
        <v>0</v>
      </c>
      <c r="H9082" s="591" t="s">
        <v>280</v>
      </c>
      <c r="I9082" s="589" t="s">
        <v>280</v>
      </c>
    </row>
    <row r="9083" spans="1:9">
      <c r="A9083" s="577"/>
      <c r="B9083" s="65">
        <v>9281</v>
      </c>
      <c r="C9083" s="579" t="s">
        <v>281</v>
      </c>
      <c r="D9083" s="579"/>
      <c r="E9083" s="583"/>
      <c r="F9083" s="596"/>
      <c r="G9083" s="65">
        <v>0</v>
      </c>
      <c r="H9083" s="591" t="s">
        <v>280</v>
      </c>
      <c r="I9083" s="589" t="s">
        <v>280</v>
      </c>
    </row>
    <row r="9084" spans="1:9">
      <c r="A9084" s="577"/>
      <c r="B9084" s="65">
        <v>9282</v>
      </c>
      <c r="C9084" s="579" t="s">
        <v>281</v>
      </c>
      <c r="D9084" s="579"/>
      <c r="E9084" s="583"/>
      <c r="F9084" s="596"/>
      <c r="G9084" s="65">
        <v>0</v>
      </c>
      <c r="H9084" s="591" t="s">
        <v>280</v>
      </c>
      <c r="I9084" s="589" t="s">
        <v>280</v>
      </c>
    </row>
    <row r="9085" spans="1:9">
      <c r="A9085" s="577"/>
      <c r="B9085" s="65">
        <v>9283</v>
      </c>
      <c r="C9085" s="579" t="s">
        <v>281</v>
      </c>
      <c r="D9085" s="579"/>
      <c r="E9085" s="583"/>
      <c r="F9085" s="596"/>
      <c r="G9085" s="65">
        <v>0</v>
      </c>
      <c r="H9085" s="591" t="s">
        <v>280</v>
      </c>
      <c r="I9085" s="589" t="s">
        <v>280</v>
      </c>
    </row>
    <row r="9086" spans="1:9">
      <c r="A9086" s="577"/>
      <c r="B9086" s="65">
        <v>9284</v>
      </c>
      <c r="C9086" s="579" t="s">
        <v>281</v>
      </c>
      <c r="D9086" s="579"/>
      <c r="E9086" s="583"/>
      <c r="F9086" s="596"/>
      <c r="G9086" s="65">
        <v>0</v>
      </c>
      <c r="H9086" s="591" t="s">
        <v>280</v>
      </c>
      <c r="I9086" s="589" t="s">
        <v>280</v>
      </c>
    </row>
    <row r="9087" spans="1:9">
      <c r="A9087" s="577"/>
      <c r="B9087" s="65">
        <v>9285</v>
      </c>
      <c r="C9087" s="579" t="s">
        <v>281</v>
      </c>
      <c r="D9087" s="579"/>
      <c r="E9087" s="583"/>
      <c r="F9087" s="596"/>
      <c r="G9087" s="65">
        <v>0</v>
      </c>
      <c r="H9087" s="591" t="s">
        <v>280</v>
      </c>
      <c r="I9087" s="589" t="s">
        <v>280</v>
      </c>
    </row>
    <row r="9088" spans="1:9">
      <c r="A9088" s="577"/>
      <c r="B9088" s="65">
        <v>9286</v>
      </c>
      <c r="C9088" s="579" t="s">
        <v>281</v>
      </c>
      <c r="D9088" s="579"/>
      <c r="E9088" s="583"/>
      <c r="F9088" s="596"/>
      <c r="G9088" s="65">
        <v>0</v>
      </c>
      <c r="H9088" s="591" t="s">
        <v>280</v>
      </c>
      <c r="I9088" s="589" t="s">
        <v>280</v>
      </c>
    </row>
    <row r="9089" spans="1:9">
      <c r="A9089" s="577"/>
      <c r="B9089" s="65">
        <v>9287</v>
      </c>
      <c r="C9089" s="579" t="s">
        <v>281</v>
      </c>
      <c r="D9089" s="579"/>
      <c r="E9089" s="583"/>
      <c r="F9089" s="596"/>
      <c r="G9089" s="65">
        <v>0</v>
      </c>
      <c r="H9089" s="591" t="s">
        <v>280</v>
      </c>
      <c r="I9089" s="589" t="s">
        <v>280</v>
      </c>
    </row>
    <row r="9090" spans="1:9">
      <c r="A9090" s="577"/>
      <c r="B9090" s="65">
        <v>9288</v>
      </c>
      <c r="C9090" s="579" t="s">
        <v>281</v>
      </c>
      <c r="D9090" s="579"/>
      <c r="E9090" s="583"/>
      <c r="F9090" s="596"/>
      <c r="G9090" s="65">
        <v>0</v>
      </c>
      <c r="H9090" s="591" t="s">
        <v>280</v>
      </c>
      <c r="I9090" s="589" t="s">
        <v>280</v>
      </c>
    </row>
    <row r="9091" spans="1:9">
      <c r="A9091" s="577"/>
      <c r="B9091" s="65">
        <v>9289</v>
      </c>
      <c r="C9091" s="579" t="s">
        <v>281</v>
      </c>
      <c r="D9091" s="579"/>
      <c r="E9091" s="583"/>
      <c r="F9091" s="596"/>
      <c r="G9091" s="65">
        <v>0</v>
      </c>
      <c r="H9091" s="591" t="s">
        <v>280</v>
      </c>
      <c r="I9091" s="589" t="s">
        <v>280</v>
      </c>
    </row>
    <row r="9092" spans="1:9">
      <c r="A9092" s="577"/>
      <c r="B9092" s="65">
        <v>9290</v>
      </c>
      <c r="C9092" s="579" t="s">
        <v>281</v>
      </c>
      <c r="D9092" s="579"/>
      <c r="E9092" s="583"/>
      <c r="F9092" s="596"/>
      <c r="G9092" s="65">
        <v>0</v>
      </c>
      <c r="H9092" s="591" t="s">
        <v>280</v>
      </c>
      <c r="I9092" s="589" t="s">
        <v>280</v>
      </c>
    </row>
    <row r="9093" spans="1:9">
      <c r="A9093" s="577"/>
      <c r="B9093" s="65">
        <v>9291</v>
      </c>
      <c r="C9093" s="579" t="s">
        <v>281</v>
      </c>
      <c r="D9093" s="579"/>
      <c r="E9093" s="583"/>
      <c r="F9093" s="596"/>
      <c r="G9093" s="65">
        <v>0</v>
      </c>
      <c r="H9093" s="591" t="s">
        <v>280</v>
      </c>
      <c r="I9093" s="589" t="s">
        <v>280</v>
      </c>
    </row>
    <row r="9094" spans="1:9">
      <c r="A9094" s="577"/>
      <c r="B9094" s="65">
        <v>9292</v>
      </c>
      <c r="C9094" s="579" t="s">
        <v>281</v>
      </c>
      <c r="D9094" s="579"/>
      <c r="E9094" s="583"/>
      <c r="F9094" s="596"/>
      <c r="G9094" s="65">
        <v>0</v>
      </c>
      <c r="H9094" s="591" t="s">
        <v>280</v>
      </c>
      <c r="I9094" s="589" t="s">
        <v>280</v>
      </c>
    </row>
    <row r="9095" spans="1:9">
      <c r="A9095" s="577"/>
      <c r="B9095" s="65">
        <v>9293</v>
      </c>
      <c r="C9095" s="579" t="s">
        <v>281</v>
      </c>
      <c r="D9095" s="579"/>
      <c r="E9095" s="583"/>
      <c r="F9095" s="596"/>
      <c r="G9095" s="65">
        <v>0</v>
      </c>
      <c r="H9095" s="591" t="s">
        <v>280</v>
      </c>
      <c r="I9095" s="589" t="s">
        <v>280</v>
      </c>
    </row>
    <row r="9096" spans="1:9">
      <c r="A9096" s="577"/>
      <c r="B9096" s="65">
        <v>9294</v>
      </c>
      <c r="C9096" s="579" t="s">
        <v>281</v>
      </c>
      <c r="D9096" s="579"/>
      <c r="E9096" s="583"/>
      <c r="F9096" s="596"/>
      <c r="G9096" s="65">
        <v>0</v>
      </c>
      <c r="H9096" s="591" t="s">
        <v>280</v>
      </c>
      <c r="I9096" s="589" t="s">
        <v>280</v>
      </c>
    </row>
    <row r="9097" spans="1:9">
      <c r="A9097" s="577"/>
      <c r="B9097" s="65">
        <v>9295</v>
      </c>
      <c r="C9097" s="579" t="s">
        <v>281</v>
      </c>
      <c r="D9097" s="579"/>
      <c r="E9097" s="583"/>
      <c r="F9097" s="596"/>
      <c r="G9097" s="65">
        <v>0</v>
      </c>
      <c r="H9097" s="591" t="s">
        <v>280</v>
      </c>
      <c r="I9097" s="589" t="s">
        <v>280</v>
      </c>
    </row>
    <row r="9098" spans="1:9">
      <c r="A9098" s="577"/>
      <c r="B9098" s="65">
        <v>9296</v>
      </c>
      <c r="C9098" s="579" t="s">
        <v>281</v>
      </c>
      <c r="D9098" s="579"/>
      <c r="E9098" s="583"/>
      <c r="F9098" s="596"/>
      <c r="G9098" s="65">
        <v>0</v>
      </c>
      <c r="H9098" s="591" t="s">
        <v>280</v>
      </c>
      <c r="I9098" s="589" t="s">
        <v>280</v>
      </c>
    </row>
    <row r="9099" spans="1:9">
      <c r="A9099" s="577"/>
      <c r="B9099" s="65">
        <v>9297</v>
      </c>
      <c r="C9099" s="579" t="s">
        <v>281</v>
      </c>
      <c r="D9099" s="579"/>
      <c r="E9099" s="583"/>
      <c r="F9099" s="596"/>
      <c r="G9099" s="65">
        <v>0</v>
      </c>
      <c r="H9099" s="591" t="s">
        <v>280</v>
      </c>
      <c r="I9099" s="589" t="s">
        <v>280</v>
      </c>
    </row>
    <row r="9100" spans="1:9">
      <c r="A9100" s="577"/>
      <c r="B9100" s="65">
        <v>9298</v>
      </c>
      <c r="C9100" s="579" t="s">
        <v>281</v>
      </c>
      <c r="D9100" s="579"/>
      <c r="E9100" s="583"/>
      <c r="F9100" s="596"/>
      <c r="G9100" s="65">
        <v>0</v>
      </c>
      <c r="H9100" s="591" t="s">
        <v>280</v>
      </c>
      <c r="I9100" s="589" t="s">
        <v>280</v>
      </c>
    </row>
    <row r="9101" spans="1:9">
      <c r="A9101" s="577"/>
      <c r="B9101" s="65">
        <v>9299</v>
      </c>
      <c r="C9101" s="579" t="s">
        <v>281</v>
      </c>
      <c r="D9101" s="579"/>
      <c r="E9101" s="583"/>
      <c r="F9101" s="596"/>
      <c r="G9101" s="65">
        <v>0</v>
      </c>
      <c r="H9101" s="591" t="s">
        <v>280</v>
      </c>
      <c r="I9101" s="589" t="s">
        <v>280</v>
      </c>
    </row>
    <row r="9102" spans="1:9">
      <c r="A9102" s="577"/>
      <c r="B9102" s="65">
        <v>9300</v>
      </c>
      <c r="C9102" s="579" t="s">
        <v>281</v>
      </c>
      <c r="D9102" s="579"/>
      <c r="E9102" s="583"/>
      <c r="F9102" s="596"/>
      <c r="G9102" s="65">
        <v>0</v>
      </c>
      <c r="H9102" s="591" t="s">
        <v>280</v>
      </c>
      <c r="I9102" s="589" t="s">
        <v>280</v>
      </c>
    </row>
    <row r="9103" spans="1:9">
      <c r="A9103" s="577"/>
      <c r="B9103" s="65">
        <v>9301</v>
      </c>
      <c r="C9103" s="579" t="s">
        <v>281</v>
      </c>
      <c r="D9103" s="579"/>
      <c r="E9103" s="583"/>
      <c r="F9103" s="596"/>
      <c r="G9103" s="65">
        <v>0</v>
      </c>
      <c r="H9103" s="591" t="s">
        <v>280</v>
      </c>
      <c r="I9103" s="589" t="s">
        <v>280</v>
      </c>
    </row>
    <row r="9104" spans="1:9">
      <c r="A9104" s="577"/>
      <c r="B9104" s="65">
        <v>9302</v>
      </c>
      <c r="C9104" s="579" t="s">
        <v>281</v>
      </c>
      <c r="D9104" s="579"/>
      <c r="E9104" s="583"/>
      <c r="F9104" s="596"/>
      <c r="G9104" s="65">
        <v>0</v>
      </c>
      <c r="H9104" s="591" t="s">
        <v>280</v>
      </c>
      <c r="I9104" s="589" t="s">
        <v>280</v>
      </c>
    </row>
    <row r="9105" spans="1:9">
      <c r="A9105" s="577"/>
      <c r="B9105" s="65">
        <v>9303</v>
      </c>
      <c r="C9105" s="579" t="s">
        <v>281</v>
      </c>
      <c r="D9105" s="579"/>
      <c r="E9105" s="583"/>
      <c r="F9105" s="596"/>
      <c r="G9105" s="65">
        <v>0</v>
      </c>
      <c r="H9105" s="591" t="s">
        <v>280</v>
      </c>
      <c r="I9105" s="589" t="s">
        <v>280</v>
      </c>
    </row>
    <row r="9106" spans="1:9">
      <c r="A9106" s="577"/>
      <c r="B9106" s="65">
        <v>9304</v>
      </c>
      <c r="C9106" s="579" t="s">
        <v>281</v>
      </c>
      <c r="D9106" s="579"/>
      <c r="E9106" s="583"/>
      <c r="F9106" s="596"/>
      <c r="G9106" s="65">
        <v>0</v>
      </c>
      <c r="H9106" s="591" t="s">
        <v>280</v>
      </c>
      <c r="I9106" s="589" t="s">
        <v>280</v>
      </c>
    </row>
    <row r="9107" spans="1:9">
      <c r="A9107" s="577"/>
      <c r="B9107" s="65">
        <v>9305</v>
      </c>
      <c r="C9107" s="579" t="s">
        <v>281</v>
      </c>
      <c r="D9107" s="579"/>
      <c r="E9107" s="583"/>
      <c r="F9107" s="596"/>
      <c r="G9107" s="65">
        <v>0</v>
      </c>
      <c r="H9107" s="591" t="s">
        <v>280</v>
      </c>
      <c r="I9107" s="589" t="s">
        <v>280</v>
      </c>
    </row>
    <row r="9108" spans="1:9">
      <c r="A9108" s="577"/>
      <c r="B9108" s="65">
        <v>9306</v>
      </c>
      <c r="C9108" s="579" t="s">
        <v>281</v>
      </c>
      <c r="D9108" s="579"/>
      <c r="E9108" s="583"/>
      <c r="F9108" s="596"/>
      <c r="G9108" s="65">
        <v>0</v>
      </c>
      <c r="H9108" s="591" t="s">
        <v>280</v>
      </c>
      <c r="I9108" s="589" t="s">
        <v>280</v>
      </c>
    </row>
    <row r="9109" spans="1:9">
      <c r="A9109" s="577"/>
      <c r="B9109" s="65">
        <v>9307</v>
      </c>
      <c r="C9109" s="579" t="s">
        <v>281</v>
      </c>
      <c r="D9109" s="579"/>
      <c r="E9109" s="583"/>
      <c r="F9109" s="596"/>
      <c r="G9109" s="65">
        <v>0</v>
      </c>
      <c r="H9109" s="591" t="s">
        <v>280</v>
      </c>
      <c r="I9109" s="589" t="s">
        <v>280</v>
      </c>
    </row>
    <row r="9110" spans="1:9">
      <c r="A9110" s="577"/>
      <c r="B9110" s="65">
        <v>9308</v>
      </c>
      <c r="C9110" s="579" t="s">
        <v>281</v>
      </c>
      <c r="D9110" s="579"/>
      <c r="E9110" s="583"/>
      <c r="F9110" s="596"/>
      <c r="G9110" s="65">
        <v>0</v>
      </c>
      <c r="H9110" s="591" t="s">
        <v>280</v>
      </c>
      <c r="I9110" s="589" t="s">
        <v>280</v>
      </c>
    </row>
    <row r="9111" spans="1:9">
      <c r="A9111" s="577"/>
      <c r="B9111" s="65">
        <v>9309</v>
      </c>
      <c r="C9111" s="579" t="s">
        <v>281</v>
      </c>
      <c r="D9111" s="579"/>
      <c r="E9111" s="583"/>
      <c r="F9111" s="596"/>
      <c r="G9111" s="65">
        <v>0</v>
      </c>
      <c r="H9111" s="591" t="s">
        <v>280</v>
      </c>
      <c r="I9111" s="589" t="s">
        <v>280</v>
      </c>
    </row>
    <row r="9112" spans="1:9">
      <c r="A9112" s="577"/>
      <c r="B9112" s="65">
        <v>9310</v>
      </c>
      <c r="C9112" s="579" t="s">
        <v>281</v>
      </c>
      <c r="D9112" s="579"/>
      <c r="E9112" s="583"/>
      <c r="F9112" s="596"/>
      <c r="G9112" s="65">
        <v>0</v>
      </c>
      <c r="H9112" s="591" t="s">
        <v>280</v>
      </c>
      <c r="I9112" s="589" t="s">
        <v>280</v>
      </c>
    </row>
    <row r="9113" spans="1:9">
      <c r="A9113" s="577"/>
      <c r="B9113" s="65">
        <v>9311</v>
      </c>
      <c r="C9113" s="579" t="s">
        <v>281</v>
      </c>
      <c r="D9113" s="579"/>
      <c r="E9113" s="583"/>
      <c r="F9113" s="596"/>
      <c r="G9113" s="65">
        <v>0</v>
      </c>
      <c r="H9113" s="591" t="s">
        <v>280</v>
      </c>
      <c r="I9113" s="589" t="s">
        <v>280</v>
      </c>
    </row>
    <row r="9114" spans="1:9">
      <c r="A9114" s="577"/>
      <c r="B9114" s="65">
        <v>9312</v>
      </c>
      <c r="C9114" s="579" t="s">
        <v>281</v>
      </c>
      <c r="D9114" s="579"/>
      <c r="E9114" s="583"/>
      <c r="F9114" s="596"/>
      <c r="G9114" s="65">
        <v>0</v>
      </c>
      <c r="H9114" s="591" t="s">
        <v>280</v>
      </c>
      <c r="I9114" s="589" t="s">
        <v>280</v>
      </c>
    </row>
    <row r="9115" spans="1:9">
      <c r="A9115" s="577"/>
      <c r="B9115" s="65">
        <v>9313</v>
      </c>
      <c r="C9115" s="579" t="s">
        <v>281</v>
      </c>
      <c r="D9115" s="579"/>
      <c r="E9115" s="583"/>
      <c r="F9115" s="596"/>
      <c r="G9115" s="65">
        <v>0</v>
      </c>
      <c r="H9115" s="591" t="s">
        <v>280</v>
      </c>
      <c r="I9115" s="589" t="s">
        <v>280</v>
      </c>
    </row>
    <row r="9116" spans="1:9">
      <c r="A9116" s="577"/>
      <c r="B9116" s="65">
        <v>9314</v>
      </c>
      <c r="C9116" s="579" t="s">
        <v>281</v>
      </c>
      <c r="D9116" s="579"/>
      <c r="E9116" s="583"/>
      <c r="F9116" s="596"/>
      <c r="G9116" s="65">
        <v>0</v>
      </c>
      <c r="H9116" s="591" t="s">
        <v>280</v>
      </c>
      <c r="I9116" s="589" t="s">
        <v>280</v>
      </c>
    </row>
    <row r="9117" spans="1:9">
      <c r="A9117" s="577"/>
      <c r="B9117" s="65">
        <v>9315</v>
      </c>
      <c r="C9117" s="579" t="s">
        <v>281</v>
      </c>
      <c r="D9117" s="579"/>
      <c r="E9117" s="583"/>
      <c r="F9117" s="596"/>
      <c r="G9117" s="65">
        <v>0</v>
      </c>
      <c r="H9117" s="591" t="s">
        <v>280</v>
      </c>
      <c r="I9117" s="589" t="s">
        <v>280</v>
      </c>
    </row>
    <row r="9118" spans="1:9">
      <c r="A9118" s="577"/>
      <c r="B9118" s="65">
        <v>9316</v>
      </c>
      <c r="C9118" s="579" t="s">
        <v>281</v>
      </c>
      <c r="D9118" s="579"/>
      <c r="E9118" s="583"/>
      <c r="F9118" s="596"/>
      <c r="G9118" s="65">
        <v>0</v>
      </c>
      <c r="H9118" s="591" t="s">
        <v>280</v>
      </c>
      <c r="I9118" s="589" t="s">
        <v>280</v>
      </c>
    </row>
    <row r="9119" spans="1:9">
      <c r="A9119" s="577"/>
      <c r="B9119" s="65">
        <v>9317</v>
      </c>
      <c r="C9119" s="579" t="s">
        <v>281</v>
      </c>
      <c r="D9119" s="579"/>
      <c r="E9119" s="583"/>
      <c r="F9119" s="596"/>
      <c r="G9119" s="65">
        <v>0</v>
      </c>
      <c r="H9119" s="591" t="s">
        <v>280</v>
      </c>
      <c r="I9119" s="589" t="s">
        <v>280</v>
      </c>
    </row>
    <row r="9120" spans="1:9">
      <c r="A9120" s="577"/>
      <c r="B9120" s="65">
        <v>9318</v>
      </c>
      <c r="C9120" s="579" t="s">
        <v>281</v>
      </c>
      <c r="D9120" s="579"/>
      <c r="E9120" s="583"/>
      <c r="F9120" s="596"/>
      <c r="G9120" s="65">
        <v>0</v>
      </c>
      <c r="H9120" s="591" t="s">
        <v>280</v>
      </c>
      <c r="I9120" s="589" t="s">
        <v>280</v>
      </c>
    </row>
    <row r="9121" spans="1:9">
      <c r="A9121" s="577"/>
      <c r="B9121" s="65">
        <v>9319</v>
      </c>
      <c r="C9121" s="579" t="s">
        <v>281</v>
      </c>
      <c r="D9121" s="579"/>
      <c r="E9121" s="583"/>
      <c r="F9121" s="596"/>
      <c r="G9121" s="65">
        <v>0</v>
      </c>
      <c r="H9121" s="591" t="s">
        <v>280</v>
      </c>
      <c r="I9121" s="589" t="s">
        <v>280</v>
      </c>
    </row>
    <row r="9122" spans="1:9">
      <c r="A9122" s="577"/>
      <c r="B9122" s="65">
        <v>9320</v>
      </c>
      <c r="C9122" s="579" t="s">
        <v>281</v>
      </c>
      <c r="D9122" s="579"/>
      <c r="E9122" s="583"/>
      <c r="F9122" s="596"/>
      <c r="G9122" s="65">
        <v>0</v>
      </c>
      <c r="H9122" s="591" t="s">
        <v>280</v>
      </c>
      <c r="I9122" s="589" t="s">
        <v>280</v>
      </c>
    </row>
    <row r="9123" spans="1:9">
      <c r="A9123" s="577"/>
      <c r="B9123" s="65">
        <v>9321</v>
      </c>
      <c r="C9123" s="579" t="s">
        <v>281</v>
      </c>
      <c r="D9123" s="579"/>
      <c r="E9123" s="583"/>
      <c r="F9123" s="596"/>
      <c r="G9123" s="65">
        <v>0</v>
      </c>
      <c r="H9123" s="591" t="s">
        <v>280</v>
      </c>
      <c r="I9123" s="589" t="s">
        <v>280</v>
      </c>
    </row>
    <row r="9124" spans="1:9">
      <c r="A9124" s="577"/>
      <c r="B9124" s="65">
        <v>9322</v>
      </c>
      <c r="C9124" s="579" t="s">
        <v>281</v>
      </c>
      <c r="D9124" s="579"/>
      <c r="E9124" s="583"/>
      <c r="F9124" s="596"/>
      <c r="G9124" s="65">
        <v>0</v>
      </c>
      <c r="H9124" s="591" t="s">
        <v>280</v>
      </c>
      <c r="I9124" s="589" t="s">
        <v>280</v>
      </c>
    </row>
    <row r="9125" spans="1:9">
      <c r="A9125" s="577"/>
      <c r="B9125" s="65">
        <v>9323</v>
      </c>
      <c r="C9125" s="579" t="s">
        <v>281</v>
      </c>
      <c r="D9125" s="579"/>
      <c r="E9125" s="583"/>
      <c r="F9125" s="596"/>
      <c r="G9125" s="65">
        <v>0</v>
      </c>
      <c r="H9125" s="591" t="s">
        <v>280</v>
      </c>
      <c r="I9125" s="589" t="s">
        <v>280</v>
      </c>
    </row>
    <row r="9126" spans="1:9">
      <c r="A9126" s="577"/>
      <c r="B9126" s="65">
        <v>9324</v>
      </c>
      <c r="C9126" s="579" t="s">
        <v>281</v>
      </c>
      <c r="D9126" s="579"/>
      <c r="E9126" s="583"/>
      <c r="F9126" s="596"/>
      <c r="G9126" s="65">
        <v>0</v>
      </c>
      <c r="H9126" s="591" t="s">
        <v>280</v>
      </c>
      <c r="I9126" s="589" t="s">
        <v>280</v>
      </c>
    </row>
    <row r="9127" spans="1:9">
      <c r="A9127" s="577"/>
      <c r="B9127" s="65">
        <v>9325</v>
      </c>
      <c r="C9127" s="579" t="s">
        <v>281</v>
      </c>
      <c r="D9127" s="579"/>
      <c r="E9127" s="583"/>
      <c r="F9127" s="596"/>
      <c r="G9127" s="65">
        <v>0</v>
      </c>
      <c r="H9127" s="591" t="s">
        <v>280</v>
      </c>
      <c r="I9127" s="589" t="s">
        <v>280</v>
      </c>
    </row>
    <row r="9128" spans="1:9">
      <c r="A9128" s="577"/>
      <c r="B9128" s="65">
        <v>9326</v>
      </c>
      <c r="C9128" s="579" t="s">
        <v>281</v>
      </c>
      <c r="D9128" s="579"/>
      <c r="E9128" s="583"/>
      <c r="F9128" s="596"/>
      <c r="G9128" s="65">
        <v>0</v>
      </c>
      <c r="H9128" s="591" t="s">
        <v>280</v>
      </c>
      <c r="I9128" s="589" t="s">
        <v>280</v>
      </c>
    </row>
    <row r="9129" spans="1:9">
      <c r="A9129" s="577"/>
      <c r="B9129" s="65">
        <v>9327</v>
      </c>
      <c r="C9129" s="579" t="s">
        <v>281</v>
      </c>
      <c r="D9129" s="579"/>
      <c r="E9129" s="583"/>
      <c r="F9129" s="596"/>
      <c r="G9129" s="65">
        <v>0</v>
      </c>
      <c r="H9129" s="591" t="s">
        <v>280</v>
      </c>
      <c r="I9129" s="589" t="s">
        <v>280</v>
      </c>
    </row>
    <row r="9130" spans="1:9">
      <c r="A9130" s="577"/>
      <c r="B9130" s="65">
        <v>9328</v>
      </c>
      <c r="C9130" s="579" t="s">
        <v>281</v>
      </c>
      <c r="D9130" s="579"/>
      <c r="E9130" s="583"/>
      <c r="F9130" s="596"/>
      <c r="G9130" s="65">
        <v>0</v>
      </c>
      <c r="H9130" s="591" t="s">
        <v>280</v>
      </c>
      <c r="I9130" s="589" t="s">
        <v>280</v>
      </c>
    </row>
    <row r="9131" spans="1:9">
      <c r="A9131" s="577"/>
      <c r="B9131" s="65">
        <v>9329</v>
      </c>
      <c r="C9131" s="579" t="s">
        <v>281</v>
      </c>
      <c r="D9131" s="579"/>
      <c r="E9131" s="583"/>
      <c r="F9131" s="596"/>
      <c r="G9131" s="65">
        <v>0</v>
      </c>
      <c r="H9131" s="591" t="s">
        <v>280</v>
      </c>
      <c r="I9131" s="589" t="s">
        <v>280</v>
      </c>
    </row>
    <row r="9132" spans="1:9">
      <c r="A9132" s="577"/>
      <c r="B9132" s="65">
        <v>9330</v>
      </c>
      <c r="C9132" s="579" t="s">
        <v>281</v>
      </c>
      <c r="D9132" s="579"/>
      <c r="E9132" s="583"/>
      <c r="F9132" s="596"/>
      <c r="G9132" s="65">
        <v>0</v>
      </c>
      <c r="H9132" s="591" t="s">
        <v>280</v>
      </c>
      <c r="I9132" s="589" t="s">
        <v>280</v>
      </c>
    </row>
    <row r="9133" spans="1:9">
      <c r="A9133" s="577"/>
      <c r="B9133" s="65">
        <v>9331</v>
      </c>
      <c r="C9133" s="579" t="s">
        <v>281</v>
      </c>
      <c r="D9133" s="579"/>
      <c r="E9133" s="583"/>
      <c r="F9133" s="596"/>
      <c r="G9133" s="65">
        <v>0</v>
      </c>
      <c r="H9133" s="591" t="s">
        <v>280</v>
      </c>
      <c r="I9133" s="589" t="s">
        <v>280</v>
      </c>
    </row>
    <row r="9134" spans="1:9">
      <c r="A9134" s="577"/>
      <c r="B9134" s="65">
        <v>9332</v>
      </c>
      <c r="C9134" s="579" t="s">
        <v>281</v>
      </c>
      <c r="D9134" s="579"/>
      <c r="E9134" s="583"/>
      <c r="F9134" s="596"/>
      <c r="G9134" s="65">
        <v>0</v>
      </c>
      <c r="H9134" s="591" t="s">
        <v>280</v>
      </c>
      <c r="I9134" s="589" t="s">
        <v>280</v>
      </c>
    </row>
    <row r="9135" spans="1:9">
      <c r="A9135" s="577"/>
      <c r="B9135" s="65">
        <v>9333</v>
      </c>
      <c r="C9135" s="579" t="s">
        <v>281</v>
      </c>
      <c r="D9135" s="579"/>
      <c r="E9135" s="583"/>
      <c r="F9135" s="596"/>
      <c r="G9135" s="65">
        <v>0</v>
      </c>
      <c r="H9135" s="591" t="s">
        <v>280</v>
      </c>
      <c r="I9135" s="589" t="s">
        <v>280</v>
      </c>
    </row>
    <row r="9136" spans="1:9">
      <c r="A9136" s="577"/>
      <c r="B9136" s="65">
        <v>9334</v>
      </c>
      <c r="C9136" s="579" t="s">
        <v>281</v>
      </c>
      <c r="D9136" s="579"/>
      <c r="E9136" s="583"/>
      <c r="F9136" s="596"/>
      <c r="G9136" s="65">
        <v>0</v>
      </c>
      <c r="H9136" s="591" t="s">
        <v>280</v>
      </c>
      <c r="I9136" s="589" t="s">
        <v>280</v>
      </c>
    </row>
    <row r="9137" spans="1:9">
      <c r="A9137" s="577"/>
      <c r="B9137" s="65">
        <v>9335</v>
      </c>
      <c r="C9137" s="579" t="s">
        <v>281</v>
      </c>
      <c r="D9137" s="579"/>
      <c r="E9137" s="583"/>
      <c r="F9137" s="596"/>
      <c r="G9137" s="65">
        <v>0</v>
      </c>
      <c r="H9137" s="591" t="s">
        <v>280</v>
      </c>
      <c r="I9137" s="589" t="s">
        <v>280</v>
      </c>
    </row>
    <row r="9138" spans="1:9">
      <c r="A9138" s="577"/>
      <c r="B9138" s="65">
        <v>9336</v>
      </c>
      <c r="C9138" s="579" t="s">
        <v>281</v>
      </c>
      <c r="D9138" s="579"/>
      <c r="E9138" s="583"/>
      <c r="F9138" s="596"/>
      <c r="G9138" s="65">
        <v>0</v>
      </c>
      <c r="H9138" s="591" t="s">
        <v>280</v>
      </c>
      <c r="I9138" s="589" t="s">
        <v>280</v>
      </c>
    </row>
    <row r="9139" spans="1:9">
      <c r="A9139" s="577"/>
      <c r="B9139" s="65">
        <v>9337</v>
      </c>
      <c r="C9139" s="579" t="s">
        <v>281</v>
      </c>
      <c r="D9139" s="579"/>
      <c r="E9139" s="583"/>
      <c r="F9139" s="596"/>
      <c r="G9139" s="65">
        <v>0</v>
      </c>
      <c r="H9139" s="591" t="s">
        <v>280</v>
      </c>
      <c r="I9139" s="589" t="s">
        <v>280</v>
      </c>
    </row>
    <row r="9140" spans="1:9">
      <c r="A9140" s="577"/>
      <c r="B9140" s="65">
        <v>9338</v>
      </c>
      <c r="C9140" s="579" t="s">
        <v>281</v>
      </c>
      <c r="D9140" s="579"/>
      <c r="E9140" s="583"/>
      <c r="F9140" s="596"/>
      <c r="G9140" s="65">
        <v>0</v>
      </c>
      <c r="H9140" s="591" t="s">
        <v>280</v>
      </c>
      <c r="I9140" s="589" t="s">
        <v>280</v>
      </c>
    </row>
    <row r="9141" spans="1:9">
      <c r="A9141" s="577"/>
      <c r="B9141" s="65">
        <v>9339</v>
      </c>
      <c r="C9141" s="579" t="s">
        <v>281</v>
      </c>
      <c r="D9141" s="579"/>
      <c r="E9141" s="583"/>
      <c r="F9141" s="596"/>
      <c r="G9141" s="65">
        <v>0</v>
      </c>
      <c r="H9141" s="591" t="s">
        <v>280</v>
      </c>
      <c r="I9141" s="589" t="s">
        <v>280</v>
      </c>
    </row>
    <row r="9142" spans="1:9">
      <c r="A9142" s="577"/>
      <c r="B9142" s="65">
        <v>9340</v>
      </c>
      <c r="C9142" s="579" t="s">
        <v>281</v>
      </c>
      <c r="D9142" s="579"/>
      <c r="E9142" s="583"/>
      <c r="F9142" s="596"/>
      <c r="G9142" s="65">
        <v>0</v>
      </c>
      <c r="H9142" s="591" t="s">
        <v>280</v>
      </c>
      <c r="I9142" s="589" t="s">
        <v>280</v>
      </c>
    </row>
    <row r="9143" spans="1:9">
      <c r="A9143" s="577"/>
      <c r="B9143" s="65">
        <v>9341</v>
      </c>
      <c r="C9143" s="579" t="s">
        <v>281</v>
      </c>
      <c r="D9143" s="579"/>
      <c r="E9143" s="583"/>
      <c r="F9143" s="596"/>
      <c r="G9143" s="65">
        <v>0</v>
      </c>
      <c r="H9143" s="591" t="s">
        <v>280</v>
      </c>
      <c r="I9143" s="589" t="s">
        <v>280</v>
      </c>
    </row>
    <row r="9144" spans="1:9">
      <c r="A9144" s="577"/>
      <c r="B9144" s="65">
        <v>9342</v>
      </c>
      <c r="C9144" s="579" t="s">
        <v>281</v>
      </c>
      <c r="D9144" s="579"/>
      <c r="E9144" s="583"/>
      <c r="F9144" s="596"/>
      <c r="G9144" s="65">
        <v>0</v>
      </c>
      <c r="H9144" s="591" t="s">
        <v>280</v>
      </c>
      <c r="I9144" s="589" t="s">
        <v>280</v>
      </c>
    </row>
    <row r="9145" spans="1:9">
      <c r="A9145" s="577"/>
      <c r="B9145" s="65">
        <v>9343</v>
      </c>
      <c r="C9145" s="579" t="s">
        <v>281</v>
      </c>
      <c r="D9145" s="579"/>
      <c r="E9145" s="583"/>
      <c r="F9145" s="596"/>
      <c r="G9145" s="65">
        <v>0</v>
      </c>
      <c r="H9145" s="591" t="s">
        <v>280</v>
      </c>
      <c r="I9145" s="589" t="s">
        <v>280</v>
      </c>
    </row>
    <row r="9146" spans="1:9">
      <c r="A9146" s="577"/>
      <c r="B9146" s="65">
        <v>9344</v>
      </c>
      <c r="C9146" s="579" t="s">
        <v>281</v>
      </c>
      <c r="D9146" s="579"/>
      <c r="E9146" s="583"/>
      <c r="F9146" s="596"/>
      <c r="G9146" s="65">
        <v>0</v>
      </c>
      <c r="H9146" s="591" t="s">
        <v>280</v>
      </c>
      <c r="I9146" s="589" t="s">
        <v>280</v>
      </c>
    </row>
    <row r="9147" spans="1:9">
      <c r="A9147" s="577"/>
      <c r="B9147" s="65">
        <v>9345</v>
      </c>
      <c r="C9147" s="579" t="s">
        <v>281</v>
      </c>
      <c r="D9147" s="579"/>
      <c r="E9147" s="583"/>
      <c r="F9147" s="596"/>
      <c r="G9147" s="65">
        <v>0</v>
      </c>
      <c r="H9147" s="591" t="s">
        <v>280</v>
      </c>
      <c r="I9147" s="589" t="s">
        <v>280</v>
      </c>
    </row>
    <row r="9148" spans="1:9">
      <c r="A9148" s="577"/>
      <c r="B9148" s="65">
        <v>9346</v>
      </c>
      <c r="C9148" s="579" t="s">
        <v>281</v>
      </c>
      <c r="D9148" s="579"/>
      <c r="E9148" s="583"/>
      <c r="F9148" s="596"/>
      <c r="G9148" s="65">
        <v>0</v>
      </c>
      <c r="H9148" s="591" t="s">
        <v>280</v>
      </c>
      <c r="I9148" s="589" t="s">
        <v>280</v>
      </c>
    </row>
    <row r="9149" spans="1:9">
      <c r="A9149" s="577"/>
      <c r="B9149" s="65">
        <v>9347</v>
      </c>
      <c r="C9149" s="579" t="s">
        <v>281</v>
      </c>
      <c r="D9149" s="579"/>
      <c r="E9149" s="583"/>
      <c r="F9149" s="596"/>
      <c r="G9149" s="65">
        <v>0</v>
      </c>
      <c r="H9149" s="591" t="s">
        <v>280</v>
      </c>
      <c r="I9149" s="589" t="s">
        <v>280</v>
      </c>
    </row>
    <row r="9150" spans="1:9">
      <c r="A9150" s="577"/>
      <c r="B9150" s="65">
        <v>9348</v>
      </c>
      <c r="C9150" s="579" t="s">
        <v>281</v>
      </c>
      <c r="D9150" s="579"/>
      <c r="E9150" s="583"/>
      <c r="F9150" s="596"/>
      <c r="G9150" s="65">
        <v>0</v>
      </c>
      <c r="H9150" s="591" t="s">
        <v>280</v>
      </c>
      <c r="I9150" s="589" t="s">
        <v>280</v>
      </c>
    </row>
    <row r="9151" spans="1:9">
      <c r="A9151" s="577"/>
      <c r="B9151" s="65">
        <v>9349</v>
      </c>
      <c r="C9151" s="579" t="s">
        <v>281</v>
      </c>
      <c r="D9151" s="579"/>
      <c r="E9151" s="583"/>
      <c r="F9151" s="596"/>
      <c r="G9151" s="65">
        <v>0</v>
      </c>
      <c r="H9151" s="591" t="s">
        <v>280</v>
      </c>
      <c r="I9151" s="589" t="s">
        <v>280</v>
      </c>
    </row>
    <row r="9152" spans="1:9">
      <c r="A9152" s="577"/>
      <c r="B9152" s="65">
        <v>9350</v>
      </c>
      <c r="C9152" s="579" t="s">
        <v>281</v>
      </c>
      <c r="D9152" s="579"/>
      <c r="E9152" s="583"/>
      <c r="F9152" s="596"/>
      <c r="G9152" s="65">
        <v>0</v>
      </c>
      <c r="H9152" s="591" t="s">
        <v>280</v>
      </c>
      <c r="I9152" s="589" t="s">
        <v>280</v>
      </c>
    </row>
    <row r="9153" spans="1:9">
      <c r="A9153" s="577"/>
      <c r="B9153" s="65">
        <v>9351</v>
      </c>
      <c r="C9153" s="579" t="s">
        <v>281</v>
      </c>
      <c r="D9153" s="579"/>
      <c r="E9153" s="583"/>
      <c r="F9153" s="596"/>
      <c r="G9153" s="65">
        <v>0</v>
      </c>
      <c r="H9153" s="591" t="s">
        <v>280</v>
      </c>
      <c r="I9153" s="589" t="s">
        <v>280</v>
      </c>
    </row>
    <row r="9154" spans="1:9">
      <c r="A9154" s="577"/>
      <c r="B9154" s="65">
        <v>9352</v>
      </c>
      <c r="C9154" s="579" t="s">
        <v>281</v>
      </c>
      <c r="D9154" s="579"/>
      <c r="E9154" s="583"/>
      <c r="F9154" s="596"/>
      <c r="G9154" s="65">
        <v>0</v>
      </c>
      <c r="H9154" s="591" t="s">
        <v>280</v>
      </c>
      <c r="I9154" s="589" t="s">
        <v>280</v>
      </c>
    </row>
    <row r="9155" spans="1:9">
      <c r="A9155" s="577"/>
      <c r="B9155" s="65">
        <v>9353</v>
      </c>
      <c r="C9155" s="579" t="s">
        <v>281</v>
      </c>
      <c r="D9155" s="579"/>
      <c r="E9155" s="583"/>
      <c r="F9155" s="596"/>
      <c r="G9155" s="65">
        <v>0</v>
      </c>
      <c r="H9155" s="591" t="s">
        <v>280</v>
      </c>
      <c r="I9155" s="589" t="s">
        <v>280</v>
      </c>
    </row>
    <row r="9156" spans="1:9">
      <c r="A9156" s="577"/>
      <c r="B9156" s="65">
        <v>9354</v>
      </c>
      <c r="C9156" s="579" t="s">
        <v>281</v>
      </c>
      <c r="D9156" s="579"/>
      <c r="E9156" s="583"/>
      <c r="F9156" s="596"/>
      <c r="G9156" s="65">
        <v>0</v>
      </c>
      <c r="H9156" s="591" t="s">
        <v>280</v>
      </c>
      <c r="I9156" s="589" t="s">
        <v>280</v>
      </c>
    </row>
    <row r="9157" spans="1:9">
      <c r="A9157" s="577"/>
      <c r="B9157" s="65">
        <v>9355</v>
      </c>
      <c r="C9157" s="579" t="s">
        <v>281</v>
      </c>
      <c r="D9157" s="579"/>
      <c r="E9157" s="583"/>
      <c r="F9157" s="596"/>
      <c r="G9157" s="65">
        <v>0</v>
      </c>
      <c r="H9157" s="591" t="s">
        <v>280</v>
      </c>
      <c r="I9157" s="589" t="s">
        <v>280</v>
      </c>
    </row>
    <row r="9158" spans="1:9">
      <c r="A9158" s="577"/>
      <c r="B9158" s="65">
        <v>9356</v>
      </c>
      <c r="C9158" s="579" t="s">
        <v>281</v>
      </c>
      <c r="D9158" s="579"/>
      <c r="E9158" s="583"/>
      <c r="F9158" s="596"/>
      <c r="G9158" s="65">
        <v>0</v>
      </c>
      <c r="H9158" s="591" t="s">
        <v>280</v>
      </c>
      <c r="I9158" s="589" t="s">
        <v>280</v>
      </c>
    </row>
    <row r="9159" spans="1:9">
      <c r="A9159" s="577"/>
      <c r="B9159" s="65">
        <v>9357</v>
      </c>
      <c r="C9159" s="579" t="s">
        <v>281</v>
      </c>
      <c r="D9159" s="579"/>
      <c r="E9159" s="583"/>
      <c r="F9159" s="596"/>
      <c r="G9159" s="65">
        <v>0</v>
      </c>
      <c r="H9159" s="591" t="s">
        <v>280</v>
      </c>
      <c r="I9159" s="589" t="s">
        <v>280</v>
      </c>
    </row>
    <row r="9160" spans="1:9">
      <c r="A9160" s="577"/>
      <c r="B9160" s="65">
        <v>9358</v>
      </c>
      <c r="C9160" s="579" t="s">
        <v>281</v>
      </c>
      <c r="D9160" s="579"/>
      <c r="E9160" s="583"/>
      <c r="F9160" s="596"/>
      <c r="G9160" s="65">
        <v>0</v>
      </c>
      <c r="H9160" s="591" t="s">
        <v>280</v>
      </c>
      <c r="I9160" s="589" t="s">
        <v>280</v>
      </c>
    </row>
    <row r="9161" spans="1:9">
      <c r="A9161" s="577"/>
      <c r="B9161" s="65">
        <v>9359</v>
      </c>
      <c r="C9161" s="579" t="s">
        <v>281</v>
      </c>
      <c r="D9161" s="579"/>
      <c r="E9161" s="583"/>
      <c r="F9161" s="596"/>
      <c r="G9161" s="65">
        <v>0</v>
      </c>
      <c r="H9161" s="591" t="s">
        <v>280</v>
      </c>
      <c r="I9161" s="589" t="s">
        <v>280</v>
      </c>
    </row>
    <row r="9162" spans="1:9">
      <c r="A9162" s="577"/>
      <c r="B9162" s="65">
        <v>9360</v>
      </c>
      <c r="C9162" s="579" t="s">
        <v>281</v>
      </c>
      <c r="D9162" s="579"/>
      <c r="E9162" s="583"/>
      <c r="F9162" s="596"/>
      <c r="G9162" s="65">
        <v>0</v>
      </c>
      <c r="H9162" s="591" t="s">
        <v>280</v>
      </c>
      <c r="I9162" s="589" t="s">
        <v>280</v>
      </c>
    </row>
    <row r="9163" spans="1:9">
      <c r="A9163" s="577"/>
      <c r="B9163" s="65">
        <v>9361</v>
      </c>
      <c r="C9163" s="579" t="s">
        <v>281</v>
      </c>
      <c r="D9163" s="579"/>
      <c r="E9163" s="583"/>
      <c r="F9163" s="596"/>
      <c r="G9163" s="65">
        <v>0</v>
      </c>
      <c r="H9163" s="591" t="s">
        <v>280</v>
      </c>
      <c r="I9163" s="589" t="s">
        <v>280</v>
      </c>
    </row>
    <row r="9164" spans="1:9">
      <c r="A9164" s="577"/>
      <c r="B9164" s="65">
        <v>9362</v>
      </c>
      <c r="C9164" s="579" t="s">
        <v>281</v>
      </c>
      <c r="D9164" s="579"/>
      <c r="E9164" s="583"/>
      <c r="F9164" s="596"/>
      <c r="G9164" s="65">
        <v>0</v>
      </c>
      <c r="H9164" s="591" t="s">
        <v>280</v>
      </c>
      <c r="I9164" s="589" t="s">
        <v>280</v>
      </c>
    </row>
    <row r="9165" spans="1:9">
      <c r="A9165" s="577"/>
      <c r="B9165" s="65">
        <v>9363</v>
      </c>
      <c r="C9165" s="579" t="s">
        <v>281</v>
      </c>
      <c r="D9165" s="579"/>
      <c r="E9165" s="583"/>
      <c r="F9165" s="596"/>
      <c r="G9165" s="65">
        <v>0</v>
      </c>
      <c r="H9165" s="591" t="s">
        <v>280</v>
      </c>
      <c r="I9165" s="589" t="s">
        <v>280</v>
      </c>
    </row>
    <row r="9166" spans="1:9">
      <c r="A9166" s="577"/>
      <c r="B9166" s="65">
        <v>9364</v>
      </c>
      <c r="C9166" s="579" t="s">
        <v>281</v>
      </c>
      <c r="D9166" s="579"/>
      <c r="E9166" s="583"/>
      <c r="F9166" s="596"/>
      <c r="G9166" s="65">
        <v>0</v>
      </c>
      <c r="H9166" s="591" t="s">
        <v>280</v>
      </c>
      <c r="I9166" s="589" t="s">
        <v>280</v>
      </c>
    </row>
    <row r="9167" spans="1:9">
      <c r="A9167" s="577"/>
      <c r="B9167" s="65">
        <v>9365</v>
      </c>
      <c r="C9167" s="579" t="s">
        <v>281</v>
      </c>
      <c r="D9167" s="579"/>
      <c r="E9167" s="583"/>
      <c r="F9167" s="596"/>
      <c r="G9167" s="65">
        <v>0</v>
      </c>
      <c r="H9167" s="591" t="s">
        <v>280</v>
      </c>
      <c r="I9167" s="589" t="s">
        <v>280</v>
      </c>
    </row>
    <row r="9168" spans="1:9">
      <c r="A9168" s="577"/>
      <c r="B9168" s="65">
        <v>9366</v>
      </c>
      <c r="C9168" s="579" t="s">
        <v>281</v>
      </c>
      <c r="D9168" s="579"/>
      <c r="E9168" s="583"/>
      <c r="F9168" s="596"/>
      <c r="G9168" s="65">
        <v>0</v>
      </c>
      <c r="H9168" s="591" t="s">
        <v>280</v>
      </c>
      <c r="I9168" s="589" t="s">
        <v>280</v>
      </c>
    </row>
    <row r="9169" spans="1:9">
      <c r="A9169" s="577"/>
      <c r="B9169" s="65">
        <v>9367</v>
      </c>
      <c r="C9169" s="579" t="s">
        <v>281</v>
      </c>
      <c r="D9169" s="579"/>
      <c r="E9169" s="583"/>
      <c r="F9169" s="596"/>
      <c r="G9169" s="65">
        <v>0</v>
      </c>
      <c r="H9169" s="591" t="s">
        <v>280</v>
      </c>
      <c r="I9169" s="589" t="s">
        <v>280</v>
      </c>
    </row>
    <row r="9170" spans="1:9">
      <c r="A9170" s="577"/>
      <c r="B9170" s="65">
        <v>9368</v>
      </c>
      <c r="C9170" s="579" t="s">
        <v>281</v>
      </c>
      <c r="D9170" s="579"/>
      <c r="E9170" s="583"/>
      <c r="F9170" s="596"/>
      <c r="G9170" s="65">
        <v>0</v>
      </c>
      <c r="H9170" s="591" t="s">
        <v>280</v>
      </c>
      <c r="I9170" s="589" t="s">
        <v>280</v>
      </c>
    </row>
    <row r="9171" spans="1:9">
      <c r="A9171" s="577"/>
      <c r="B9171" s="65">
        <v>9369</v>
      </c>
      <c r="C9171" s="579" t="s">
        <v>281</v>
      </c>
      <c r="D9171" s="579"/>
      <c r="E9171" s="583"/>
      <c r="F9171" s="596"/>
      <c r="G9171" s="65">
        <v>0</v>
      </c>
      <c r="H9171" s="591" t="s">
        <v>280</v>
      </c>
      <c r="I9171" s="589" t="s">
        <v>280</v>
      </c>
    </row>
    <row r="9172" spans="1:9">
      <c r="A9172" s="577"/>
      <c r="B9172" s="65">
        <v>9370</v>
      </c>
      <c r="C9172" s="579" t="s">
        <v>281</v>
      </c>
      <c r="D9172" s="579"/>
      <c r="E9172" s="583"/>
      <c r="F9172" s="596"/>
      <c r="G9172" s="65">
        <v>0</v>
      </c>
      <c r="H9172" s="591" t="s">
        <v>280</v>
      </c>
      <c r="I9172" s="589" t="s">
        <v>280</v>
      </c>
    </row>
    <row r="9173" spans="1:9">
      <c r="A9173" s="577"/>
      <c r="B9173" s="65">
        <v>9371</v>
      </c>
      <c r="C9173" s="579" t="s">
        <v>281</v>
      </c>
      <c r="D9173" s="579"/>
      <c r="E9173" s="583"/>
      <c r="F9173" s="596"/>
      <c r="G9173" s="65">
        <v>0</v>
      </c>
      <c r="H9173" s="591" t="s">
        <v>280</v>
      </c>
      <c r="I9173" s="589" t="s">
        <v>280</v>
      </c>
    </row>
    <row r="9174" spans="1:9">
      <c r="A9174" s="577"/>
      <c r="B9174" s="65">
        <v>9372</v>
      </c>
      <c r="C9174" s="579" t="s">
        <v>281</v>
      </c>
      <c r="D9174" s="579"/>
      <c r="E9174" s="583"/>
      <c r="F9174" s="596"/>
      <c r="G9174" s="65">
        <v>0</v>
      </c>
      <c r="H9174" s="591" t="s">
        <v>280</v>
      </c>
      <c r="I9174" s="589" t="s">
        <v>280</v>
      </c>
    </row>
    <row r="9175" spans="1:9">
      <c r="A9175" s="577"/>
      <c r="B9175" s="65">
        <v>9373</v>
      </c>
      <c r="C9175" s="579" t="s">
        <v>281</v>
      </c>
      <c r="D9175" s="579"/>
      <c r="E9175" s="583"/>
      <c r="F9175" s="596"/>
      <c r="G9175" s="65">
        <v>0</v>
      </c>
      <c r="H9175" s="591" t="s">
        <v>280</v>
      </c>
      <c r="I9175" s="589" t="s">
        <v>280</v>
      </c>
    </row>
    <row r="9176" spans="1:9">
      <c r="A9176" s="577"/>
      <c r="B9176" s="65">
        <v>9374</v>
      </c>
      <c r="C9176" s="579" t="s">
        <v>281</v>
      </c>
      <c r="D9176" s="579"/>
      <c r="E9176" s="583"/>
      <c r="F9176" s="596"/>
      <c r="G9176" s="65">
        <v>0</v>
      </c>
      <c r="H9176" s="591" t="s">
        <v>280</v>
      </c>
      <c r="I9176" s="589" t="s">
        <v>280</v>
      </c>
    </row>
    <row r="9177" spans="1:9">
      <c r="A9177" s="577"/>
      <c r="B9177" s="65">
        <v>9375</v>
      </c>
      <c r="C9177" s="579" t="s">
        <v>281</v>
      </c>
      <c r="D9177" s="579"/>
      <c r="E9177" s="583"/>
      <c r="F9177" s="596"/>
      <c r="G9177" s="65">
        <v>0</v>
      </c>
      <c r="H9177" s="591" t="s">
        <v>280</v>
      </c>
      <c r="I9177" s="589" t="s">
        <v>280</v>
      </c>
    </row>
    <row r="9178" spans="1:9">
      <c r="A9178" s="577"/>
      <c r="B9178" s="65">
        <v>9376</v>
      </c>
      <c r="C9178" s="579" t="s">
        <v>281</v>
      </c>
      <c r="D9178" s="579"/>
      <c r="E9178" s="583"/>
      <c r="F9178" s="596"/>
      <c r="G9178" s="65">
        <v>0</v>
      </c>
      <c r="H9178" s="591" t="s">
        <v>280</v>
      </c>
      <c r="I9178" s="589" t="s">
        <v>280</v>
      </c>
    </row>
    <row r="9179" spans="1:9">
      <c r="A9179" s="577"/>
      <c r="B9179" s="65">
        <v>9377</v>
      </c>
      <c r="C9179" s="579" t="s">
        <v>281</v>
      </c>
      <c r="D9179" s="579"/>
      <c r="E9179" s="583"/>
      <c r="F9179" s="596"/>
      <c r="G9179" s="65">
        <v>0</v>
      </c>
      <c r="H9179" s="591" t="s">
        <v>280</v>
      </c>
      <c r="I9179" s="589" t="s">
        <v>280</v>
      </c>
    </row>
    <row r="9180" spans="1:9">
      <c r="A9180" s="577"/>
      <c r="B9180" s="65">
        <v>9378</v>
      </c>
      <c r="C9180" s="579" t="s">
        <v>281</v>
      </c>
      <c r="D9180" s="579"/>
      <c r="E9180" s="583"/>
      <c r="F9180" s="596"/>
      <c r="G9180" s="65">
        <v>0</v>
      </c>
      <c r="H9180" s="591" t="s">
        <v>280</v>
      </c>
      <c r="I9180" s="589" t="s">
        <v>280</v>
      </c>
    </row>
    <row r="9181" spans="1:9">
      <c r="A9181" s="577"/>
      <c r="B9181" s="65">
        <v>9379</v>
      </c>
      <c r="C9181" s="579" t="s">
        <v>281</v>
      </c>
      <c r="D9181" s="579"/>
      <c r="E9181" s="583"/>
      <c r="F9181" s="596"/>
      <c r="G9181" s="65">
        <v>0</v>
      </c>
      <c r="H9181" s="591" t="s">
        <v>280</v>
      </c>
      <c r="I9181" s="589" t="s">
        <v>280</v>
      </c>
    </row>
    <row r="9182" spans="1:9">
      <c r="A9182" s="577"/>
      <c r="B9182" s="65">
        <v>9380</v>
      </c>
      <c r="C9182" s="579" t="s">
        <v>281</v>
      </c>
      <c r="D9182" s="579"/>
      <c r="E9182" s="583"/>
      <c r="F9182" s="596"/>
      <c r="G9182" s="65">
        <v>0</v>
      </c>
      <c r="H9182" s="591" t="s">
        <v>280</v>
      </c>
      <c r="I9182" s="589" t="s">
        <v>280</v>
      </c>
    </row>
    <row r="9183" spans="1:9">
      <c r="A9183" s="577"/>
      <c r="B9183" s="65">
        <v>9381</v>
      </c>
      <c r="C9183" s="579" t="s">
        <v>281</v>
      </c>
      <c r="D9183" s="579"/>
      <c r="E9183" s="583"/>
      <c r="F9183" s="596"/>
      <c r="G9183" s="65">
        <v>0</v>
      </c>
      <c r="H9183" s="591" t="s">
        <v>280</v>
      </c>
      <c r="I9183" s="589" t="s">
        <v>280</v>
      </c>
    </row>
    <row r="9184" spans="1:9">
      <c r="A9184" s="577"/>
      <c r="B9184" s="65">
        <v>9382</v>
      </c>
      <c r="C9184" s="579" t="s">
        <v>281</v>
      </c>
      <c r="D9184" s="579"/>
      <c r="E9184" s="583"/>
      <c r="F9184" s="596"/>
      <c r="G9184" s="65">
        <v>0</v>
      </c>
      <c r="H9184" s="591" t="s">
        <v>280</v>
      </c>
      <c r="I9184" s="589" t="s">
        <v>280</v>
      </c>
    </row>
    <row r="9185" spans="1:9">
      <c r="A9185" s="577"/>
      <c r="B9185" s="65">
        <v>9383</v>
      </c>
      <c r="C9185" s="579" t="s">
        <v>281</v>
      </c>
      <c r="D9185" s="579"/>
      <c r="E9185" s="583"/>
      <c r="F9185" s="596"/>
      <c r="G9185" s="65">
        <v>0</v>
      </c>
      <c r="H9185" s="591" t="s">
        <v>280</v>
      </c>
      <c r="I9185" s="589" t="s">
        <v>280</v>
      </c>
    </row>
    <row r="9186" spans="1:9">
      <c r="A9186" s="577"/>
      <c r="B9186" s="65">
        <v>9384</v>
      </c>
      <c r="C9186" s="579" t="s">
        <v>281</v>
      </c>
      <c r="D9186" s="579"/>
      <c r="E9186" s="583"/>
      <c r="F9186" s="596"/>
      <c r="G9186" s="65">
        <v>0</v>
      </c>
      <c r="H9186" s="591" t="s">
        <v>280</v>
      </c>
      <c r="I9186" s="589" t="s">
        <v>280</v>
      </c>
    </row>
    <row r="9187" spans="1:9">
      <c r="A9187" s="577"/>
      <c r="B9187" s="65">
        <v>9385</v>
      </c>
      <c r="C9187" s="579" t="s">
        <v>281</v>
      </c>
      <c r="D9187" s="579"/>
      <c r="E9187" s="583"/>
      <c r="F9187" s="596"/>
      <c r="G9187" s="65">
        <v>0</v>
      </c>
      <c r="H9187" s="591" t="s">
        <v>280</v>
      </c>
      <c r="I9187" s="589" t="s">
        <v>280</v>
      </c>
    </row>
    <row r="9188" spans="1:9">
      <c r="A9188" s="577"/>
      <c r="B9188" s="65">
        <v>9386</v>
      </c>
      <c r="C9188" s="579" t="s">
        <v>281</v>
      </c>
      <c r="D9188" s="579"/>
      <c r="E9188" s="583"/>
      <c r="F9188" s="596"/>
      <c r="G9188" s="65">
        <v>0</v>
      </c>
      <c r="H9188" s="591" t="s">
        <v>280</v>
      </c>
      <c r="I9188" s="589" t="s">
        <v>280</v>
      </c>
    </row>
    <row r="9189" spans="1:9">
      <c r="A9189" s="577"/>
      <c r="B9189" s="65">
        <v>9387</v>
      </c>
      <c r="C9189" s="579" t="s">
        <v>281</v>
      </c>
      <c r="D9189" s="579"/>
      <c r="E9189" s="583"/>
      <c r="F9189" s="596"/>
      <c r="G9189" s="65">
        <v>0</v>
      </c>
      <c r="H9189" s="591" t="s">
        <v>280</v>
      </c>
      <c r="I9189" s="589" t="s">
        <v>280</v>
      </c>
    </row>
    <row r="9190" spans="1:9">
      <c r="A9190" s="577"/>
      <c r="B9190" s="65">
        <v>9388</v>
      </c>
      <c r="C9190" s="579" t="s">
        <v>281</v>
      </c>
      <c r="D9190" s="579"/>
      <c r="E9190" s="583"/>
      <c r="F9190" s="596"/>
      <c r="G9190" s="65">
        <v>0</v>
      </c>
      <c r="H9190" s="591" t="s">
        <v>280</v>
      </c>
      <c r="I9190" s="589" t="s">
        <v>280</v>
      </c>
    </row>
    <row r="9191" spans="1:9">
      <c r="A9191" s="577"/>
      <c r="B9191" s="65">
        <v>9389</v>
      </c>
      <c r="C9191" s="579" t="s">
        <v>281</v>
      </c>
      <c r="D9191" s="579"/>
      <c r="E9191" s="583"/>
      <c r="F9191" s="596"/>
      <c r="G9191" s="65">
        <v>0</v>
      </c>
      <c r="H9191" s="591" t="s">
        <v>280</v>
      </c>
      <c r="I9191" s="589" t="s">
        <v>280</v>
      </c>
    </row>
    <row r="9192" spans="1:9">
      <c r="A9192" s="577"/>
      <c r="B9192" s="65">
        <v>9390</v>
      </c>
      <c r="C9192" s="579" t="s">
        <v>281</v>
      </c>
      <c r="D9192" s="579"/>
      <c r="E9192" s="583"/>
      <c r="F9192" s="596"/>
      <c r="G9192" s="65">
        <v>0</v>
      </c>
      <c r="H9192" s="591" t="s">
        <v>280</v>
      </c>
      <c r="I9192" s="589" t="s">
        <v>280</v>
      </c>
    </row>
    <row r="9193" spans="1:9">
      <c r="A9193" s="577"/>
      <c r="B9193" s="65">
        <v>9391</v>
      </c>
      <c r="C9193" s="579" t="s">
        <v>281</v>
      </c>
      <c r="D9193" s="579"/>
      <c r="E9193" s="583"/>
      <c r="F9193" s="596"/>
      <c r="G9193" s="65">
        <v>0</v>
      </c>
      <c r="H9193" s="591" t="s">
        <v>280</v>
      </c>
      <c r="I9193" s="589" t="s">
        <v>280</v>
      </c>
    </row>
    <row r="9194" spans="1:9">
      <c r="A9194" s="577"/>
      <c r="B9194" s="65">
        <v>9392</v>
      </c>
      <c r="C9194" s="579" t="s">
        <v>281</v>
      </c>
      <c r="D9194" s="579"/>
      <c r="E9194" s="583"/>
      <c r="F9194" s="596"/>
      <c r="G9194" s="65">
        <v>0</v>
      </c>
      <c r="H9194" s="591" t="s">
        <v>280</v>
      </c>
      <c r="I9194" s="589" t="s">
        <v>280</v>
      </c>
    </row>
    <row r="9195" spans="1:9">
      <c r="A9195" s="577"/>
      <c r="B9195" s="65">
        <v>9393</v>
      </c>
      <c r="C9195" s="579" t="s">
        <v>281</v>
      </c>
      <c r="D9195" s="579"/>
      <c r="E9195" s="583"/>
      <c r="F9195" s="596"/>
      <c r="G9195" s="65">
        <v>0</v>
      </c>
      <c r="H9195" s="591" t="s">
        <v>280</v>
      </c>
      <c r="I9195" s="589" t="s">
        <v>280</v>
      </c>
    </row>
    <row r="9196" spans="1:9">
      <c r="A9196" s="577"/>
      <c r="B9196" s="65">
        <v>9394</v>
      </c>
      <c r="C9196" s="579" t="s">
        <v>281</v>
      </c>
      <c r="D9196" s="579"/>
      <c r="E9196" s="583"/>
      <c r="F9196" s="596"/>
      <c r="G9196" s="65">
        <v>0</v>
      </c>
      <c r="H9196" s="591" t="s">
        <v>280</v>
      </c>
      <c r="I9196" s="589" t="s">
        <v>280</v>
      </c>
    </row>
    <row r="9197" spans="1:9">
      <c r="A9197" s="577"/>
      <c r="B9197" s="65">
        <v>9395</v>
      </c>
      <c r="C9197" s="579" t="s">
        <v>281</v>
      </c>
      <c r="D9197" s="579"/>
      <c r="E9197" s="583"/>
      <c r="F9197" s="596"/>
      <c r="G9197" s="65">
        <v>0</v>
      </c>
      <c r="H9197" s="591" t="s">
        <v>280</v>
      </c>
      <c r="I9197" s="589" t="s">
        <v>280</v>
      </c>
    </row>
    <row r="9198" spans="1:9">
      <c r="A9198" s="577"/>
      <c r="B9198" s="65">
        <v>9396</v>
      </c>
      <c r="C9198" s="579" t="s">
        <v>281</v>
      </c>
      <c r="D9198" s="579"/>
      <c r="E9198" s="583"/>
      <c r="F9198" s="596"/>
      <c r="G9198" s="65">
        <v>0</v>
      </c>
      <c r="H9198" s="591" t="s">
        <v>280</v>
      </c>
      <c r="I9198" s="589" t="s">
        <v>280</v>
      </c>
    </row>
    <row r="9199" spans="1:9">
      <c r="A9199" s="577"/>
      <c r="B9199" s="65">
        <v>9397</v>
      </c>
      <c r="C9199" s="579" t="s">
        <v>281</v>
      </c>
      <c r="D9199" s="579"/>
      <c r="E9199" s="583"/>
      <c r="F9199" s="596"/>
      <c r="G9199" s="65">
        <v>0</v>
      </c>
      <c r="H9199" s="591" t="s">
        <v>280</v>
      </c>
      <c r="I9199" s="589" t="s">
        <v>280</v>
      </c>
    </row>
    <row r="9200" spans="1:9">
      <c r="A9200" s="577"/>
      <c r="B9200" s="65">
        <v>9398</v>
      </c>
      <c r="C9200" s="579" t="s">
        <v>281</v>
      </c>
      <c r="D9200" s="579"/>
      <c r="E9200" s="583"/>
      <c r="F9200" s="596"/>
      <c r="G9200" s="65">
        <v>0</v>
      </c>
      <c r="H9200" s="591" t="s">
        <v>280</v>
      </c>
      <c r="I9200" s="589" t="s">
        <v>280</v>
      </c>
    </row>
    <row r="9201" spans="1:9">
      <c r="A9201" s="577"/>
      <c r="B9201" s="65">
        <v>9399</v>
      </c>
      <c r="C9201" s="579" t="s">
        <v>281</v>
      </c>
      <c r="D9201" s="579"/>
      <c r="E9201" s="583"/>
      <c r="F9201" s="596"/>
      <c r="G9201" s="65">
        <v>0</v>
      </c>
      <c r="H9201" s="591" t="s">
        <v>280</v>
      </c>
      <c r="I9201" s="589" t="s">
        <v>280</v>
      </c>
    </row>
    <row r="9202" spans="1:9">
      <c r="A9202" s="577"/>
      <c r="B9202" s="65">
        <v>9400</v>
      </c>
      <c r="C9202" s="579" t="s">
        <v>281</v>
      </c>
      <c r="D9202" s="579"/>
      <c r="E9202" s="583"/>
      <c r="F9202" s="596"/>
      <c r="G9202" s="65">
        <v>0</v>
      </c>
      <c r="H9202" s="591" t="s">
        <v>280</v>
      </c>
      <c r="I9202" s="589" t="s">
        <v>280</v>
      </c>
    </row>
    <row r="9203" spans="1:9">
      <c r="A9203" s="577"/>
      <c r="B9203" s="65">
        <v>9401</v>
      </c>
      <c r="C9203" s="579" t="s">
        <v>281</v>
      </c>
      <c r="D9203" s="579"/>
      <c r="E9203" s="583"/>
      <c r="F9203" s="596"/>
      <c r="G9203" s="65">
        <v>0</v>
      </c>
      <c r="H9203" s="591" t="s">
        <v>280</v>
      </c>
      <c r="I9203" s="589" t="s">
        <v>280</v>
      </c>
    </row>
    <row r="9204" spans="1:9">
      <c r="A9204" s="577"/>
      <c r="B9204" s="65">
        <v>9402</v>
      </c>
      <c r="C9204" s="579" t="s">
        <v>281</v>
      </c>
      <c r="D9204" s="579"/>
      <c r="E9204" s="583"/>
      <c r="F9204" s="596"/>
      <c r="G9204" s="65">
        <v>0</v>
      </c>
      <c r="H9204" s="591" t="s">
        <v>280</v>
      </c>
      <c r="I9204" s="589" t="s">
        <v>280</v>
      </c>
    </row>
    <row r="9205" spans="1:9">
      <c r="A9205" s="577"/>
      <c r="B9205" s="65">
        <v>9403</v>
      </c>
      <c r="C9205" s="579" t="s">
        <v>281</v>
      </c>
      <c r="D9205" s="579"/>
      <c r="E9205" s="583"/>
      <c r="F9205" s="596"/>
      <c r="G9205" s="65">
        <v>0</v>
      </c>
      <c r="H9205" s="591" t="s">
        <v>280</v>
      </c>
      <c r="I9205" s="589" t="s">
        <v>280</v>
      </c>
    </row>
    <row r="9206" spans="1:9">
      <c r="A9206" s="577"/>
      <c r="B9206" s="65">
        <v>9404</v>
      </c>
      <c r="C9206" s="579" t="s">
        <v>281</v>
      </c>
      <c r="D9206" s="579"/>
      <c r="E9206" s="583"/>
      <c r="F9206" s="596"/>
      <c r="G9206" s="65">
        <v>0</v>
      </c>
      <c r="H9206" s="591" t="s">
        <v>280</v>
      </c>
      <c r="I9206" s="589" t="s">
        <v>280</v>
      </c>
    </row>
    <row r="9207" spans="1:9">
      <c r="A9207" s="577"/>
      <c r="B9207" s="65">
        <v>9405</v>
      </c>
      <c r="C9207" s="579" t="s">
        <v>281</v>
      </c>
      <c r="D9207" s="579"/>
      <c r="E9207" s="583"/>
      <c r="F9207" s="596"/>
      <c r="G9207" s="65">
        <v>0</v>
      </c>
      <c r="H9207" s="591" t="s">
        <v>280</v>
      </c>
      <c r="I9207" s="589" t="s">
        <v>280</v>
      </c>
    </row>
    <row r="9208" spans="1:9">
      <c r="A9208" s="577"/>
      <c r="B9208" s="65">
        <v>9406</v>
      </c>
      <c r="C9208" s="579" t="s">
        <v>281</v>
      </c>
      <c r="D9208" s="579"/>
      <c r="E9208" s="583"/>
      <c r="F9208" s="596"/>
      <c r="G9208" s="65">
        <v>0</v>
      </c>
      <c r="H9208" s="591" t="s">
        <v>280</v>
      </c>
      <c r="I9208" s="589" t="s">
        <v>280</v>
      </c>
    </row>
    <row r="9209" spans="1:9">
      <c r="A9209" s="577"/>
      <c r="B9209" s="65">
        <v>9407</v>
      </c>
      <c r="C9209" s="579" t="s">
        <v>281</v>
      </c>
      <c r="D9209" s="579"/>
      <c r="E9209" s="583"/>
      <c r="F9209" s="596"/>
      <c r="G9209" s="65">
        <v>0</v>
      </c>
      <c r="H9209" s="591" t="s">
        <v>280</v>
      </c>
      <c r="I9209" s="589" t="s">
        <v>280</v>
      </c>
    </row>
    <row r="9210" spans="1:9">
      <c r="A9210" s="577"/>
      <c r="B9210" s="65">
        <v>9408</v>
      </c>
      <c r="C9210" s="579" t="s">
        <v>281</v>
      </c>
      <c r="D9210" s="579"/>
      <c r="E9210" s="583"/>
      <c r="F9210" s="596"/>
      <c r="G9210" s="65">
        <v>0</v>
      </c>
      <c r="H9210" s="591" t="s">
        <v>280</v>
      </c>
      <c r="I9210" s="589" t="s">
        <v>280</v>
      </c>
    </row>
    <row r="9211" spans="1:9">
      <c r="A9211" s="577"/>
      <c r="B9211" s="65">
        <v>9409</v>
      </c>
      <c r="C9211" s="579" t="s">
        <v>281</v>
      </c>
      <c r="D9211" s="579"/>
      <c r="E9211" s="583"/>
      <c r="F9211" s="596"/>
      <c r="G9211" s="65">
        <v>0</v>
      </c>
      <c r="H9211" s="591" t="s">
        <v>280</v>
      </c>
      <c r="I9211" s="589" t="s">
        <v>280</v>
      </c>
    </row>
    <row r="9212" spans="1:9">
      <c r="A9212" s="577"/>
      <c r="B9212" s="65">
        <v>9410</v>
      </c>
      <c r="C9212" s="579" t="s">
        <v>281</v>
      </c>
      <c r="D9212" s="579"/>
      <c r="E9212" s="583"/>
      <c r="F9212" s="596"/>
      <c r="G9212" s="65">
        <v>0</v>
      </c>
      <c r="H9212" s="591" t="s">
        <v>280</v>
      </c>
      <c r="I9212" s="589" t="s">
        <v>280</v>
      </c>
    </row>
    <row r="9213" spans="1:9">
      <c r="A9213" s="577"/>
      <c r="B9213" s="65">
        <v>9411</v>
      </c>
      <c r="C9213" s="579" t="s">
        <v>281</v>
      </c>
      <c r="D9213" s="579"/>
      <c r="E9213" s="583"/>
      <c r="F9213" s="596"/>
      <c r="G9213" s="65">
        <v>0</v>
      </c>
      <c r="H9213" s="591" t="s">
        <v>280</v>
      </c>
      <c r="I9213" s="589" t="s">
        <v>280</v>
      </c>
    </row>
    <row r="9214" spans="1:9">
      <c r="A9214" s="577"/>
      <c r="B9214" s="65">
        <v>9412</v>
      </c>
      <c r="C9214" s="579" t="s">
        <v>281</v>
      </c>
      <c r="D9214" s="579"/>
      <c r="E9214" s="583"/>
      <c r="F9214" s="596"/>
      <c r="G9214" s="65">
        <v>0</v>
      </c>
      <c r="H9214" s="591" t="s">
        <v>280</v>
      </c>
      <c r="I9214" s="589" t="s">
        <v>280</v>
      </c>
    </row>
    <row r="9215" spans="1:9">
      <c r="A9215" s="577"/>
      <c r="B9215" s="65">
        <v>9413</v>
      </c>
      <c r="C9215" s="579" t="s">
        <v>281</v>
      </c>
      <c r="D9215" s="579"/>
      <c r="E9215" s="583"/>
      <c r="F9215" s="596"/>
      <c r="G9215" s="65">
        <v>0</v>
      </c>
      <c r="H9215" s="591" t="s">
        <v>280</v>
      </c>
      <c r="I9215" s="589" t="s">
        <v>280</v>
      </c>
    </row>
    <row r="9216" spans="1:9">
      <c r="A9216" s="577"/>
      <c r="B9216" s="65">
        <v>9414</v>
      </c>
      <c r="C9216" s="579" t="s">
        <v>281</v>
      </c>
      <c r="D9216" s="579"/>
      <c r="E9216" s="583"/>
      <c r="F9216" s="596"/>
      <c r="G9216" s="65">
        <v>0</v>
      </c>
      <c r="H9216" s="591" t="s">
        <v>280</v>
      </c>
      <c r="I9216" s="589" t="s">
        <v>280</v>
      </c>
    </row>
    <row r="9217" spans="1:9">
      <c r="A9217" s="577"/>
      <c r="B9217" s="65">
        <v>9415</v>
      </c>
      <c r="C9217" s="579" t="s">
        <v>281</v>
      </c>
      <c r="D9217" s="579"/>
      <c r="E9217" s="583"/>
      <c r="F9217" s="596"/>
      <c r="G9217" s="65">
        <v>0</v>
      </c>
      <c r="H9217" s="591" t="s">
        <v>280</v>
      </c>
      <c r="I9217" s="589" t="s">
        <v>280</v>
      </c>
    </row>
    <row r="9218" spans="1:9">
      <c r="A9218" s="577"/>
      <c r="B9218" s="65">
        <v>9416</v>
      </c>
      <c r="C9218" s="579" t="s">
        <v>281</v>
      </c>
      <c r="D9218" s="579"/>
      <c r="E9218" s="583"/>
      <c r="F9218" s="596"/>
      <c r="G9218" s="65">
        <v>0</v>
      </c>
      <c r="H9218" s="591" t="s">
        <v>280</v>
      </c>
      <c r="I9218" s="589" t="s">
        <v>280</v>
      </c>
    </row>
    <row r="9219" spans="1:9">
      <c r="A9219" s="577"/>
      <c r="B9219" s="65">
        <v>9417</v>
      </c>
      <c r="C9219" s="579" t="s">
        <v>281</v>
      </c>
      <c r="D9219" s="579"/>
      <c r="E9219" s="583"/>
      <c r="F9219" s="596"/>
      <c r="G9219" s="65">
        <v>0</v>
      </c>
      <c r="H9219" s="591" t="s">
        <v>280</v>
      </c>
      <c r="I9219" s="589" t="s">
        <v>280</v>
      </c>
    </row>
    <row r="9220" spans="1:9">
      <c r="A9220" s="577"/>
      <c r="B9220" s="65">
        <v>9418</v>
      </c>
      <c r="C9220" s="579" t="s">
        <v>281</v>
      </c>
      <c r="D9220" s="579"/>
      <c r="E9220" s="583"/>
      <c r="F9220" s="596"/>
      <c r="G9220" s="65">
        <v>0</v>
      </c>
      <c r="H9220" s="591" t="s">
        <v>280</v>
      </c>
      <c r="I9220" s="589" t="s">
        <v>280</v>
      </c>
    </row>
    <row r="9221" spans="1:9">
      <c r="A9221" s="577"/>
      <c r="B9221" s="65">
        <v>9419</v>
      </c>
      <c r="C9221" s="579" t="s">
        <v>281</v>
      </c>
      <c r="D9221" s="579"/>
      <c r="E9221" s="583"/>
      <c r="F9221" s="596"/>
      <c r="G9221" s="65">
        <v>0</v>
      </c>
      <c r="H9221" s="591" t="s">
        <v>280</v>
      </c>
      <c r="I9221" s="589" t="s">
        <v>280</v>
      </c>
    </row>
    <row r="9222" spans="1:9">
      <c r="A9222" s="577"/>
      <c r="B9222" s="65">
        <v>9420</v>
      </c>
      <c r="C9222" s="579" t="s">
        <v>281</v>
      </c>
      <c r="D9222" s="579"/>
      <c r="E9222" s="583"/>
      <c r="F9222" s="596"/>
      <c r="G9222" s="65">
        <v>0</v>
      </c>
      <c r="H9222" s="591" t="s">
        <v>280</v>
      </c>
      <c r="I9222" s="589" t="s">
        <v>280</v>
      </c>
    </row>
    <row r="9223" spans="1:9">
      <c r="A9223" s="577"/>
      <c r="B9223" s="65">
        <v>9421</v>
      </c>
      <c r="C9223" s="579" t="s">
        <v>281</v>
      </c>
      <c r="D9223" s="579"/>
      <c r="E9223" s="583"/>
      <c r="F9223" s="596"/>
      <c r="G9223" s="65">
        <v>0</v>
      </c>
      <c r="H9223" s="591" t="s">
        <v>280</v>
      </c>
      <c r="I9223" s="589" t="s">
        <v>280</v>
      </c>
    </row>
    <row r="9224" spans="1:9">
      <c r="A9224" s="577"/>
      <c r="B9224" s="65">
        <v>9422</v>
      </c>
      <c r="C9224" s="579" t="s">
        <v>281</v>
      </c>
      <c r="D9224" s="579"/>
      <c r="E9224" s="583"/>
      <c r="F9224" s="596"/>
      <c r="G9224" s="65">
        <v>0</v>
      </c>
      <c r="H9224" s="591" t="s">
        <v>280</v>
      </c>
      <c r="I9224" s="589" t="s">
        <v>280</v>
      </c>
    </row>
    <row r="9225" spans="1:9">
      <c r="A9225" s="577"/>
      <c r="B9225" s="65">
        <v>9423</v>
      </c>
      <c r="C9225" s="579" t="s">
        <v>281</v>
      </c>
      <c r="D9225" s="579"/>
      <c r="E9225" s="583"/>
      <c r="F9225" s="596"/>
      <c r="G9225" s="65">
        <v>0</v>
      </c>
      <c r="H9225" s="591" t="s">
        <v>280</v>
      </c>
      <c r="I9225" s="589" t="s">
        <v>280</v>
      </c>
    </row>
    <row r="9226" spans="1:9">
      <c r="A9226" s="577"/>
      <c r="B9226" s="65">
        <v>9424</v>
      </c>
      <c r="C9226" s="579" t="s">
        <v>281</v>
      </c>
      <c r="D9226" s="579"/>
      <c r="E9226" s="583"/>
      <c r="F9226" s="596"/>
      <c r="G9226" s="65">
        <v>0</v>
      </c>
      <c r="H9226" s="591" t="s">
        <v>280</v>
      </c>
      <c r="I9226" s="589" t="s">
        <v>280</v>
      </c>
    </row>
    <row r="9227" spans="1:9">
      <c r="A9227" s="577"/>
      <c r="B9227" s="65">
        <v>9425</v>
      </c>
      <c r="C9227" s="579" t="s">
        <v>281</v>
      </c>
      <c r="D9227" s="579"/>
      <c r="E9227" s="583"/>
      <c r="F9227" s="596"/>
      <c r="G9227" s="65">
        <v>0</v>
      </c>
      <c r="H9227" s="591" t="s">
        <v>280</v>
      </c>
      <c r="I9227" s="589" t="s">
        <v>280</v>
      </c>
    </row>
    <row r="9228" spans="1:9">
      <c r="A9228" s="577"/>
      <c r="B9228" s="65">
        <v>9426</v>
      </c>
      <c r="C9228" s="579" t="s">
        <v>281</v>
      </c>
      <c r="D9228" s="579"/>
      <c r="E9228" s="583"/>
      <c r="F9228" s="596"/>
      <c r="G9228" s="65">
        <v>0</v>
      </c>
      <c r="H9228" s="591" t="s">
        <v>280</v>
      </c>
      <c r="I9228" s="589" t="s">
        <v>280</v>
      </c>
    </row>
    <row r="9229" spans="1:9">
      <c r="A9229" s="577"/>
      <c r="B9229" s="65">
        <v>9427</v>
      </c>
      <c r="C9229" s="579" t="s">
        <v>281</v>
      </c>
      <c r="D9229" s="579"/>
      <c r="E9229" s="583"/>
      <c r="F9229" s="596"/>
      <c r="G9229" s="65">
        <v>0</v>
      </c>
      <c r="H9229" s="591" t="s">
        <v>280</v>
      </c>
      <c r="I9229" s="589" t="s">
        <v>280</v>
      </c>
    </row>
    <row r="9230" spans="1:9">
      <c r="A9230" s="577"/>
      <c r="B9230" s="65">
        <v>9428</v>
      </c>
      <c r="C9230" s="579" t="s">
        <v>281</v>
      </c>
      <c r="D9230" s="579"/>
      <c r="E9230" s="583"/>
      <c r="F9230" s="596"/>
      <c r="G9230" s="65">
        <v>0</v>
      </c>
      <c r="H9230" s="591" t="s">
        <v>280</v>
      </c>
      <c r="I9230" s="589" t="s">
        <v>280</v>
      </c>
    </row>
    <row r="9231" spans="1:9">
      <c r="A9231" s="577"/>
      <c r="B9231" s="65">
        <v>9429</v>
      </c>
      <c r="C9231" s="579" t="s">
        <v>281</v>
      </c>
      <c r="D9231" s="579"/>
      <c r="E9231" s="583"/>
      <c r="F9231" s="596"/>
      <c r="G9231" s="65">
        <v>0</v>
      </c>
      <c r="H9231" s="591" t="s">
        <v>280</v>
      </c>
      <c r="I9231" s="589" t="s">
        <v>280</v>
      </c>
    </row>
    <row r="9232" spans="1:9">
      <c r="A9232" s="577"/>
      <c r="B9232" s="65">
        <v>9430</v>
      </c>
      <c r="C9232" s="579" t="s">
        <v>281</v>
      </c>
      <c r="D9232" s="579"/>
      <c r="E9232" s="583"/>
      <c r="F9232" s="596"/>
      <c r="G9232" s="65">
        <v>0</v>
      </c>
      <c r="H9232" s="591" t="s">
        <v>280</v>
      </c>
      <c r="I9232" s="589" t="s">
        <v>280</v>
      </c>
    </row>
    <row r="9233" spans="1:9">
      <c r="A9233" s="577"/>
      <c r="B9233" s="65">
        <v>9431</v>
      </c>
      <c r="C9233" s="579" t="s">
        <v>281</v>
      </c>
      <c r="D9233" s="579"/>
      <c r="E9233" s="583"/>
      <c r="F9233" s="596"/>
      <c r="G9233" s="65">
        <v>0</v>
      </c>
      <c r="H9233" s="591" t="s">
        <v>280</v>
      </c>
      <c r="I9233" s="589" t="s">
        <v>280</v>
      </c>
    </row>
    <row r="9234" spans="1:9">
      <c r="A9234" s="577"/>
      <c r="B9234" s="65">
        <v>9432</v>
      </c>
      <c r="C9234" s="579" t="s">
        <v>281</v>
      </c>
      <c r="D9234" s="579"/>
      <c r="E9234" s="583"/>
      <c r="F9234" s="596"/>
      <c r="G9234" s="65">
        <v>0</v>
      </c>
      <c r="H9234" s="591" t="s">
        <v>280</v>
      </c>
      <c r="I9234" s="589" t="s">
        <v>280</v>
      </c>
    </row>
    <row r="9235" spans="1:9">
      <c r="A9235" s="577"/>
      <c r="B9235" s="65">
        <v>9433</v>
      </c>
      <c r="C9235" s="579" t="s">
        <v>281</v>
      </c>
      <c r="D9235" s="579"/>
      <c r="E9235" s="583"/>
      <c r="F9235" s="596"/>
      <c r="G9235" s="65">
        <v>0</v>
      </c>
      <c r="H9235" s="591" t="s">
        <v>280</v>
      </c>
      <c r="I9235" s="589" t="s">
        <v>280</v>
      </c>
    </row>
    <row r="9236" spans="1:9">
      <c r="A9236" s="577"/>
      <c r="B9236" s="65">
        <v>9434</v>
      </c>
      <c r="C9236" s="579" t="s">
        <v>281</v>
      </c>
      <c r="D9236" s="579"/>
      <c r="E9236" s="583"/>
      <c r="F9236" s="596"/>
      <c r="G9236" s="65">
        <v>0</v>
      </c>
      <c r="H9236" s="591" t="s">
        <v>280</v>
      </c>
      <c r="I9236" s="589" t="s">
        <v>280</v>
      </c>
    </row>
    <row r="9237" spans="1:9">
      <c r="A9237" s="577"/>
      <c r="B9237" s="65">
        <v>9435</v>
      </c>
      <c r="C9237" s="579" t="s">
        <v>281</v>
      </c>
      <c r="D9237" s="579"/>
      <c r="E9237" s="583"/>
      <c r="F9237" s="596"/>
      <c r="G9237" s="65">
        <v>0</v>
      </c>
      <c r="H9237" s="591" t="s">
        <v>280</v>
      </c>
      <c r="I9237" s="589" t="s">
        <v>280</v>
      </c>
    </row>
    <row r="9238" spans="1:9">
      <c r="A9238" s="577"/>
      <c r="B9238" s="65">
        <v>9436</v>
      </c>
      <c r="C9238" s="579" t="s">
        <v>281</v>
      </c>
      <c r="D9238" s="579"/>
      <c r="E9238" s="583"/>
      <c r="F9238" s="596"/>
      <c r="G9238" s="65">
        <v>0</v>
      </c>
      <c r="H9238" s="591" t="s">
        <v>280</v>
      </c>
      <c r="I9238" s="589" t="s">
        <v>280</v>
      </c>
    </row>
    <row r="9239" spans="1:9">
      <c r="A9239" s="577"/>
      <c r="B9239" s="65">
        <v>9437</v>
      </c>
      <c r="C9239" s="579" t="s">
        <v>281</v>
      </c>
      <c r="D9239" s="579"/>
      <c r="E9239" s="583"/>
      <c r="F9239" s="596"/>
      <c r="G9239" s="65">
        <v>0</v>
      </c>
      <c r="H9239" s="591" t="s">
        <v>280</v>
      </c>
      <c r="I9239" s="589" t="s">
        <v>280</v>
      </c>
    </row>
    <row r="9240" spans="1:9">
      <c r="A9240" s="577"/>
      <c r="B9240" s="65">
        <v>9438</v>
      </c>
      <c r="C9240" s="579" t="s">
        <v>281</v>
      </c>
      <c r="D9240" s="579"/>
      <c r="E9240" s="583"/>
      <c r="F9240" s="596"/>
      <c r="G9240" s="65">
        <v>0</v>
      </c>
      <c r="H9240" s="591" t="s">
        <v>280</v>
      </c>
      <c r="I9240" s="589" t="s">
        <v>280</v>
      </c>
    </row>
    <row r="9241" spans="1:9">
      <c r="A9241" s="577"/>
      <c r="B9241" s="65">
        <v>9439</v>
      </c>
      <c r="C9241" s="579" t="s">
        <v>281</v>
      </c>
      <c r="D9241" s="579"/>
      <c r="E9241" s="583"/>
      <c r="F9241" s="596"/>
      <c r="G9241" s="65">
        <v>0</v>
      </c>
      <c r="H9241" s="591" t="s">
        <v>280</v>
      </c>
      <c r="I9241" s="589" t="s">
        <v>280</v>
      </c>
    </row>
    <row r="9242" spans="1:9">
      <c r="A9242" s="577"/>
      <c r="B9242" s="65">
        <v>9440</v>
      </c>
      <c r="C9242" s="579" t="s">
        <v>281</v>
      </c>
      <c r="D9242" s="579"/>
      <c r="E9242" s="583"/>
      <c r="F9242" s="596"/>
      <c r="G9242" s="65">
        <v>0</v>
      </c>
      <c r="H9242" s="591" t="s">
        <v>280</v>
      </c>
      <c r="I9242" s="589" t="s">
        <v>280</v>
      </c>
    </row>
    <row r="9243" spans="1:9">
      <c r="A9243" s="577"/>
      <c r="B9243" s="65">
        <v>9441</v>
      </c>
      <c r="C9243" s="579" t="s">
        <v>281</v>
      </c>
      <c r="D9243" s="579"/>
      <c r="E9243" s="583"/>
      <c r="F9243" s="596"/>
      <c r="G9243" s="65">
        <v>0</v>
      </c>
      <c r="H9243" s="591" t="s">
        <v>280</v>
      </c>
      <c r="I9243" s="589" t="s">
        <v>280</v>
      </c>
    </row>
    <row r="9244" spans="1:9">
      <c r="A9244" s="577"/>
      <c r="B9244" s="65">
        <v>9442</v>
      </c>
      <c r="C9244" s="579" t="s">
        <v>281</v>
      </c>
      <c r="D9244" s="579"/>
      <c r="E9244" s="583"/>
      <c r="F9244" s="596"/>
      <c r="G9244" s="65">
        <v>0</v>
      </c>
      <c r="H9244" s="591" t="s">
        <v>280</v>
      </c>
      <c r="I9244" s="589" t="s">
        <v>280</v>
      </c>
    </row>
    <row r="9245" spans="1:9">
      <c r="A9245" s="577"/>
      <c r="B9245" s="65">
        <v>9443</v>
      </c>
      <c r="C9245" s="579" t="s">
        <v>281</v>
      </c>
      <c r="D9245" s="579"/>
      <c r="E9245" s="583"/>
      <c r="F9245" s="596"/>
      <c r="G9245" s="65">
        <v>0</v>
      </c>
      <c r="H9245" s="591" t="s">
        <v>280</v>
      </c>
      <c r="I9245" s="589" t="s">
        <v>280</v>
      </c>
    </row>
    <row r="9246" spans="1:9">
      <c r="A9246" s="577"/>
      <c r="B9246" s="65">
        <v>9444</v>
      </c>
      <c r="C9246" s="579" t="s">
        <v>281</v>
      </c>
      <c r="D9246" s="579"/>
      <c r="E9246" s="583"/>
      <c r="F9246" s="596"/>
      <c r="G9246" s="65">
        <v>0</v>
      </c>
      <c r="H9246" s="591" t="s">
        <v>280</v>
      </c>
      <c r="I9246" s="589" t="s">
        <v>280</v>
      </c>
    </row>
    <row r="9247" spans="1:9">
      <c r="A9247" s="577"/>
      <c r="B9247" s="65">
        <v>9445</v>
      </c>
      <c r="C9247" s="579" t="s">
        <v>281</v>
      </c>
      <c r="D9247" s="579"/>
      <c r="E9247" s="583"/>
      <c r="F9247" s="596"/>
      <c r="G9247" s="65">
        <v>0</v>
      </c>
      <c r="H9247" s="591" t="s">
        <v>280</v>
      </c>
      <c r="I9247" s="589" t="s">
        <v>280</v>
      </c>
    </row>
    <row r="9248" spans="1:9">
      <c r="A9248" s="577"/>
      <c r="B9248" s="65">
        <v>9446</v>
      </c>
      <c r="C9248" s="579" t="s">
        <v>281</v>
      </c>
      <c r="D9248" s="579"/>
      <c r="E9248" s="583"/>
      <c r="F9248" s="596"/>
      <c r="G9248" s="65">
        <v>0</v>
      </c>
      <c r="H9248" s="591" t="s">
        <v>280</v>
      </c>
      <c r="I9248" s="589" t="s">
        <v>280</v>
      </c>
    </row>
    <row r="9249" spans="1:9">
      <c r="A9249" s="577"/>
      <c r="B9249" s="65">
        <v>9447</v>
      </c>
      <c r="C9249" s="579" t="s">
        <v>281</v>
      </c>
      <c r="D9249" s="579"/>
      <c r="E9249" s="583"/>
      <c r="F9249" s="596"/>
      <c r="G9249" s="65">
        <v>0</v>
      </c>
      <c r="H9249" s="591" t="s">
        <v>280</v>
      </c>
      <c r="I9249" s="589" t="s">
        <v>280</v>
      </c>
    </row>
    <row r="9250" spans="1:9">
      <c r="A9250" s="577"/>
      <c r="B9250" s="65">
        <v>9448</v>
      </c>
      <c r="C9250" s="579" t="s">
        <v>281</v>
      </c>
      <c r="D9250" s="579"/>
      <c r="E9250" s="583"/>
      <c r="F9250" s="596"/>
      <c r="G9250" s="65">
        <v>0</v>
      </c>
      <c r="H9250" s="591" t="s">
        <v>280</v>
      </c>
      <c r="I9250" s="589" t="s">
        <v>280</v>
      </c>
    </row>
    <row r="9251" spans="1:9">
      <c r="A9251" s="577"/>
      <c r="B9251" s="65">
        <v>9449</v>
      </c>
      <c r="C9251" s="579" t="s">
        <v>281</v>
      </c>
      <c r="D9251" s="579"/>
      <c r="E9251" s="583"/>
      <c r="F9251" s="596"/>
      <c r="G9251" s="65">
        <v>0</v>
      </c>
      <c r="H9251" s="591" t="s">
        <v>280</v>
      </c>
      <c r="I9251" s="589" t="s">
        <v>280</v>
      </c>
    </row>
    <row r="9252" spans="1:9">
      <c r="A9252" s="577"/>
      <c r="B9252" s="65">
        <v>9450</v>
      </c>
      <c r="C9252" s="579" t="s">
        <v>281</v>
      </c>
      <c r="D9252" s="579"/>
      <c r="E9252" s="583"/>
      <c r="F9252" s="596"/>
      <c r="G9252" s="65">
        <v>0</v>
      </c>
      <c r="H9252" s="591" t="s">
        <v>280</v>
      </c>
      <c r="I9252" s="589" t="s">
        <v>280</v>
      </c>
    </row>
    <row r="9253" spans="1:9">
      <c r="A9253" s="577"/>
      <c r="B9253" s="65">
        <v>9451</v>
      </c>
      <c r="C9253" s="579" t="s">
        <v>281</v>
      </c>
      <c r="D9253" s="579"/>
      <c r="E9253" s="583"/>
      <c r="F9253" s="596"/>
      <c r="G9253" s="65">
        <v>0</v>
      </c>
      <c r="H9253" s="591" t="s">
        <v>280</v>
      </c>
      <c r="I9253" s="589" t="s">
        <v>280</v>
      </c>
    </row>
    <row r="9254" spans="1:9">
      <c r="A9254" s="577"/>
      <c r="B9254" s="65">
        <v>9452</v>
      </c>
      <c r="C9254" s="579" t="s">
        <v>281</v>
      </c>
      <c r="D9254" s="579"/>
      <c r="E9254" s="583"/>
      <c r="F9254" s="596"/>
      <c r="G9254" s="65">
        <v>0</v>
      </c>
      <c r="H9254" s="591" t="s">
        <v>280</v>
      </c>
      <c r="I9254" s="589" t="s">
        <v>280</v>
      </c>
    </row>
    <row r="9255" spans="1:9">
      <c r="A9255" s="577"/>
      <c r="B9255" s="65">
        <v>9453</v>
      </c>
      <c r="C9255" s="579" t="s">
        <v>281</v>
      </c>
      <c r="D9255" s="579"/>
      <c r="E9255" s="583"/>
      <c r="F9255" s="596"/>
      <c r="G9255" s="65">
        <v>0</v>
      </c>
      <c r="H9255" s="591" t="s">
        <v>280</v>
      </c>
      <c r="I9255" s="589" t="s">
        <v>280</v>
      </c>
    </row>
    <row r="9256" spans="1:9">
      <c r="A9256" s="577"/>
      <c r="B9256" s="65">
        <v>9454</v>
      </c>
      <c r="C9256" s="579" t="s">
        <v>281</v>
      </c>
      <c r="D9256" s="579"/>
      <c r="E9256" s="583"/>
      <c r="F9256" s="596"/>
      <c r="G9256" s="65">
        <v>0</v>
      </c>
      <c r="H9256" s="591" t="s">
        <v>280</v>
      </c>
      <c r="I9256" s="589" t="s">
        <v>280</v>
      </c>
    </row>
    <row r="9257" spans="1:9">
      <c r="A9257" s="577"/>
      <c r="B9257" s="65">
        <v>9455</v>
      </c>
      <c r="C9257" s="579" t="s">
        <v>281</v>
      </c>
      <c r="D9257" s="579"/>
      <c r="E9257" s="583"/>
      <c r="F9257" s="596"/>
      <c r="G9257" s="65">
        <v>0</v>
      </c>
      <c r="H9257" s="591" t="s">
        <v>280</v>
      </c>
      <c r="I9257" s="589" t="s">
        <v>280</v>
      </c>
    </row>
    <row r="9258" spans="1:9">
      <c r="A9258" s="577"/>
      <c r="B9258" s="65">
        <v>9456</v>
      </c>
      <c r="C9258" s="579" t="s">
        <v>281</v>
      </c>
      <c r="D9258" s="579"/>
      <c r="E9258" s="583"/>
      <c r="F9258" s="596"/>
      <c r="G9258" s="65">
        <v>0</v>
      </c>
      <c r="H9258" s="591" t="s">
        <v>280</v>
      </c>
      <c r="I9258" s="589" t="s">
        <v>280</v>
      </c>
    </row>
    <row r="9259" spans="1:9">
      <c r="A9259" s="577"/>
      <c r="B9259" s="65">
        <v>9457</v>
      </c>
      <c r="C9259" s="579" t="s">
        <v>281</v>
      </c>
      <c r="D9259" s="579"/>
      <c r="E9259" s="583"/>
      <c r="F9259" s="596"/>
      <c r="G9259" s="65">
        <v>0</v>
      </c>
      <c r="H9259" s="591" t="s">
        <v>280</v>
      </c>
      <c r="I9259" s="589" t="s">
        <v>280</v>
      </c>
    </row>
    <row r="9260" spans="1:9">
      <c r="A9260" s="577"/>
      <c r="B9260" s="65">
        <v>9458</v>
      </c>
      <c r="C9260" s="579" t="s">
        <v>281</v>
      </c>
      <c r="D9260" s="579"/>
      <c r="E9260" s="583"/>
      <c r="F9260" s="596"/>
      <c r="G9260" s="65">
        <v>0</v>
      </c>
      <c r="H9260" s="591" t="s">
        <v>280</v>
      </c>
      <c r="I9260" s="589" t="s">
        <v>280</v>
      </c>
    </row>
    <row r="9261" spans="1:9">
      <c r="A9261" s="577"/>
      <c r="B9261" s="65">
        <v>9459</v>
      </c>
      <c r="C9261" s="579" t="s">
        <v>281</v>
      </c>
      <c r="D9261" s="579"/>
      <c r="E9261" s="583"/>
      <c r="F9261" s="596"/>
      <c r="G9261" s="65">
        <v>0</v>
      </c>
      <c r="H9261" s="591" t="s">
        <v>280</v>
      </c>
      <c r="I9261" s="589" t="s">
        <v>280</v>
      </c>
    </row>
    <row r="9262" spans="1:9">
      <c r="A9262" s="577"/>
      <c r="B9262" s="65">
        <v>9460</v>
      </c>
      <c r="C9262" s="579" t="s">
        <v>281</v>
      </c>
      <c r="D9262" s="579"/>
      <c r="E9262" s="583"/>
      <c r="F9262" s="596"/>
      <c r="G9262" s="65">
        <v>0</v>
      </c>
      <c r="H9262" s="591" t="s">
        <v>280</v>
      </c>
      <c r="I9262" s="589" t="s">
        <v>280</v>
      </c>
    </row>
    <row r="9263" spans="1:9">
      <c r="A9263" s="577"/>
      <c r="B9263" s="65">
        <v>9461</v>
      </c>
      <c r="C9263" s="579" t="s">
        <v>281</v>
      </c>
      <c r="D9263" s="579"/>
      <c r="E9263" s="583"/>
      <c r="F9263" s="596"/>
      <c r="G9263" s="65">
        <v>0</v>
      </c>
      <c r="H9263" s="591" t="s">
        <v>280</v>
      </c>
      <c r="I9263" s="589" t="s">
        <v>280</v>
      </c>
    </row>
    <row r="9264" spans="1:9">
      <c r="A9264" s="577"/>
      <c r="B9264" s="65">
        <v>9462</v>
      </c>
      <c r="C9264" s="579" t="s">
        <v>281</v>
      </c>
      <c r="D9264" s="579"/>
      <c r="E9264" s="583"/>
      <c r="F9264" s="596"/>
      <c r="G9264" s="65">
        <v>0</v>
      </c>
      <c r="H9264" s="591" t="s">
        <v>280</v>
      </c>
      <c r="I9264" s="589" t="s">
        <v>280</v>
      </c>
    </row>
    <row r="9265" spans="1:9">
      <c r="A9265" s="577"/>
      <c r="B9265" s="65">
        <v>9463</v>
      </c>
      <c r="C9265" s="579" t="s">
        <v>281</v>
      </c>
      <c r="D9265" s="579"/>
      <c r="E9265" s="583"/>
      <c r="F9265" s="596"/>
      <c r="G9265" s="65">
        <v>0</v>
      </c>
      <c r="H9265" s="591" t="s">
        <v>280</v>
      </c>
      <c r="I9265" s="589" t="s">
        <v>280</v>
      </c>
    </row>
    <row r="9266" spans="1:9">
      <c r="A9266" s="577"/>
      <c r="B9266" s="65">
        <v>9464</v>
      </c>
      <c r="C9266" s="579" t="s">
        <v>281</v>
      </c>
      <c r="D9266" s="579"/>
      <c r="E9266" s="583"/>
      <c r="F9266" s="596"/>
      <c r="G9266" s="65">
        <v>0</v>
      </c>
      <c r="H9266" s="591" t="s">
        <v>280</v>
      </c>
      <c r="I9266" s="589" t="s">
        <v>280</v>
      </c>
    </row>
    <row r="9267" spans="1:9">
      <c r="A9267" s="577"/>
      <c r="B9267" s="65">
        <v>9465</v>
      </c>
      <c r="C9267" s="579" t="s">
        <v>281</v>
      </c>
      <c r="D9267" s="579"/>
      <c r="E9267" s="583"/>
      <c r="F9267" s="596"/>
      <c r="G9267" s="65">
        <v>0</v>
      </c>
      <c r="H9267" s="591" t="s">
        <v>280</v>
      </c>
      <c r="I9267" s="589" t="s">
        <v>280</v>
      </c>
    </row>
    <row r="9268" spans="1:9">
      <c r="A9268" s="577"/>
      <c r="B9268" s="65">
        <v>9466</v>
      </c>
      <c r="C9268" s="579" t="s">
        <v>281</v>
      </c>
      <c r="D9268" s="579"/>
      <c r="E9268" s="583"/>
      <c r="F9268" s="596"/>
      <c r="G9268" s="65">
        <v>0</v>
      </c>
      <c r="H9268" s="591" t="s">
        <v>280</v>
      </c>
      <c r="I9268" s="589" t="s">
        <v>280</v>
      </c>
    </row>
    <row r="9269" spans="1:9">
      <c r="A9269" s="577"/>
      <c r="B9269" s="65">
        <v>9467</v>
      </c>
      <c r="C9269" s="579" t="s">
        <v>281</v>
      </c>
      <c r="D9269" s="579"/>
      <c r="E9269" s="583"/>
      <c r="F9269" s="596"/>
      <c r="G9269" s="65">
        <v>0</v>
      </c>
      <c r="H9269" s="591" t="s">
        <v>280</v>
      </c>
      <c r="I9269" s="589" t="s">
        <v>280</v>
      </c>
    </row>
    <row r="9270" spans="1:9">
      <c r="A9270" s="577"/>
      <c r="B9270" s="65">
        <v>9468</v>
      </c>
      <c r="C9270" s="579" t="s">
        <v>281</v>
      </c>
      <c r="D9270" s="579"/>
      <c r="E9270" s="583"/>
      <c r="F9270" s="596"/>
      <c r="G9270" s="65">
        <v>0</v>
      </c>
      <c r="H9270" s="591" t="s">
        <v>280</v>
      </c>
      <c r="I9270" s="589" t="s">
        <v>280</v>
      </c>
    </row>
    <row r="9271" spans="1:9">
      <c r="A9271" s="577"/>
      <c r="B9271" s="65">
        <v>9469</v>
      </c>
      <c r="C9271" s="579" t="s">
        <v>281</v>
      </c>
      <c r="D9271" s="579"/>
      <c r="E9271" s="583"/>
      <c r="F9271" s="596"/>
      <c r="G9271" s="65">
        <v>0</v>
      </c>
      <c r="H9271" s="591" t="s">
        <v>280</v>
      </c>
      <c r="I9271" s="589" t="s">
        <v>280</v>
      </c>
    </row>
    <row r="9272" spans="1:9">
      <c r="A9272" s="577"/>
      <c r="B9272" s="65">
        <v>9470</v>
      </c>
      <c r="C9272" s="579" t="s">
        <v>281</v>
      </c>
      <c r="D9272" s="579"/>
      <c r="E9272" s="583"/>
      <c r="F9272" s="596"/>
      <c r="G9272" s="65">
        <v>0</v>
      </c>
      <c r="H9272" s="591" t="s">
        <v>280</v>
      </c>
      <c r="I9272" s="589" t="s">
        <v>280</v>
      </c>
    </row>
    <row r="9273" spans="1:9">
      <c r="A9273" s="577"/>
      <c r="B9273" s="65">
        <v>9471</v>
      </c>
      <c r="C9273" s="579" t="s">
        <v>281</v>
      </c>
      <c r="D9273" s="579"/>
      <c r="E9273" s="583"/>
      <c r="F9273" s="596"/>
      <c r="G9273" s="65">
        <v>0</v>
      </c>
      <c r="H9273" s="591" t="s">
        <v>280</v>
      </c>
      <c r="I9273" s="589" t="s">
        <v>280</v>
      </c>
    </row>
    <row r="9274" spans="1:9">
      <c r="A9274" s="577"/>
      <c r="B9274" s="65">
        <v>9472</v>
      </c>
      <c r="C9274" s="579" t="s">
        <v>281</v>
      </c>
      <c r="D9274" s="579"/>
      <c r="E9274" s="583"/>
      <c r="F9274" s="596"/>
      <c r="G9274" s="65">
        <v>0</v>
      </c>
      <c r="H9274" s="591" t="s">
        <v>280</v>
      </c>
      <c r="I9274" s="589" t="s">
        <v>280</v>
      </c>
    </row>
    <row r="9275" spans="1:9">
      <c r="A9275" s="577"/>
      <c r="B9275" s="65">
        <v>9473</v>
      </c>
      <c r="C9275" s="579" t="s">
        <v>281</v>
      </c>
      <c r="D9275" s="579"/>
      <c r="E9275" s="583"/>
      <c r="F9275" s="596"/>
      <c r="G9275" s="65">
        <v>0</v>
      </c>
      <c r="H9275" s="591" t="s">
        <v>280</v>
      </c>
      <c r="I9275" s="589" t="s">
        <v>280</v>
      </c>
    </row>
    <row r="9276" spans="1:9">
      <c r="A9276" s="577"/>
      <c r="B9276" s="65">
        <v>9474</v>
      </c>
      <c r="C9276" s="579" t="s">
        <v>281</v>
      </c>
      <c r="D9276" s="579"/>
      <c r="E9276" s="583"/>
      <c r="F9276" s="596"/>
      <c r="G9276" s="65">
        <v>0</v>
      </c>
      <c r="H9276" s="591" t="s">
        <v>280</v>
      </c>
      <c r="I9276" s="589" t="s">
        <v>280</v>
      </c>
    </row>
    <row r="9277" spans="1:9">
      <c r="A9277" s="577"/>
      <c r="B9277" s="65">
        <v>9475</v>
      </c>
      <c r="C9277" s="579" t="s">
        <v>281</v>
      </c>
      <c r="D9277" s="579"/>
      <c r="E9277" s="583"/>
      <c r="F9277" s="596"/>
      <c r="G9277" s="65">
        <v>0</v>
      </c>
      <c r="H9277" s="591" t="s">
        <v>280</v>
      </c>
      <c r="I9277" s="589" t="s">
        <v>280</v>
      </c>
    </row>
    <row r="9278" spans="1:9">
      <c r="A9278" s="577"/>
      <c r="B9278" s="65">
        <v>9476</v>
      </c>
      <c r="C9278" s="579" t="s">
        <v>281</v>
      </c>
      <c r="D9278" s="579"/>
      <c r="E9278" s="583"/>
      <c r="F9278" s="596"/>
      <c r="G9278" s="65">
        <v>0</v>
      </c>
      <c r="H9278" s="591" t="s">
        <v>280</v>
      </c>
      <c r="I9278" s="589" t="s">
        <v>280</v>
      </c>
    </row>
    <row r="9279" spans="1:9">
      <c r="A9279" s="577"/>
      <c r="B9279" s="65">
        <v>9477</v>
      </c>
      <c r="C9279" s="579" t="s">
        <v>281</v>
      </c>
      <c r="D9279" s="579"/>
      <c r="E9279" s="583"/>
      <c r="F9279" s="596"/>
      <c r="G9279" s="65">
        <v>0</v>
      </c>
      <c r="H9279" s="591" t="s">
        <v>280</v>
      </c>
      <c r="I9279" s="589" t="s">
        <v>280</v>
      </c>
    </row>
    <row r="9280" spans="1:9">
      <c r="A9280" s="577"/>
      <c r="B9280" s="65">
        <v>9478</v>
      </c>
      <c r="C9280" s="579" t="s">
        <v>281</v>
      </c>
      <c r="D9280" s="579"/>
      <c r="E9280" s="583"/>
      <c r="F9280" s="596"/>
      <c r="G9280" s="65">
        <v>0</v>
      </c>
      <c r="H9280" s="591" t="s">
        <v>280</v>
      </c>
      <c r="I9280" s="589" t="s">
        <v>280</v>
      </c>
    </row>
    <row r="9281" spans="1:9">
      <c r="A9281" s="577"/>
      <c r="B9281" s="65">
        <v>9479</v>
      </c>
      <c r="C9281" s="579" t="s">
        <v>281</v>
      </c>
      <c r="D9281" s="579"/>
      <c r="E9281" s="583"/>
      <c r="F9281" s="596"/>
      <c r="G9281" s="65">
        <v>0</v>
      </c>
      <c r="H9281" s="591" t="s">
        <v>280</v>
      </c>
      <c r="I9281" s="589" t="s">
        <v>280</v>
      </c>
    </row>
    <row r="9282" spans="1:9">
      <c r="A9282" s="577"/>
      <c r="B9282" s="65">
        <v>9480</v>
      </c>
      <c r="C9282" s="579" t="s">
        <v>281</v>
      </c>
      <c r="D9282" s="579"/>
      <c r="E9282" s="583"/>
      <c r="F9282" s="596"/>
      <c r="G9282" s="65">
        <v>0</v>
      </c>
      <c r="H9282" s="591" t="s">
        <v>280</v>
      </c>
      <c r="I9282" s="589" t="s">
        <v>280</v>
      </c>
    </row>
    <row r="9283" spans="1:9">
      <c r="A9283" s="577"/>
      <c r="B9283" s="65">
        <v>9481</v>
      </c>
      <c r="C9283" s="579" t="s">
        <v>281</v>
      </c>
      <c r="D9283" s="579"/>
      <c r="E9283" s="583"/>
      <c r="F9283" s="596"/>
      <c r="G9283" s="65">
        <v>0</v>
      </c>
      <c r="H9283" s="591" t="s">
        <v>280</v>
      </c>
      <c r="I9283" s="589" t="s">
        <v>280</v>
      </c>
    </row>
    <row r="9284" spans="1:9">
      <c r="A9284" s="577"/>
      <c r="B9284" s="65">
        <v>9482</v>
      </c>
      <c r="C9284" s="579" t="s">
        <v>281</v>
      </c>
      <c r="D9284" s="579"/>
      <c r="E9284" s="583"/>
      <c r="F9284" s="596"/>
      <c r="G9284" s="65">
        <v>0</v>
      </c>
      <c r="H9284" s="591" t="s">
        <v>280</v>
      </c>
      <c r="I9284" s="589" t="s">
        <v>280</v>
      </c>
    </row>
    <row r="9285" spans="1:9">
      <c r="A9285" s="577"/>
      <c r="B9285" s="65">
        <v>9483</v>
      </c>
      <c r="C9285" s="579" t="s">
        <v>281</v>
      </c>
      <c r="D9285" s="579"/>
      <c r="E9285" s="583"/>
      <c r="F9285" s="596"/>
      <c r="G9285" s="65">
        <v>0</v>
      </c>
      <c r="H9285" s="591" t="s">
        <v>280</v>
      </c>
      <c r="I9285" s="589" t="s">
        <v>280</v>
      </c>
    </row>
    <row r="9286" spans="1:9">
      <c r="A9286" s="577"/>
      <c r="B9286" s="65">
        <v>9484</v>
      </c>
      <c r="C9286" s="579" t="s">
        <v>281</v>
      </c>
      <c r="D9286" s="579"/>
      <c r="E9286" s="583"/>
      <c r="F9286" s="596"/>
      <c r="G9286" s="65">
        <v>0</v>
      </c>
      <c r="H9286" s="591" t="s">
        <v>280</v>
      </c>
      <c r="I9286" s="589" t="s">
        <v>280</v>
      </c>
    </row>
    <row r="9287" spans="1:9">
      <c r="A9287" s="577"/>
      <c r="B9287" s="65">
        <v>9485</v>
      </c>
      <c r="C9287" s="579" t="s">
        <v>281</v>
      </c>
      <c r="D9287" s="579"/>
      <c r="E9287" s="583"/>
      <c r="F9287" s="596"/>
      <c r="G9287" s="65">
        <v>0</v>
      </c>
      <c r="H9287" s="591" t="s">
        <v>280</v>
      </c>
      <c r="I9287" s="589" t="s">
        <v>280</v>
      </c>
    </row>
    <row r="9288" spans="1:9">
      <c r="A9288" s="577"/>
      <c r="B9288" s="65">
        <v>9486</v>
      </c>
      <c r="C9288" s="579" t="s">
        <v>281</v>
      </c>
      <c r="D9288" s="579"/>
      <c r="E9288" s="583"/>
      <c r="F9288" s="596"/>
      <c r="G9288" s="65">
        <v>0</v>
      </c>
      <c r="H9288" s="591" t="s">
        <v>280</v>
      </c>
      <c r="I9288" s="589" t="s">
        <v>280</v>
      </c>
    </row>
    <row r="9289" spans="1:9">
      <c r="A9289" s="577"/>
      <c r="B9289" s="65">
        <v>9487</v>
      </c>
      <c r="C9289" s="579" t="s">
        <v>281</v>
      </c>
      <c r="D9289" s="579"/>
      <c r="E9289" s="583"/>
      <c r="F9289" s="596"/>
      <c r="G9289" s="65">
        <v>0</v>
      </c>
      <c r="H9289" s="591" t="s">
        <v>280</v>
      </c>
      <c r="I9289" s="589" t="s">
        <v>280</v>
      </c>
    </row>
    <row r="9290" spans="1:9">
      <c r="A9290" s="577"/>
      <c r="B9290" s="65">
        <v>9488</v>
      </c>
      <c r="C9290" s="579" t="s">
        <v>281</v>
      </c>
      <c r="D9290" s="579"/>
      <c r="E9290" s="583"/>
      <c r="F9290" s="596"/>
      <c r="G9290" s="65">
        <v>0</v>
      </c>
      <c r="H9290" s="591" t="s">
        <v>280</v>
      </c>
      <c r="I9290" s="589" t="s">
        <v>280</v>
      </c>
    </row>
    <row r="9291" spans="1:9">
      <c r="A9291" s="577"/>
      <c r="B9291" s="65">
        <v>9489</v>
      </c>
      <c r="C9291" s="579" t="s">
        <v>281</v>
      </c>
      <c r="D9291" s="579"/>
      <c r="E9291" s="583"/>
      <c r="F9291" s="596"/>
      <c r="G9291" s="65">
        <v>0</v>
      </c>
      <c r="H9291" s="591" t="s">
        <v>280</v>
      </c>
      <c r="I9291" s="589" t="s">
        <v>280</v>
      </c>
    </row>
    <row r="9292" spans="1:9">
      <c r="A9292" s="577"/>
      <c r="B9292" s="65">
        <v>9490</v>
      </c>
      <c r="C9292" s="579" t="s">
        <v>281</v>
      </c>
      <c r="D9292" s="579"/>
      <c r="E9292" s="583"/>
      <c r="F9292" s="596"/>
      <c r="G9292" s="65">
        <v>0</v>
      </c>
      <c r="H9292" s="591" t="s">
        <v>280</v>
      </c>
      <c r="I9292" s="589" t="s">
        <v>280</v>
      </c>
    </row>
    <row r="9293" spans="1:9">
      <c r="A9293" s="577"/>
      <c r="B9293" s="65">
        <v>9491</v>
      </c>
      <c r="C9293" s="579" t="s">
        <v>281</v>
      </c>
      <c r="D9293" s="579"/>
      <c r="E9293" s="583"/>
      <c r="F9293" s="596"/>
      <c r="G9293" s="65">
        <v>0</v>
      </c>
      <c r="H9293" s="591" t="s">
        <v>280</v>
      </c>
      <c r="I9293" s="589" t="s">
        <v>280</v>
      </c>
    </row>
    <row r="9294" spans="1:9">
      <c r="A9294" s="577"/>
      <c r="B9294" s="65">
        <v>9492</v>
      </c>
      <c r="C9294" s="579" t="s">
        <v>281</v>
      </c>
      <c r="D9294" s="579"/>
      <c r="E9294" s="583"/>
      <c r="F9294" s="596"/>
      <c r="G9294" s="65">
        <v>0</v>
      </c>
      <c r="H9294" s="591" t="s">
        <v>280</v>
      </c>
      <c r="I9294" s="589" t="s">
        <v>280</v>
      </c>
    </row>
    <row r="9295" spans="1:9">
      <c r="A9295" s="577"/>
      <c r="B9295" s="65">
        <v>9493</v>
      </c>
      <c r="C9295" s="579" t="s">
        <v>281</v>
      </c>
      <c r="D9295" s="579"/>
      <c r="E9295" s="583"/>
      <c r="F9295" s="596"/>
      <c r="G9295" s="65">
        <v>0</v>
      </c>
      <c r="H9295" s="591" t="s">
        <v>280</v>
      </c>
      <c r="I9295" s="589" t="s">
        <v>280</v>
      </c>
    </row>
    <row r="9296" spans="1:9">
      <c r="A9296" s="577"/>
      <c r="B9296" s="65">
        <v>9494</v>
      </c>
      <c r="C9296" s="579" t="s">
        <v>281</v>
      </c>
      <c r="D9296" s="579"/>
      <c r="E9296" s="583"/>
      <c r="F9296" s="596"/>
      <c r="G9296" s="65">
        <v>0</v>
      </c>
      <c r="H9296" s="591" t="s">
        <v>280</v>
      </c>
      <c r="I9296" s="589" t="s">
        <v>280</v>
      </c>
    </row>
    <row r="9297" spans="1:9">
      <c r="A9297" s="577"/>
      <c r="B9297" s="65">
        <v>9495</v>
      </c>
      <c r="C9297" s="579" t="s">
        <v>281</v>
      </c>
      <c r="D9297" s="579"/>
      <c r="E9297" s="583"/>
      <c r="F9297" s="596"/>
      <c r="G9297" s="65">
        <v>0</v>
      </c>
      <c r="H9297" s="591" t="s">
        <v>280</v>
      </c>
      <c r="I9297" s="589" t="s">
        <v>280</v>
      </c>
    </row>
    <row r="9298" spans="1:9">
      <c r="A9298" s="577"/>
      <c r="B9298" s="65">
        <v>9496</v>
      </c>
      <c r="C9298" s="579" t="s">
        <v>281</v>
      </c>
      <c r="D9298" s="579"/>
      <c r="E9298" s="583"/>
      <c r="F9298" s="596"/>
      <c r="G9298" s="65">
        <v>0</v>
      </c>
      <c r="H9298" s="591" t="s">
        <v>280</v>
      </c>
      <c r="I9298" s="589" t="s">
        <v>280</v>
      </c>
    </row>
    <row r="9299" spans="1:9">
      <c r="A9299" s="577"/>
      <c r="B9299" s="65">
        <v>9497</v>
      </c>
      <c r="C9299" s="579" t="s">
        <v>281</v>
      </c>
      <c r="D9299" s="579"/>
      <c r="E9299" s="583"/>
      <c r="F9299" s="596"/>
      <c r="G9299" s="65">
        <v>0</v>
      </c>
      <c r="H9299" s="591" t="s">
        <v>280</v>
      </c>
      <c r="I9299" s="589" t="s">
        <v>280</v>
      </c>
    </row>
    <row r="9300" spans="1:9">
      <c r="A9300" s="577"/>
      <c r="B9300" s="65">
        <v>9498</v>
      </c>
      <c r="C9300" s="579" t="s">
        <v>281</v>
      </c>
      <c r="D9300" s="579"/>
      <c r="E9300" s="583"/>
      <c r="F9300" s="596"/>
      <c r="G9300" s="65">
        <v>0</v>
      </c>
      <c r="H9300" s="591" t="s">
        <v>280</v>
      </c>
      <c r="I9300" s="589" t="s">
        <v>280</v>
      </c>
    </row>
    <row r="9301" spans="1:9">
      <c r="A9301" s="577"/>
      <c r="B9301" s="65">
        <v>9499</v>
      </c>
      <c r="C9301" s="579" t="s">
        <v>281</v>
      </c>
      <c r="D9301" s="579"/>
      <c r="E9301" s="583"/>
      <c r="F9301" s="596"/>
      <c r="G9301" s="65">
        <v>0</v>
      </c>
      <c r="H9301" s="591" t="s">
        <v>280</v>
      </c>
      <c r="I9301" s="589" t="s">
        <v>280</v>
      </c>
    </row>
    <row r="9302" spans="1:9">
      <c r="A9302" s="577"/>
      <c r="B9302" s="65">
        <v>9500</v>
      </c>
      <c r="C9302" s="579" t="s">
        <v>281</v>
      </c>
      <c r="D9302" s="579"/>
      <c r="E9302" s="583"/>
      <c r="F9302" s="596"/>
      <c r="G9302" s="65">
        <v>0</v>
      </c>
      <c r="H9302" s="591" t="s">
        <v>280</v>
      </c>
      <c r="I9302" s="589" t="s">
        <v>280</v>
      </c>
    </row>
    <row r="9303" spans="1:9">
      <c r="A9303" s="577"/>
      <c r="B9303" s="65">
        <v>9501</v>
      </c>
      <c r="C9303" s="579" t="s">
        <v>281</v>
      </c>
      <c r="D9303" s="579"/>
      <c r="E9303" s="583"/>
      <c r="F9303" s="596"/>
      <c r="G9303" s="65">
        <v>0</v>
      </c>
      <c r="H9303" s="591" t="s">
        <v>280</v>
      </c>
      <c r="I9303" s="589" t="s">
        <v>280</v>
      </c>
    </row>
    <row r="9304" spans="1:9">
      <c r="A9304" s="577"/>
      <c r="B9304" s="65">
        <v>9502</v>
      </c>
      <c r="C9304" s="579" t="s">
        <v>281</v>
      </c>
      <c r="D9304" s="579"/>
      <c r="E9304" s="583"/>
      <c r="F9304" s="596"/>
      <c r="G9304" s="65">
        <v>0</v>
      </c>
      <c r="H9304" s="591" t="s">
        <v>280</v>
      </c>
      <c r="I9304" s="589" t="s">
        <v>280</v>
      </c>
    </row>
    <row r="9305" spans="1:9">
      <c r="A9305" s="577"/>
      <c r="B9305" s="65">
        <v>9503</v>
      </c>
      <c r="C9305" s="579" t="s">
        <v>281</v>
      </c>
      <c r="D9305" s="579"/>
      <c r="E9305" s="583"/>
      <c r="F9305" s="596"/>
      <c r="G9305" s="65">
        <v>0</v>
      </c>
      <c r="H9305" s="591" t="s">
        <v>280</v>
      </c>
      <c r="I9305" s="589" t="s">
        <v>280</v>
      </c>
    </row>
    <row r="9306" spans="1:9">
      <c r="A9306" s="577"/>
      <c r="B9306" s="65">
        <v>9504</v>
      </c>
      <c r="C9306" s="579" t="s">
        <v>281</v>
      </c>
      <c r="D9306" s="579"/>
      <c r="E9306" s="583"/>
      <c r="F9306" s="596"/>
      <c r="G9306" s="65">
        <v>0</v>
      </c>
      <c r="H9306" s="591" t="s">
        <v>280</v>
      </c>
      <c r="I9306" s="589" t="s">
        <v>280</v>
      </c>
    </row>
    <row r="9307" spans="1:9">
      <c r="A9307" s="577"/>
      <c r="B9307" s="65">
        <v>9505</v>
      </c>
      <c r="C9307" s="579" t="s">
        <v>281</v>
      </c>
      <c r="D9307" s="579"/>
      <c r="E9307" s="583"/>
      <c r="F9307" s="596"/>
      <c r="G9307" s="65">
        <v>0</v>
      </c>
      <c r="H9307" s="591" t="s">
        <v>280</v>
      </c>
      <c r="I9307" s="589" t="s">
        <v>280</v>
      </c>
    </row>
    <row r="9308" spans="1:9">
      <c r="A9308" s="577"/>
      <c r="B9308" s="65">
        <v>9506</v>
      </c>
      <c r="C9308" s="579" t="s">
        <v>281</v>
      </c>
      <c r="D9308" s="579"/>
      <c r="E9308" s="583"/>
      <c r="F9308" s="596"/>
      <c r="G9308" s="65">
        <v>0</v>
      </c>
      <c r="H9308" s="591" t="s">
        <v>280</v>
      </c>
      <c r="I9308" s="589" t="s">
        <v>280</v>
      </c>
    </row>
    <row r="9309" spans="1:9">
      <c r="A9309" s="577"/>
      <c r="B9309" s="65">
        <v>9507</v>
      </c>
      <c r="C9309" s="579" t="s">
        <v>281</v>
      </c>
      <c r="D9309" s="579"/>
      <c r="E9309" s="583"/>
      <c r="F9309" s="596"/>
      <c r="G9309" s="65">
        <v>0</v>
      </c>
      <c r="H9309" s="591" t="s">
        <v>280</v>
      </c>
      <c r="I9309" s="589" t="s">
        <v>280</v>
      </c>
    </row>
    <row r="9310" spans="1:9">
      <c r="A9310" s="577"/>
      <c r="B9310" s="65">
        <v>9508</v>
      </c>
      <c r="C9310" s="579" t="s">
        <v>281</v>
      </c>
      <c r="D9310" s="579"/>
      <c r="E9310" s="583"/>
      <c r="F9310" s="596"/>
      <c r="G9310" s="65">
        <v>0</v>
      </c>
      <c r="H9310" s="591" t="s">
        <v>280</v>
      </c>
      <c r="I9310" s="589" t="s">
        <v>280</v>
      </c>
    </row>
    <row r="9311" spans="1:9">
      <c r="A9311" s="577"/>
      <c r="B9311" s="65">
        <v>9509</v>
      </c>
      <c r="C9311" s="579" t="s">
        <v>281</v>
      </c>
      <c r="D9311" s="579"/>
      <c r="E9311" s="583"/>
      <c r="F9311" s="596"/>
      <c r="G9311" s="65">
        <v>0</v>
      </c>
      <c r="H9311" s="591" t="s">
        <v>280</v>
      </c>
      <c r="I9311" s="589" t="s">
        <v>280</v>
      </c>
    </row>
    <row r="9312" spans="1:9">
      <c r="A9312" s="577"/>
      <c r="B9312" s="65">
        <v>9510</v>
      </c>
      <c r="C9312" s="579" t="s">
        <v>281</v>
      </c>
      <c r="D9312" s="579"/>
      <c r="E9312" s="583"/>
      <c r="F9312" s="596"/>
      <c r="G9312" s="65">
        <v>0</v>
      </c>
      <c r="H9312" s="591" t="s">
        <v>280</v>
      </c>
      <c r="I9312" s="589" t="s">
        <v>280</v>
      </c>
    </row>
    <row r="9313" spans="1:9">
      <c r="A9313" s="577"/>
      <c r="B9313" s="65">
        <v>9511</v>
      </c>
      <c r="C9313" s="579" t="s">
        <v>281</v>
      </c>
      <c r="D9313" s="579"/>
      <c r="E9313" s="583"/>
      <c r="F9313" s="596"/>
      <c r="G9313" s="65">
        <v>0</v>
      </c>
      <c r="H9313" s="591" t="s">
        <v>280</v>
      </c>
      <c r="I9313" s="589" t="s">
        <v>280</v>
      </c>
    </row>
    <row r="9314" spans="1:9">
      <c r="A9314" s="577"/>
      <c r="B9314" s="65">
        <v>9512</v>
      </c>
      <c r="C9314" s="579" t="s">
        <v>281</v>
      </c>
      <c r="D9314" s="579"/>
      <c r="E9314" s="583"/>
      <c r="F9314" s="596"/>
      <c r="G9314" s="65">
        <v>0</v>
      </c>
      <c r="H9314" s="591" t="s">
        <v>280</v>
      </c>
      <c r="I9314" s="589" t="s">
        <v>280</v>
      </c>
    </row>
    <row r="9315" spans="1:9">
      <c r="A9315" s="577"/>
      <c r="B9315" s="65">
        <v>9513</v>
      </c>
      <c r="C9315" s="579" t="s">
        <v>281</v>
      </c>
      <c r="D9315" s="579"/>
      <c r="E9315" s="583"/>
      <c r="F9315" s="596"/>
      <c r="G9315" s="65">
        <v>0</v>
      </c>
      <c r="H9315" s="591" t="s">
        <v>280</v>
      </c>
      <c r="I9315" s="589" t="s">
        <v>280</v>
      </c>
    </row>
    <row r="9316" spans="1:9">
      <c r="A9316" s="577"/>
      <c r="B9316" s="65">
        <v>9514</v>
      </c>
      <c r="C9316" s="579" t="s">
        <v>281</v>
      </c>
      <c r="D9316" s="579"/>
      <c r="E9316" s="583"/>
      <c r="F9316" s="596"/>
      <c r="G9316" s="65">
        <v>0</v>
      </c>
      <c r="H9316" s="591" t="s">
        <v>280</v>
      </c>
      <c r="I9316" s="589" t="s">
        <v>280</v>
      </c>
    </row>
    <row r="9317" spans="1:9">
      <c r="A9317" s="577"/>
      <c r="B9317" s="65">
        <v>9515</v>
      </c>
      <c r="C9317" s="579" t="s">
        <v>281</v>
      </c>
      <c r="D9317" s="579"/>
      <c r="E9317" s="583"/>
      <c r="F9317" s="596"/>
      <c r="G9317" s="65">
        <v>0</v>
      </c>
      <c r="H9317" s="591" t="s">
        <v>280</v>
      </c>
      <c r="I9317" s="589" t="s">
        <v>280</v>
      </c>
    </row>
    <row r="9318" spans="1:9">
      <c r="A9318" s="577"/>
      <c r="B9318" s="65">
        <v>9516</v>
      </c>
      <c r="C9318" s="579" t="s">
        <v>281</v>
      </c>
      <c r="D9318" s="579"/>
      <c r="E9318" s="583"/>
      <c r="F9318" s="596"/>
      <c r="G9318" s="65">
        <v>0</v>
      </c>
      <c r="H9318" s="591" t="s">
        <v>280</v>
      </c>
      <c r="I9318" s="589" t="s">
        <v>280</v>
      </c>
    </row>
    <row r="9319" spans="1:9">
      <c r="A9319" s="577"/>
      <c r="B9319" s="65">
        <v>9517</v>
      </c>
      <c r="C9319" s="579" t="s">
        <v>281</v>
      </c>
      <c r="D9319" s="579"/>
      <c r="E9319" s="583"/>
      <c r="F9319" s="596"/>
      <c r="G9319" s="65">
        <v>0</v>
      </c>
      <c r="H9319" s="591" t="s">
        <v>280</v>
      </c>
      <c r="I9319" s="589" t="s">
        <v>280</v>
      </c>
    </row>
    <row r="9320" spans="1:9">
      <c r="A9320" s="577"/>
      <c r="B9320" s="65">
        <v>9518</v>
      </c>
      <c r="C9320" s="579" t="s">
        <v>281</v>
      </c>
      <c r="D9320" s="579"/>
      <c r="E9320" s="583"/>
      <c r="F9320" s="596"/>
      <c r="G9320" s="65">
        <v>0</v>
      </c>
      <c r="H9320" s="591" t="s">
        <v>280</v>
      </c>
      <c r="I9320" s="589" t="s">
        <v>280</v>
      </c>
    </row>
    <row r="9321" spans="1:9">
      <c r="A9321" s="577"/>
      <c r="B9321" s="65">
        <v>9519</v>
      </c>
      <c r="C9321" s="579" t="s">
        <v>281</v>
      </c>
      <c r="D9321" s="579"/>
      <c r="E9321" s="583"/>
      <c r="F9321" s="596"/>
      <c r="G9321" s="65">
        <v>0</v>
      </c>
      <c r="H9321" s="591" t="s">
        <v>280</v>
      </c>
      <c r="I9321" s="589" t="s">
        <v>280</v>
      </c>
    </row>
    <row r="9322" spans="1:9">
      <c r="A9322" s="577"/>
      <c r="B9322" s="65">
        <v>9520</v>
      </c>
      <c r="C9322" s="579" t="s">
        <v>281</v>
      </c>
      <c r="D9322" s="579"/>
      <c r="E9322" s="583"/>
      <c r="F9322" s="596"/>
      <c r="G9322" s="65">
        <v>0</v>
      </c>
      <c r="H9322" s="591" t="s">
        <v>280</v>
      </c>
      <c r="I9322" s="589" t="s">
        <v>280</v>
      </c>
    </row>
    <row r="9323" spans="1:9">
      <c r="A9323" s="577"/>
      <c r="B9323" s="65">
        <v>9521</v>
      </c>
      <c r="C9323" s="579" t="s">
        <v>281</v>
      </c>
      <c r="D9323" s="579"/>
      <c r="E9323" s="583"/>
      <c r="F9323" s="596"/>
      <c r="G9323" s="65">
        <v>0</v>
      </c>
      <c r="H9323" s="591" t="s">
        <v>280</v>
      </c>
      <c r="I9323" s="589" t="s">
        <v>280</v>
      </c>
    </row>
    <row r="9324" spans="1:9">
      <c r="A9324" s="577"/>
      <c r="B9324" s="65">
        <v>9522</v>
      </c>
      <c r="C9324" s="579" t="s">
        <v>281</v>
      </c>
      <c r="D9324" s="579"/>
      <c r="E9324" s="583"/>
      <c r="F9324" s="596"/>
      <c r="G9324" s="65">
        <v>0</v>
      </c>
      <c r="H9324" s="591" t="s">
        <v>280</v>
      </c>
      <c r="I9324" s="589" t="s">
        <v>280</v>
      </c>
    </row>
    <row r="9325" spans="1:9">
      <c r="A9325" s="577"/>
      <c r="B9325" s="65">
        <v>9523</v>
      </c>
      <c r="C9325" s="579" t="s">
        <v>281</v>
      </c>
      <c r="D9325" s="579"/>
      <c r="E9325" s="583"/>
      <c r="F9325" s="596"/>
      <c r="G9325" s="65">
        <v>0</v>
      </c>
      <c r="H9325" s="591" t="s">
        <v>280</v>
      </c>
      <c r="I9325" s="589" t="s">
        <v>280</v>
      </c>
    </row>
    <row r="9326" spans="1:9">
      <c r="A9326" s="577"/>
      <c r="B9326" s="65">
        <v>9524</v>
      </c>
      <c r="C9326" s="579" t="s">
        <v>281</v>
      </c>
      <c r="D9326" s="579"/>
      <c r="E9326" s="583"/>
      <c r="F9326" s="596"/>
      <c r="G9326" s="65">
        <v>0</v>
      </c>
      <c r="H9326" s="591" t="s">
        <v>280</v>
      </c>
      <c r="I9326" s="589" t="s">
        <v>280</v>
      </c>
    </row>
    <row r="9327" spans="1:9">
      <c r="A9327" s="577"/>
      <c r="B9327" s="65">
        <v>9525</v>
      </c>
      <c r="C9327" s="579" t="s">
        <v>281</v>
      </c>
      <c r="D9327" s="579"/>
      <c r="E9327" s="583"/>
      <c r="F9327" s="596"/>
      <c r="G9327" s="65">
        <v>0</v>
      </c>
      <c r="H9327" s="591" t="s">
        <v>280</v>
      </c>
      <c r="I9327" s="589" t="s">
        <v>280</v>
      </c>
    </row>
    <row r="9328" spans="1:9">
      <c r="A9328" s="577"/>
      <c r="B9328" s="65">
        <v>9526</v>
      </c>
      <c r="C9328" s="579" t="s">
        <v>281</v>
      </c>
      <c r="D9328" s="579"/>
      <c r="E9328" s="583"/>
      <c r="F9328" s="596"/>
      <c r="G9328" s="65">
        <v>0</v>
      </c>
      <c r="H9328" s="591" t="s">
        <v>280</v>
      </c>
      <c r="I9328" s="589" t="s">
        <v>280</v>
      </c>
    </row>
    <row r="9329" spans="1:9">
      <c r="A9329" s="577"/>
      <c r="B9329" s="65">
        <v>9527</v>
      </c>
      <c r="C9329" s="579" t="s">
        <v>281</v>
      </c>
      <c r="D9329" s="579"/>
      <c r="E9329" s="583"/>
      <c r="F9329" s="596"/>
      <c r="G9329" s="65">
        <v>0</v>
      </c>
      <c r="H9329" s="591" t="s">
        <v>280</v>
      </c>
      <c r="I9329" s="589" t="s">
        <v>280</v>
      </c>
    </row>
    <row r="9330" spans="1:9">
      <c r="A9330" s="577"/>
      <c r="B9330" s="65">
        <v>9528</v>
      </c>
      <c r="C9330" s="579" t="s">
        <v>281</v>
      </c>
      <c r="D9330" s="579"/>
      <c r="E9330" s="583"/>
      <c r="F9330" s="596"/>
      <c r="G9330" s="65">
        <v>0</v>
      </c>
      <c r="H9330" s="591" t="s">
        <v>280</v>
      </c>
      <c r="I9330" s="589" t="s">
        <v>280</v>
      </c>
    </row>
    <row r="9331" spans="1:9">
      <c r="A9331" s="577"/>
      <c r="B9331" s="65">
        <v>9529</v>
      </c>
      <c r="C9331" s="579" t="s">
        <v>281</v>
      </c>
      <c r="D9331" s="579"/>
      <c r="E9331" s="583"/>
      <c r="F9331" s="596"/>
      <c r="G9331" s="65">
        <v>0</v>
      </c>
      <c r="H9331" s="591" t="s">
        <v>280</v>
      </c>
      <c r="I9331" s="589" t="s">
        <v>280</v>
      </c>
    </row>
    <row r="9332" spans="1:9">
      <c r="A9332" s="577"/>
      <c r="B9332" s="65">
        <v>9530</v>
      </c>
      <c r="C9332" s="579" t="s">
        <v>281</v>
      </c>
      <c r="D9332" s="579"/>
      <c r="E9332" s="583"/>
      <c r="F9332" s="596"/>
      <c r="G9332" s="65">
        <v>0</v>
      </c>
      <c r="H9332" s="591" t="s">
        <v>280</v>
      </c>
      <c r="I9332" s="589" t="s">
        <v>280</v>
      </c>
    </row>
    <row r="9333" spans="1:9">
      <c r="A9333" s="577"/>
      <c r="B9333" s="65">
        <v>9531</v>
      </c>
      <c r="C9333" s="579" t="s">
        <v>281</v>
      </c>
      <c r="D9333" s="579"/>
      <c r="E9333" s="583"/>
      <c r="F9333" s="596"/>
      <c r="G9333" s="65">
        <v>0</v>
      </c>
      <c r="H9333" s="591" t="s">
        <v>280</v>
      </c>
      <c r="I9333" s="589" t="s">
        <v>280</v>
      </c>
    </row>
    <row r="9334" spans="1:9">
      <c r="A9334" s="577"/>
      <c r="B9334" s="65">
        <v>9532</v>
      </c>
      <c r="C9334" s="579" t="s">
        <v>281</v>
      </c>
      <c r="D9334" s="579"/>
      <c r="E9334" s="583"/>
      <c r="F9334" s="596"/>
      <c r="G9334" s="65">
        <v>0</v>
      </c>
      <c r="H9334" s="591" t="s">
        <v>280</v>
      </c>
      <c r="I9334" s="589" t="s">
        <v>280</v>
      </c>
    </row>
    <row r="9335" spans="1:9">
      <c r="A9335" s="577"/>
      <c r="B9335" s="65">
        <v>9533</v>
      </c>
      <c r="C9335" s="579" t="s">
        <v>281</v>
      </c>
      <c r="D9335" s="579"/>
      <c r="E9335" s="583"/>
      <c r="F9335" s="596"/>
      <c r="G9335" s="65">
        <v>0</v>
      </c>
      <c r="H9335" s="591" t="s">
        <v>280</v>
      </c>
      <c r="I9335" s="589" t="s">
        <v>280</v>
      </c>
    </row>
    <row r="9336" spans="1:9">
      <c r="A9336" s="577"/>
      <c r="B9336" s="65">
        <v>9534</v>
      </c>
      <c r="C9336" s="579" t="s">
        <v>281</v>
      </c>
      <c r="D9336" s="579"/>
      <c r="E9336" s="583"/>
      <c r="F9336" s="596"/>
      <c r="G9336" s="65">
        <v>0</v>
      </c>
      <c r="H9336" s="591" t="s">
        <v>280</v>
      </c>
      <c r="I9336" s="589" t="s">
        <v>280</v>
      </c>
    </row>
    <row r="9337" spans="1:9">
      <c r="A9337" s="577"/>
      <c r="B9337" s="65">
        <v>9535</v>
      </c>
      <c r="C9337" s="579" t="s">
        <v>281</v>
      </c>
      <c r="D9337" s="579"/>
      <c r="E9337" s="583"/>
      <c r="F9337" s="596"/>
      <c r="G9337" s="65">
        <v>0</v>
      </c>
      <c r="H9337" s="591" t="s">
        <v>280</v>
      </c>
      <c r="I9337" s="589" t="s">
        <v>280</v>
      </c>
    </row>
    <row r="9338" spans="1:9">
      <c r="A9338" s="577"/>
      <c r="B9338" s="65">
        <v>9536</v>
      </c>
      <c r="C9338" s="579" t="s">
        <v>281</v>
      </c>
      <c r="D9338" s="579"/>
      <c r="E9338" s="583"/>
      <c r="F9338" s="596"/>
      <c r="G9338" s="65">
        <v>0</v>
      </c>
      <c r="H9338" s="591" t="s">
        <v>280</v>
      </c>
      <c r="I9338" s="589" t="s">
        <v>280</v>
      </c>
    </row>
    <row r="9339" spans="1:9">
      <c r="A9339" s="577"/>
      <c r="B9339" s="65">
        <v>9537</v>
      </c>
      <c r="C9339" s="579" t="s">
        <v>281</v>
      </c>
      <c r="D9339" s="579"/>
      <c r="E9339" s="583"/>
      <c r="F9339" s="596"/>
      <c r="G9339" s="65">
        <v>0</v>
      </c>
      <c r="H9339" s="591" t="s">
        <v>280</v>
      </c>
      <c r="I9339" s="589" t="s">
        <v>280</v>
      </c>
    </row>
    <row r="9340" spans="1:9">
      <c r="A9340" s="577"/>
      <c r="B9340" s="65">
        <v>9538</v>
      </c>
      <c r="C9340" s="579" t="s">
        <v>281</v>
      </c>
      <c r="D9340" s="579"/>
      <c r="E9340" s="583"/>
      <c r="F9340" s="596"/>
      <c r="G9340" s="65">
        <v>0</v>
      </c>
      <c r="H9340" s="591" t="s">
        <v>280</v>
      </c>
      <c r="I9340" s="589" t="s">
        <v>280</v>
      </c>
    </row>
    <row r="9341" spans="1:9">
      <c r="A9341" s="577"/>
      <c r="B9341" s="65">
        <v>9539</v>
      </c>
      <c r="C9341" s="579" t="s">
        <v>281</v>
      </c>
      <c r="D9341" s="579"/>
      <c r="E9341" s="583"/>
      <c r="F9341" s="596"/>
      <c r="G9341" s="65">
        <v>0</v>
      </c>
      <c r="H9341" s="591" t="s">
        <v>280</v>
      </c>
      <c r="I9341" s="589" t="s">
        <v>280</v>
      </c>
    </row>
    <row r="9342" spans="1:9">
      <c r="A9342" s="577"/>
      <c r="B9342" s="65">
        <v>9540</v>
      </c>
      <c r="C9342" s="579" t="s">
        <v>281</v>
      </c>
      <c r="D9342" s="579"/>
      <c r="E9342" s="583"/>
      <c r="F9342" s="596"/>
      <c r="G9342" s="65">
        <v>0</v>
      </c>
      <c r="H9342" s="591" t="s">
        <v>280</v>
      </c>
      <c r="I9342" s="589" t="s">
        <v>280</v>
      </c>
    </row>
    <row r="9343" spans="1:9">
      <c r="A9343" s="577"/>
      <c r="B9343" s="65">
        <v>9541</v>
      </c>
      <c r="C9343" s="579" t="s">
        <v>281</v>
      </c>
      <c r="D9343" s="579"/>
      <c r="E9343" s="583"/>
      <c r="F9343" s="596"/>
      <c r="G9343" s="65">
        <v>0</v>
      </c>
      <c r="H9343" s="591" t="s">
        <v>280</v>
      </c>
      <c r="I9343" s="589" t="s">
        <v>280</v>
      </c>
    </row>
    <row r="9344" spans="1:9">
      <c r="A9344" s="577"/>
      <c r="B9344" s="65">
        <v>9542</v>
      </c>
      <c r="C9344" s="579" t="s">
        <v>281</v>
      </c>
      <c r="D9344" s="579"/>
      <c r="E9344" s="583"/>
      <c r="F9344" s="596"/>
      <c r="G9344" s="65">
        <v>0</v>
      </c>
      <c r="H9344" s="591" t="s">
        <v>280</v>
      </c>
      <c r="I9344" s="589" t="s">
        <v>280</v>
      </c>
    </row>
    <row r="9345" spans="1:9">
      <c r="A9345" s="577"/>
      <c r="B9345" s="65">
        <v>9543</v>
      </c>
      <c r="C9345" s="579" t="s">
        <v>281</v>
      </c>
      <c r="D9345" s="579"/>
      <c r="E9345" s="583"/>
      <c r="F9345" s="596"/>
      <c r="G9345" s="65">
        <v>0</v>
      </c>
      <c r="H9345" s="591" t="s">
        <v>280</v>
      </c>
      <c r="I9345" s="589" t="s">
        <v>280</v>
      </c>
    </row>
    <row r="9346" spans="1:9">
      <c r="A9346" s="577"/>
      <c r="B9346" s="65">
        <v>9544</v>
      </c>
      <c r="C9346" s="579" t="s">
        <v>281</v>
      </c>
      <c r="D9346" s="579"/>
      <c r="E9346" s="583"/>
      <c r="F9346" s="596"/>
      <c r="G9346" s="65">
        <v>0</v>
      </c>
      <c r="H9346" s="591" t="s">
        <v>280</v>
      </c>
      <c r="I9346" s="589" t="s">
        <v>280</v>
      </c>
    </row>
    <row r="9347" spans="1:9">
      <c r="A9347" s="577"/>
      <c r="B9347" s="65">
        <v>9545</v>
      </c>
      <c r="C9347" s="579" t="s">
        <v>281</v>
      </c>
      <c r="D9347" s="579"/>
      <c r="E9347" s="583"/>
      <c r="F9347" s="596"/>
      <c r="G9347" s="65">
        <v>0</v>
      </c>
      <c r="H9347" s="591" t="s">
        <v>280</v>
      </c>
      <c r="I9347" s="589" t="s">
        <v>280</v>
      </c>
    </row>
    <row r="9348" spans="1:9">
      <c r="A9348" s="577"/>
      <c r="B9348" s="65">
        <v>9546</v>
      </c>
      <c r="C9348" s="579" t="s">
        <v>281</v>
      </c>
      <c r="D9348" s="579"/>
      <c r="E9348" s="583"/>
      <c r="F9348" s="596"/>
      <c r="G9348" s="65">
        <v>0</v>
      </c>
      <c r="H9348" s="591" t="s">
        <v>280</v>
      </c>
      <c r="I9348" s="589" t="s">
        <v>280</v>
      </c>
    </row>
    <row r="9349" spans="1:9">
      <c r="A9349" s="577"/>
      <c r="B9349" s="65">
        <v>9547</v>
      </c>
      <c r="C9349" s="579" t="s">
        <v>281</v>
      </c>
      <c r="D9349" s="579"/>
      <c r="E9349" s="583"/>
      <c r="F9349" s="596"/>
      <c r="G9349" s="65">
        <v>0</v>
      </c>
      <c r="H9349" s="591" t="s">
        <v>280</v>
      </c>
      <c r="I9349" s="589" t="s">
        <v>280</v>
      </c>
    </row>
    <row r="9350" spans="1:9">
      <c r="A9350" s="577"/>
      <c r="B9350" s="65">
        <v>9548</v>
      </c>
      <c r="C9350" s="579" t="s">
        <v>281</v>
      </c>
      <c r="D9350" s="579"/>
      <c r="E9350" s="583"/>
      <c r="F9350" s="596"/>
      <c r="G9350" s="65">
        <v>0</v>
      </c>
      <c r="H9350" s="591" t="s">
        <v>280</v>
      </c>
      <c r="I9350" s="589" t="s">
        <v>280</v>
      </c>
    </row>
    <row r="9351" spans="1:9">
      <c r="A9351" s="577"/>
      <c r="B9351" s="65">
        <v>9549</v>
      </c>
      <c r="C9351" s="579" t="s">
        <v>281</v>
      </c>
      <c r="D9351" s="579"/>
      <c r="E9351" s="583"/>
      <c r="F9351" s="596"/>
      <c r="G9351" s="65">
        <v>0</v>
      </c>
      <c r="H9351" s="591" t="s">
        <v>280</v>
      </c>
      <c r="I9351" s="589" t="s">
        <v>280</v>
      </c>
    </row>
    <row r="9352" spans="1:9">
      <c r="A9352" s="577"/>
      <c r="B9352" s="65">
        <v>9550</v>
      </c>
      <c r="C9352" s="579" t="s">
        <v>281</v>
      </c>
      <c r="D9352" s="579"/>
      <c r="E9352" s="583"/>
      <c r="F9352" s="596"/>
      <c r="G9352" s="65">
        <v>0</v>
      </c>
      <c r="H9352" s="591" t="s">
        <v>280</v>
      </c>
      <c r="I9352" s="589" t="s">
        <v>280</v>
      </c>
    </row>
    <row r="9353" spans="1:9">
      <c r="A9353" s="577"/>
      <c r="B9353" s="65">
        <v>9551</v>
      </c>
      <c r="C9353" s="579" t="s">
        <v>281</v>
      </c>
      <c r="D9353" s="579"/>
      <c r="E9353" s="583"/>
      <c r="F9353" s="596"/>
      <c r="G9353" s="65">
        <v>0</v>
      </c>
      <c r="H9353" s="591" t="s">
        <v>280</v>
      </c>
      <c r="I9353" s="589" t="s">
        <v>280</v>
      </c>
    </row>
    <row r="9354" spans="1:9">
      <c r="A9354" s="577"/>
      <c r="B9354" s="65">
        <v>9552</v>
      </c>
      <c r="C9354" s="579" t="s">
        <v>281</v>
      </c>
      <c r="D9354" s="579"/>
      <c r="E9354" s="583"/>
      <c r="F9354" s="596"/>
      <c r="G9354" s="65">
        <v>0</v>
      </c>
      <c r="H9354" s="591" t="s">
        <v>280</v>
      </c>
      <c r="I9354" s="589" t="s">
        <v>280</v>
      </c>
    </row>
    <row r="9355" spans="1:9">
      <c r="A9355" s="577"/>
      <c r="B9355" s="65">
        <v>9553</v>
      </c>
      <c r="C9355" s="579" t="s">
        <v>281</v>
      </c>
      <c r="D9355" s="579"/>
      <c r="E9355" s="583"/>
      <c r="F9355" s="596"/>
      <c r="G9355" s="65">
        <v>0</v>
      </c>
      <c r="H9355" s="591" t="s">
        <v>280</v>
      </c>
      <c r="I9355" s="589" t="s">
        <v>280</v>
      </c>
    </row>
    <row r="9356" spans="1:9">
      <c r="A9356" s="577"/>
      <c r="B9356" s="65">
        <v>9554</v>
      </c>
      <c r="C9356" s="579" t="s">
        <v>281</v>
      </c>
      <c r="D9356" s="579"/>
      <c r="E9356" s="583"/>
      <c r="F9356" s="596"/>
      <c r="G9356" s="65">
        <v>0</v>
      </c>
      <c r="H9356" s="591" t="s">
        <v>280</v>
      </c>
      <c r="I9356" s="589" t="s">
        <v>280</v>
      </c>
    </row>
    <row r="9357" spans="1:9">
      <c r="A9357" s="577"/>
      <c r="B9357" s="65">
        <v>9555</v>
      </c>
      <c r="C9357" s="579" t="s">
        <v>281</v>
      </c>
      <c r="D9357" s="579"/>
      <c r="E9357" s="583"/>
      <c r="F9357" s="596"/>
      <c r="G9357" s="65">
        <v>0</v>
      </c>
      <c r="H9357" s="591" t="s">
        <v>280</v>
      </c>
      <c r="I9357" s="589" t="s">
        <v>280</v>
      </c>
    </row>
    <row r="9358" spans="1:9">
      <c r="A9358" s="577"/>
      <c r="B9358" s="65">
        <v>9556</v>
      </c>
      <c r="C9358" s="579" t="s">
        <v>281</v>
      </c>
      <c r="D9358" s="579"/>
      <c r="E9358" s="583"/>
      <c r="F9358" s="596"/>
      <c r="G9358" s="65">
        <v>0</v>
      </c>
      <c r="H9358" s="591" t="s">
        <v>280</v>
      </c>
      <c r="I9358" s="589" t="s">
        <v>280</v>
      </c>
    </row>
    <row r="9359" spans="1:9">
      <c r="A9359" s="577"/>
      <c r="B9359" s="65">
        <v>9557</v>
      </c>
      <c r="C9359" s="579" t="s">
        <v>281</v>
      </c>
      <c r="D9359" s="579"/>
      <c r="E9359" s="583"/>
      <c r="F9359" s="596"/>
      <c r="G9359" s="65">
        <v>0</v>
      </c>
      <c r="H9359" s="591" t="s">
        <v>280</v>
      </c>
      <c r="I9359" s="589" t="s">
        <v>280</v>
      </c>
    </row>
    <row r="9360" spans="1:9">
      <c r="A9360" s="577"/>
      <c r="B9360" s="65">
        <v>9558</v>
      </c>
      <c r="C9360" s="579" t="s">
        <v>281</v>
      </c>
      <c r="D9360" s="579"/>
      <c r="E9360" s="583"/>
      <c r="F9360" s="596"/>
      <c r="G9360" s="65">
        <v>0</v>
      </c>
      <c r="H9360" s="591" t="s">
        <v>280</v>
      </c>
      <c r="I9360" s="589" t="s">
        <v>280</v>
      </c>
    </row>
    <row r="9361" spans="1:9">
      <c r="A9361" s="577"/>
      <c r="B9361" s="65">
        <v>9559</v>
      </c>
      <c r="C9361" s="579" t="s">
        <v>281</v>
      </c>
      <c r="D9361" s="579"/>
      <c r="E9361" s="583"/>
      <c r="F9361" s="596"/>
      <c r="G9361" s="65">
        <v>0</v>
      </c>
      <c r="H9361" s="591" t="s">
        <v>280</v>
      </c>
      <c r="I9361" s="589" t="s">
        <v>280</v>
      </c>
    </row>
    <row r="9362" spans="1:9">
      <c r="A9362" s="577"/>
      <c r="B9362" s="65">
        <v>9560</v>
      </c>
      <c r="C9362" s="579" t="s">
        <v>281</v>
      </c>
      <c r="D9362" s="579"/>
      <c r="E9362" s="583"/>
      <c r="F9362" s="596"/>
      <c r="G9362" s="65">
        <v>0</v>
      </c>
      <c r="H9362" s="591" t="s">
        <v>280</v>
      </c>
      <c r="I9362" s="589" t="s">
        <v>280</v>
      </c>
    </row>
    <row r="9363" spans="1:9">
      <c r="A9363" s="577"/>
      <c r="B9363" s="65">
        <v>9561</v>
      </c>
      <c r="C9363" s="579" t="s">
        <v>281</v>
      </c>
      <c r="D9363" s="579"/>
      <c r="E9363" s="583"/>
      <c r="F9363" s="596"/>
      <c r="G9363" s="65">
        <v>0</v>
      </c>
      <c r="H9363" s="591" t="s">
        <v>280</v>
      </c>
      <c r="I9363" s="589" t="s">
        <v>280</v>
      </c>
    </row>
    <row r="9364" spans="1:9">
      <c r="A9364" s="577"/>
      <c r="B9364" s="65">
        <v>9562</v>
      </c>
      <c r="C9364" s="579" t="s">
        <v>281</v>
      </c>
      <c r="D9364" s="579"/>
      <c r="E9364" s="583"/>
      <c r="F9364" s="596"/>
      <c r="G9364" s="65">
        <v>0</v>
      </c>
      <c r="H9364" s="591" t="s">
        <v>280</v>
      </c>
      <c r="I9364" s="589" t="s">
        <v>280</v>
      </c>
    </row>
    <row r="9365" spans="1:9">
      <c r="A9365" s="577"/>
      <c r="B9365" s="65">
        <v>9563</v>
      </c>
      <c r="C9365" s="579" t="s">
        <v>281</v>
      </c>
      <c r="D9365" s="579"/>
      <c r="E9365" s="583"/>
      <c r="F9365" s="596"/>
      <c r="G9365" s="65">
        <v>0</v>
      </c>
      <c r="H9365" s="591" t="s">
        <v>280</v>
      </c>
      <c r="I9365" s="589" t="s">
        <v>280</v>
      </c>
    </row>
    <row r="9366" spans="1:9">
      <c r="A9366" s="577"/>
      <c r="B9366" s="65">
        <v>9564</v>
      </c>
      <c r="C9366" s="579" t="s">
        <v>281</v>
      </c>
      <c r="D9366" s="579"/>
      <c r="E9366" s="583"/>
      <c r="F9366" s="596"/>
      <c r="G9366" s="65">
        <v>0</v>
      </c>
      <c r="H9366" s="591" t="s">
        <v>280</v>
      </c>
      <c r="I9366" s="589" t="s">
        <v>280</v>
      </c>
    </row>
    <row r="9367" spans="1:9">
      <c r="A9367" s="577"/>
      <c r="B9367" s="65">
        <v>9565</v>
      </c>
      <c r="C9367" s="579" t="s">
        <v>281</v>
      </c>
      <c r="D9367" s="579"/>
      <c r="E9367" s="583"/>
      <c r="F9367" s="596"/>
      <c r="G9367" s="65">
        <v>0</v>
      </c>
      <c r="H9367" s="591" t="s">
        <v>280</v>
      </c>
      <c r="I9367" s="589" t="s">
        <v>280</v>
      </c>
    </row>
    <row r="9368" spans="1:9">
      <c r="A9368" s="577"/>
      <c r="B9368" s="65">
        <v>9566</v>
      </c>
      <c r="C9368" s="579" t="s">
        <v>281</v>
      </c>
      <c r="D9368" s="579"/>
      <c r="E9368" s="583"/>
      <c r="F9368" s="596"/>
      <c r="G9368" s="65">
        <v>0</v>
      </c>
      <c r="H9368" s="591" t="s">
        <v>280</v>
      </c>
      <c r="I9368" s="589" t="s">
        <v>280</v>
      </c>
    </row>
    <row r="9369" spans="1:9">
      <c r="A9369" s="577"/>
      <c r="B9369" s="65">
        <v>9567</v>
      </c>
      <c r="C9369" s="579" t="s">
        <v>281</v>
      </c>
      <c r="D9369" s="579"/>
      <c r="E9369" s="583"/>
      <c r="F9369" s="596"/>
      <c r="G9369" s="65">
        <v>0</v>
      </c>
      <c r="H9369" s="591" t="s">
        <v>280</v>
      </c>
      <c r="I9369" s="589" t="s">
        <v>280</v>
      </c>
    </row>
    <row r="9370" spans="1:9">
      <c r="A9370" s="577"/>
      <c r="B9370" s="65">
        <v>9568</v>
      </c>
      <c r="C9370" s="579" t="s">
        <v>281</v>
      </c>
      <c r="D9370" s="579"/>
      <c r="E9370" s="583"/>
      <c r="F9370" s="596"/>
      <c r="G9370" s="65">
        <v>0</v>
      </c>
      <c r="H9370" s="591" t="s">
        <v>280</v>
      </c>
      <c r="I9370" s="589" t="s">
        <v>280</v>
      </c>
    </row>
    <row r="9371" spans="1:9">
      <c r="A9371" s="577"/>
      <c r="B9371" s="65">
        <v>9569</v>
      </c>
      <c r="C9371" s="579" t="s">
        <v>281</v>
      </c>
      <c r="D9371" s="579"/>
      <c r="E9371" s="583"/>
      <c r="F9371" s="596"/>
      <c r="G9371" s="65">
        <v>0</v>
      </c>
      <c r="H9371" s="591" t="s">
        <v>280</v>
      </c>
      <c r="I9371" s="589" t="s">
        <v>280</v>
      </c>
    </row>
    <row r="9372" spans="1:9">
      <c r="A9372" s="577"/>
      <c r="B9372" s="65">
        <v>9570</v>
      </c>
      <c r="C9372" s="579" t="s">
        <v>281</v>
      </c>
      <c r="D9372" s="579"/>
      <c r="E9372" s="583"/>
      <c r="F9372" s="596"/>
      <c r="G9372" s="65">
        <v>0</v>
      </c>
      <c r="H9372" s="591" t="s">
        <v>280</v>
      </c>
      <c r="I9372" s="589" t="s">
        <v>280</v>
      </c>
    </row>
    <row r="9373" spans="1:9">
      <c r="A9373" s="577"/>
      <c r="B9373" s="65">
        <v>9571</v>
      </c>
      <c r="C9373" s="579" t="s">
        <v>281</v>
      </c>
      <c r="D9373" s="579"/>
      <c r="E9373" s="583"/>
      <c r="F9373" s="596"/>
      <c r="G9373" s="65">
        <v>0</v>
      </c>
      <c r="H9373" s="591" t="s">
        <v>280</v>
      </c>
      <c r="I9373" s="589" t="s">
        <v>280</v>
      </c>
    </row>
    <row r="9374" spans="1:9">
      <c r="A9374" s="577"/>
      <c r="B9374" s="65">
        <v>9572</v>
      </c>
      <c r="C9374" s="579" t="s">
        <v>281</v>
      </c>
      <c r="D9374" s="579"/>
      <c r="E9374" s="583"/>
      <c r="F9374" s="596"/>
      <c r="G9374" s="65">
        <v>0</v>
      </c>
      <c r="H9374" s="591" t="s">
        <v>280</v>
      </c>
      <c r="I9374" s="589" t="s">
        <v>280</v>
      </c>
    </row>
    <row r="9375" spans="1:9">
      <c r="A9375" s="577"/>
      <c r="B9375" s="65">
        <v>9573</v>
      </c>
      <c r="C9375" s="579" t="s">
        <v>281</v>
      </c>
      <c r="D9375" s="579"/>
      <c r="E9375" s="583"/>
      <c r="F9375" s="596"/>
      <c r="G9375" s="65">
        <v>0</v>
      </c>
      <c r="H9375" s="591" t="s">
        <v>280</v>
      </c>
      <c r="I9375" s="589" t="s">
        <v>280</v>
      </c>
    </row>
    <row r="9376" spans="1:9">
      <c r="A9376" s="577"/>
      <c r="B9376" s="65">
        <v>9574</v>
      </c>
      <c r="C9376" s="579" t="s">
        <v>281</v>
      </c>
      <c r="D9376" s="579"/>
      <c r="E9376" s="583"/>
      <c r="F9376" s="596"/>
      <c r="G9376" s="65">
        <v>0</v>
      </c>
      <c r="H9376" s="591" t="s">
        <v>280</v>
      </c>
      <c r="I9376" s="589" t="s">
        <v>280</v>
      </c>
    </row>
    <row r="9377" spans="1:9">
      <c r="A9377" s="577"/>
      <c r="B9377" s="65">
        <v>9575</v>
      </c>
      <c r="C9377" s="579" t="s">
        <v>281</v>
      </c>
      <c r="D9377" s="579"/>
      <c r="E9377" s="583"/>
      <c r="F9377" s="596"/>
      <c r="G9377" s="65">
        <v>0</v>
      </c>
      <c r="H9377" s="591" t="s">
        <v>280</v>
      </c>
      <c r="I9377" s="589" t="s">
        <v>280</v>
      </c>
    </row>
    <row r="9378" spans="1:9">
      <c r="A9378" s="577"/>
      <c r="B9378" s="65">
        <v>9576</v>
      </c>
      <c r="C9378" s="579" t="s">
        <v>281</v>
      </c>
      <c r="D9378" s="579"/>
      <c r="E9378" s="583"/>
      <c r="F9378" s="596"/>
      <c r="G9378" s="65">
        <v>0</v>
      </c>
      <c r="H9378" s="591" t="s">
        <v>280</v>
      </c>
      <c r="I9378" s="589" t="s">
        <v>280</v>
      </c>
    </row>
    <row r="9379" spans="1:9">
      <c r="A9379" s="577"/>
      <c r="B9379" s="65">
        <v>9577</v>
      </c>
      <c r="C9379" s="579" t="s">
        <v>281</v>
      </c>
      <c r="D9379" s="579"/>
      <c r="E9379" s="583"/>
      <c r="F9379" s="596"/>
      <c r="G9379" s="65">
        <v>0</v>
      </c>
      <c r="H9379" s="591" t="s">
        <v>280</v>
      </c>
      <c r="I9379" s="589" t="s">
        <v>280</v>
      </c>
    </row>
    <row r="9380" spans="1:9">
      <c r="A9380" s="577"/>
      <c r="B9380" s="65">
        <v>9578</v>
      </c>
      <c r="C9380" s="579" t="s">
        <v>281</v>
      </c>
      <c r="D9380" s="579"/>
      <c r="E9380" s="583"/>
      <c r="F9380" s="596"/>
      <c r="G9380" s="65">
        <v>0</v>
      </c>
      <c r="H9380" s="591" t="s">
        <v>280</v>
      </c>
      <c r="I9380" s="589" t="s">
        <v>280</v>
      </c>
    </row>
    <row r="9381" spans="1:9">
      <c r="A9381" s="577"/>
      <c r="B9381" s="65">
        <v>9579</v>
      </c>
      <c r="C9381" s="579" t="s">
        <v>281</v>
      </c>
      <c r="D9381" s="579"/>
      <c r="E9381" s="583"/>
      <c r="F9381" s="596"/>
      <c r="G9381" s="65">
        <v>0</v>
      </c>
      <c r="H9381" s="591" t="s">
        <v>280</v>
      </c>
      <c r="I9381" s="589" t="s">
        <v>280</v>
      </c>
    </row>
    <row r="9382" spans="1:9">
      <c r="A9382" s="577"/>
      <c r="B9382" s="65">
        <v>9580</v>
      </c>
      <c r="C9382" s="579" t="s">
        <v>281</v>
      </c>
      <c r="D9382" s="579"/>
      <c r="E9382" s="583"/>
      <c r="F9382" s="596"/>
      <c r="G9382" s="65">
        <v>0</v>
      </c>
      <c r="H9382" s="591" t="s">
        <v>280</v>
      </c>
      <c r="I9382" s="589" t="s">
        <v>280</v>
      </c>
    </row>
    <row r="9383" spans="1:9">
      <c r="A9383" s="577"/>
      <c r="B9383" s="65">
        <v>9581</v>
      </c>
      <c r="C9383" s="579" t="s">
        <v>281</v>
      </c>
      <c r="D9383" s="579"/>
      <c r="E9383" s="583"/>
      <c r="F9383" s="596"/>
      <c r="G9383" s="65">
        <v>0</v>
      </c>
      <c r="H9383" s="591" t="s">
        <v>280</v>
      </c>
      <c r="I9383" s="589" t="s">
        <v>280</v>
      </c>
    </row>
    <row r="9384" spans="1:9">
      <c r="A9384" s="577"/>
      <c r="B9384" s="65">
        <v>9582</v>
      </c>
      <c r="C9384" s="579" t="s">
        <v>281</v>
      </c>
      <c r="D9384" s="579"/>
      <c r="E9384" s="583"/>
      <c r="F9384" s="596"/>
      <c r="G9384" s="65">
        <v>0</v>
      </c>
      <c r="H9384" s="591" t="s">
        <v>280</v>
      </c>
      <c r="I9384" s="589" t="s">
        <v>280</v>
      </c>
    </row>
    <row r="9385" spans="1:9">
      <c r="A9385" s="577"/>
      <c r="B9385" s="65">
        <v>9583</v>
      </c>
      <c r="C9385" s="579" t="s">
        <v>281</v>
      </c>
      <c r="D9385" s="579"/>
      <c r="E9385" s="583"/>
      <c r="F9385" s="596"/>
      <c r="G9385" s="65">
        <v>0</v>
      </c>
      <c r="H9385" s="591" t="s">
        <v>280</v>
      </c>
      <c r="I9385" s="589" t="s">
        <v>280</v>
      </c>
    </row>
    <row r="9386" spans="1:9">
      <c r="A9386" s="577"/>
      <c r="B9386" s="65">
        <v>9584</v>
      </c>
      <c r="C9386" s="579" t="s">
        <v>281</v>
      </c>
      <c r="D9386" s="579"/>
      <c r="E9386" s="583"/>
      <c r="F9386" s="596"/>
      <c r="G9386" s="65">
        <v>0</v>
      </c>
      <c r="H9386" s="591" t="s">
        <v>280</v>
      </c>
      <c r="I9386" s="589" t="s">
        <v>280</v>
      </c>
    </row>
    <row r="9387" spans="1:9">
      <c r="A9387" s="577"/>
      <c r="B9387" s="65">
        <v>9585</v>
      </c>
      <c r="C9387" s="579" t="s">
        <v>281</v>
      </c>
      <c r="D9387" s="579"/>
      <c r="E9387" s="583"/>
      <c r="F9387" s="596"/>
      <c r="G9387" s="65">
        <v>0</v>
      </c>
      <c r="H9387" s="591" t="s">
        <v>280</v>
      </c>
      <c r="I9387" s="589" t="s">
        <v>280</v>
      </c>
    </row>
    <row r="9388" spans="1:9">
      <c r="A9388" s="577"/>
      <c r="B9388" s="65">
        <v>9586</v>
      </c>
      <c r="C9388" s="579" t="s">
        <v>281</v>
      </c>
      <c r="D9388" s="579"/>
      <c r="E9388" s="583"/>
      <c r="F9388" s="596"/>
      <c r="G9388" s="65">
        <v>0</v>
      </c>
      <c r="H9388" s="591" t="s">
        <v>280</v>
      </c>
      <c r="I9388" s="589" t="s">
        <v>280</v>
      </c>
    </row>
    <row r="9389" spans="1:9">
      <c r="A9389" s="577"/>
      <c r="B9389" s="65">
        <v>9587</v>
      </c>
      <c r="C9389" s="579" t="s">
        <v>281</v>
      </c>
      <c r="D9389" s="579"/>
      <c r="E9389" s="583"/>
      <c r="F9389" s="596"/>
      <c r="G9389" s="65">
        <v>0</v>
      </c>
      <c r="H9389" s="591" t="s">
        <v>280</v>
      </c>
      <c r="I9389" s="589" t="s">
        <v>280</v>
      </c>
    </row>
    <row r="9390" spans="1:9">
      <c r="A9390" s="577"/>
      <c r="B9390" s="65">
        <v>9588</v>
      </c>
      <c r="C9390" s="579" t="s">
        <v>281</v>
      </c>
      <c r="D9390" s="579"/>
      <c r="E9390" s="583"/>
      <c r="F9390" s="596"/>
      <c r="G9390" s="65">
        <v>0</v>
      </c>
      <c r="H9390" s="591" t="s">
        <v>280</v>
      </c>
      <c r="I9390" s="589" t="s">
        <v>280</v>
      </c>
    </row>
    <row r="9391" spans="1:9">
      <c r="A9391" s="577"/>
      <c r="B9391" s="65">
        <v>9589</v>
      </c>
      <c r="C9391" s="579" t="s">
        <v>281</v>
      </c>
      <c r="D9391" s="579"/>
      <c r="E9391" s="583"/>
      <c r="F9391" s="596"/>
      <c r="G9391" s="65">
        <v>0</v>
      </c>
      <c r="H9391" s="591" t="s">
        <v>280</v>
      </c>
      <c r="I9391" s="589" t="s">
        <v>280</v>
      </c>
    </row>
    <row r="9392" spans="1:9">
      <c r="A9392" s="577"/>
      <c r="B9392" s="65">
        <v>9590</v>
      </c>
      <c r="C9392" s="579" t="s">
        <v>281</v>
      </c>
      <c r="D9392" s="579"/>
      <c r="E9392" s="583"/>
      <c r="F9392" s="596"/>
      <c r="G9392" s="65">
        <v>0</v>
      </c>
      <c r="H9392" s="591" t="s">
        <v>280</v>
      </c>
      <c r="I9392" s="589" t="s">
        <v>280</v>
      </c>
    </row>
    <row r="9393" spans="1:9">
      <c r="A9393" s="577"/>
      <c r="B9393" s="65">
        <v>9591</v>
      </c>
      <c r="C9393" s="579" t="s">
        <v>281</v>
      </c>
      <c r="D9393" s="579"/>
      <c r="E9393" s="583"/>
      <c r="F9393" s="596"/>
      <c r="G9393" s="65">
        <v>0</v>
      </c>
      <c r="H9393" s="591" t="s">
        <v>280</v>
      </c>
      <c r="I9393" s="589" t="s">
        <v>280</v>
      </c>
    </row>
    <row r="9394" spans="1:9">
      <c r="A9394" s="577"/>
      <c r="B9394" s="65">
        <v>9592</v>
      </c>
      <c r="C9394" s="579" t="s">
        <v>281</v>
      </c>
      <c r="D9394" s="579"/>
      <c r="E9394" s="583"/>
      <c r="F9394" s="596"/>
      <c r="G9394" s="65">
        <v>0</v>
      </c>
      <c r="H9394" s="591" t="s">
        <v>280</v>
      </c>
      <c r="I9394" s="589" t="s">
        <v>280</v>
      </c>
    </row>
    <row r="9395" spans="1:9">
      <c r="A9395" s="577"/>
      <c r="B9395" s="65">
        <v>9593</v>
      </c>
      <c r="C9395" s="579" t="s">
        <v>281</v>
      </c>
      <c r="D9395" s="579"/>
      <c r="E9395" s="583"/>
      <c r="F9395" s="596"/>
      <c r="G9395" s="65">
        <v>0</v>
      </c>
      <c r="H9395" s="591" t="s">
        <v>280</v>
      </c>
      <c r="I9395" s="589" t="s">
        <v>280</v>
      </c>
    </row>
    <row r="9396" spans="1:9">
      <c r="A9396" s="577"/>
      <c r="B9396" s="65">
        <v>9594</v>
      </c>
      <c r="C9396" s="579" t="s">
        <v>281</v>
      </c>
      <c r="D9396" s="579"/>
      <c r="E9396" s="583"/>
      <c r="F9396" s="596"/>
      <c r="G9396" s="65">
        <v>0</v>
      </c>
      <c r="H9396" s="591" t="s">
        <v>280</v>
      </c>
      <c r="I9396" s="589" t="s">
        <v>280</v>
      </c>
    </row>
    <row r="9397" spans="1:9">
      <c r="A9397" s="577"/>
      <c r="B9397" s="65">
        <v>9595</v>
      </c>
      <c r="C9397" s="579" t="s">
        <v>281</v>
      </c>
      <c r="D9397" s="579"/>
      <c r="E9397" s="583"/>
      <c r="F9397" s="596"/>
      <c r="G9397" s="65">
        <v>0</v>
      </c>
      <c r="H9397" s="591" t="s">
        <v>280</v>
      </c>
      <c r="I9397" s="589" t="s">
        <v>280</v>
      </c>
    </row>
    <row r="9398" spans="1:9">
      <c r="A9398" s="577"/>
      <c r="B9398" s="65">
        <v>9596</v>
      </c>
      <c r="C9398" s="579" t="s">
        <v>281</v>
      </c>
      <c r="D9398" s="579"/>
      <c r="E9398" s="583"/>
      <c r="F9398" s="596"/>
      <c r="G9398" s="65">
        <v>0</v>
      </c>
      <c r="H9398" s="591" t="s">
        <v>280</v>
      </c>
      <c r="I9398" s="589" t="s">
        <v>280</v>
      </c>
    </row>
    <row r="9399" spans="1:9">
      <c r="A9399" s="577"/>
      <c r="B9399" s="65">
        <v>9597</v>
      </c>
      <c r="C9399" s="579" t="s">
        <v>281</v>
      </c>
      <c r="D9399" s="579"/>
      <c r="E9399" s="583"/>
      <c r="F9399" s="596"/>
      <c r="G9399" s="65">
        <v>0</v>
      </c>
      <c r="H9399" s="591" t="s">
        <v>280</v>
      </c>
      <c r="I9399" s="589" t="s">
        <v>280</v>
      </c>
    </row>
    <row r="9400" spans="1:9">
      <c r="A9400" s="577"/>
      <c r="B9400" s="65">
        <v>9598</v>
      </c>
      <c r="C9400" s="579" t="s">
        <v>281</v>
      </c>
      <c r="D9400" s="579"/>
      <c r="E9400" s="583"/>
      <c r="F9400" s="596"/>
      <c r="G9400" s="65">
        <v>0</v>
      </c>
      <c r="H9400" s="591" t="s">
        <v>280</v>
      </c>
      <c r="I9400" s="589" t="s">
        <v>280</v>
      </c>
    </row>
    <row r="9401" spans="1:9">
      <c r="A9401" s="577"/>
      <c r="B9401" s="65">
        <v>9599</v>
      </c>
      <c r="C9401" s="579" t="s">
        <v>281</v>
      </c>
      <c r="D9401" s="579"/>
      <c r="E9401" s="583"/>
      <c r="F9401" s="596"/>
      <c r="G9401" s="65">
        <v>0</v>
      </c>
      <c r="H9401" s="591" t="s">
        <v>280</v>
      </c>
      <c r="I9401" s="589" t="s">
        <v>280</v>
      </c>
    </row>
    <row r="9402" spans="1:9">
      <c r="A9402" s="577"/>
      <c r="B9402" s="65">
        <v>9600</v>
      </c>
      <c r="C9402" s="579" t="s">
        <v>281</v>
      </c>
      <c r="D9402" s="579"/>
      <c r="E9402" s="583"/>
      <c r="F9402" s="596"/>
      <c r="G9402" s="65">
        <v>0</v>
      </c>
      <c r="H9402" s="591" t="s">
        <v>280</v>
      </c>
      <c r="I9402" s="589" t="s">
        <v>280</v>
      </c>
    </row>
    <row r="9403" spans="1:9">
      <c r="A9403" s="577"/>
      <c r="B9403" s="65">
        <v>9601</v>
      </c>
      <c r="C9403" s="579" t="s">
        <v>281</v>
      </c>
      <c r="D9403" s="579"/>
      <c r="E9403" s="583"/>
      <c r="F9403" s="596"/>
      <c r="G9403" s="65">
        <v>0</v>
      </c>
      <c r="H9403" s="591" t="s">
        <v>280</v>
      </c>
      <c r="I9403" s="589" t="s">
        <v>280</v>
      </c>
    </row>
    <row r="9404" spans="1:9">
      <c r="A9404" s="577"/>
      <c r="B9404" s="65">
        <v>9602</v>
      </c>
      <c r="C9404" s="579" t="s">
        <v>281</v>
      </c>
      <c r="D9404" s="579"/>
      <c r="E9404" s="583"/>
      <c r="F9404" s="596"/>
      <c r="G9404" s="65">
        <v>0</v>
      </c>
      <c r="H9404" s="591" t="s">
        <v>280</v>
      </c>
      <c r="I9404" s="589" t="s">
        <v>280</v>
      </c>
    </row>
    <row r="9405" spans="1:9">
      <c r="A9405" s="577"/>
      <c r="B9405" s="65">
        <v>9603</v>
      </c>
      <c r="C9405" s="579" t="s">
        <v>281</v>
      </c>
      <c r="D9405" s="579"/>
      <c r="E9405" s="583"/>
      <c r="F9405" s="596"/>
      <c r="G9405" s="65">
        <v>0</v>
      </c>
      <c r="H9405" s="591" t="s">
        <v>280</v>
      </c>
      <c r="I9405" s="589" t="s">
        <v>280</v>
      </c>
    </row>
    <row r="9406" spans="1:9">
      <c r="A9406" s="577"/>
      <c r="B9406" s="65">
        <v>9604</v>
      </c>
      <c r="C9406" s="579" t="s">
        <v>281</v>
      </c>
      <c r="D9406" s="579"/>
      <c r="E9406" s="583"/>
      <c r="F9406" s="596"/>
      <c r="G9406" s="65">
        <v>0</v>
      </c>
      <c r="H9406" s="591" t="s">
        <v>280</v>
      </c>
      <c r="I9406" s="589" t="s">
        <v>280</v>
      </c>
    </row>
    <row r="9407" spans="1:9">
      <c r="A9407" s="577"/>
      <c r="B9407" s="65">
        <v>9605</v>
      </c>
      <c r="C9407" s="579" t="s">
        <v>281</v>
      </c>
      <c r="D9407" s="579"/>
      <c r="E9407" s="583"/>
      <c r="F9407" s="596"/>
      <c r="G9407" s="65">
        <v>0</v>
      </c>
      <c r="H9407" s="591" t="s">
        <v>280</v>
      </c>
      <c r="I9407" s="589" t="s">
        <v>280</v>
      </c>
    </row>
    <row r="9408" spans="1:9">
      <c r="A9408" s="577"/>
      <c r="B9408" s="65">
        <v>9606</v>
      </c>
      <c r="C9408" s="579" t="s">
        <v>281</v>
      </c>
      <c r="D9408" s="579"/>
      <c r="E9408" s="583"/>
      <c r="F9408" s="596"/>
      <c r="G9408" s="65">
        <v>0</v>
      </c>
      <c r="H9408" s="591" t="s">
        <v>280</v>
      </c>
      <c r="I9408" s="589" t="s">
        <v>280</v>
      </c>
    </row>
    <row r="9409" spans="1:9">
      <c r="A9409" s="577"/>
      <c r="B9409" s="65">
        <v>9607</v>
      </c>
      <c r="C9409" s="579" t="s">
        <v>281</v>
      </c>
      <c r="D9409" s="579"/>
      <c r="E9409" s="583"/>
      <c r="F9409" s="596"/>
      <c r="G9409" s="65">
        <v>0</v>
      </c>
      <c r="H9409" s="591" t="s">
        <v>280</v>
      </c>
      <c r="I9409" s="589" t="s">
        <v>280</v>
      </c>
    </row>
    <row r="9410" spans="1:9">
      <c r="A9410" s="577"/>
      <c r="B9410" s="65">
        <v>9608</v>
      </c>
      <c r="C9410" s="579" t="s">
        <v>281</v>
      </c>
      <c r="D9410" s="579"/>
      <c r="E9410" s="583"/>
      <c r="F9410" s="596"/>
      <c r="G9410" s="65">
        <v>0</v>
      </c>
      <c r="H9410" s="591" t="s">
        <v>280</v>
      </c>
      <c r="I9410" s="589" t="s">
        <v>280</v>
      </c>
    </row>
    <row r="9411" spans="1:9">
      <c r="A9411" s="577"/>
      <c r="B9411" s="65">
        <v>9609</v>
      </c>
      <c r="C9411" s="579" t="s">
        <v>281</v>
      </c>
      <c r="D9411" s="579"/>
      <c r="E9411" s="583"/>
      <c r="F9411" s="596"/>
      <c r="G9411" s="65">
        <v>0</v>
      </c>
      <c r="H9411" s="591" t="s">
        <v>280</v>
      </c>
      <c r="I9411" s="589" t="s">
        <v>280</v>
      </c>
    </row>
    <row r="9412" spans="1:9">
      <c r="A9412" s="577"/>
      <c r="B9412" s="65">
        <v>9610</v>
      </c>
      <c r="C9412" s="579" t="s">
        <v>281</v>
      </c>
      <c r="D9412" s="579"/>
      <c r="E9412" s="583"/>
      <c r="F9412" s="596"/>
      <c r="G9412" s="65">
        <v>0</v>
      </c>
      <c r="H9412" s="591" t="s">
        <v>280</v>
      </c>
      <c r="I9412" s="589" t="s">
        <v>280</v>
      </c>
    </row>
    <row r="9413" spans="1:9">
      <c r="A9413" s="577"/>
      <c r="B9413" s="65">
        <v>9611</v>
      </c>
      <c r="C9413" s="579" t="s">
        <v>281</v>
      </c>
      <c r="D9413" s="579"/>
      <c r="E9413" s="583"/>
      <c r="F9413" s="596"/>
      <c r="G9413" s="65">
        <v>0</v>
      </c>
      <c r="H9413" s="591" t="s">
        <v>280</v>
      </c>
      <c r="I9413" s="589" t="s">
        <v>280</v>
      </c>
    </row>
    <row r="9414" spans="1:9">
      <c r="A9414" s="577"/>
      <c r="B9414" s="65">
        <v>9612</v>
      </c>
      <c r="C9414" s="579" t="s">
        <v>281</v>
      </c>
      <c r="D9414" s="579"/>
      <c r="E9414" s="583"/>
      <c r="F9414" s="596"/>
      <c r="G9414" s="65">
        <v>0</v>
      </c>
      <c r="H9414" s="591" t="s">
        <v>280</v>
      </c>
      <c r="I9414" s="589" t="s">
        <v>280</v>
      </c>
    </row>
    <row r="9415" spans="1:9">
      <c r="A9415" s="577"/>
      <c r="B9415" s="65">
        <v>9613</v>
      </c>
      <c r="C9415" s="579" t="s">
        <v>281</v>
      </c>
      <c r="D9415" s="579"/>
      <c r="E9415" s="583"/>
      <c r="F9415" s="596"/>
      <c r="G9415" s="65">
        <v>0</v>
      </c>
      <c r="H9415" s="591" t="s">
        <v>280</v>
      </c>
      <c r="I9415" s="589" t="s">
        <v>280</v>
      </c>
    </row>
    <row r="9416" spans="1:9">
      <c r="A9416" s="577"/>
      <c r="B9416" s="65">
        <v>9614</v>
      </c>
      <c r="C9416" s="579" t="s">
        <v>281</v>
      </c>
      <c r="D9416" s="579"/>
      <c r="E9416" s="583"/>
      <c r="F9416" s="596"/>
      <c r="G9416" s="65">
        <v>0</v>
      </c>
      <c r="H9416" s="591" t="s">
        <v>280</v>
      </c>
      <c r="I9416" s="589" t="s">
        <v>280</v>
      </c>
    </row>
    <row r="9417" spans="1:9">
      <c r="A9417" s="577"/>
      <c r="B9417" s="65">
        <v>9615</v>
      </c>
      <c r="C9417" s="579" t="s">
        <v>281</v>
      </c>
      <c r="D9417" s="579"/>
      <c r="E9417" s="583"/>
      <c r="F9417" s="596"/>
      <c r="G9417" s="65">
        <v>0</v>
      </c>
      <c r="H9417" s="591" t="s">
        <v>280</v>
      </c>
      <c r="I9417" s="589" t="s">
        <v>280</v>
      </c>
    </row>
    <row r="9418" spans="1:9">
      <c r="A9418" s="577"/>
      <c r="B9418" s="65">
        <v>9616</v>
      </c>
      <c r="C9418" s="579" t="s">
        <v>281</v>
      </c>
      <c r="D9418" s="579"/>
      <c r="E9418" s="583"/>
      <c r="F9418" s="596"/>
      <c r="G9418" s="65">
        <v>0</v>
      </c>
      <c r="H9418" s="591" t="s">
        <v>280</v>
      </c>
      <c r="I9418" s="589" t="s">
        <v>280</v>
      </c>
    </row>
    <row r="9419" spans="1:9">
      <c r="A9419" s="577"/>
      <c r="B9419" s="65">
        <v>9617</v>
      </c>
      <c r="C9419" s="579" t="s">
        <v>281</v>
      </c>
      <c r="D9419" s="579"/>
      <c r="E9419" s="583"/>
      <c r="F9419" s="596"/>
      <c r="G9419" s="65">
        <v>0</v>
      </c>
      <c r="H9419" s="591" t="s">
        <v>280</v>
      </c>
      <c r="I9419" s="589" t="s">
        <v>280</v>
      </c>
    </row>
    <row r="9420" spans="1:9">
      <c r="A9420" s="577"/>
      <c r="B9420" s="65">
        <v>9618</v>
      </c>
      <c r="C9420" s="579" t="s">
        <v>281</v>
      </c>
      <c r="D9420" s="579"/>
      <c r="E9420" s="583"/>
      <c r="F9420" s="596"/>
      <c r="G9420" s="65">
        <v>0</v>
      </c>
      <c r="H9420" s="591" t="s">
        <v>280</v>
      </c>
      <c r="I9420" s="589" t="s">
        <v>280</v>
      </c>
    </row>
    <row r="9421" spans="1:9">
      <c r="A9421" s="577"/>
      <c r="B9421" s="65">
        <v>9619</v>
      </c>
      <c r="C9421" s="579" t="s">
        <v>281</v>
      </c>
      <c r="D9421" s="579"/>
      <c r="E9421" s="583"/>
      <c r="F9421" s="596"/>
      <c r="G9421" s="65">
        <v>0</v>
      </c>
      <c r="H9421" s="591" t="s">
        <v>280</v>
      </c>
      <c r="I9421" s="589" t="s">
        <v>280</v>
      </c>
    </row>
    <row r="9422" spans="1:9">
      <c r="A9422" s="577"/>
      <c r="B9422" s="65">
        <v>9620</v>
      </c>
      <c r="C9422" s="579" t="s">
        <v>281</v>
      </c>
      <c r="D9422" s="579"/>
      <c r="E9422" s="583"/>
      <c r="F9422" s="596"/>
      <c r="G9422" s="65">
        <v>0</v>
      </c>
      <c r="H9422" s="591" t="s">
        <v>280</v>
      </c>
      <c r="I9422" s="589" t="s">
        <v>280</v>
      </c>
    </row>
    <row r="9423" spans="1:9">
      <c r="A9423" s="577"/>
      <c r="B9423" s="65">
        <v>9621</v>
      </c>
      <c r="C9423" s="579" t="s">
        <v>281</v>
      </c>
      <c r="D9423" s="579"/>
      <c r="E9423" s="583"/>
      <c r="F9423" s="596"/>
      <c r="G9423" s="65">
        <v>0</v>
      </c>
      <c r="H9423" s="591" t="s">
        <v>280</v>
      </c>
      <c r="I9423" s="589" t="s">
        <v>280</v>
      </c>
    </row>
    <row r="9424" spans="1:9">
      <c r="A9424" s="577"/>
      <c r="B9424" s="65">
        <v>9622</v>
      </c>
      <c r="C9424" s="579" t="s">
        <v>281</v>
      </c>
      <c r="D9424" s="579"/>
      <c r="E9424" s="583"/>
      <c r="F9424" s="596"/>
      <c r="G9424" s="65">
        <v>0</v>
      </c>
      <c r="H9424" s="591" t="s">
        <v>280</v>
      </c>
      <c r="I9424" s="589" t="s">
        <v>280</v>
      </c>
    </row>
    <row r="9425" spans="1:9">
      <c r="A9425" s="577"/>
      <c r="B9425" s="65">
        <v>9623</v>
      </c>
      <c r="C9425" s="579" t="s">
        <v>281</v>
      </c>
      <c r="D9425" s="579"/>
      <c r="E9425" s="583"/>
      <c r="F9425" s="596"/>
      <c r="G9425" s="65">
        <v>0</v>
      </c>
      <c r="H9425" s="591" t="s">
        <v>280</v>
      </c>
      <c r="I9425" s="589" t="s">
        <v>280</v>
      </c>
    </row>
    <row r="9426" spans="1:9">
      <c r="A9426" s="577"/>
      <c r="B9426" s="65">
        <v>9624</v>
      </c>
      <c r="C9426" s="579" t="s">
        <v>281</v>
      </c>
      <c r="D9426" s="579"/>
      <c r="E9426" s="583"/>
      <c r="F9426" s="596"/>
      <c r="G9426" s="65">
        <v>0</v>
      </c>
      <c r="H9426" s="591" t="s">
        <v>280</v>
      </c>
      <c r="I9426" s="589" t="s">
        <v>280</v>
      </c>
    </row>
    <row r="9427" spans="1:9">
      <c r="A9427" s="577"/>
      <c r="B9427" s="65">
        <v>9625</v>
      </c>
      <c r="C9427" s="579" t="s">
        <v>281</v>
      </c>
      <c r="D9427" s="579"/>
      <c r="E9427" s="583"/>
      <c r="F9427" s="596"/>
      <c r="G9427" s="65">
        <v>0</v>
      </c>
      <c r="H9427" s="591" t="s">
        <v>280</v>
      </c>
      <c r="I9427" s="589" t="s">
        <v>280</v>
      </c>
    </row>
    <row r="9428" spans="1:9">
      <c r="A9428" s="577"/>
      <c r="B9428" s="65">
        <v>9626</v>
      </c>
      <c r="C9428" s="579" t="s">
        <v>281</v>
      </c>
      <c r="D9428" s="579"/>
      <c r="E9428" s="583"/>
      <c r="F9428" s="596"/>
      <c r="G9428" s="65">
        <v>0</v>
      </c>
      <c r="H9428" s="591" t="s">
        <v>280</v>
      </c>
      <c r="I9428" s="589" t="s">
        <v>280</v>
      </c>
    </row>
    <row r="9429" spans="1:9">
      <c r="A9429" s="577"/>
      <c r="B9429" s="65">
        <v>9627</v>
      </c>
      <c r="C9429" s="579" t="s">
        <v>281</v>
      </c>
      <c r="D9429" s="579"/>
      <c r="E9429" s="583"/>
      <c r="F9429" s="596"/>
      <c r="G9429" s="65">
        <v>0</v>
      </c>
      <c r="H9429" s="591" t="s">
        <v>280</v>
      </c>
      <c r="I9429" s="589" t="s">
        <v>280</v>
      </c>
    </row>
    <row r="9430" spans="1:9">
      <c r="A9430" s="577"/>
      <c r="B9430" s="65">
        <v>9628</v>
      </c>
      <c r="C9430" s="579" t="s">
        <v>281</v>
      </c>
      <c r="D9430" s="579"/>
      <c r="E9430" s="583"/>
      <c r="F9430" s="596"/>
      <c r="G9430" s="65">
        <v>0</v>
      </c>
      <c r="H9430" s="591" t="s">
        <v>280</v>
      </c>
      <c r="I9430" s="589" t="s">
        <v>280</v>
      </c>
    </row>
    <row r="9431" spans="1:9">
      <c r="A9431" s="577"/>
      <c r="B9431" s="65">
        <v>9629</v>
      </c>
      <c r="C9431" s="579" t="s">
        <v>281</v>
      </c>
      <c r="D9431" s="579"/>
      <c r="E9431" s="583"/>
      <c r="F9431" s="596"/>
      <c r="G9431" s="65">
        <v>0</v>
      </c>
      <c r="H9431" s="591" t="s">
        <v>280</v>
      </c>
      <c r="I9431" s="589" t="s">
        <v>280</v>
      </c>
    </row>
    <row r="9432" spans="1:9">
      <c r="A9432" s="577"/>
      <c r="B9432" s="65">
        <v>9630</v>
      </c>
      <c r="C9432" s="579" t="s">
        <v>281</v>
      </c>
      <c r="D9432" s="579"/>
      <c r="E9432" s="583"/>
      <c r="F9432" s="596"/>
      <c r="G9432" s="65">
        <v>0</v>
      </c>
      <c r="H9432" s="591" t="s">
        <v>280</v>
      </c>
      <c r="I9432" s="589" t="s">
        <v>280</v>
      </c>
    </row>
    <row r="9433" spans="1:9">
      <c r="A9433" s="577"/>
      <c r="B9433" s="65">
        <v>9631</v>
      </c>
      <c r="C9433" s="579" t="s">
        <v>281</v>
      </c>
      <c r="D9433" s="579"/>
      <c r="E9433" s="583"/>
      <c r="F9433" s="596"/>
      <c r="G9433" s="65">
        <v>0</v>
      </c>
      <c r="H9433" s="591" t="s">
        <v>280</v>
      </c>
      <c r="I9433" s="589" t="s">
        <v>280</v>
      </c>
    </row>
    <row r="9434" spans="1:9">
      <c r="A9434" s="577"/>
      <c r="B9434" s="65">
        <v>9632</v>
      </c>
      <c r="C9434" s="579" t="s">
        <v>281</v>
      </c>
      <c r="D9434" s="579"/>
      <c r="E9434" s="583"/>
      <c r="F9434" s="596"/>
      <c r="G9434" s="65">
        <v>0</v>
      </c>
      <c r="H9434" s="591" t="s">
        <v>280</v>
      </c>
      <c r="I9434" s="589" t="s">
        <v>280</v>
      </c>
    </row>
    <row r="9435" spans="1:9">
      <c r="A9435" s="577"/>
      <c r="B9435" s="65">
        <v>9633</v>
      </c>
      <c r="C9435" s="579" t="s">
        <v>281</v>
      </c>
      <c r="D9435" s="579"/>
      <c r="E9435" s="583"/>
      <c r="F9435" s="596"/>
      <c r="G9435" s="65">
        <v>0</v>
      </c>
      <c r="H9435" s="591" t="s">
        <v>280</v>
      </c>
      <c r="I9435" s="589" t="s">
        <v>280</v>
      </c>
    </row>
    <row r="9436" spans="1:9">
      <c r="A9436" s="577"/>
      <c r="B9436" s="65">
        <v>9634</v>
      </c>
      <c r="C9436" s="579" t="s">
        <v>281</v>
      </c>
      <c r="D9436" s="579"/>
      <c r="E9436" s="583"/>
      <c r="F9436" s="596"/>
      <c r="G9436" s="65">
        <v>0</v>
      </c>
      <c r="H9436" s="591" t="s">
        <v>280</v>
      </c>
      <c r="I9436" s="589" t="s">
        <v>280</v>
      </c>
    </row>
    <row r="9437" spans="1:9">
      <c r="A9437" s="577"/>
      <c r="B9437" s="65">
        <v>9635</v>
      </c>
      <c r="C9437" s="579" t="s">
        <v>281</v>
      </c>
      <c r="D9437" s="579"/>
      <c r="E9437" s="583"/>
      <c r="F9437" s="596"/>
      <c r="G9437" s="65">
        <v>0</v>
      </c>
      <c r="H9437" s="591" t="s">
        <v>280</v>
      </c>
      <c r="I9437" s="589" t="s">
        <v>280</v>
      </c>
    </row>
    <row r="9438" spans="1:9">
      <c r="A9438" s="577"/>
      <c r="B9438" s="65">
        <v>9636</v>
      </c>
      <c r="C9438" s="579" t="s">
        <v>281</v>
      </c>
      <c r="D9438" s="579"/>
      <c r="E9438" s="583"/>
      <c r="F9438" s="596"/>
      <c r="G9438" s="65">
        <v>0</v>
      </c>
      <c r="H9438" s="591" t="s">
        <v>280</v>
      </c>
      <c r="I9438" s="589" t="s">
        <v>280</v>
      </c>
    </row>
    <row r="9439" spans="1:9">
      <c r="A9439" s="577"/>
      <c r="B9439" s="65">
        <v>9637</v>
      </c>
      <c r="C9439" s="579" t="s">
        <v>281</v>
      </c>
      <c r="D9439" s="579"/>
      <c r="E9439" s="583"/>
      <c r="F9439" s="596"/>
      <c r="G9439" s="65">
        <v>0</v>
      </c>
      <c r="H9439" s="591" t="s">
        <v>280</v>
      </c>
      <c r="I9439" s="589" t="s">
        <v>280</v>
      </c>
    </row>
    <row r="9440" spans="1:9">
      <c r="A9440" s="577"/>
      <c r="B9440" s="65">
        <v>9638</v>
      </c>
      <c r="C9440" s="579" t="s">
        <v>281</v>
      </c>
      <c r="D9440" s="579"/>
      <c r="E9440" s="583"/>
      <c r="F9440" s="596"/>
      <c r="G9440" s="65">
        <v>0</v>
      </c>
      <c r="H9440" s="591" t="s">
        <v>280</v>
      </c>
      <c r="I9440" s="589" t="s">
        <v>280</v>
      </c>
    </row>
    <row r="9441" spans="1:9">
      <c r="A9441" s="577"/>
      <c r="B9441" s="65">
        <v>9639</v>
      </c>
      <c r="C9441" s="579" t="s">
        <v>281</v>
      </c>
      <c r="D9441" s="579"/>
      <c r="E9441" s="583"/>
      <c r="F9441" s="596"/>
      <c r="G9441" s="65">
        <v>0</v>
      </c>
      <c r="H9441" s="591" t="s">
        <v>280</v>
      </c>
      <c r="I9441" s="589" t="s">
        <v>280</v>
      </c>
    </row>
    <row r="9442" spans="1:9">
      <c r="A9442" s="577"/>
      <c r="B9442" s="65">
        <v>9640</v>
      </c>
      <c r="C9442" s="579" t="s">
        <v>281</v>
      </c>
      <c r="D9442" s="579"/>
      <c r="E9442" s="583"/>
      <c r="F9442" s="596"/>
      <c r="G9442" s="65">
        <v>0</v>
      </c>
      <c r="H9442" s="591" t="s">
        <v>280</v>
      </c>
      <c r="I9442" s="589" t="s">
        <v>280</v>
      </c>
    </row>
    <row r="9443" spans="1:9">
      <c r="A9443" s="577"/>
      <c r="B9443" s="65">
        <v>9641</v>
      </c>
      <c r="C9443" s="579" t="s">
        <v>281</v>
      </c>
      <c r="D9443" s="579"/>
      <c r="E9443" s="583"/>
      <c r="F9443" s="596"/>
      <c r="G9443" s="65">
        <v>0</v>
      </c>
      <c r="H9443" s="591" t="s">
        <v>280</v>
      </c>
      <c r="I9443" s="589" t="s">
        <v>280</v>
      </c>
    </row>
    <row r="9444" spans="1:9">
      <c r="A9444" s="577"/>
      <c r="B9444" s="65">
        <v>9642</v>
      </c>
      <c r="C9444" s="579" t="s">
        <v>281</v>
      </c>
      <c r="D9444" s="579"/>
      <c r="E9444" s="583"/>
      <c r="F9444" s="596"/>
      <c r="G9444" s="65">
        <v>0</v>
      </c>
      <c r="H9444" s="591" t="s">
        <v>280</v>
      </c>
      <c r="I9444" s="589" t="s">
        <v>280</v>
      </c>
    </row>
    <row r="9445" spans="1:9">
      <c r="A9445" s="577"/>
      <c r="B9445" s="65">
        <v>9643</v>
      </c>
      <c r="C9445" s="579" t="s">
        <v>281</v>
      </c>
      <c r="D9445" s="579"/>
      <c r="E9445" s="583"/>
      <c r="F9445" s="596"/>
      <c r="G9445" s="65">
        <v>0</v>
      </c>
      <c r="H9445" s="591" t="s">
        <v>280</v>
      </c>
      <c r="I9445" s="589" t="s">
        <v>280</v>
      </c>
    </row>
    <row r="9446" spans="1:9">
      <c r="A9446" s="577"/>
      <c r="B9446" s="65">
        <v>9644</v>
      </c>
      <c r="C9446" s="579" t="s">
        <v>281</v>
      </c>
      <c r="D9446" s="579"/>
      <c r="E9446" s="583"/>
      <c r="F9446" s="596"/>
      <c r="G9446" s="65">
        <v>0</v>
      </c>
      <c r="H9446" s="591" t="s">
        <v>280</v>
      </c>
      <c r="I9446" s="589" t="s">
        <v>280</v>
      </c>
    </row>
    <row r="9447" spans="1:9">
      <c r="A9447" s="577"/>
      <c r="B9447" s="65">
        <v>9645</v>
      </c>
      <c r="C9447" s="579" t="s">
        <v>281</v>
      </c>
      <c r="D9447" s="579"/>
      <c r="E9447" s="583"/>
      <c r="F9447" s="596"/>
      <c r="G9447" s="65">
        <v>0</v>
      </c>
      <c r="H9447" s="591" t="s">
        <v>280</v>
      </c>
      <c r="I9447" s="589" t="s">
        <v>280</v>
      </c>
    </row>
    <row r="9448" spans="1:9">
      <c r="A9448" s="577"/>
      <c r="B9448" s="65">
        <v>9646</v>
      </c>
      <c r="C9448" s="579" t="s">
        <v>281</v>
      </c>
      <c r="D9448" s="579"/>
      <c r="E9448" s="583"/>
      <c r="F9448" s="596"/>
      <c r="G9448" s="65">
        <v>0</v>
      </c>
      <c r="H9448" s="591" t="s">
        <v>280</v>
      </c>
      <c r="I9448" s="589" t="s">
        <v>280</v>
      </c>
    </row>
    <row r="9449" spans="1:9">
      <c r="A9449" s="577"/>
      <c r="B9449" s="65">
        <v>9647</v>
      </c>
      <c r="C9449" s="579" t="s">
        <v>281</v>
      </c>
      <c r="D9449" s="579"/>
      <c r="E9449" s="583"/>
      <c r="F9449" s="596"/>
      <c r="G9449" s="65">
        <v>0</v>
      </c>
      <c r="H9449" s="591" t="s">
        <v>280</v>
      </c>
      <c r="I9449" s="589" t="s">
        <v>280</v>
      </c>
    </row>
    <row r="9450" spans="1:9">
      <c r="A9450" s="577"/>
      <c r="B9450" s="65">
        <v>9648</v>
      </c>
      <c r="C9450" s="579" t="s">
        <v>281</v>
      </c>
      <c r="D9450" s="579"/>
      <c r="E9450" s="583"/>
      <c r="F9450" s="596"/>
      <c r="G9450" s="65">
        <v>0</v>
      </c>
      <c r="H9450" s="591" t="s">
        <v>280</v>
      </c>
      <c r="I9450" s="589" t="s">
        <v>280</v>
      </c>
    </row>
    <row r="9451" spans="1:9">
      <c r="A9451" s="577"/>
      <c r="B9451" s="65">
        <v>9649</v>
      </c>
      <c r="C9451" s="579" t="s">
        <v>281</v>
      </c>
      <c r="D9451" s="579"/>
      <c r="E9451" s="583"/>
      <c r="F9451" s="596"/>
      <c r="G9451" s="65">
        <v>0</v>
      </c>
      <c r="H9451" s="591" t="s">
        <v>280</v>
      </c>
      <c r="I9451" s="589" t="s">
        <v>280</v>
      </c>
    </row>
    <row r="9452" spans="1:9">
      <c r="A9452" s="577"/>
      <c r="B9452" s="65">
        <v>9650</v>
      </c>
      <c r="C9452" s="579" t="s">
        <v>281</v>
      </c>
      <c r="D9452" s="579"/>
      <c r="E9452" s="583"/>
      <c r="F9452" s="596"/>
      <c r="G9452" s="65">
        <v>0</v>
      </c>
      <c r="H9452" s="591" t="s">
        <v>280</v>
      </c>
      <c r="I9452" s="589" t="s">
        <v>280</v>
      </c>
    </row>
    <row r="9453" spans="1:9">
      <c r="A9453" s="577"/>
      <c r="B9453" s="65">
        <v>9651</v>
      </c>
      <c r="C9453" s="579" t="s">
        <v>281</v>
      </c>
      <c r="D9453" s="579"/>
      <c r="E9453" s="583"/>
      <c r="F9453" s="596"/>
      <c r="G9453" s="65">
        <v>0</v>
      </c>
      <c r="H9453" s="591" t="s">
        <v>280</v>
      </c>
      <c r="I9453" s="589" t="s">
        <v>280</v>
      </c>
    </row>
    <row r="9454" spans="1:9">
      <c r="A9454" s="577"/>
      <c r="B9454" s="65">
        <v>9652</v>
      </c>
      <c r="C9454" s="579" t="s">
        <v>281</v>
      </c>
      <c r="D9454" s="579"/>
      <c r="E9454" s="583"/>
      <c r="F9454" s="596"/>
      <c r="G9454" s="65">
        <v>0</v>
      </c>
      <c r="H9454" s="591" t="s">
        <v>280</v>
      </c>
      <c r="I9454" s="589" t="s">
        <v>280</v>
      </c>
    </row>
    <row r="9455" spans="1:9">
      <c r="A9455" s="577"/>
      <c r="B9455" s="65">
        <v>9653</v>
      </c>
      <c r="C9455" s="579" t="s">
        <v>281</v>
      </c>
      <c r="D9455" s="579"/>
      <c r="E9455" s="583"/>
      <c r="F9455" s="596"/>
      <c r="G9455" s="65">
        <v>0</v>
      </c>
      <c r="H9455" s="591" t="s">
        <v>280</v>
      </c>
      <c r="I9455" s="589" t="s">
        <v>280</v>
      </c>
    </row>
    <row r="9456" spans="1:9">
      <c r="A9456" s="577"/>
      <c r="B9456" s="65">
        <v>9654</v>
      </c>
      <c r="C9456" s="579" t="s">
        <v>281</v>
      </c>
      <c r="D9456" s="579"/>
      <c r="E9456" s="583"/>
      <c r="F9456" s="596"/>
      <c r="G9456" s="65">
        <v>0</v>
      </c>
      <c r="H9456" s="591" t="s">
        <v>280</v>
      </c>
      <c r="I9456" s="589" t="s">
        <v>280</v>
      </c>
    </row>
    <row r="9457" spans="1:9">
      <c r="A9457" s="577"/>
      <c r="B9457" s="65">
        <v>9655</v>
      </c>
      <c r="C9457" s="579" t="s">
        <v>281</v>
      </c>
      <c r="D9457" s="579"/>
      <c r="E9457" s="583"/>
      <c r="F9457" s="596"/>
      <c r="G9457" s="65">
        <v>0</v>
      </c>
      <c r="H9457" s="591" t="s">
        <v>280</v>
      </c>
      <c r="I9457" s="589" t="s">
        <v>280</v>
      </c>
    </row>
    <row r="9458" spans="1:9">
      <c r="A9458" s="577"/>
      <c r="B9458" s="65">
        <v>9656</v>
      </c>
      <c r="C9458" s="579" t="s">
        <v>281</v>
      </c>
      <c r="D9458" s="579"/>
      <c r="E9458" s="583"/>
      <c r="F9458" s="596"/>
      <c r="G9458" s="65">
        <v>0</v>
      </c>
      <c r="H9458" s="591" t="s">
        <v>280</v>
      </c>
      <c r="I9458" s="589" t="s">
        <v>280</v>
      </c>
    </row>
    <row r="9459" spans="1:9">
      <c r="A9459" s="577"/>
      <c r="B9459" s="65">
        <v>9657</v>
      </c>
      <c r="C9459" s="579" t="s">
        <v>281</v>
      </c>
      <c r="D9459" s="579"/>
      <c r="E9459" s="583"/>
      <c r="F9459" s="596"/>
      <c r="G9459" s="65">
        <v>0</v>
      </c>
      <c r="H9459" s="591" t="s">
        <v>280</v>
      </c>
      <c r="I9459" s="589" t="s">
        <v>280</v>
      </c>
    </row>
    <row r="9460" spans="1:9">
      <c r="A9460" s="577"/>
      <c r="B9460" s="65">
        <v>9658</v>
      </c>
      <c r="C9460" s="579" t="s">
        <v>281</v>
      </c>
      <c r="D9460" s="579"/>
      <c r="E9460" s="583"/>
      <c r="F9460" s="596"/>
      <c r="G9460" s="65">
        <v>0</v>
      </c>
      <c r="H9460" s="591" t="s">
        <v>280</v>
      </c>
      <c r="I9460" s="589" t="s">
        <v>280</v>
      </c>
    </row>
    <row r="9461" spans="1:9">
      <c r="A9461" s="577"/>
      <c r="B9461" s="65">
        <v>9659</v>
      </c>
      <c r="C9461" s="579" t="s">
        <v>281</v>
      </c>
      <c r="D9461" s="579"/>
      <c r="E9461" s="583"/>
      <c r="F9461" s="596"/>
      <c r="G9461" s="65">
        <v>0</v>
      </c>
      <c r="H9461" s="591" t="s">
        <v>280</v>
      </c>
      <c r="I9461" s="589" t="s">
        <v>280</v>
      </c>
    </row>
    <row r="9462" spans="1:9">
      <c r="A9462" s="577"/>
      <c r="B9462" s="65">
        <v>9660</v>
      </c>
      <c r="C9462" s="579" t="s">
        <v>281</v>
      </c>
      <c r="D9462" s="579"/>
      <c r="E9462" s="583"/>
      <c r="F9462" s="596"/>
      <c r="G9462" s="65">
        <v>0</v>
      </c>
      <c r="H9462" s="591" t="s">
        <v>280</v>
      </c>
      <c r="I9462" s="589" t="s">
        <v>280</v>
      </c>
    </row>
    <row r="9463" spans="1:9">
      <c r="A9463" s="577"/>
      <c r="B9463" s="65">
        <v>9661</v>
      </c>
      <c r="C9463" s="579" t="s">
        <v>281</v>
      </c>
      <c r="D9463" s="579"/>
      <c r="E9463" s="583"/>
      <c r="F9463" s="596"/>
      <c r="G9463" s="65">
        <v>0</v>
      </c>
      <c r="H9463" s="591" t="s">
        <v>280</v>
      </c>
      <c r="I9463" s="589" t="s">
        <v>280</v>
      </c>
    </row>
    <row r="9464" spans="1:9">
      <c r="A9464" s="577"/>
      <c r="B9464" s="65">
        <v>9662</v>
      </c>
      <c r="C9464" s="579" t="s">
        <v>281</v>
      </c>
      <c r="D9464" s="579"/>
      <c r="E9464" s="583"/>
      <c r="F9464" s="596"/>
      <c r="G9464" s="65">
        <v>0</v>
      </c>
      <c r="H9464" s="591" t="s">
        <v>280</v>
      </c>
      <c r="I9464" s="589" t="s">
        <v>280</v>
      </c>
    </row>
    <row r="9465" spans="1:9">
      <c r="A9465" s="577"/>
      <c r="B9465" s="65">
        <v>9663</v>
      </c>
      <c r="C9465" s="579" t="s">
        <v>281</v>
      </c>
      <c r="D9465" s="579"/>
      <c r="E9465" s="583"/>
      <c r="F9465" s="596"/>
      <c r="G9465" s="65">
        <v>0</v>
      </c>
      <c r="H9465" s="591" t="s">
        <v>280</v>
      </c>
      <c r="I9465" s="589" t="s">
        <v>280</v>
      </c>
    </row>
    <row r="9466" spans="1:9">
      <c r="A9466" s="577"/>
      <c r="B9466" s="65">
        <v>9664</v>
      </c>
      <c r="C9466" s="579" t="s">
        <v>281</v>
      </c>
      <c r="D9466" s="579"/>
      <c r="E9466" s="583"/>
      <c r="F9466" s="596"/>
      <c r="G9466" s="65">
        <v>0</v>
      </c>
      <c r="H9466" s="591" t="s">
        <v>280</v>
      </c>
      <c r="I9466" s="589" t="s">
        <v>280</v>
      </c>
    </row>
    <row r="9467" spans="1:9">
      <c r="A9467" s="577"/>
      <c r="B9467" s="65">
        <v>9665</v>
      </c>
      <c r="C9467" s="579" t="s">
        <v>281</v>
      </c>
      <c r="D9467" s="579"/>
      <c r="E9467" s="583"/>
      <c r="F9467" s="596"/>
      <c r="G9467" s="65">
        <v>0</v>
      </c>
      <c r="H9467" s="591" t="s">
        <v>280</v>
      </c>
      <c r="I9467" s="589" t="s">
        <v>280</v>
      </c>
    </row>
    <row r="9468" spans="1:9">
      <c r="A9468" s="577"/>
      <c r="B9468" s="65">
        <v>9666</v>
      </c>
      <c r="C9468" s="579" t="s">
        <v>281</v>
      </c>
      <c r="D9468" s="579"/>
      <c r="E9468" s="583"/>
      <c r="F9468" s="596"/>
      <c r="G9468" s="65">
        <v>0</v>
      </c>
      <c r="H9468" s="591" t="s">
        <v>280</v>
      </c>
      <c r="I9468" s="589" t="s">
        <v>280</v>
      </c>
    </row>
    <row r="9469" spans="1:9">
      <c r="A9469" s="577"/>
      <c r="B9469" s="65">
        <v>9667</v>
      </c>
      <c r="C9469" s="579" t="s">
        <v>281</v>
      </c>
      <c r="D9469" s="579"/>
      <c r="E9469" s="583"/>
      <c r="F9469" s="596"/>
      <c r="G9469" s="65">
        <v>0</v>
      </c>
      <c r="H9469" s="591" t="s">
        <v>280</v>
      </c>
      <c r="I9469" s="589" t="s">
        <v>280</v>
      </c>
    </row>
    <row r="9470" spans="1:9">
      <c r="A9470" s="577"/>
      <c r="B9470" s="65">
        <v>9668</v>
      </c>
      <c r="C9470" s="579" t="s">
        <v>281</v>
      </c>
      <c r="D9470" s="579"/>
      <c r="E9470" s="583"/>
      <c r="F9470" s="596"/>
      <c r="G9470" s="65">
        <v>0</v>
      </c>
      <c r="H9470" s="591" t="s">
        <v>280</v>
      </c>
      <c r="I9470" s="589" t="s">
        <v>280</v>
      </c>
    </row>
    <row r="9471" spans="1:9">
      <c r="A9471" s="577"/>
      <c r="B9471" s="65">
        <v>9669</v>
      </c>
      <c r="C9471" s="579" t="s">
        <v>281</v>
      </c>
      <c r="D9471" s="579"/>
      <c r="E9471" s="583"/>
      <c r="F9471" s="596"/>
      <c r="G9471" s="65">
        <v>0</v>
      </c>
      <c r="H9471" s="591" t="s">
        <v>280</v>
      </c>
      <c r="I9471" s="589" t="s">
        <v>280</v>
      </c>
    </row>
    <row r="9472" spans="1:9">
      <c r="A9472" s="577"/>
      <c r="B9472" s="65">
        <v>9670</v>
      </c>
      <c r="C9472" s="579" t="s">
        <v>281</v>
      </c>
      <c r="D9472" s="579"/>
      <c r="E9472" s="583"/>
      <c r="F9472" s="596"/>
      <c r="G9472" s="65">
        <v>0</v>
      </c>
      <c r="H9472" s="591" t="s">
        <v>280</v>
      </c>
      <c r="I9472" s="589" t="s">
        <v>280</v>
      </c>
    </row>
    <row r="9473" spans="1:9">
      <c r="A9473" s="577"/>
      <c r="B9473" s="65">
        <v>9671</v>
      </c>
      <c r="C9473" s="579" t="s">
        <v>281</v>
      </c>
      <c r="D9473" s="579"/>
      <c r="E9473" s="583"/>
      <c r="F9473" s="596"/>
      <c r="G9473" s="65">
        <v>0</v>
      </c>
      <c r="H9473" s="591" t="s">
        <v>280</v>
      </c>
      <c r="I9473" s="589" t="s">
        <v>280</v>
      </c>
    </row>
    <row r="9474" spans="1:9">
      <c r="A9474" s="577"/>
      <c r="B9474" s="65">
        <v>9672</v>
      </c>
      <c r="C9474" s="579" t="s">
        <v>281</v>
      </c>
      <c r="D9474" s="579"/>
      <c r="E9474" s="583"/>
      <c r="F9474" s="596"/>
      <c r="G9474" s="65">
        <v>0</v>
      </c>
      <c r="H9474" s="591" t="s">
        <v>280</v>
      </c>
      <c r="I9474" s="589" t="s">
        <v>280</v>
      </c>
    </row>
    <row r="9475" spans="1:9">
      <c r="A9475" s="577"/>
      <c r="B9475" s="65">
        <v>9673</v>
      </c>
      <c r="C9475" s="579" t="s">
        <v>281</v>
      </c>
      <c r="D9475" s="579"/>
      <c r="E9475" s="583"/>
      <c r="F9475" s="596"/>
      <c r="G9475" s="65">
        <v>0</v>
      </c>
      <c r="H9475" s="591" t="s">
        <v>280</v>
      </c>
      <c r="I9475" s="589" t="s">
        <v>280</v>
      </c>
    </row>
    <row r="9476" spans="1:9">
      <c r="A9476" s="577"/>
      <c r="B9476" s="65">
        <v>9674</v>
      </c>
      <c r="C9476" s="579" t="s">
        <v>281</v>
      </c>
      <c r="D9476" s="579"/>
      <c r="E9476" s="583"/>
      <c r="F9476" s="596"/>
      <c r="G9476" s="65">
        <v>0</v>
      </c>
      <c r="H9476" s="591" t="s">
        <v>280</v>
      </c>
      <c r="I9476" s="589" t="s">
        <v>280</v>
      </c>
    </row>
    <row r="9477" spans="1:9">
      <c r="A9477" s="577"/>
      <c r="B9477" s="65">
        <v>9675</v>
      </c>
      <c r="C9477" s="579" t="s">
        <v>281</v>
      </c>
      <c r="D9477" s="579"/>
      <c r="E9477" s="583"/>
      <c r="F9477" s="596"/>
      <c r="G9477" s="65">
        <v>0</v>
      </c>
      <c r="H9477" s="591" t="s">
        <v>280</v>
      </c>
      <c r="I9477" s="589" t="s">
        <v>280</v>
      </c>
    </row>
    <row r="9478" spans="1:9">
      <c r="A9478" s="577"/>
      <c r="B9478" s="65">
        <v>9676</v>
      </c>
      <c r="C9478" s="579" t="s">
        <v>281</v>
      </c>
      <c r="D9478" s="579"/>
      <c r="E9478" s="583"/>
      <c r="F9478" s="596"/>
      <c r="G9478" s="65">
        <v>0</v>
      </c>
      <c r="H9478" s="591" t="s">
        <v>280</v>
      </c>
      <c r="I9478" s="589" t="s">
        <v>280</v>
      </c>
    </row>
    <row r="9479" spans="1:9">
      <c r="A9479" s="577"/>
      <c r="B9479" s="65">
        <v>9677</v>
      </c>
      <c r="C9479" s="579" t="s">
        <v>281</v>
      </c>
      <c r="D9479" s="579"/>
      <c r="E9479" s="583"/>
      <c r="F9479" s="596"/>
      <c r="G9479" s="65">
        <v>0</v>
      </c>
      <c r="H9479" s="591" t="s">
        <v>280</v>
      </c>
      <c r="I9479" s="589" t="s">
        <v>280</v>
      </c>
    </row>
    <row r="9480" spans="1:9">
      <c r="A9480" s="577"/>
      <c r="B9480" s="65">
        <v>9678</v>
      </c>
      <c r="C9480" s="579" t="s">
        <v>281</v>
      </c>
      <c r="D9480" s="579"/>
      <c r="E9480" s="583"/>
      <c r="F9480" s="596"/>
      <c r="G9480" s="65">
        <v>0</v>
      </c>
      <c r="H9480" s="591" t="s">
        <v>280</v>
      </c>
      <c r="I9480" s="589" t="s">
        <v>280</v>
      </c>
    </row>
    <row r="9481" spans="1:9">
      <c r="A9481" s="577"/>
      <c r="B9481" s="65">
        <v>9679</v>
      </c>
      <c r="C9481" s="579" t="s">
        <v>281</v>
      </c>
      <c r="D9481" s="579"/>
      <c r="E9481" s="583"/>
      <c r="F9481" s="596"/>
      <c r="G9481" s="65">
        <v>0</v>
      </c>
      <c r="H9481" s="591" t="s">
        <v>280</v>
      </c>
      <c r="I9481" s="589" t="s">
        <v>280</v>
      </c>
    </row>
    <row r="9482" spans="1:9">
      <c r="A9482" s="577"/>
      <c r="B9482" s="65">
        <v>9680</v>
      </c>
      <c r="C9482" s="579" t="s">
        <v>281</v>
      </c>
      <c r="D9482" s="579"/>
      <c r="E9482" s="583"/>
      <c r="F9482" s="596"/>
      <c r="G9482" s="65">
        <v>0</v>
      </c>
      <c r="H9482" s="591" t="s">
        <v>280</v>
      </c>
      <c r="I9482" s="589" t="s">
        <v>280</v>
      </c>
    </row>
    <row r="9483" spans="1:9">
      <c r="A9483" s="577"/>
      <c r="B9483" s="65">
        <v>9681</v>
      </c>
      <c r="C9483" s="579" t="s">
        <v>281</v>
      </c>
      <c r="D9483" s="579"/>
      <c r="E9483" s="583"/>
      <c r="F9483" s="596"/>
      <c r="G9483" s="65">
        <v>0</v>
      </c>
      <c r="H9483" s="591" t="s">
        <v>280</v>
      </c>
      <c r="I9483" s="589" t="s">
        <v>280</v>
      </c>
    </row>
    <row r="9484" spans="1:9">
      <c r="A9484" s="577"/>
      <c r="B9484" s="65">
        <v>9682</v>
      </c>
      <c r="C9484" s="579" t="s">
        <v>281</v>
      </c>
      <c r="D9484" s="579"/>
      <c r="E9484" s="583"/>
      <c r="F9484" s="596"/>
      <c r="G9484" s="65">
        <v>0</v>
      </c>
      <c r="H9484" s="591" t="s">
        <v>280</v>
      </c>
      <c r="I9484" s="589" t="s">
        <v>280</v>
      </c>
    </row>
    <row r="9485" spans="1:9">
      <c r="A9485" s="577"/>
      <c r="B9485" s="65">
        <v>9683</v>
      </c>
      <c r="C9485" s="579" t="s">
        <v>281</v>
      </c>
      <c r="D9485" s="579"/>
      <c r="E9485" s="583"/>
      <c r="F9485" s="596"/>
      <c r="G9485" s="65">
        <v>0</v>
      </c>
      <c r="H9485" s="591" t="s">
        <v>280</v>
      </c>
      <c r="I9485" s="589" t="s">
        <v>280</v>
      </c>
    </row>
    <row r="9486" spans="1:9">
      <c r="A9486" s="577"/>
      <c r="B9486" s="65">
        <v>9684</v>
      </c>
      <c r="C9486" s="579" t="s">
        <v>281</v>
      </c>
      <c r="D9486" s="579"/>
      <c r="E9486" s="583"/>
      <c r="F9486" s="596"/>
      <c r="G9486" s="65">
        <v>0</v>
      </c>
      <c r="H9486" s="591" t="s">
        <v>280</v>
      </c>
      <c r="I9486" s="589" t="s">
        <v>280</v>
      </c>
    </row>
    <row r="9487" spans="1:9">
      <c r="A9487" s="577"/>
      <c r="B9487" s="65">
        <v>9685</v>
      </c>
      <c r="C9487" s="579" t="s">
        <v>281</v>
      </c>
      <c r="D9487" s="579"/>
      <c r="E9487" s="583"/>
      <c r="F9487" s="596"/>
      <c r="G9487" s="65">
        <v>0</v>
      </c>
      <c r="H9487" s="591" t="s">
        <v>280</v>
      </c>
      <c r="I9487" s="589" t="s">
        <v>280</v>
      </c>
    </row>
    <row r="9488" spans="1:9">
      <c r="A9488" s="577"/>
      <c r="B9488" s="65">
        <v>9686</v>
      </c>
      <c r="C9488" s="579" t="s">
        <v>281</v>
      </c>
      <c r="D9488" s="579"/>
      <c r="E9488" s="583"/>
      <c r="F9488" s="596"/>
      <c r="G9488" s="65">
        <v>0</v>
      </c>
      <c r="H9488" s="591" t="s">
        <v>280</v>
      </c>
      <c r="I9488" s="589" t="s">
        <v>280</v>
      </c>
    </row>
    <row r="9489" spans="1:9">
      <c r="A9489" s="577"/>
      <c r="B9489" s="65">
        <v>9687</v>
      </c>
      <c r="C9489" s="579" t="s">
        <v>281</v>
      </c>
      <c r="D9489" s="579"/>
      <c r="E9489" s="583"/>
      <c r="F9489" s="596"/>
      <c r="G9489" s="65">
        <v>0</v>
      </c>
      <c r="H9489" s="591" t="s">
        <v>280</v>
      </c>
      <c r="I9489" s="589" t="s">
        <v>280</v>
      </c>
    </row>
    <row r="9490" spans="1:9">
      <c r="A9490" s="577"/>
      <c r="B9490" s="65">
        <v>9688</v>
      </c>
      <c r="C9490" s="579" t="s">
        <v>281</v>
      </c>
      <c r="D9490" s="579"/>
      <c r="E9490" s="583"/>
      <c r="F9490" s="596"/>
      <c r="G9490" s="65">
        <v>0</v>
      </c>
      <c r="H9490" s="591" t="s">
        <v>280</v>
      </c>
      <c r="I9490" s="589" t="s">
        <v>280</v>
      </c>
    </row>
    <row r="9491" spans="1:9">
      <c r="A9491" s="577"/>
      <c r="B9491" s="65">
        <v>9689</v>
      </c>
      <c r="C9491" s="579" t="s">
        <v>281</v>
      </c>
      <c r="D9491" s="579"/>
      <c r="E9491" s="583"/>
      <c r="F9491" s="596"/>
      <c r="G9491" s="65">
        <v>0</v>
      </c>
      <c r="H9491" s="591" t="s">
        <v>280</v>
      </c>
      <c r="I9491" s="589" t="s">
        <v>280</v>
      </c>
    </row>
    <row r="9492" spans="1:9">
      <c r="A9492" s="577"/>
      <c r="B9492" s="65">
        <v>9690</v>
      </c>
      <c r="C9492" s="579" t="s">
        <v>281</v>
      </c>
      <c r="D9492" s="579"/>
      <c r="E9492" s="583"/>
      <c r="F9492" s="596"/>
      <c r="G9492" s="65">
        <v>0</v>
      </c>
      <c r="H9492" s="591" t="s">
        <v>280</v>
      </c>
      <c r="I9492" s="589" t="s">
        <v>280</v>
      </c>
    </row>
    <row r="9493" spans="1:9">
      <c r="A9493" s="577"/>
      <c r="B9493" s="65">
        <v>9691</v>
      </c>
      <c r="C9493" s="579" t="s">
        <v>281</v>
      </c>
      <c r="D9493" s="579"/>
      <c r="E9493" s="583"/>
      <c r="F9493" s="596"/>
      <c r="G9493" s="65">
        <v>0</v>
      </c>
      <c r="H9493" s="591" t="s">
        <v>280</v>
      </c>
      <c r="I9493" s="589" t="s">
        <v>280</v>
      </c>
    </row>
    <row r="9494" spans="1:9">
      <c r="A9494" s="577"/>
      <c r="B9494" s="65">
        <v>9692</v>
      </c>
      <c r="C9494" s="579" t="s">
        <v>281</v>
      </c>
      <c r="D9494" s="579"/>
      <c r="E9494" s="583"/>
      <c r="F9494" s="596"/>
      <c r="G9494" s="65">
        <v>0</v>
      </c>
      <c r="H9494" s="591" t="s">
        <v>280</v>
      </c>
      <c r="I9494" s="589" t="s">
        <v>280</v>
      </c>
    </row>
    <row r="9495" spans="1:9">
      <c r="A9495" s="577"/>
      <c r="B9495" s="65">
        <v>9693</v>
      </c>
      <c r="C9495" s="579" t="s">
        <v>281</v>
      </c>
      <c r="D9495" s="579"/>
      <c r="E9495" s="583"/>
      <c r="F9495" s="596"/>
      <c r="G9495" s="65">
        <v>0</v>
      </c>
      <c r="H9495" s="591" t="s">
        <v>280</v>
      </c>
      <c r="I9495" s="589" t="s">
        <v>280</v>
      </c>
    </row>
    <row r="9496" spans="1:9">
      <c r="A9496" s="577"/>
      <c r="B9496" s="65">
        <v>9694</v>
      </c>
      <c r="C9496" s="579" t="s">
        <v>281</v>
      </c>
      <c r="D9496" s="579"/>
      <c r="E9496" s="583"/>
      <c r="F9496" s="596"/>
      <c r="G9496" s="65">
        <v>0</v>
      </c>
      <c r="H9496" s="591" t="s">
        <v>280</v>
      </c>
      <c r="I9496" s="589" t="s">
        <v>280</v>
      </c>
    </row>
    <row r="9497" spans="1:9">
      <c r="A9497" s="577"/>
      <c r="B9497" s="65">
        <v>9695</v>
      </c>
      <c r="C9497" s="579" t="s">
        <v>281</v>
      </c>
      <c r="D9497" s="579"/>
      <c r="E9497" s="583"/>
      <c r="F9497" s="596"/>
      <c r="G9497" s="65">
        <v>0</v>
      </c>
      <c r="H9497" s="591" t="s">
        <v>280</v>
      </c>
      <c r="I9497" s="589" t="s">
        <v>280</v>
      </c>
    </row>
    <row r="9498" spans="1:9">
      <c r="A9498" s="577"/>
      <c r="B9498" s="65">
        <v>9696</v>
      </c>
      <c r="C9498" s="579" t="s">
        <v>281</v>
      </c>
      <c r="D9498" s="579"/>
      <c r="E9498" s="583"/>
      <c r="F9498" s="596"/>
      <c r="G9498" s="65">
        <v>0</v>
      </c>
      <c r="H9498" s="591" t="s">
        <v>280</v>
      </c>
      <c r="I9498" s="589" t="s">
        <v>280</v>
      </c>
    </row>
    <row r="9499" spans="1:9">
      <c r="A9499" s="577"/>
      <c r="B9499" s="65">
        <v>9697</v>
      </c>
      <c r="C9499" s="579" t="s">
        <v>281</v>
      </c>
      <c r="D9499" s="579"/>
      <c r="E9499" s="583"/>
      <c r="F9499" s="596"/>
      <c r="G9499" s="65">
        <v>0</v>
      </c>
      <c r="H9499" s="591" t="s">
        <v>280</v>
      </c>
      <c r="I9499" s="589" t="s">
        <v>280</v>
      </c>
    </row>
    <row r="9500" spans="1:9">
      <c r="A9500" s="577"/>
      <c r="B9500" s="65">
        <v>9698</v>
      </c>
      <c r="C9500" s="579" t="s">
        <v>281</v>
      </c>
      <c r="D9500" s="579"/>
      <c r="E9500" s="583"/>
      <c r="F9500" s="596"/>
      <c r="G9500" s="65">
        <v>0</v>
      </c>
      <c r="H9500" s="591" t="s">
        <v>280</v>
      </c>
      <c r="I9500" s="589" t="s">
        <v>280</v>
      </c>
    </row>
    <row r="9501" spans="1:9">
      <c r="A9501" s="577"/>
      <c r="B9501" s="65">
        <v>9699</v>
      </c>
      <c r="C9501" s="579" t="s">
        <v>281</v>
      </c>
      <c r="D9501" s="579"/>
      <c r="E9501" s="583"/>
      <c r="F9501" s="596"/>
      <c r="G9501" s="65">
        <v>0</v>
      </c>
      <c r="H9501" s="591" t="s">
        <v>280</v>
      </c>
      <c r="I9501" s="589" t="s">
        <v>280</v>
      </c>
    </row>
    <row r="9502" spans="1:9">
      <c r="A9502" s="577"/>
      <c r="B9502" s="65">
        <v>9700</v>
      </c>
      <c r="C9502" s="579" t="s">
        <v>281</v>
      </c>
      <c r="D9502" s="579"/>
      <c r="E9502" s="583"/>
      <c r="F9502" s="596"/>
      <c r="G9502" s="65">
        <v>0</v>
      </c>
      <c r="H9502" s="591" t="s">
        <v>280</v>
      </c>
      <c r="I9502" s="589" t="s">
        <v>280</v>
      </c>
    </row>
    <row r="9503" spans="1:9">
      <c r="A9503" s="577"/>
      <c r="B9503" s="65">
        <v>9701</v>
      </c>
      <c r="C9503" s="579" t="s">
        <v>281</v>
      </c>
      <c r="D9503" s="579"/>
      <c r="E9503" s="583"/>
      <c r="F9503" s="596"/>
      <c r="G9503" s="65">
        <v>0</v>
      </c>
      <c r="H9503" s="591" t="s">
        <v>280</v>
      </c>
      <c r="I9503" s="589" t="s">
        <v>280</v>
      </c>
    </row>
    <row r="9504" spans="1:9">
      <c r="A9504" s="577"/>
      <c r="B9504" s="65">
        <v>9702</v>
      </c>
      <c r="C9504" s="579" t="s">
        <v>281</v>
      </c>
      <c r="D9504" s="579"/>
      <c r="E9504" s="583"/>
      <c r="F9504" s="596"/>
      <c r="G9504" s="65">
        <v>0</v>
      </c>
      <c r="H9504" s="591" t="s">
        <v>280</v>
      </c>
      <c r="I9504" s="589" t="s">
        <v>280</v>
      </c>
    </row>
    <row r="9505" spans="1:9">
      <c r="A9505" s="577"/>
      <c r="B9505" s="65">
        <v>9703</v>
      </c>
      <c r="C9505" s="579" t="s">
        <v>281</v>
      </c>
      <c r="D9505" s="579"/>
      <c r="E9505" s="583"/>
      <c r="F9505" s="596"/>
      <c r="G9505" s="65">
        <v>0</v>
      </c>
      <c r="H9505" s="591" t="s">
        <v>280</v>
      </c>
      <c r="I9505" s="589" t="s">
        <v>280</v>
      </c>
    </row>
    <row r="9506" spans="1:9">
      <c r="A9506" s="577"/>
      <c r="B9506" s="65">
        <v>9704</v>
      </c>
      <c r="C9506" s="579" t="s">
        <v>281</v>
      </c>
      <c r="D9506" s="579"/>
      <c r="E9506" s="583"/>
      <c r="F9506" s="596"/>
      <c r="G9506" s="65">
        <v>0</v>
      </c>
      <c r="H9506" s="591" t="s">
        <v>280</v>
      </c>
      <c r="I9506" s="589" t="s">
        <v>280</v>
      </c>
    </row>
    <row r="9507" spans="1:9">
      <c r="A9507" s="577"/>
      <c r="B9507" s="65">
        <v>9705</v>
      </c>
      <c r="C9507" s="579" t="s">
        <v>281</v>
      </c>
      <c r="D9507" s="579"/>
      <c r="E9507" s="583"/>
      <c r="F9507" s="596"/>
      <c r="G9507" s="65">
        <v>0</v>
      </c>
      <c r="H9507" s="591" t="s">
        <v>280</v>
      </c>
      <c r="I9507" s="589" t="s">
        <v>280</v>
      </c>
    </row>
    <row r="9508" spans="1:9">
      <c r="A9508" s="577"/>
      <c r="B9508" s="65">
        <v>9706</v>
      </c>
      <c r="C9508" s="579" t="s">
        <v>281</v>
      </c>
      <c r="D9508" s="579"/>
      <c r="E9508" s="583"/>
      <c r="F9508" s="596"/>
      <c r="G9508" s="65">
        <v>0</v>
      </c>
      <c r="H9508" s="591" t="s">
        <v>280</v>
      </c>
      <c r="I9508" s="589" t="s">
        <v>280</v>
      </c>
    </row>
    <row r="9509" spans="1:9">
      <c r="A9509" s="577"/>
      <c r="B9509" s="65">
        <v>9707</v>
      </c>
      <c r="C9509" s="579" t="s">
        <v>281</v>
      </c>
      <c r="D9509" s="579"/>
      <c r="E9509" s="583"/>
      <c r="F9509" s="596"/>
      <c r="G9509" s="65">
        <v>0</v>
      </c>
      <c r="H9509" s="591" t="s">
        <v>280</v>
      </c>
      <c r="I9509" s="589" t="s">
        <v>280</v>
      </c>
    </row>
    <row r="9510" spans="1:9">
      <c r="A9510" s="577"/>
      <c r="B9510" s="65">
        <v>9708</v>
      </c>
      <c r="C9510" s="579" t="s">
        <v>281</v>
      </c>
      <c r="D9510" s="579"/>
      <c r="E9510" s="583"/>
      <c r="F9510" s="596"/>
      <c r="G9510" s="65">
        <v>0</v>
      </c>
      <c r="H9510" s="591" t="s">
        <v>280</v>
      </c>
      <c r="I9510" s="589" t="s">
        <v>280</v>
      </c>
    </row>
    <row r="9511" spans="1:9">
      <c r="A9511" s="577"/>
      <c r="B9511" s="65">
        <v>9709</v>
      </c>
      <c r="C9511" s="579" t="s">
        <v>281</v>
      </c>
      <c r="D9511" s="579"/>
      <c r="E9511" s="583"/>
      <c r="F9511" s="596"/>
      <c r="G9511" s="65">
        <v>0</v>
      </c>
      <c r="H9511" s="591" t="s">
        <v>280</v>
      </c>
      <c r="I9511" s="589" t="s">
        <v>280</v>
      </c>
    </row>
    <row r="9512" spans="1:9">
      <c r="A9512" s="577"/>
      <c r="B9512" s="65">
        <v>9710</v>
      </c>
      <c r="C9512" s="579" t="s">
        <v>281</v>
      </c>
      <c r="D9512" s="579"/>
      <c r="E9512" s="583"/>
      <c r="F9512" s="596"/>
      <c r="G9512" s="65">
        <v>0</v>
      </c>
      <c r="H9512" s="591" t="s">
        <v>280</v>
      </c>
      <c r="I9512" s="589" t="s">
        <v>280</v>
      </c>
    </row>
    <row r="9513" spans="1:9">
      <c r="A9513" s="577"/>
      <c r="B9513" s="65">
        <v>9711</v>
      </c>
      <c r="C9513" s="579" t="s">
        <v>281</v>
      </c>
      <c r="D9513" s="579"/>
      <c r="E9513" s="583"/>
      <c r="F9513" s="596"/>
      <c r="G9513" s="65">
        <v>0</v>
      </c>
      <c r="H9513" s="591" t="s">
        <v>280</v>
      </c>
      <c r="I9513" s="589" t="s">
        <v>280</v>
      </c>
    </row>
    <row r="9514" spans="1:9">
      <c r="A9514" s="577"/>
      <c r="B9514" s="65">
        <v>9712</v>
      </c>
      <c r="C9514" s="579" t="s">
        <v>281</v>
      </c>
      <c r="D9514" s="579"/>
      <c r="E9514" s="583"/>
      <c r="F9514" s="596"/>
      <c r="G9514" s="65">
        <v>0</v>
      </c>
      <c r="H9514" s="591" t="s">
        <v>280</v>
      </c>
      <c r="I9514" s="589" t="s">
        <v>280</v>
      </c>
    </row>
    <row r="9515" spans="1:9">
      <c r="A9515" s="577"/>
      <c r="B9515" s="65">
        <v>9713</v>
      </c>
      <c r="C9515" s="579" t="s">
        <v>281</v>
      </c>
      <c r="D9515" s="579"/>
      <c r="E9515" s="583"/>
      <c r="F9515" s="596"/>
      <c r="G9515" s="65">
        <v>0</v>
      </c>
      <c r="H9515" s="591" t="s">
        <v>280</v>
      </c>
      <c r="I9515" s="589" t="s">
        <v>280</v>
      </c>
    </row>
    <row r="9516" spans="1:9">
      <c r="A9516" s="577"/>
      <c r="B9516" s="65">
        <v>9714</v>
      </c>
      <c r="C9516" s="579" t="s">
        <v>281</v>
      </c>
      <c r="D9516" s="579"/>
      <c r="E9516" s="583"/>
      <c r="F9516" s="596"/>
      <c r="G9516" s="65">
        <v>0</v>
      </c>
      <c r="H9516" s="591" t="s">
        <v>280</v>
      </c>
      <c r="I9516" s="589" t="s">
        <v>280</v>
      </c>
    </row>
    <row r="9517" spans="1:9">
      <c r="A9517" s="577"/>
      <c r="B9517" s="65">
        <v>9715</v>
      </c>
      <c r="C9517" s="579" t="s">
        <v>281</v>
      </c>
      <c r="D9517" s="579"/>
      <c r="E9517" s="583"/>
      <c r="F9517" s="596"/>
      <c r="G9517" s="65">
        <v>0</v>
      </c>
      <c r="H9517" s="591" t="s">
        <v>280</v>
      </c>
      <c r="I9517" s="589" t="s">
        <v>280</v>
      </c>
    </row>
    <row r="9518" spans="1:9">
      <c r="A9518" s="577"/>
      <c r="B9518" s="65">
        <v>9716</v>
      </c>
      <c r="C9518" s="579" t="s">
        <v>281</v>
      </c>
      <c r="D9518" s="579"/>
      <c r="E9518" s="583"/>
      <c r="F9518" s="596"/>
      <c r="G9518" s="65">
        <v>0</v>
      </c>
      <c r="H9518" s="591" t="s">
        <v>280</v>
      </c>
      <c r="I9518" s="589" t="s">
        <v>280</v>
      </c>
    </row>
    <row r="9519" spans="1:9">
      <c r="A9519" s="577"/>
      <c r="B9519" s="65">
        <v>9717</v>
      </c>
      <c r="C9519" s="579" t="s">
        <v>281</v>
      </c>
      <c r="D9519" s="579"/>
      <c r="E9519" s="583"/>
      <c r="F9519" s="596"/>
      <c r="G9519" s="65">
        <v>0</v>
      </c>
      <c r="H9519" s="591" t="s">
        <v>280</v>
      </c>
      <c r="I9519" s="589" t="s">
        <v>280</v>
      </c>
    </row>
    <row r="9520" spans="1:9">
      <c r="A9520" s="577"/>
      <c r="B9520" s="65">
        <v>9718</v>
      </c>
      <c r="C9520" s="579" t="s">
        <v>281</v>
      </c>
      <c r="D9520" s="579"/>
      <c r="E9520" s="583"/>
      <c r="F9520" s="596"/>
      <c r="G9520" s="65">
        <v>0</v>
      </c>
      <c r="H9520" s="591" t="s">
        <v>280</v>
      </c>
      <c r="I9520" s="589" t="s">
        <v>280</v>
      </c>
    </row>
    <row r="9521" spans="1:9">
      <c r="A9521" s="577"/>
      <c r="B9521" s="65">
        <v>9719</v>
      </c>
      <c r="C9521" s="579" t="s">
        <v>281</v>
      </c>
      <c r="D9521" s="579"/>
      <c r="E9521" s="583"/>
      <c r="F9521" s="596"/>
      <c r="G9521" s="65">
        <v>0</v>
      </c>
      <c r="H9521" s="591" t="s">
        <v>280</v>
      </c>
      <c r="I9521" s="589" t="s">
        <v>280</v>
      </c>
    </row>
    <row r="9522" spans="1:9">
      <c r="A9522" s="577"/>
      <c r="B9522" s="65">
        <v>9720</v>
      </c>
      <c r="C9522" s="579" t="s">
        <v>281</v>
      </c>
      <c r="D9522" s="579"/>
      <c r="E9522" s="583"/>
      <c r="F9522" s="596"/>
      <c r="G9522" s="65">
        <v>0</v>
      </c>
      <c r="H9522" s="591" t="s">
        <v>280</v>
      </c>
      <c r="I9522" s="589" t="s">
        <v>280</v>
      </c>
    </row>
    <row r="9523" spans="1:9">
      <c r="A9523" s="577"/>
      <c r="B9523" s="65">
        <v>9721</v>
      </c>
      <c r="C9523" s="579" t="s">
        <v>281</v>
      </c>
      <c r="D9523" s="579"/>
      <c r="E9523" s="583"/>
      <c r="F9523" s="596"/>
      <c r="G9523" s="65">
        <v>0</v>
      </c>
      <c r="H9523" s="591" t="s">
        <v>280</v>
      </c>
      <c r="I9523" s="589" t="s">
        <v>280</v>
      </c>
    </row>
    <row r="9524" spans="1:9">
      <c r="A9524" s="577"/>
      <c r="B9524" s="65">
        <v>9722</v>
      </c>
      <c r="C9524" s="579" t="s">
        <v>281</v>
      </c>
      <c r="D9524" s="579"/>
      <c r="E9524" s="583"/>
      <c r="F9524" s="596"/>
      <c r="G9524" s="65">
        <v>0</v>
      </c>
      <c r="H9524" s="591" t="s">
        <v>280</v>
      </c>
      <c r="I9524" s="589" t="s">
        <v>280</v>
      </c>
    </row>
    <row r="9525" spans="1:9">
      <c r="A9525" s="577"/>
      <c r="B9525" s="65">
        <v>9723</v>
      </c>
      <c r="C9525" s="579" t="s">
        <v>281</v>
      </c>
      <c r="D9525" s="579"/>
      <c r="E9525" s="583"/>
      <c r="F9525" s="596"/>
      <c r="G9525" s="65">
        <v>0</v>
      </c>
      <c r="H9525" s="591" t="s">
        <v>280</v>
      </c>
      <c r="I9525" s="589" t="s">
        <v>280</v>
      </c>
    </row>
    <row r="9526" spans="1:9">
      <c r="A9526" s="577"/>
      <c r="B9526" s="65">
        <v>9724</v>
      </c>
      <c r="C9526" s="579" t="s">
        <v>281</v>
      </c>
      <c r="D9526" s="579"/>
      <c r="E9526" s="583"/>
      <c r="F9526" s="596"/>
      <c r="G9526" s="65">
        <v>0</v>
      </c>
      <c r="H9526" s="591" t="s">
        <v>280</v>
      </c>
      <c r="I9526" s="589" t="s">
        <v>280</v>
      </c>
    </row>
    <row r="9527" spans="1:9">
      <c r="A9527" s="577"/>
      <c r="B9527" s="65">
        <v>9725</v>
      </c>
      <c r="C9527" s="579" t="s">
        <v>281</v>
      </c>
      <c r="D9527" s="579"/>
      <c r="E9527" s="583"/>
      <c r="F9527" s="596"/>
      <c r="G9527" s="65">
        <v>0</v>
      </c>
      <c r="H9527" s="591" t="s">
        <v>280</v>
      </c>
      <c r="I9527" s="589" t="s">
        <v>280</v>
      </c>
    </row>
    <row r="9528" spans="1:9">
      <c r="A9528" s="577"/>
      <c r="B9528" s="65">
        <v>9726</v>
      </c>
      <c r="C9528" s="579" t="s">
        <v>281</v>
      </c>
      <c r="D9528" s="579"/>
      <c r="E9528" s="583"/>
      <c r="F9528" s="596"/>
      <c r="G9528" s="65">
        <v>0</v>
      </c>
      <c r="H9528" s="591" t="s">
        <v>280</v>
      </c>
      <c r="I9528" s="589" t="s">
        <v>280</v>
      </c>
    </row>
    <row r="9529" spans="1:9">
      <c r="A9529" s="577"/>
      <c r="B9529" s="65">
        <v>9727</v>
      </c>
      <c r="C9529" s="579" t="s">
        <v>281</v>
      </c>
      <c r="D9529" s="579"/>
      <c r="E9529" s="583"/>
      <c r="F9529" s="596"/>
      <c r="G9529" s="65">
        <v>0</v>
      </c>
      <c r="H9529" s="591" t="s">
        <v>280</v>
      </c>
      <c r="I9529" s="589" t="s">
        <v>280</v>
      </c>
    </row>
    <row r="9530" spans="1:9">
      <c r="A9530" s="577"/>
      <c r="B9530" s="65">
        <v>9728</v>
      </c>
      <c r="C9530" s="579" t="s">
        <v>281</v>
      </c>
      <c r="D9530" s="579"/>
      <c r="E9530" s="583"/>
      <c r="F9530" s="596"/>
      <c r="G9530" s="65">
        <v>0</v>
      </c>
      <c r="H9530" s="591" t="s">
        <v>280</v>
      </c>
      <c r="I9530" s="589" t="s">
        <v>280</v>
      </c>
    </row>
    <row r="9531" spans="1:9">
      <c r="A9531" s="577"/>
      <c r="B9531" s="65">
        <v>9729</v>
      </c>
      <c r="C9531" s="579" t="s">
        <v>281</v>
      </c>
      <c r="D9531" s="579"/>
      <c r="E9531" s="583"/>
      <c r="F9531" s="596"/>
      <c r="G9531" s="65">
        <v>0</v>
      </c>
      <c r="H9531" s="591" t="s">
        <v>280</v>
      </c>
      <c r="I9531" s="589" t="s">
        <v>280</v>
      </c>
    </row>
    <row r="9532" spans="1:9">
      <c r="A9532" s="577"/>
      <c r="B9532" s="65">
        <v>9730</v>
      </c>
      <c r="C9532" s="579" t="s">
        <v>281</v>
      </c>
      <c r="D9532" s="579"/>
      <c r="E9532" s="583"/>
      <c r="F9532" s="596"/>
      <c r="G9532" s="65">
        <v>0</v>
      </c>
      <c r="H9532" s="591" t="s">
        <v>280</v>
      </c>
      <c r="I9532" s="589" t="s">
        <v>280</v>
      </c>
    </row>
    <row r="9533" spans="1:9">
      <c r="A9533" s="577"/>
      <c r="B9533" s="65">
        <v>9731</v>
      </c>
      <c r="C9533" s="579" t="s">
        <v>281</v>
      </c>
      <c r="D9533" s="579"/>
      <c r="E9533" s="583"/>
      <c r="F9533" s="596"/>
      <c r="G9533" s="65">
        <v>0</v>
      </c>
      <c r="H9533" s="591" t="s">
        <v>280</v>
      </c>
      <c r="I9533" s="589" t="s">
        <v>280</v>
      </c>
    </row>
    <row r="9534" spans="1:9">
      <c r="A9534" s="577"/>
      <c r="B9534" s="65">
        <v>9732</v>
      </c>
      <c r="C9534" s="579" t="s">
        <v>281</v>
      </c>
      <c r="D9534" s="579"/>
      <c r="E9534" s="583"/>
      <c r="F9534" s="596"/>
      <c r="G9534" s="65">
        <v>0</v>
      </c>
      <c r="H9534" s="591" t="s">
        <v>280</v>
      </c>
      <c r="I9534" s="589" t="s">
        <v>280</v>
      </c>
    </row>
    <row r="9535" spans="1:9">
      <c r="A9535" s="577"/>
      <c r="B9535" s="65">
        <v>9733</v>
      </c>
      <c r="C9535" s="579" t="s">
        <v>281</v>
      </c>
      <c r="D9535" s="579"/>
      <c r="E9535" s="583"/>
      <c r="F9535" s="596"/>
      <c r="G9535" s="65">
        <v>0</v>
      </c>
      <c r="H9535" s="591" t="s">
        <v>280</v>
      </c>
      <c r="I9535" s="589" t="s">
        <v>280</v>
      </c>
    </row>
    <row r="9536" spans="1:9">
      <c r="A9536" s="577"/>
      <c r="B9536" s="65">
        <v>9734</v>
      </c>
      <c r="C9536" s="579" t="s">
        <v>281</v>
      </c>
      <c r="D9536" s="579"/>
      <c r="E9536" s="583"/>
      <c r="F9536" s="596"/>
      <c r="G9536" s="65">
        <v>0</v>
      </c>
      <c r="H9536" s="591" t="s">
        <v>280</v>
      </c>
      <c r="I9536" s="589" t="s">
        <v>280</v>
      </c>
    </row>
    <row r="9537" spans="1:9">
      <c r="A9537" s="577"/>
      <c r="B9537" s="65">
        <v>9735</v>
      </c>
      <c r="C9537" s="579" t="s">
        <v>281</v>
      </c>
      <c r="D9537" s="579"/>
      <c r="E9537" s="583"/>
      <c r="F9537" s="596"/>
      <c r="G9537" s="65">
        <v>0</v>
      </c>
      <c r="H9537" s="591" t="s">
        <v>280</v>
      </c>
      <c r="I9537" s="589" t="s">
        <v>280</v>
      </c>
    </row>
    <row r="9538" spans="1:9">
      <c r="A9538" s="577"/>
      <c r="B9538" s="65">
        <v>9736</v>
      </c>
      <c r="C9538" s="579" t="s">
        <v>281</v>
      </c>
      <c r="D9538" s="579"/>
      <c r="E9538" s="583"/>
      <c r="F9538" s="596"/>
      <c r="G9538" s="65">
        <v>0</v>
      </c>
      <c r="H9538" s="591" t="s">
        <v>280</v>
      </c>
      <c r="I9538" s="589" t="s">
        <v>280</v>
      </c>
    </row>
    <row r="9539" spans="1:9">
      <c r="A9539" s="577"/>
      <c r="B9539" s="65">
        <v>9737</v>
      </c>
      <c r="C9539" s="579" t="s">
        <v>281</v>
      </c>
      <c r="D9539" s="579"/>
      <c r="E9539" s="583"/>
      <c r="F9539" s="596"/>
      <c r="G9539" s="65">
        <v>0</v>
      </c>
      <c r="H9539" s="591" t="s">
        <v>280</v>
      </c>
      <c r="I9539" s="589" t="s">
        <v>280</v>
      </c>
    </row>
    <row r="9540" spans="1:9">
      <c r="A9540" s="577"/>
      <c r="B9540" s="65">
        <v>9738</v>
      </c>
      <c r="C9540" s="579" t="s">
        <v>281</v>
      </c>
      <c r="D9540" s="579"/>
      <c r="E9540" s="583"/>
      <c r="F9540" s="596"/>
      <c r="G9540" s="65">
        <v>0</v>
      </c>
      <c r="H9540" s="591" t="s">
        <v>280</v>
      </c>
      <c r="I9540" s="589" t="s">
        <v>280</v>
      </c>
    </row>
    <row r="9541" spans="1:9">
      <c r="A9541" s="577"/>
      <c r="B9541" s="65">
        <v>9739</v>
      </c>
      <c r="C9541" s="579" t="s">
        <v>281</v>
      </c>
      <c r="D9541" s="579"/>
      <c r="E9541" s="583"/>
      <c r="F9541" s="596"/>
      <c r="G9541" s="65">
        <v>0</v>
      </c>
      <c r="H9541" s="591" t="s">
        <v>280</v>
      </c>
      <c r="I9541" s="589" t="s">
        <v>280</v>
      </c>
    </row>
    <row r="9542" spans="1:9">
      <c r="A9542" s="577"/>
      <c r="B9542" s="65">
        <v>9740</v>
      </c>
      <c r="C9542" s="579" t="s">
        <v>281</v>
      </c>
      <c r="D9542" s="579"/>
      <c r="E9542" s="583"/>
      <c r="F9542" s="596"/>
      <c r="G9542" s="65">
        <v>0</v>
      </c>
      <c r="H9542" s="591" t="s">
        <v>280</v>
      </c>
      <c r="I9542" s="589" t="s">
        <v>280</v>
      </c>
    </row>
    <row r="9543" spans="1:9">
      <c r="A9543" s="577"/>
      <c r="B9543" s="65">
        <v>9741</v>
      </c>
      <c r="C9543" s="579" t="s">
        <v>281</v>
      </c>
      <c r="D9543" s="579"/>
      <c r="E9543" s="583"/>
      <c r="F9543" s="596"/>
      <c r="G9543" s="65">
        <v>0</v>
      </c>
      <c r="H9543" s="591" t="s">
        <v>280</v>
      </c>
      <c r="I9543" s="589" t="s">
        <v>280</v>
      </c>
    </row>
    <row r="9544" spans="1:9">
      <c r="A9544" s="577"/>
      <c r="B9544" s="65">
        <v>9742</v>
      </c>
      <c r="C9544" s="579" t="s">
        <v>281</v>
      </c>
      <c r="D9544" s="579"/>
      <c r="E9544" s="583"/>
      <c r="F9544" s="596"/>
      <c r="G9544" s="65">
        <v>0</v>
      </c>
      <c r="H9544" s="591" t="s">
        <v>280</v>
      </c>
      <c r="I9544" s="589" t="s">
        <v>280</v>
      </c>
    </row>
    <row r="9545" spans="1:9">
      <c r="A9545" s="577"/>
      <c r="B9545" s="65">
        <v>9743</v>
      </c>
      <c r="C9545" s="579" t="s">
        <v>281</v>
      </c>
      <c r="D9545" s="579"/>
      <c r="E9545" s="583"/>
      <c r="F9545" s="596"/>
      <c r="G9545" s="65">
        <v>0</v>
      </c>
      <c r="H9545" s="591" t="s">
        <v>280</v>
      </c>
      <c r="I9545" s="589" t="s">
        <v>280</v>
      </c>
    </row>
    <row r="9546" spans="1:9">
      <c r="A9546" s="577"/>
      <c r="B9546" s="65">
        <v>9744</v>
      </c>
      <c r="C9546" s="579" t="s">
        <v>281</v>
      </c>
      <c r="D9546" s="579"/>
      <c r="E9546" s="583"/>
      <c r="F9546" s="596"/>
      <c r="G9546" s="65">
        <v>0</v>
      </c>
      <c r="H9546" s="591" t="s">
        <v>280</v>
      </c>
      <c r="I9546" s="589" t="s">
        <v>280</v>
      </c>
    </row>
    <row r="9547" spans="1:9">
      <c r="A9547" s="577"/>
      <c r="B9547" s="65">
        <v>9745</v>
      </c>
      <c r="C9547" s="579" t="s">
        <v>281</v>
      </c>
      <c r="D9547" s="579"/>
      <c r="E9547" s="583"/>
      <c r="F9547" s="596"/>
      <c r="G9547" s="65">
        <v>0</v>
      </c>
      <c r="H9547" s="591" t="s">
        <v>280</v>
      </c>
      <c r="I9547" s="589" t="s">
        <v>280</v>
      </c>
    </row>
    <row r="9548" spans="1:9">
      <c r="A9548" s="577"/>
      <c r="B9548" s="65">
        <v>9746</v>
      </c>
      <c r="C9548" s="579" t="s">
        <v>281</v>
      </c>
      <c r="D9548" s="579"/>
      <c r="E9548" s="583"/>
      <c r="F9548" s="596"/>
      <c r="G9548" s="65">
        <v>0</v>
      </c>
      <c r="H9548" s="591" t="s">
        <v>280</v>
      </c>
      <c r="I9548" s="589" t="s">
        <v>280</v>
      </c>
    </row>
    <row r="9549" spans="1:9">
      <c r="A9549" s="577"/>
      <c r="B9549" s="65">
        <v>9747</v>
      </c>
      <c r="C9549" s="579" t="s">
        <v>281</v>
      </c>
      <c r="D9549" s="579"/>
      <c r="E9549" s="583"/>
      <c r="F9549" s="596"/>
      <c r="G9549" s="65">
        <v>0</v>
      </c>
      <c r="H9549" s="591" t="s">
        <v>280</v>
      </c>
      <c r="I9549" s="589" t="s">
        <v>280</v>
      </c>
    </row>
    <row r="9550" spans="1:9">
      <c r="A9550" s="577"/>
      <c r="B9550" s="65">
        <v>9748</v>
      </c>
      <c r="C9550" s="579" t="s">
        <v>281</v>
      </c>
      <c r="D9550" s="579"/>
      <c r="E9550" s="583"/>
      <c r="F9550" s="596"/>
      <c r="G9550" s="65">
        <v>0</v>
      </c>
      <c r="H9550" s="591" t="s">
        <v>280</v>
      </c>
      <c r="I9550" s="589" t="s">
        <v>280</v>
      </c>
    </row>
    <row r="9551" spans="1:9">
      <c r="A9551" s="577"/>
      <c r="B9551" s="65">
        <v>9749</v>
      </c>
      <c r="C9551" s="579" t="s">
        <v>281</v>
      </c>
      <c r="D9551" s="579"/>
      <c r="E9551" s="583"/>
      <c r="F9551" s="596"/>
      <c r="G9551" s="65">
        <v>0</v>
      </c>
      <c r="H9551" s="591" t="s">
        <v>280</v>
      </c>
      <c r="I9551" s="589" t="s">
        <v>280</v>
      </c>
    </row>
    <row r="9552" spans="1:9">
      <c r="A9552" s="577"/>
      <c r="B9552" s="65">
        <v>9750</v>
      </c>
      <c r="C9552" s="579" t="s">
        <v>281</v>
      </c>
      <c r="D9552" s="579"/>
      <c r="E9552" s="583"/>
      <c r="F9552" s="596"/>
      <c r="G9552" s="65">
        <v>0</v>
      </c>
      <c r="H9552" s="591" t="s">
        <v>280</v>
      </c>
      <c r="I9552" s="589" t="s">
        <v>280</v>
      </c>
    </row>
    <row r="9553" spans="1:9">
      <c r="A9553" s="577"/>
      <c r="B9553" s="65">
        <v>9751</v>
      </c>
      <c r="C9553" s="579" t="s">
        <v>281</v>
      </c>
      <c r="D9553" s="579"/>
      <c r="E9553" s="583"/>
      <c r="F9553" s="596"/>
      <c r="G9553" s="65">
        <v>0</v>
      </c>
      <c r="H9553" s="591" t="s">
        <v>280</v>
      </c>
      <c r="I9553" s="589" t="s">
        <v>280</v>
      </c>
    </row>
    <row r="9554" spans="1:9">
      <c r="A9554" s="577"/>
      <c r="B9554" s="65">
        <v>9752</v>
      </c>
      <c r="C9554" s="579" t="s">
        <v>281</v>
      </c>
      <c r="D9554" s="579"/>
      <c r="E9554" s="583"/>
      <c r="F9554" s="596"/>
      <c r="G9554" s="65">
        <v>0</v>
      </c>
      <c r="H9554" s="591" t="s">
        <v>280</v>
      </c>
      <c r="I9554" s="589" t="s">
        <v>280</v>
      </c>
    </row>
    <row r="9555" spans="1:9">
      <c r="A9555" s="577"/>
      <c r="B9555" s="65">
        <v>9753</v>
      </c>
      <c r="C9555" s="579" t="s">
        <v>281</v>
      </c>
      <c r="D9555" s="579"/>
      <c r="E9555" s="583"/>
      <c r="F9555" s="596"/>
      <c r="G9555" s="65">
        <v>0</v>
      </c>
      <c r="H9555" s="591" t="s">
        <v>280</v>
      </c>
      <c r="I9555" s="589" t="s">
        <v>280</v>
      </c>
    </row>
    <row r="9556" spans="1:9">
      <c r="A9556" s="577"/>
      <c r="B9556" s="65">
        <v>9754</v>
      </c>
      <c r="C9556" s="579" t="s">
        <v>281</v>
      </c>
      <c r="D9556" s="579"/>
      <c r="E9556" s="583"/>
      <c r="F9556" s="596"/>
      <c r="G9556" s="65">
        <v>0</v>
      </c>
      <c r="H9556" s="591" t="s">
        <v>280</v>
      </c>
      <c r="I9556" s="589" t="s">
        <v>280</v>
      </c>
    </row>
    <row r="9557" spans="1:9">
      <c r="A9557" s="577"/>
      <c r="B9557" s="65">
        <v>9755</v>
      </c>
      <c r="C9557" s="579" t="s">
        <v>281</v>
      </c>
      <c r="D9557" s="579"/>
      <c r="E9557" s="583"/>
      <c r="F9557" s="596"/>
      <c r="G9557" s="65">
        <v>0</v>
      </c>
      <c r="H9557" s="591" t="s">
        <v>280</v>
      </c>
      <c r="I9557" s="589" t="s">
        <v>280</v>
      </c>
    </row>
    <row r="9558" spans="1:9">
      <c r="A9558" s="577"/>
      <c r="B9558" s="65">
        <v>9756</v>
      </c>
      <c r="C9558" s="579" t="s">
        <v>281</v>
      </c>
      <c r="D9558" s="579"/>
      <c r="E9558" s="583"/>
      <c r="F9558" s="596"/>
      <c r="G9558" s="65">
        <v>0</v>
      </c>
      <c r="H9558" s="591" t="s">
        <v>280</v>
      </c>
      <c r="I9558" s="589" t="s">
        <v>280</v>
      </c>
    </row>
    <row r="9559" spans="1:9">
      <c r="A9559" s="577"/>
      <c r="B9559" s="65">
        <v>9757</v>
      </c>
      <c r="C9559" s="579" t="s">
        <v>281</v>
      </c>
      <c r="D9559" s="579"/>
      <c r="E9559" s="583"/>
      <c r="F9559" s="596"/>
      <c r="G9559" s="65">
        <v>0</v>
      </c>
      <c r="H9559" s="591" t="s">
        <v>280</v>
      </c>
      <c r="I9559" s="589" t="s">
        <v>280</v>
      </c>
    </row>
    <row r="9560" spans="1:9">
      <c r="A9560" s="577"/>
      <c r="B9560" s="65">
        <v>9758</v>
      </c>
      <c r="C9560" s="579" t="s">
        <v>281</v>
      </c>
      <c r="D9560" s="579"/>
      <c r="E9560" s="583"/>
      <c r="F9560" s="596"/>
      <c r="G9560" s="65">
        <v>0</v>
      </c>
      <c r="H9560" s="591" t="s">
        <v>280</v>
      </c>
      <c r="I9560" s="589" t="s">
        <v>280</v>
      </c>
    </row>
    <row r="9561" spans="1:9">
      <c r="A9561" s="577"/>
      <c r="B9561" s="65">
        <v>9759</v>
      </c>
      <c r="C9561" s="579" t="s">
        <v>281</v>
      </c>
      <c r="D9561" s="579"/>
      <c r="E9561" s="583"/>
      <c r="F9561" s="596"/>
      <c r="G9561" s="65">
        <v>0</v>
      </c>
      <c r="H9561" s="591" t="s">
        <v>280</v>
      </c>
      <c r="I9561" s="589" t="s">
        <v>280</v>
      </c>
    </row>
    <row r="9562" spans="1:9">
      <c r="A9562" s="577"/>
      <c r="B9562" s="65">
        <v>9760</v>
      </c>
      <c r="C9562" s="579" t="s">
        <v>281</v>
      </c>
      <c r="D9562" s="579"/>
      <c r="E9562" s="583"/>
      <c r="F9562" s="596"/>
      <c r="G9562" s="65">
        <v>0</v>
      </c>
      <c r="H9562" s="591" t="s">
        <v>280</v>
      </c>
      <c r="I9562" s="589" t="s">
        <v>280</v>
      </c>
    </row>
    <row r="9563" spans="1:9">
      <c r="A9563" s="577"/>
      <c r="B9563" s="65">
        <v>9761</v>
      </c>
      <c r="C9563" s="579" t="s">
        <v>281</v>
      </c>
      <c r="D9563" s="579"/>
      <c r="E9563" s="583"/>
      <c r="F9563" s="596"/>
      <c r="G9563" s="65">
        <v>0</v>
      </c>
      <c r="H9563" s="591" t="s">
        <v>280</v>
      </c>
      <c r="I9563" s="589" t="s">
        <v>280</v>
      </c>
    </row>
    <row r="9564" spans="1:9">
      <c r="A9564" s="577"/>
      <c r="B9564" s="65">
        <v>9762</v>
      </c>
      <c r="C9564" s="579" t="s">
        <v>281</v>
      </c>
      <c r="D9564" s="579"/>
      <c r="E9564" s="583"/>
      <c r="F9564" s="596"/>
      <c r="G9564" s="65">
        <v>0</v>
      </c>
      <c r="H9564" s="591" t="s">
        <v>280</v>
      </c>
      <c r="I9564" s="589" t="s">
        <v>280</v>
      </c>
    </row>
    <row r="9565" spans="1:9">
      <c r="A9565" s="577"/>
      <c r="B9565" s="65">
        <v>9763</v>
      </c>
      <c r="C9565" s="579" t="s">
        <v>281</v>
      </c>
      <c r="D9565" s="579"/>
      <c r="E9565" s="583"/>
      <c r="F9565" s="596"/>
      <c r="G9565" s="65">
        <v>0</v>
      </c>
      <c r="H9565" s="591" t="s">
        <v>280</v>
      </c>
      <c r="I9565" s="589" t="s">
        <v>280</v>
      </c>
    </row>
    <row r="9566" spans="1:9">
      <c r="A9566" s="577"/>
      <c r="B9566" s="65">
        <v>9764</v>
      </c>
      <c r="C9566" s="579" t="s">
        <v>281</v>
      </c>
      <c r="D9566" s="579"/>
      <c r="E9566" s="583"/>
      <c r="F9566" s="596"/>
      <c r="G9566" s="65">
        <v>0</v>
      </c>
      <c r="H9566" s="591" t="s">
        <v>280</v>
      </c>
      <c r="I9566" s="589" t="s">
        <v>280</v>
      </c>
    </row>
    <row r="9567" spans="1:9">
      <c r="A9567" s="577"/>
      <c r="B9567" s="65">
        <v>9765</v>
      </c>
      <c r="C9567" s="579" t="s">
        <v>281</v>
      </c>
      <c r="D9567" s="579"/>
      <c r="E9567" s="583"/>
      <c r="F9567" s="596"/>
      <c r="G9567" s="65">
        <v>0</v>
      </c>
      <c r="H9567" s="591" t="s">
        <v>280</v>
      </c>
      <c r="I9567" s="589" t="s">
        <v>280</v>
      </c>
    </row>
    <row r="9568" spans="1:9">
      <c r="A9568" s="577"/>
      <c r="B9568" s="65">
        <v>9766</v>
      </c>
      <c r="C9568" s="579" t="s">
        <v>281</v>
      </c>
      <c r="D9568" s="579"/>
      <c r="E9568" s="583"/>
      <c r="F9568" s="596"/>
      <c r="G9568" s="65">
        <v>0</v>
      </c>
      <c r="H9568" s="591" t="s">
        <v>280</v>
      </c>
      <c r="I9568" s="589" t="s">
        <v>280</v>
      </c>
    </row>
    <row r="9569" spans="1:9">
      <c r="A9569" s="577"/>
      <c r="B9569" s="65">
        <v>9767</v>
      </c>
      <c r="C9569" s="579" t="s">
        <v>281</v>
      </c>
      <c r="D9569" s="579"/>
      <c r="E9569" s="583"/>
      <c r="F9569" s="596"/>
      <c r="G9569" s="65">
        <v>0</v>
      </c>
      <c r="H9569" s="591" t="s">
        <v>280</v>
      </c>
      <c r="I9569" s="589" t="s">
        <v>280</v>
      </c>
    </row>
    <row r="9570" spans="1:9">
      <c r="A9570" s="577"/>
      <c r="B9570" s="65">
        <v>9768</v>
      </c>
      <c r="C9570" s="579" t="s">
        <v>281</v>
      </c>
      <c r="D9570" s="579"/>
      <c r="E9570" s="583"/>
      <c r="F9570" s="596"/>
      <c r="G9570" s="65">
        <v>0</v>
      </c>
      <c r="H9570" s="591" t="s">
        <v>280</v>
      </c>
      <c r="I9570" s="589" t="s">
        <v>280</v>
      </c>
    </row>
    <row r="9571" spans="1:9">
      <c r="A9571" s="577"/>
      <c r="B9571" s="65">
        <v>9769</v>
      </c>
      <c r="C9571" s="579" t="s">
        <v>281</v>
      </c>
      <c r="D9571" s="579"/>
      <c r="E9571" s="583"/>
      <c r="F9571" s="596"/>
      <c r="G9571" s="65">
        <v>0</v>
      </c>
      <c r="H9571" s="591" t="s">
        <v>280</v>
      </c>
      <c r="I9571" s="589" t="s">
        <v>280</v>
      </c>
    </row>
    <row r="9572" spans="1:9">
      <c r="A9572" s="577"/>
      <c r="B9572" s="65">
        <v>9770</v>
      </c>
      <c r="C9572" s="579" t="s">
        <v>281</v>
      </c>
      <c r="D9572" s="579"/>
      <c r="E9572" s="583"/>
      <c r="F9572" s="596"/>
      <c r="G9572" s="65">
        <v>0</v>
      </c>
      <c r="H9572" s="591" t="s">
        <v>280</v>
      </c>
      <c r="I9572" s="589" t="s">
        <v>280</v>
      </c>
    </row>
    <row r="9573" spans="1:9">
      <c r="A9573" s="577"/>
      <c r="B9573" s="65">
        <v>9771</v>
      </c>
      <c r="C9573" s="579" t="s">
        <v>281</v>
      </c>
      <c r="D9573" s="579"/>
      <c r="E9573" s="583"/>
      <c r="F9573" s="596"/>
      <c r="G9573" s="65">
        <v>0</v>
      </c>
      <c r="H9573" s="591" t="s">
        <v>280</v>
      </c>
      <c r="I9573" s="589" t="s">
        <v>280</v>
      </c>
    </row>
    <row r="9574" spans="1:9">
      <c r="A9574" s="577"/>
      <c r="B9574" s="65">
        <v>9772</v>
      </c>
      <c r="C9574" s="579" t="s">
        <v>281</v>
      </c>
      <c r="D9574" s="579"/>
      <c r="E9574" s="583"/>
      <c r="F9574" s="596"/>
      <c r="G9574" s="65">
        <v>0</v>
      </c>
      <c r="H9574" s="591" t="s">
        <v>280</v>
      </c>
      <c r="I9574" s="589" t="s">
        <v>280</v>
      </c>
    </row>
    <row r="9575" spans="1:9">
      <c r="A9575" s="577"/>
      <c r="B9575" s="65">
        <v>9773</v>
      </c>
      <c r="C9575" s="579" t="s">
        <v>281</v>
      </c>
      <c r="D9575" s="579"/>
      <c r="E9575" s="583"/>
      <c r="F9575" s="596"/>
      <c r="G9575" s="65">
        <v>0</v>
      </c>
      <c r="H9575" s="591" t="s">
        <v>280</v>
      </c>
      <c r="I9575" s="589" t="s">
        <v>280</v>
      </c>
    </row>
    <row r="9576" spans="1:9">
      <c r="A9576" s="577"/>
      <c r="B9576" s="65">
        <v>9774</v>
      </c>
      <c r="C9576" s="579" t="s">
        <v>281</v>
      </c>
      <c r="D9576" s="579"/>
      <c r="E9576" s="583"/>
      <c r="F9576" s="596"/>
      <c r="G9576" s="65">
        <v>0</v>
      </c>
      <c r="H9576" s="591" t="s">
        <v>280</v>
      </c>
      <c r="I9576" s="589" t="s">
        <v>280</v>
      </c>
    </row>
    <row r="9577" spans="1:9">
      <c r="A9577" s="577"/>
      <c r="B9577" s="65">
        <v>9775</v>
      </c>
      <c r="C9577" s="579" t="s">
        <v>281</v>
      </c>
      <c r="D9577" s="579"/>
      <c r="E9577" s="583"/>
      <c r="F9577" s="596"/>
      <c r="G9577" s="65">
        <v>0</v>
      </c>
      <c r="H9577" s="591" t="s">
        <v>280</v>
      </c>
      <c r="I9577" s="589" t="s">
        <v>280</v>
      </c>
    </row>
    <row r="9578" spans="1:9">
      <c r="A9578" s="577"/>
      <c r="B9578" s="65">
        <v>9776</v>
      </c>
      <c r="C9578" s="579" t="s">
        <v>281</v>
      </c>
      <c r="D9578" s="579"/>
      <c r="E9578" s="583"/>
      <c r="F9578" s="596"/>
      <c r="G9578" s="65">
        <v>0</v>
      </c>
      <c r="H9578" s="591" t="s">
        <v>280</v>
      </c>
      <c r="I9578" s="589" t="s">
        <v>280</v>
      </c>
    </row>
    <row r="9579" spans="1:9">
      <c r="A9579" s="577"/>
      <c r="B9579" s="65">
        <v>9777</v>
      </c>
      <c r="C9579" s="579" t="s">
        <v>281</v>
      </c>
      <c r="D9579" s="579"/>
      <c r="E9579" s="583"/>
      <c r="F9579" s="596"/>
      <c r="G9579" s="65">
        <v>0</v>
      </c>
      <c r="H9579" s="591" t="s">
        <v>280</v>
      </c>
      <c r="I9579" s="589" t="s">
        <v>280</v>
      </c>
    </row>
    <row r="9580" spans="1:9">
      <c r="A9580" s="577"/>
      <c r="B9580" s="65">
        <v>9778</v>
      </c>
      <c r="C9580" s="579" t="s">
        <v>281</v>
      </c>
      <c r="D9580" s="579"/>
      <c r="E9580" s="583"/>
      <c r="F9580" s="596"/>
      <c r="G9580" s="65">
        <v>0</v>
      </c>
      <c r="H9580" s="591" t="s">
        <v>280</v>
      </c>
      <c r="I9580" s="589" t="s">
        <v>280</v>
      </c>
    </row>
    <row r="9581" spans="1:9">
      <c r="A9581" s="577"/>
      <c r="B9581" s="65">
        <v>9779</v>
      </c>
      <c r="C9581" s="579" t="s">
        <v>281</v>
      </c>
      <c r="D9581" s="579"/>
      <c r="E9581" s="583"/>
      <c r="F9581" s="596"/>
      <c r="G9581" s="65">
        <v>0</v>
      </c>
      <c r="H9581" s="591" t="s">
        <v>280</v>
      </c>
      <c r="I9581" s="589" t="s">
        <v>280</v>
      </c>
    </row>
    <row r="9582" spans="1:9">
      <c r="A9582" s="577"/>
      <c r="B9582" s="65">
        <v>9780</v>
      </c>
      <c r="C9582" s="579" t="s">
        <v>281</v>
      </c>
      <c r="D9582" s="579"/>
      <c r="E9582" s="583"/>
      <c r="F9582" s="596"/>
      <c r="G9582" s="65">
        <v>0</v>
      </c>
      <c r="H9582" s="591" t="s">
        <v>280</v>
      </c>
      <c r="I9582" s="589" t="s">
        <v>280</v>
      </c>
    </row>
    <row r="9583" spans="1:9">
      <c r="A9583" s="577"/>
      <c r="B9583" s="65">
        <v>9781</v>
      </c>
      <c r="C9583" s="579" t="s">
        <v>281</v>
      </c>
      <c r="D9583" s="579"/>
      <c r="E9583" s="583"/>
      <c r="F9583" s="596"/>
      <c r="G9583" s="65">
        <v>0</v>
      </c>
      <c r="H9583" s="591" t="s">
        <v>280</v>
      </c>
      <c r="I9583" s="589" t="s">
        <v>280</v>
      </c>
    </row>
    <row r="9584" spans="1:9">
      <c r="A9584" s="577"/>
      <c r="B9584" s="65">
        <v>9782</v>
      </c>
      <c r="C9584" s="579" t="s">
        <v>281</v>
      </c>
      <c r="D9584" s="579"/>
      <c r="E9584" s="583"/>
      <c r="F9584" s="596"/>
      <c r="G9584" s="65">
        <v>0</v>
      </c>
      <c r="H9584" s="591" t="s">
        <v>280</v>
      </c>
      <c r="I9584" s="589" t="s">
        <v>280</v>
      </c>
    </row>
    <row r="9585" spans="1:9">
      <c r="A9585" s="577"/>
      <c r="B9585" s="65">
        <v>9783</v>
      </c>
      <c r="C9585" s="579" t="s">
        <v>281</v>
      </c>
      <c r="D9585" s="579"/>
      <c r="E9585" s="583"/>
      <c r="F9585" s="596"/>
      <c r="G9585" s="65">
        <v>0</v>
      </c>
      <c r="H9585" s="591" t="s">
        <v>280</v>
      </c>
      <c r="I9585" s="589" t="s">
        <v>280</v>
      </c>
    </row>
    <row r="9586" spans="1:9">
      <c r="A9586" s="577"/>
      <c r="B9586" s="65">
        <v>9784</v>
      </c>
      <c r="C9586" s="579" t="s">
        <v>281</v>
      </c>
      <c r="D9586" s="579"/>
      <c r="E9586" s="583"/>
      <c r="F9586" s="596"/>
      <c r="G9586" s="65">
        <v>0</v>
      </c>
      <c r="H9586" s="591" t="s">
        <v>280</v>
      </c>
      <c r="I9586" s="589" t="s">
        <v>280</v>
      </c>
    </row>
    <row r="9587" spans="1:9">
      <c r="A9587" s="577"/>
      <c r="B9587" s="65">
        <v>9785</v>
      </c>
      <c r="C9587" s="579" t="s">
        <v>281</v>
      </c>
      <c r="D9587" s="579"/>
      <c r="E9587" s="583"/>
      <c r="F9587" s="596"/>
      <c r="G9587" s="65">
        <v>0</v>
      </c>
      <c r="H9587" s="591" t="s">
        <v>280</v>
      </c>
      <c r="I9587" s="589" t="s">
        <v>280</v>
      </c>
    </row>
    <row r="9588" spans="1:9">
      <c r="A9588" s="577"/>
      <c r="B9588" s="65">
        <v>9786</v>
      </c>
      <c r="C9588" s="579" t="s">
        <v>281</v>
      </c>
      <c r="D9588" s="579"/>
      <c r="E9588" s="583"/>
      <c r="F9588" s="596"/>
      <c r="G9588" s="65">
        <v>0</v>
      </c>
      <c r="H9588" s="591" t="s">
        <v>280</v>
      </c>
      <c r="I9588" s="589" t="s">
        <v>280</v>
      </c>
    </row>
    <row r="9589" spans="1:9">
      <c r="A9589" s="577"/>
      <c r="B9589" s="65">
        <v>9787</v>
      </c>
      <c r="C9589" s="579" t="s">
        <v>281</v>
      </c>
      <c r="D9589" s="579"/>
      <c r="E9589" s="583"/>
      <c r="F9589" s="596"/>
      <c r="G9589" s="65">
        <v>0</v>
      </c>
      <c r="H9589" s="591" t="s">
        <v>280</v>
      </c>
      <c r="I9589" s="589" t="s">
        <v>280</v>
      </c>
    </row>
    <row r="9590" spans="1:9">
      <c r="A9590" s="577"/>
      <c r="B9590" s="65">
        <v>9788</v>
      </c>
      <c r="C9590" s="579" t="s">
        <v>281</v>
      </c>
      <c r="D9590" s="579"/>
      <c r="E9590" s="583"/>
      <c r="F9590" s="596"/>
      <c r="G9590" s="65">
        <v>0</v>
      </c>
      <c r="H9590" s="591" t="s">
        <v>280</v>
      </c>
      <c r="I9590" s="589" t="s">
        <v>280</v>
      </c>
    </row>
    <row r="9591" spans="1:9">
      <c r="A9591" s="577"/>
      <c r="B9591" s="65">
        <v>9789</v>
      </c>
      <c r="C9591" s="579" t="s">
        <v>281</v>
      </c>
      <c r="D9591" s="579"/>
      <c r="E9591" s="583"/>
      <c r="F9591" s="596"/>
      <c r="G9591" s="65">
        <v>0</v>
      </c>
      <c r="H9591" s="591" t="s">
        <v>280</v>
      </c>
      <c r="I9591" s="589" t="s">
        <v>280</v>
      </c>
    </row>
    <row r="9592" spans="1:9">
      <c r="A9592" s="577"/>
      <c r="B9592" s="65">
        <v>9790</v>
      </c>
      <c r="C9592" s="579" t="s">
        <v>281</v>
      </c>
      <c r="D9592" s="579"/>
      <c r="E9592" s="583"/>
      <c r="F9592" s="596"/>
      <c r="G9592" s="65">
        <v>0</v>
      </c>
      <c r="H9592" s="591" t="s">
        <v>280</v>
      </c>
      <c r="I9592" s="589" t="s">
        <v>280</v>
      </c>
    </row>
    <row r="9593" spans="1:9">
      <c r="A9593" s="577"/>
      <c r="B9593" s="65">
        <v>9791</v>
      </c>
      <c r="C9593" s="579" t="s">
        <v>281</v>
      </c>
      <c r="D9593" s="579"/>
      <c r="E9593" s="583"/>
      <c r="F9593" s="596"/>
      <c r="G9593" s="65">
        <v>0</v>
      </c>
      <c r="H9593" s="591" t="s">
        <v>280</v>
      </c>
      <c r="I9593" s="589" t="s">
        <v>280</v>
      </c>
    </row>
    <row r="9594" spans="1:9">
      <c r="A9594" s="577"/>
      <c r="B9594" s="65">
        <v>9792</v>
      </c>
      <c r="C9594" s="579" t="s">
        <v>281</v>
      </c>
      <c r="D9594" s="579"/>
      <c r="E9594" s="583"/>
      <c r="F9594" s="596"/>
      <c r="G9594" s="65">
        <v>0</v>
      </c>
      <c r="H9594" s="591" t="s">
        <v>280</v>
      </c>
      <c r="I9594" s="589" t="s">
        <v>280</v>
      </c>
    </row>
    <row r="9595" spans="1:9">
      <c r="A9595" s="577"/>
      <c r="B9595" s="65">
        <v>9793</v>
      </c>
      <c r="C9595" s="579" t="s">
        <v>281</v>
      </c>
      <c r="D9595" s="579"/>
      <c r="E9595" s="583"/>
      <c r="F9595" s="596"/>
      <c r="G9595" s="65">
        <v>0</v>
      </c>
      <c r="H9595" s="591" t="s">
        <v>280</v>
      </c>
      <c r="I9595" s="589" t="s">
        <v>280</v>
      </c>
    </row>
    <row r="9596" spans="1:9">
      <c r="A9596" s="577"/>
      <c r="B9596" s="65">
        <v>9794</v>
      </c>
      <c r="C9596" s="579" t="s">
        <v>281</v>
      </c>
      <c r="D9596" s="579"/>
      <c r="E9596" s="583"/>
      <c r="F9596" s="596"/>
      <c r="G9596" s="65">
        <v>0</v>
      </c>
      <c r="H9596" s="591" t="s">
        <v>280</v>
      </c>
      <c r="I9596" s="589" t="s">
        <v>280</v>
      </c>
    </row>
    <row r="9597" spans="1:9">
      <c r="A9597" s="577"/>
      <c r="B9597" s="65">
        <v>9795</v>
      </c>
      <c r="C9597" s="579" t="s">
        <v>281</v>
      </c>
      <c r="D9597" s="579"/>
      <c r="E9597" s="583"/>
      <c r="F9597" s="596"/>
      <c r="G9597" s="65">
        <v>0</v>
      </c>
      <c r="H9597" s="591" t="s">
        <v>280</v>
      </c>
      <c r="I9597" s="589" t="s">
        <v>280</v>
      </c>
    </row>
    <row r="9598" spans="1:9">
      <c r="A9598" s="577"/>
      <c r="B9598" s="65">
        <v>9796</v>
      </c>
      <c r="C9598" s="579" t="s">
        <v>281</v>
      </c>
      <c r="D9598" s="579"/>
      <c r="E9598" s="583"/>
      <c r="F9598" s="596"/>
      <c r="G9598" s="65">
        <v>0</v>
      </c>
      <c r="H9598" s="591" t="s">
        <v>280</v>
      </c>
      <c r="I9598" s="589" t="s">
        <v>280</v>
      </c>
    </row>
    <row r="9599" spans="1:9">
      <c r="A9599" s="577"/>
      <c r="B9599" s="65">
        <v>9797</v>
      </c>
      <c r="C9599" s="579" t="s">
        <v>281</v>
      </c>
      <c r="D9599" s="579"/>
      <c r="E9599" s="583"/>
      <c r="F9599" s="596"/>
      <c r="G9599" s="65">
        <v>0</v>
      </c>
      <c r="H9599" s="591" t="s">
        <v>280</v>
      </c>
      <c r="I9599" s="589" t="s">
        <v>280</v>
      </c>
    </row>
    <row r="9600" spans="1:9">
      <c r="A9600" s="577"/>
      <c r="B9600" s="65">
        <v>9798</v>
      </c>
      <c r="C9600" s="579" t="s">
        <v>281</v>
      </c>
      <c r="D9600" s="579"/>
      <c r="E9600" s="583"/>
      <c r="F9600" s="596"/>
      <c r="G9600" s="65">
        <v>0</v>
      </c>
      <c r="H9600" s="591" t="s">
        <v>280</v>
      </c>
      <c r="I9600" s="589" t="s">
        <v>280</v>
      </c>
    </row>
    <row r="9601" spans="1:9">
      <c r="A9601" s="577"/>
      <c r="B9601" s="65">
        <v>9799</v>
      </c>
      <c r="C9601" s="579" t="s">
        <v>281</v>
      </c>
      <c r="D9601" s="579"/>
      <c r="E9601" s="583"/>
      <c r="F9601" s="596"/>
      <c r="G9601" s="65">
        <v>0</v>
      </c>
      <c r="H9601" s="591" t="s">
        <v>280</v>
      </c>
      <c r="I9601" s="589" t="s">
        <v>280</v>
      </c>
    </row>
    <row r="9602" spans="1:9">
      <c r="A9602" s="577"/>
      <c r="B9602" s="65">
        <v>9800</v>
      </c>
      <c r="C9602" s="579" t="s">
        <v>281</v>
      </c>
      <c r="D9602" s="579"/>
      <c r="E9602" s="583"/>
      <c r="F9602" s="596"/>
      <c r="G9602" s="65">
        <v>0</v>
      </c>
      <c r="H9602" s="591" t="s">
        <v>280</v>
      </c>
      <c r="I9602" s="589" t="s">
        <v>280</v>
      </c>
    </row>
    <row r="9603" spans="1:9">
      <c r="A9603" s="577"/>
      <c r="B9603" s="65">
        <v>9801</v>
      </c>
      <c r="C9603" s="579" t="s">
        <v>281</v>
      </c>
      <c r="D9603" s="579"/>
      <c r="E9603" s="583"/>
      <c r="F9603" s="596"/>
      <c r="G9603" s="65">
        <v>0</v>
      </c>
      <c r="H9603" s="591" t="s">
        <v>280</v>
      </c>
      <c r="I9603" s="589" t="s">
        <v>280</v>
      </c>
    </row>
    <row r="9604" spans="1:9">
      <c r="A9604" s="577"/>
      <c r="B9604" s="65">
        <v>9802</v>
      </c>
      <c r="C9604" s="579" t="s">
        <v>281</v>
      </c>
      <c r="D9604" s="579"/>
      <c r="E9604" s="583"/>
      <c r="F9604" s="596"/>
      <c r="G9604" s="65">
        <v>0</v>
      </c>
      <c r="H9604" s="591" t="s">
        <v>280</v>
      </c>
      <c r="I9604" s="589" t="s">
        <v>280</v>
      </c>
    </row>
    <row r="9605" spans="1:9">
      <c r="A9605" s="577"/>
      <c r="B9605" s="65">
        <v>9803</v>
      </c>
      <c r="C9605" s="579" t="s">
        <v>281</v>
      </c>
      <c r="D9605" s="579"/>
      <c r="E9605" s="583"/>
      <c r="F9605" s="596"/>
      <c r="G9605" s="65">
        <v>0</v>
      </c>
      <c r="H9605" s="591" t="s">
        <v>280</v>
      </c>
      <c r="I9605" s="589" t="s">
        <v>280</v>
      </c>
    </row>
    <row r="9606" spans="1:9">
      <c r="A9606" s="577"/>
      <c r="B9606" s="65">
        <v>9804</v>
      </c>
      <c r="C9606" s="579" t="s">
        <v>281</v>
      </c>
      <c r="D9606" s="579"/>
      <c r="E9606" s="583"/>
      <c r="F9606" s="596"/>
      <c r="G9606" s="65">
        <v>0</v>
      </c>
      <c r="H9606" s="591" t="s">
        <v>280</v>
      </c>
      <c r="I9606" s="589" t="s">
        <v>280</v>
      </c>
    </row>
    <row r="9607" spans="1:9">
      <c r="A9607" s="577"/>
      <c r="B9607" s="65">
        <v>9805</v>
      </c>
      <c r="C9607" s="579" t="s">
        <v>281</v>
      </c>
      <c r="D9607" s="579"/>
      <c r="E9607" s="583"/>
      <c r="F9607" s="596"/>
      <c r="G9607" s="65">
        <v>0</v>
      </c>
      <c r="H9607" s="591" t="s">
        <v>280</v>
      </c>
      <c r="I9607" s="589" t="s">
        <v>280</v>
      </c>
    </row>
    <row r="9608" spans="1:9">
      <c r="A9608" s="577"/>
      <c r="B9608" s="65">
        <v>9806</v>
      </c>
      <c r="C9608" s="579" t="s">
        <v>281</v>
      </c>
      <c r="D9608" s="579"/>
      <c r="E9608" s="583"/>
      <c r="F9608" s="596"/>
      <c r="G9608" s="65">
        <v>0</v>
      </c>
      <c r="H9608" s="591" t="s">
        <v>280</v>
      </c>
      <c r="I9608" s="589" t="s">
        <v>280</v>
      </c>
    </row>
    <row r="9609" spans="1:9">
      <c r="A9609" s="577"/>
      <c r="B9609" s="65">
        <v>9807</v>
      </c>
      <c r="C9609" s="579" t="s">
        <v>281</v>
      </c>
      <c r="D9609" s="579"/>
      <c r="E9609" s="583"/>
      <c r="F9609" s="596"/>
      <c r="G9609" s="65">
        <v>0</v>
      </c>
      <c r="H9609" s="591" t="s">
        <v>280</v>
      </c>
      <c r="I9609" s="589" t="s">
        <v>280</v>
      </c>
    </row>
    <row r="9610" spans="1:9">
      <c r="A9610" s="577"/>
      <c r="B9610" s="65">
        <v>9808</v>
      </c>
      <c r="C9610" s="579" t="s">
        <v>281</v>
      </c>
      <c r="D9610" s="579"/>
      <c r="E9610" s="583"/>
      <c r="F9610" s="596"/>
      <c r="G9610" s="65">
        <v>0</v>
      </c>
      <c r="H9610" s="591" t="s">
        <v>280</v>
      </c>
      <c r="I9610" s="589" t="s">
        <v>280</v>
      </c>
    </row>
    <row r="9611" spans="1:9">
      <c r="A9611" s="577"/>
      <c r="B9611" s="65">
        <v>9809</v>
      </c>
      <c r="C9611" s="579" t="s">
        <v>281</v>
      </c>
      <c r="D9611" s="579"/>
      <c r="E9611" s="583"/>
      <c r="F9611" s="596"/>
      <c r="G9611" s="65">
        <v>0</v>
      </c>
      <c r="H9611" s="591" t="s">
        <v>280</v>
      </c>
      <c r="I9611" s="589" t="s">
        <v>280</v>
      </c>
    </row>
    <row r="9612" spans="1:9">
      <c r="A9612" s="577"/>
      <c r="B9612" s="65">
        <v>9810</v>
      </c>
      <c r="C9612" s="579" t="s">
        <v>281</v>
      </c>
      <c r="D9612" s="579"/>
      <c r="E9612" s="583"/>
      <c r="F9612" s="596"/>
      <c r="G9612" s="65">
        <v>0</v>
      </c>
      <c r="H9612" s="591" t="s">
        <v>280</v>
      </c>
      <c r="I9612" s="589" t="s">
        <v>280</v>
      </c>
    </row>
    <row r="9613" spans="1:9">
      <c r="A9613" s="577"/>
      <c r="B9613" s="65">
        <v>9811</v>
      </c>
      <c r="C9613" s="579" t="s">
        <v>281</v>
      </c>
      <c r="D9613" s="579"/>
      <c r="E9613" s="583"/>
      <c r="F9613" s="596"/>
      <c r="G9613" s="65">
        <v>0</v>
      </c>
      <c r="H9613" s="591" t="s">
        <v>280</v>
      </c>
      <c r="I9613" s="589" t="s">
        <v>280</v>
      </c>
    </row>
    <row r="9614" spans="1:9">
      <c r="A9614" s="577"/>
      <c r="B9614" s="65">
        <v>9812</v>
      </c>
      <c r="C9614" s="579" t="s">
        <v>281</v>
      </c>
      <c r="D9614" s="579"/>
      <c r="E9614" s="583"/>
      <c r="F9614" s="596"/>
      <c r="G9614" s="65">
        <v>0</v>
      </c>
      <c r="H9614" s="591" t="s">
        <v>280</v>
      </c>
      <c r="I9614" s="589" t="s">
        <v>280</v>
      </c>
    </row>
    <row r="9615" spans="1:9">
      <c r="A9615" s="577"/>
      <c r="B9615" s="65">
        <v>9813</v>
      </c>
      <c r="C9615" s="579" t="s">
        <v>281</v>
      </c>
      <c r="D9615" s="579"/>
      <c r="E9615" s="583"/>
      <c r="F9615" s="596"/>
      <c r="G9615" s="65">
        <v>0</v>
      </c>
      <c r="H9615" s="591" t="s">
        <v>280</v>
      </c>
      <c r="I9615" s="589" t="s">
        <v>280</v>
      </c>
    </row>
    <row r="9616" spans="1:9">
      <c r="A9616" s="577"/>
      <c r="B9616" s="65">
        <v>9814</v>
      </c>
      <c r="C9616" s="579" t="s">
        <v>281</v>
      </c>
      <c r="D9616" s="579"/>
      <c r="E9616" s="583"/>
      <c r="F9616" s="596"/>
      <c r="G9616" s="65">
        <v>0</v>
      </c>
      <c r="H9616" s="591" t="s">
        <v>280</v>
      </c>
      <c r="I9616" s="589" t="s">
        <v>280</v>
      </c>
    </row>
    <row r="9617" spans="1:9">
      <c r="A9617" s="577"/>
      <c r="B9617" s="65">
        <v>9815</v>
      </c>
      <c r="C9617" s="579" t="s">
        <v>281</v>
      </c>
      <c r="D9617" s="579"/>
      <c r="E9617" s="583"/>
      <c r="F9617" s="596"/>
      <c r="G9617" s="65">
        <v>0</v>
      </c>
      <c r="H9617" s="591" t="s">
        <v>280</v>
      </c>
      <c r="I9617" s="589" t="s">
        <v>280</v>
      </c>
    </row>
    <row r="9618" spans="1:9">
      <c r="A9618" s="577"/>
      <c r="B9618" s="65">
        <v>9816</v>
      </c>
      <c r="C9618" s="579" t="s">
        <v>281</v>
      </c>
      <c r="D9618" s="579"/>
      <c r="E9618" s="583"/>
      <c r="F9618" s="596"/>
      <c r="G9618" s="65">
        <v>0</v>
      </c>
      <c r="H9618" s="591" t="s">
        <v>280</v>
      </c>
      <c r="I9618" s="589" t="s">
        <v>280</v>
      </c>
    </row>
    <row r="9619" spans="1:9">
      <c r="A9619" s="577"/>
      <c r="B9619" s="65">
        <v>9817</v>
      </c>
      <c r="C9619" s="579" t="s">
        <v>281</v>
      </c>
      <c r="D9619" s="579"/>
      <c r="E9619" s="583"/>
      <c r="F9619" s="596"/>
      <c r="G9619" s="65">
        <v>0</v>
      </c>
      <c r="H9619" s="591" t="s">
        <v>280</v>
      </c>
      <c r="I9619" s="589" t="s">
        <v>280</v>
      </c>
    </row>
    <row r="9620" spans="1:9">
      <c r="A9620" s="577"/>
      <c r="B9620" s="65">
        <v>9818</v>
      </c>
      <c r="C9620" s="579" t="s">
        <v>281</v>
      </c>
      <c r="D9620" s="579"/>
      <c r="E9620" s="583"/>
      <c r="F9620" s="596"/>
      <c r="G9620" s="65">
        <v>0</v>
      </c>
      <c r="H9620" s="591" t="s">
        <v>280</v>
      </c>
      <c r="I9620" s="589" t="s">
        <v>280</v>
      </c>
    </row>
    <row r="9621" spans="1:9">
      <c r="A9621" s="577"/>
      <c r="B9621" s="65">
        <v>9819</v>
      </c>
      <c r="C9621" s="579" t="s">
        <v>281</v>
      </c>
      <c r="D9621" s="579"/>
      <c r="E9621" s="583"/>
      <c r="F9621" s="596"/>
      <c r="G9621" s="65">
        <v>0</v>
      </c>
      <c r="H9621" s="591" t="s">
        <v>280</v>
      </c>
      <c r="I9621" s="589" t="s">
        <v>280</v>
      </c>
    </row>
    <row r="9622" spans="1:9">
      <c r="A9622" s="577"/>
      <c r="B9622" s="65">
        <v>9820</v>
      </c>
      <c r="C9622" s="579" t="s">
        <v>281</v>
      </c>
      <c r="D9622" s="579"/>
      <c r="E9622" s="583"/>
      <c r="F9622" s="596"/>
      <c r="G9622" s="65">
        <v>0</v>
      </c>
      <c r="H9622" s="591" t="s">
        <v>280</v>
      </c>
      <c r="I9622" s="589" t="s">
        <v>280</v>
      </c>
    </row>
    <row r="9623" spans="1:9">
      <c r="A9623" s="577"/>
      <c r="B9623" s="65">
        <v>9821</v>
      </c>
      <c r="C9623" s="579" t="s">
        <v>281</v>
      </c>
      <c r="D9623" s="579"/>
      <c r="E9623" s="583"/>
      <c r="F9623" s="596"/>
      <c r="G9623" s="65">
        <v>0</v>
      </c>
      <c r="H9623" s="591" t="s">
        <v>280</v>
      </c>
      <c r="I9623" s="589" t="s">
        <v>280</v>
      </c>
    </row>
    <row r="9624" spans="1:9">
      <c r="A9624" s="577"/>
      <c r="B9624" s="65">
        <v>9822</v>
      </c>
      <c r="C9624" s="579" t="s">
        <v>281</v>
      </c>
      <c r="D9624" s="579"/>
      <c r="E9624" s="583"/>
      <c r="F9624" s="596"/>
      <c r="G9624" s="65">
        <v>0</v>
      </c>
      <c r="H9624" s="591" t="s">
        <v>280</v>
      </c>
      <c r="I9624" s="589" t="s">
        <v>280</v>
      </c>
    </row>
    <row r="9625" spans="1:9">
      <c r="A9625" s="577"/>
      <c r="B9625" s="65">
        <v>9823</v>
      </c>
      <c r="C9625" s="579" t="s">
        <v>281</v>
      </c>
      <c r="D9625" s="579"/>
      <c r="E9625" s="583"/>
      <c r="F9625" s="596"/>
      <c r="G9625" s="65">
        <v>0</v>
      </c>
      <c r="H9625" s="591" t="s">
        <v>280</v>
      </c>
      <c r="I9625" s="589" t="s">
        <v>280</v>
      </c>
    </row>
    <row r="9626" spans="1:9">
      <c r="A9626" s="577"/>
      <c r="B9626" s="65">
        <v>9824</v>
      </c>
      <c r="C9626" s="579" t="s">
        <v>281</v>
      </c>
      <c r="D9626" s="579"/>
      <c r="E9626" s="583"/>
      <c r="F9626" s="596"/>
      <c r="G9626" s="65">
        <v>0</v>
      </c>
      <c r="H9626" s="591" t="s">
        <v>280</v>
      </c>
      <c r="I9626" s="589" t="s">
        <v>280</v>
      </c>
    </row>
    <row r="9627" spans="1:9">
      <c r="A9627" s="577"/>
      <c r="B9627" s="65">
        <v>9825</v>
      </c>
      <c r="C9627" s="579" t="s">
        <v>281</v>
      </c>
      <c r="D9627" s="579"/>
      <c r="E9627" s="583"/>
      <c r="F9627" s="596"/>
      <c r="G9627" s="65">
        <v>0</v>
      </c>
      <c r="H9627" s="591" t="s">
        <v>280</v>
      </c>
      <c r="I9627" s="589" t="s">
        <v>280</v>
      </c>
    </row>
    <row r="9628" spans="1:9">
      <c r="A9628" s="577"/>
      <c r="B9628" s="65">
        <v>9826</v>
      </c>
      <c r="C9628" s="579" t="s">
        <v>281</v>
      </c>
      <c r="D9628" s="579"/>
      <c r="E9628" s="583"/>
      <c r="F9628" s="596"/>
      <c r="G9628" s="65">
        <v>0</v>
      </c>
      <c r="H9628" s="591" t="s">
        <v>280</v>
      </c>
      <c r="I9628" s="589" t="s">
        <v>280</v>
      </c>
    </row>
    <row r="9629" spans="1:9">
      <c r="A9629" s="577"/>
      <c r="B9629" s="65">
        <v>9827</v>
      </c>
      <c r="C9629" s="579" t="s">
        <v>281</v>
      </c>
      <c r="D9629" s="579"/>
      <c r="E9629" s="583"/>
      <c r="F9629" s="596"/>
      <c r="G9629" s="65">
        <v>0</v>
      </c>
      <c r="H9629" s="591" t="s">
        <v>280</v>
      </c>
      <c r="I9629" s="589" t="s">
        <v>280</v>
      </c>
    </row>
    <row r="9630" spans="1:9">
      <c r="A9630" s="577"/>
      <c r="B9630" s="65">
        <v>9828</v>
      </c>
      <c r="C9630" s="579" t="s">
        <v>281</v>
      </c>
      <c r="D9630" s="579"/>
      <c r="E9630" s="583"/>
      <c r="F9630" s="596"/>
      <c r="G9630" s="65">
        <v>0</v>
      </c>
      <c r="H9630" s="591" t="s">
        <v>280</v>
      </c>
      <c r="I9630" s="589" t="s">
        <v>280</v>
      </c>
    </row>
    <row r="9631" spans="1:9">
      <c r="A9631" s="577"/>
      <c r="B9631" s="65">
        <v>9829</v>
      </c>
      <c r="C9631" s="579" t="s">
        <v>281</v>
      </c>
      <c r="D9631" s="579"/>
      <c r="E9631" s="583"/>
      <c r="F9631" s="596"/>
      <c r="G9631" s="65">
        <v>0</v>
      </c>
      <c r="H9631" s="591" t="s">
        <v>280</v>
      </c>
      <c r="I9631" s="589" t="s">
        <v>280</v>
      </c>
    </row>
    <row r="9632" spans="1:9">
      <c r="A9632" s="577"/>
      <c r="B9632" s="65">
        <v>9830</v>
      </c>
      <c r="C9632" s="579" t="s">
        <v>281</v>
      </c>
      <c r="D9632" s="579"/>
      <c r="E9632" s="583"/>
      <c r="F9632" s="596"/>
      <c r="G9632" s="65">
        <v>0</v>
      </c>
      <c r="H9632" s="591" t="s">
        <v>280</v>
      </c>
      <c r="I9632" s="589" t="s">
        <v>280</v>
      </c>
    </row>
    <row r="9633" spans="1:9">
      <c r="A9633" s="577"/>
      <c r="B9633" s="65">
        <v>9831</v>
      </c>
      <c r="C9633" s="579" t="s">
        <v>281</v>
      </c>
      <c r="D9633" s="579"/>
      <c r="E9633" s="583"/>
      <c r="F9633" s="596"/>
      <c r="G9633" s="65">
        <v>0</v>
      </c>
      <c r="H9633" s="591" t="s">
        <v>280</v>
      </c>
      <c r="I9633" s="589" t="s">
        <v>280</v>
      </c>
    </row>
    <row r="9634" spans="1:9">
      <c r="A9634" s="577"/>
      <c r="B9634" s="65">
        <v>9832</v>
      </c>
      <c r="C9634" s="579" t="s">
        <v>281</v>
      </c>
      <c r="D9634" s="579"/>
      <c r="E9634" s="583"/>
      <c r="F9634" s="596"/>
      <c r="G9634" s="65">
        <v>0</v>
      </c>
      <c r="H9634" s="591" t="s">
        <v>280</v>
      </c>
      <c r="I9634" s="589" t="s">
        <v>280</v>
      </c>
    </row>
    <row r="9635" spans="1:9">
      <c r="A9635" s="577"/>
      <c r="B9635" s="65">
        <v>9833</v>
      </c>
      <c r="C9635" s="579" t="s">
        <v>281</v>
      </c>
      <c r="D9635" s="579"/>
      <c r="E9635" s="583"/>
      <c r="F9635" s="596"/>
      <c r="G9635" s="65">
        <v>0</v>
      </c>
      <c r="H9635" s="591" t="s">
        <v>280</v>
      </c>
      <c r="I9635" s="589" t="s">
        <v>280</v>
      </c>
    </row>
    <row r="9636" spans="1:9">
      <c r="A9636" s="577"/>
      <c r="B9636" s="65">
        <v>9834</v>
      </c>
      <c r="C9636" s="579" t="s">
        <v>281</v>
      </c>
      <c r="D9636" s="579"/>
      <c r="E9636" s="583"/>
      <c r="F9636" s="596"/>
      <c r="G9636" s="65">
        <v>0</v>
      </c>
      <c r="H9636" s="591" t="s">
        <v>280</v>
      </c>
      <c r="I9636" s="589" t="s">
        <v>280</v>
      </c>
    </row>
    <row r="9637" spans="1:9">
      <c r="A9637" s="577"/>
      <c r="B9637" s="65">
        <v>9835</v>
      </c>
      <c r="C9637" s="579" t="s">
        <v>281</v>
      </c>
      <c r="D9637" s="579"/>
      <c r="E9637" s="583"/>
      <c r="F9637" s="596"/>
      <c r="G9637" s="65">
        <v>0</v>
      </c>
      <c r="H9637" s="591" t="s">
        <v>280</v>
      </c>
      <c r="I9637" s="589" t="s">
        <v>280</v>
      </c>
    </row>
    <row r="9638" spans="1:9">
      <c r="A9638" s="577"/>
      <c r="B9638" s="65">
        <v>9836</v>
      </c>
      <c r="C9638" s="579" t="s">
        <v>281</v>
      </c>
      <c r="D9638" s="579"/>
      <c r="E9638" s="583"/>
      <c r="F9638" s="596"/>
      <c r="G9638" s="65">
        <v>0</v>
      </c>
      <c r="H9638" s="591" t="s">
        <v>280</v>
      </c>
      <c r="I9638" s="589" t="s">
        <v>280</v>
      </c>
    </row>
    <row r="9639" spans="1:9">
      <c r="A9639" s="577"/>
      <c r="B9639" s="65">
        <v>9837</v>
      </c>
      <c r="C9639" s="579" t="s">
        <v>281</v>
      </c>
      <c r="D9639" s="579"/>
      <c r="E9639" s="583"/>
      <c r="F9639" s="596"/>
      <c r="G9639" s="65">
        <v>0</v>
      </c>
      <c r="H9639" s="591" t="s">
        <v>280</v>
      </c>
      <c r="I9639" s="589" t="s">
        <v>280</v>
      </c>
    </row>
    <row r="9640" spans="1:9">
      <c r="A9640" s="577"/>
      <c r="B9640" s="65">
        <v>9838</v>
      </c>
      <c r="C9640" s="579" t="s">
        <v>281</v>
      </c>
      <c r="D9640" s="579"/>
      <c r="E9640" s="583"/>
      <c r="F9640" s="596"/>
      <c r="G9640" s="65">
        <v>0</v>
      </c>
      <c r="H9640" s="591" t="s">
        <v>280</v>
      </c>
      <c r="I9640" s="589" t="s">
        <v>280</v>
      </c>
    </row>
    <row r="9641" spans="1:9">
      <c r="A9641" s="577"/>
      <c r="B9641" s="65">
        <v>9839</v>
      </c>
      <c r="C9641" s="579" t="s">
        <v>281</v>
      </c>
      <c r="D9641" s="579"/>
      <c r="E9641" s="583"/>
      <c r="F9641" s="596"/>
      <c r="G9641" s="65">
        <v>0</v>
      </c>
      <c r="H9641" s="591" t="s">
        <v>280</v>
      </c>
      <c r="I9641" s="589" t="s">
        <v>280</v>
      </c>
    </row>
    <row r="9642" spans="1:9">
      <c r="A9642" s="577"/>
      <c r="B9642" s="65">
        <v>9840</v>
      </c>
      <c r="C9642" s="579" t="s">
        <v>281</v>
      </c>
      <c r="D9642" s="579"/>
      <c r="E9642" s="583"/>
      <c r="F9642" s="596"/>
      <c r="G9642" s="65">
        <v>0</v>
      </c>
      <c r="H9642" s="591" t="s">
        <v>280</v>
      </c>
      <c r="I9642" s="589" t="s">
        <v>280</v>
      </c>
    </row>
    <row r="9643" spans="1:9">
      <c r="A9643" s="577"/>
      <c r="B9643" s="65">
        <v>9841</v>
      </c>
      <c r="C9643" s="579" t="s">
        <v>281</v>
      </c>
      <c r="D9643" s="579"/>
      <c r="E9643" s="583"/>
      <c r="F9643" s="596"/>
      <c r="G9643" s="65">
        <v>0</v>
      </c>
      <c r="H9643" s="591" t="s">
        <v>280</v>
      </c>
      <c r="I9643" s="589" t="s">
        <v>280</v>
      </c>
    </row>
    <row r="9644" spans="1:9">
      <c r="A9644" s="577"/>
      <c r="B9644" s="65">
        <v>9842</v>
      </c>
      <c r="C9644" s="579" t="s">
        <v>281</v>
      </c>
      <c r="D9644" s="579"/>
      <c r="E9644" s="583"/>
      <c r="F9644" s="596"/>
      <c r="G9644" s="65">
        <v>0</v>
      </c>
      <c r="H9644" s="591" t="s">
        <v>280</v>
      </c>
      <c r="I9644" s="589" t="s">
        <v>280</v>
      </c>
    </row>
    <row r="9645" spans="1:9">
      <c r="A9645" s="577"/>
      <c r="B9645" s="65">
        <v>9843</v>
      </c>
      <c r="C9645" s="579" t="s">
        <v>281</v>
      </c>
      <c r="D9645" s="579"/>
      <c r="E9645" s="583"/>
      <c r="F9645" s="596"/>
      <c r="G9645" s="65">
        <v>0</v>
      </c>
      <c r="H9645" s="591" t="s">
        <v>280</v>
      </c>
      <c r="I9645" s="589" t="s">
        <v>280</v>
      </c>
    </row>
    <row r="9646" spans="1:9">
      <c r="A9646" s="577"/>
      <c r="B9646" s="65">
        <v>9844</v>
      </c>
      <c r="C9646" s="579" t="s">
        <v>281</v>
      </c>
      <c r="D9646" s="579"/>
      <c r="E9646" s="583"/>
      <c r="F9646" s="596"/>
      <c r="G9646" s="65">
        <v>0</v>
      </c>
      <c r="H9646" s="591" t="s">
        <v>280</v>
      </c>
      <c r="I9646" s="589" t="s">
        <v>280</v>
      </c>
    </row>
    <row r="9647" spans="1:9">
      <c r="A9647" s="577"/>
      <c r="B9647" s="65">
        <v>9845</v>
      </c>
      <c r="C9647" s="579" t="s">
        <v>281</v>
      </c>
      <c r="D9647" s="579"/>
      <c r="E9647" s="583"/>
      <c r="F9647" s="596"/>
      <c r="G9647" s="65">
        <v>0</v>
      </c>
      <c r="H9647" s="591" t="s">
        <v>280</v>
      </c>
      <c r="I9647" s="589" t="s">
        <v>280</v>
      </c>
    </row>
    <row r="9648" spans="1:9">
      <c r="A9648" s="577"/>
      <c r="B9648" s="65">
        <v>9846</v>
      </c>
      <c r="C9648" s="579" t="s">
        <v>281</v>
      </c>
      <c r="D9648" s="579"/>
      <c r="E9648" s="583"/>
      <c r="F9648" s="596"/>
      <c r="G9648" s="65">
        <v>0</v>
      </c>
      <c r="H9648" s="591" t="s">
        <v>280</v>
      </c>
      <c r="I9648" s="589" t="s">
        <v>280</v>
      </c>
    </row>
    <row r="9649" spans="1:9">
      <c r="A9649" s="577"/>
      <c r="B9649" s="65">
        <v>9847</v>
      </c>
      <c r="C9649" s="579" t="s">
        <v>281</v>
      </c>
      <c r="D9649" s="579"/>
      <c r="E9649" s="583"/>
      <c r="F9649" s="596"/>
      <c r="G9649" s="65">
        <v>0</v>
      </c>
      <c r="H9649" s="591" t="s">
        <v>280</v>
      </c>
      <c r="I9649" s="589" t="s">
        <v>280</v>
      </c>
    </row>
    <row r="9650" spans="1:9">
      <c r="A9650" s="577"/>
      <c r="B9650" s="65">
        <v>9848</v>
      </c>
      <c r="C9650" s="579" t="s">
        <v>281</v>
      </c>
      <c r="D9650" s="579"/>
      <c r="E9650" s="583"/>
      <c r="F9650" s="596"/>
      <c r="G9650" s="65">
        <v>0</v>
      </c>
      <c r="H9650" s="591" t="s">
        <v>280</v>
      </c>
      <c r="I9650" s="589" t="s">
        <v>280</v>
      </c>
    </row>
    <row r="9651" spans="1:9">
      <c r="A9651" s="577"/>
      <c r="B9651" s="65">
        <v>9849</v>
      </c>
      <c r="C9651" s="579" t="s">
        <v>281</v>
      </c>
      <c r="D9651" s="579"/>
      <c r="E9651" s="583"/>
      <c r="F9651" s="596"/>
      <c r="G9651" s="65">
        <v>0</v>
      </c>
      <c r="H9651" s="591" t="s">
        <v>280</v>
      </c>
      <c r="I9651" s="589" t="s">
        <v>280</v>
      </c>
    </row>
    <row r="9652" spans="1:9">
      <c r="A9652" s="577"/>
      <c r="B9652" s="65">
        <v>9850</v>
      </c>
      <c r="C9652" s="579" t="s">
        <v>281</v>
      </c>
      <c r="D9652" s="579"/>
      <c r="E9652" s="583"/>
      <c r="F9652" s="596"/>
      <c r="G9652" s="65">
        <v>0</v>
      </c>
      <c r="H9652" s="591" t="s">
        <v>280</v>
      </c>
      <c r="I9652" s="589" t="s">
        <v>280</v>
      </c>
    </row>
    <row r="9653" spans="1:9">
      <c r="A9653" s="577"/>
      <c r="B9653" s="65">
        <v>9851</v>
      </c>
      <c r="C9653" s="579" t="s">
        <v>281</v>
      </c>
      <c r="D9653" s="579"/>
      <c r="E9653" s="583"/>
      <c r="F9653" s="596"/>
      <c r="G9653" s="65">
        <v>0</v>
      </c>
      <c r="H9653" s="591" t="s">
        <v>280</v>
      </c>
      <c r="I9653" s="589" t="s">
        <v>280</v>
      </c>
    </row>
    <row r="9654" spans="1:9">
      <c r="A9654" s="577"/>
      <c r="B9654" s="65">
        <v>9852</v>
      </c>
      <c r="C9654" s="579" t="s">
        <v>281</v>
      </c>
      <c r="D9654" s="579"/>
      <c r="E9654" s="583"/>
      <c r="F9654" s="596"/>
      <c r="G9654" s="65">
        <v>0</v>
      </c>
      <c r="H9654" s="591" t="s">
        <v>280</v>
      </c>
      <c r="I9654" s="589" t="s">
        <v>280</v>
      </c>
    </row>
    <row r="9655" spans="1:9">
      <c r="A9655" s="577"/>
      <c r="B9655" s="65">
        <v>9853</v>
      </c>
      <c r="C9655" s="579" t="s">
        <v>281</v>
      </c>
      <c r="D9655" s="579"/>
      <c r="E9655" s="583"/>
      <c r="F9655" s="596"/>
      <c r="G9655" s="65">
        <v>0</v>
      </c>
      <c r="H9655" s="591" t="s">
        <v>280</v>
      </c>
      <c r="I9655" s="589" t="s">
        <v>280</v>
      </c>
    </row>
    <row r="9656" spans="1:9">
      <c r="A9656" s="577"/>
      <c r="B9656" s="65">
        <v>9854</v>
      </c>
      <c r="C9656" s="579" t="s">
        <v>281</v>
      </c>
      <c r="D9656" s="579"/>
      <c r="E9656" s="583"/>
      <c r="F9656" s="596"/>
      <c r="G9656" s="65">
        <v>0</v>
      </c>
      <c r="H9656" s="591" t="s">
        <v>280</v>
      </c>
      <c r="I9656" s="589" t="s">
        <v>280</v>
      </c>
    </row>
    <row r="9657" spans="1:9">
      <c r="A9657" s="577"/>
      <c r="B9657" s="65">
        <v>9855</v>
      </c>
      <c r="C9657" s="579" t="s">
        <v>281</v>
      </c>
      <c r="D9657" s="579"/>
      <c r="E9657" s="583"/>
      <c r="F9657" s="596"/>
      <c r="G9657" s="65">
        <v>0</v>
      </c>
      <c r="H9657" s="591" t="s">
        <v>280</v>
      </c>
      <c r="I9657" s="589" t="s">
        <v>280</v>
      </c>
    </row>
    <row r="9658" spans="1:9">
      <c r="A9658" s="577"/>
      <c r="B9658" s="65">
        <v>9856</v>
      </c>
      <c r="C9658" s="579" t="s">
        <v>281</v>
      </c>
      <c r="D9658" s="579"/>
      <c r="E9658" s="583"/>
      <c r="F9658" s="596"/>
      <c r="G9658" s="65">
        <v>0</v>
      </c>
      <c r="H9658" s="591" t="s">
        <v>280</v>
      </c>
      <c r="I9658" s="589" t="s">
        <v>280</v>
      </c>
    </row>
    <row r="9659" spans="1:9">
      <c r="A9659" s="577"/>
      <c r="B9659" s="65">
        <v>9857</v>
      </c>
      <c r="C9659" s="579" t="s">
        <v>281</v>
      </c>
      <c r="D9659" s="579"/>
      <c r="E9659" s="583"/>
      <c r="F9659" s="596"/>
      <c r="G9659" s="65">
        <v>0</v>
      </c>
      <c r="H9659" s="591" t="s">
        <v>280</v>
      </c>
      <c r="I9659" s="589" t="s">
        <v>280</v>
      </c>
    </row>
    <row r="9660" spans="1:9">
      <c r="A9660" s="577"/>
      <c r="B9660" s="65">
        <v>9858</v>
      </c>
      <c r="C9660" s="579" t="s">
        <v>281</v>
      </c>
      <c r="D9660" s="579"/>
      <c r="E9660" s="583"/>
      <c r="F9660" s="596"/>
      <c r="G9660" s="65">
        <v>0</v>
      </c>
      <c r="H9660" s="591" t="s">
        <v>280</v>
      </c>
      <c r="I9660" s="589" t="s">
        <v>280</v>
      </c>
    </row>
    <row r="9661" spans="1:9">
      <c r="A9661" s="577"/>
      <c r="B9661" s="65">
        <v>9859</v>
      </c>
      <c r="C9661" s="579" t="s">
        <v>281</v>
      </c>
      <c r="D9661" s="579"/>
      <c r="E9661" s="583"/>
      <c r="F9661" s="596"/>
      <c r="G9661" s="65">
        <v>0</v>
      </c>
      <c r="H9661" s="591" t="s">
        <v>280</v>
      </c>
      <c r="I9661" s="589" t="s">
        <v>280</v>
      </c>
    </row>
    <row r="9662" spans="1:9">
      <c r="A9662" s="577"/>
      <c r="B9662" s="65">
        <v>9860</v>
      </c>
      <c r="C9662" s="579" t="s">
        <v>281</v>
      </c>
      <c r="D9662" s="579"/>
      <c r="E9662" s="583"/>
      <c r="F9662" s="596"/>
      <c r="G9662" s="65">
        <v>0</v>
      </c>
      <c r="H9662" s="591" t="s">
        <v>280</v>
      </c>
      <c r="I9662" s="589" t="s">
        <v>280</v>
      </c>
    </row>
    <row r="9663" spans="1:9">
      <c r="A9663" s="577"/>
      <c r="B9663" s="65">
        <v>9861</v>
      </c>
      <c r="C9663" s="579" t="s">
        <v>281</v>
      </c>
      <c r="D9663" s="579"/>
      <c r="E9663" s="583"/>
      <c r="F9663" s="596"/>
      <c r="G9663" s="65">
        <v>0</v>
      </c>
      <c r="H9663" s="591" t="s">
        <v>280</v>
      </c>
      <c r="I9663" s="589" t="s">
        <v>280</v>
      </c>
    </row>
    <row r="9664" spans="1:9">
      <c r="A9664" s="577"/>
      <c r="B9664" s="65">
        <v>9862</v>
      </c>
      <c r="C9664" s="579" t="s">
        <v>281</v>
      </c>
      <c r="D9664" s="579"/>
      <c r="E9664" s="583"/>
      <c r="F9664" s="596"/>
      <c r="G9664" s="65">
        <v>0</v>
      </c>
      <c r="H9664" s="591" t="s">
        <v>280</v>
      </c>
      <c r="I9664" s="589" t="s">
        <v>280</v>
      </c>
    </row>
    <row r="9665" spans="1:9">
      <c r="A9665" s="577"/>
      <c r="B9665" s="65">
        <v>9863</v>
      </c>
      <c r="C9665" s="579" t="s">
        <v>281</v>
      </c>
      <c r="D9665" s="579"/>
      <c r="E9665" s="583"/>
      <c r="F9665" s="596"/>
      <c r="G9665" s="65">
        <v>0</v>
      </c>
      <c r="H9665" s="591" t="s">
        <v>280</v>
      </c>
      <c r="I9665" s="589" t="s">
        <v>280</v>
      </c>
    </row>
    <row r="9666" spans="1:9">
      <c r="A9666" s="577"/>
      <c r="B9666" s="65">
        <v>9864</v>
      </c>
      <c r="C9666" s="579" t="s">
        <v>281</v>
      </c>
      <c r="D9666" s="579"/>
      <c r="E9666" s="583"/>
      <c r="F9666" s="596"/>
      <c r="G9666" s="65">
        <v>0</v>
      </c>
      <c r="H9666" s="591" t="s">
        <v>280</v>
      </c>
      <c r="I9666" s="589" t="s">
        <v>280</v>
      </c>
    </row>
    <row r="9667" spans="1:9">
      <c r="A9667" s="577"/>
      <c r="B9667" s="65">
        <v>9865</v>
      </c>
      <c r="C9667" s="579" t="s">
        <v>281</v>
      </c>
      <c r="D9667" s="579"/>
      <c r="E9667" s="583"/>
      <c r="F9667" s="596"/>
      <c r="G9667" s="65">
        <v>0</v>
      </c>
      <c r="H9667" s="591" t="s">
        <v>280</v>
      </c>
      <c r="I9667" s="589" t="s">
        <v>280</v>
      </c>
    </row>
    <row r="9668" spans="1:9">
      <c r="A9668" s="577"/>
      <c r="B9668" s="65">
        <v>9866</v>
      </c>
      <c r="C9668" s="579" t="s">
        <v>281</v>
      </c>
      <c r="D9668" s="579"/>
      <c r="E9668" s="583"/>
      <c r="F9668" s="596"/>
      <c r="G9668" s="65">
        <v>0</v>
      </c>
      <c r="H9668" s="591" t="s">
        <v>280</v>
      </c>
      <c r="I9668" s="589" t="s">
        <v>280</v>
      </c>
    </row>
    <row r="9669" spans="1:9">
      <c r="A9669" s="577"/>
      <c r="B9669" s="65">
        <v>9867</v>
      </c>
      <c r="C9669" s="579" t="s">
        <v>281</v>
      </c>
      <c r="D9669" s="579"/>
      <c r="E9669" s="583"/>
      <c r="F9669" s="596"/>
      <c r="G9669" s="65">
        <v>0</v>
      </c>
      <c r="H9669" s="591" t="s">
        <v>280</v>
      </c>
      <c r="I9669" s="589" t="s">
        <v>280</v>
      </c>
    </row>
    <row r="9670" spans="1:9">
      <c r="A9670" s="577"/>
      <c r="B9670" s="65">
        <v>9868</v>
      </c>
      <c r="C9670" s="579" t="s">
        <v>281</v>
      </c>
      <c r="D9670" s="579"/>
      <c r="E9670" s="583"/>
      <c r="F9670" s="596"/>
      <c r="G9670" s="65">
        <v>0</v>
      </c>
      <c r="H9670" s="591" t="s">
        <v>280</v>
      </c>
      <c r="I9670" s="589" t="s">
        <v>280</v>
      </c>
    </row>
    <row r="9671" spans="1:9">
      <c r="A9671" s="577"/>
      <c r="B9671" s="65">
        <v>9869</v>
      </c>
      <c r="C9671" s="579" t="s">
        <v>281</v>
      </c>
      <c r="D9671" s="579"/>
      <c r="E9671" s="583"/>
      <c r="F9671" s="596"/>
      <c r="G9671" s="65">
        <v>0</v>
      </c>
      <c r="H9671" s="591" t="s">
        <v>280</v>
      </c>
      <c r="I9671" s="589" t="s">
        <v>280</v>
      </c>
    </row>
    <row r="9672" spans="1:9">
      <c r="A9672" s="577"/>
      <c r="B9672" s="65">
        <v>9870</v>
      </c>
      <c r="C9672" s="579" t="s">
        <v>281</v>
      </c>
      <c r="D9672" s="579"/>
      <c r="E9672" s="583"/>
      <c r="F9672" s="596"/>
      <c r="G9672" s="65">
        <v>0</v>
      </c>
      <c r="H9672" s="591" t="s">
        <v>280</v>
      </c>
      <c r="I9672" s="589" t="s">
        <v>280</v>
      </c>
    </row>
    <row r="9673" spans="1:9">
      <c r="A9673" s="577"/>
      <c r="B9673" s="65">
        <v>9871</v>
      </c>
      <c r="C9673" s="579" t="s">
        <v>281</v>
      </c>
      <c r="D9673" s="579"/>
      <c r="E9673" s="583"/>
      <c r="F9673" s="596"/>
      <c r="G9673" s="65">
        <v>0</v>
      </c>
      <c r="H9673" s="591" t="s">
        <v>280</v>
      </c>
      <c r="I9673" s="589" t="s">
        <v>280</v>
      </c>
    </row>
    <row r="9674" spans="1:9">
      <c r="A9674" s="577"/>
      <c r="B9674" s="65">
        <v>9872</v>
      </c>
      <c r="C9674" s="579" t="s">
        <v>281</v>
      </c>
      <c r="D9674" s="579"/>
      <c r="E9674" s="583"/>
      <c r="F9674" s="596"/>
      <c r="G9674" s="65">
        <v>0</v>
      </c>
      <c r="H9674" s="591" t="s">
        <v>280</v>
      </c>
      <c r="I9674" s="589" t="s">
        <v>280</v>
      </c>
    </row>
    <row r="9675" spans="1:9">
      <c r="A9675" s="577"/>
      <c r="B9675" s="65">
        <v>9873</v>
      </c>
      <c r="C9675" s="579" t="s">
        <v>281</v>
      </c>
      <c r="D9675" s="579"/>
      <c r="E9675" s="583"/>
      <c r="F9675" s="596"/>
      <c r="G9675" s="65">
        <v>0</v>
      </c>
      <c r="H9675" s="591" t="s">
        <v>280</v>
      </c>
      <c r="I9675" s="589" t="s">
        <v>280</v>
      </c>
    </row>
    <row r="9676" spans="1:9">
      <c r="A9676" s="577"/>
      <c r="B9676" s="65">
        <v>9874</v>
      </c>
      <c r="C9676" s="579" t="s">
        <v>281</v>
      </c>
      <c r="D9676" s="579"/>
      <c r="E9676" s="583"/>
      <c r="F9676" s="596"/>
      <c r="G9676" s="65">
        <v>0</v>
      </c>
      <c r="H9676" s="591" t="s">
        <v>280</v>
      </c>
      <c r="I9676" s="589" t="s">
        <v>280</v>
      </c>
    </row>
    <row r="9677" spans="1:9">
      <c r="A9677" s="577"/>
      <c r="B9677" s="65">
        <v>9875</v>
      </c>
      <c r="C9677" s="579" t="s">
        <v>281</v>
      </c>
      <c r="D9677" s="579"/>
      <c r="E9677" s="583"/>
      <c r="F9677" s="596"/>
      <c r="G9677" s="65">
        <v>0</v>
      </c>
      <c r="H9677" s="591" t="s">
        <v>280</v>
      </c>
      <c r="I9677" s="589" t="s">
        <v>280</v>
      </c>
    </row>
    <row r="9678" spans="1:9">
      <c r="A9678" s="577"/>
      <c r="B9678" s="65">
        <v>9876</v>
      </c>
      <c r="C9678" s="579" t="s">
        <v>281</v>
      </c>
      <c r="D9678" s="579"/>
      <c r="E9678" s="583"/>
      <c r="F9678" s="596"/>
      <c r="G9678" s="65">
        <v>0</v>
      </c>
      <c r="H9678" s="591" t="s">
        <v>280</v>
      </c>
      <c r="I9678" s="589" t="s">
        <v>280</v>
      </c>
    </row>
    <row r="9679" spans="1:9">
      <c r="A9679" s="577"/>
      <c r="B9679" s="65">
        <v>9877</v>
      </c>
      <c r="C9679" s="579" t="s">
        <v>281</v>
      </c>
      <c r="D9679" s="579"/>
      <c r="E9679" s="583"/>
      <c r="F9679" s="596"/>
      <c r="G9679" s="65">
        <v>0</v>
      </c>
      <c r="H9679" s="591" t="s">
        <v>280</v>
      </c>
      <c r="I9679" s="589" t="s">
        <v>280</v>
      </c>
    </row>
    <row r="9680" spans="1:9">
      <c r="A9680" s="577"/>
      <c r="B9680" s="65">
        <v>9878</v>
      </c>
      <c r="C9680" s="579" t="s">
        <v>281</v>
      </c>
      <c r="D9680" s="579"/>
      <c r="E9680" s="583"/>
      <c r="F9680" s="596"/>
      <c r="G9680" s="65">
        <v>0</v>
      </c>
      <c r="H9680" s="591" t="s">
        <v>280</v>
      </c>
      <c r="I9680" s="589" t="s">
        <v>280</v>
      </c>
    </row>
    <row r="9681" spans="1:9">
      <c r="A9681" s="577"/>
      <c r="B9681" s="65">
        <v>9879</v>
      </c>
      <c r="C9681" s="579" t="s">
        <v>281</v>
      </c>
      <c r="D9681" s="579"/>
      <c r="E9681" s="583"/>
      <c r="F9681" s="596"/>
      <c r="G9681" s="65">
        <v>0</v>
      </c>
      <c r="H9681" s="591" t="s">
        <v>280</v>
      </c>
      <c r="I9681" s="589" t="s">
        <v>280</v>
      </c>
    </row>
    <row r="9682" spans="1:9">
      <c r="A9682" s="577"/>
      <c r="B9682" s="65">
        <v>9880</v>
      </c>
      <c r="C9682" s="579" t="s">
        <v>281</v>
      </c>
      <c r="D9682" s="579"/>
      <c r="E9682" s="583"/>
      <c r="F9682" s="596"/>
      <c r="G9682" s="65">
        <v>0</v>
      </c>
      <c r="H9682" s="591" t="s">
        <v>280</v>
      </c>
      <c r="I9682" s="589" t="s">
        <v>280</v>
      </c>
    </row>
    <row r="9683" spans="1:9">
      <c r="A9683" s="577"/>
      <c r="B9683" s="65">
        <v>9881</v>
      </c>
      <c r="C9683" s="579" t="s">
        <v>281</v>
      </c>
      <c r="D9683" s="579"/>
      <c r="E9683" s="583"/>
      <c r="F9683" s="596"/>
      <c r="G9683" s="65">
        <v>0</v>
      </c>
      <c r="H9683" s="591" t="s">
        <v>280</v>
      </c>
      <c r="I9683" s="589" t="s">
        <v>280</v>
      </c>
    </row>
    <row r="9684" spans="1:9">
      <c r="A9684" s="577"/>
      <c r="B9684" s="65">
        <v>9882</v>
      </c>
      <c r="C9684" s="579" t="s">
        <v>281</v>
      </c>
      <c r="D9684" s="579"/>
      <c r="E9684" s="583"/>
      <c r="F9684" s="596"/>
      <c r="G9684" s="65">
        <v>0</v>
      </c>
      <c r="H9684" s="591" t="s">
        <v>280</v>
      </c>
      <c r="I9684" s="589" t="s">
        <v>280</v>
      </c>
    </row>
    <row r="9685" spans="1:9">
      <c r="A9685" s="577"/>
      <c r="B9685" s="65">
        <v>9883</v>
      </c>
      <c r="C9685" s="579" t="s">
        <v>281</v>
      </c>
      <c r="D9685" s="579"/>
      <c r="E9685" s="583"/>
      <c r="F9685" s="596"/>
      <c r="G9685" s="65">
        <v>0</v>
      </c>
      <c r="H9685" s="591" t="s">
        <v>280</v>
      </c>
      <c r="I9685" s="589" t="s">
        <v>280</v>
      </c>
    </row>
    <row r="9686" spans="1:9">
      <c r="A9686" s="577"/>
      <c r="B9686" s="65">
        <v>9884</v>
      </c>
      <c r="C9686" s="579" t="s">
        <v>281</v>
      </c>
      <c r="D9686" s="579"/>
      <c r="E9686" s="583"/>
      <c r="F9686" s="596"/>
      <c r="G9686" s="65">
        <v>0</v>
      </c>
      <c r="H9686" s="591" t="s">
        <v>280</v>
      </c>
      <c r="I9686" s="589" t="s">
        <v>280</v>
      </c>
    </row>
    <row r="9687" spans="1:9">
      <c r="A9687" s="577"/>
      <c r="B9687" s="65">
        <v>9885</v>
      </c>
      <c r="C9687" s="579" t="s">
        <v>281</v>
      </c>
      <c r="D9687" s="579"/>
      <c r="E9687" s="583"/>
      <c r="F9687" s="596"/>
      <c r="G9687" s="65">
        <v>0</v>
      </c>
      <c r="H9687" s="591" t="s">
        <v>280</v>
      </c>
      <c r="I9687" s="589" t="s">
        <v>280</v>
      </c>
    </row>
    <row r="9688" spans="1:9">
      <c r="A9688" s="577"/>
      <c r="B9688" s="65">
        <v>9886</v>
      </c>
      <c r="C9688" s="579" t="s">
        <v>281</v>
      </c>
      <c r="D9688" s="579"/>
      <c r="E9688" s="583"/>
      <c r="F9688" s="596"/>
      <c r="G9688" s="65">
        <v>0</v>
      </c>
      <c r="H9688" s="591" t="s">
        <v>280</v>
      </c>
      <c r="I9688" s="589" t="s">
        <v>280</v>
      </c>
    </row>
    <row r="9689" spans="1:9">
      <c r="A9689" s="577"/>
      <c r="B9689" s="65">
        <v>9887</v>
      </c>
      <c r="C9689" s="579" t="s">
        <v>281</v>
      </c>
      <c r="D9689" s="579"/>
      <c r="E9689" s="583"/>
      <c r="F9689" s="596"/>
      <c r="G9689" s="65">
        <v>0</v>
      </c>
      <c r="H9689" s="591" t="s">
        <v>280</v>
      </c>
      <c r="I9689" s="589" t="s">
        <v>280</v>
      </c>
    </row>
    <row r="9690" spans="1:9">
      <c r="A9690" s="577"/>
      <c r="B9690" s="65">
        <v>9888</v>
      </c>
      <c r="C9690" s="579" t="s">
        <v>281</v>
      </c>
      <c r="D9690" s="579"/>
      <c r="E9690" s="583"/>
      <c r="F9690" s="596"/>
      <c r="G9690" s="65">
        <v>0</v>
      </c>
      <c r="H9690" s="591" t="s">
        <v>280</v>
      </c>
      <c r="I9690" s="589" t="s">
        <v>280</v>
      </c>
    </row>
    <row r="9691" spans="1:9">
      <c r="A9691" s="577"/>
      <c r="B9691" s="65">
        <v>9889</v>
      </c>
      <c r="C9691" s="579" t="s">
        <v>281</v>
      </c>
      <c r="D9691" s="579"/>
      <c r="E9691" s="583"/>
      <c r="F9691" s="596"/>
      <c r="G9691" s="65">
        <v>0</v>
      </c>
      <c r="H9691" s="591" t="s">
        <v>280</v>
      </c>
      <c r="I9691" s="589" t="s">
        <v>280</v>
      </c>
    </row>
    <row r="9692" spans="1:9">
      <c r="A9692" s="577"/>
      <c r="B9692" s="65">
        <v>9890</v>
      </c>
      <c r="C9692" s="579" t="s">
        <v>281</v>
      </c>
      <c r="D9692" s="579"/>
      <c r="E9692" s="583"/>
      <c r="F9692" s="596"/>
      <c r="G9692" s="65">
        <v>0</v>
      </c>
      <c r="H9692" s="591" t="s">
        <v>280</v>
      </c>
      <c r="I9692" s="589" t="s">
        <v>280</v>
      </c>
    </row>
    <row r="9693" spans="1:9">
      <c r="A9693" s="577"/>
      <c r="B9693" s="65">
        <v>9891</v>
      </c>
      <c r="C9693" s="579" t="s">
        <v>281</v>
      </c>
      <c r="D9693" s="579"/>
      <c r="E9693" s="583"/>
      <c r="F9693" s="596"/>
      <c r="G9693" s="65">
        <v>0</v>
      </c>
      <c r="H9693" s="591" t="s">
        <v>280</v>
      </c>
      <c r="I9693" s="589" t="s">
        <v>280</v>
      </c>
    </row>
    <row r="9694" spans="1:9">
      <c r="A9694" s="577"/>
      <c r="B9694" s="65">
        <v>9892</v>
      </c>
      <c r="C9694" s="579" t="s">
        <v>281</v>
      </c>
      <c r="D9694" s="579"/>
      <c r="E9694" s="583"/>
      <c r="F9694" s="596"/>
      <c r="G9694" s="65">
        <v>0</v>
      </c>
      <c r="H9694" s="591" t="s">
        <v>280</v>
      </c>
      <c r="I9694" s="589" t="s">
        <v>280</v>
      </c>
    </row>
    <row r="9695" spans="1:9">
      <c r="A9695" s="577"/>
      <c r="B9695" s="65">
        <v>9893</v>
      </c>
      <c r="C9695" s="579" t="s">
        <v>281</v>
      </c>
      <c r="D9695" s="579"/>
      <c r="E9695" s="583"/>
      <c r="F9695" s="596"/>
      <c r="G9695" s="65">
        <v>0</v>
      </c>
      <c r="H9695" s="591" t="s">
        <v>280</v>
      </c>
      <c r="I9695" s="589" t="s">
        <v>280</v>
      </c>
    </row>
    <row r="9696" spans="1:9">
      <c r="A9696" s="577"/>
      <c r="B9696" s="65">
        <v>9894</v>
      </c>
      <c r="C9696" s="579" t="s">
        <v>281</v>
      </c>
      <c r="D9696" s="579"/>
      <c r="E9696" s="583"/>
      <c r="F9696" s="596"/>
      <c r="G9696" s="65">
        <v>0</v>
      </c>
      <c r="H9696" s="591" t="s">
        <v>280</v>
      </c>
      <c r="I9696" s="589" t="s">
        <v>280</v>
      </c>
    </row>
    <row r="9697" spans="1:9">
      <c r="A9697" s="577"/>
      <c r="B9697" s="65">
        <v>9895</v>
      </c>
      <c r="C9697" s="579" t="s">
        <v>281</v>
      </c>
      <c r="D9697" s="579"/>
      <c r="E9697" s="583"/>
      <c r="F9697" s="596"/>
      <c r="G9697" s="65">
        <v>0</v>
      </c>
      <c r="H9697" s="591" t="s">
        <v>280</v>
      </c>
      <c r="I9697" s="589" t="s">
        <v>280</v>
      </c>
    </row>
    <row r="9698" spans="1:9">
      <c r="A9698" s="577"/>
      <c r="B9698" s="65">
        <v>9896</v>
      </c>
      <c r="C9698" s="579" t="s">
        <v>281</v>
      </c>
      <c r="D9698" s="579"/>
      <c r="E9698" s="583"/>
      <c r="F9698" s="596"/>
      <c r="G9698" s="65">
        <v>0</v>
      </c>
      <c r="H9698" s="591" t="s">
        <v>280</v>
      </c>
      <c r="I9698" s="589" t="s">
        <v>280</v>
      </c>
    </row>
    <row r="9699" spans="1:9">
      <c r="A9699" s="577"/>
      <c r="B9699" s="65">
        <v>9897</v>
      </c>
      <c r="C9699" s="579" t="s">
        <v>281</v>
      </c>
      <c r="D9699" s="579"/>
      <c r="E9699" s="583"/>
      <c r="F9699" s="596"/>
      <c r="G9699" s="65">
        <v>0</v>
      </c>
      <c r="H9699" s="591" t="s">
        <v>280</v>
      </c>
      <c r="I9699" s="589" t="s">
        <v>280</v>
      </c>
    </row>
    <row r="9700" spans="1:9">
      <c r="A9700" s="577"/>
      <c r="B9700" s="65">
        <v>9898</v>
      </c>
      <c r="C9700" s="579" t="s">
        <v>281</v>
      </c>
      <c r="D9700" s="579"/>
      <c r="E9700" s="583"/>
      <c r="F9700" s="596"/>
      <c r="G9700" s="65">
        <v>0</v>
      </c>
      <c r="H9700" s="591" t="s">
        <v>280</v>
      </c>
      <c r="I9700" s="589" t="s">
        <v>280</v>
      </c>
    </row>
    <row r="9701" spans="1:9">
      <c r="A9701" s="577"/>
      <c r="B9701" s="65">
        <v>9899</v>
      </c>
      <c r="C9701" s="579" t="s">
        <v>281</v>
      </c>
      <c r="D9701" s="579"/>
      <c r="E9701" s="583"/>
      <c r="F9701" s="596"/>
      <c r="G9701" s="65">
        <v>0</v>
      </c>
      <c r="H9701" s="591" t="s">
        <v>280</v>
      </c>
      <c r="I9701" s="589" t="s">
        <v>280</v>
      </c>
    </row>
    <row r="9702" spans="1:9">
      <c r="A9702" s="577"/>
      <c r="B9702" s="65">
        <v>9900</v>
      </c>
      <c r="C9702" s="579" t="s">
        <v>281</v>
      </c>
      <c r="D9702" s="579"/>
      <c r="E9702" s="583"/>
      <c r="F9702" s="596"/>
      <c r="G9702" s="65">
        <v>0</v>
      </c>
      <c r="H9702" s="591" t="s">
        <v>280</v>
      </c>
      <c r="I9702" s="589" t="s">
        <v>280</v>
      </c>
    </row>
    <row r="9703" spans="1:9">
      <c r="A9703" s="577"/>
      <c r="B9703" s="65">
        <v>9901</v>
      </c>
      <c r="C9703" s="579" t="s">
        <v>281</v>
      </c>
      <c r="D9703" s="579"/>
      <c r="E9703" s="583"/>
      <c r="F9703" s="596"/>
      <c r="G9703" s="65">
        <v>0</v>
      </c>
      <c r="H9703" s="591" t="s">
        <v>280</v>
      </c>
      <c r="I9703" s="589" t="s">
        <v>280</v>
      </c>
    </row>
    <row r="9704" spans="1:9">
      <c r="A9704" s="577"/>
      <c r="B9704" s="65">
        <v>9902</v>
      </c>
      <c r="C9704" s="579" t="s">
        <v>281</v>
      </c>
      <c r="D9704" s="579"/>
      <c r="E9704" s="583"/>
      <c r="F9704" s="596"/>
      <c r="G9704" s="65">
        <v>0</v>
      </c>
      <c r="H9704" s="591" t="s">
        <v>280</v>
      </c>
      <c r="I9704" s="589" t="s">
        <v>280</v>
      </c>
    </row>
    <row r="9705" spans="1:9">
      <c r="A9705" s="577"/>
      <c r="B9705" s="65">
        <v>9903</v>
      </c>
      <c r="C9705" s="579" t="s">
        <v>281</v>
      </c>
      <c r="D9705" s="579"/>
      <c r="E9705" s="583"/>
      <c r="F9705" s="596"/>
      <c r="G9705" s="65">
        <v>0</v>
      </c>
      <c r="H9705" s="591" t="s">
        <v>280</v>
      </c>
      <c r="I9705" s="589" t="s">
        <v>280</v>
      </c>
    </row>
    <row r="9706" spans="1:9">
      <c r="A9706" s="577"/>
      <c r="B9706" s="65">
        <v>9904</v>
      </c>
      <c r="C9706" s="579" t="s">
        <v>281</v>
      </c>
      <c r="D9706" s="579"/>
      <c r="E9706" s="583"/>
      <c r="F9706" s="596"/>
      <c r="G9706" s="65">
        <v>0</v>
      </c>
      <c r="H9706" s="591" t="s">
        <v>280</v>
      </c>
      <c r="I9706" s="589" t="s">
        <v>280</v>
      </c>
    </row>
    <row r="9707" spans="1:9">
      <c r="A9707" s="577"/>
      <c r="B9707" s="65">
        <v>9905</v>
      </c>
      <c r="C9707" s="579" t="s">
        <v>281</v>
      </c>
      <c r="D9707" s="579"/>
      <c r="E9707" s="583"/>
      <c r="F9707" s="596"/>
      <c r="G9707" s="65">
        <v>0</v>
      </c>
      <c r="H9707" s="591" t="s">
        <v>280</v>
      </c>
      <c r="I9707" s="589" t="s">
        <v>280</v>
      </c>
    </row>
    <row r="9708" spans="1:9">
      <c r="A9708" s="577"/>
      <c r="B9708" s="65">
        <v>9906</v>
      </c>
      <c r="C9708" s="579" t="s">
        <v>281</v>
      </c>
      <c r="D9708" s="579"/>
      <c r="E9708" s="583"/>
      <c r="F9708" s="596"/>
      <c r="G9708" s="65">
        <v>0</v>
      </c>
      <c r="H9708" s="591" t="s">
        <v>280</v>
      </c>
      <c r="I9708" s="589" t="s">
        <v>280</v>
      </c>
    </row>
    <row r="9709" spans="1:9">
      <c r="A9709" s="577"/>
      <c r="B9709" s="65">
        <v>9907</v>
      </c>
      <c r="C9709" s="579" t="s">
        <v>281</v>
      </c>
      <c r="D9709" s="579"/>
      <c r="E9709" s="583"/>
      <c r="F9709" s="596"/>
      <c r="G9709" s="65">
        <v>0</v>
      </c>
      <c r="H9709" s="591" t="s">
        <v>280</v>
      </c>
      <c r="I9709" s="589" t="s">
        <v>280</v>
      </c>
    </row>
    <row r="9710" spans="1:9">
      <c r="A9710" s="577"/>
      <c r="B9710" s="65">
        <v>9908</v>
      </c>
      <c r="C9710" s="579" t="s">
        <v>281</v>
      </c>
      <c r="D9710" s="579"/>
      <c r="E9710" s="583"/>
      <c r="F9710" s="596"/>
      <c r="G9710" s="65">
        <v>0</v>
      </c>
      <c r="H9710" s="591" t="s">
        <v>280</v>
      </c>
      <c r="I9710" s="589" t="s">
        <v>280</v>
      </c>
    </row>
    <row r="9711" spans="1:9">
      <c r="A9711" s="577"/>
      <c r="B9711" s="65">
        <v>9909</v>
      </c>
      <c r="C9711" s="579" t="s">
        <v>281</v>
      </c>
      <c r="D9711" s="579"/>
      <c r="E9711" s="583"/>
      <c r="F9711" s="596"/>
      <c r="G9711" s="65">
        <v>0</v>
      </c>
      <c r="H9711" s="591" t="s">
        <v>280</v>
      </c>
      <c r="I9711" s="589" t="s">
        <v>280</v>
      </c>
    </row>
    <row r="9712" spans="1:9">
      <c r="A9712" s="577"/>
      <c r="B9712" s="65">
        <v>9910</v>
      </c>
      <c r="C9712" s="579" t="s">
        <v>281</v>
      </c>
      <c r="D9712" s="579"/>
      <c r="E9712" s="583"/>
      <c r="F9712" s="596"/>
      <c r="G9712" s="65">
        <v>0</v>
      </c>
      <c r="H9712" s="591" t="s">
        <v>280</v>
      </c>
      <c r="I9712" s="589" t="s">
        <v>280</v>
      </c>
    </row>
    <row r="9713" spans="1:9">
      <c r="A9713" s="577"/>
      <c r="B9713" s="65">
        <v>9911</v>
      </c>
      <c r="C9713" s="579" t="s">
        <v>281</v>
      </c>
      <c r="D9713" s="579"/>
      <c r="E9713" s="583"/>
      <c r="F9713" s="596"/>
      <c r="G9713" s="65">
        <v>0</v>
      </c>
      <c r="H9713" s="591" t="s">
        <v>280</v>
      </c>
      <c r="I9713" s="589" t="s">
        <v>280</v>
      </c>
    </row>
    <row r="9714" spans="1:9">
      <c r="A9714" s="577"/>
      <c r="B9714" s="65">
        <v>9912</v>
      </c>
      <c r="C9714" s="579" t="s">
        <v>281</v>
      </c>
      <c r="D9714" s="579"/>
      <c r="E9714" s="583"/>
      <c r="F9714" s="596"/>
      <c r="G9714" s="65">
        <v>0</v>
      </c>
      <c r="H9714" s="591" t="s">
        <v>280</v>
      </c>
      <c r="I9714" s="589" t="s">
        <v>280</v>
      </c>
    </row>
    <row r="9715" spans="1:9">
      <c r="A9715" s="577"/>
      <c r="B9715" s="65">
        <v>9913</v>
      </c>
      <c r="C9715" s="579" t="s">
        <v>281</v>
      </c>
      <c r="D9715" s="579"/>
      <c r="E9715" s="583"/>
      <c r="F9715" s="596"/>
      <c r="G9715" s="65">
        <v>0</v>
      </c>
      <c r="H9715" s="591" t="s">
        <v>280</v>
      </c>
      <c r="I9715" s="589" t="s">
        <v>280</v>
      </c>
    </row>
    <row r="9716" spans="1:9">
      <c r="A9716" s="577"/>
      <c r="B9716" s="65">
        <v>9914</v>
      </c>
      <c r="C9716" s="579" t="s">
        <v>281</v>
      </c>
      <c r="D9716" s="579"/>
      <c r="E9716" s="583"/>
      <c r="F9716" s="596"/>
      <c r="G9716" s="65">
        <v>0</v>
      </c>
      <c r="H9716" s="591" t="s">
        <v>280</v>
      </c>
      <c r="I9716" s="589" t="s">
        <v>280</v>
      </c>
    </row>
    <row r="9717" spans="1:9">
      <c r="A9717" s="577"/>
      <c r="B9717" s="65">
        <v>9915</v>
      </c>
      <c r="C9717" s="579" t="s">
        <v>281</v>
      </c>
      <c r="D9717" s="579"/>
      <c r="E9717" s="583"/>
      <c r="F9717" s="596"/>
      <c r="G9717" s="65">
        <v>0</v>
      </c>
      <c r="H9717" s="591" t="s">
        <v>280</v>
      </c>
      <c r="I9717" s="589" t="s">
        <v>280</v>
      </c>
    </row>
    <row r="9718" spans="1:9">
      <c r="A9718" s="577"/>
      <c r="B9718" s="65">
        <v>9916</v>
      </c>
      <c r="C9718" s="579" t="s">
        <v>281</v>
      </c>
      <c r="D9718" s="579"/>
      <c r="E9718" s="583"/>
      <c r="F9718" s="596"/>
      <c r="G9718" s="65">
        <v>0</v>
      </c>
      <c r="H9718" s="591" t="s">
        <v>280</v>
      </c>
      <c r="I9718" s="589" t="s">
        <v>280</v>
      </c>
    </row>
    <row r="9719" spans="1:9">
      <c r="A9719" s="577"/>
      <c r="B9719" s="65">
        <v>9917</v>
      </c>
      <c r="C9719" s="579" t="s">
        <v>281</v>
      </c>
      <c r="D9719" s="579"/>
      <c r="E9719" s="583"/>
      <c r="F9719" s="596"/>
      <c r="G9719" s="65">
        <v>0</v>
      </c>
      <c r="H9719" s="591" t="s">
        <v>280</v>
      </c>
      <c r="I9719" s="589" t="s">
        <v>280</v>
      </c>
    </row>
    <row r="9720" spans="1:9">
      <c r="A9720" s="577"/>
      <c r="B9720" s="65">
        <v>9918</v>
      </c>
      <c r="C9720" s="579" t="s">
        <v>281</v>
      </c>
      <c r="D9720" s="579"/>
      <c r="E9720" s="583"/>
      <c r="F9720" s="596"/>
      <c r="G9720" s="65">
        <v>0</v>
      </c>
      <c r="H9720" s="591" t="s">
        <v>280</v>
      </c>
      <c r="I9720" s="589" t="s">
        <v>280</v>
      </c>
    </row>
    <row r="9721" spans="1:9">
      <c r="A9721" s="577"/>
      <c r="B9721" s="65">
        <v>9919</v>
      </c>
      <c r="C9721" s="579" t="s">
        <v>281</v>
      </c>
      <c r="D9721" s="579"/>
      <c r="E9721" s="583"/>
      <c r="F9721" s="596"/>
      <c r="G9721" s="65">
        <v>0</v>
      </c>
      <c r="H9721" s="591" t="s">
        <v>280</v>
      </c>
      <c r="I9721" s="589" t="s">
        <v>280</v>
      </c>
    </row>
    <row r="9722" spans="1:9">
      <c r="A9722" s="577"/>
      <c r="B9722" s="65">
        <v>9920</v>
      </c>
      <c r="C9722" s="579" t="s">
        <v>281</v>
      </c>
      <c r="D9722" s="579"/>
      <c r="E9722" s="583"/>
      <c r="F9722" s="596"/>
      <c r="G9722" s="65">
        <v>0</v>
      </c>
      <c r="H9722" s="591" t="s">
        <v>280</v>
      </c>
      <c r="I9722" s="589" t="s">
        <v>280</v>
      </c>
    </row>
    <row r="9723" spans="1:9">
      <c r="A9723" s="577"/>
      <c r="B9723" s="65">
        <v>9921</v>
      </c>
      <c r="C9723" s="579" t="s">
        <v>281</v>
      </c>
      <c r="D9723" s="579"/>
      <c r="E9723" s="583"/>
      <c r="F9723" s="596"/>
      <c r="G9723" s="65">
        <v>0</v>
      </c>
      <c r="H9723" s="591" t="s">
        <v>280</v>
      </c>
      <c r="I9723" s="589" t="s">
        <v>280</v>
      </c>
    </row>
    <row r="9724" spans="1:9">
      <c r="A9724" s="577"/>
      <c r="B9724" s="65">
        <v>9922</v>
      </c>
      <c r="C9724" s="579" t="s">
        <v>281</v>
      </c>
      <c r="D9724" s="579"/>
      <c r="E9724" s="583"/>
      <c r="F9724" s="596"/>
      <c r="G9724" s="65">
        <v>0</v>
      </c>
      <c r="H9724" s="591" t="s">
        <v>280</v>
      </c>
      <c r="I9724" s="589" t="s">
        <v>280</v>
      </c>
    </row>
    <row r="9725" spans="1:9">
      <c r="A9725" s="577"/>
      <c r="B9725" s="65">
        <v>9923</v>
      </c>
      <c r="C9725" s="579" t="s">
        <v>281</v>
      </c>
      <c r="D9725" s="579"/>
      <c r="E9725" s="583"/>
      <c r="F9725" s="596"/>
      <c r="G9725" s="65">
        <v>0</v>
      </c>
      <c r="H9725" s="591" t="s">
        <v>280</v>
      </c>
      <c r="I9725" s="589" t="s">
        <v>280</v>
      </c>
    </row>
    <row r="9726" spans="1:9">
      <c r="A9726" s="577"/>
      <c r="B9726" s="65">
        <v>9924</v>
      </c>
      <c r="C9726" s="579" t="s">
        <v>281</v>
      </c>
      <c r="D9726" s="579"/>
      <c r="E9726" s="583"/>
      <c r="F9726" s="596"/>
      <c r="G9726" s="65">
        <v>0</v>
      </c>
      <c r="H9726" s="591" t="s">
        <v>280</v>
      </c>
      <c r="I9726" s="589" t="s">
        <v>280</v>
      </c>
    </row>
    <row r="9727" spans="1:9">
      <c r="A9727" s="577"/>
      <c r="B9727" s="65">
        <v>9925</v>
      </c>
      <c r="C9727" s="579" t="s">
        <v>281</v>
      </c>
      <c r="D9727" s="579"/>
      <c r="E9727" s="583"/>
      <c r="F9727" s="596"/>
      <c r="G9727" s="65">
        <v>0</v>
      </c>
      <c r="H9727" s="591" t="s">
        <v>280</v>
      </c>
      <c r="I9727" s="589" t="s">
        <v>280</v>
      </c>
    </row>
    <row r="9728" spans="1:9">
      <c r="A9728" s="577"/>
      <c r="B9728" s="65">
        <v>9926</v>
      </c>
      <c r="C9728" s="579" t="s">
        <v>281</v>
      </c>
      <c r="D9728" s="579"/>
      <c r="E9728" s="583"/>
      <c r="F9728" s="596"/>
      <c r="G9728" s="65">
        <v>0</v>
      </c>
      <c r="H9728" s="591" t="s">
        <v>280</v>
      </c>
      <c r="I9728" s="589" t="s">
        <v>280</v>
      </c>
    </row>
    <row r="9729" spans="1:9">
      <c r="A9729" s="577"/>
      <c r="B9729" s="65">
        <v>9927</v>
      </c>
      <c r="C9729" s="579" t="s">
        <v>281</v>
      </c>
      <c r="D9729" s="579"/>
      <c r="E9729" s="583"/>
      <c r="F9729" s="596"/>
      <c r="G9729" s="65">
        <v>0</v>
      </c>
      <c r="H9729" s="591" t="s">
        <v>280</v>
      </c>
      <c r="I9729" s="589" t="s">
        <v>280</v>
      </c>
    </row>
    <row r="9730" spans="1:9">
      <c r="A9730" s="577"/>
      <c r="B9730" s="65">
        <v>9928</v>
      </c>
      <c r="C9730" s="579" t="s">
        <v>281</v>
      </c>
      <c r="D9730" s="579"/>
      <c r="E9730" s="583"/>
      <c r="F9730" s="596"/>
      <c r="G9730" s="65">
        <v>0</v>
      </c>
      <c r="H9730" s="591" t="s">
        <v>280</v>
      </c>
      <c r="I9730" s="589" t="s">
        <v>280</v>
      </c>
    </row>
    <row r="9731" spans="1:9">
      <c r="A9731" s="577"/>
      <c r="B9731" s="65">
        <v>9929</v>
      </c>
      <c r="C9731" s="579" t="s">
        <v>281</v>
      </c>
      <c r="D9731" s="579"/>
      <c r="E9731" s="583"/>
      <c r="F9731" s="596"/>
      <c r="G9731" s="65">
        <v>0</v>
      </c>
      <c r="H9731" s="591" t="s">
        <v>280</v>
      </c>
      <c r="I9731" s="589" t="s">
        <v>280</v>
      </c>
    </row>
    <row r="9732" spans="1:9">
      <c r="A9732" s="577"/>
      <c r="B9732" s="65">
        <v>9930</v>
      </c>
      <c r="C9732" s="579" t="s">
        <v>281</v>
      </c>
      <c r="D9732" s="579"/>
      <c r="E9732" s="583"/>
      <c r="F9732" s="596"/>
      <c r="G9732" s="65">
        <v>0</v>
      </c>
      <c r="H9732" s="591" t="s">
        <v>280</v>
      </c>
      <c r="I9732" s="589" t="s">
        <v>280</v>
      </c>
    </row>
    <row r="9733" spans="1:9">
      <c r="A9733" s="577"/>
      <c r="B9733" s="65">
        <v>9931</v>
      </c>
      <c r="C9733" s="579" t="s">
        <v>281</v>
      </c>
      <c r="D9733" s="579"/>
      <c r="E9733" s="583"/>
      <c r="F9733" s="596"/>
      <c r="G9733" s="65">
        <v>0</v>
      </c>
      <c r="H9733" s="591" t="s">
        <v>280</v>
      </c>
      <c r="I9733" s="589" t="s">
        <v>280</v>
      </c>
    </row>
    <row r="9734" spans="1:9">
      <c r="A9734" s="577"/>
      <c r="B9734" s="65">
        <v>9932</v>
      </c>
      <c r="C9734" s="579" t="s">
        <v>281</v>
      </c>
      <c r="D9734" s="579"/>
      <c r="E9734" s="583"/>
      <c r="F9734" s="596"/>
      <c r="G9734" s="65">
        <v>0</v>
      </c>
      <c r="H9734" s="591" t="s">
        <v>280</v>
      </c>
      <c r="I9734" s="589" t="s">
        <v>280</v>
      </c>
    </row>
    <row r="9735" spans="1:9">
      <c r="A9735" s="577"/>
      <c r="B9735" s="65">
        <v>9933</v>
      </c>
      <c r="C9735" s="579" t="s">
        <v>281</v>
      </c>
      <c r="D9735" s="579"/>
      <c r="E9735" s="583"/>
      <c r="F9735" s="596"/>
      <c r="G9735" s="65">
        <v>0</v>
      </c>
      <c r="H9735" s="591" t="s">
        <v>280</v>
      </c>
      <c r="I9735" s="589" t="s">
        <v>280</v>
      </c>
    </row>
    <row r="9736" spans="1:9">
      <c r="A9736" s="577"/>
      <c r="B9736" s="65">
        <v>9934</v>
      </c>
      <c r="C9736" s="579" t="s">
        <v>281</v>
      </c>
      <c r="D9736" s="579"/>
      <c r="E9736" s="583"/>
      <c r="F9736" s="596"/>
      <c r="G9736" s="65">
        <v>0</v>
      </c>
      <c r="H9736" s="591" t="s">
        <v>280</v>
      </c>
      <c r="I9736" s="589" t="s">
        <v>280</v>
      </c>
    </row>
    <row r="9737" spans="1:9">
      <c r="A9737" s="577"/>
      <c r="B9737" s="65">
        <v>9935</v>
      </c>
      <c r="C9737" s="579" t="s">
        <v>281</v>
      </c>
      <c r="D9737" s="579"/>
      <c r="E9737" s="583"/>
      <c r="F9737" s="596"/>
      <c r="G9737" s="65">
        <v>0</v>
      </c>
      <c r="H9737" s="591" t="s">
        <v>280</v>
      </c>
      <c r="I9737" s="589" t="s">
        <v>280</v>
      </c>
    </row>
    <row r="9738" spans="1:9">
      <c r="A9738" s="577"/>
      <c r="B9738" s="65">
        <v>9936</v>
      </c>
      <c r="C9738" s="579" t="s">
        <v>281</v>
      </c>
      <c r="D9738" s="579"/>
      <c r="E9738" s="583"/>
      <c r="F9738" s="596"/>
      <c r="G9738" s="65">
        <v>0</v>
      </c>
      <c r="H9738" s="591" t="s">
        <v>280</v>
      </c>
      <c r="I9738" s="589" t="s">
        <v>280</v>
      </c>
    </row>
    <row r="9739" spans="1:9">
      <c r="A9739" s="577"/>
      <c r="B9739" s="65">
        <v>9937</v>
      </c>
      <c r="C9739" s="579" t="s">
        <v>281</v>
      </c>
      <c r="D9739" s="579"/>
      <c r="E9739" s="583"/>
      <c r="F9739" s="596"/>
      <c r="G9739" s="65">
        <v>0</v>
      </c>
      <c r="H9739" s="591" t="s">
        <v>280</v>
      </c>
      <c r="I9739" s="589" t="s">
        <v>280</v>
      </c>
    </row>
    <row r="9740" spans="1:9">
      <c r="A9740" s="577"/>
      <c r="B9740" s="65">
        <v>9938</v>
      </c>
      <c r="C9740" s="579" t="s">
        <v>281</v>
      </c>
      <c r="D9740" s="579"/>
      <c r="E9740" s="583"/>
      <c r="F9740" s="596"/>
      <c r="G9740" s="65">
        <v>0</v>
      </c>
      <c r="H9740" s="591" t="s">
        <v>280</v>
      </c>
      <c r="I9740" s="589" t="s">
        <v>280</v>
      </c>
    </row>
    <row r="9741" spans="1:9">
      <c r="A9741" s="577"/>
      <c r="B9741" s="65">
        <v>9939</v>
      </c>
      <c r="C9741" s="579" t="s">
        <v>281</v>
      </c>
      <c r="D9741" s="579"/>
      <c r="E9741" s="583"/>
      <c r="F9741" s="596"/>
      <c r="G9741" s="65">
        <v>0</v>
      </c>
      <c r="H9741" s="591" t="s">
        <v>280</v>
      </c>
      <c r="I9741" s="589" t="s">
        <v>280</v>
      </c>
    </row>
    <row r="9742" spans="1:9">
      <c r="A9742" s="577"/>
      <c r="B9742" s="65">
        <v>9940</v>
      </c>
      <c r="C9742" s="579" t="s">
        <v>281</v>
      </c>
      <c r="D9742" s="579"/>
      <c r="E9742" s="583"/>
      <c r="F9742" s="596"/>
      <c r="G9742" s="65">
        <v>0</v>
      </c>
      <c r="H9742" s="591" t="s">
        <v>280</v>
      </c>
      <c r="I9742" s="589" t="s">
        <v>280</v>
      </c>
    </row>
    <row r="9743" spans="1:9">
      <c r="A9743" s="577"/>
      <c r="B9743" s="65">
        <v>9941</v>
      </c>
      <c r="C9743" s="579" t="s">
        <v>281</v>
      </c>
      <c r="D9743" s="579"/>
      <c r="E9743" s="583"/>
      <c r="F9743" s="596"/>
      <c r="G9743" s="65">
        <v>0</v>
      </c>
      <c r="H9743" s="591" t="s">
        <v>280</v>
      </c>
      <c r="I9743" s="589" t="s">
        <v>280</v>
      </c>
    </row>
    <row r="9744" spans="1:9">
      <c r="A9744" s="577"/>
      <c r="B9744" s="65">
        <v>9942</v>
      </c>
      <c r="C9744" s="579" t="s">
        <v>281</v>
      </c>
      <c r="D9744" s="579"/>
      <c r="E9744" s="583"/>
      <c r="F9744" s="596"/>
      <c r="G9744" s="65">
        <v>0</v>
      </c>
      <c r="H9744" s="591" t="s">
        <v>280</v>
      </c>
      <c r="I9744" s="589" t="s">
        <v>280</v>
      </c>
    </row>
    <row r="9745" spans="1:9">
      <c r="A9745" s="577"/>
      <c r="B9745" s="65">
        <v>9943</v>
      </c>
      <c r="C9745" s="579" t="s">
        <v>281</v>
      </c>
      <c r="D9745" s="579"/>
      <c r="E9745" s="583"/>
      <c r="F9745" s="596"/>
      <c r="G9745" s="65">
        <v>0</v>
      </c>
      <c r="H9745" s="591" t="s">
        <v>280</v>
      </c>
      <c r="I9745" s="589" t="s">
        <v>280</v>
      </c>
    </row>
    <row r="9746" spans="1:9">
      <c r="A9746" s="577"/>
      <c r="B9746" s="65">
        <v>9944</v>
      </c>
      <c r="C9746" s="579" t="s">
        <v>281</v>
      </c>
      <c r="D9746" s="579"/>
      <c r="E9746" s="583"/>
      <c r="F9746" s="596"/>
      <c r="G9746" s="65">
        <v>0</v>
      </c>
      <c r="H9746" s="591" t="s">
        <v>280</v>
      </c>
      <c r="I9746" s="589" t="s">
        <v>280</v>
      </c>
    </row>
    <row r="9747" spans="1:9">
      <c r="A9747" s="577"/>
      <c r="B9747" s="65">
        <v>9945</v>
      </c>
      <c r="C9747" s="579" t="s">
        <v>281</v>
      </c>
      <c r="D9747" s="579"/>
      <c r="E9747" s="583"/>
      <c r="F9747" s="596"/>
      <c r="G9747" s="65">
        <v>0</v>
      </c>
      <c r="H9747" s="591" t="s">
        <v>280</v>
      </c>
      <c r="I9747" s="589" t="s">
        <v>280</v>
      </c>
    </row>
    <row r="9748" spans="1:9">
      <c r="A9748" s="577"/>
      <c r="B9748" s="65">
        <v>9946</v>
      </c>
      <c r="C9748" s="579" t="s">
        <v>281</v>
      </c>
      <c r="D9748" s="579"/>
      <c r="E9748" s="583"/>
      <c r="F9748" s="596"/>
      <c r="G9748" s="65">
        <v>0</v>
      </c>
      <c r="H9748" s="591" t="s">
        <v>280</v>
      </c>
      <c r="I9748" s="589" t="s">
        <v>280</v>
      </c>
    </row>
    <row r="9749" spans="1:9">
      <c r="A9749" s="577"/>
      <c r="B9749" s="65">
        <v>9947</v>
      </c>
      <c r="C9749" s="579" t="s">
        <v>281</v>
      </c>
      <c r="D9749" s="579"/>
      <c r="E9749" s="583"/>
      <c r="F9749" s="596"/>
      <c r="G9749" s="65">
        <v>0</v>
      </c>
      <c r="H9749" s="591" t="s">
        <v>280</v>
      </c>
      <c r="I9749" s="589" t="s">
        <v>280</v>
      </c>
    </row>
    <row r="9750" spans="1:9">
      <c r="A9750" s="577"/>
      <c r="B9750" s="65">
        <v>9948</v>
      </c>
      <c r="C9750" s="579" t="s">
        <v>281</v>
      </c>
      <c r="D9750" s="579"/>
      <c r="E9750" s="583"/>
      <c r="F9750" s="596"/>
      <c r="G9750" s="65">
        <v>0</v>
      </c>
      <c r="H9750" s="591" t="s">
        <v>280</v>
      </c>
      <c r="I9750" s="589" t="s">
        <v>280</v>
      </c>
    </row>
    <row r="9751" spans="1:9">
      <c r="A9751" s="577"/>
      <c r="B9751" s="65">
        <v>9949</v>
      </c>
      <c r="C9751" s="579" t="s">
        <v>281</v>
      </c>
      <c r="D9751" s="579"/>
      <c r="E9751" s="583"/>
      <c r="F9751" s="596"/>
      <c r="G9751" s="65">
        <v>0</v>
      </c>
      <c r="H9751" s="591" t="s">
        <v>280</v>
      </c>
      <c r="I9751" s="589" t="s">
        <v>280</v>
      </c>
    </row>
    <row r="9752" spans="1:9">
      <c r="A9752" s="577"/>
      <c r="B9752" s="65">
        <v>9950</v>
      </c>
      <c r="C9752" s="579" t="s">
        <v>281</v>
      </c>
      <c r="D9752" s="579"/>
      <c r="E9752" s="583"/>
      <c r="F9752" s="596"/>
      <c r="G9752" s="65">
        <v>0</v>
      </c>
      <c r="H9752" s="591" t="s">
        <v>280</v>
      </c>
      <c r="I9752" s="589" t="s">
        <v>280</v>
      </c>
    </row>
    <row r="9753" spans="1:9">
      <c r="A9753" s="577"/>
      <c r="B9753" s="65">
        <v>9951</v>
      </c>
      <c r="C9753" s="579" t="s">
        <v>281</v>
      </c>
      <c r="D9753" s="579"/>
      <c r="E9753" s="583"/>
      <c r="F9753" s="596"/>
      <c r="G9753" s="65">
        <v>0</v>
      </c>
      <c r="H9753" s="591" t="s">
        <v>280</v>
      </c>
      <c r="I9753" s="589" t="s">
        <v>280</v>
      </c>
    </row>
    <row r="9754" spans="1:9">
      <c r="A9754" s="577"/>
      <c r="B9754" s="65">
        <v>9952</v>
      </c>
      <c r="C9754" s="579" t="s">
        <v>281</v>
      </c>
      <c r="D9754" s="579"/>
      <c r="E9754" s="583"/>
      <c r="F9754" s="596"/>
      <c r="G9754" s="65">
        <v>0</v>
      </c>
      <c r="H9754" s="591" t="s">
        <v>280</v>
      </c>
      <c r="I9754" s="589" t="s">
        <v>280</v>
      </c>
    </row>
    <row r="9755" spans="1:9">
      <c r="A9755" s="577"/>
      <c r="B9755" s="65">
        <v>9953</v>
      </c>
      <c r="C9755" s="579" t="s">
        <v>281</v>
      </c>
      <c r="D9755" s="579"/>
      <c r="E9755" s="583"/>
      <c r="F9755" s="596"/>
      <c r="G9755" s="65">
        <v>0</v>
      </c>
      <c r="H9755" s="591" t="s">
        <v>280</v>
      </c>
      <c r="I9755" s="589" t="s">
        <v>280</v>
      </c>
    </row>
    <row r="9756" spans="1:9">
      <c r="A9756" s="577"/>
      <c r="B9756" s="65">
        <v>9954</v>
      </c>
      <c r="C9756" s="579" t="s">
        <v>281</v>
      </c>
      <c r="D9756" s="579"/>
      <c r="E9756" s="583"/>
      <c r="F9756" s="596"/>
      <c r="G9756" s="65">
        <v>0</v>
      </c>
      <c r="H9756" s="591" t="s">
        <v>280</v>
      </c>
      <c r="I9756" s="589" t="s">
        <v>280</v>
      </c>
    </row>
    <row r="9757" spans="1:9">
      <c r="A9757" s="577"/>
      <c r="B9757" s="65">
        <v>9955</v>
      </c>
      <c r="C9757" s="579" t="s">
        <v>281</v>
      </c>
      <c r="D9757" s="579"/>
      <c r="E9757" s="583"/>
      <c r="F9757" s="596"/>
      <c r="G9757" s="65">
        <v>0</v>
      </c>
      <c r="H9757" s="591" t="s">
        <v>280</v>
      </c>
      <c r="I9757" s="589" t="s">
        <v>280</v>
      </c>
    </row>
    <row r="9758" spans="1:9">
      <c r="A9758" s="577"/>
      <c r="B9758" s="65">
        <v>9956</v>
      </c>
      <c r="C9758" s="579" t="s">
        <v>281</v>
      </c>
      <c r="D9758" s="579"/>
      <c r="E9758" s="583"/>
      <c r="F9758" s="596"/>
      <c r="G9758" s="65">
        <v>0</v>
      </c>
      <c r="H9758" s="591" t="s">
        <v>280</v>
      </c>
      <c r="I9758" s="589" t="s">
        <v>280</v>
      </c>
    </row>
    <row r="9759" spans="1:9">
      <c r="A9759" s="577"/>
      <c r="B9759" s="65">
        <v>9957</v>
      </c>
      <c r="C9759" s="579" t="s">
        <v>281</v>
      </c>
      <c r="D9759" s="579"/>
      <c r="E9759" s="583"/>
      <c r="F9759" s="596"/>
      <c r="G9759" s="65">
        <v>0</v>
      </c>
      <c r="H9759" s="591" t="s">
        <v>280</v>
      </c>
      <c r="I9759" s="589" t="s">
        <v>280</v>
      </c>
    </row>
    <row r="9760" spans="1:9">
      <c r="A9760" s="577"/>
      <c r="B9760" s="65">
        <v>9958</v>
      </c>
      <c r="C9760" s="579" t="s">
        <v>281</v>
      </c>
      <c r="D9760" s="579"/>
      <c r="E9760" s="583"/>
      <c r="F9760" s="596"/>
      <c r="G9760" s="65">
        <v>0</v>
      </c>
      <c r="H9760" s="591" t="s">
        <v>280</v>
      </c>
      <c r="I9760" s="589" t="s">
        <v>280</v>
      </c>
    </row>
    <row r="9761" spans="1:9">
      <c r="A9761" s="577"/>
      <c r="B9761" s="65">
        <v>9959</v>
      </c>
      <c r="C9761" s="579" t="s">
        <v>281</v>
      </c>
      <c r="D9761" s="579"/>
      <c r="E9761" s="583"/>
      <c r="F9761" s="596"/>
      <c r="G9761" s="65">
        <v>0</v>
      </c>
      <c r="H9761" s="591" t="s">
        <v>280</v>
      </c>
      <c r="I9761" s="589" t="s">
        <v>280</v>
      </c>
    </row>
    <row r="9762" spans="1:9">
      <c r="A9762" s="577"/>
      <c r="B9762" s="65">
        <v>9960</v>
      </c>
      <c r="C9762" s="579" t="s">
        <v>281</v>
      </c>
      <c r="D9762" s="579"/>
      <c r="E9762" s="583"/>
      <c r="F9762" s="596"/>
      <c r="G9762" s="65">
        <v>0</v>
      </c>
      <c r="H9762" s="591" t="s">
        <v>280</v>
      </c>
      <c r="I9762" s="589" t="s">
        <v>280</v>
      </c>
    </row>
    <row r="9763" spans="1:9">
      <c r="A9763" s="577"/>
      <c r="B9763" s="65">
        <v>9961</v>
      </c>
      <c r="C9763" s="579" t="s">
        <v>281</v>
      </c>
      <c r="D9763" s="579"/>
      <c r="E9763" s="583"/>
      <c r="F9763" s="596"/>
      <c r="G9763" s="65">
        <v>0</v>
      </c>
      <c r="H9763" s="591" t="s">
        <v>280</v>
      </c>
      <c r="I9763" s="589" t="s">
        <v>280</v>
      </c>
    </row>
    <row r="9764" spans="1:9">
      <c r="A9764" s="577"/>
      <c r="B9764" s="65">
        <v>9962</v>
      </c>
      <c r="C9764" s="579" t="s">
        <v>281</v>
      </c>
      <c r="D9764" s="579"/>
      <c r="E9764" s="583"/>
      <c r="F9764" s="596"/>
      <c r="G9764" s="65">
        <v>0</v>
      </c>
      <c r="H9764" s="591" t="s">
        <v>280</v>
      </c>
      <c r="I9764" s="589" t="s">
        <v>280</v>
      </c>
    </row>
    <row r="9765" spans="1:9">
      <c r="A9765" s="577"/>
      <c r="B9765" s="65">
        <v>9963</v>
      </c>
      <c r="C9765" s="579" t="s">
        <v>281</v>
      </c>
      <c r="D9765" s="579"/>
      <c r="E9765" s="583"/>
      <c r="F9765" s="596"/>
      <c r="G9765" s="65">
        <v>0</v>
      </c>
      <c r="H9765" s="591" t="s">
        <v>280</v>
      </c>
      <c r="I9765" s="589" t="s">
        <v>280</v>
      </c>
    </row>
    <row r="9766" spans="1:9">
      <c r="A9766" s="577"/>
      <c r="B9766" s="65">
        <v>9964</v>
      </c>
      <c r="C9766" s="579" t="s">
        <v>281</v>
      </c>
      <c r="D9766" s="579"/>
      <c r="E9766" s="583"/>
      <c r="F9766" s="596"/>
      <c r="G9766" s="65">
        <v>0</v>
      </c>
      <c r="H9766" s="591" t="s">
        <v>280</v>
      </c>
      <c r="I9766" s="589" t="s">
        <v>280</v>
      </c>
    </row>
    <row r="9767" spans="1:9">
      <c r="A9767" s="577"/>
      <c r="B9767" s="65">
        <v>9965</v>
      </c>
      <c r="C9767" s="579" t="s">
        <v>281</v>
      </c>
      <c r="D9767" s="579"/>
      <c r="E9767" s="583"/>
      <c r="F9767" s="596"/>
      <c r="G9767" s="65">
        <v>0</v>
      </c>
      <c r="H9767" s="591" t="s">
        <v>280</v>
      </c>
      <c r="I9767" s="589" t="s">
        <v>280</v>
      </c>
    </row>
    <row r="9768" spans="1:9">
      <c r="A9768" s="577"/>
      <c r="B9768" s="65">
        <v>9966</v>
      </c>
      <c r="C9768" s="579" t="s">
        <v>281</v>
      </c>
      <c r="D9768" s="579"/>
      <c r="E9768" s="583"/>
      <c r="F9768" s="596"/>
      <c r="G9768" s="65">
        <v>0</v>
      </c>
      <c r="H9768" s="591" t="s">
        <v>280</v>
      </c>
      <c r="I9768" s="589" t="s">
        <v>280</v>
      </c>
    </row>
    <row r="9769" spans="1:9">
      <c r="A9769" s="577"/>
      <c r="B9769" s="65">
        <v>9967</v>
      </c>
      <c r="C9769" s="579" t="s">
        <v>281</v>
      </c>
      <c r="D9769" s="579"/>
      <c r="E9769" s="583"/>
      <c r="F9769" s="596"/>
      <c r="G9769" s="65">
        <v>0</v>
      </c>
      <c r="H9769" s="591" t="s">
        <v>280</v>
      </c>
      <c r="I9769" s="589" t="s">
        <v>280</v>
      </c>
    </row>
    <row r="9770" spans="1:9">
      <c r="A9770" s="577"/>
      <c r="B9770" s="65">
        <v>9968</v>
      </c>
      <c r="C9770" s="579" t="s">
        <v>281</v>
      </c>
      <c r="D9770" s="579"/>
      <c r="E9770" s="583"/>
      <c r="F9770" s="596"/>
      <c r="G9770" s="65">
        <v>0</v>
      </c>
      <c r="H9770" s="591" t="s">
        <v>280</v>
      </c>
      <c r="I9770" s="589" t="s">
        <v>280</v>
      </c>
    </row>
    <row r="9771" spans="1:9">
      <c r="A9771" s="577"/>
      <c r="B9771" s="65">
        <v>9969</v>
      </c>
      <c r="C9771" s="579" t="s">
        <v>281</v>
      </c>
      <c r="D9771" s="579"/>
      <c r="E9771" s="583"/>
      <c r="F9771" s="596"/>
      <c r="G9771" s="65">
        <v>0</v>
      </c>
      <c r="H9771" s="591" t="s">
        <v>280</v>
      </c>
      <c r="I9771" s="589" t="s">
        <v>280</v>
      </c>
    </row>
    <row r="9772" spans="1:9">
      <c r="A9772" s="577"/>
      <c r="B9772" s="65">
        <v>9970</v>
      </c>
      <c r="C9772" s="579" t="s">
        <v>281</v>
      </c>
      <c r="D9772" s="579"/>
      <c r="E9772" s="583"/>
      <c r="F9772" s="596"/>
      <c r="G9772" s="65">
        <v>0</v>
      </c>
      <c r="H9772" s="591" t="s">
        <v>280</v>
      </c>
      <c r="I9772" s="589" t="s">
        <v>280</v>
      </c>
    </row>
    <row r="9773" spans="1:9">
      <c r="A9773" s="577"/>
      <c r="B9773" s="65">
        <v>9971</v>
      </c>
      <c r="C9773" s="579" t="s">
        <v>281</v>
      </c>
      <c r="D9773" s="579"/>
      <c r="E9773" s="583"/>
      <c r="F9773" s="596"/>
      <c r="G9773" s="65">
        <v>0</v>
      </c>
      <c r="H9773" s="591" t="s">
        <v>280</v>
      </c>
      <c r="I9773" s="589" t="s">
        <v>280</v>
      </c>
    </row>
    <row r="9774" spans="1:9">
      <c r="A9774" s="577"/>
      <c r="B9774" s="65">
        <v>9972</v>
      </c>
      <c r="C9774" s="579" t="s">
        <v>281</v>
      </c>
      <c r="D9774" s="579"/>
      <c r="E9774" s="583"/>
      <c r="F9774" s="596"/>
      <c r="G9774" s="65">
        <v>0</v>
      </c>
      <c r="H9774" s="591" t="s">
        <v>280</v>
      </c>
      <c r="I9774" s="589" t="s">
        <v>280</v>
      </c>
    </row>
    <row r="9775" spans="1:9">
      <c r="A9775" s="577"/>
      <c r="B9775" s="65">
        <v>9973</v>
      </c>
      <c r="C9775" s="579" t="s">
        <v>281</v>
      </c>
      <c r="D9775" s="579"/>
      <c r="E9775" s="583"/>
      <c r="F9775" s="596"/>
      <c r="G9775" s="65">
        <v>0</v>
      </c>
      <c r="H9775" s="591" t="s">
        <v>280</v>
      </c>
      <c r="I9775" s="589" t="s">
        <v>280</v>
      </c>
    </row>
    <row r="9776" spans="1:9">
      <c r="A9776" s="577"/>
      <c r="B9776" s="65">
        <v>9974</v>
      </c>
      <c r="C9776" s="579" t="s">
        <v>281</v>
      </c>
      <c r="D9776" s="579"/>
      <c r="E9776" s="583"/>
      <c r="F9776" s="596"/>
      <c r="G9776" s="65">
        <v>0</v>
      </c>
      <c r="H9776" s="591" t="s">
        <v>280</v>
      </c>
      <c r="I9776" s="589" t="s">
        <v>280</v>
      </c>
    </row>
    <row r="9777" spans="1:9">
      <c r="A9777" s="577"/>
      <c r="B9777" s="65">
        <v>9975</v>
      </c>
      <c r="C9777" s="579" t="s">
        <v>281</v>
      </c>
      <c r="D9777" s="579"/>
      <c r="E9777" s="583"/>
      <c r="F9777" s="596"/>
      <c r="G9777" s="65">
        <v>0</v>
      </c>
      <c r="H9777" s="591" t="s">
        <v>280</v>
      </c>
      <c r="I9777" s="589" t="s">
        <v>280</v>
      </c>
    </row>
    <row r="9778" spans="1:9">
      <c r="A9778" s="577"/>
      <c r="B9778" s="65">
        <v>9976</v>
      </c>
      <c r="C9778" s="579" t="s">
        <v>281</v>
      </c>
      <c r="D9778" s="579"/>
      <c r="E9778" s="583"/>
      <c r="F9778" s="596"/>
      <c r="G9778" s="65">
        <v>0</v>
      </c>
      <c r="H9778" s="591" t="s">
        <v>280</v>
      </c>
      <c r="I9778" s="589" t="s">
        <v>280</v>
      </c>
    </row>
    <row r="9779" spans="1:9">
      <c r="A9779" s="577"/>
      <c r="B9779" s="65">
        <v>9977</v>
      </c>
      <c r="C9779" s="579" t="s">
        <v>281</v>
      </c>
      <c r="D9779" s="579"/>
      <c r="E9779" s="583"/>
      <c r="F9779" s="596"/>
      <c r="G9779" s="65">
        <v>0</v>
      </c>
      <c r="H9779" s="591" t="s">
        <v>280</v>
      </c>
      <c r="I9779" s="589" t="s">
        <v>280</v>
      </c>
    </row>
    <row r="9780" spans="1:9">
      <c r="A9780" s="577"/>
      <c r="B9780" s="65">
        <v>9978</v>
      </c>
      <c r="C9780" s="579" t="s">
        <v>281</v>
      </c>
      <c r="D9780" s="579"/>
      <c r="E9780" s="583"/>
      <c r="F9780" s="596"/>
      <c r="G9780" s="65">
        <v>0</v>
      </c>
      <c r="H9780" s="591" t="s">
        <v>280</v>
      </c>
      <c r="I9780" s="589" t="s">
        <v>280</v>
      </c>
    </row>
    <row r="9781" spans="1:9">
      <c r="A9781" s="577"/>
      <c r="B9781" s="65">
        <v>9979</v>
      </c>
      <c r="C9781" s="579" t="s">
        <v>281</v>
      </c>
      <c r="D9781" s="579"/>
      <c r="E9781" s="583"/>
      <c r="F9781" s="596"/>
      <c r="G9781" s="65">
        <v>0</v>
      </c>
      <c r="H9781" s="591" t="s">
        <v>280</v>
      </c>
      <c r="I9781" s="589" t="s">
        <v>280</v>
      </c>
    </row>
    <row r="9782" spans="1:9">
      <c r="A9782" s="577"/>
      <c r="B9782" s="65">
        <v>9980</v>
      </c>
      <c r="C9782" s="579" t="s">
        <v>281</v>
      </c>
      <c r="D9782" s="579"/>
      <c r="E9782" s="583"/>
      <c r="F9782" s="596"/>
      <c r="G9782" s="65">
        <v>0</v>
      </c>
      <c r="H9782" s="591" t="s">
        <v>280</v>
      </c>
      <c r="I9782" s="589" t="s">
        <v>280</v>
      </c>
    </row>
    <row r="9783" spans="1:9">
      <c r="A9783" s="577"/>
      <c r="B9783" s="65">
        <v>9981</v>
      </c>
      <c r="C9783" s="579" t="s">
        <v>281</v>
      </c>
      <c r="D9783" s="579"/>
      <c r="E9783" s="583"/>
      <c r="F9783" s="596"/>
      <c r="G9783" s="65">
        <v>0</v>
      </c>
      <c r="H9783" s="591" t="s">
        <v>280</v>
      </c>
      <c r="I9783" s="589" t="s">
        <v>280</v>
      </c>
    </row>
    <row r="9784" spans="1:9">
      <c r="A9784" s="577"/>
      <c r="B9784" s="65">
        <v>9982</v>
      </c>
      <c r="C9784" s="579" t="s">
        <v>281</v>
      </c>
      <c r="D9784" s="579"/>
      <c r="E9784" s="583"/>
      <c r="F9784" s="596"/>
      <c r="G9784" s="65">
        <v>0</v>
      </c>
      <c r="H9784" s="591" t="s">
        <v>280</v>
      </c>
      <c r="I9784" s="589" t="s">
        <v>280</v>
      </c>
    </row>
    <row r="9785" spans="1:9">
      <c r="A9785" s="577"/>
      <c r="B9785" s="65">
        <v>9983</v>
      </c>
      <c r="C9785" s="579" t="s">
        <v>281</v>
      </c>
      <c r="D9785" s="579"/>
      <c r="E9785" s="583"/>
      <c r="F9785" s="596"/>
      <c r="G9785" s="65">
        <v>0</v>
      </c>
      <c r="H9785" s="591" t="s">
        <v>280</v>
      </c>
      <c r="I9785" s="589" t="s">
        <v>280</v>
      </c>
    </row>
    <row r="9786" spans="1:9">
      <c r="A9786" s="577"/>
      <c r="B9786" s="65">
        <v>9984</v>
      </c>
      <c r="C9786" s="579" t="s">
        <v>281</v>
      </c>
      <c r="D9786" s="579"/>
      <c r="E9786" s="583"/>
      <c r="F9786" s="596"/>
      <c r="G9786" s="65">
        <v>0</v>
      </c>
      <c r="H9786" s="591" t="s">
        <v>280</v>
      </c>
      <c r="I9786" s="589" t="s">
        <v>280</v>
      </c>
    </row>
    <row r="9787" spans="1:9">
      <c r="A9787" s="577"/>
      <c r="B9787" s="65">
        <v>9985</v>
      </c>
      <c r="C9787" s="579" t="s">
        <v>281</v>
      </c>
      <c r="D9787" s="579"/>
      <c r="E9787" s="583"/>
      <c r="F9787" s="596"/>
      <c r="G9787" s="65">
        <v>0</v>
      </c>
      <c r="H9787" s="591" t="s">
        <v>280</v>
      </c>
      <c r="I9787" s="589" t="s">
        <v>280</v>
      </c>
    </row>
    <row r="9788" spans="1:9">
      <c r="A9788" s="577"/>
      <c r="B9788" s="65">
        <v>9986</v>
      </c>
      <c r="C9788" s="579" t="s">
        <v>281</v>
      </c>
      <c r="D9788" s="579"/>
      <c r="E9788" s="583"/>
      <c r="F9788" s="596"/>
      <c r="G9788" s="65">
        <v>0</v>
      </c>
      <c r="H9788" s="591" t="s">
        <v>280</v>
      </c>
      <c r="I9788" s="589" t="s">
        <v>280</v>
      </c>
    </row>
    <row r="9789" spans="1:9">
      <c r="A9789" s="577"/>
      <c r="B9789" s="65">
        <v>9987</v>
      </c>
      <c r="C9789" s="579" t="s">
        <v>281</v>
      </c>
      <c r="D9789" s="579"/>
      <c r="E9789" s="583"/>
      <c r="F9789" s="596"/>
      <c r="G9789" s="65">
        <v>0</v>
      </c>
      <c r="H9789" s="591" t="s">
        <v>280</v>
      </c>
      <c r="I9789" s="589" t="s">
        <v>280</v>
      </c>
    </row>
    <row r="9790" spans="1:9">
      <c r="A9790" s="577"/>
      <c r="B9790" s="65">
        <v>9988</v>
      </c>
      <c r="C9790" s="579" t="s">
        <v>281</v>
      </c>
      <c r="D9790" s="579"/>
      <c r="E9790" s="583"/>
      <c r="F9790" s="596"/>
      <c r="G9790" s="65">
        <v>0</v>
      </c>
      <c r="H9790" s="591" t="s">
        <v>280</v>
      </c>
      <c r="I9790" s="589" t="s">
        <v>280</v>
      </c>
    </row>
    <row r="9791" spans="1:9">
      <c r="A9791" s="577"/>
      <c r="B9791" s="65">
        <v>9989</v>
      </c>
      <c r="C9791" s="579" t="s">
        <v>281</v>
      </c>
      <c r="D9791" s="579"/>
      <c r="E9791" s="583"/>
      <c r="F9791" s="596"/>
      <c r="G9791" s="65">
        <v>0</v>
      </c>
      <c r="H9791" s="591" t="s">
        <v>280</v>
      </c>
      <c r="I9791" s="589" t="s">
        <v>280</v>
      </c>
    </row>
    <row r="9792" spans="1:9">
      <c r="A9792" s="577"/>
      <c r="B9792" s="65">
        <v>9990</v>
      </c>
      <c r="C9792" s="579" t="s">
        <v>281</v>
      </c>
      <c r="D9792" s="579"/>
      <c r="E9792" s="583"/>
      <c r="F9792" s="596"/>
      <c r="G9792" s="65">
        <v>0</v>
      </c>
      <c r="H9792" s="591" t="s">
        <v>280</v>
      </c>
      <c r="I9792" s="589" t="s">
        <v>280</v>
      </c>
    </row>
    <row r="9793" spans="1:9">
      <c r="A9793" s="577"/>
      <c r="B9793" s="65">
        <v>9991</v>
      </c>
      <c r="C9793" s="579" t="s">
        <v>281</v>
      </c>
      <c r="D9793" s="579"/>
      <c r="E9793" s="583"/>
      <c r="F9793" s="596"/>
      <c r="G9793" s="65">
        <v>0</v>
      </c>
      <c r="H9793" s="591" t="s">
        <v>280</v>
      </c>
      <c r="I9793" s="589" t="s">
        <v>280</v>
      </c>
    </row>
    <row r="9794" spans="1:9">
      <c r="A9794" s="577"/>
      <c r="B9794" s="65">
        <v>9992</v>
      </c>
      <c r="C9794" s="579" t="s">
        <v>281</v>
      </c>
      <c r="D9794" s="579"/>
      <c r="E9794" s="583"/>
      <c r="F9794" s="596"/>
      <c r="G9794" s="65">
        <v>0</v>
      </c>
      <c r="H9794" s="591" t="s">
        <v>280</v>
      </c>
      <c r="I9794" s="589" t="s">
        <v>280</v>
      </c>
    </row>
    <row r="9795" spans="1:9">
      <c r="A9795" s="577"/>
      <c r="B9795" s="65">
        <v>9993</v>
      </c>
      <c r="C9795" s="579" t="s">
        <v>281</v>
      </c>
      <c r="D9795" s="579"/>
      <c r="E9795" s="583"/>
      <c r="F9795" s="596"/>
      <c r="G9795" s="65">
        <v>0</v>
      </c>
      <c r="H9795" s="591" t="s">
        <v>280</v>
      </c>
      <c r="I9795" s="589" t="s">
        <v>280</v>
      </c>
    </row>
    <row r="9796" spans="1:9">
      <c r="A9796" s="577"/>
      <c r="B9796" s="65">
        <v>9994</v>
      </c>
      <c r="C9796" s="579" t="s">
        <v>281</v>
      </c>
      <c r="D9796" s="579"/>
      <c r="E9796" s="583"/>
      <c r="F9796" s="596"/>
      <c r="G9796" s="65">
        <v>0</v>
      </c>
      <c r="H9796" s="591" t="s">
        <v>280</v>
      </c>
      <c r="I9796" s="589" t="s">
        <v>280</v>
      </c>
    </row>
    <row r="9797" spans="1:9">
      <c r="A9797" s="577"/>
      <c r="B9797" s="65">
        <v>9995</v>
      </c>
      <c r="C9797" s="579" t="s">
        <v>281</v>
      </c>
      <c r="D9797" s="579"/>
      <c r="E9797" s="583"/>
      <c r="F9797" s="596"/>
      <c r="G9797" s="65">
        <v>0</v>
      </c>
      <c r="H9797" s="591" t="s">
        <v>280</v>
      </c>
      <c r="I9797" s="589" t="s">
        <v>280</v>
      </c>
    </row>
    <row r="9798" spans="1:9">
      <c r="A9798" s="577"/>
      <c r="B9798" s="65">
        <v>9996</v>
      </c>
      <c r="C9798" s="579" t="s">
        <v>281</v>
      </c>
      <c r="D9798" s="579"/>
      <c r="E9798" s="583"/>
      <c r="F9798" s="596"/>
      <c r="G9798" s="65">
        <v>0</v>
      </c>
      <c r="H9798" s="591" t="s">
        <v>280</v>
      </c>
      <c r="I9798" s="589" t="s">
        <v>280</v>
      </c>
    </row>
    <row r="9799" spans="1:9">
      <c r="A9799" s="577"/>
      <c r="B9799" s="65">
        <v>9997</v>
      </c>
      <c r="C9799" s="579" t="s">
        <v>281</v>
      </c>
      <c r="D9799" s="579"/>
      <c r="E9799" s="583"/>
      <c r="F9799" s="596"/>
      <c r="G9799" s="65">
        <v>0</v>
      </c>
      <c r="H9799" s="591" t="s">
        <v>280</v>
      </c>
      <c r="I9799" s="589" t="s">
        <v>280</v>
      </c>
    </row>
    <row r="9800" spans="1:9">
      <c r="A9800" s="577"/>
      <c r="B9800" s="65">
        <v>9998</v>
      </c>
      <c r="C9800" s="579" t="s">
        <v>281</v>
      </c>
      <c r="D9800" s="579"/>
      <c r="E9800" s="583"/>
      <c r="F9800" s="596"/>
      <c r="G9800" s="65">
        <v>0</v>
      </c>
      <c r="H9800" s="591" t="s">
        <v>280</v>
      </c>
      <c r="I9800" s="589" t="s">
        <v>280</v>
      </c>
    </row>
    <row r="9801" spans="1:9">
      <c r="A9801" s="577"/>
      <c r="B9801" s="65">
        <v>9999</v>
      </c>
      <c r="C9801" s="579" t="s">
        <v>281</v>
      </c>
      <c r="D9801" s="579"/>
      <c r="E9801" s="583"/>
      <c r="F9801" s="596"/>
      <c r="G9801" s="65">
        <v>0</v>
      </c>
      <c r="H9801" s="591" t="s">
        <v>280</v>
      </c>
      <c r="I9801" s="589" t="s">
        <v>280</v>
      </c>
    </row>
    <row r="9802" spans="1:9">
      <c r="A9802" s="577"/>
      <c r="B9802" s="65"/>
      <c r="C9802" s="579"/>
      <c r="D9802" s="579"/>
      <c r="E9802" s="583"/>
      <c r="F9802" s="596"/>
      <c r="G9802" s="65">
        <v>0</v>
      </c>
    </row>
    <row r="9803" spans="1:9">
      <c r="A9803" s="577"/>
      <c r="B9803" s="65"/>
      <c r="C9803" s="579"/>
      <c r="D9803" s="579"/>
      <c r="E9803" s="583"/>
      <c r="F9803" s="596"/>
      <c r="G9803" s="65"/>
    </row>
    <row r="9804" spans="1:9">
      <c r="A9804" s="577"/>
      <c r="B9804" s="65"/>
      <c r="C9804" s="579"/>
      <c r="D9804" s="579"/>
      <c r="E9804" s="583"/>
      <c r="F9804" s="596"/>
      <c r="G9804" s="65"/>
    </row>
    <row r="9805" spans="1:9">
      <c r="A9805" s="577"/>
      <c r="B9805" s="65"/>
      <c r="C9805" s="579"/>
      <c r="D9805" s="579"/>
      <c r="E9805" s="583"/>
      <c r="F9805" s="596"/>
      <c r="G9805" s="65"/>
    </row>
    <row r="9806" spans="1:9">
      <c r="A9806" s="577"/>
      <c r="B9806" s="65"/>
      <c r="C9806" s="579"/>
      <c r="D9806" s="579"/>
      <c r="E9806" s="583"/>
      <c r="F9806" s="596"/>
      <c r="G9806" s="65"/>
    </row>
    <row r="9807" spans="1:9">
      <c r="A9807" s="577"/>
      <c r="B9807" s="65"/>
      <c r="C9807" s="579"/>
      <c r="D9807" s="579"/>
      <c r="E9807" s="583"/>
      <c r="F9807" s="596"/>
      <c r="G9807" s="65"/>
    </row>
    <row r="9808" spans="1:9">
      <c r="A9808" s="577"/>
      <c r="B9808" s="65"/>
      <c r="C9808" s="579"/>
      <c r="D9808" s="579"/>
      <c r="E9808" s="583"/>
      <c r="F9808" s="596"/>
      <c r="G9808" s="65"/>
    </row>
    <row r="9809" spans="1:7">
      <c r="A9809" s="577"/>
      <c r="B9809" s="65"/>
      <c r="C9809" s="579"/>
      <c r="D9809" s="579"/>
      <c r="E9809" s="583"/>
      <c r="F9809" s="596"/>
      <c r="G9809" s="65"/>
    </row>
    <row r="9810" spans="1:7">
      <c r="A9810" s="577"/>
      <c r="B9810" s="65"/>
      <c r="C9810" s="579"/>
      <c r="D9810" s="579"/>
      <c r="E9810" s="583"/>
      <c r="F9810" s="596"/>
      <c r="G9810" s="65"/>
    </row>
    <row r="9811" spans="1:7">
      <c r="A9811" s="577"/>
      <c r="B9811" s="65"/>
      <c r="C9811" s="579"/>
      <c r="D9811" s="579"/>
      <c r="E9811" s="583"/>
      <c r="F9811" s="596"/>
      <c r="G9811" s="65"/>
    </row>
    <row r="9812" spans="1:7">
      <c r="A9812" s="577"/>
      <c r="B9812" s="65"/>
      <c r="C9812" s="579"/>
      <c r="D9812" s="579"/>
      <c r="E9812" s="583"/>
      <c r="F9812" s="596"/>
      <c r="G9812" s="65"/>
    </row>
    <row r="9813" spans="1:7">
      <c r="A9813" s="577"/>
      <c r="B9813" s="65"/>
      <c r="C9813" s="579"/>
      <c r="D9813" s="579"/>
      <c r="E9813" s="583"/>
      <c r="F9813" s="596"/>
      <c r="G9813" s="65"/>
    </row>
    <row r="9814" spans="1:7">
      <c r="A9814" s="577"/>
      <c r="B9814" s="65"/>
      <c r="C9814" s="579"/>
      <c r="D9814" s="579"/>
      <c r="E9814" s="583"/>
      <c r="F9814" s="596"/>
      <c r="G9814" s="65"/>
    </row>
    <row r="9815" spans="1:7">
      <c r="A9815" s="577"/>
      <c r="B9815" s="65"/>
      <c r="C9815" s="579"/>
      <c r="D9815" s="579"/>
      <c r="E9815" s="583"/>
      <c r="F9815" s="596"/>
      <c r="G9815" s="65"/>
    </row>
    <row r="9816" spans="1:7">
      <c r="A9816" s="577"/>
      <c r="B9816" s="65"/>
      <c r="C9816" s="579"/>
      <c r="D9816" s="579"/>
      <c r="E9816" s="583"/>
      <c r="F9816" s="596"/>
      <c r="G9816" s="65"/>
    </row>
    <row r="9817" spans="1:7">
      <c r="A9817" s="577"/>
      <c r="B9817" s="65"/>
      <c r="C9817" s="579"/>
      <c r="D9817" s="579"/>
      <c r="E9817" s="583"/>
      <c r="F9817" s="596"/>
      <c r="G9817" s="65"/>
    </row>
    <row r="9818" spans="1:7">
      <c r="A9818" s="577"/>
      <c r="B9818" s="65"/>
      <c r="C9818" s="579"/>
      <c r="D9818" s="579"/>
      <c r="E9818" s="583"/>
      <c r="F9818" s="596"/>
      <c r="G9818" s="65"/>
    </row>
    <row r="9819" spans="1:7">
      <c r="A9819" s="577"/>
      <c r="B9819" s="65"/>
      <c r="C9819" s="579"/>
      <c r="D9819" s="579"/>
      <c r="E9819" s="583"/>
      <c r="F9819" s="596"/>
      <c r="G9819" s="65"/>
    </row>
    <row r="9820" spans="1:7">
      <c r="A9820" s="577"/>
      <c r="B9820" s="65"/>
      <c r="C9820" s="579"/>
      <c r="D9820" s="579"/>
      <c r="E9820" s="583"/>
      <c r="F9820" s="596"/>
      <c r="G9820" s="65"/>
    </row>
    <row r="9821" spans="1:7">
      <c r="A9821" s="577"/>
      <c r="B9821" s="65"/>
      <c r="C9821" s="579"/>
      <c r="D9821" s="579"/>
      <c r="E9821" s="583"/>
      <c r="F9821" s="596"/>
      <c r="G9821" s="65"/>
    </row>
    <row r="9822" spans="1:7">
      <c r="A9822" s="577"/>
      <c r="B9822" s="65"/>
      <c r="C9822" s="579"/>
      <c r="D9822" s="579"/>
      <c r="E9822" s="583"/>
      <c r="F9822" s="596"/>
      <c r="G9822" s="65"/>
    </row>
    <row r="9823" spans="1:7">
      <c r="A9823" s="577"/>
      <c r="B9823" s="65"/>
      <c r="C9823" s="579"/>
      <c r="D9823" s="579"/>
      <c r="E9823" s="583"/>
      <c r="F9823" s="596"/>
      <c r="G9823" s="65"/>
    </row>
    <row r="9824" spans="1:7">
      <c r="A9824" s="577"/>
      <c r="B9824" s="65"/>
      <c r="C9824" s="579"/>
      <c r="D9824" s="579"/>
      <c r="E9824" s="583"/>
      <c r="F9824" s="596"/>
      <c r="G9824" s="65"/>
    </row>
    <row r="9825" spans="1:7">
      <c r="A9825" s="577"/>
      <c r="B9825" s="65"/>
      <c r="C9825" s="579"/>
      <c r="D9825" s="579"/>
      <c r="E9825" s="583"/>
      <c r="F9825" s="596"/>
      <c r="G9825" s="65"/>
    </row>
    <row r="9826" spans="1:7">
      <c r="A9826" s="577"/>
      <c r="B9826" s="65"/>
      <c r="C9826" s="579"/>
      <c r="D9826" s="579"/>
      <c r="E9826" s="583"/>
      <c r="F9826" s="596"/>
      <c r="G9826" s="65"/>
    </row>
    <row r="9827" spans="1:7">
      <c r="A9827" s="577"/>
      <c r="B9827" s="65"/>
      <c r="C9827" s="579"/>
      <c r="D9827" s="579"/>
      <c r="E9827" s="583"/>
      <c r="F9827" s="596"/>
      <c r="G9827" s="65"/>
    </row>
    <row r="9828" spans="1:7">
      <c r="A9828" s="577"/>
      <c r="B9828" s="65"/>
      <c r="C9828" s="579"/>
      <c r="D9828" s="579"/>
      <c r="E9828" s="583"/>
      <c r="F9828" s="596"/>
      <c r="G9828" s="65"/>
    </row>
    <row r="9829" spans="1:7">
      <c r="A9829" s="577"/>
      <c r="B9829" s="65"/>
      <c r="C9829" s="579"/>
      <c r="D9829" s="579"/>
      <c r="E9829" s="583"/>
      <c r="F9829" s="596"/>
      <c r="G9829" s="65"/>
    </row>
    <row r="9830" spans="1:7">
      <c r="A9830" s="577"/>
      <c r="B9830" s="65"/>
      <c r="C9830" s="579"/>
      <c r="D9830" s="579"/>
      <c r="E9830" s="583"/>
      <c r="F9830" s="596"/>
      <c r="G9830" s="65"/>
    </row>
    <row r="9831" spans="1:7">
      <c r="A9831" s="577"/>
      <c r="B9831" s="65"/>
      <c r="C9831" s="579"/>
      <c r="D9831" s="579"/>
      <c r="E9831" s="583"/>
      <c r="F9831" s="596"/>
      <c r="G9831" s="65"/>
    </row>
    <row r="9832" spans="1:7">
      <c r="A9832" s="577"/>
      <c r="B9832" s="65"/>
      <c r="C9832" s="579"/>
      <c r="D9832" s="579"/>
      <c r="E9832" s="583"/>
      <c r="F9832" s="596"/>
      <c r="G9832" s="65"/>
    </row>
    <row r="9833" spans="1:7">
      <c r="A9833" s="577"/>
      <c r="B9833" s="65"/>
      <c r="C9833" s="579"/>
      <c r="D9833" s="579"/>
      <c r="E9833" s="583"/>
      <c r="F9833" s="596"/>
      <c r="G9833" s="65"/>
    </row>
    <row r="9834" spans="1:7">
      <c r="A9834" s="577"/>
      <c r="B9834" s="65"/>
      <c r="C9834" s="579"/>
      <c r="D9834" s="579"/>
      <c r="E9834" s="583"/>
      <c r="F9834" s="596"/>
      <c r="G9834" s="65"/>
    </row>
    <row r="9835" spans="1:7">
      <c r="A9835" s="577"/>
      <c r="B9835" s="65"/>
      <c r="C9835" s="579"/>
      <c r="D9835" s="579"/>
      <c r="E9835" s="583"/>
      <c r="F9835" s="596"/>
      <c r="G9835" s="65"/>
    </row>
    <row r="9836" spans="1:7">
      <c r="A9836" s="577"/>
      <c r="B9836" s="65"/>
      <c r="C9836" s="579"/>
      <c r="D9836" s="579"/>
      <c r="E9836" s="583"/>
      <c r="F9836" s="596"/>
      <c r="G9836" s="65"/>
    </row>
    <row r="9837" spans="1:7">
      <c r="A9837" s="577"/>
      <c r="B9837" s="65"/>
      <c r="C9837" s="579"/>
      <c r="D9837" s="579"/>
      <c r="E9837" s="583"/>
      <c r="F9837" s="596"/>
      <c r="G9837" s="65"/>
    </row>
    <row r="9838" spans="1:7">
      <c r="A9838" s="577"/>
      <c r="B9838" s="65"/>
      <c r="C9838" s="579"/>
      <c r="D9838" s="579"/>
      <c r="E9838" s="583"/>
      <c r="F9838" s="596"/>
      <c r="G9838" s="65"/>
    </row>
    <row r="9839" spans="1:7">
      <c r="A9839" s="577"/>
      <c r="B9839" s="65"/>
      <c r="C9839" s="579"/>
      <c r="D9839" s="579"/>
      <c r="E9839" s="583"/>
      <c r="F9839" s="596"/>
      <c r="G9839" s="65"/>
    </row>
    <row r="9840" spans="1:7">
      <c r="A9840" s="577"/>
      <c r="B9840" s="65"/>
      <c r="C9840" s="579"/>
      <c r="D9840" s="579"/>
      <c r="E9840" s="583"/>
      <c r="F9840" s="596"/>
      <c r="G9840" s="65"/>
    </row>
    <row r="9841" spans="1:7">
      <c r="A9841" s="577"/>
      <c r="B9841" s="65"/>
      <c r="C9841" s="579"/>
      <c r="D9841" s="579"/>
      <c r="E9841" s="583"/>
      <c r="F9841" s="596"/>
      <c r="G9841" s="65"/>
    </row>
    <row r="9842" spans="1:7">
      <c r="A9842" s="577"/>
      <c r="B9842" s="65"/>
      <c r="C9842" s="579"/>
      <c r="D9842" s="579"/>
      <c r="E9842" s="583"/>
      <c r="F9842" s="596"/>
      <c r="G9842" s="65"/>
    </row>
    <row r="9843" spans="1:7">
      <c r="A9843" s="577"/>
      <c r="B9843" s="65"/>
      <c r="C9843" s="579"/>
      <c r="D9843" s="579"/>
      <c r="E9843" s="583"/>
      <c r="F9843" s="596"/>
      <c r="G9843" s="65"/>
    </row>
    <row r="9844" spans="1:7">
      <c r="A9844" s="577"/>
      <c r="B9844" s="65"/>
      <c r="C9844" s="579"/>
      <c r="D9844" s="579"/>
      <c r="E9844" s="583"/>
      <c r="F9844" s="596"/>
      <c r="G9844" s="65"/>
    </row>
    <row r="9845" spans="1:7">
      <c r="A9845" s="577"/>
      <c r="B9845" s="65"/>
      <c r="C9845" s="579"/>
      <c r="D9845" s="579"/>
      <c r="E9845" s="583"/>
      <c r="F9845" s="596"/>
      <c r="G9845" s="65"/>
    </row>
    <row r="9846" spans="1:7">
      <c r="A9846" s="577"/>
      <c r="B9846" s="65"/>
      <c r="C9846" s="579"/>
      <c r="D9846" s="579"/>
      <c r="E9846" s="583"/>
      <c r="F9846" s="596"/>
      <c r="G9846" s="65"/>
    </row>
    <row r="9847" spans="1:7">
      <c r="A9847" s="577"/>
      <c r="B9847" s="65"/>
      <c r="C9847" s="579"/>
      <c r="D9847" s="579"/>
      <c r="E9847" s="583"/>
      <c r="F9847" s="596"/>
      <c r="G9847" s="65"/>
    </row>
    <row r="9848" spans="1:7">
      <c r="A9848" s="577"/>
      <c r="B9848" s="65"/>
      <c r="C9848" s="579"/>
      <c r="D9848" s="579"/>
      <c r="E9848" s="583"/>
      <c r="F9848" s="596"/>
      <c r="G9848" s="65"/>
    </row>
    <row r="9849" spans="1:7">
      <c r="A9849" s="577"/>
      <c r="B9849" s="65"/>
      <c r="C9849" s="579"/>
      <c r="D9849" s="579"/>
      <c r="E9849" s="583"/>
      <c r="F9849" s="596"/>
      <c r="G9849" s="65"/>
    </row>
    <row r="9850" spans="1:7">
      <c r="A9850" s="577"/>
      <c r="B9850" s="65"/>
      <c r="C9850" s="579"/>
      <c r="D9850" s="579"/>
      <c r="E9850" s="583"/>
      <c r="F9850" s="596"/>
      <c r="G9850" s="65"/>
    </row>
    <row r="9851" spans="1:7">
      <c r="A9851" s="577"/>
      <c r="B9851" s="65"/>
      <c r="C9851" s="579"/>
      <c r="D9851" s="579"/>
      <c r="E9851" s="583"/>
      <c r="F9851" s="596"/>
      <c r="G9851" s="65"/>
    </row>
    <row r="9852" spans="1:7">
      <c r="A9852" s="577"/>
      <c r="B9852" s="65"/>
      <c r="C9852" s="579"/>
      <c r="D9852" s="579"/>
      <c r="E9852" s="583"/>
      <c r="F9852" s="596"/>
      <c r="G9852" s="65"/>
    </row>
    <row r="9853" spans="1:7">
      <c r="A9853" s="577"/>
      <c r="B9853" s="65"/>
      <c r="C9853" s="579"/>
      <c r="D9853" s="579"/>
      <c r="E9853" s="583"/>
      <c r="F9853" s="596"/>
      <c r="G9853" s="65"/>
    </row>
    <row r="9854" spans="1:7">
      <c r="A9854" s="577"/>
      <c r="B9854" s="65"/>
      <c r="C9854" s="579"/>
      <c r="D9854" s="579"/>
      <c r="E9854" s="583"/>
      <c r="F9854" s="596"/>
      <c r="G9854" s="65"/>
    </row>
    <row r="9855" spans="1:7">
      <c r="A9855" s="577"/>
      <c r="B9855" s="65"/>
      <c r="C9855" s="579"/>
      <c r="D9855" s="579"/>
      <c r="E9855" s="583"/>
      <c r="F9855" s="596"/>
      <c r="G9855" s="65"/>
    </row>
    <row r="9856" spans="1:7">
      <c r="A9856" s="577"/>
      <c r="B9856" s="65"/>
      <c r="C9856" s="579"/>
      <c r="D9856" s="579"/>
      <c r="E9856" s="583"/>
      <c r="F9856" s="596"/>
      <c r="G9856" s="65"/>
    </row>
    <row r="9857" spans="1:7">
      <c r="A9857" s="577"/>
      <c r="B9857" s="65"/>
      <c r="C9857" s="579"/>
      <c r="D9857" s="579"/>
      <c r="E9857" s="583"/>
      <c r="F9857" s="596"/>
      <c r="G9857" s="65"/>
    </row>
    <row r="9858" spans="1:7">
      <c r="A9858" s="577"/>
      <c r="B9858" s="65"/>
      <c r="C9858" s="579"/>
      <c r="D9858" s="579"/>
      <c r="E9858" s="583"/>
      <c r="F9858" s="596"/>
      <c r="G9858" s="65"/>
    </row>
    <row r="9859" spans="1:7">
      <c r="A9859" s="577"/>
      <c r="B9859" s="65"/>
      <c r="C9859" s="579"/>
      <c r="D9859" s="579"/>
      <c r="E9859" s="583"/>
      <c r="F9859" s="596"/>
      <c r="G9859" s="65"/>
    </row>
    <row r="9860" spans="1:7">
      <c r="A9860" s="577"/>
      <c r="B9860" s="65"/>
      <c r="C9860" s="579"/>
      <c r="D9860" s="579"/>
      <c r="E9860" s="583"/>
      <c r="F9860" s="596"/>
      <c r="G9860" s="65"/>
    </row>
    <row r="9861" spans="1:7">
      <c r="A9861" s="577"/>
      <c r="B9861" s="65"/>
      <c r="C9861" s="579"/>
      <c r="D9861" s="579"/>
      <c r="E9861" s="583"/>
      <c r="F9861" s="596"/>
      <c r="G9861" s="65"/>
    </row>
    <row r="9862" spans="1:7">
      <c r="A9862" s="577"/>
      <c r="B9862" s="65"/>
      <c r="C9862" s="579"/>
      <c r="D9862" s="579"/>
      <c r="E9862" s="583"/>
      <c r="F9862" s="596"/>
      <c r="G9862" s="65"/>
    </row>
    <row r="9863" spans="1:7">
      <c r="A9863" s="577"/>
      <c r="B9863" s="65"/>
      <c r="C9863" s="579"/>
      <c r="D9863" s="579"/>
      <c r="E9863" s="583"/>
      <c r="F9863" s="596"/>
      <c r="G9863" s="65"/>
    </row>
    <row r="9864" spans="1:7">
      <c r="A9864" s="577"/>
      <c r="B9864" s="65"/>
      <c r="C9864" s="579"/>
      <c r="D9864" s="579"/>
      <c r="E9864" s="583"/>
      <c r="F9864" s="596"/>
      <c r="G9864" s="65"/>
    </row>
    <row r="9865" spans="1:7">
      <c r="A9865" s="577"/>
      <c r="B9865" s="65"/>
      <c r="C9865" s="579"/>
      <c r="D9865" s="579"/>
      <c r="E9865" s="583"/>
      <c r="F9865" s="596"/>
      <c r="G9865" s="65"/>
    </row>
    <row r="9866" spans="1:7">
      <c r="A9866" s="577"/>
      <c r="B9866" s="65"/>
      <c r="C9866" s="579"/>
      <c r="D9866" s="579"/>
      <c r="E9866" s="583"/>
      <c r="F9866" s="596"/>
      <c r="G9866" s="65"/>
    </row>
    <row r="9867" spans="1:7">
      <c r="A9867" s="577"/>
      <c r="B9867" s="65"/>
      <c r="C9867" s="579"/>
      <c r="D9867" s="579"/>
      <c r="E9867" s="583"/>
      <c r="F9867" s="596"/>
      <c r="G9867" s="65"/>
    </row>
    <row r="9868" spans="1:7">
      <c r="A9868" s="577"/>
      <c r="B9868" s="65"/>
      <c r="C9868" s="579"/>
      <c r="D9868" s="579"/>
      <c r="E9868" s="583"/>
      <c r="F9868" s="596"/>
      <c r="G9868" s="65"/>
    </row>
    <row r="9869" spans="1:7">
      <c r="A9869" s="577"/>
      <c r="B9869" s="65"/>
      <c r="C9869" s="579"/>
      <c r="D9869" s="579"/>
      <c r="E9869" s="583"/>
      <c r="F9869" s="596"/>
      <c r="G9869" s="65"/>
    </row>
    <row r="9870" spans="1:7">
      <c r="A9870" s="577"/>
      <c r="B9870" s="65"/>
      <c r="C9870" s="579"/>
      <c r="D9870" s="579"/>
      <c r="E9870" s="583"/>
      <c r="F9870" s="596"/>
      <c r="G9870" s="65"/>
    </row>
    <row r="9871" spans="1:7">
      <c r="A9871" s="577"/>
      <c r="B9871" s="65"/>
      <c r="C9871" s="579"/>
      <c r="D9871" s="579"/>
      <c r="E9871" s="583"/>
      <c r="F9871" s="596"/>
      <c r="G9871" s="65"/>
    </row>
    <row r="9872" spans="1:7">
      <c r="A9872" s="577"/>
      <c r="B9872" s="65"/>
      <c r="C9872" s="579"/>
      <c r="D9872" s="579"/>
      <c r="E9872" s="583"/>
      <c r="F9872" s="596"/>
      <c r="G9872" s="65"/>
    </row>
    <row r="9873" spans="1:7">
      <c r="A9873" s="577"/>
      <c r="B9873" s="65"/>
      <c r="C9873" s="579"/>
      <c r="D9873" s="579"/>
      <c r="E9873" s="583"/>
      <c r="F9873" s="596"/>
      <c r="G9873" s="65"/>
    </row>
    <row r="9874" spans="1:7">
      <c r="A9874" s="577"/>
      <c r="B9874" s="65"/>
      <c r="C9874" s="579"/>
      <c r="D9874" s="579"/>
      <c r="E9874" s="583"/>
      <c r="F9874" s="596"/>
      <c r="G9874" s="65"/>
    </row>
    <row r="9875" spans="1:7">
      <c r="A9875" s="577"/>
      <c r="B9875" s="65"/>
      <c r="C9875" s="579"/>
      <c r="D9875" s="579"/>
      <c r="E9875" s="583"/>
      <c r="F9875" s="596"/>
      <c r="G9875" s="65"/>
    </row>
    <row r="9876" spans="1:7">
      <c r="A9876" s="577"/>
      <c r="B9876" s="65"/>
      <c r="C9876" s="579"/>
      <c r="D9876" s="579"/>
      <c r="E9876" s="583"/>
      <c r="F9876" s="596"/>
      <c r="G9876" s="65"/>
    </row>
    <row r="9877" spans="1:7">
      <c r="A9877" s="577"/>
      <c r="B9877" s="65"/>
      <c r="C9877" s="579"/>
      <c r="D9877" s="579"/>
      <c r="E9877" s="583"/>
      <c r="F9877" s="596"/>
      <c r="G9877" s="65"/>
    </row>
    <row r="9878" spans="1:7">
      <c r="A9878" s="577"/>
      <c r="B9878" s="65"/>
      <c r="C9878" s="579"/>
      <c r="D9878" s="579"/>
      <c r="E9878" s="583"/>
      <c r="F9878" s="596"/>
      <c r="G9878" s="65"/>
    </row>
    <row r="9879" spans="1:7">
      <c r="A9879" s="577"/>
      <c r="B9879" s="65"/>
      <c r="C9879" s="579"/>
      <c r="D9879" s="579"/>
      <c r="E9879" s="583"/>
      <c r="F9879" s="596"/>
      <c r="G9879" s="65"/>
    </row>
    <row r="9880" spans="1:7">
      <c r="A9880" s="577"/>
      <c r="B9880" s="65"/>
      <c r="C9880" s="579"/>
      <c r="D9880" s="579"/>
      <c r="E9880" s="583"/>
      <c r="F9880" s="596"/>
      <c r="G9880" s="65"/>
    </row>
    <row r="9881" spans="1:7">
      <c r="A9881" s="577"/>
      <c r="B9881" s="65"/>
      <c r="C9881" s="579"/>
      <c r="D9881" s="579"/>
      <c r="E9881" s="583"/>
      <c r="F9881" s="596"/>
      <c r="G9881" s="65"/>
    </row>
    <row r="9882" spans="1:7">
      <c r="A9882" s="577"/>
      <c r="B9882" s="65"/>
      <c r="C9882" s="579"/>
      <c r="D9882" s="579"/>
      <c r="E9882" s="583"/>
      <c r="F9882" s="596"/>
      <c r="G9882" s="65"/>
    </row>
    <row r="9883" spans="1:7">
      <c r="A9883" s="577"/>
      <c r="B9883" s="65"/>
      <c r="C9883" s="579"/>
      <c r="D9883" s="579"/>
      <c r="E9883" s="583"/>
      <c r="F9883" s="596"/>
      <c r="G9883" s="65"/>
    </row>
    <row r="9884" spans="1:7">
      <c r="A9884" s="577"/>
      <c r="B9884" s="65"/>
      <c r="C9884" s="579"/>
      <c r="D9884" s="579"/>
      <c r="E9884" s="583"/>
      <c r="F9884" s="596"/>
      <c r="G9884" s="65"/>
    </row>
    <row r="9885" spans="1:7">
      <c r="A9885" s="577"/>
      <c r="B9885" s="65"/>
      <c r="C9885" s="579"/>
      <c r="D9885" s="579"/>
      <c r="E9885" s="583"/>
      <c r="F9885" s="596"/>
      <c r="G9885" s="65"/>
    </row>
    <row r="9886" spans="1:7">
      <c r="A9886" s="577"/>
      <c r="B9886" s="65"/>
      <c r="C9886" s="579"/>
      <c r="D9886" s="579"/>
      <c r="E9886" s="583"/>
      <c r="F9886" s="596"/>
      <c r="G9886" s="65"/>
    </row>
    <row r="9887" spans="1:7">
      <c r="A9887" s="577"/>
      <c r="B9887" s="65"/>
      <c r="C9887" s="579"/>
      <c r="D9887" s="579"/>
      <c r="E9887" s="583"/>
      <c r="F9887" s="596"/>
      <c r="G9887" s="65"/>
    </row>
    <row r="9888" spans="1:7">
      <c r="A9888" s="577"/>
      <c r="B9888" s="65"/>
      <c r="C9888" s="579"/>
      <c r="D9888" s="579"/>
      <c r="E9888" s="583"/>
      <c r="F9888" s="596"/>
      <c r="G9888" s="65"/>
    </row>
    <row r="9889" spans="1:7">
      <c r="A9889" s="577"/>
      <c r="B9889" s="65"/>
      <c r="C9889" s="579"/>
      <c r="D9889" s="579"/>
      <c r="E9889" s="583"/>
      <c r="F9889" s="596"/>
      <c r="G9889" s="65"/>
    </row>
    <row r="9890" spans="1:7">
      <c r="A9890" s="577"/>
      <c r="B9890" s="65"/>
      <c r="C9890" s="579"/>
      <c r="D9890" s="579"/>
      <c r="E9890" s="583"/>
      <c r="F9890" s="596"/>
      <c r="G9890" s="65"/>
    </row>
    <row r="9891" spans="1:7">
      <c r="A9891" s="577"/>
      <c r="B9891" s="65"/>
      <c r="C9891" s="579"/>
      <c r="D9891" s="579"/>
      <c r="E9891" s="583"/>
      <c r="F9891" s="596"/>
      <c r="G9891" s="65"/>
    </row>
    <row r="9892" spans="1:7">
      <c r="A9892" s="577"/>
      <c r="B9892" s="65"/>
      <c r="C9892" s="579"/>
      <c r="D9892" s="579"/>
      <c r="E9892" s="583"/>
      <c r="F9892" s="596"/>
      <c r="G9892" s="65"/>
    </row>
    <row r="9893" spans="1:7">
      <c r="A9893" s="577"/>
      <c r="B9893" s="65"/>
      <c r="C9893" s="579"/>
      <c r="D9893" s="579"/>
      <c r="E9893" s="583"/>
      <c r="F9893" s="596"/>
      <c r="G9893" s="65"/>
    </row>
    <row r="9894" spans="1:7">
      <c r="A9894" s="577"/>
      <c r="B9894" s="65"/>
      <c r="C9894" s="579"/>
      <c r="D9894" s="579"/>
      <c r="E9894" s="583"/>
      <c r="F9894" s="596"/>
      <c r="G9894" s="65"/>
    </row>
    <row r="9895" spans="1:7">
      <c r="A9895" s="577"/>
      <c r="B9895" s="65"/>
      <c r="C9895" s="579"/>
      <c r="D9895" s="579"/>
      <c r="E9895" s="583"/>
      <c r="F9895" s="596"/>
      <c r="G9895" s="65"/>
    </row>
    <row r="9896" spans="1:7">
      <c r="A9896" s="577"/>
      <c r="B9896" s="65"/>
      <c r="C9896" s="579"/>
      <c r="D9896" s="579"/>
      <c r="E9896" s="583"/>
      <c r="F9896" s="596"/>
      <c r="G9896" s="65"/>
    </row>
    <row r="9897" spans="1:7">
      <c r="A9897" s="577"/>
      <c r="B9897" s="65"/>
      <c r="C9897" s="579"/>
      <c r="D9897" s="579"/>
      <c r="E9897" s="583"/>
      <c r="F9897" s="596"/>
      <c r="G9897" s="65"/>
    </row>
    <row r="9898" spans="1:7">
      <c r="A9898" s="577"/>
      <c r="B9898" s="65"/>
      <c r="C9898" s="579"/>
      <c r="D9898" s="579"/>
      <c r="E9898" s="583"/>
      <c r="F9898" s="596"/>
      <c r="G9898" s="65"/>
    </row>
    <row r="9899" spans="1:7">
      <c r="A9899" s="577"/>
      <c r="B9899" s="65"/>
      <c r="C9899" s="579"/>
      <c r="D9899" s="579"/>
      <c r="E9899" s="583"/>
      <c r="F9899" s="596"/>
      <c r="G9899" s="65"/>
    </row>
    <row r="9900" spans="1:7">
      <c r="A9900" s="577"/>
      <c r="B9900" s="65"/>
      <c r="C9900" s="579"/>
      <c r="D9900" s="579"/>
      <c r="E9900" s="583"/>
      <c r="F9900" s="596"/>
      <c r="G9900" s="65"/>
    </row>
    <row r="9901" spans="1:7">
      <c r="A9901" s="577"/>
      <c r="B9901" s="65"/>
      <c r="C9901" s="579"/>
      <c r="D9901" s="579"/>
      <c r="E9901" s="583"/>
      <c r="F9901" s="596"/>
      <c r="G9901" s="65"/>
    </row>
    <row r="9902" spans="1:7">
      <c r="A9902" s="577"/>
      <c r="B9902" s="65"/>
      <c r="C9902" s="579"/>
      <c r="D9902" s="579"/>
      <c r="E9902" s="583"/>
      <c r="F9902" s="596"/>
      <c r="G9902" s="65"/>
    </row>
    <row r="9903" spans="1:7">
      <c r="A9903" s="577"/>
      <c r="B9903" s="65"/>
      <c r="C9903" s="579"/>
      <c r="D9903" s="579"/>
      <c r="E9903" s="583"/>
      <c r="F9903" s="596"/>
      <c r="G9903" s="65"/>
    </row>
    <row r="9904" spans="1:7">
      <c r="A9904" s="577"/>
      <c r="B9904" s="65"/>
      <c r="C9904" s="579"/>
      <c r="D9904" s="579"/>
      <c r="E9904" s="583"/>
      <c r="F9904" s="596"/>
      <c r="G9904" s="65"/>
    </row>
    <row r="9905" spans="1:7">
      <c r="A9905" s="577"/>
      <c r="B9905" s="65"/>
      <c r="C9905" s="579"/>
      <c r="D9905" s="579"/>
      <c r="E9905" s="583"/>
      <c r="F9905" s="596"/>
      <c r="G9905" s="65"/>
    </row>
    <row r="9906" spans="1:7">
      <c r="A9906" s="577"/>
      <c r="B9906" s="65"/>
      <c r="C9906" s="579"/>
      <c r="D9906" s="579"/>
      <c r="E9906" s="583"/>
      <c r="F9906" s="596"/>
      <c r="G9906" s="65"/>
    </row>
    <row r="9907" spans="1:7">
      <c r="A9907" s="577"/>
      <c r="B9907" s="65"/>
      <c r="C9907" s="579"/>
      <c r="D9907" s="579"/>
      <c r="E9907" s="583"/>
      <c r="F9907" s="596"/>
      <c r="G9907" s="65"/>
    </row>
    <row r="9908" spans="1:7">
      <c r="A9908" s="577"/>
      <c r="B9908" s="65"/>
      <c r="C9908" s="579"/>
      <c r="D9908" s="579"/>
      <c r="E9908" s="583"/>
      <c r="F9908" s="596"/>
      <c r="G9908" s="65"/>
    </row>
    <row r="9909" spans="1:7">
      <c r="A9909" s="577"/>
      <c r="B9909" s="65"/>
      <c r="C9909" s="579"/>
      <c r="D9909" s="579"/>
      <c r="E9909" s="583"/>
      <c r="F9909" s="596"/>
      <c r="G9909" s="65"/>
    </row>
    <row r="9910" spans="1:7">
      <c r="A9910" s="577"/>
      <c r="B9910" s="65"/>
      <c r="C9910" s="579"/>
      <c r="D9910" s="579"/>
      <c r="E9910" s="583"/>
      <c r="F9910" s="596"/>
      <c r="G9910" s="65"/>
    </row>
    <row r="9911" spans="1:7">
      <c r="A9911" s="577"/>
      <c r="B9911" s="65"/>
      <c r="C9911" s="579"/>
      <c r="D9911" s="579"/>
      <c r="E9911" s="583"/>
      <c r="F9911" s="596"/>
      <c r="G9911" s="65"/>
    </row>
    <row r="9912" spans="1:7">
      <c r="A9912" s="577"/>
      <c r="B9912" s="65"/>
      <c r="C9912" s="579"/>
      <c r="D9912" s="579"/>
      <c r="E9912" s="583"/>
      <c r="F9912" s="596"/>
      <c r="G9912" s="65"/>
    </row>
    <row r="9913" spans="1:7">
      <c r="A9913" s="577"/>
      <c r="B9913" s="65"/>
      <c r="C9913" s="579"/>
      <c r="D9913" s="579"/>
      <c r="E9913" s="583"/>
      <c r="F9913" s="596"/>
      <c r="G9913" s="65"/>
    </row>
    <row r="9914" spans="1:7">
      <c r="A9914" s="577"/>
      <c r="B9914" s="65"/>
      <c r="C9914" s="579"/>
      <c r="D9914" s="579"/>
      <c r="E9914" s="583"/>
      <c r="F9914" s="596"/>
      <c r="G9914" s="65"/>
    </row>
    <row r="9915" spans="1:7">
      <c r="A9915" s="577"/>
      <c r="B9915" s="65"/>
      <c r="C9915" s="579"/>
      <c r="D9915" s="579"/>
      <c r="E9915" s="583"/>
      <c r="F9915" s="596"/>
      <c r="G9915" s="65"/>
    </row>
    <row r="9916" spans="1:7">
      <c r="A9916" s="577"/>
      <c r="B9916" s="65"/>
      <c r="C9916" s="579"/>
      <c r="D9916" s="579"/>
      <c r="E9916" s="583"/>
      <c r="F9916" s="596"/>
      <c r="G9916" s="65"/>
    </row>
    <row r="9917" spans="1:7">
      <c r="A9917" s="577"/>
      <c r="B9917" s="65"/>
      <c r="C9917" s="579"/>
      <c r="D9917" s="579"/>
      <c r="E9917" s="583"/>
      <c r="F9917" s="596"/>
      <c r="G9917" s="65"/>
    </row>
    <row r="9918" spans="1:7">
      <c r="A9918" s="577"/>
      <c r="B9918" s="65"/>
      <c r="C9918" s="579"/>
      <c r="D9918" s="579"/>
      <c r="E9918" s="583"/>
      <c r="F9918" s="596"/>
      <c r="G9918" s="65"/>
    </row>
    <row r="9919" spans="1:7">
      <c r="A9919" s="577"/>
      <c r="B9919" s="65"/>
      <c r="C9919" s="579"/>
      <c r="D9919" s="579"/>
      <c r="E9919" s="583"/>
      <c r="F9919" s="596"/>
      <c r="G9919" s="65"/>
    </row>
    <row r="9920" spans="1:7">
      <c r="A9920" s="577"/>
      <c r="B9920" s="65"/>
      <c r="C9920" s="579"/>
      <c r="D9920" s="579"/>
      <c r="E9920" s="583"/>
      <c r="F9920" s="596"/>
      <c r="G9920" s="65"/>
    </row>
    <row r="9921" spans="1:7">
      <c r="A9921" s="577"/>
      <c r="B9921" s="65"/>
      <c r="C9921" s="579"/>
      <c r="D9921" s="579"/>
      <c r="E9921" s="583"/>
      <c r="F9921" s="596"/>
      <c r="G9921" s="65"/>
    </row>
    <row r="9922" spans="1:7">
      <c r="A9922" s="577"/>
      <c r="B9922" s="65"/>
      <c r="C9922" s="579"/>
      <c r="D9922" s="579"/>
      <c r="E9922" s="583"/>
      <c r="F9922" s="596"/>
      <c r="G9922" s="65"/>
    </row>
    <row r="9923" spans="1:7">
      <c r="A9923" s="577"/>
      <c r="B9923" s="65"/>
      <c r="C9923" s="579"/>
      <c r="D9923" s="579"/>
      <c r="E9923" s="583"/>
      <c r="F9923" s="596"/>
      <c r="G9923" s="65"/>
    </row>
    <row r="9924" spans="1:7">
      <c r="A9924" s="577"/>
      <c r="B9924" s="65"/>
      <c r="C9924" s="579"/>
      <c r="D9924" s="579"/>
      <c r="E9924" s="583"/>
      <c r="F9924" s="596"/>
      <c r="G9924" s="65"/>
    </row>
    <row r="9925" spans="1:7">
      <c r="A9925" s="577"/>
      <c r="B9925" s="65"/>
      <c r="C9925" s="579"/>
      <c r="D9925" s="579"/>
      <c r="E9925" s="583"/>
      <c r="F9925" s="596"/>
      <c r="G9925" s="65"/>
    </row>
    <row r="9926" spans="1:7">
      <c r="A9926" s="577"/>
      <c r="B9926" s="65"/>
      <c r="C9926" s="579"/>
      <c r="D9926" s="579"/>
      <c r="E9926" s="583"/>
      <c r="F9926" s="596"/>
      <c r="G9926" s="65"/>
    </row>
    <row r="9927" spans="1:7">
      <c r="A9927" s="577"/>
      <c r="B9927" s="65"/>
      <c r="C9927" s="579"/>
      <c r="D9927" s="579"/>
      <c r="E9927" s="583"/>
      <c r="F9927" s="596"/>
      <c r="G9927" s="65"/>
    </row>
    <row r="9928" spans="1:7">
      <c r="A9928" s="577"/>
      <c r="B9928" s="65"/>
      <c r="C9928" s="579"/>
      <c r="D9928" s="579"/>
      <c r="E9928" s="583"/>
      <c r="F9928" s="596"/>
      <c r="G9928" s="65"/>
    </row>
    <row r="9929" spans="1:7">
      <c r="A9929" s="577"/>
      <c r="B9929" s="65"/>
      <c r="C9929" s="579"/>
      <c r="D9929" s="579"/>
      <c r="E9929" s="583"/>
      <c r="F9929" s="596"/>
      <c r="G9929" s="65"/>
    </row>
    <row r="9930" spans="1:7">
      <c r="A9930" s="577"/>
      <c r="B9930" s="65"/>
      <c r="C9930" s="579"/>
      <c r="D9930" s="579"/>
      <c r="E9930" s="583"/>
      <c r="F9930" s="596"/>
      <c r="G9930" s="65"/>
    </row>
    <row r="9931" spans="1:7">
      <c r="A9931" s="577"/>
      <c r="B9931" s="65"/>
      <c r="C9931" s="579"/>
      <c r="D9931" s="579"/>
      <c r="E9931" s="583"/>
      <c r="F9931" s="596"/>
      <c r="G9931" s="65"/>
    </row>
    <row r="9932" spans="1:7">
      <c r="A9932" s="577"/>
      <c r="B9932" s="65"/>
      <c r="C9932" s="579"/>
      <c r="D9932" s="579"/>
      <c r="E9932" s="583"/>
      <c r="F9932" s="596"/>
      <c r="G9932" s="65"/>
    </row>
    <row r="9933" spans="1:7">
      <c r="A9933" s="577"/>
      <c r="B9933" s="65"/>
      <c r="C9933" s="579"/>
      <c r="D9933" s="579"/>
      <c r="E9933" s="583"/>
      <c r="F9933" s="596"/>
      <c r="G9933" s="65"/>
    </row>
    <row r="9934" spans="1:7">
      <c r="A9934" s="577"/>
      <c r="B9934" s="65"/>
      <c r="C9934" s="579"/>
      <c r="D9934" s="579"/>
      <c r="E9934" s="583"/>
      <c r="F9934" s="596"/>
      <c r="G9934" s="65"/>
    </row>
    <row r="9935" spans="1:7">
      <c r="A9935" s="577"/>
      <c r="B9935" s="65"/>
      <c r="C9935" s="579"/>
      <c r="D9935" s="579"/>
      <c r="E9935" s="583"/>
      <c r="F9935" s="596"/>
      <c r="G9935" s="65"/>
    </row>
    <row r="9936" spans="1:7">
      <c r="A9936" s="577"/>
      <c r="B9936" s="65"/>
      <c r="C9936" s="579"/>
      <c r="D9936" s="579"/>
      <c r="E9936" s="583"/>
      <c r="F9936" s="596"/>
      <c r="G9936" s="65"/>
    </row>
    <row r="9937" spans="1:7">
      <c r="A9937" s="577"/>
      <c r="B9937" s="65"/>
      <c r="C9937" s="579"/>
      <c r="D9937" s="579"/>
      <c r="E9937" s="583"/>
      <c r="F9937" s="596"/>
      <c r="G9937" s="65"/>
    </row>
    <row r="9938" spans="1:7">
      <c r="A9938" s="577"/>
      <c r="B9938" s="65"/>
      <c r="C9938" s="579"/>
      <c r="D9938" s="579"/>
      <c r="E9938" s="583"/>
      <c r="F9938" s="596"/>
      <c r="G9938" s="65"/>
    </row>
    <row r="9939" spans="1:7">
      <c r="A9939" s="577"/>
      <c r="B9939" s="65"/>
      <c r="C9939" s="579"/>
      <c r="D9939" s="579"/>
      <c r="E9939" s="583"/>
      <c r="F9939" s="596"/>
      <c r="G9939" s="65"/>
    </row>
    <row r="9940" spans="1:7">
      <c r="A9940" s="577"/>
      <c r="B9940" s="65"/>
      <c r="C9940" s="579"/>
      <c r="D9940" s="579"/>
      <c r="E9940" s="583"/>
      <c r="F9940" s="596"/>
      <c r="G9940" s="65"/>
    </row>
    <row r="9941" spans="1:7">
      <c r="A9941" s="577"/>
      <c r="B9941" s="65"/>
      <c r="C9941" s="579"/>
      <c r="D9941" s="579"/>
      <c r="E9941" s="583"/>
      <c r="F9941" s="596"/>
      <c r="G9941" s="65"/>
    </row>
    <row r="9942" spans="1:7">
      <c r="A9942" s="577"/>
      <c r="B9942" s="65"/>
      <c r="C9942" s="579"/>
      <c r="D9942" s="579"/>
      <c r="E9942" s="583"/>
      <c r="F9942" s="596"/>
      <c r="G9942" s="65"/>
    </row>
    <row r="9943" spans="1:7">
      <c r="A9943" s="577"/>
      <c r="B9943" s="65"/>
      <c r="C9943" s="579"/>
      <c r="D9943" s="579"/>
      <c r="E9943" s="583"/>
      <c r="F9943" s="596"/>
      <c r="G9943" s="65"/>
    </row>
    <row r="9944" spans="1:7">
      <c r="A9944" s="577"/>
      <c r="B9944" s="65"/>
      <c r="C9944" s="579"/>
      <c r="D9944" s="579"/>
      <c r="E9944" s="583"/>
      <c r="F9944" s="596"/>
      <c r="G9944" s="65"/>
    </row>
    <row r="9945" spans="1:7">
      <c r="A9945" s="577"/>
      <c r="B9945" s="65"/>
      <c r="C9945" s="579"/>
      <c r="D9945" s="579"/>
      <c r="E9945" s="583"/>
      <c r="F9945" s="596"/>
      <c r="G9945" s="65"/>
    </row>
    <row r="9946" spans="1:7">
      <c r="A9946" s="577"/>
      <c r="B9946" s="65"/>
      <c r="C9946" s="579"/>
      <c r="D9946" s="579"/>
      <c r="E9946" s="583"/>
      <c r="F9946" s="596"/>
      <c r="G9946" s="65"/>
    </row>
    <row r="9947" spans="1:7">
      <c r="A9947" s="577"/>
      <c r="B9947" s="65"/>
      <c r="C9947" s="579"/>
      <c r="D9947" s="579"/>
      <c r="E9947" s="583"/>
      <c r="F9947" s="596"/>
      <c r="G9947" s="65"/>
    </row>
    <row r="9948" spans="1:7">
      <c r="A9948" s="577"/>
      <c r="B9948" s="65"/>
      <c r="C9948" s="579"/>
      <c r="D9948" s="579"/>
      <c r="E9948" s="583"/>
      <c r="F9948" s="596"/>
      <c r="G9948" s="65"/>
    </row>
    <row r="9949" spans="1:7">
      <c r="A9949" s="577"/>
      <c r="B9949" s="65"/>
      <c r="C9949" s="579"/>
      <c r="D9949" s="579"/>
      <c r="E9949" s="583"/>
      <c r="F9949" s="596"/>
      <c r="G9949" s="65"/>
    </row>
    <row r="9950" spans="1:7">
      <c r="A9950" s="577"/>
      <c r="B9950" s="65"/>
      <c r="C9950" s="579"/>
      <c r="D9950" s="579"/>
      <c r="E9950" s="583"/>
      <c r="F9950" s="596"/>
      <c r="G9950" s="65"/>
    </row>
    <row r="9951" spans="1:7">
      <c r="A9951" s="577"/>
      <c r="B9951" s="65"/>
      <c r="C9951" s="579"/>
      <c r="D9951" s="579"/>
      <c r="E9951" s="583"/>
      <c r="F9951" s="596"/>
      <c r="G9951" s="65"/>
    </row>
    <row r="9952" spans="1:7">
      <c r="A9952" s="577"/>
      <c r="B9952" s="65"/>
      <c r="C9952" s="579"/>
      <c r="D9952" s="579"/>
      <c r="E9952" s="583"/>
      <c r="F9952" s="596"/>
      <c r="G9952" s="65"/>
    </row>
    <row r="9953" spans="1:7">
      <c r="A9953" s="577"/>
      <c r="B9953" s="65"/>
      <c r="C9953" s="579"/>
      <c r="D9953" s="579"/>
      <c r="E9953" s="583"/>
      <c r="F9953" s="596"/>
      <c r="G9953" s="65"/>
    </row>
    <row r="9954" spans="1:7">
      <c r="A9954" s="577"/>
      <c r="B9954" s="65"/>
      <c r="C9954" s="579"/>
      <c r="D9954" s="579"/>
      <c r="E9954" s="583"/>
      <c r="F9954" s="596"/>
      <c r="G9954" s="65"/>
    </row>
    <row r="9955" spans="1:7">
      <c r="A9955" s="577"/>
      <c r="B9955" s="65"/>
      <c r="C9955" s="579"/>
      <c r="D9955" s="579"/>
      <c r="E9955" s="583"/>
      <c r="F9955" s="596"/>
      <c r="G9955" s="65"/>
    </row>
    <row r="9956" spans="1:7">
      <c r="A9956" s="577"/>
      <c r="B9956" s="65"/>
      <c r="C9956" s="579"/>
      <c r="D9956" s="579"/>
      <c r="E9956" s="583"/>
      <c r="F9956" s="596"/>
      <c r="G9956" s="65"/>
    </row>
    <row r="9957" spans="1:7">
      <c r="A9957" s="577"/>
      <c r="B9957" s="65"/>
      <c r="C9957" s="579"/>
      <c r="D9957" s="579"/>
      <c r="E9957" s="583"/>
      <c r="F9957" s="596"/>
      <c r="G9957" s="65"/>
    </row>
    <row r="9958" spans="1:7">
      <c r="A9958" s="577"/>
      <c r="B9958" s="65"/>
      <c r="C9958" s="579"/>
      <c r="D9958" s="579"/>
      <c r="E9958" s="583"/>
      <c r="F9958" s="596"/>
      <c r="G9958" s="65"/>
    </row>
    <row r="9959" spans="1:7">
      <c r="A9959" s="577"/>
      <c r="B9959" s="65"/>
      <c r="C9959" s="579"/>
      <c r="D9959" s="579"/>
      <c r="E9959" s="583"/>
      <c r="F9959" s="596"/>
      <c r="G9959" s="65"/>
    </row>
    <row r="9960" spans="1:7">
      <c r="A9960" s="577"/>
      <c r="B9960" s="65"/>
      <c r="C9960" s="579"/>
      <c r="D9960" s="579"/>
      <c r="E9960" s="583"/>
      <c r="F9960" s="596"/>
      <c r="G9960" s="65"/>
    </row>
    <row r="9961" spans="1:7">
      <c r="A9961" s="577"/>
      <c r="B9961" s="65"/>
      <c r="C9961" s="579"/>
      <c r="D9961" s="579"/>
      <c r="E9961" s="583"/>
      <c r="F9961" s="596"/>
      <c r="G9961" s="65"/>
    </row>
    <row r="9962" spans="1:7">
      <c r="A9962" s="577"/>
      <c r="B9962" s="65"/>
      <c r="C9962" s="579"/>
      <c r="D9962" s="579"/>
      <c r="E9962" s="583"/>
      <c r="F9962" s="596"/>
      <c r="G9962" s="65"/>
    </row>
    <row r="9963" spans="1:7">
      <c r="A9963" s="577"/>
      <c r="B9963" s="65"/>
      <c r="C9963" s="579"/>
      <c r="D9963" s="579"/>
      <c r="E9963" s="583"/>
      <c r="F9963" s="596"/>
      <c r="G9963" s="65"/>
    </row>
    <row r="9964" spans="1:7">
      <c r="A9964" s="577"/>
      <c r="B9964" s="65"/>
      <c r="C9964" s="579"/>
      <c r="D9964" s="579"/>
      <c r="E9964" s="583"/>
      <c r="F9964" s="596"/>
      <c r="G9964" s="65"/>
    </row>
    <row r="9965" spans="1:7">
      <c r="A9965" s="577"/>
      <c r="B9965" s="65"/>
      <c r="C9965" s="579"/>
      <c r="D9965" s="579"/>
      <c r="E9965" s="583"/>
      <c r="F9965" s="596"/>
      <c r="G9965" s="65"/>
    </row>
    <row r="9966" spans="1:7">
      <c r="A9966" s="577"/>
      <c r="B9966" s="65"/>
      <c r="C9966" s="579"/>
      <c r="D9966" s="579"/>
      <c r="E9966" s="583"/>
      <c r="F9966" s="596"/>
      <c r="G9966" s="65"/>
    </row>
    <row r="9967" spans="1:7">
      <c r="A9967" s="577"/>
      <c r="B9967" s="65"/>
      <c r="C9967" s="579"/>
      <c r="D9967" s="579"/>
      <c r="E9967" s="583"/>
      <c r="F9967" s="596"/>
      <c r="G9967" s="65"/>
    </row>
    <row r="9968" spans="1:7">
      <c r="A9968" s="577"/>
      <c r="B9968" s="65"/>
      <c r="C9968" s="579"/>
      <c r="D9968" s="579"/>
      <c r="E9968" s="583"/>
      <c r="F9968" s="596"/>
      <c r="G9968" s="65"/>
    </row>
    <row r="9969" spans="1:7">
      <c r="A9969" s="577"/>
      <c r="B9969" s="65"/>
      <c r="C9969" s="579"/>
      <c r="D9969" s="579"/>
      <c r="E9969" s="583"/>
      <c r="F9969" s="596"/>
      <c r="G9969" s="65"/>
    </row>
    <row r="9970" spans="1:7">
      <c r="A9970" s="577"/>
      <c r="B9970" s="65"/>
      <c r="C9970" s="579"/>
      <c r="D9970" s="579"/>
      <c r="E9970" s="583"/>
      <c r="F9970" s="596"/>
      <c r="G9970" s="65"/>
    </row>
    <row r="9971" spans="1:7">
      <c r="A9971" s="577"/>
      <c r="B9971" s="65"/>
      <c r="C9971" s="579"/>
      <c r="D9971" s="579"/>
      <c r="E9971" s="583"/>
      <c r="F9971" s="596"/>
      <c r="G9971" s="65"/>
    </row>
    <row r="9972" spans="1:7">
      <c r="A9972" s="577"/>
      <c r="B9972" s="65"/>
      <c r="C9972" s="579"/>
      <c r="D9972" s="579"/>
      <c r="E9972" s="583"/>
      <c r="F9972" s="596"/>
      <c r="G9972" s="65"/>
    </row>
    <row r="9973" spans="1:7">
      <c r="A9973" s="577"/>
      <c r="B9973" s="65"/>
      <c r="C9973" s="579"/>
      <c r="D9973" s="579"/>
      <c r="E9973" s="583"/>
      <c r="F9973" s="596"/>
      <c r="G9973" s="65"/>
    </row>
    <row r="9974" spans="1:7">
      <c r="A9974" s="577"/>
      <c r="B9974" s="65"/>
      <c r="C9974" s="579"/>
      <c r="D9974" s="579"/>
      <c r="E9974" s="583"/>
      <c r="F9974" s="596"/>
      <c r="G9974" s="65"/>
    </row>
    <row r="9975" spans="1:7">
      <c r="A9975" s="577"/>
      <c r="B9975" s="65"/>
      <c r="C9975" s="579"/>
      <c r="D9975" s="579"/>
      <c r="E9975" s="583"/>
      <c r="F9975" s="596"/>
      <c r="G9975" s="65"/>
    </row>
    <row r="9976" spans="1:7">
      <c r="A9976" s="577"/>
      <c r="B9976" s="65"/>
      <c r="C9976" s="579"/>
      <c r="D9976" s="579"/>
      <c r="E9976" s="583"/>
      <c r="F9976" s="596"/>
      <c r="G9976" s="65"/>
    </row>
    <row r="9977" spans="1:7">
      <c r="A9977" s="577"/>
      <c r="B9977" s="65"/>
      <c r="C9977" s="579"/>
      <c r="D9977" s="579"/>
      <c r="E9977" s="583"/>
      <c r="F9977" s="596"/>
      <c r="G9977" s="65"/>
    </row>
    <row r="9978" spans="1:7">
      <c r="A9978" s="577"/>
      <c r="B9978" s="65"/>
      <c r="C9978" s="579"/>
      <c r="D9978" s="579"/>
      <c r="E9978" s="583"/>
      <c r="F9978" s="596"/>
      <c r="G9978" s="65"/>
    </row>
    <row r="9979" spans="1:7">
      <c r="A9979" s="577"/>
      <c r="B9979" s="65"/>
      <c r="C9979" s="579"/>
      <c r="D9979" s="579"/>
      <c r="E9979" s="583"/>
      <c r="F9979" s="596"/>
      <c r="G9979" s="65"/>
    </row>
    <row r="9980" spans="1:7">
      <c r="A9980" s="577"/>
      <c r="B9980" s="65"/>
      <c r="C9980" s="579"/>
      <c r="D9980" s="579"/>
      <c r="E9980" s="583"/>
      <c r="F9980" s="596"/>
      <c r="G9980" s="65"/>
    </row>
    <row r="9981" spans="1:7">
      <c r="A9981" s="577"/>
      <c r="B9981" s="65"/>
      <c r="C9981" s="579"/>
      <c r="D9981" s="579"/>
      <c r="E9981" s="583"/>
      <c r="F9981" s="596"/>
      <c r="G9981" s="65"/>
    </row>
    <row r="9982" spans="1:7">
      <c r="A9982" s="577"/>
      <c r="B9982" s="65"/>
      <c r="C9982" s="579"/>
      <c r="D9982" s="579"/>
      <c r="E9982" s="583"/>
      <c r="F9982" s="596"/>
      <c r="G9982" s="65"/>
    </row>
    <row r="9983" spans="1:7">
      <c r="A9983" s="577"/>
      <c r="B9983" s="65"/>
      <c r="C9983" s="579"/>
      <c r="D9983" s="579"/>
      <c r="E9983" s="583"/>
      <c r="F9983" s="596"/>
      <c r="G9983" s="65"/>
    </row>
    <row r="9984" spans="1:7">
      <c r="A9984" s="577"/>
      <c r="B9984" s="65"/>
      <c r="C9984" s="579"/>
      <c r="D9984" s="579"/>
      <c r="E9984" s="583"/>
      <c r="F9984" s="596"/>
      <c r="G9984" s="65"/>
    </row>
    <row r="9985" spans="1:7">
      <c r="A9985" s="577"/>
      <c r="B9985" s="65"/>
      <c r="C9985" s="579"/>
      <c r="D9985" s="579"/>
      <c r="E9985" s="583"/>
      <c r="F9985" s="596"/>
      <c r="G9985" s="65"/>
    </row>
    <row r="9986" spans="1:7">
      <c r="A9986" s="577"/>
      <c r="B9986" s="65"/>
      <c r="C9986" s="579"/>
      <c r="D9986" s="579"/>
      <c r="E9986" s="583"/>
      <c r="F9986" s="596"/>
      <c r="G9986" s="65"/>
    </row>
    <row r="9987" spans="1:7">
      <c r="A9987" s="577"/>
      <c r="B9987" s="65"/>
      <c r="C9987" s="579"/>
      <c r="D9987" s="579"/>
      <c r="E9987" s="583"/>
      <c r="F9987" s="596"/>
      <c r="G9987" s="65"/>
    </row>
    <row r="9988" spans="1:7">
      <c r="A9988" s="577"/>
      <c r="B9988" s="65"/>
      <c r="C9988" s="579"/>
      <c r="D9988" s="579"/>
      <c r="E9988" s="583"/>
      <c r="F9988" s="596"/>
      <c r="G9988" s="65"/>
    </row>
    <row r="9989" spans="1:7">
      <c r="A9989" s="577"/>
      <c r="B9989" s="65"/>
      <c r="C9989" s="579"/>
      <c r="D9989" s="579"/>
      <c r="E9989" s="583"/>
      <c r="F9989" s="596"/>
      <c r="G9989" s="65"/>
    </row>
    <row r="9990" spans="1:7">
      <c r="A9990" s="577"/>
      <c r="B9990" s="65"/>
      <c r="C9990" s="579"/>
      <c r="D9990" s="579"/>
      <c r="E9990" s="583"/>
      <c r="F9990" s="596"/>
      <c r="G9990" s="65"/>
    </row>
    <row r="9991" spans="1:7">
      <c r="A9991" s="577"/>
      <c r="B9991" s="65"/>
      <c r="C9991" s="579"/>
      <c r="D9991" s="579"/>
      <c r="E9991" s="583"/>
      <c r="F9991" s="596"/>
      <c r="G9991" s="65"/>
    </row>
    <row r="9992" spans="1:7">
      <c r="A9992" s="577"/>
      <c r="B9992" s="65"/>
      <c r="C9992" s="579"/>
      <c r="D9992" s="579"/>
      <c r="E9992" s="583"/>
      <c r="F9992" s="596"/>
      <c r="G9992" s="65"/>
    </row>
    <row r="9993" spans="1:7">
      <c r="A9993" s="577"/>
      <c r="B9993" s="65"/>
      <c r="C9993" s="579"/>
      <c r="D9993" s="579"/>
      <c r="E9993" s="583"/>
      <c r="F9993" s="596"/>
      <c r="G9993" s="65"/>
    </row>
    <row r="9994" spans="1:7">
      <c r="A9994" s="577"/>
      <c r="B9994" s="65"/>
      <c r="C9994" s="579"/>
      <c r="D9994" s="579"/>
      <c r="E9994" s="583"/>
      <c r="F9994" s="596"/>
      <c r="G9994" s="65"/>
    </row>
    <row r="9995" spans="1:7">
      <c r="A9995" s="577"/>
      <c r="B9995" s="65"/>
      <c r="C9995" s="579"/>
      <c r="D9995" s="579"/>
      <c r="E9995" s="583"/>
      <c r="F9995" s="596"/>
      <c r="G9995" s="65"/>
    </row>
    <row r="9996" spans="1:7">
      <c r="A9996" s="577"/>
      <c r="B9996" s="65"/>
      <c r="C9996" s="579"/>
      <c r="D9996" s="579"/>
      <c r="E9996" s="583"/>
      <c r="F9996" s="596"/>
      <c r="G9996" s="65"/>
    </row>
    <row r="9997" spans="1:7">
      <c r="A9997" s="577"/>
      <c r="B9997" s="65"/>
      <c r="C9997" s="579"/>
      <c r="D9997" s="579"/>
      <c r="E9997" s="583"/>
      <c r="F9997" s="596"/>
      <c r="G9997" s="65"/>
    </row>
  </sheetData>
  <pageMargins left="0.7" right="0.7" top="0.78740157499999996" bottom="0.78740157499999996"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46FD5A-BD47-4A15-A335-268AFCF6EB7C}">
  <sheetPr>
    <tabColor theme="0"/>
    <pageSetUpPr fitToPage="1"/>
  </sheetPr>
  <dimension ref="A2:AA77"/>
  <sheetViews>
    <sheetView showGridLines="0" topLeftCell="A44" zoomScale="70" zoomScaleNormal="70" workbookViewId="0">
      <selection activeCell="R76" sqref="R76:S77"/>
    </sheetView>
  </sheetViews>
  <sheetFormatPr baseColWidth="10" defaultColWidth="8.85546875" defaultRowHeight="12.75"/>
  <cols>
    <col min="1" max="1" width="8.7109375" style="63" customWidth="1"/>
    <col min="2" max="3" width="21.7109375" style="63" customWidth="1"/>
    <col min="4" max="4" width="2.7109375" style="63" customWidth="1"/>
    <col min="5" max="5" width="8.7109375" style="63" customWidth="1"/>
    <col min="6" max="7" width="21.7109375" style="63" customWidth="1"/>
    <col min="8" max="8" width="2.7109375" style="63" customWidth="1"/>
    <col min="9" max="9" width="8.7109375" style="63" customWidth="1"/>
    <col min="10" max="11" width="21.7109375" style="63" customWidth="1"/>
    <col min="12" max="12" width="2.7109375" style="63" customWidth="1"/>
    <col min="13" max="13" width="8.7109375" style="63" customWidth="1"/>
    <col min="14" max="15" width="21.7109375" style="63" customWidth="1"/>
    <col min="16" max="16" width="2.7109375" style="63" customWidth="1"/>
    <col min="17" max="17" width="8.7109375" style="63" customWidth="1"/>
    <col min="18" max="19" width="21.7109375" style="63" customWidth="1"/>
    <col min="20" max="20" width="2.7109375" style="63" customWidth="1"/>
    <col min="21" max="21" width="8.7109375" style="63" customWidth="1"/>
    <col min="22" max="23" width="21.7109375" style="63" customWidth="1"/>
    <col min="24" max="24" width="2.7109375" style="63" customWidth="1"/>
    <col min="25" max="25" width="8.7109375" style="63" customWidth="1"/>
    <col min="26" max="27" width="21.7109375" style="63" customWidth="1"/>
    <col min="28" max="256" width="8.85546875" style="63"/>
    <col min="257" max="257" width="8.7109375" style="63" customWidth="1"/>
    <col min="258" max="259" width="21.7109375" style="63" customWidth="1"/>
    <col min="260" max="260" width="2.7109375" style="63" customWidth="1"/>
    <col min="261" max="261" width="8.7109375" style="63" customWidth="1"/>
    <col min="262" max="263" width="21.7109375" style="63" customWidth="1"/>
    <col min="264" max="264" width="2.7109375" style="63" customWidth="1"/>
    <col min="265" max="265" width="8.7109375" style="63" customWidth="1"/>
    <col min="266" max="267" width="21.7109375" style="63" customWidth="1"/>
    <col min="268" max="268" width="2.7109375" style="63" customWidth="1"/>
    <col min="269" max="269" width="8.7109375" style="63" customWidth="1"/>
    <col min="270" max="271" width="21.7109375" style="63" customWidth="1"/>
    <col min="272" max="272" width="2.7109375" style="63" customWidth="1"/>
    <col min="273" max="273" width="8.7109375" style="63" customWidth="1"/>
    <col min="274" max="275" width="21.7109375" style="63" customWidth="1"/>
    <col min="276" max="276" width="2.7109375" style="63" customWidth="1"/>
    <col min="277" max="277" width="8.7109375" style="63" customWidth="1"/>
    <col min="278" max="279" width="21.7109375" style="63" customWidth="1"/>
    <col min="280" max="280" width="2.7109375" style="63" customWidth="1"/>
    <col min="281" max="281" width="8.7109375" style="63" customWidth="1"/>
    <col min="282" max="283" width="21.7109375" style="63" customWidth="1"/>
    <col min="284" max="512" width="8.85546875" style="63"/>
    <col min="513" max="513" width="8.7109375" style="63" customWidth="1"/>
    <col min="514" max="515" width="21.7109375" style="63" customWidth="1"/>
    <col min="516" max="516" width="2.7109375" style="63" customWidth="1"/>
    <col min="517" max="517" width="8.7109375" style="63" customWidth="1"/>
    <col min="518" max="519" width="21.7109375" style="63" customWidth="1"/>
    <col min="520" max="520" width="2.7109375" style="63" customWidth="1"/>
    <col min="521" max="521" width="8.7109375" style="63" customWidth="1"/>
    <col min="522" max="523" width="21.7109375" style="63" customWidth="1"/>
    <col min="524" max="524" width="2.7109375" style="63" customWidth="1"/>
    <col min="525" max="525" width="8.7109375" style="63" customWidth="1"/>
    <col min="526" max="527" width="21.7109375" style="63" customWidth="1"/>
    <col min="528" max="528" width="2.7109375" style="63" customWidth="1"/>
    <col min="529" max="529" width="8.7109375" style="63" customWidth="1"/>
    <col min="530" max="531" width="21.7109375" style="63" customWidth="1"/>
    <col min="532" max="532" width="2.7109375" style="63" customWidth="1"/>
    <col min="533" max="533" width="8.7109375" style="63" customWidth="1"/>
    <col min="534" max="535" width="21.7109375" style="63" customWidth="1"/>
    <col min="536" max="536" width="2.7109375" style="63" customWidth="1"/>
    <col min="537" max="537" width="8.7109375" style="63" customWidth="1"/>
    <col min="538" max="539" width="21.7109375" style="63" customWidth="1"/>
    <col min="540" max="768" width="8.85546875" style="63"/>
    <col min="769" max="769" width="8.7109375" style="63" customWidth="1"/>
    <col min="770" max="771" width="21.7109375" style="63" customWidth="1"/>
    <col min="772" max="772" width="2.7109375" style="63" customWidth="1"/>
    <col min="773" max="773" width="8.7109375" style="63" customWidth="1"/>
    <col min="774" max="775" width="21.7109375" style="63" customWidth="1"/>
    <col min="776" max="776" width="2.7109375" style="63" customWidth="1"/>
    <col min="777" max="777" width="8.7109375" style="63" customWidth="1"/>
    <col min="778" max="779" width="21.7109375" style="63" customWidth="1"/>
    <col min="780" max="780" width="2.7109375" style="63" customWidth="1"/>
    <col min="781" max="781" width="8.7109375" style="63" customWidth="1"/>
    <col min="782" max="783" width="21.7109375" style="63" customWidth="1"/>
    <col min="784" max="784" width="2.7109375" style="63" customWidth="1"/>
    <col min="785" max="785" width="8.7109375" style="63" customWidth="1"/>
    <col min="786" max="787" width="21.7109375" style="63" customWidth="1"/>
    <col min="788" max="788" width="2.7109375" style="63" customWidth="1"/>
    <col min="789" max="789" width="8.7109375" style="63" customWidth="1"/>
    <col min="790" max="791" width="21.7109375" style="63" customWidth="1"/>
    <col min="792" max="792" width="2.7109375" style="63" customWidth="1"/>
    <col min="793" max="793" width="8.7109375" style="63" customWidth="1"/>
    <col min="794" max="795" width="21.7109375" style="63" customWidth="1"/>
    <col min="796" max="1024" width="8.85546875" style="63"/>
    <col min="1025" max="1025" width="8.7109375" style="63" customWidth="1"/>
    <col min="1026" max="1027" width="21.7109375" style="63" customWidth="1"/>
    <col min="1028" max="1028" width="2.7109375" style="63" customWidth="1"/>
    <col min="1029" max="1029" width="8.7109375" style="63" customWidth="1"/>
    <col min="1030" max="1031" width="21.7109375" style="63" customWidth="1"/>
    <col min="1032" max="1032" width="2.7109375" style="63" customWidth="1"/>
    <col min="1033" max="1033" width="8.7109375" style="63" customWidth="1"/>
    <col min="1034" max="1035" width="21.7109375" style="63" customWidth="1"/>
    <col min="1036" max="1036" width="2.7109375" style="63" customWidth="1"/>
    <col min="1037" max="1037" width="8.7109375" style="63" customWidth="1"/>
    <col min="1038" max="1039" width="21.7109375" style="63" customWidth="1"/>
    <col min="1040" max="1040" width="2.7109375" style="63" customWidth="1"/>
    <col min="1041" max="1041" width="8.7109375" style="63" customWidth="1"/>
    <col min="1042" max="1043" width="21.7109375" style="63" customWidth="1"/>
    <col min="1044" max="1044" width="2.7109375" style="63" customWidth="1"/>
    <col min="1045" max="1045" width="8.7109375" style="63" customWidth="1"/>
    <col min="1046" max="1047" width="21.7109375" style="63" customWidth="1"/>
    <col min="1048" max="1048" width="2.7109375" style="63" customWidth="1"/>
    <col min="1049" max="1049" width="8.7109375" style="63" customWidth="1"/>
    <col min="1050" max="1051" width="21.7109375" style="63" customWidth="1"/>
    <col min="1052" max="1280" width="8.85546875" style="63"/>
    <col min="1281" max="1281" width="8.7109375" style="63" customWidth="1"/>
    <col min="1282" max="1283" width="21.7109375" style="63" customWidth="1"/>
    <col min="1284" max="1284" width="2.7109375" style="63" customWidth="1"/>
    <col min="1285" max="1285" width="8.7109375" style="63" customWidth="1"/>
    <col min="1286" max="1287" width="21.7109375" style="63" customWidth="1"/>
    <col min="1288" max="1288" width="2.7109375" style="63" customWidth="1"/>
    <col min="1289" max="1289" width="8.7109375" style="63" customWidth="1"/>
    <col min="1290" max="1291" width="21.7109375" style="63" customWidth="1"/>
    <col min="1292" max="1292" width="2.7109375" style="63" customWidth="1"/>
    <col min="1293" max="1293" width="8.7109375" style="63" customWidth="1"/>
    <col min="1294" max="1295" width="21.7109375" style="63" customWidth="1"/>
    <col min="1296" max="1296" width="2.7109375" style="63" customWidth="1"/>
    <col min="1297" max="1297" width="8.7109375" style="63" customWidth="1"/>
    <col min="1298" max="1299" width="21.7109375" style="63" customWidth="1"/>
    <col min="1300" max="1300" width="2.7109375" style="63" customWidth="1"/>
    <col min="1301" max="1301" width="8.7109375" style="63" customWidth="1"/>
    <col min="1302" max="1303" width="21.7109375" style="63" customWidth="1"/>
    <col min="1304" max="1304" width="2.7109375" style="63" customWidth="1"/>
    <col min="1305" max="1305" width="8.7109375" style="63" customWidth="1"/>
    <col min="1306" max="1307" width="21.7109375" style="63" customWidth="1"/>
    <col min="1308" max="1536" width="8.85546875" style="63"/>
    <col min="1537" max="1537" width="8.7109375" style="63" customWidth="1"/>
    <col min="1538" max="1539" width="21.7109375" style="63" customWidth="1"/>
    <col min="1540" max="1540" width="2.7109375" style="63" customWidth="1"/>
    <col min="1541" max="1541" width="8.7109375" style="63" customWidth="1"/>
    <col min="1542" max="1543" width="21.7109375" style="63" customWidth="1"/>
    <col min="1544" max="1544" width="2.7109375" style="63" customWidth="1"/>
    <col min="1545" max="1545" width="8.7109375" style="63" customWidth="1"/>
    <col min="1546" max="1547" width="21.7109375" style="63" customWidth="1"/>
    <col min="1548" max="1548" width="2.7109375" style="63" customWidth="1"/>
    <col min="1549" max="1549" width="8.7109375" style="63" customWidth="1"/>
    <col min="1550" max="1551" width="21.7109375" style="63" customWidth="1"/>
    <col min="1552" max="1552" width="2.7109375" style="63" customWidth="1"/>
    <col min="1553" max="1553" width="8.7109375" style="63" customWidth="1"/>
    <col min="1554" max="1555" width="21.7109375" style="63" customWidth="1"/>
    <col min="1556" max="1556" width="2.7109375" style="63" customWidth="1"/>
    <col min="1557" max="1557" width="8.7109375" style="63" customWidth="1"/>
    <col min="1558" max="1559" width="21.7109375" style="63" customWidth="1"/>
    <col min="1560" max="1560" width="2.7109375" style="63" customWidth="1"/>
    <col min="1561" max="1561" width="8.7109375" style="63" customWidth="1"/>
    <col min="1562" max="1563" width="21.7109375" style="63" customWidth="1"/>
    <col min="1564" max="1792" width="8.85546875" style="63"/>
    <col min="1793" max="1793" width="8.7109375" style="63" customWidth="1"/>
    <col min="1794" max="1795" width="21.7109375" style="63" customWidth="1"/>
    <col min="1796" max="1796" width="2.7109375" style="63" customWidth="1"/>
    <col min="1797" max="1797" width="8.7109375" style="63" customWidth="1"/>
    <col min="1798" max="1799" width="21.7109375" style="63" customWidth="1"/>
    <col min="1800" max="1800" width="2.7109375" style="63" customWidth="1"/>
    <col min="1801" max="1801" width="8.7109375" style="63" customWidth="1"/>
    <col min="1802" max="1803" width="21.7109375" style="63" customWidth="1"/>
    <col min="1804" max="1804" width="2.7109375" style="63" customWidth="1"/>
    <col min="1805" max="1805" width="8.7109375" style="63" customWidth="1"/>
    <col min="1806" max="1807" width="21.7109375" style="63" customWidth="1"/>
    <col min="1808" max="1808" width="2.7109375" style="63" customWidth="1"/>
    <col min="1809" max="1809" width="8.7109375" style="63" customWidth="1"/>
    <col min="1810" max="1811" width="21.7109375" style="63" customWidth="1"/>
    <col min="1812" max="1812" width="2.7109375" style="63" customWidth="1"/>
    <col min="1813" max="1813" width="8.7109375" style="63" customWidth="1"/>
    <col min="1814" max="1815" width="21.7109375" style="63" customWidth="1"/>
    <col min="1816" max="1816" width="2.7109375" style="63" customWidth="1"/>
    <col min="1817" max="1817" width="8.7109375" style="63" customWidth="1"/>
    <col min="1818" max="1819" width="21.7109375" style="63" customWidth="1"/>
    <col min="1820" max="2048" width="8.85546875" style="63"/>
    <col min="2049" max="2049" width="8.7109375" style="63" customWidth="1"/>
    <col min="2050" max="2051" width="21.7109375" style="63" customWidth="1"/>
    <col min="2052" max="2052" width="2.7109375" style="63" customWidth="1"/>
    <col min="2053" max="2053" width="8.7109375" style="63" customWidth="1"/>
    <col min="2054" max="2055" width="21.7109375" style="63" customWidth="1"/>
    <col min="2056" max="2056" width="2.7109375" style="63" customWidth="1"/>
    <col min="2057" max="2057" width="8.7109375" style="63" customWidth="1"/>
    <col min="2058" max="2059" width="21.7109375" style="63" customWidth="1"/>
    <col min="2060" max="2060" width="2.7109375" style="63" customWidth="1"/>
    <col min="2061" max="2061" width="8.7109375" style="63" customWidth="1"/>
    <col min="2062" max="2063" width="21.7109375" style="63" customWidth="1"/>
    <col min="2064" max="2064" width="2.7109375" style="63" customWidth="1"/>
    <col min="2065" max="2065" width="8.7109375" style="63" customWidth="1"/>
    <col min="2066" max="2067" width="21.7109375" style="63" customWidth="1"/>
    <col min="2068" max="2068" width="2.7109375" style="63" customWidth="1"/>
    <col min="2069" max="2069" width="8.7109375" style="63" customWidth="1"/>
    <col min="2070" max="2071" width="21.7109375" style="63" customWidth="1"/>
    <col min="2072" max="2072" width="2.7109375" style="63" customWidth="1"/>
    <col min="2073" max="2073" width="8.7109375" style="63" customWidth="1"/>
    <col min="2074" max="2075" width="21.7109375" style="63" customWidth="1"/>
    <col min="2076" max="2304" width="8.85546875" style="63"/>
    <col min="2305" max="2305" width="8.7109375" style="63" customWidth="1"/>
    <col min="2306" max="2307" width="21.7109375" style="63" customWidth="1"/>
    <col min="2308" max="2308" width="2.7109375" style="63" customWidth="1"/>
    <col min="2309" max="2309" width="8.7109375" style="63" customWidth="1"/>
    <col min="2310" max="2311" width="21.7109375" style="63" customWidth="1"/>
    <col min="2312" max="2312" width="2.7109375" style="63" customWidth="1"/>
    <col min="2313" max="2313" width="8.7109375" style="63" customWidth="1"/>
    <col min="2314" max="2315" width="21.7109375" style="63" customWidth="1"/>
    <col min="2316" max="2316" width="2.7109375" style="63" customWidth="1"/>
    <col min="2317" max="2317" width="8.7109375" style="63" customWidth="1"/>
    <col min="2318" max="2319" width="21.7109375" style="63" customWidth="1"/>
    <col min="2320" max="2320" width="2.7109375" style="63" customWidth="1"/>
    <col min="2321" max="2321" width="8.7109375" style="63" customWidth="1"/>
    <col min="2322" max="2323" width="21.7109375" style="63" customWidth="1"/>
    <col min="2324" max="2324" width="2.7109375" style="63" customWidth="1"/>
    <col min="2325" max="2325" width="8.7109375" style="63" customWidth="1"/>
    <col min="2326" max="2327" width="21.7109375" style="63" customWidth="1"/>
    <col min="2328" max="2328" width="2.7109375" style="63" customWidth="1"/>
    <col min="2329" max="2329" width="8.7109375" style="63" customWidth="1"/>
    <col min="2330" max="2331" width="21.7109375" style="63" customWidth="1"/>
    <col min="2332" max="2560" width="8.85546875" style="63"/>
    <col min="2561" max="2561" width="8.7109375" style="63" customWidth="1"/>
    <col min="2562" max="2563" width="21.7109375" style="63" customWidth="1"/>
    <col min="2564" max="2564" width="2.7109375" style="63" customWidth="1"/>
    <col min="2565" max="2565" width="8.7109375" style="63" customWidth="1"/>
    <col min="2566" max="2567" width="21.7109375" style="63" customWidth="1"/>
    <col min="2568" max="2568" width="2.7109375" style="63" customWidth="1"/>
    <col min="2569" max="2569" width="8.7109375" style="63" customWidth="1"/>
    <col min="2570" max="2571" width="21.7109375" style="63" customWidth="1"/>
    <col min="2572" max="2572" width="2.7109375" style="63" customWidth="1"/>
    <col min="2573" max="2573" width="8.7109375" style="63" customWidth="1"/>
    <col min="2574" max="2575" width="21.7109375" style="63" customWidth="1"/>
    <col min="2576" max="2576" width="2.7109375" style="63" customWidth="1"/>
    <col min="2577" max="2577" width="8.7109375" style="63" customWidth="1"/>
    <col min="2578" max="2579" width="21.7109375" style="63" customWidth="1"/>
    <col min="2580" max="2580" width="2.7109375" style="63" customWidth="1"/>
    <col min="2581" max="2581" width="8.7109375" style="63" customWidth="1"/>
    <col min="2582" max="2583" width="21.7109375" style="63" customWidth="1"/>
    <col min="2584" max="2584" width="2.7109375" style="63" customWidth="1"/>
    <col min="2585" max="2585" width="8.7109375" style="63" customWidth="1"/>
    <col min="2586" max="2587" width="21.7109375" style="63" customWidth="1"/>
    <col min="2588" max="2816" width="8.85546875" style="63"/>
    <col min="2817" max="2817" width="8.7109375" style="63" customWidth="1"/>
    <col min="2818" max="2819" width="21.7109375" style="63" customWidth="1"/>
    <col min="2820" max="2820" width="2.7109375" style="63" customWidth="1"/>
    <col min="2821" max="2821" width="8.7109375" style="63" customWidth="1"/>
    <col min="2822" max="2823" width="21.7109375" style="63" customWidth="1"/>
    <col min="2824" max="2824" width="2.7109375" style="63" customWidth="1"/>
    <col min="2825" max="2825" width="8.7109375" style="63" customWidth="1"/>
    <col min="2826" max="2827" width="21.7109375" style="63" customWidth="1"/>
    <col min="2828" max="2828" width="2.7109375" style="63" customWidth="1"/>
    <col min="2829" max="2829" width="8.7109375" style="63" customWidth="1"/>
    <col min="2830" max="2831" width="21.7109375" style="63" customWidth="1"/>
    <col min="2832" max="2832" width="2.7109375" style="63" customWidth="1"/>
    <col min="2833" max="2833" width="8.7109375" style="63" customWidth="1"/>
    <col min="2834" max="2835" width="21.7109375" style="63" customWidth="1"/>
    <col min="2836" max="2836" width="2.7109375" style="63" customWidth="1"/>
    <col min="2837" max="2837" width="8.7109375" style="63" customWidth="1"/>
    <col min="2838" max="2839" width="21.7109375" style="63" customWidth="1"/>
    <col min="2840" max="2840" width="2.7109375" style="63" customWidth="1"/>
    <col min="2841" max="2841" width="8.7109375" style="63" customWidth="1"/>
    <col min="2842" max="2843" width="21.7109375" style="63" customWidth="1"/>
    <col min="2844" max="3072" width="8.85546875" style="63"/>
    <col min="3073" max="3073" width="8.7109375" style="63" customWidth="1"/>
    <col min="3074" max="3075" width="21.7109375" style="63" customWidth="1"/>
    <col min="3076" max="3076" width="2.7109375" style="63" customWidth="1"/>
    <col min="3077" max="3077" width="8.7109375" style="63" customWidth="1"/>
    <col min="3078" max="3079" width="21.7109375" style="63" customWidth="1"/>
    <col min="3080" max="3080" width="2.7109375" style="63" customWidth="1"/>
    <col min="3081" max="3081" width="8.7109375" style="63" customWidth="1"/>
    <col min="3082" max="3083" width="21.7109375" style="63" customWidth="1"/>
    <col min="3084" max="3084" width="2.7109375" style="63" customWidth="1"/>
    <col min="3085" max="3085" width="8.7109375" style="63" customWidth="1"/>
    <col min="3086" max="3087" width="21.7109375" style="63" customWidth="1"/>
    <col min="3088" max="3088" width="2.7109375" style="63" customWidth="1"/>
    <col min="3089" max="3089" width="8.7109375" style="63" customWidth="1"/>
    <col min="3090" max="3091" width="21.7109375" style="63" customWidth="1"/>
    <col min="3092" max="3092" width="2.7109375" style="63" customWidth="1"/>
    <col min="3093" max="3093" width="8.7109375" style="63" customWidth="1"/>
    <col min="3094" max="3095" width="21.7109375" style="63" customWidth="1"/>
    <col min="3096" max="3096" width="2.7109375" style="63" customWidth="1"/>
    <col min="3097" max="3097" width="8.7109375" style="63" customWidth="1"/>
    <col min="3098" max="3099" width="21.7109375" style="63" customWidth="1"/>
    <col min="3100" max="3328" width="8.85546875" style="63"/>
    <col min="3329" max="3329" width="8.7109375" style="63" customWidth="1"/>
    <col min="3330" max="3331" width="21.7109375" style="63" customWidth="1"/>
    <col min="3332" max="3332" width="2.7109375" style="63" customWidth="1"/>
    <col min="3333" max="3333" width="8.7109375" style="63" customWidth="1"/>
    <col min="3334" max="3335" width="21.7109375" style="63" customWidth="1"/>
    <col min="3336" max="3336" width="2.7109375" style="63" customWidth="1"/>
    <col min="3337" max="3337" width="8.7109375" style="63" customWidth="1"/>
    <col min="3338" max="3339" width="21.7109375" style="63" customWidth="1"/>
    <col min="3340" max="3340" width="2.7109375" style="63" customWidth="1"/>
    <col min="3341" max="3341" width="8.7109375" style="63" customWidth="1"/>
    <col min="3342" max="3343" width="21.7109375" style="63" customWidth="1"/>
    <col min="3344" max="3344" width="2.7109375" style="63" customWidth="1"/>
    <col min="3345" max="3345" width="8.7109375" style="63" customWidth="1"/>
    <col min="3346" max="3347" width="21.7109375" style="63" customWidth="1"/>
    <col min="3348" max="3348" width="2.7109375" style="63" customWidth="1"/>
    <col min="3349" max="3349" width="8.7109375" style="63" customWidth="1"/>
    <col min="3350" max="3351" width="21.7109375" style="63" customWidth="1"/>
    <col min="3352" max="3352" width="2.7109375" style="63" customWidth="1"/>
    <col min="3353" max="3353" width="8.7109375" style="63" customWidth="1"/>
    <col min="3354" max="3355" width="21.7109375" style="63" customWidth="1"/>
    <col min="3356" max="3584" width="8.85546875" style="63"/>
    <col min="3585" max="3585" width="8.7109375" style="63" customWidth="1"/>
    <col min="3586" max="3587" width="21.7109375" style="63" customWidth="1"/>
    <col min="3588" max="3588" width="2.7109375" style="63" customWidth="1"/>
    <col min="3589" max="3589" width="8.7109375" style="63" customWidth="1"/>
    <col min="3590" max="3591" width="21.7109375" style="63" customWidth="1"/>
    <col min="3592" max="3592" width="2.7109375" style="63" customWidth="1"/>
    <col min="3593" max="3593" width="8.7109375" style="63" customWidth="1"/>
    <col min="3594" max="3595" width="21.7109375" style="63" customWidth="1"/>
    <col min="3596" max="3596" width="2.7109375" style="63" customWidth="1"/>
    <col min="3597" max="3597" width="8.7109375" style="63" customWidth="1"/>
    <col min="3598" max="3599" width="21.7109375" style="63" customWidth="1"/>
    <col min="3600" max="3600" width="2.7109375" style="63" customWidth="1"/>
    <col min="3601" max="3601" width="8.7109375" style="63" customWidth="1"/>
    <col min="3602" max="3603" width="21.7109375" style="63" customWidth="1"/>
    <col min="3604" max="3604" width="2.7109375" style="63" customWidth="1"/>
    <col min="3605" max="3605" width="8.7109375" style="63" customWidth="1"/>
    <col min="3606" max="3607" width="21.7109375" style="63" customWidth="1"/>
    <col min="3608" max="3608" width="2.7109375" style="63" customWidth="1"/>
    <col min="3609" max="3609" width="8.7109375" style="63" customWidth="1"/>
    <col min="3610" max="3611" width="21.7109375" style="63" customWidth="1"/>
    <col min="3612" max="3840" width="8.85546875" style="63"/>
    <col min="3841" max="3841" width="8.7109375" style="63" customWidth="1"/>
    <col min="3842" max="3843" width="21.7109375" style="63" customWidth="1"/>
    <col min="3844" max="3844" width="2.7109375" style="63" customWidth="1"/>
    <col min="3845" max="3845" width="8.7109375" style="63" customWidth="1"/>
    <col min="3846" max="3847" width="21.7109375" style="63" customWidth="1"/>
    <col min="3848" max="3848" width="2.7109375" style="63" customWidth="1"/>
    <col min="3849" max="3849" width="8.7109375" style="63" customWidth="1"/>
    <col min="3850" max="3851" width="21.7109375" style="63" customWidth="1"/>
    <col min="3852" max="3852" width="2.7109375" style="63" customWidth="1"/>
    <col min="3853" max="3853" width="8.7109375" style="63" customWidth="1"/>
    <col min="3854" max="3855" width="21.7109375" style="63" customWidth="1"/>
    <col min="3856" max="3856" width="2.7109375" style="63" customWidth="1"/>
    <col min="3857" max="3857" width="8.7109375" style="63" customWidth="1"/>
    <col min="3858" max="3859" width="21.7109375" style="63" customWidth="1"/>
    <col min="3860" max="3860" width="2.7109375" style="63" customWidth="1"/>
    <col min="3861" max="3861" width="8.7109375" style="63" customWidth="1"/>
    <col min="3862" max="3863" width="21.7109375" style="63" customWidth="1"/>
    <col min="3864" max="3864" width="2.7109375" style="63" customWidth="1"/>
    <col min="3865" max="3865" width="8.7109375" style="63" customWidth="1"/>
    <col min="3866" max="3867" width="21.7109375" style="63" customWidth="1"/>
    <col min="3868" max="4096" width="8.85546875" style="63"/>
    <col min="4097" max="4097" width="8.7109375" style="63" customWidth="1"/>
    <col min="4098" max="4099" width="21.7109375" style="63" customWidth="1"/>
    <col min="4100" max="4100" width="2.7109375" style="63" customWidth="1"/>
    <col min="4101" max="4101" width="8.7109375" style="63" customWidth="1"/>
    <col min="4102" max="4103" width="21.7109375" style="63" customWidth="1"/>
    <col min="4104" max="4104" width="2.7109375" style="63" customWidth="1"/>
    <col min="4105" max="4105" width="8.7109375" style="63" customWidth="1"/>
    <col min="4106" max="4107" width="21.7109375" style="63" customWidth="1"/>
    <col min="4108" max="4108" width="2.7109375" style="63" customWidth="1"/>
    <col min="4109" max="4109" width="8.7109375" style="63" customWidth="1"/>
    <col min="4110" max="4111" width="21.7109375" style="63" customWidth="1"/>
    <col min="4112" max="4112" width="2.7109375" style="63" customWidth="1"/>
    <col min="4113" max="4113" width="8.7109375" style="63" customWidth="1"/>
    <col min="4114" max="4115" width="21.7109375" style="63" customWidth="1"/>
    <col min="4116" max="4116" width="2.7109375" style="63" customWidth="1"/>
    <col min="4117" max="4117" width="8.7109375" style="63" customWidth="1"/>
    <col min="4118" max="4119" width="21.7109375" style="63" customWidth="1"/>
    <col min="4120" max="4120" width="2.7109375" style="63" customWidth="1"/>
    <col min="4121" max="4121" width="8.7109375" style="63" customWidth="1"/>
    <col min="4122" max="4123" width="21.7109375" style="63" customWidth="1"/>
    <col min="4124" max="4352" width="8.85546875" style="63"/>
    <col min="4353" max="4353" width="8.7109375" style="63" customWidth="1"/>
    <col min="4354" max="4355" width="21.7109375" style="63" customWidth="1"/>
    <col min="4356" max="4356" width="2.7109375" style="63" customWidth="1"/>
    <col min="4357" max="4357" width="8.7109375" style="63" customWidth="1"/>
    <col min="4358" max="4359" width="21.7109375" style="63" customWidth="1"/>
    <col min="4360" max="4360" width="2.7109375" style="63" customWidth="1"/>
    <col min="4361" max="4361" width="8.7109375" style="63" customWidth="1"/>
    <col min="4362" max="4363" width="21.7109375" style="63" customWidth="1"/>
    <col min="4364" max="4364" width="2.7109375" style="63" customWidth="1"/>
    <col min="4365" max="4365" width="8.7109375" style="63" customWidth="1"/>
    <col min="4366" max="4367" width="21.7109375" style="63" customWidth="1"/>
    <col min="4368" max="4368" width="2.7109375" style="63" customWidth="1"/>
    <col min="4369" max="4369" width="8.7109375" style="63" customWidth="1"/>
    <col min="4370" max="4371" width="21.7109375" style="63" customWidth="1"/>
    <col min="4372" max="4372" width="2.7109375" style="63" customWidth="1"/>
    <col min="4373" max="4373" width="8.7109375" style="63" customWidth="1"/>
    <col min="4374" max="4375" width="21.7109375" style="63" customWidth="1"/>
    <col min="4376" max="4376" width="2.7109375" style="63" customWidth="1"/>
    <col min="4377" max="4377" width="8.7109375" style="63" customWidth="1"/>
    <col min="4378" max="4379" width="21.7109375" style="63" customWidth="1"/>
    <col min="4380" max="4608" width="8.85546875" style="63"/>
    <col min="4609" max="4609" width="8.7109375" style="63" customWidth="1"/>
    <col min="4610" max="4611" width="21.7109375" style="63" customWidth="1"/>
    <col min="4612" max="4612" width="2.7109375" style="63" customWidth="1"/>
    <col min="4613" max="4613" width="8.7109375" style="63" customWidth="1"/>
    <col min="4614" max="4615" width="21.7109375" style="63" customWidth="1"/>
    <col min="4616" max="4616" width="2.7109375" style="63" customWidth="1"/>
    <col min="4617" max="4617" width="8.7109375" style="63" customWidth="1"/>
    <col min="4618" max="4619" width="21.7109375" style="63" customWidth="1"/>
    <col min="4620" max="4620" width="2.7109375" style="63" customWidth="1"/>
    <col min="4621" max="4621" width="8.7109375" style="63" customWidth="1"/>
    <col min="4622" max="4623" width="21.7109375" style="63" customWidth="1"/>
    <col min="4624" max="4624" width="2.7109375" style="63" customWidth="1"/>
    <col min="4625" max="4625" width="8.7109375" style="63" customWidth="1"/>
    <col min="4626" max="4627" width="21.7109375" style="63" customWidth="1"/>
    <col min="4628" max="4628" width="2.7109375" style="63" customWidth="1"/>
    <col min="4629" max="4629" width="8.7109375" style="63" customWidth="1"/>
    <col min="4630" max="4631" width="21.7109375" style="63" customWidth="1"/>
    <col min="4632" max="4632" width="2.7109375" style="63" customWidth="1"/>
    <col min="4633" max="4633" width="8.7109375" style="63" customWidth="1"/>
    <col min="4634" max="4635" width="21.7109375" style="63" customWidth="1"/>
    <col min="4636" max="4864" width="8.85546875" style="63"/>
    <col min="4865" max="4865" width="8.7109375" style="63" customWidth="1"/>
    <col min="4866" max="4867" width="21.7109375" style="63" customWidth="1"/>
    <col min="4868" max="4868" width="2.7109375" style="63" customWidth="1"/>
    <col min="4869" max="4869" width="8.7109375" style="63" customWidth="1"/>
    <col min="4870" max="4871" width="21.7109375" style="63" customWidth="1"/>
    <col min="4872" max="4872" width="2.7109375" style="63" customWidth="1"/>
    <col min="4873" max="4873" width="8.7109375" style="63" customWidth="1"/>
    <col min="4874" max="4875" width="21.7109375" style="63" customWidth="1"/>
    <col min="4876" max="4876" width="2.7109375" style="63" customWidth="1"/>
    <col min="4877" max="4877" width="8.7109375" style="63" customWidth="1"/>
    <col min="4878" max="4879" width="21.7109375" style="63" customWidth="1"/>
    <col min="4880" max="4880" width="2.7109375" style="63" customWidth="1"/>
    <col min="4881" max="4881" width="8.7109375" style="63" customWidth="1"/>
    <col min="4882" max="4883" width="21.7109375" style="63" customWidth="1"/>
    <col min="4884" max="4884" width="2.7109375" style="63" customWidth="1"/>
    <col min="4885" max="4885" width="8.7109375" style="63" customWidth="1"/>
    <col min="4886" max="4887" width="21.7109375" style="63" customWidth="1"/>
    <col min="4888" max="4888" width="2.7109375" style="63" customWidth="1"/>
    <col min="4889" max="4889" width="8.7109375" style="63" customWidth="1"/>
    <col min="4890" max="4891" width="21.7109375" style="63" customWidth="1"/>
    <col min="4892" max="5120" width="8.85546875" style="63"/>
    <col min="5121" max="5121" width="8.7109375" style="63" customWidth="1"/>
    <col min="5122" max="5123" width="21.7109375" style="63" customWidth="1"/>
    <col min="5124" max="5124" width="2.7109375" style="63" customWidth="1"/>
    <col min="5125" max="5125" width="8.7109375" style="63" customWidth="1"/>
    <col min="5126" max="5127" width="21.7109375" style="63" customWidth="1"/>
    <col min="5128" max="5128" width="2.7109375" style="63" customWidth="1"/>
    <col min="5129" max="5129" width="8.7109375" style="63" customWidth="1"/>
    <col min="5130" max="5131" width="21.7109375" style="63" customWidth="1"/>
    <col min="5132" max="5132" width="2.7109375" style="63" customWidth="1"/>
    <col min="5133" max="5133" width="8.7109375" style="63" customWidth="1"/>
    <col min="5134" max="5135" width="21.7109375" style="63" customWidth="1"/>
    <col min="5136" max="5136" width="2.7109375" style="63" customWidth="1"/>
    <col min="5137" max="5137" width="8.7109375" style="63" customWidth="1"/>
    <col min="5138" max="5139" width="21.7109375" style="63" customWidth="1"/>
    <col min="5140" max="5140" width="2.7109375" style="63" customWidth="1"/>
    <col min="5141" max="5141" width="8.7109375" style="63" customWidth="1"/>
    <col min="5142" max="5143" width="21.7109375" style="63" customWidth="1"/>
    <col min="5144" max="5144" width="2.7109375" style="63" customWidth="1"/>
    <col min="5145" max="5145" width="8.7109375" style="63" customWidth="1"/>
    <col min="5146" max="5147" width="21.7109375" style="63" customWidth="1"/>
    <col min="5148" max="5376" width="8.85546875" style="63"/>
    <col min="5377" max="5377" width="8.7109375" style="63" customWidth="1"/>
    <col min="5378" max="5379" width="21.7109375" style="63" customWidth="1"/>
    <col min="5380" max="5380" width="2.7109375" style="63" customWidth="1"/>
    <col min="5381" max="5381" width="8.7109375" style="63" customWidth="1"/>
    <col min="5382" max="5383" width="21.7109375" style="63" customWidth="1"/>
    <col min="5384" max="5384" width="2.7109375" style="63" customWidth="1"/>
    <col min="5385" max="5385" width="8.7109375" style="63" customWidth="1"/>
    <col min="5386" max="5387" width="21.7109375" style="63" customWidth="1"/>
    <col min="5388" max="5388" width="2.7109375" style="63" customWidth="1"/>
    <col min="5389" max="5389" width="8.7109375" style="63" customWidth="1"/>
    <col min="5390" max="5391" width="21.7109375" style="63" customWidth="1"/>
    <col min="5392" max="5392" width="2.7109375" style="63" customWidth="1"/>
    <col min="5393" max="5393" width="8.7109375" style="63" customWidth="1"/>
    <col min="5394" max="5395" width="21.7109375" style="63" customWidth="1"/>
    <col min="5396" max="5396" width="2.7109375" style="63" customWidth="1"/>
    <col min="5397" max="5397" width="8.7109375" style="63" customWidth="1"/>
    <col min="5398" max="5399" width="21.7109375" style="63" customWidth="1"/>
    <col min="5400" max="5400" width="2.7109375" style="63" customWidth="1"/>
    <col min="5401" max="5401" width="8.7109375" style="63" customWidth="1"/>
    <col min="5402" max="5403" width="21.7109375" style="63" customWidth="1"/>
    <col min="5404" max="5632" width="8.85546875" style="63"/>
    <col min="5633" max="5633" width="8.7109375" style="63" customWidth="1"/>
    <col min="5634" max="5635" width="21.7109375" style="63" customWidth="1"/>
    <col min="5636" max="5636" width="2.7109375" style="63" customWidth="1"/>
    <col min="5637" max="5637" width="8.7109375" style="63" customWidth="1"/>
    <col min="5638" max="5639" width="21.7109375" style="63" customWidth="1"/>
    <col min="5640" max="5640" width="2.7109375" style="63" customWidth="1"/>
    <col min="5641" max="5641" width="8.7109375" style="63" customWidth="1"/>
    <col min="5642" max="5643" width="21.7109375" style="63" customWidth="1"/>
    <col min="5644" max="5644" width="2.7109375" style="63" customWidth="1"/>
    <col min="5645" max="5645" width="8.7109375" style="63" customWidth="1"/>
    <col min="5646" max="5647" width="21.7109375" style="63" customWidth="1"/>
    <col min="5648" max="5648" width="2.7109375" style="63" customWidth="1"/>
    <col min="5649" max="5649" width="8.7109375" style="63" customWidth="1"/>
    <col min="5650" max="5651" width="21.7109375" style="63" customWidth="1"/>
    <col min="5652" max="5652" width="2.7109375" style="63" customWidth="1"/>
    <col min="5653" max="5653" width="8.7109375" style="63" customWidth="1"/>
    <col min="5654" max="5655" width="21.7109375" style="63" customWidth="1"/>
    <col min="5656" max="5656" width="2.7109375" style="63" customWidth="1"/>
    <col min="5657" max="5657" width="8.7109375" style="63" customWidth="1"/>
    <col min="5658" max="5659" width="21.7109375" style="63" customWidth="1"/>
    <col min="5660" max="5888" width="8.85546875" style="63"/>
    <col min="5889" max="5889" width="8.7109375" style="63" customWidth="1"/>
    <col min="5890" max="5891" width="21.7109375" style="63" customWidth="1"/>
    <col min="5892" max="5892" width="2.7109375" style="63" customWidth="1"/>
    <col min="5893" max="5893" width="8.7109375" style="63" customWidth="1"/>
    <col min="5894" max="5895" width="21.7109375" style="63" customWidth="1"/>
    <col min="5896" max="5896" width="2.7109375" style="63" customWidth="1"/>
    <col min="5897" max="5897" width="8.7109375" style="63" customWidth="1"/>
    <col min="5898" max="5899" width="21.7109375" style="63" customWidth="1"/>
    <col min="5900" max="5900" width="2.7109375" style="63" customWidth="1"/>
    <col min="5901" max="5901" width="8.7109375" style="63" customWidth="1"/>
    <col min="5902" max="5903" width="21.7109375" style="63" customWidth="1"/>
    <col min="5904" max="5904" width="2.7109375" style="63" customWidth="1"/>
    <col min="5905" max="5905" width="8.7109375" style="63" customWidth="1"/>
    <col min="5906" max="5907" width="21.7109375" style="63" customWidth="1"/>
    <col min="5908" max="5908" width="2.7109375" style="63" customWidth="1"/>
    <col min="5909" max="5909" width="8.7109375" style="63" customWidth="1"/>
    <col min="5910" max="5911" width="21.7109375" style="63" customWidth="1"/>
    <col min="5912" max="5912" width="2.7109375" style="63" customWidth="1"/>
    <col min="5913" max="5913" width="8.7109375" style="63" customWidth="1"/>
    <col min="5914" max="5915" width="21.7109375" style="63" customWidth="1"/>
    <col min="5916" max="6144" width="8.85546875" style="63"/>
    <col min="6145" max="6145" width="8.7109375" style="63" customWidth="1"/>
    <col min="6146" max="6147" width="21.7109375" style="63" customWidth="1"/>
    <col min="6148" max="6148" width="2.7109375" style="63" customWidth="1"/>
    <col min="6149" max="6149" width="8.7109375" style="63" customWidth="1"/>
    <col min="6150" max="6151" width="21.7109375" style="63" customWidth="1"/>
    <col min="6152" max="6152" width="2.7109375" style="63" customWidth="1"/>
    <col min="6153" max="6153" width="8.7109375" style="63" customWidth="1"/>
    <col min="6154" max="6155" width="21.7109375" style="63" customWidth="1"/>
    <col min="6156" max="6156" width="2.7109375" style="63" customWidth="1"/>
    <col min="6157" max="6157" width="8.7109375" style="63" customWidth="1"/>
    <col min="6158" max="6159" width="21.7109375" style="63" customWidth="1"/>
    <col min="6160" max="6160" width="2.7109375" style="63" customWidth="1"/>
    <col min="6161" max="6161" width="8.7109375" style="63" customWidth="1"/>
    <col min="6162" max="6163" width="21.7109375" style="63" customWidth="1"/>
    <col min="6164" max="6164" width="2.7109375" style="63" customWidth="1"/>
    <col min="6165" max="6165" width="8.7109375" style="63" customWidth="1"/>
    <col min="6166" max="6167" width="21.7109375" style="63" customWidth="1"/>
    <col min="6168" max="6168" width="2.7109375" style="63" customWidth="1"/>
    <col min="6169" max="6169" width="8.7109375" style="63" customWidth="1"/>
    <col min="6170" max="6171" width="21.7109375" style="63" customWidth="1"/>
    <col min="6172" max="6400" width="8.85546875" style="63"/>
    <col min="6401" max="6401" width="8.7109375" style="63" customWidth="1"/>
    <col min="6402" max="6403" width="21.7109375" style="63" customWidth="1"/>
    <col min="6404" max="6404" width="2.7109375" style="63" customWidth="1"/>
    <col min="6405" max="6405" width="8.7109375" style="63" customWidth="1"/>
    <col min="6406" max="6407" width="21.7109375" style="63" customWidth="1"/>
    <col min="6408" max="6408" width="2.7109375" style="63" customWidth="1"/>
    <col min="6409" max="6409" width="8.7109375" style="63" customWidth="1"/>
    <col min="6410" max="6411" width="21.7109375" style="63" customWidth="1"/>
    <col min="6412" max="6412" width="2.7109375" style="63" customWidth="1"/>
    <col min="6413" max="6413" width="8.7109375" style="63" customWidth="1"/>
    <col min="6414" max="6415" width="21.7109375" style="63" customWidth="1"/>
    <col min="6416" max="6416" width="2.7109375" style="63" customWidth="1"/>
    <col min="6417" max="6417" width="8.7109375" style="63" customWidth="1"/>
    <col min="6418" max="6419" width="21.7109375" style="63" customWidth="1"/>
    <col min="6420" max="6420" width="2.7109375" style="63" customWidth="1"/>
    <col min="6421" max="6421" width="8.7109375" style="63" customWidth="1"/>
    <col min="6422" max="6423" width="21.7109375" style="63" customWidth="1"/>
    <col min="6424" max="6424" width="2.7109375" style="63" customWidth="1"/>
    <col min="6425" max="6425" width="8.7109375" style="63" customWidth="1"/>
    <col min="6426" max="6427" width="21.7109375" style="63" customWidth="1"/>
    <col min="6428" max="6656" width="8.85546875" style="63"/>
    <col min="6657" max="6657" width="8.7109375" style="63" customWidth="1"/>
    <col min="6658" max="6659" width="21.7109375" style="63" customWidth="1"/>
    <col min="6660" max="6660" width="2.7109375" style="63" customWidth="1"/>
    <col min="6661" max="6661" width="8.7109375" style="63" customWidth="1"/>
    <col min="6662" max="6663" width="21.7109375" style="63" customWidth="1"/>
    <col min="6664" max="6664" width="2.7109375" style="63" customWidth="1"/>
    <col min="6665" max="6665" width="8.7109375" style="63" customWidth="1"/>
    <col min="6666" max="6667" width="21.7109375" style="63" customWidth="1"/>
    <col min="6668" max="6668" width="2.7109375" style="63" customWidth="1"/>
    <col min="6669" max="6669" width="8.7109375" style="63" customWidth="1"/>
    <col min="6670" max="6671" width="21.7109375" style="63" customWidth="1"/>
    <col min="6672" max="6672" width="2.7109375" style="63" customWidth="1"/>
    <col min="6673" max="6673" width="8.7109375" style="63" customWidth="1"/>
    <col min="6674" max="6675" width="21.7109375" style="63" customWidth="1"/>
    <col min="6676" max="6676" width="2.7109375" style="63" customWidth="1"/>
    <col min="6677" max="6677" width="8.7109375" style="63" customWidth="1"/>
    <col min="6678" max="6679" width="21.7109375" style="63" customWidth="1"/>
    <col min="6680" max="6680" width="2.7109375" style="63" customWidth="1"/>
    <col min="6681" max="6681" width="8.7109375" style="63" customWidth="1"/>
    <col min="6682" max="6683" width="21.7109375" style="63" customWidth="1"/>
    <col min="6684" max="6912" width="8.85546875" style="63"/>
    <col min="6913" max="6913" width="8.7109375" style="63" customWidth="1"/>
    <col min="6914" max="6915" width="21.7109375" style="63" customWidth="1"/>
    <col min="6916" max="6916" width="2.7109375" style="63" customWidth="1"/>
    <col min="6917" max="6917" width="8.7109375" style="63" customWidth="1"/>
    <col min="6918" max="6919" width="21.7109375" style="63" customWidth="1"/>
    <col min="6920" max="6920" width="2.7109375" style="63" customWidth="1"/>
    <col min="6921" max="6921" width="8.7109375" style="63" customWidth="1"/>
    <col min="6922" max="6923" width="21.7109375" style="63" customWidth="1"/>
    <col min="6924" max="6924" width="2.7109375" style="63" customWidth="1"/>
    <col min="6925" max="6925" width="8.7109375" style="63" customWidth="1"/>
    <col min="6926" max="6927" width="21.7109375" style="63" customWidth="1"/>
    <col min="6928" max="6928" width="2.7109375" style="63" customWidth="1"/>
    <col min="6929" max="6929" width="8.7109375" style="63" customWidth="1"/>
    <col min="6930" max="6931" width="21.7109375" style="63" customWidth="1"/>
    <col min="6932" max="6932" width="2.7109375" style="63" customWidth="1"/>
    <col min="6933" max="6933" width="8.7109375" style="63" customWidth="1"/>
    <col min="6934" max="6935" width="21.7109375" style="63" customWidth="1"/>
    <col min="6936" max="6936" width="2.7109375" style="63" customWidth="1"/>
    <col min="6937" max="6937" width="8.7109375" style="63" customWidth="1"/>
    <col min="6938" max="6939" width="21.7109375" style="63" customWidth="1"/>
    <col min="6940" max="7168" width="8.85546875" style="63"/>
    <col min="7169" max="7169" width="8.7109375" style="63" customWidth="1"/>
    <col min="7170" max="7171" width="21.7109375" style="63" customWidth="1"/>
    <col min="7172" max="7172" width="2.7109375" style="63" customWidth="1"/>
    <col min="7173" max="7173" width="8.7109375" style="63" customWidth="1"/>
    <col min="7174" max="7175" width="21.7109375" style="63" customWidth="1"/>
    <col min="7176" max="7176" width="2.7109375" style="63" customWidth="1"/>
    <col min="7177" max="7177" width="8.7109375" style="63" customWidth="1"/>
    <col min="7178" max="7179" width="21.7109375" style="63" customWidth="1"/>
    <col min="7180" max="7180" width="2.7109375" style="63" customWidth="1"/>
    <col min="7181" max="7181" width="8.7109375" style="63" customWidth="1"/>
    <col min="7182" max="7183" width="21.7109375" style="63" customWidth="1"/>
    <col min="7184" max="7184" width="2.7109375" style="63" customWidth="1"/>
    <col min="7185" max="7185" width="8.7109375" style="63" customWidth="1"/>
    <col min="7186" max="7187" width="21.7109375" style="63" customWidth="1"/>
    <col min="7188" max="7188" width="2.7109375" style="63" customWidth="1"/>
    <col min="7189" max="7189" width="8.7109375" style="63" customWidth="1"/>
    <col min="7190" max="7191" width="21.7109375" style="63" customWidth="1"/>
    <col min="7192" max="7192" width="2.7109375" style="63" customWidth="1"/>
    <col min="7193" max="7193" width="8.7109375" style="63" customWidth="1"/>
    <col min="7194" max="7195" width="21.7109375" style="63" customWidth="1"/>
    <col min="7196" max="7424" width="8.85546875" style="63"/>
    <col min="7425" max="7425" width="8.7109375" style="63" customWidth="1"/>
    <col min="7426" max="7427" width="21.7109375" style="63" customWidth="1"/>
    <col min="7428" max="7428" width="2.7109375" style="63" customWidth="1"/>
    <col min="7429" max="7429" width="8.7109375" style="63" customWidth="1"/>
    <col min="7430" max="7431" width="21.7109375" style="63" customWidth="1"/>
    <col min="7432" max="7432" width="2.7109375" style="63" customWidth="1"/>
    <col min="7433" max="7433" width="8.7109375" style="63" customWidth="1"/>
    <col min="7434" max="7435" width="21.7109375" style="63" customWidth="1"/>
    <col min="7436" max="7436" width="2.7109375" style="63" customWidth="1"/>
    <col min="7437" max="7437" width="8.7109375" style="63" customWidth="1"/>
    <col min="7438" max="7439" width="21.7109375" style="63" customWidth="1"/>
    <col min="7440" max="7440" width="2.7109375" style="63" customWidth="1"/>
    <col min="7441" max="7441" width="8.7109375" style="63" customWidth="1"/>
    <col min="7442" max="7443" width="21.7109375" style="63" customWidth="1"/>
    <col min="7444" max="7444" width="2.7109375" style="63" customWidth="1"/>
    <col min="7445" max="7445" width="8.7109375" style="63" customWidth="1"/>
    <col min="7446" max="7447" width="21.7109375" style="63" customWidth="1"/>
    <col min="7448" max="7448" width="2.7109375" style="63" customWidth="1"/>
    <col min="7449" max="7449" width="8.7109375" style="63" customWidth="1"/>
    <col min="7450" max="7451" width="21.7109375" style="63" customWidth="1"/>
    <col min="7452" max="7680" width="8.85546875" style="63"/>
    <col min="7681" max="7681" width="8.7109375" style="63" customWidth="1"/>
    <col min="7682" max="7683" width="21.7109375" style="63" customWidth="1"/>
    <col min="7684" max="7684" width="2.7109375" style="63" customWidth="1"/>
    <col min="7685" max="7685" width="8.7109375" style="63" customWidth="1"/>
    <col min="7686" max="7687" width="21.7109375" style="63" customWidth="1"/>
    <col min="7688" max="7688" width="2.7109375" style="63" customWidth="1"/>
    <col min="7689" max="7689" width="8.7109375" style="63" customWidth="1"/>
    <col min="7690" max="7691" width="21.7109375" style="63" customWidth="1"/>
    <col min="7692" max="7692" width="2.7109375" style="63" customWidth="1"/>
    <col min="7693" max="7693" width="8.7109375" style="63" customWidth="1"/>
    <col min="7694" max="7695" width="21.7109375" style="63" customWidth="1"/>
    <col min="7696" max="7696" width="2.7109375" style="63" customWidth="1"/>
    <col min="7697" max="7697" width="8.7109375" style="63" customWidth="1"/>
    <col min="7698" max="7699" width="21.7109375" style="63" customWidth="1"/>
    <col min="7700" max="7700" width="2.7109375" style="63" customWidth="1"/>
    <col min="7701" max="7701" width="8.7109375" style="63" customWidth="1"/>
    <col min="7702" max="7703" width="21.7109375" style="63" customWidth="1"/>
    <col min="7704" max="7704" width="2.7109375" style="63" customWidth="1"/>
    <col min="7705" max="7705" width="8.7109375" style="63" customWidth="1"/>
    <col min="7706" max="7707" width="21.7109375" style="63" customWidth="1"/>
    <col min="7708" max="7936" width="8.85546875" style="63"/>
    <col min="7937" max="7937" width="8.7109375" style="63" customWidth="1"/>
    <col min="7938" max="7939" width="21.7109375" style="63" customWidth="1"/>
    <col min="7940" max="7940" width="2.7109375" style="63" customWidth="1"/>
    <col min="7941" max="7941" width="8.7109375" style="63" customWidth="1"/>
    <col min="7942" max="7943" width="21.7109375" style="63" customWidth="1"/>
    <col min="7944" max="7944" width="2.7109375" style="63" customWidth="1"/>
    <col min="7945" max="7945" width="8.7109375" style="63" customWidth="1"/>
    <col min="7946" max="7947" width="21.7109375" style="63" customWidth="1"/>
    <col min="7948" max="7948" width="2.7109375" style="63" customWidth="1"/>
    <col min="7949" max="7949" width="8.7109375" style="63" customWidth="1"/>
    <col min="7950" max="7951" width="21.7109375" style="63" customWidth="1"/>
    <col min="7952" max="7952" width="2.7109375" style="63" customWidth="1"/>
    <col min="7953" max="7953" width="8.7109375" style="63" customWidth="1"/>
    <col min="7954" max="7955" width="21.7109375" style="63" customWidth="1"/>
    <col min="7956" max="7956" width="2.7109375" style="63" customWidth="1"/>
    <col min="7957" max="7957" width="8.7109375" style="63" customWidth="1"/>
    <col min="7958" max="7959" width="21.7109375" style="63" customWidth="1"/>
    <col min="7960" max="7960" width="2.7109375" style="63" customWidth="1"/>
    <col min="7961" max="7961" width="8.7109375" style="63" customWidth="1"/>
    <col min="7962" max="7963" width="21.7109375" style="63" customWidth="1"/>
    <col min="7964" max="8192" width="8.85546875" style="63"/>
    <col min="8193" max="8193" width="8.7109375" style="63" customWidth="1"/>
    <col min="8194" max="8195" width="21.7109375" style="63" customWidth="1"/>
    <col min="8196" max="8196" width="2.7109375" style="63" customWidth="1"/>
    <col min="8197" max="8197" width="8.7109375" style="63" customWidth="1"/>
    <col min="8198" max="8199" width="21.7109375" style="63" customWidth="1"/>
    <col min="8200" max="8200" width="2.7109375" style="63" customWidth="1"/>
    <col min="8201" max="8201" width="8.7109375" style="63" customWidth="1"/>
    <col min="8202" max="8203" width="21.7109375" style="63" customWidth="1"/>
    <col min="8204" max="8204" width="2.7109375" style="63" customWidth="1"/>
    <col min="8205" max="8205" width="8.7109375" style="63" customWidth="1"/>
    <col min="8206" max="8207" width="21.7109375" style="63" customWidth="1"/>
    <col min="8208" max="8208" width="2.7109375" style="63" customWidth="1"/>
    <col min="8209" max="8209" width="8.7109375" style="63" customWidth="1"/>
    <col min="8210" max="8211" width="21.7109375" style="63" customWidth="1"/>
    <col min="8212" max="8212" width="2.7109375" style="63" customWidth="1"/>
    <col min="8213" max="8213" width="8.7109375" style="63" customWidth="1"/>
    <col min="8214" max="8215" width="21.7109375" style="63" customWidth="1"/>
    <col min="8216" max="8216" width="2.7109375" style="63" customWidth="1"/>
    <col min="8217" max="8217" width="8.7109375" style="63" customWidth="1"/>
    <col min="8218" max="8219" width="21.7109375" style="63" customWidth="1"/>
    <col min="8220" max="8448" width="8.85546875" style="63"/>
    <col min="8449" max="8449" width="8.7109375" style="63" customWidth="1"/>
    <col min="8450" max="8451" width="21.7109375" style="63" customWidth="1"/>
    <col min="8452" max="8452" width="2.7109375" style="63" customWidth="1"/>
    <col min="8453" max="8453" width="8.7109375" style="63" customWidth="1"/>
    <col min="8454" max="8455" width="21.7109375" style="63" customWidth="1"/>
    <col min="8456" max="8456" width="2.7109375" style="63" customWidth="1"/>
    <col min="8457" max="8457" width="8.7109375" style="63" customWidth="1"/>
    <col min="8458" max="8459" width="21.7109375" style="63" customWidth="1"/>
    <col min="8460" max="8460" width="2.7109375" style="63" customWidth="1"/>
    <col min="8461" max="8461" width="8.7109375" style="63" customWidth="1"/>
    <col min="8462" max="8463" width="21.7109375" style="63" customWidth="1"/>
    <col min="8464" max="8464" width="2.7109375" style="63" customWidth="1"/>
    <col min="8465" max="8465" width="8.7109375" style="63" customWidth="1"/>
    <col min="8466" max="8467" width="21.7109375" style="63" customWidth="1"/>
    <col min="8468" max="8468" width="2.7109375" style="63" customWidth="1"/>
    <col min="8469" max="8469" width="8.7109375" style="63" customWidth="1"/>
    <col min="8470" max="8471" width="21.7109375" style="63" customWidth="1"/>
    <col min="8472" max="8472" width="2.7109375" style="63" customWidth="1"/>
    <col min="8473" max="8473" width="8.7109375" style="63" customWidth="1"/>
    <col min="8474" max="8475" width="21.7109375" style="63" customWidth="1"/>
    <col min="8476" max="8704" width="8.85546875" style="63"/>
    <col min="8705" max="8705" width="8.7109375" style="63" customWidth="1"/>
    <col min="8706" max="8707" width="21.7109375" style="63" customWidth="1"/>
    <col min="8708" max="8708" width="2.7109375" style="63" customWidth="1"/>
    <col min="8709" max="8709" width="8.7109375" style="63" customWidth="1"/>
    <col min="8710" max="8711" width="21.7109375" style="63" customWidth="1"/>
    <col min="8712" max="8712" width="2.7109375" style="63" customWidth="1"/>
    <col min="8713" max="8713" width="8.7109375" style="63" customWidth="1"/>
    <col min="8714" max="8715" width="21.7109375" style="63" customWidth="1"/>
    <col min="8716" max="8716" width="2.7109375" style="63" customWidth="1"/>
    <col min="8717" max="8717" width="8.7109375" style="63" customWidth="1"/>
    <col min="8718" max="8719" width="21.7109375" style="63" customWidth="1"/>
    <col min="8720" max="8720" width="2.7109375" style="63" customWidth="1"/>
    <col min="8721" max="8721" width="8.7109375" style="63" customWidth="1"/>
    <col min="8722" max="8723" width="21.7109375" style="63" customWidth="1"/>
    <col min="8724" max="8724" width="2.7109375" style="63" customWidth="1"/>
    <col min="8725" max="8725" width="8.7109375" style="63" customWidth="1"/>
    <col min="8726" max="8727" width="21.7109375" style="63" customWidth="1"/>
    <col min="8728" max="8728" width="2.7109375" style="63" customWidth="1"/>
    <col min="8729" max="8729" width="8.7109375" style="63" customWidth="1"/>
    <col min="8730" max="8731" width="21.7109375" style="63" customWidth="1"/>
    <col min="8732" max="8960" width="8.85546875" style="63"/>
    <col min="8961" max="8961" width="8.7109375" style="63" customWidth="1"/>
    <col min="8962" max="8963" width="21.7109375" style="63" customWidth="1"/>
    <col min="8964" max="8964" width="2.7109375" style="63" customWidth="1"/>
    <col min="8965" max="8965" width="8.7109375" style="63" customWidth="1"/>
    <col min="8966" max="8967" width="21.7109375" style="63" customWidth="1"/>
    <col min="8968" max="8968" width="2.7109375" style="63" customWidth="1"/>
    <col min="8969" max="8969" width="8.7109375" style="63" customWidth="1"/>
    <col min="8970" max="8971" width="21.7109375" style="63" customWidth="1"/>
    <col min="8972" max="8972" width="2.7109375" style="63" customWidth="1"/>
    <col min="8973" max="8973" width="8.7109375" style="63" customWidth="1"/>
    <col min="8974" max="8975" width="21.7109375" style="63" customWidth="1"/>
    <col min="8976" max="8976" width="2.7109375" style="63" customWidth="1"/>
    <col min="8977" max="8977" width="8.7109375" style="63" customWidth="1"/>
    <col min="8978" max="8979" width="21.7109375" style="63" customWidth="1"/>
    <col min="8980" max="8980" width="2.7109375" style="63" customWidth="1"/>
    <col min="8981" max="8981" width="8.7109375" style="63" customWidth="1"/>
    <col min="8982" max="8983" width="21.7109375" style="63" customWidth="1"/>
    <col min="8984" max="8984" width="2.7109375" style="63" customWidth="1"/>
    <col min="8985" max="8985" width="8.7109375" style="63" customWidth="1"/>
    <col min="8986" max="8987" width="21.7109375" style="63" customWidth="1"/>
    <col min="8988" max="9216" width="8.85546875" style="63"/>
    <col min="9217" max="9217" width="8.7109375" style="63" customWidth="1"/>
    <col min="9218" max="9219" width="21.7109375" style="63" customWidth="1"/>
    <col min="9220" max="9220" width="2.7109375" style="63" customWidth="1"/>
    <col min="9221" max="9221" width="8.7109375" style="63" customWidth="1"/>
    <col min="9222" max="9223" width="21.7109375" style="63" customWidth="1"/>
    <col min="9224" max="9224" width="2.7109375" style="63" customWidth="1"/>
    <col min="9225" max="9225" width="8.7109375" style="63" customWidth="1"/>
    <col min="9226" max="9227" width="21.7109375" style="63" customWidth="1"/>
    <col min="9228" max="9228" width="2.7109375" style="63" customWidth="1"/>
    <col min="9229" max="9229" width="8.7109375" style="63" customWidth="1"/>
    <col min="9230" max="9231" width="21.7109375" style="63" customWidth="1"/>
    <col min="9232" max="9232" width="2.7109375" style="63" customWidth="1"/>
    <col min="9233" max="9233" width="8.7109375" style="63" customWidth="1"/>
    <col min="9234" max="9235" width="21.7109375" style="63" customWidth="1"/>
    <col min="9236" max="9236" width="2.7109375" style="63" customWidth="1"/>
    <col min="9237" max="9237" width="8.7109375" style="63" customWidth="1"/>
    <col min="9238" max="9239" width="21.7109375" style="63" customWidth="1"/>
    <col min="9240" max="9240" width="2.7109375" style="63" customWidth="1"/>
    <col min="9241" max="9241" width="8.7109375" style="63" customWidth="1"/>
    <col min="9242" max="9243" width="21.7109375" style="63" customWidth="1"/>
    <col min="9244" max="9472" width="8.85546875" style="63"/>
    <col min="9473" max="9473" width="8.7109375" style="63" customWidth="1"/>
    <col min="9474" max="9475" width="21.7109375" style="63" customWidth="1"/>
    <col min="9476" max="9476" width="2.7109375" style="63" customWidth="1"/>
    <col min="9477" max="9477" width="8.7109375" style="63" customWidth="1"/>
    <col min="9478" max="9479" width="21.7109375" style="63" customWidth="1"/>
    <col min="9480" max="9480" width="2.7109375" style="63" customWidth="1"/>
    <col min="9481" max="9481" width="8.7109375" style="63" customWidth="1"/>
    <col min="9482" max="9483" width="21.7109375" style="63" customWidth="1"/>
    <col min="9484" max="9484" width="2.7109375" style="63" customWidth="1"/>
    <col min="9485" max="9485" width="8.7109375" style="63" customWidth="1"/>
    <col min="9486" max="9487" width="21.7109375" style="63" customWidth="1"/>
    <col min="9488" max="9488" width="2.7109375" style="63" customWidth="1"/>
    <col min="9489" max="9489" width="8.7109375" style="63" customWidth="1"/>
    <col min="9490" max="9491" width="21.7109375" style="63" customWidth="1"/>
    <col min="9492" max="9492" width="2.7109375" style="63" customWidth="1"/>
    <col min="9493" max="9493" width="8.7109375" style="63" customWidth="1"/>
    <col min="9494" max="9495" width="21.7109375" style="63" customWidth="1"/>
    <col min="9496" max="9496" width="2.7109375" style="63" customWidth="1"/>
    <col min="9497" max="9497" width="8.7109375" style="63" customWidth="1"/>
    <col min="9498" max="9499" width="21.7109375" style="63" customWidth="1"/>
    <col min="9500" max="9728" width="8.85546875" style="63"/>
    <col min="9729" max="9729" width="8.7109375" style="63" customWidth="1"/>
    <col min="9730" max="9731" width="21.7109375" style="63" customWidth="1"/>
    <col min="9732" max="9732" width="2.7109375" style="63" customWidth="1"/>
    <col min="9733" max="9733" width="8.7109375" style="63" customWidth="1"/>
    <col min="9734" max="9735" width="21.7109375" style="63" customWidth="1"/>
    <col min="9736" max="9736" width="2.7109375" style="63" customWidth="1"/>
    <col min="9737" max="9737" width="8.7109375" style="63" customWidth="1"/>
    <col min="9738" max="9739" width="21.7109375" style="63" customWidth="1"/>
    <col min="9740" max="9740" width="2.7109375" style="63" customWidth="1"/>
    <col min="9741" max="9741" width="8.7109375" style="63" customWidth="1"/>
    <col min="9742" max="9743" width="21.7109375" style="63" customWidth="1"/>
    <col min="9744" max="9744" width="2.7109375" style="63" customWidth="1"/>
    <col min="9745" max="9745" width="8.7109375" style="63" customWidth="1"/>
    <col min="9746" max="9747" width="21.7109375" style="63" customWidth="1"/>
    <col min="9748" max="9748" width="2.7109375" style="63" customWidth="1"/>
    <col min="9749" max="9749" width="8.7109375" style="63" customWidth="1"/>
    <col min="9750" max="9751" width="21.7109375" style="63" customWidth="1"/>
    <col min="9752" max="9752" width="2.7109375" style="63" customWidth="1"/>
    <col min="9753" max="9753" width="8.7109375" style="63" customWidth="1"/>
    <col min="9754" max="9755" width="21.7109375" style="63" customWidth="1"/>
    <col min="9756" max="9984" width="8.85546875" style="63"/>
    <col min="9985" max="9985" width="8.7109375" style="63" customWidth="1"/>
    <col min="9986" max="9987" width="21.7109375" style="63" customWidth="1"/>
    <col min="9988" max="9988" width="2.7109375" style="63" customWidth="1"/>
    <col min="9989" max="9989" width="8.7109375" style="63" customWidth="1"/>
    <col min="9990" max="9991" width="21.7109375" style="63" customWidth="1"/>
    <col min="9992" max="9992" width="2.7109375" style="63" customWidth="1"/>
    <col min="9993" max="9993" width="8.7109375" style="63" customWidth="1"/>
    <col min="9994" max="9995" width="21.7109375" style="63" customWidth="1"/>
    <col min="9996" max="9996" width="2.7109375" style="63" customWidth="1"/>
    <col min="9997" max="9997" width="8.7109375" style="63" customWidth="1"/>
    <col min="9998" max="9999" width="21.7109375" style="63" customWidth="1"/>
    <col min="10000" max="10000" width="2.7109375" style="63" customWidth="1"/>
    <col min="10001" max="10001" width="8.7109375" style="63" customWidth="1"/>
    <col min="10002" max="10003" width="21.7109375" style="63" customWidth="1"/>
    <col min="10004" max="10004" width="2.7109375" style="63" customWidth="1"/>
    <col min="10005" max="10005" width="8.7109375" style="63" customWidth="1"/>
    <col min="10006" max="10007" width="21.7109375" style="63" customWidth="1"/>
    <col min="10008" max="10008" width="2.7109375" style="63" customWidth="1"/>
    <col min="10009" max="10009" width="8.7109375" style="63" customWidth="1"/>
    <col min="10010" max="10011" width="21.7109375" style="63" customWidth="1"/>
    <col min="10012" max="10240" width="8.85546875" style="63"/>
    <col min="10241" max="10241" width="8.7109375" style="63" customWidth="1"/>
    <col min="10242" max="10243" width="21.7109375" style="63" customWidth="1"/>
    <col min="10244" max="10244" width="2.7109375" style="63" customWidth="1"/>
    <col min="10245" max="10245" width="8.7109375" style="63" customWidth="1"/>
    <col min="10246" max="10247" width="21.7109375" style="63" customWidth="1"/>
    <col min="10248" max="10248" width="2.7109375" style="63" customWidth="1"/>
    <col min="10249" max="10249" width="8.7109375" style="63" customWidth="1"/>
    <col min="10250" max="10251" width="21.7109375" style="63" customWidth="1"/>
    <col min="10252" max="10252" width="2.7109375" style="63" customWidth="1"/>
    <col min="10253" max="10253" width="8.7109375" style="63" customWidth="1"/>
    <col min="10254" max="10255" width="21.7109375" style="63" customWidth="1"/>
    <col min="10256" max="10256" width="2.7109375" style="63" customWidth="1"/>
    <col min="10257" max="10257" width="8.7109375" style="63" customWidth="1"/>
    <col min="10258" max="10259" width="21.7109375" style="63" customWidth="1"/>
    <col min="10260" max="10260" width="2.7109375" style="63" customWidth="1"/>
    <col min="10261" max="10261" width="8.7109375" style="63" customWidth="1"/>
    <col min="10262" max="10263" width="21.7109375" style="63" customWidth="1"/>
    <col min="10264" max="10264" width="2.7109375" style="63" customWidth="1"/>
    <col min="10265" max="10265" width="8.7109375" style="63" customWidth="1"/>
    <col min="10266" max="10267" width="21.7109375" style="63" customWidth="1"/>
    <col min="10268" max="10496" width="8.85546875" style="63"/>
    <col min="10497" max="10497" width="8.7109375" style="63" customWidth="1"/>
    <col min="10498" max="10499" width="21.7109375" style="63" customWidth="1"/>
    <col min="10500" max="10500" width="2.7109375" style="63" customWidth="1"/>
    <col min="10501" max="10501" width="8.7109375" style="63" customWidth="1"/>
    <col min="10502" max="10503" width="21.7109375" style="63" customWidth="1"/>
    <col min="10504" max="10504" width="2.7109375" style="63" customWidth="1"/>
    <col min="10505" max="10505" width="8.7109375" style="63" customWidth="1"/>
    <col min="10506" max="10507" width="21.7109375" style="63" customWidth="1"/>
    <col min="10508" max="10508" width="2.7109375" style="63" customWidth="1"/>
    <col min="10509" max="10509" width="8.7109375" style="63" customWidth="1"/>
    <col min="10510" max="10511" width="21.7109375" style="63" customWidth="1"/>
    <col min="10512" max="10512" width="2.7109375" style="63" customWidth="1"/>
    <col min="10513" max="10513" width="8.7109375" style="63" customWidth="1"/>
    <col min="10514" max="10515" width="21.7109375" style="63" customWidth="1"/>
    <col min="10516" max="10516" width="2.7109375" style="63" customWidth="1"/>
    <col min="10517" max="10517" width="8.7109375" style="63" customWidth="1"/>
    <col min="10518" max="10519" width="21.7109375" style="63" customWidth="1"/>
    <col min="10520" max="10520" width="2.7109375" style="63" customWidth="1"/>
    <col min="10521" max="10521" width="8.7109375" style="63" customWidth="1"/>
    <col min="10522" max="10523" width="21.7109375" style="63" customWidth="1"/>
    <col min="10524" max="10752" width="8.85546875" style="63"/>
    <col min="10753" max="10753" width="8.7109375" style="63" customWidth="1"/>
    <col min="10754" max="10755" width="21.7109375" style="63" customWidth="1"/>
    <col min="10756" max="10756" width="2.7109375" style="63" customWidth="1"/>
    <col min="10757" max="10757" width="8.7109375" style="63" customWidth="1"/>
    <col min="10758" max="10759" width="21.7109375" style="63" customWidth="1"/>
    <col min="10760" max="10760" width="2.7109375" style="63" customWidth="1"/>
    <col min="10761" max="10761" width="8.7109375" style="63" customWidth="1"/>
    <col min="10762" max="10763" width="21.7109375" style="63" customWidth="1"/>
    <col min="10764" max="10764" width="2.7109375" style="63" customWidth="1"/>
    <col min="10765" max="10765" width="8.7109375" style="63" customWidth="1"/>
    <col min="10766" max="10767" width="21.7109375" style="63" customWidth="1"/>
    <col min="10768" max="10768" width="2.7109375" style="63" customWidth="1"/>
    <col min="10769" max="10769" width="8.7109375" style="63" customWidth="1"/>
    <col min="10770" max="10771" width="21.7109375" style="63" customWidth="1"/>
    <col min="10772" max="10772" width="2.7109375" style="63" customWidth="1"/>
    <col min="10773" max="10773" width="8.7109375" style="63" customWidth="1"/>
    <col min="10774" max="10775" width="21.7109375" style="63" customWidth="1"/>
    <col min="10776" max="10776" width="2.7109375" style="63" customWidth="1"/>
    <col min="10777" max="10777" width="8.7109375" style="63" customWidth="1"/>
    <col min="10778" max="10779" width="21.7109375" style="63" customWidth="1"/>
    <col min="10780" max="11008" width="8.85546875" style="63"/>
    <col min="11009" max="11009" width="8.7109375" style="63" customWidth="1"/>
    <col min="11010" max="11011" width="21.7109375" style="63" customWidth="1"/>
    <col min="11012" max="11012" width="2.7109375" style="63" customWidth="1"/>
    <col min="11013" max="11013" width="8.7109375" style="63" customWidth="1"/>
    <col min="11014" max="11015" width="21.7109375" style="63" customWidth="1"/>
    <col min="11016" max="11016" width="2.7109375" style="63" customWidth="1"/>
    <col min="11017" max="11017" width="8.7109375" style="63" customWidth="1"/>
    <col min="11018" max="11019" width="21.7109375" style="63" customWidth="1"/>
    <col min="11020" max="11020" width="2.7109375" style="63" customWidth="1"/>
    <col min="11021" max="11021" width="8.7109375" style="63" customWidth="1"/>
    <col min="11022" max="11023" width="21.7109375" style="63" customWidth="1"/>
    <col min="11024" max="11024" width="2.7109375" style="63" customWidth="1"/>
    <col min="11025" max="11025" width="8.7109375" style="63" customWidth="1"/>
    <col min="11026" max="11027" width="21.7109375" style="63" customWidth="1"/>
    <col min="11028" max="11028" width="2.7109375" style="63" customWidth="1"/>
    <col min="11029" max="11029" width="8.7109375" style="63" customWidth="1"/>
    <col min="11030" max="11031" width="21.7109375" style="63" customWidth="1"/>
    <col min="11032" max="11032" width="2.7109375" style="63" customWidth="1"/>
    <col min="11033" max="11033" width="8.7109375" style="63" customWidth="1"/>
    <col min="11034" max="11035" width="21.7109375" style="63" customWidth="1"/>
    <col min="11036" max="11264" width="8.85546875" style="63"/>
    <col min="11265" max="11265" width="8.7109375" style="63" customWidth="1"/>
    <col min="11266" max="11267" width="21.7109375" style="63" customWidth="1"/>
    <col min="11268" max="11268" width="2.7109375" style="63" customWidth="1"/>
    <col min="11269" max="11269" width="8.7109375" style="63" customWidth="1"/>
    <col min="11270" max="11271" width="21.7109375" style="63" customWidth="1"/>
    <col min="11272" max="11272" width="2.7109375" style="63" customWidth="1"/>
    <col min="11273" max="11273" width="8.7109375" style="63" customWidth="1"/>
    <col min="11274" max="11275" width="21.7109375" style="63" customWidth="1"/>
    <col min="11276" max="11276" width="2.7109375" style="63" customWidth="1"/>
    <col min="11277" max="11277" width="8.7109375" style="63" customWidth="1"/>
    <col min="11278" max="11279" width="21.7109375" style="63" customWidth="1"/>
    <col min="11280" max="11280" width="2.7109375" style="63" customWidth="1"/>
    <col min="11281" max="11281" width="8.7109375" style="63" customWidth="1"/>
    <col min="11282" max="11283" width="21.7109375" style="63" customWidth="1"/>
    <col min="11284" max="11284" width="2.7109375" style="63" customWidth="1"/>
    <col min="11285" max="11285" width="8.7109375" style="63" customWidth="1"/>
    <col min="11286" max="11287" width="21.7109375" style="63" customWidth="1"/>
    <col min="11288" max="11288" width="2.7109375" style="63" customWidth="1"/>
    <col min="11289" max="11289" width="8.7109375" style="63" customWidth="1"/>
    <col min="11290" max="11291" width="21.7109375" style="63" customWidth="1"/>
    <col min="11292" max="11520" width="8.85546875" style="63"/>
    <col min="11521" max="11521" width="8.7109375" style="63" customWidth="1"/>
    <col min="11522" max="11523" width="21.7109375" style="63" customWidth="1"/>
    <col min="11524" max="11524" width="2.7109375" style="63" customWidth="1"/>
    <col min="11525" max="11525" width="8.7109375" style="63" customWidth="1"/>
    <col min="11526" max="11527" width="21.7109375" style="63" customWidth="1"/>
    <col min="11528" max="11528" width="2.7109375" style="63" customWidth="1"/>
    <col min="11529" max="11529" width="8.7109375" style="63" customWidth="1"/>
    <col min="11530" max="11531" width="21.7109375" style="63" customWidth="1"/>
    <col min="11532" max="11532" width="2.7109375" style="63" customWidth="1"/>
    <col min="11533" max="11533" width="8.7109375" style="63" customWidth="1"/>
    <col min="11534" max="11535" width="21.7109375" style="63" customWidth="1"/>
    <col min="11536" max="11536" width="2.7109375" style="63" customWidth="1"/>
    <col min="11537" max="11537" width="8.7109375" style="63" customWidth="1"/>
    <col min="11538" max="11539" width="21.7109375" style="63" customWidth="1"/>
    <col min="11540" max="11540" width="2.7109375" style="63" customWidth="1"/>
    <col min="11541" max="11541" width="8.7109375" style="63" customWidth="1"/>
    <col min="11542" max="11543" width="21.7109375" style="63" customWidth="1"/>
    <col min="11544" max="11544" width="2.7109375" style="63" customWidth="1"/>
    <col min="11545" max="11545" width="8.7109375" style="63" customWidth="1"/>
    <col min="11546" max="11547" width="21.7109375" style="63" customWidth="1"/>
    <col min="11548" max="11776" width="8.85546875" style="63"/>
    <col min="11777" max="11777" width="8.7109375" style="63" customWidth="1"/>
    <col min="11778" max="11779" width="21.7109375" style="63" customWidth="1"/>
    <col min="11780" max="11780" width="2.7109375" style="63" customWidth="1"/>
    <col min="11781" max="11781" width="8.7109375" style="63" customWidth="1"/>
    <col min="11782" max="11783" width="21.7109375" style="63" customWidth="1"/>
    <col min="11784" max="11784" width="2.7109375" style="63" customWidth="1"/>
    <col min="11785" max="11785" width="8.7109375" style="63" customWidth="1"/>
    <col min="11786" max="11787" width="21.7109375" style="63" customWidth="1"/>
    <col min="11788" max="11788" width="2.7109375" style="63" customWidth="1"/>
    <col min="11789" max="11789" width="8.7109375" style="63" customWidth="1"/>
    <col min="11790" max="11791" width="21.7109375" style="63" customWidth="1"/>
    <col min="11792" max="11792" width="2.7109375" style="63" customWidth="1"/>
    <col min="11793" max="11793" width="8.7109375" style="63" customWidth="1"/>
    <col min="11794" max="11795" width="21.7109375" style="63" customWidth="1"/>
    <col min="11796" max="11796" width="2.7109375" style="63" customWidth="1"/>
    <col min="11797" max="11797" width="8.7109375" style="63" customWidth="1"/>
    <col min="11798" max="11799" width="21.7109375" style="63" customWidth="1"/>
    <col min="11800" max="11800" width="2.7109375" style="63" customWidth="1"/>
    <col min="11801" max="11801" width="8.7109375" style="63" customWidth="1"/>
    <col min="11802" max="11803" width="21.7109375" style="63" customWidth="1"/>
    <col min="11804" max="12032" width="8.85546875" style="63"/>
    <col min="12033" max="12033" width="8.7109375" style="63" customWidth="1"/>
    <col min="12034" max="12035" width="21.7109375" style="63" customWidth="1"/>
    <col min="12036" max="12036" width="2.7109375" style="63" customWidth="1"/>
    <col min="12037" max="12037" width="8.7109375" style="63" customWidth="1"/>
    <col min="12038" max="12039" width="21.7109375" style="63" customWidth="1"/>
    <col min="12040" max="12040" width="2.7109375" style="63" customWidth="1"/>
    <col min="12041" max="12041" width="8.7109375" style="63" customWidth="1"/>
    <col min="12042" max="12043" width="21.7109375" style="63" customWidth="1"/>
    <col min="12044" max="12044" width="2.7109375" style="63" customWidth="1"/>
    <col min="12045" max="12045" width="8.7109375" style="63" customWidth="1"/>
    <col min="12046" max="12047" width="21.7109375" style="63" customWidth="1"/>
    <col min="12048" max="12048" width="2.7109375" style="63" customWidth="1"/>
    <col min="12049" max="12049" width="8.7109375" style="63" customWidth="1"/>
    <col min="12050" max="12051" width="21.7109375" style="63" customWidth="1"/>
    <col min="12052" max="12052" width="2.7109375" style="63" customWidth="1"/>
    <col min="12053" max="12053" width="8.7109375" style="63" customWidth="1"/>
    <col min="12054" max="12055" width="21.7109375" style="63" customWidth="1"/>
    <col min="12056" max="12056" width="2.7109375" style="63" customWidth="1"/>
    <col min="12057" max="12057" width="8.7109375" style="63" customWidth="1"/>
    <col min="12058" max="12059" width="21.7109375" style="63" customWidth="1"/>
    <col min="12060" max="12288" width="8.85546875" style="63"/>
    <col min="12289" max="12289" width="8.7109375" style="63" customWidth="1"/>
    <col min="12290" max="12291" width="21.7109375" style="63" customWidth="1"/>
    <col min="12292" max="12292" width="2.7109375" style="63" customWidth="1"/>
    <col min="12293" max="12293" width="8.7109375" style="63" customWidth="1"/>
    <col min="12294" max="12295" width="21.7109375" style="63" customWidth="1"/>
    <col min="12296" max="12296" width="2.7109375" style="63" customWidth="1"/>
    <col min="12297" max="12297" width="8.7109375" style="63" customWidth="1"/>
    <col min="12298" max="12299" width="21.7109375" style="63" customWidth="1"/>
    <col min="12300" max="12300" width="2.7109375" style="63" customWidth="1"/>
    <col min="12301" max="12301" width="8.7109375" style="63" customWidth="1"/>
    <col min="12302" max="12303" width="21.7109375" style="63" customWidth="1"/>
    <col min="12304" max="12304" width="2.7109375" style="63" customWidth="1"/>
    <col min="12305" max="12305" width="8.7109375" style="63" customWidth="1"/>
    <col min="12306" max="12307" width="21.7109375" style="63" customWidth="1"/>
    <col min="12308" max="12308" width="2.7109375" style="63" customWidth="1"/>
    <col min="12309" max="12309" width="8.7109375" style="63" customWidth="1"/>
    <col min="12310" max="12311" width="21.7109375" style="63" customWidth="1"/>
    <col min="12312" max="12312" width="2.7109375" style="63" customWidth="1"/>
    <col min="12313" max="12313" width="8.7109375" style="63" customWidth="1"/>
    <col min="12314" max="12315" width="21.7109375" style="63" customWidth="1"/>
    <col min="12316" max="12544" width="8.85546875" style="63"/>
    <col min="12545" max="12545" width="8.7109375" style="63" customWidth="1"/>
    <col min="12546" max="12547" width="21.7109375" style="63" customWidth="1"/>
    <col min="12548" max="12548" width="2.7109375" style="63" customWidth="1"/>
    <col min="12549" max="12549" width="8.7109375" style="63" customWidth="1"/>
    <col min="12550" max="12551" width="21.7109375" style="63" customWidth="1"/>
    <col min="12552" max="12552" width="2.7109375" style="63" customWidth="1"/>
    <col min="12553" max="12553" width="8.7109375" style="63" customWidth="1"/>
    <col min="12554" max="12555" width="21.7109375" style="63" customWidth="1"/>
    <col min="12556" max="12556" width="2.7109375" style="63" customWidth="1"/>
    <col min="12557" max="12557" width="8.7109375" style="63" customWidth="1"/>
    <col min="12558" max="12559" width="21.7109375" style="63" customWidth="1"/>
    <col min="12560" max="12560" width="2.7109375" style="63" customWidth="1"/>
    <col min="12561" max="12561" width="8.7109375" style="63" customWidth="1"/>
    <col min="12562" max="12563" width="21.7109375" style="63" customWidth="1"/>
    <col min="12564" max="12564" width="2.7109375" style="63" customWidth="1"/>
    <col min="12565" max="12565" width="8.7109375" style="63" customWidth="1"/>
    <col min="12566" max="12567" width="21.7109375" style="63" customWidth="1"/>
    <col min="12568" max="12568" width="2.7109375" style="63" customWidth="1"/>
    <col min="12569" max="12569" width="8.7109375" style="63" customWidth="1"/>
    <col min="12570" max="12571" width="21.7109375" style="63" customWidth="1"/>
    <col min="12572" max="12800" width="8.85546875" style="63"/>
    <col min="12801" max="12801" width="8.7109375" style="63" customWidth="1"/>
    <col min="12802" max="12803" width="21.7109375" style="63" customWidth="1"/>
    <col min="12804" max="12804" width="2.7109375" style="63" customWidth="1"/>
    <col min="12805" max="12805" width="8.7109375" style="63" customWidth="1"/>
    <col min="12806" max="12807" width="21.7109375" style="63" customWidth="1"/>
    <col min="12808" max="12808" width="2.7109375" style="63" customWidth="1"/>
    <col min="12809" max="12809" width="8.7109375" style="63" customWidth="1"/>
    <col min="12810" max="12811" width="21.7109375" style="63" customWidth="1"/>
    <col min="12812" max="12812" width="2.7109375" style="63" customWidth="1"/>
    <col min="12813" max="12813" width="8.7109375" style="63" customWidth="1"/>
    <col min="12814" max="12815" width="21.7109375" style="63" customWidth="1"/>
    <col min="12816" max="12816" width="2.7109375" style="63" customWidth="1"/>
    <col min="12817" max="12817" width="8.7109375" style="63" customWidth="1"/>
    <col min="12818" max="12819" width="21.7109375" style="63" customWidth="1"/>
    <col min="12820" max="12820" width="2.7109375" style="63" customWidth="1"/>
    <col min="12821" max="12821" width="8.7109375" style="63" customWidth="1"/>
    <col min="12822" max="12823" width="21.7109375" style="63" customWidth="1"/>
    <col min="12824" max="12824" width="2.7109375" style="63" customWidth="1"/>
    <col min="12825" max="12825" width="8.7109375" style="63" customWidth="1"/>
    <col min="12826" max="12827" width="21.7109375" style="63" customWidth="1"/>
    <col min="12828" max="13056" width="8.85546875" style="63"/>
    <col min="13057" max="13057" width="8.7109375" style="63" customWidth="1"/>
    <col min="13058" max="13059" width="21.7109375" style="63" customWidth="1"/>
    <col min="13060" max="13060" width="2.7109375" style="63" customWidth="1"/>
    <col min="13061" max="13061" width="8.7109375" style="63" customWidth="1"/>
    <col min="13062" max="13063" width="21.7109375" style="63" customWidth="1"/>
    <col min="13064" max="13064" width="2.7109375" style="63" customWidth="1"/>
    <col min="13065" max="13065" width="8.7109375" style="63" customWidth="1"/>
    <col min="13066" max="13067" width="21.7109375" style="63" customWidth="1"/>
    <col min="13068" max="13068" width="2.7109375" style="63" customWidth="1"/>
    <col min="13069" max="13069" width="8.7109375" style="63" customWidth="1"/>
    <col min="13070" max="13071" width="21.7109375" style="63" customWidth="1"/>
    <col min="13072" max="13072" width="2.7109375" style="63" customWidth="1"/>
    <col min="13073" max="13073" width="8.7109375" style="63" customWidth="1"/>
    <col min="13074" max="13075" width="21.7109375" style="63" customWidth="1"/>
    <col min="13076" max="13076" width="2.7109375" style="63" customWidth="1"/>
    <col min="13077" max="13077" width="8.7109375" style="63" customWidth="1"/>
    <col min="13078" max="13079" width="21.7109375" style="63" customWidth="1"/>
    <col min="13080" max="13080" width="2.7109375" style="63" customWidth="1"/>
    <col min="13081" max="13081" width="8.7109375" style="63" customWidth="1"/>
    <col min="13082" max="13083" width="21.7109375" style="63" customWidth="1"/>
    <col min="13084" max="13312" width="8.85546875" style="63"/>
    <col min="13313" max="13313" width="8.7109375" style="63" customWidth="1"/>
    <col min="13314" max="13315" width="21.7109375" style="63" customWidth="1"/>
    <col min="13316" max="13316" width="2.7109375" style="63" customWidth="1"/>
    <col min="13317" max="13317" width="8.7109375" style="63" customWidth="1"/>
    <col min="13318" max="13319" width="21.7109375" style="63" customWidth="1"/>
    <col min="13320" max="13320" width="2.7109375" style="63" customWidth="1"/>
    <col min="13321" max="13321" width="8.7109375" style="63" customWidth="1"/>
    <col min="13322" max="13323" width="21.7109375" style="63" customWidth="1"/>
    <col min="13324" max="13324" width="2.7109375" style="63" customWidth="1"/>
    <col min="13325" max="13325" width="8.7109375" style="63" customWidth="1"/>
    <col min="13326" max="13327" width="21.7109375" style="63" customWidth="1"/>
    <col min="13328" max="13328" width="2.7109375" style="63" customWidth="1"/>
    <col min="13329" max="13329" width="8.7109375" style="63" customWidth="1"/>
    <col min="13330" max="13331" width="21.7109375" style="63" customWidth="1"/>
    <col min="13332" max="13332" width="2.7109375" style="63" customWidth="1"/>
    <col min="13333" max="13333" width="8.7109375" style="63" customWidth="1"/>
    <col min="13334" max="13335" width="21.7109375" style="63" customWidth="1"/>
    <col min="13336" max="13336" width="2.7109375" style="63" customWidth="1"/>
    <col min="13337" max="13337" width="8.7109375" style="63" customWidth="1"/>
    <col min="13338" max="13339" width="21.7109375" style="63" customWidth="1"/>
    <col min="13340" max="13568" width="8.85546875" style="63"/>
    <col min="13569" max="13569" width="8.7109375" style="63" customWidth="1"/>
    <col min="13570" max="13571" width="21.7109375" style="63" customWidth="1"/>
    <col min="13572" max="13572" width="2.7109375" style="63" customWidth="1"/>
    <col min="13573" max="13573" width="8.7109375" style="63" customWidth="1"/>
    <col min="13574" max="13575" width="21.7109375" style="63" customWidth="1"/>
    <col min="13576" max="13576" width="2.7109375" style="63" customWidth="1"/>
    <col min="13577" max="13577" width="8.7109375" style="63" customWidth="1"/>
    <col min="13578" max="13579" width="21.7109375" style="63" customWidth="1"/>
    <col min="13580" max="13580" width="2.7109375" style="63" customWidth="1"/>
    <col min="13581" max="13581" width="8.7109375" style="63" customWidth="1"/>
    <col min="13582" max="13583" width="21.7109375" style="63" customWidth="1"/>
    <col min="13584" max="13584" width="2.7109375" style="63" customWidth="1"/>
    <col min="13585" max="13585" width="8.7109375" style="63" customWidth="1"/>
    <col min="13586" max="13587" width="21.7109375" style="63" customWidth="1"/>
    <col min="13588" max="13588" width="2.7109375" style="63" customWidth="1"/>
    <col min="13589" max="13589" width="8.7109375" style="63" customWidth="1"/>
    <col min="13590" max="13591" width="21.7109375" style="63" customWidth="1"/>
    <col min="13592" max="13592" width="2.7109375" style="63" customWidth="1"/>
    <col min="13593" max="13593" width="8.7109375" style="63" customWidth="1"/>
    <col min="13594" max="13595" width="21.7109375" style="63" customWidth="1"/>
    <col min="13596" max="13824" width="8.85546875" style="63"/>
    <col min="13825" max="13825" width="8.7109375" style="63" customWidth="1"/>
    <col min="13826" max="13827" width="21.7109375" style="63" customWidth="1"/>
    <col min="13828" max="13828" width="2.7109375" style="63" customWidth="1"/>
    <col min="13829" max="13829" width="8.7109375" style="63" customWidth="1"/>
    <col min="13830" max="13831" width="21.7109375" style="63" customWidth="1"/>
    <col min="13832" max="13832" width="2.7109375" style="63" customWidth="1"/>
    <col min="13833" max="13833" width="8.7109375" style="63" customWidth="1"/>
    <col min="13834" max="13835" width="21.7109375" style="63" customWidth="1"/>
    <col min="13836" max="13836" width="2.7109375" style="63" customWidth="1"/>
    <col min="13837" max="13837" width="8.7109375" style="63" customWidth="1"/>
    <col min="13838" max="13839" width="21.7109375" style="63" customWidth="1"/>
    <col min="13840" max="13840" width="2.7109375" style="63" customWidth="1"/>
    <col min="13841" max="13841" width="8.7109375" style="63" customWidth="1"/>
    <col min="13842" max="13843" width="21.7109375" style="63" customWidth="1"/>
    <col min="13844" max="13844" width="2.7109375" style="63" customWidth="1"/>
    <col min="13845" max="13845" width="8.7109375" style="63" customWidth="1"/>
    <col min="13846" max="13847" width="21.7109375" style="63" customWidth="1"/>
    <col min="13848" max="13848" width="2.7109375" style="63" customWidth="1"/>
    <col min="13849" max="13849" width="8.7109375" style="63" customWidth="1"/>
    <col min="13850" max="13851" width="21.7109375" style="63" customWidth="1"/>
    <col min="13852" max="14080" width="8.85546875" style="63"/>
    <col min="14081" max="14081" width="8.7109375" style="63" customWidth="1"/>
    <col min="14082" max="14083" width="21.7109375" style="63" customWidth="1"/>
    <col min="14084" max="14084" width="2.7109375" style="63" customWidth="1"/>
    <col min="14085" max="14085" width="8.7109375" style="63" customWidth="1"/>
    <col min="14086" max="14087" width="21.7109375" style="63" customWidth="1"/>
    <col min="14088" max="14088" width="2.7109375" style="63" customWidth="1"/>
    <col min="14089" max="14089" width="8.7109375" style="63" customWidth="1"/>
    <col min="14090" max="14091" width="21.7109375" style="63" customWidth="1"/>
    <col min="14092" max="14092" width="2.7109375" style="63" customWidth="1"/>
    <col min="14093" max="14093" width="8.7109375" style="63" customWidth="1"/>
    <col min="14094" max="14095" width="21.7109375" style="63" customWidth="1"/>
    <col min="14096" max="14096" width="2.7109375" style="63" customWidth="1"/>
    <col min="14097" max="14097" width="8.7109375" style="63" customWidth="1"/>
    <col min="14098" max="14099" width="21.7109375" style="63" customWidth="1"/>
    <col min="14100" max="14100" width="2.7109375" style="63" customWidth="1"/>
    <col min="14101" max="14101" width="8.7109375" style="63" customWidth="1"/>
    <col min="14102" max="14103" width="21.7109375" style="63" customWidth="1"/>
    <col min="14104" max="14104" width="2.7109375" style="63" customWidth="1"/>
    <col min="14105" max="14105" width="8.7109375" style="63" customWidth="1"/>
    <col min="14106" max="14107" width="21.7109375" style="63" customWidth="1"/>
    <col min="14108" max="14336" width="8.85546875" style="63"/>
    <col min="14337" max="14337" width="8.7109375" style="63" customWidth="1"/>
    <col min="14338" max="14339" width="21.7109375" style="63" customWidth="1"/>
    <col min="14340" max="14340" width="2.7109375" style="63" customWidth="1"/>
    <col min="14341" max="14341" width="8.7109375" style="63" customWidth="1"/>
    <col min="14342" max="14343" width="21.7109375" style="63" customWidth="1"/>
    <col min="14344" max="14344" width="2.7109375" style="63" customWidth="1"/>
    <col min="14345" max="14345" width="8.7109375" style="63" customWidth="1"/>
    <col min="14346" max="14347" width="21.7109375" style="63" customWidth="1"/>
    <col min="14348" max="14348" width="2.7109375" style="63" customWidth="1"/>
    <col min="14349" max="14349" width="8.7109375" style="63" customWidth="1"/>
    <col min="14350" max="14351" width="21.7109375" style="63" customWidth="1"/>
    <col min="14352" max="14352" width="2.7109375" style="63" customWidth="1"/>
    <col min="14353" max="14353" width="8.7109375" style="63" customWidth="1"/>
    <col min="14354" max="14355" width="21.7109375" style="63" customWidth="1"/>
    <col min="14356" max="14356" width="2.7109375" style="63" customWidth="1"/>
    <col min="14357" max="14357" width="8.7109375" style="63" customWidth="1"/>
    <col min="14358" max="14359" width="21.7109375" style="63" customWidth="1"/>
    <col min="14360" max="14360" width="2.7109375" style="63" customWidth="1"/>
    <col min="14361" max="14361" width="8.7109375" style="63" customWidth="1"/>
    <col min="14362" max="14363" width="21.7109375" style="63" customWidth="1"/>
    <col min="14364" max="14592" width="8.85546875" style="63"/>
    <col min="14593" max="14593" width="8.7109375" style="63" customWidth="1"/>
    <col min="14594" max="14595" width="21.7109375" style="63" customWidth="1"/>
    <col min="14596" max="14596" width="2.7109375" style="63" customWidth="1"/>
    <col min="14597" max="14597" width="8.7109375" style="63" customWidth="1"/>
    <col min="14598" max="14599" width="21.7109375" style="63" customWidth="1"/>
    <col min="14600" max="14600" width="2.7109375" style="63" customWidth="1"/>
    <col min="14601" max="14601" width="8.7109375" style="63" customWidth="1"/>
    <col min="14602" max="14603" width="21.7109375" style="63" customWidth="1"/>
    <col min="14604" max="14604" width="2.7109375" style="63" customWidth="1"/>
    <col min="14605" max="14605" width="8.7109375" style="63" customWidth="1"/>
    <col min="14606" max="14607" width="21.7109375" style="63" customWidth="1"/>
    <col min="14608" max="14608" width="2.7109375" style="63" customWidth="1"/>
    <col min="14609" max="14609" width="8.7109375" style="63" customWidth="1"/>
    <col min="14610" max="14611" width="21.7109375" style="63" customWidth="1"/>
    <col min="14612" max="14612" width="2.7109375" style="63" customWidth="1"/>
    <col min="14613" max="14613" width="8.7109375" style="63" customWidth="1"/>
    <col min="14614" max="14615" width="21.7109375" style="63" customWidth="1"/>
    <col min="14616" max="14616" width="2.7109375" style="63" customWidth="1"/>
    <col min="14617" max="14617" width="8.7109375" style="63" customWidth="1"/>
    <col min="14618" max="14619" width="21.7109375" style="63" customWidth="1"/>
    <col min="14620" max="14848" width="8.85546875" style="63"/>
    <col min="14849" max="14849" width="8.7109375" style="63" customWidth="1"/>
    <col min="14850" max="14851" width="21.7109375" style="63" customWidth="1"/>
    <col min="14852" max="14852" width="2.7109375" style="63" customWidth="1"/>
    <col min="14853" max="14853" width="8.7109375" style="63" customWidth="1"/>
    <col min="14854" max="14855" width="21.7109375" style="63" customWidth="1"/>
    <col min="14856" max="14856" width="2.7109375" style="63" customWidth="1"/>
    <col min="14857" max="14857" width="8.7109375" style="63" customWidth="1"/>
    <col min="14858" max="14859" width="21.7109375" style="63" customWidth="1"/>
    <col min="14860" max="14860" width="2.7109375" style="63" customWidth="1"/>
    <col min="14861" max="14861" width="8.7109375" style="63" customWidth="1"/>
    <col min="14862" max="14863" width="21.7109375" style="63" customWidth="1"/>
    <col min="14864" max="14864" width="2.7109375" style="63" customWidth="1"/>
    <col min="14865" max="14865" width="8.7109375" style="63" customWidth="1"/>
    <col min="14866" max="14867" width="21.7109375" style="63" customWidth="1"/>
    <col min="14868" max="14868" width="2.7109375" style="63" customWidth="1"/>
    <col min="14869" max="14869" width="8.7109375" style="63" customWidth="1"/>
    <col min="14870" max="14871" width="21.7109375" style="63" customWidth="1"/>
    <col min="14872" max="14872" width="2.7109375" style="63" customWidth="1"/>
    <col min="14873" max="14873" width="8.7109375" style="63" customWidth="1"/>
    <col min="14874" max="14875" width="21.7109375" style="63" customWidth="1"/>
    <col min="14876" max="15104" width="8.85546875" style="63"/>
    <col min="15105" max="15105" width="8.7109375" style="63" customWidth="1"/>
    <col min="15106" max="15107" width="21.7109375" style="63" customWidth="1"/>
    <col min="15108" max="15108" width="2.7109375" style="63" customWidth="1"/>
    <col min="15109" max="15109" width="8.7109375" style="63" customWidth="1"/>
    <col min="15110" max="15111" width="21.7109375" style="63" customWidth="1"/>
    <col min="15112" max="15112" width="2.7109375" style="63" customWidth="1"/>
    <col min="15113" max="15113" width="8.7109375" style="63" customWidth="1"/>
    <col min="15114" max="15115" width="21.7109375" style="63" customWidth="1"/>
    <col min="15116" max="15116" width="2.7109375" style="63" customWidth="1"/>
    <col min="15117" max="15117" width="8.7109375" style="63" customWidth="1"/>
    <col min="15118" max="15119" width="21.7109375" style="63" customWidth="1"/>
    <col min="15120" max="15120" width="2.7109375" style="63" customWidth="1"/>
    <col min="15121" max="15121" width="8.7109375" style="63" customWidth="1"/>
    <col min="15122" max="15123" width="21.7109375" style="63" customWidth="1"/>
    <col min="15124" max="15124" width="2.7109375" style="63" customWidth="1"/>
    <col min="15125" max="15125" width="8.7109375" style="63" customWidth="1"/>
    <col min="15126" max="15127" width="21.7109375" style="63" customWidth="1"/>
    <col min="15128" max="15128" width="2.7109375" style="63" customWidth="1"/>
    <col min="15129" max="15129" width="8.7109375" style="63" customWidth="1"/>
    <col min="15130" max="15131" width="21.7109375" style="63" customWidth="1"/>
    <col min="15132" max="15360" width="8.85546875" style="63"/>
    <col min="15361" max="15361" width="8.7109375" style="63" customWidth="1"/>
    <col min="15362" max="15363" width="21.7109375" style="63" customWidth="1"/>
    <col min="15364" max="15364" width="2.7109375" style="63" customWidth="1"/>
    <col min="15365" max="15365" width="8.7109375" style="63" customWidth="1"/>
    <col min="15366" max="15367" width="21.7109375" style="63" customWidth="1"/>
    <col min="15368" max="15368" width="2.7109375" style="63" customWidth="1"/>
    <col min="15369" max="15369" width="8.7109375" style="63" customWidth="1"/>
    <col min="15370" max="15371" width="21.7109375" style="63" customWidth="1"/>
    <col min="15372" max="15372" width="2.7109375" style="63" customWidth="1"/>
    <col min="15373" max="15373" width="8.7109375" style="63" customWidth="1"/>
    <col min="15374" max="15375" width="21.7109375" style="63" customWidth="1"/>
    <col min="15376" max="15376" width="2.7109375" style="63" customWidth="1"/>
    <col min="15377" max="15377" width="8.7109375" style="63" customWidth="1"/>
    <col min="15378" max="15379" width="21.7109375" style="63" customWidth="1"/>
    <col min="15380" max="15380" width="2.7109375" style="63" customWidth="1"/>
    <col min="15381" max="15381" width="8.7109375" style="63" customWidth="1"/>
    <col min="15382" max="15383" width="21.7109375" style="63" customWidth="1"/>
    <col min="15384" max="15384" width="2.7109375" style="63" customWidth="1"/>
    <col min="15385" max="15385" width="8.7109375" style="63" customWidth="1"/>
    <col min="15386" max="15387" width="21.7109375" style="63" customWidth="1"/>
    <col min="15388" max="15616" width="8.85546875" style="63"/>
    <col min="15617" max="15617" width="8.7109375" style="63" customWidth="1"/>
    <col min="15618" max="15619" width="21.7109375" style="63" customWidth="1"/>
    <col min="15620" max="15620" width="2.7109375" style="63" customWidth="1"/>
    <col min="15621" max="15621" width="8.7109375" style="63" customWidth="1"/>
    <col min="15622" max="15623" width="21.7109375" style="63" customWidth="1"/>
    <col min="15624" max="15624" width="2.7109375" style="63" customWidth="1"/>
    <col min="15625" max="15625" width="8.7109375" style="63" customWidth="1"/>
    <col min="15626" max="15627" width="21.7109375" style="63" customWidth="1"/>
    <col min="15628" max="15628" width="2.7109375" style="63" customWidth="1"/>
    <col min="15629" max="15629" width="8.7109375" style="63" customWidth="1"/>
    <col min="15630" max="15631" width="21.7109375" style="63" customWidth="1"/>
    <col min="15632" max="15632" width="2.7109375" style="63" customWidth="1"/>
    <col min="15633" max="15633" width="8.7109375" style="63" customWidth="1"/>
    <col min="15634" max="15635" width="21.7109375" style="63" customWidth="1"/>
    <col min="15636" max="15636" width="2.7109375" style="63" customWidth="1"/>
    <col min="15637" max="15637" width="8.7109375" style="63" customWidth="1"/>
    <col min="15638" max="15639" width="21.7109375" style="63" customWidth="1"/>
    <col min="15640" max="15640" width="2.7109375" style="63" customWidth="1"/>
    <col min="15641" max="15641" width="8.7109375" style="63" customWidth="1"/>
    <col min="15642" max="15643" width="21.7109375" style="63" customWidth="1"/>
    <col min="15644" max="15872" width="8.85546875" style="63"/>
    <col min="15873" max="15873" width="8.7109375" style="63" customWidth="1"/>
    <col min="15874" max="15875" width="21.7109375" style="63" customWidth="1"/>
    <col min="15876" max="15876" width="2.7109375" style="63" customWidth="1"/>
    <col min="15877" max="15877" width="8.7109375" style="63" customWidth="1"/>
    <col min="15878" max="15879" width="21.7109375" style="63" customWidth="1"/>
    <col min="15880" max="15880" width="2.7109375" style="63" customWidth="1"/>
    <col min="15881" max="15881" width="8.7109375" style="63" customWidth="1"/>
    <col min="15882" max="15883" width="21.7109375" style="63" customWidth="1"/>
    <col min="15884" max="15884" width="2.7109375" style="63" customWidth="1"/>
    <col min="15885" max="15885" width="8.7109375" style="63" customWidth="1"/>
    <col min="15886" max="15887" width="21.7109375" style="63" customWidth="1"/>
    <col min="15888" max="15888" width="2.7109375" style="63" customWidth="1"/>
    <col min="15889" max="15889" width="8.7109375" style="63" customWidth="1"/>
    <col min="15890" max="15891" width="21.7109375" style="63" customWidth="1"/>
    <col min="15892" max="15892" width="2.7109375" style="63" customWidth="1"/>
    <col min="15893" max="15893" width="8.7109375" style="63" customWidth="1"/>
    <col min="15894" max="15895" width="21.7109375" style="63" customWidth="1"/>
    <col min="15896" max="15896" width="2.7109375" style="63" customWidth="1"/>
    <col min="15897" max="15897" width="8.7109375" style="63" customWidth="1"/>
    <col min="15898" max="15899" width="21.7109375" style="63" customWidth="1"/>
    <col min="15900" max="16128" width="8.85546875" style="63"/>
    <col min="16129" max="16129" width="8.7109375" style="63" customWidth="1"/>
    <col min="16130" max="16131" width="21.7109375" style="63" customWidth="1"/>
    <col min="16132" max="16132" width="2.7109375" style="63" customWidth="1"/>
    <col min="16133" max="16133" width="8.7109375" style="63" customWidth="1"/>
    <col min="16134" max="16135" width="21.7109375" style="63" customWidth="1"/>
    <col min="16136" max="16136" width="2.7109375" style="63" customWidth="1"/>
    <col min="16137" max="16137" width="8.7109375" style="63" customWidth="1"/>
    <col min="16138" max="16139" width="21.7109375" style="63" customWidth="1"/>
    <col min="16140" max="16140" width="2.7109375" style="63" customWidth="1"/>
    <col min="16141" max="16141" width="8.7109375" style="63" customWidth="1"/>
    <col min="16142" max="16143" width="21.7109375" style="63" customWidth="1"/>
    <col min="16144" max="16144" width="2.7109375" style="63" customWidth="1"/>
    <col min="16145" max="16145" width="8.7109375" style="63" customWidth="1"/>
    <col min="16146" max="16147" width="21.7109375" style="63" customWidth="1"/>
    <col min="16148" max="16148" width="2.7109375" style="63" customWidth="1"/>
    <col min="16149" max="16149" width="8.7109375" style="63" customWidth="1"/>
    <col min="16150" max="16151" width="21.7109375" style="63" customWidth="1"/>
    <col min="16152" max="16152" width="2.7109375" style="63" customWidth="1"/>
    <col min="16153" max="16153" width="8.7109375" style="63" customWidth="1"/>
    <col min="16154" max="16155" width="21.7109375" style="63" customWidth="1"/>
    <col min="16156" max="16384" width="8.85546875" style="63"/>
  </cols>
  <sheetData>
    <row r="2" spans="1:27" ht="36" customHeight="1">
      <c r="A2" s="422" t="s">
        <v>0</v>
      </c>
    </row>
    <row r="3" spans="1:27" ht="36" customHeight="1">
      <c r="A3" s="423" t="s">
        <v>1</v>
      </c>
      <c r="C3" s="424"/>
      <c r="D3" s="424"/>
      <c r="E3" s="424"/>
    </row>
    <row r="4" spans="1:27" ht="36" customHeight="1">
      <c r="A4" s="423" t="s">
        <v>2</v>
      </c>
      <c r="C4" s="424"/>
      <c r="D4" s="424"/>
      <c r="E4" s="424"/>
    </row>
    <row r="5" spans="1:27" ht="36" customHeight="1">
      <c r="A5" s="423" t="s">
        <v>3</v>
      </c>
      <c r="C5" s="424"/>
      <c r="D5" s="424"/>
      <c r="E5" s="424"/>
    </row>
    <row r="6" spans="1:27" ht="36" customHeight="1">
      <c r="A6" s="423" t="s">
        <v>4</v>
      </c>
      <c r="C6" s="424"/>
      <c r="D6" s="424"/>
      <c r="E6" s="424"/>
    </row>
    <row r="7" spans="1:27" ht="29.25" customHeight="1">
      <c r="A7" s="425"/>
      <c r="B7" s="426"/>
      <c r="C7" s="427"/>
      <c r="D7" s="427"/>
      <c r="E7" s="427"/>
      <c r="F7" s="426"/>
      <c r="G7" s="426"/>
      <c r="H7" s="426"/>
      <c r="I7" s="426"/>
      <c r="J7" s="426"/>
      <c r="K7" s="426"/>
      <c r="L7" s="426"/>
      <c r="M7" s="426"/>
      <c r="N7" s="426"/>
      <c r="O7" s="426"/>
      <c r="P7" s="426"/>
      <c r="Q7" s="426"/>
      <c r="R7" s="426"/>
      <c r="S7" s="426"/>
      <c r="T7" s="426"/>
      <c r="U7" s="426"/>
      <c r="V7" s="426"/>
      <c r="W7" s="426"/>
      <c r="X7" s="426"/>
      <c r="Y7" s="426"/>
      <c r="Z7" s="426"/>
      <c r="AA7" s="426"/>
    </row>
    <row r="8" spans="1:27" ht="8.25" customHeight="1">
      <c r="A8" s="423"/>
      <c r="C8" s="424"/>
      <c r="D8" s="424"/>
      <c r="E8" s="424"/>
    </row>
    <row r="9" spans="1:27" ht="36" customHeight="1" thickBot="1">
      <c r="A9" s="428" t="s">
        <v>8</v>
      </c>
      <c r="B9" s="428"/>
      <c r="C9" s="428" t="str">
        <f>CONCATENATE(Steuerung!A2,Steuerung!B2,Steuerung!C2)</f>
        <v>24 - 25</v>
      </c>
      <c r="D9" s="428"/>
      <c r="E9" s="428"/>
    </row>
    <row r="10" spans="1:27" ht="10.5" customHeight="1" thickTop="1"/>
    <row r="11" spans="1:27" ht="24.95" customHeight="1" thickBot="1">
      <c r="A11" s="433" t="s">
        <v>6</v>
      </c>
      <c r="B11" s="434">
        <v>1</v>
      </c>
      <c r="C11" s="435" t="str">
        <f>VLOOKUP(B11,Steuerung!$A$6:$B$19,2,FALSE)</f>
        <v>31.08./01.09.24</v>
      </c>
      <c r="E11" s="433" t="s">
        <v>6</v>
      </c>
      <c r="F11" s="434">
        <v>2</v>
      </c>
      <c r="G11" s="435" t="str">
        <f>VLOOKUP(F11,Steuerung!$A$6:$B$19,2,FALSE)</f>
        <v>14./15.09.24</v>
      </c>
      <c r="I11" s="433" t="s">
        <v>6</v>
      </c>
      <c r="J11" s="434">
        <v>3</v>
      </c>
      <c r="K11" s="435" t="str">
        <f>VLOOKUP(J11,Steuerung!$A$6:$B$19,2,FALSE)</f>
        <v>19./20.10.24</v>
      </c>
      <c r="M11" s="433" t="s">
        <v>6</v>
      </c>
      <c r="N11" s="434">
        <v>4</v>
      </c>
      <c r="O11" s="435" t="str">
        <f>VLOOKUP(N11,Steuerung!$A$6:$B$19,2,FALSE)</f>
        <v>26./27.10.24</v>
      </c>
      <c r="Q11" s="433" t="s">
        <v>6</v>
      </c>
      <c r="R11" s="434">
        <v>5</v>
      </c>
      <c r="S11" s="435" t="str">
        <f>VLOOKUP(R11,Steuerung!$A$6:$B$19,2,FALSE)</f>
        <v>16./17.11.24</v>
      </c>
      <c r="U11" s="433" t="s">
        <v>6</v>
      </c>
      <c r="V11" s="434">
        <v>6</v>
      </c>
      <c r="W11" s="435" t="str">
        <f>VLOOKUP(V11,Steuerung!$A$6:$B$19,2,FALSE)</f>
        <v>07./08.12.24</v>
      </c>
      <c r="Y11" s="433" t="s">
        <v>6</v>
      </c>
      <c r="Z11" s="434">
        <v>7</v>
      </c>
      <c r="AA11" s="435" t="str">
        <f>VLOOKUP(Z11,Steuerung!$A$6:$B$19,2,FALSE)</f>
        <v>14./15.12.24</v>
      </c>
    </row>
    <row r="12" spans="1:27" ht="20.100000000000001" customHeight="1">
      <c r="A12" s="436" t="str">
        <f>REPT(Steuerung!AM4,1)</f>
        <v>A1</v>
      </c>
      <c r="B12" s="429" t="str">
        <f>REPT(Steuerung!AO4,1)</f>
        <v>Phantoms</v>
      </c>
      <c r="C12" s="429" t="str">
        <f>REPT(Steuerung!AP4,1)</f>
        <v>Brugg 1</v>
      </c>
      <c r="E12" s="436" t="str">
        <f>REPT(A12,1)</f>
        <v>A1</v>
      </c>
      <c r="F12" s="429" t="str">
        <f>REPT(Steuerung!AV4,1)</f>
        <v>Brugg 1</v>
      </c>
      <c r="G12" s="429" t="str">
        <f>REPT(Steuerung!AW4,1)</f>
        <v>Safnern 1</v>
      </c>
      <c r="I12" s="436" t="str">
        <f>REPT(E12,1)</f>
        <v>A1</v>
      </c>
      <c r="J12" s="429" t="str">
        <f>REPT(Steuerung!BC4,1)</f>
        <v>Midland Knights</v>
      </c>
      <c r="K12" s="429" t="str">
        <f>REPT(Steuerung!BD4,1)</f>
        <v>Brugg 1</v>
      </c>
      <c r="M12" s="436" t="str">
        <f>REPT(I12,1)</f>
        <v>A1</v>
      </c>
      <c r="N12" s="429" t="str">
        <f>REPT(Steuerung!BJ4,1)</f>
        <v>Brugg 1</v>
      </c>
      <c r="O12" s="429" t="str">
        <f>REPT(Steuerung!BK4,1)</f>
        <v>Lauterbrunnen</v>
      </c>
      <c r="Q12" s="436" t="str">
        <f>REPT(M12,1)</f>
        <v>A1</v>
      </c>
      <c r="R12" s="429" t="str">
        <f>REPT(Steuerung!BQ4,1)</f>
        <v>Joker 1</v>
      </c>
      <c r="S12" s="429" t="str">
        <f>REPT(Steuerung!BR4,1)</f>
        <v>Brugg 1</v>
      </c>
      <c r="U12" s="436" t="str">
        <f>REPT(Q12,1)</f>
        <v>A1</v>
      </c>
      <c r="V12" s="429" t="str">
        <f>REPT(Steuerung!BX4,1)</f>
        <v>Brugg 1</v>
      </c>
      <c r="W12" s="429" t="str">
        <f>REPT(Steuerung!BY4,1)</f>
        <v>Rangers</v>
      </c>
      <c r="Y12" s="436" t="str">
        <f>REPT(U12,1)</f>
        <v>A1</v>
      </c>
      <c r="Z12" s="429" t="str">
        <f>REPT(Steuerung!CE4,1)</f>
        <v>Chill Out Bull's 1</v>
      </c>
      <c r="AA12" s="429" t="str">
        <f>REPT(Steuerung!CF4,1)</f>
        <v>Brugg 1</v>
      </c>
    </row>
    <row r="13" spans="1:27" ht="20.100000000000001" customHeight="1">
      <c r="A13" s="437" t="str">
        <f>REPT(Steuerung!AM5,1)</f>
        <v>A2</v>
      </c>
      <c r="B13" s="430" t="str">
        <f>REPT(Steuerung!AO5,1)</f>
        <v>Lauterbrunnen</v>
      </c>
      <c r="C13" s="430" t="str">
        <f>REPT(Steuerung!AP5,1)</f>
        <v>Joker 1</v>
      </c>
      <c r="E13" s="437" t="str">
        <f t="shared" ref="E13:E43" si="0">REPT(A13,1)</f>
        <v>A2</v>
      </c>
      <c r="F13" s="430" t="str">
        <f>REPT(Steuerung!AV5,1)</f>
        <v>Phantoms</v>
      </c>
      <c r="G13" s="430" t="str">
        <f>REPT(Steuerung!AW5,1)</f>
        <v>Joker 1</v>
      </c>
      <c r="I13" s="437" t="str">
        <f t="shared" ref="I13:I43" si="1">REPT(E13,1)</f>
        <v>A2</v>
      </c>
      <c r="J13" s="430" t="str">
        <f>REPT(Steuerung!BC5,1)</f>
        <v>Safnern 1</v>
      </c>
      <c r="K13" s="430" t="str">
        <f>REPT(Steuerung!BD5,1)</f>
        <v>Joker 1</v>
      </c>
      <c r="M13" s="437" t="str">
        <f t="shared" ref="M13:M43" si="2">REPT(I13,1)</f>
        <v>A2</v>
      </c>
      <c r="N13" s="430" t="str">
        <f>REPT(Steuerung!BJ5,1)</f>
        <v>Joker 1</v>
      </c>
      <c r="O13" s="430" t="str">
        <f>REPT(Steuerung!BK5,1)</f>
        <v>Midland Knights</v>
      </c>
      <c r="Q13" s="437" t="str">
        <f t="shared" ref="Q13:Q43" si="3">REPT(M13,1)</f>
        <v>A2</v>
      </c>
      <c r="R13" s="430" t="str">
        <f>REPT(Steuerung!BQ5,1)</f>
        <v>Chill Out Bull's 1</v>
      </c>
      <c r="S13" s="430" t="str">
        <f>REPT(Steuerung!BR5,1)</f>
        <v>Rangers</v>
      </c>
      <c r="U13" s="437" t="str">
        <f t="shared" ref="U13:U43" si="4">REPT(Q13,1)</f>
        <v>A2</v>
      </c>
      <c r="V13" s="430" t="str">
        <f>REPT(Steuerung!BX5,1)</f>
        <v>Joker 1</v>
      </c>
      <c r="W13" s="430" t="str">
        <f>REPT(Steuerung!BY5,1)</f>
        <v>Chill Out Bull's 1</v>
      </c>
      <c r="Y13" s="437" t="str">
        <f t="shared" ref="Y13:Y43" si="5">REPT(U13,1)</f>
        <v>A2</v>
      </c>
      <c r="Z13" s="430" t="str">
        <f>REPT(Steuerung!CE5,1)</f>
        <v>Rangers</v>
      </c>
      <c r="AA13" s="430" t="str">
        <f>REPT(Steuerung!CF5,1)</f>
        <v>Joker 1</v>
      </c>
    </row>
    <row r="14" spans="1:27" ht="20.100000000000001" customHeight="1">
      <c r="A14" s="437" t="str">
        <f>REPT(Steuerung!AM6,1)</f>
        <v>A3</v>
      </c>
      <c r="B14" s="430" t="str">
        <f>REPT(Steuerung!AO6,1)</f>
        <v>Midland Knights</v>
      </c>
      <c r="C14" s="430" t="str">
        <f>REPT(Steuerung!AP6,1)</f>
        <v>Rangers</v>
      </c>
      <c r="E14" s="437" t="str">
        <f t="shared" si="0"/>
        <v>A3</v>
      </c>
      <c r="F14" s="430" t="str">
        <f>REPT(Steuerung!AV6,1)</f>
        <v>Rangers</v>
      </c>
      <c r="G14" s="430" t="str">
        <f>REPT(Steuerung!AW6,1)</f>
        <v>Lauterbrunnen</v>
      </c>
      <c r="I14" s="437" t="str">
        <f t="shared" si="1"/>
        <v>A3</v>
      </c>
      <c r="J14" s="430" t="str">
        <f>REPT(Steuerung!BC6,1)</f>
        <v>Phantoms</v>
      </c>
      <c r="K14" s="430" t="str">
        <f>REPT(Steuerung!BD6,1)</f>
        <v>Rangers</v>
      </c>
      <c r="M14" s="437" t="str">
        <f t="shared" si="2"/>
        <v>A3</v>
      </c>
      <c r="N14" s="430" t="str">
        <f>REPT(Steuerung!BJ6,1)</f>
        <v>Rangers</v>
      </c>
      <c r="O14" s="430" t="str">
        <f>REPT(Steuerung!BK6,1)</f>
        <v>Safnern 1</v>
      </c>
      <c r="Q14" s="437" t="str">
        <f t="shared" si="3"/>
        <v>A3</v>
      </c>
      <c r="R14" s="430" t="str">
        <f>REPT(Steuerung!BQ6,1)</f>
        <v>Lauterbrunnen</v>
      </c>
      <c r="S14" s="430" t="str">
        <f>REPT(Steuerung!BR6,1)</f>
        <v>Phantoms</v>
      </c>
      <c r="U14" s="437" t="str">
        <f t="shared" si="4"/>
        <v>A3</v>
      </c>
      <c r="V14" s="430" t="str">
        <f>REPT(Steuerung!BX6,1)</f>
        <v>Phantoms</v>
      </c>
      <c r="W14" s="430" t="str">
        <f>REPT(Steuerung!BY6,1)</f>
        <v>Midland Knights</v>
      </c>
      <c r="Y14" s="437" t="str">
        <f t="shared" si="5"/>
        <v>A3</v>
      </c>
      <c r="Z14" s="430" t="str">
        <f>REPT(Steuerung!CE6,1)</f>
        <v>Safnern 1</v>
      </c>
      <c r="AA14" s="430" t="str">
        <f>REPT(Steuerung!CF6,1)</f>
        <v>Phantoms</v>
      </c>
    </row>
    <row r="15" spans="1:27" ht="20.100000000000001" customHeight="1" thickBot="1">
      <c r="A15" s="438" t="str">
        <f>REPT(Steuerung!AM7,1)</f>
        <v>A4</v>
      </c>
      <c r="B15" s="431" t="str">
        <f>REPT(Steuerung!AO7,1)</f>
        <v>Safnern 1</v>
      </c>
      <c r="C15" s="431" t="str">
        <f>REPT(Steuerung!AP7,1)</f>
        <v>Chill Out Bull's 1</v>
      </c>
      <c r="E15" s="438" t="str">
        <f t="shared" si="0"/>
        <v>A4</v>
      </c>
      <c r="F15" s="431" t="str">
        <f>REPT(Steuerung!AV7,1)</f>
        <v>Chill Out Bull's 1</v>
      </c>
      <c r="G15" s="431" t="str">
        <f>REPT(Steuerung!AW7,1)</f>
        <v>Midland Knights</v>
      </c>
      <c r="I15" s="438" t="str">
        <f t="shared" si="1"/>
        <v>A4</v>
      </c>
      <c r="J15" s="431" t="str">
        <f>REPT(Steuerung!BC7,1)</f>
        <v>Lauterbrunnen</v>
      </c>
      <c r="K15" s="431" t="str">
        <f>REPT(Steuerung!BD7,1)</f>
        <v>Chill Out Bull's 1</v>
      </c>
      <c r="M15" s="438" t="str">
        <f t="shared" si="2"/>
        <v>A4</v>
      </c>
      <c r="N15" s="431" t="str">
        <f>REPT(Steuerung!BJ7,1)</f>
        <v>Chill Out Bull's 1</v>
      </c>
      <c r="O15" s="431" t="str">
        <f>REPT(Steuerung!BK7,1)</f>
        <v>Phantoms</v>
      </c>
      <c r="Q15" s="438" t="str">
        <f t="shared" si="3"/>
        <v>A4</v>
      </c>
      <c r="R15" s="431" t="str">
        <f>REPT(Steuerung!BQ7,1)</f>
        <v>Safnern 1</v>
      </c>
      <c r="S15" s="431" t="str">
        <f>REPT(Steuerung!BR7,1)</f>
        <v>Midland Knights</v>
      </c>
      <c r="U15" s="438" t="str">
        <f t="shared" si="4"/>
        <v>A4</v>
      </c>
      <c r="V15" s="431" t="str">
        <f>REPT(Steuerung!BX7,1)</f>
        <v>Lauterbrunnen</v>
      </c>
      <c r="W15" s="431" t="str">
        <f>REPT(Steuerung!BY7,1)</f>
        <v>Safnern 1</v>
      </c>
      <c r="Y15" s="438" t="str">
        <f t="shared" si="5"/>
        <v>A4</v>
      </c>
      <c r="Z15" s="431" t="str">
        <f>REPT(Steuerung!CE7,1)</f>
        <v>Midland Knights</v>
      </c>
      <c r="AA15" s="431" t="str">
        <f>REPT(Steuerung!CF7,1)</f>
        <v>Lauterbrunnen</v>
      </c>
    </row>
    <row r="16" spans="1:27" ht="20.100000000000001" customHeight="1">
      <c r="A16" s="439" t="str">
        <f>REPT(Steuerung!AM8,1)</f>
        <v>B1</v>
      </c>
      <c r="B16" s="432" t="str">
        <f>REPT(Steuerung!AO8,1)</f>
        <v>Emmental 1</v>
      </c>
      <c r="C16" s="432" t="str">
        <f>REPT(Steuerung!AP8,1)</f>
        <v>Sense Steel 1</v>
      </c>
      <c r="E16" s="439" t="str">
        <f t="shared" si="0"/>
        <v>B1</v>
      </c>
      <c r="F16" s="432" t="str">
        <f>REPT(Steuerung!AV8,1)</f>
        <v>Sense Steel 1</v>
      </c>
      <c r="G16" s="432" t="str">
        <f>REPT(Steuerung!AW8,1)</f>
        <v>Bodensee</v>
      </c>
      <c r="I16" s="439" t="str">
        <f t="shared" si="1"/>
        <v>B1</v>
      </c>
      <c r="J16" s="432" t="str">
        <f>REPT(Steuerung!BC8,1)</f>
        <v>Iron Tigers</v>
      </c>
      <c r="K16" s="432" t="str">
        <f>REPT(Steuerung!BD8,1)</f>
        <v>Sense Steel 1</v>
      </c>
      <c r="M16" s="439" t="str">
        <f t="shared" si="2"/>
        <v>B1</v>
      </c>
      <c r="N16" s="432" t="str">
        <f>REPT(Steuerung!BJ8,1)</f>
        <v>Sense Steel 1</v>
      </c>
      <c r="O16" s="432" t="str">
        <f>REPT(Steuerung!BK8,1)</f>
        <v>Torp. Wimmis 1</v>
      </c>
      <c r="Q16" s="439" t="str">
        <f t="shared" si="3"/>
        <v>B1</v>
      </c>
      <c r="R16" s="432" t="str">
        <f>REPT(Steuerung!BQ8,1)</f>
        <v>Pilatus</v>
      </c>
      <c r="S16" s="432" t="str">
        <f>REPT(Steuerung!BR8,1)</f>
        <v>Sense Steel 1</v>
      </c>
      <c r="U16" s="439" t="str">
        <f t="shared" si="4"/>
        <v>B1</v>
      </c>
      <c r="V16" s="432" t="str">
        <f>REPT(Steuerung!BX8,1)</f>
        <v>Sense Steel 1</v>
      </c>
      <c r="W16" s="432" t="str">
        <f>REPT(Steuerung!BY8,1)</f>
        <v>Bern 1</v>
      </c>
      <c r="Y16" s="439" t="str">
        <f t="shared" si="5"/>
        <v>B1</v>
      </c>
      <c r="Z16" s="432" t="str">
        <f>REPT(Steuerung!CE8,1)</f>
        <v>Einsiedeln 1</v>
      </c>
      <c r="AA16" s="432" t="str">
        <f>REPT(Steuerung!CF8,1)</f>
        <v>Sense Steel 1</v>
      </c>
    </row>
    <row r="17" spans="1:27" ht="20.100000000000001" customHeight="1">
      <c r="A17" s="437" t="str">
        <f>REPT(Steuerung!AM9,1)</f>
        <v>B2</v>
      </c>
      <c r="B17" s="430" t="str">
        <f>REPT(Steuerung!AO9,1)</f>
        <v>Torp. Wimmis 1</v>
      </c>
      <c r="C17" s="430" t="str">
        <f>REPT(Steuerung!AP9,1)</f>
        <v>Pilatus</v>
      </c>
      <c r="E17" s="437" t="str">
        <f t="shared" si="0"/>
        <v>B2</v>
      </c>
      <c r="F17" s="430" t="str">
        <f>REPT(Steuerung!AV9,1)</f>
        <v>Pilatus</v>
      </c>
      <c r="G17" s="430" t="str">
        <f>REPT(Steuerung!AW9,1)</f>
        <v>Emmental 1</v>
      </c>
      <c r="I17" s="437" t="str">
        <f t="shared" si="1"/>
        <v>B2</v>
      </c>
      <c r="J17" s="430" t="str">
        <f>REPT(Steuerung!BC9,1)</f>
        <v>Bodensee</v>
      </c>
      <c r="K17" s="430" t="str">
        <f>REPT(Steuerung!BD9,1)</f>
        <v>Pilatus</v>
      </c>
      <c r="M17" s="437" t="str">
        <f t="shared" si="2"/>
        <v>B2</v>
      </c>
      <c r="N17" s="430" t="str">
        <f>REPT(Steuerung!BJ9,1)</f>
        <v>Pilatus</v>
      </c>
      <c r="O17" s="430" t="str">
        <f>REPT(Steuerung!BK9,1)</f>
        <v>Iron Tigers</v>
      </c>
      <c r="Q17" s="437" t="str">
        <f t="shared" si="3"/>
        <v>B2</v>
      </c>
      <c r="R17" s="430" t="str">
        <f>REPT(Steuerung!BQ9,1)</f>
        <v>Einsiedeln 1</v>
      </c>
      <c r="S17" s="430" t="str">
        <f>REPT(Steuerung!BR9,1)</f>
        <v>Bern 1</v>
      </c>
      <c r="U17" s="437" t="str">
        <f t="shared" si="4"/>
        <v>B2</v>
      </c>
      <c r="V17" s="430" t="str">
        <f>REPT(Steuerung!BX9,1)</f>
        <v>Pilatus</v>
      </c>
      <c r="W17" s="430" t="str">
        <f>REPT(Steuerung!BY9,1)</f>
        <v>Einsiedeln 1</v>
      </c>
      <c r="Y17" s="437" t="str">
        <f t="shared" si="5"/>
        <v>B2</v>
      </c>
      <c r="Z17" s="430" t="str">
        <f>REPT(Steuerung!CE9,1)</f>
        <v>Bern 1</v>
      </c>
      <c r="AA17" s="430" t="str">
        <f>REPT(Steuerung!CF9,1)</f>
        <v>Pilatus</v>
      </c>
    </row>
    <row r="18" spans="1:27" ht="20.100000000000001" customHeight="1">
      <c r="A18" s="437" t="str">
        <f>REPT(Steuerung!AM10,1)</f>
        <v>B3</v>
      </c>
      <c r="B18" s="430" t="str">
        <f>REPT(Steuerung!AO10,1)</f>
        <v>Iron Tigers</v>
      </c>
      <c r="C18" s="430" t="str">
        <f>REPT(Steuerung!AP10,1)</f>
        <v>Bern 1</v>
      </c>
      <c r="E18" s="437" t="str">
        <f t="shared" si="0"/>
        <v>B3</v>
      </c>
      <c r="F18" s="430" t="str">
        <f>REPT(Steuerung!AV10,1)</f>
        <v>Bern 1</v>
      </c>
      <c r="G18" s="430" t="str">
        <f>REPT(Steuerung!AW10,1)</f>
        <v>Torp. Wimmis 1</v>
      </c>
      <c r="I18" s="437" t="str">
        <f t="shared" si="1"/>
        <v>B3</v>
      </c>
      <c r="J18" s="430" t="str">
        <f>REPT(Steuerung!BC10,1)</f>
        <v>Emmental 1</v>
      </c>
      <c r="K18" s="430" t="str">
        <f>REPT(Steuerung!BD10,1)</f>
        <v>Bern 1</v>
      </c>
      <c r="M18" s="437" t="str">
        <f t="shared" si="2"/>
        <v>B3</v>
      </c>
      <c r="N18" s="430" t="str">
        <f>REPT(Steuerung!BJ10,1)</f>
        <v>Bern 1</v>
      </c>
      <c r="O18" s="430" t="str">
        <f>REPT(Steuerung!BK10,1)</f>
        <v>Bodensee</v>
      </c>
      <c r="Q18" s="437" t="str">
        <f t="shared" si="3"/>
        <v>B3</v>
      </c>
      <c r="R18" s="430" t="str">
        <f>REPT(Steuerung!BQ10,1)</f>
        <v>Torp. Wimmis 1</v>
      </c>
      <c r="S18" s="430" t="str">
        <f>REPT(Steuerung!BR10,1)</f>
        <v>Emmental 1</v>
      </c>
      <c r="U18" s="437" t="str">
        <f t="shared" si="4"/>
        <v>B3</v>
      </c>
      <c r="V18" s="430" t="str">
        <f>REPT(Steuerung!BX10,1)</f>
        <v>Emmental 1</v>
      </c>
      <c r="W18" s="430" t="str">
        <f>REPT(Steuerung!BY10,1)</f>
        <v>Iron Tigers</v>
      </c>
      <c r="Y18" s="437" t="str">
        <f t="shared" si="5"/>
        <v>B3</v>
      </c>
      <c r="Z18" s="430" t="str">
        <f>REPT(Steuerung!CE10,1)</f>
        <v>Bodensee</v>
      </c>
      <c r="AA18" s="430" t="str">
        <f>REPT(Steuerung!CF10,1)</f>
        <v>Emmental 1</v>
      </c>
    </row>
    <row r="19" spans="1:27" ht="20.100000000000001" customHeight="1" thickBot="1">
      <c r="A19" s="438" t="str">
        <f>REPT(Steuerung!AM11,1)</f>
        <v>B4</v>
      </c>
      <c r="B19" s="431" t="str">
        <f>REPT(Steuerung!AO11,1)</f>
        <v>Bodensee</v>
      </c>
      <c r="C19" s="431" t="str">
        <f>REPT(Steuerung!AP11,1)</f>
        <v>Einsiedeln 1</v>
      </c>
      <c r="E19" s="438" t="str">
        <f t="shared" si="0"/>
        <v>B4</v>
      </c>
      <c r="F19" s="431" t="str">
        <f>REPT(Steuerung!AV11,1)</f>
        <v>Einsiedeln 1</v>
      </c>
      <c r="G19" s="431" t="str">
        <f>REPT(Steuerung!AW11,1)</f>
        <v>Iron Tigers</v>
      </c>
      <c r="I19" s="438" t="str">
        <f t="shared" si="1"/>
        <v>B4</v>
      </c>
      <c r="J19" s="431" t="str">
        <f>REPT(Steuerung!BC11,1)</f>
        <v>Torp. Wimmis 1</v>
      </c>
      <c r="K19" s="431" t="str">
        <f>REPT(Steuerung!BD11,1)</f>
        <v>Einsiedeln 1</v>
      </c>
      <c r="M19" s="438" t="str">
        <f t="shared" si="2"/>
        <v>B4</v>
      </c>
      <c r="N19" s="431" t="str">
        <f>REPT(Steuerung!BJ11,1)</f>
        <v>Einsiedeln 1</v>
      </c>
      <c r="O19" s="431" t="str">
        <f>REPT(Steuerung!BK11,1)</f>
        <v>Emmental 1</v>
      </c>
      <c r="Q19" s="438" t="str">
        <f t="shared" si="3"/>
        <v>B4</v>
      </c>
      <c r="R19" s="431" t="str">
        <f>REPT(Steuerung!BQ11,1)</f>
        <v>Bodensee</v>
      </c>
      <c r="S19" s="431" t="str">
        <f>REPT(Steuerung!BR11,1)</f>
        <v>Iron Tigers</v>
      </c>
      <c r="U19" s="438" t="str">
        <f t="shared" si="4"/>
        <v>B4</v>
      </c>
      <c r="V19" s="431" t="str">
        <f>REPT(Steuerung!BX11,1)</f>
        <v>Torp. Wimmis 1</v>
      </c>
      <c r="W19" s="431" t="str">
        <f>REPT(Steuerung!BY11,1)</f>
        <v>Bodensee</v>
      </c>
      <c r="Y19" s="438" t="str">
        <f t="shared" si="5"/>
        <v>B4</v>
      </c>
      <c r="Z19" s="431" t="str">
        <f>REPT(Steuerung!CE11,1)</f>
        <v>Iron Tigers</v>
      </c>
      <c r="AA19" s="431" t="str">
        <f>REPT(Steuerung!CF11,1)</f>
        <v>Torp. Wimmis 1</v>
      </c>
    </row>
    <row r="20" spans="1:27" ht="20.100000000000001" customHeight="1">
      <c r="A20" s="439" t="str">
        <f>REPT(Steuerung!AM12,1)</f>
        <v>1W1</v>
      </c>
      <c r="B20" s="432" t="str">
        <f>REPT(Steuerung!AO12,1)</f>
        <v>Aaretal</v>
      </c>
      <c r="C20" s="432" t="str">
        <f>REPT(Steuerung!AP12,1)</f>
        <v>Star'Nack</v>
      </c>
      <c r="E20" s="439" t="str">
        <f t="shared" si="0"/>
        <v>1W1</v>
      </c>
      <c r="F20" s="432" t="str">
        <f>REPT(Steuerung!AV12,1)</f>
        <v>Star'Nack</v>
      </c>
      <c r="G20" s="432" t="str">
        <f>REPT(Steuerung!AW12,1)</f>
        <v>Top Darts</v>
      </c>
      <c r="I20" s="439" t="str">
        <f t="shared" si="1"/>
        <v>1W1</v>
      </c>
      <c r="J20" s="432" t="str">
        <f>REPT(Steuerung!BC12,1)</f>
        <v>Romont</v>
      </c>
      <c r="K20" s="432" t="str">
        <f>REPT(Steuerung!BD12,1)</f>
        <v>Star'Nack</v>
      </c>
      <c r="M20" s="439" t="str">
        <f t="shared" si="2"/>
        <v>1W1</v>
      </c>
      <c r="N20" s="432" t="str">
        <f>REPT(Steuerung!BJ12,1)</f>
        <v>Star'Nack</v>
      </c>
      <c r="O20" s="432" t="str">
        <f>REPT(Steuerung!BK12,1)</f>
        <v>Deitingen 1</v>
      </c>
      <c r="Q20" s="439" t="str">
        <f t="shared" si="3"/>
        <v>1W1</v>
      </c>
      <c r="R20" s="432" t="str">
        <f>REPT(Steuerung!BQ12,1)</f>
        <v>Morges 1</v>
      </c>
      <c r="S20" s="432" t="str">
        <f>REPT(Steuerung!BR12,1)</f>
        <v>Star'Nack</v>
      </c>
      <c r="U20" s="439" t="str">
        <f t="shared" si="4"/>
        <v>1W1</v>
      </c>
      <c r="V20" s="432" t="str">
        <f>REPT(Steuerung!BX12,1)</f>
        <v>Star'Nack</v>
      </c>
      <c r="W20" s="432" t="str">
        <f>REPT(Steuerung!BY12,1)</f>
        <v>Freilos 1LW</v>
      </c>
      <c r="Y20" s="439" t="str">
        <f t="shared" si="5"/>
        <v>1W1</v>
      </c>
      <c r="Z20" s="432" t="str">
        <f>REPT(Steuerung!CE12,1)</f>
        <v>Madhouse</v>
      </c>
      <c r="AA20" s="432" t="str">
        <f>REPT(Steuerung!CF12,1)</f>
        <v>Star'Nack</v>
      </c>
    </row>
    <row r="21" spans="1:27" ht="20.100000000000001" customHeight="1">
      <c r="A21" s="437" t="str">
        <f>REPT(Steuerung!AM13,1)</f>
        <v>1W2</v>
      </c>
      <c r="B21" s="430" t="str">
        <f>REPT(Steuerung!AO13,1)</f>
        <v>Deitingen 1</v>
      </c>
      <c r="C21" s="430" t="str">
        <f>REPT(Steuerung!AP13,1)</f>
        <v>Morges 1</v>
      </c>
      <c r="E21" s="437" t="str">
        <f t="shared" si="0"/>
        <v>1W2</v>
      </c>
      <c r="F21" s="430" t="str">
        <f>REPT(Steuerung!AV13,1)</f>
        <v>Morges 1</v>
      </c>
      <c r="G21" s="430" t="str">
        <f>REPT(Steuerung!AW13,1)</f>
        <v>Aaretal</v>
      </c>
      <c r="I21" s="437" t="str">
        <f t="shared" si="1"/>
        <v>1W2</v>
      </c>
      <c r="J21" s="430" t="str">
        <f>REPT(Steuerung!BC13,1)</f>
        <v>Top Darts</v>
      </c>
      <c r="K21" s="430" t="str">
        <f>REPT(Steuerung!BD13,1)</f>
        <v>Morges 1</v>
      </c>
      <c r="M21" s="437" t="str">
        <f t="shared" si="2"/>
        <v>1W2</v>
      </c>
      <c r="N21" s="430" t="str">
        <f>REPT(Steuerung!BJ13,1)</f>
        <v>Morges 1</v>
      </c>
      <c r="O21" s="430" t="str">
        <f>REPT(Steuerung!BK13,1)</f>
        <v>Romont</v>
      </c>
      <c r="Q21" s="437" t="str">
        <f t="shared" si="3"/>
        <v>1W2</v>
      </c>
      <c r="R21" s="430" t="str">
        <f>REPT(Steuerung!BQ13,1)</f>
        <v>Madhouse</v>
      </c>
      <c r="S21" s="430" t="str">
        <f>REPT(Steuerung!BR13,1)</f>
        <v>Freilos 1LW</v>
      </c>
      <c r="U21" s="437" t="str">
        <f t="shared" si="4"/>
        <v>1W2</v>
      </c>
      <c r="V21" s="430" t="str">
        <f>REPT(Steuerung!BX13,1)</f>
        <v>Morges 1</v>
      </c>
      <c r="W21" s="430" t="str">
        <f>REPT(Steuerung!BY13,1)</f>
        <v>Madhouse</v>
      </c>
      <c r="Y21" s="437" t="str">
        <f t="shared" si="5"/>
        <v>1W2</v>
      </c>
      <c r="Z21" s="430" t="str">
        <f>REPT(Steuerung!CE13,1)</f>
        <v>Freilos 1LW</v>
      </c>
      <c r="AA21" s="430" t="str">
        <f>REPT(Steuerung!CF13,1)</f>
        <v>Morges 1</v>
      </c>
    </row>
    <row r="22" spans="1:27" ht="20.100000000000001" customHeight="1">
      <c r="A22" s="437" t="str">
        <f>REPT(Steuerung!AM14,1)</f>
        <v>1W3</v>
      </c>
      <c r="B22" s="430" t="str">
        <f>REPT(Steuerung!AO14,1)</f>
        <v>Romont</v>
      </c>
      <c r="C22" s="430" t="str">
        <f>REPT(Steuerung!AP14,1)</f>
        <v>Freilos 1LW</v>
      </c>
      <c r="E22" s="437" t="str">
        <f t="shared" si="0"/>
        <v>1W3</v>
      </c>
      <c r="F22" s="430" t="str">
        <f>REPT(Steuerung!AV14,1)</f>
        <v>Freilos 1LW</v>
      </c>
      <c r="G22" s="430" t="str">
        <f>REPT(Steuerung!AW14,1)</f>
        <v>Deitingen 1</v>
      </c>
      <c r="I22" s="437" t="str">
        <f t="shared" si="1"/>
        <v>1W3</v>
      </c>
      <c r="J22" s="430" t="str">
        <f>REPT(Steuerung!BC14,1)</f>
        <v>Aaretal</v>
      </c>
      <c r="K22" s="430" t="str">
        <f>REPT(Steuerung!BD14,1)</f>
        <v>Freilos 1LW</v>
      </c>
      <c r="M22" s="437" t="str">
        <f t="shared" si="2"/>
        <v>1W3</v>
      </c>
      <c r="N22" s="430" t="str">
        <f>REPT(Steuerung!BJ14,1)</f>
        <v>Freilos 1LW</v>
      </c>
      <c r="O22" s="430" t="str">
        <f>REPT(Steuerung!BK14,1)</f>
        <v>Top Darts</v>
      </c>
      <c r="Q22" s="437" t="str">
        <f t="shared" si="3"/>
        <v>1W3</v>
      </c>
      <c r="R22" s="430" t="str">
        <f>REPT(Steuerung!BQ14,1)</f>
        <v>Deitingen 1</v>
      </c>
      <c r="S22" s="430" t="str">
        <f>REPT(Steuerung!BR14,1)</f>
        <v>Aaretal</v>
      </c>
      <c r="U22" s="437" t="str">
        <f t="shared" si="4"/>
        <v>1W3</v>
      </c>
      <c r="V22" s="430" t="str">
        <f>REPT(Steuerung!BX14,1)</f>
        <v>Aaretal</v>
      </c>
      <c r="W22" s="430" t="str">
        <f>REPT(Steuerung!BY14,1)</f>
        <v>Romont</v>
      </c>
      <c r="Y22" s="437" t="str">
        <f t="shared" si="5"/>
        <v>1W3</v>
      </c>
      <c r="Z22" s="430" t="str">
        <f>REPT(Steuerung!CE14,1)</f>
        <v>Top Darts</v>
      </c>
      <c r="AA22" s="430" t="str">
        <f>REPT(Steuerung!CF14,1)</f>
        <v>Aaretal</v>
      </c>
    </row>
    <row r="23" spans="1:27" ht="20.100000000000001" customHeight="1" thickBot="1">
      <c r="A23" s="438" t="str">
        <f>REPT(Steuerung!AM15,1)</f>
        <v>1W4</v>
      </c>
      <c r="B23" s="431" t="str">
        <f>REPT(Steuerung!AO15,1)</f>
        <v>Top Darts</v>
      </c>
      <c r="C23" s="431" t="str">
        <f>REPT(Steuerung!AP15,1)</f>
        <v>Madhouse</v>
      </c>
      <c r="E23" s="438" t="str">
        <f t="shared" si="0"/>
        <v>1W4</v>
      </c>
      <c r="F23" s="431" t="str">
        <f>REPT(Steuerung!AV15,1)</f>
        <v>Madhouse</v>
      </c>
      <c r="G23" s="431" t="str">
        <f>REPT(Steuerung!AW15,1)</f>
        <v>Romont</v>
      </c>
      <c r="I23" s="438" t="str">
        <f t="shared" si="1"/>
        <v>1W4</v>
      </c>
      <c r="J23" s="431" t="str">
        <f>REPT(Steuerung!BC15,1)</f>
        <v>Deitingen 1</v>
      </c>
      <c r="K23" s="431" t="str">
        <f>REPT(Steuerung!BD15,1)</f>
        <v>Madhouse</v>
      </c>
      <c r="M23" s="438" t="str">
        <f t="shared" si="2"/>
        <v>1W4</v>
      </c>
      <c r="N23" s="431" t="str">
        <f>REPT(Steuerung!BJ15,1)</f>
        <v>Madhouse</v>
      </c>
      <c r="O23" s="431" t="str">
        <f>REPT(Steuerung!BK15,1)</f>
        <v>Aaretal</v>
      </c>
      <c r="Q23" s="438" t="str">
        <f t="shared" si="3"/>
        <v>1W4</v>
      </c>
      <c r="R23" s="431" t="str">
        <f>REPT(Steuerung!BQ15,1)</f>
        <v>Top Darts</v>
      </c>
      <c r="S23" s="431" t="str">
        <f>REPT(Steuerung!BR15,1)</f>
        <v>Romont</v>
      </c>
      <c r="U23" s="438" t="str">
        <f t="shared" si="4"/>
        <v>1W4</v>
      </c>
      <c r="V23" s="431" t="str">
        <f>REPT(Steuerung!BX15,1)</f>
        <v>Deitingen 1</v>
      </c>
      <c r="W23" s="431" t="str">
        <f>REPT(Steuerung!BY15,1)</f>
        <v>Top Darts</v>
      </c>
      <c r="Y23" s="438" t="str">
        <f t="shared" si="5"/>
        <v>1W4</v>
      </c>
      <c r="Z23" s="431" t="str">
        <f>REPT(Steuerung!CE15,1)</f>
        <v>Romont</v>
      </c>
      <c r="AA23" s="431" t="str">
        <f>REPT(Steuerung!CF15,1)</f>
        <v>Deitingen 1</v>
      </c>
    </row>
    <row r="24" spans="1:27" ht="20.100000000000001" customHeight="1">
      <c r="A24" s="439" t="str">
        <f>REPT(Steuerung!AM16,1)</f>
        <v>1O1</v>
      </c>
      <c r="B24" s="432" t="str">
        <f>REPT(Steuerung!AO16,1)</f>
        <v>Einsiedeln 2</v>
      </c>
      <c r="C24" s="432" t="str">
        <f>REPT(Steuerung!AP16,1)</f>
        <v>Eastern Switzerl.</v>
      </c>
      <c r="E24" s="439" t="str">
        <f t="shared" si="0"/>
        <v>1O1</v>
      </c>
      <c r="F24" s="432" t="str">
        <f>REPT(Steuerung!AV16,1)</f>
        <v>Gelterkinden 1</v>
      </c>
      <c r="G24" s="432" t="str">
        <f>REPT(Steuerung!AW16,1)</f>
        <v>Eastern Switzerl.</v>
      </c>
      <c r="I24" s="439" t="str">
        <f t="shared" si="1"/>
        <v>1O1</v>
      </c>
      <c r="J24" s="432" t="str">
        <f>REPT(Steuerung!BC16,1)</f>
        <v>Ice Age</v>
      </c>
      <c r="K24" s="432" t="str">
        <f>REPT(Steuerung!BD16,1)</f>
        <v>Eastern Switzerl.</v>
      </c>
      <c r="M24" s="439" t="str">
        <f t="shared" si="2"/>
        <v>1O1</v>
      </c>
      <c r="N24" s="432" t="str">
        <f>REPT(Steuerung!BJ16,1)</f>
        <v>Eastern Switzerl.</v>
      </c>
      <c r="O24" s="432" t="str">
        <f>REPT(Steuerung!BK16,1)</f>
        <v>Basel</v>
      </c>
      <c r="Q24" s="439" t="str">
        <f t="shared" si="3"/>
        <v>1O1</v>
      </c>
      <c r="R24" s="432" t="str">
        <f>REPT(Steuerung!BQ16,1)</f>
        <v>Brugg 2</v>
      </c>
      <c r="S24" s="432" t="str">
        <f>REPT(Steuerung!BR16,1)</f>
        <v>Eastern Switzerl.</v>
      </c>
      <c r="U24" s="439" t="str">
        <f t="shared" si="4"/>
        <v>1O1</v>
      </c>
      <c r="V24" s="432" t="str">
        <f>REPT(Steuerung!BX16,1)</f>
        <v>Eastern Switzerl.</v>
      </c>
      <c r="W24" s="432" t="str">
        <f>REPT(Steuerung!BY16,1)</f>
        <v>Zurich Rebels</v>
      </c>
      <c r="Y24" s="439" t="str">
        <f t="shared" si="5"/>
        <v>1O1</v>
      </c>
      <c r="Z24" s="432" t="str">
        <f>REPT(Steuerung!CE16,1)</f>
        <v>Papillon 1</v>
      </c>
      <c r="AA24" s="432" t="str">
        <f>REPT(Steuerung!CF16,1)</f>
        <v>Eastern Switzerl.</v>
      </c>
    </row>
    <row r="25" spans="1:27" ht="20.100000000000001" customHeight="1">
      <c r="A25" s="437" t="str">
        <f>REPT(Steuerung!AM17,1)</f>
        <v>1O2</v>
      </c>
      <c r="B25" s="430" t="str">
        <f>REPT(Steuerung!AO17,1)</f>
        <v>Basel</v>
      </c>
      <c r="C25" s="430" t="str">
        <f>REPT(Steuerung!AP17,1)</f>
        <v>Brugg 2</v>
      </c>
      <c r="E25" s="437" t="str">
        <f t="shared" si="0"/>
        <v>1O2</v>
      </c>
      <c r="F25" s="430" t="str">
        <f>REPT(Steuerung!AV17,1)</f>
        <v>Brugg 2</v>
      </c>
      <c r="G25" s="430" t="str">
        <f>REPT(Steuerung!AW17,1)</f>
        <v>Einsiedeln 2</v>
      </c>
      <c r="I25" s="437" t="str">
        <f t="shared" si="1"/>
        <v>1O2</v>
      </c>
      <c r="J25" s="430" t="str">
        <f>REPT(Steuerung!BC17,1)</f>
        <v>Gelterkinden 1</v>
      </c>
      <c r="K25" s="430" t="str">
        <f>REPT(Steuerung!BD17,1)</f>
        <v>Brugg 2</v>
      </c>
      <c r="M25" s="437" t="str">
        <f t="shared" si="2"/>
        <v>1O2</v>
      </c>
      <c r="N25" s="430" t="str">
        <f>REPT(Steuerung!BJ17,1)</f>
        <v>Brugg 2</v>
      </c>
      <c r="O25" s="430" t="str">
        <f>REPT(Steuerung!BK17,1)</f>
        <v>Ice Age</v>
      </c>
      <c r="Q25" s="437" t="str">
        <f t="shared" si="3"/>
        <v>1O2</v>
      </c>
      <c r="R25" s="430" t="str">
        <f>REPT(Steuerung!BQ17,1)</f>
        <v>Papillon 1</v>
      </c>
      <c r="S25" s="430" t="str">
        <f>REPT(Steuerung!BR17,1)</f>
        <v>Zurich Rebels</v>
      </c>
      <c r="U25" s="437" t="str">
        <f t="shared" si="4"/>
        <v>1O2</v>
      </c>
      <c r="V25" s="430" t="str">
        <f>REPT(Steuerung!BX17,1)</f>
        <v>Brugg 2</v>
      </c>
      <c r="W25" s="430" t="str">
        <f>REPT(Steuerung!BY17,1)</f>
        <v>Papillon 1</v>
      </c>
      <c r="Y25" s="437" t="str">
        <f t="shared" si="5"/>
        <v>1O2</v>
      </c>
      <c r="Z25" s="430" t="str">
        <f>REPT(Steuerung!CE17,1)</f>
        <v>Zurich Rebels</v>
      </c>
      <c r="AA25" s="430" t="str">
        <f>REPT(Steuerung!CF17,1)</f>
        <v>Brugg 2</v>
      </c>
    </row>
    <row r="26" spans="1:27" ht="20.100000000000001" customHeight="1">
      <c r="A26" s="437" t="str">
        <f>REPT(Steuerung!AM18,1)</f>
        <v>1O3</v>
      </c>
      <c r="B26" s="430" t="str">
        <f>REPT(Steuerung!AO18,1)</f>
        <v>Ice Age</v>
      </c>
      <c r="C26" s="430" t="str">
        <f>REPT(Steuerung!AP18,1)</f>
        <v>Zurich Rebels</v>
      </c>
      <c r="E26" s="437" t="str">
        <f t="shared" si="0"/>
        <v>1O3</v>
      </c>
      <c r="F26" s="430" t="str">
        <f>REPT(Steuerung!AV18,1)</f>
        <v>Zurich Rebels</v>
      </c>
      <c r="G26" s="430" t="str">
        <f>REPT(Steuerung!AW18,1)</f>
        <v>Basel</v>
      </c>
      <c r="I26" s="437" t="str">
        <f t="shared" si="1"/>
        <v>1O3</v>
      </c>
      <c r="J26" s="430" t="str">
        <f>REPT(Steuerung!BC18,1)</f>
        <v>Einsiedeln 2</v>
      </c>
      <c r="K26" s="430" t="str">
        <f>REPT(Steuerung!BD18,1)</f>
        <v>Zurich Rebels</v>
      </c>
      <c r="M26" s="437" t="str">
        <f t="shared" si="2"/>
        <v>1O3</v>
      </c>
      <c r="N26" s="430" t="str">
        <f>REPT(Steuerung!BJ18,1)</f>
        <v>Zurich Rebels</v>
      </c>
      <c r="O26" s="430" t="str">
        <f>REPT(Steuerung!BK18,1)</f>
        <v>Gelterkinden 1</v>
      </c>
      <c r="Q26" s="437" t="str">
        <f t="shared" si="3"/>
        <v>1O3</v>
      </c>
      <c r="R26" s="430" t="str">
        <f>REPT(Steuerung!BQ18,1)</f>
        <v>Basel</v>
      </c>
      <c r="S26" s="430" t="str">
        <f>REPT(Steuerung!BR18,1)</f>
        <v>Einsiedeln 2</v>
      </c>
      <c r="U26" s="437" t="str">
        <f t="shared" si="4"/>
        <v>1O3</v>
      </c>
      <c r="V26" s="430" t="str">
        <f>REPT(Steuerung!BX18,1)</f>
        <v>Einsiedeln 2</v>
      </c>
      <c r="W26" s="430" t="str">
        <f>REPT(Steuerung!BY18,1)</f>
        <v>Ice Age</v>
      </c>
      <c r="Y26" s="437" t="str">
        <f t="shared" si="5"/>
        <v>1O3</v>
      </c>
      <c r="Z26" s="430" t="str">
        <f>REPT(Steuerung!CE18,1)</f>
        <v>Gelterkinden 1</v>
      </c>
      <c r="AA26" s="430" t="str">
        <f>REPT(Steuerung!CF18,1)</f>
        <v>Einsiedeln 2</v>
      </c>
    </row>
    <row r="27" spans="1:27" ht="20.100000000000001" customHeight="1" thickBot="1">
      <c r="A27" s="438" t="str">
        <f>REPT(Steuerung!AM19,1)</f>
        <v>1O4</v>
      </c>
      <c r="B27" s="431" t="str">
        <f>REPT(Steuerung!AO19,1)</f>
        <v>Gelterkinden 1</v>
      </c>
      <c r="C27" s="431" t="str">
        <f>REPT(Steuerung!AP19,1)</f>
        <v>Papillon 1</v>
      </c>
      <c r="E27" s="438" t="str">
        <f t="shared" si="0"/>
        <v>1O4</v>
      </c>
      <c r="F27" s="431" t="str">
        <f>REPT(Steuerung!AV19,1)</f>
        <v>Papillon 1</v>
      </c>
      <c r="G27" s="431" t="str">
        <f>REPT(Steuerung!AW19,1)</f>
        <v>Ice Age</v>
      </c>
      <c r="I27" s="438" t="str">
        <f t="shared" si="1"/>
        <v>1O4</v>
      </c>
      <c r="J27" s="431" t="str">
        <f>REPT(Steuerung!BC19,1)</f>
        <v>Basel</v>
      </c>
      <c r="K27" s="431" t="str">
        <f>REPT(Steuerung!BD19,1)</f>
        <v>Papillon 1</v>
      </c>
      <c r="M27" s="438" t="str">
        <f t="shared" si="2"/>
        <v>1O4</v>
      </c>
      <c r="N27" s="431" t="str">
        <f>REPT(Steuerung!BJ19,1)</f>
        <v>Papillon 1</v>
      </c>
      <c r="O27" s="431" t="str">
        <f>REPT(Steuerung!BK19,1)</f>
        <v>Einsiedeln 2</v>
      </c>
      <c r="Q27" s="438" t="str">
        <f t="shared" si="3"/>
        <v>1O4</v>
      </c>
      <c r="R27" s="431" t="str">
        <f>REPT(Steuerung!BQ19,1)</f>
        <v>Gelterkinden 1</v>
      </c>
      <c r="S27" s="431" t="str">
        <f>REPT(Steuerung!BR19,1)</f>
        <v>Ice Age</v>
      </c>
      <c r="U27" s="438" t="str">
        <f t="shared" si="4"/>
        <v>1O4</v>
      </c>
      <c r="V27" s="431" t="str">
        <f>REPT(Steuerung!BX19,1)</f>
        <v>Basel</v>
      </c>
      <c r="W27" s="431" t="str">
        <f>REPT(Steuerung!BY19,1)</f>
        <v>Gelterkinden 1</v>
      </c>
      <c r="Y27" s="438" t="str">
        <f t="shared" si="5"/>
        <v>1O4</v>
      </c>
      <c r="Z27" s="431" t="str">
        <f>REPT(Steuerung!CE19,1)</f>
        <v>Ice Age</v>
      </c>
      <c r="AA27" s="431" t="str">
        <f>REPT(Steuerung!CF19,1)</f>
        <v>Basel</v>
      </c>
    </row>
    <row r="28" spans="1:27" ht="20.100000000000001" customHeight="1">
      <c r="A28" s="439" t="str">
        <f>REPT(Steuerung!AM20,1)</f>
        <v>2W1</v>
      </c>
      <c r="B28" s="432" t="str">
        <f>REPT(Steuerung!AO20,1)</f>
        <v>Geneva DL</v>
      </c>
      <c r="C28" s="432" t="str">
        <f>REPT(Steuerung!AP20,1)</f>
        <v>Casa Benfica GE</v>
      </c>
      <c r="E28" s="439" t="str">
        <f t="shared" si="0"/>
        <v>2W1</v>
      </c>
      <c r="F28" s="432" t="str">
        <f>REPT(Steuerung!AV20,1)</f>
        <v>Casa Benfica GE</v>
      </c>
      <c r="G28" s="432" t="str">
        <f>REPT(Steuerung!AW20,1)</f>
        <v>Emmental 3</v>
      </c>
      <c r="I28" s="439" t="str">
        <f t="shared" si="1"/>
        <v>2W1</v>
      </c>
      <c r="J28" s="432" t="str">
        <f>REPT(Steuerung!BC20,1)</f>
        <v>Morges 2</v>
      </c>
      <c r="K28" s="432" t="str">
        <f>REPT(Steuerung!BD20,1)</f>
        <v>Casa Benfica GE</v>
      </c>
      <c r="M28" s="439" t="str">
        <f t="shared" si="2"/>
        <v>2W1</v>
      </c>
      <c r="N28" s="432" t="str">
        <f>REPT(Steuerung!BJ20,1)</f>
        <v>Casa Benfica GE</v>
      </c>
      <c r="O28" s="432" t="str">
        <f>REPT(Steuerung!BK20,1)</f>
        <v>Real Caracol</v>
      </c>
      <c r="Q28" s="439" t="str">
        <f t="shared" si="3"/>
        <v>2W1</v>
      </c>
      <c r="R28" s="432" t="str">
        <f>REPT(Steuerung!BQ20,1)</f>
        <v>La Chaux-de-Fonds</v>
      </c>
      <c r="S28" s="432" t="str">
        <f>REPT(Steuerung!BR20,1)</f>
        <v>Casa Benfica GE</v>
      </c>
      <c r="U28" s="439" t="str">
        <f t="shared" si="4"/>
        <v>2W1</v>
      </c>
      <c r="V28" s="432" t="str">
        <f>REPT(Steuerung!BX20,1)</f>
        <v>Casa Benfica GE</v>
      </c>
      <c r="W28" s="432" t="str">
        <f>REPT(Steuerung!BY20,1)</f>
        <v>Martigny Sport</v>
      </c>
      <c r="Y28" s="439" t="str">
        <f t="shared" si="5"/>
        <v>2W1</v>
      </c>
      <c r="Z28" s="432" t="str">
        <f>REPT(Steuerung!CE20,1)</f>
        <v>Freilos 2LW</v>
      </c>
      <c r="AA28" s="432" t="str">
        <f>REPT(Steuerung!CF20,1)</f>
        <v>Casa Benfica GE</v>
      </c>
    </row>
    <row r="29" spans="1:27" ht="20.100000000000001" customHeight="1">
      <c r="A29" s="437" t="str">
        <f>REPT(Steuerung!AM21,1)</f>
        <v>2W2</v>
      </c>
      <c r="B29" s="430" t="str">
        <f>REPT(Steuerung!AO21,1)</f>
        <v>Real Caracol</v>
      </c>
      <c r="C29" s="430" t="str">
        <f>REPT(Steuerung!AP21,1)</f>
        <v>La Chaux-de-Fonds</v>
      </c>
      <c r="E29" s="437" t="str">
        <f t="shared" si="0"/>
        <v>2W2</v>
      </c>
      <c r="F29" s="430" t="str">
        <f>REPT(Steuerung!AV21,1)</f>
        <v>La Chaux-de-Fonds</v>
      </c>
      <c r="G29" s="430" t="str">
        <f>REPT(Steuerung!AW21,1)</f>
        <v>Geneva DL</v>
      </c>
      <c r="I29" s="437" t="str">
        <f t="shared" si="1"/>
        <v>2W2</v>
      </c>
      <c r="J29" s="430" t="str">
        <f>REPT(Steuerung!BC21,1)</f>
        <v>Emmental 3</v>
      </c>
      <c r="K29" s="430" t="str">
        <f>REPT(Steuerung!BD21,1)</f>
        <v>La Chaux-de-Fonds</v>
      </c>
      <c r="M29" s="437" t="str">
        <f t="shared" si="2"/>
        <v>2W2</v>
      </c>
      <c r="N29" s="430" t="str">
        <f>REPT(Steuerung!BJ21,1)</f>
        <v>La Chaux-de-Fonds</v>
      </c>
      <c r="O29" s="430" t="str">
        <f>REPT(Steuerung!BK21,1)</f>
        <v>Morges 2</v>
      </c>
      <c r="Q29" s="437" t="str">
        <f t="shared" si="3"/>
        <v>2W2</v>
      </c>
      <c r="R29" s="430" t="str">
        <f>REPT(Steuerung!BQ21,1)</f>
        <v>Freilos 2LW</v>
      </c>
      <c r="S29" s="430" t="str">
        <f>REPT(Steuerung!BR21,1)</f>
        <v>Martigny Sport</v>
      </c>
      <c r="U29" s="437" t="str">
        <f t="shared" si="4"/>
        <v>2W2</v>
      </c>
      <c r="V29" s="430" t="str">
        <f>REPT(Steuerung!BX21,1)</f>
        <v>La Chaux-de-Fonds</v>
      </c>
      <c r="W29" s="430" t="str">
        <f>REPT(Steuerung!BY21,1)</f>
        <v>Freilos 2LW</v>
      </c>
      <c r="Y29" s="437" t="str">
        <f t="shared" si="5"/>
        <v>2W2</v>
      </c>
      <c r="Z29" s="430" t="str">
        <f>REPT(Steuerung!CE21,1)</f>
        <v>Martigny Sport</v>
      </c>
      <c r="AA29" s="430" t="str">
        <f>REPT(Steuerung!CF21,1)</f>
        <v>La Chaux-de-Fonds</v>
      </c>
    </row>
    <row r="30" spans="1:27" ht="20.100000000000001" customHeight="1">
      <c r="A30" s="437" t="str">
        <f>REPT(Steuerung!AM22,1)</f>
        <v>2W3</v>
      </c>
      <c r="B30" s="430" t="str">
        <f>REPT(Steuerung!AO22,1)</f>
        <v>Morges 2</v>
      </c>
      <c r="C30" s="430" t="str">
        <f>REPT(Steuerung!AP22,1)</f>
        <v>Martigny Sport</v>
      </c>
      <c r="E30" s="437" t="str">
        <f t="shared" si="0"/>
        <v>2W3</v>
      </c>
      <c r="F30" s="430" t="str">
        <f>REPT(Steuerung!AV22,1)</f>
        <v>Martigny Sport</v>
      </c>
      <c r="G30" s="430" t="str">
        <f>REPT(Steuerung!AW22,1)</f>
        <v>Real Caracol</v>
      </c>
      <c r="I30" s="437" t="str">
        <f t="shared" si="1"/>
        <v>2W3</v>
      </c>
      <c r="J30" s="430" t="str">
        <f>REPT(Steuerung!BC22,1)</f>
        <v>Geneva DL</v>
      </c>
      <c r="K30" s="430" t="str">
        <f>REPT(Steuerung!BD22,1)</f>
        <v>Martigny Sport</v>
      </c>
      <c r="M30" s="437" t="str">
        <f t="shared" si="2"/>
        <v>2W3</v>
      </c>
      <c r="N30" s="430" t="str">
        <f>REPT(Steuerung!BJ22,1)</f>
        <v>Martigny Sport</v>
      </c>
      <c r="O30" s="430" t="str">
        <f>REPT(Steuerung!BK22,1)</f>
        <v>Emmental 3</v>
      </c>
      <c r="Q30" s="437" t="str">
        <f t="shared" si="3"/>
        <v>2W3</v>
      </c>
      <c r="R30" s="430" t="str">
        <f>REPT(Steuerung!BQ22,1)</f>
        <v>Real Caracol</v>
      </c>
      <c r="S30" s="430" t="str">
        <f>REPT(Steuerung!BR22,1)</f>
        <v>Geneva DL</v>
      </c>
      <c r="U30" s="437" t="str">
        <f t="shared" si="4"/>
        <v>2W3</v>
      </c>
      <c r="V30" s="430" t="str">
        <f>REPT(Steuerung!BX22,1)</f>
        <v>Geneva DL</v>
      </c>
      <c r="W30" s="430" t="str">
        <f>REPT(Steuerung!BY22,1)</f>
        <v>Morges 2</v>
      </c>
      <c r="Y30" s="437" t="str">
        <f t="shared" si="5"/>
        <v>2W3</v>
      </c>
      <c r="Z30" s="430" t="str">
        <f>REPT(Steuerung!CE22,1)</f>
        <v>Emmental 3</v>
      </c>
      <c r="AA30" s="430" t="str">
        <f>REPT(Steuerung!CF22,1)</f>
        <v>Geneva DL</v>
      </c>
    </row>
    <row r="31" spans="1:27" ht="20.100000000000001" customHeight="1" thickBot="1">
      <c r="A31" s="438" t="str">
        <f>REPT(Steuerung!AM23,1)</f>
        <v>2W4</v>
      </c>
      <c r="B31" s="431" t="str">
        <f>REPT(Steuerung!AO23,1)</f>
        <v>Emmental 3</v>
      </c>
      <c r="C31" s="431" t="str">
        <f>REPT(Steuerung!AP23,1)</f>
        <v>Freilos 2LW</v>
      </c>
      <c r="E31" s="438" t="str">
        <f t="shared" si="0"/>
        <v>2W4</v>
      </c>
      <c r="F31" s="431" t="str">
        <f>REPT(Steuerung!AV23,1)</f>
        <v>Freilos 2LW</v>
      </c>
      <c r="G31" s="431" t="str">
        <f>REPT(Steuerung!AW23,1)</f>
        <v>Morges 2</v>
      </c>
      <c r="I31" s="438" t="str">
        <f t="shared" si="1"/>
        <v>2W4</v>
      </c>
      <c r="J31" s="431" t="str">
        <f>REPT(Steuerung!BC23,1)</f>
        <v>Real Caracol</v>
      </c>
      <c r="K31" s="431" t="str">
        <f>REPT(Steuerung!BD23,1)</f>
        <v>Freilos 2LW</v>
      </c>
      <c r="M31" s="438" t="str">
        <f t="shared" si="2"/>
        <v>2W4</v>
      </c>
      <c r="N31" s="431" t="str">
        <f>REPT(Steuerung!BJ23,1)</f>
        <v>Freilos 2LW</v>
      </c>
      <c r="O31" s="431" t="str">
        <f>REPT(Steuerung!BK23,1)</f>
        <v>Geneva DL</v>
      </c>
      <c r="Q31" s="438" t="str">
        <f t="shared" si="3"/>
        <v>2W4</v>
      </c>
      <c r="R31" s="431" t="str">
        <f>REPT(Steuerung!BQ23,1)</f>
        <v>Emmental 3</v>
      </c>
      <c r="S31" s="431" t="str">
        <f>REPT(Steuerung!BR23,1)</f>
        <v>Morges 2</v>
      </c>
      <c r="U31" s="438" t="str">
        <f t="shared" si="4"/>
        <v>2W4</v>
      </c>
      <c r="V31" s="431" t="str">
        <f>REPT(Steuerung!BX23,1)</f>
        <v>Real Caracol</v>
      </c>
      <c r="W31" s="431" t="str">
        <f>REPT(Steuerung!BY23,1)</f>
        <v>Emmental 3</v>
      </c>
      <c r="Y31" s="438" t="str">
        <f t="shared" si="5"/>
        <v>2W4</v>
      </c>
      <c r="Z31" s="431" t="str">
        <f>REPT(Steuerung!CE23,1)</f>
        <v>Morges 2</v>
      </c>
      <c r="AA31" s="431" t="str">
        <f>REPT(Steuerung!CF23,1)</f>
        <v>Real Caracol</v>
      </c>
    </row>
    <row r="32" spans="1:27" ht="20.100000000000001" customHeight="1">
      <c r="A32" s="436" t="str">
        <f>REPT(Steuerung!AM24,1)</f>
        <v>2O1</v>
      </c>
      <c r="B32" s="429" t="str">
        <f>REPT(Steuerung!AO24,1)</f>
        <v>Chill Out Bull's 2</v>
      </c>
      <c r="C32" s="440" t="str">
        <f>REPT(Steuerung!AP24,1)</f>
        <v>Black Jack</v>
      </c>
      <c r="E32" s="436" t="str">
        <f t="shared" si="0"/>
        <v>2O1</v>
      </c>
      <c r="F32" s="429" t="str">
        <f>REPT(Steuerung!AV24,1)</f>
        <v>Black Jack</v>
      </c>
      <c r="G32" s="440" t="str">
        <f>REPT(Steuerung!AW24,1)</f>
        <v>Heroes</v>
      </c>
      <c r="I32" s="436" t="str">
        <f t="shared" si="1"/>
        <v>2O1</v>
      </c>
      <c r="J32" s="429" t="str">
        <f>REPT(Steuerung!BC24,1)</f>
        <v>Brugg 4</v>
      </c>
      <c r="K32" s="440" t="str">
        <f>REPT(Steuerung!BD24,1)</f>
        <v>Black Jack</v>
      </c>
      <c r="M32" s="436" t="str">
        <f t="shared" si="2"/>
        <v>2O1</v>
      </c>
      <c r="N32" s="429" t="str">
        <f>REPT(Steuerung!BJ24,1)</f>
        <v>Black Jack</v>
      </c>
      <c r="O32" s="440" t="str">
        <f>REPT(Steuerung!BK24,1)</f>
        <v>Horgen</v>
      </c>
      <c r="Q32" s="436" t="str">
        <f t="shared" si="3"/>
        <v>2O1</v>
      </c>
      <c r="R32" s="429" t="str">
        <f>REPT(Steuerung!BQ24,1)</f>
        <v>High 5</v>
      </c>
      <c r="S32" s="440" t="str">
        <f>REPT(Steuerung!BR24,1)</f>
        <v>Black Jack</v>
      </c>
      <c r="U32" s="436" t="str">
        <f t="shared" si="4"/>
        <v>2O1</v>
      </c>
      <c r="V32" s="429" t="str">
        <f>REPT(Steuerung!BX24,1)</f>
        <v>Black Jack</v>
      </c>
      <c r="W32" s="440" t="str">
        <f>REPT(Steuerung!BY24,1)</f>
        <v>Züri Otter</v>
      </c>
      <c r="Y32" s="436" t="str">
        <f t="shared" si="5"/>
        <v>2O1</v>
      </c>
      <c r="Z32" s="429" t="str">
        <f>REPT(Steuerung!CE24,1)</f>
        <v>Papillon 2</v>
      </c>
      <c r="AA32" s="440" t="str">
        <f>REPT(Steuerung!CF24,1)</f>
        <v>Black Jack</v>
      </c>
    </row>
    <row r="33" spans="1:27" ht="20.100000000000001" customHeight="1">
      <c r="A33" s="437" t="str">
        <f>REPT(Steuerung!AM25,1)</f>
        <v>2O2</v>
      </c>
      <c r="B33" s="430" t="str">
        <f>REPT(Steuerung!AO25,1)</f>
        <v>Horgen</v>
      </c>
      <c r="C33" s="430" t="str">
        <f>REPT(Steuerung!AP25,1)</f>
        <v>High 5</v>
      </c>
      <c r="E33" s="437" t="str">
        <f t="shared" si="0"/>
        <v>2O2</v>
      </c>
      <c r="F33" s="430" t="str">
        <f>REPT(Steuerung!AV25,1)</f>
        <v>High 5</v>
      </c>
      <c r="G33" s="430" t="str">
        <f>REPT(Steuerung!AW25,1)</f>
        <v>Chill Out Bull's 2</v>
      </c>
      <c r="I33" s="437" t="str">
        <f t="shared" si="1"/>
        <v>2O2</v>
      </c>
      <c r="J33" s="430" t="str">
        <f>REPT(Steuerung!BC25,1)</f>
        <v>Heroes</v>
      </c>
      <c r="K33" s="430" t="str">
        <f>REPT(Steuerung!BD25,1)</f>
        <v>High 5</v>
      </c>
      <c r="M33" s="437" t="str">
        <f t="shared" si="2"/>
        <v>2O2</v>
      </c>
      <c r="N33" s="430" t="str">
        <f>REPT(Steuerung!BJ25,1)</f>
        <v>High 5</v>
      </c>
      <c r="O33" s="430" t="str">
        <f>REPT(Steuerung!BK25,1)</f>
        <v>Brugg 4</v>
      </c>
      <c r="Q33" s="437" t="str">
        <f t="shared" si="3"/>
        <v>2O2</v>
      </c>
      <c r="R33" s="430" t="str">
        <f>REPT(Steuerung!BQ25,1)</f>
        <v>Papillon 2</v>
      </c>
      <c r="S33" s="430" t="str">
        <f>REPT(Steuerung!BR25,1)</f>
        <v>Züri Otter</v>
      </c>
      <c r="U33" s="437" t="str">
        <f t="shared" si="4"/>
        <v>2O2</v>
      </c>
      <c r="V33" s="430" t="str">
        <f>REPT(Steuerung!BX25,1)</f>
        <v>High 5</v>
      </c>
      <c r="W33" s="430" t="str">
        <f>REPT(Steuerung!BY25,1)</f>
        <v>Papillon 2</v>
      </c>
      <c r="Y33" s="437" t="str">
        <f t="shared" si="5"/>
        <v>2O2</v>
      </c>
      <c r="Z33" s="430" t="str">
        <f>REPT(Steuerung!CE25,1)</f>
        <v>Züri Otter</v>
      </c>
      <c r="AA33" s="430" t="str">
        <f>REPT(Steuerung!CF25,1)</f>
        <v>High 5</v>
      </c>
    </row>
    <row r="34" spans="1:27" ht="20.100000000000001" customHeight="1">
      <c r="A34" s="437" t="str">
        <f>REPT(Steuerung!AM26,1)</f>
        <v>2O3</v>
      </c>
      <c r="B34" s="430" t="str">
        <f>REPT(Steuerung!AO26,1)</f>
        <v>Brugg 4</v>
      </c>
      <c r="C34" s="430" t="str">
        <f>REPT(Steuerung!AP26,1)</f>
        <v>Züri Otter</v>
      </c>
      <c r="E34" s="437" t="str">
        <f t="shared" si="0"/>
        <v>2O3</v>
      </c>
      <c r="F34" s="430" t="str">
        <f>REPT(Steuerung!AV26,1)</f>
        <v>Züri Otter</v>
      </c>
      <c r="G34" s="430" t="str">
        <f>REPT(Steuerung!AW26,1)</f>
        <v>Horgen</v>
      </c>
      <c r="I34" s="437" t="str">
        <f t="shared" si="1"/>
        <v>2O3</v>
      </c>
      <c r="J34" s="430" t="str">
        <f>REPT(Steuerung!BC26,1)</f>
        <v>Chill Out Bull's 2</v>
      </c>
      <c r="K34" s="430" t="str">
        <f>REPT(Steuerung!BD26,1)</f>
        <v>Züri Otter</v>
      </c>
      <c r="M34" s="437" t="str">
        <f t="shared" si="2"/>
        <v>2O3</v>
      </c>
      <c r="N34" s="430" t="str">
        <f>REPT(Steuerung!BJ26,1)</f>
        <v>Züri Otter</v>
      </c>
      <c r="O34" s="430" t="str">
        <f>REPT(Steuerung!BK26,1)</f>
        <v>Heroes</v>
      </c>
      <c r="Q34" s="437" t="str">
        <f t="shared" si="3"/>
        <v>2O3</v>
      </c>
      <c r="R34" s="430" t="str">
        <f>REPT(Steuerung!BQ26,1)</f>
        <v>Horgen</v>
      </c>
      <c r="S34" s="430" t="str">
        <f>REPT(Steuerung!BR26,1)</f>
        <v>Chill Out Bull's 2</v>
      </c>
      <c r="U34" s="437" t="str">
        <f t="shared" si="4"/>
        <v>2O3</v>
      </c>
      <c r="V34" s="430" t="str">
        <f>REPT(Steuerung!BX26,1)</f>
        <v>Chill Out Bull's 2</v>
      </c>
      <c r="W34" s="430" t="str">
        <f>REPT(Steuerung!BY26,1)</f>
        <v>Brugg 4</v>
      </c>
      <c r="Y34" s="437" t="str">
        <f t="shared" si="5"/>
        <v>2O3</v>
      </c>
      <c r="Z34" s="430" t="str">
        <f>REPT(Steuerung!CE26,1)</f>
        <v>Heroes</v>
      </c>
      <c r="AA34" s="430" t="str">
        <f>REPT(Steuerung!CF26,1)</f>
        <v>Chill Out Bull's 2</v>
      </c>
    </row>
    <row r="35" spans="1:27" ht="20.100000000000001" customHeight="1" thickBot="1">
      <c r="A35" s="438" t="str">
        <f>REPT(Steuerung!AM27,1)</f>
        <v>2O4</v>
      </c>
      <c r="B35" s="431" t="str">
        <f>REPT(Steuerung!AO27,1)</f>
        <v>Heroes</v>
      </c>
      <c r="C35" s="431" t="str">
        <f>REPT(Steuerung!AP27,1)</f>
        <v>Papillon 2</v>
      </c>
      <c r="E35" s="438" t="str">
        <f t="shared" si="0"/>
        <v>2O4</v>
      </c>
      <c r="F35" s="431" t="str">
        <f>REPT(Steuerung!AV27,1)</f>
        <v>Papillon 2</v>
      </c>
      <c r="G35" s="431" t="str">
        <f>REPT(Steuerung!AW27,1)</f>
        <v>Brugg 4</v>
      </c>
      <c r="I35" s="438" t="str">
        <f t="shared" si="1"/>
        <v>2O4</v>
      </c>
      <c r="J35" s="431" t="str">
        <f>REPT(Steuerung!BC27,1)</f>
        <v>Horgen</v>
      </c>
      <c r="K35" s="431" t="str">
        <f>REPT(Steuerung!BD27,1)</f>
        <v>Papillon 2</v>
      </c>
      <c r="M35" s="438" t="str">
        <f t="shared" si="2"/>
        <v>2O4</v>
      </c>
      <c r="N35" s="431" t="str">
        <f>REPT(Steuerung!BJ27,1)</f>
        <v>Papillon 2</v>
      </c>
      <c r="O35" s="431" t="str">
        <f>REPT(Steuerung!BK27,1)</f>
        <v>Chill Out Bull's 2</v>
      </c>
      <c r="Q35" s="438" t="str">
        <f t="shared" si="3"/>
        <v>2O4</v>
      </c>
      <c r="R35" s="431" t="str">
        <f>REPT(Steuerung!BQ27,1)</f>
        <v>Heroes</v>
      </c>
      <c r="S35" s="431" t="str">
        <f>REPT(Steuerung!BR27,1)</f>
        <v>Brugg 4</v>
      </c>
      <c r="U35" s="438" t="str">
        <f t="shared" si="4"/>
        <v>2O4</v>
      </c>
      <c r="V35" s="431" t="str">
        <f>REPT(Steuerung!BX27,1)</f>
        <v>Horgen</v>
      </c>
      <c r="W35" s="431" t="str">
        <f>REPT(Steuerung!BY27,1)</f>
        <v>Heroes</v>
      </c>
      <c r="Y35" s="438" t="str">
        <f t="shared" si="5"/>
        <v>2O4</v>
      </c>
      <c r="Z35" s="431" t="str">
        <f>REPT(Steuerung!CE27,1)</f>
        <v>Brugg 4</v>
      </c>
      <c r="AA35" s="431" t="str">
        <f>REPT(Steuerung!CF27,1)</f>
        <v>Horgen</v>
      </c>
    </row>
    <row r="36" spans="1:27" ht="20.100000000000001" customHeight="1">
      <c r="A36" s="436" t="str">
        <f>REPT(Steuerung!AM28,1)</f>
        <v>2N1</v>
      </c>
      <c r="B36" s="429" t="str">
        <f>REPT(Steuerung!AO28,1)</f>
        <v>Papillon 3</v>
      </c>
      <c r="C36" s="440" t="str">
        <f>REPT(Steuerung!AP28,1)</f>
        <v>Gelterkinden 2</v>
      </c>
      <c r="E36" s="436" t="str">
        <f t="shared" si="0"/>
        <v>2N1</v>
      </c>
      <c r="F36" s="429" t="str">
        <f>REPT(Steuerung!AV28,1)</f>
        <v>Gelterkinden 2</v>
      </c>
      <c r="G36" s="440" t="str">
        <f>REPT(Steuerung!AW28,1)</f>
        <v>Freilo 2LN</v>
      </c>
      <c r="I36" s="436" t="str">
        <f t="shared" si="1"/>
        <v>2N1</v>
      </c>
      <c r="J36" s="429" t="str">
        <f>REPT(Steuerung!BC28,1)</f>
        <v>Joker 2</v>
      </c>
      <c r="K36" s="440" t="str">
        <f>REPT(Steuerung!BD28,1)</f>
        <v>Gelterkinden 2</v>
      </c>
      <c r="M36" s="436" t="str">
        <f t="shared" si="2"/>
        <v>2N1</v>
      </c>
      <c r="N36" s="429" t="str">
        <f>REPT(Steuerung!BJ28,1)</f>
        <v>Gelterkinden 2</v>
      </c>
      <c r="O36" s="440" t="str">
        <f>REPT(Steuerung!BK28,1)</f>
        <v>Brugg 3</v>
      </c>
      <c r="Q36" s="436" t="str">
        <f t="shared" si="3"/>
        <v>2N1</v>
      </c>
      <c r="R36" s="429" t="str">
        <f>REPT(Steuerung!BQ28,1)</f>
        <v>Emmental 5</v>
      </c>
      <c r="S36" s="440" t="str">
        <f>REPT(Steuerung!BR28,1)</f>
        <v>Gelterkinden 2</v>
      </c>
      <c r="U36" s="436" t="str">
        <f t="shared" si="4"/>
        <v>2N1</v>
      </c>
      <c r="V36" s="429" t="str">
        <f>REPT(Steuerung!BX28,1)</f>
        <v>Gelterkinden 2</v>
      </c>
      <c r="W36" s="440" t="str">
        <f>REPT(Steuerung!BY28,1)</f>
        <v>Lounge 11</v>
      </c>
      <c r="Y36" s="436" t="str">
        <f t="shared" si="5"/>
        <v>2N1</v>
      </c>
      <c r="Z36" s="429" t="str">
        <f>REPT(Steuerung!CE28,1)</f>
        <v>Safnern 3</v>
      </c>
      <c r="AA36" s="440" t="str">
        <f>REPT(Steuerung!CF28,1)</f>
        <v>Gelterkinden 2</v>
      </c>
    </row>
    <row r="37" spans="1:27" ht="20.100000000000001" customHeight="1">
      <c r="A37" s="437" t="str">
        <f>REPT(Steuerung!AM29,1)</f>
        <v>2N2</v>
      </c>
      <c r="B37" s="430" t="str">
        <f>REPT(Steuerung!AO29,1)</f>
        <v>Freilo 2LN</v>
      </c>
      <c r="C37" s="430" t="str">
        <f>REPT(Steuerung!AP29,1)</f>
        <v>Emmental 5</v>
      </c>
      <c r="E37" s="437" t="str">
        <f t="shared" si="0"/>
        <v>2N2</v>
      </c>
      <c r="F37" s="430" t="str">
        <f>REPT(Steuerung!AV29,1)</f>
        <v>Emmental 5</v>
      </c>
      <c r="G37" s="430" t="str">
        <f>REPT(Steuerung!AW29,1)</f>
        <v>Joker 2</v>
      </c>
      <c r="I37" s="437" t="str">
        <f t="shared" si="1"/>
        <v>2N2</v>
      </c>
      <c r="J37" s="430" t="str">
        <f>REPT(Steuerung!BC29,1)</f>
        <v>Brugg 3</v>
      </c>
      <c r="K37" s="430" t="str">
        <f>REPT(Steuerung!BD29,1)</f>
        <v>Emmental 5</v>
      </c>
      <c r="M37" s="437" t="str">
        <f t="shared" si="2"/>
        <v>2N2</v>
      </c>
      <c r="N37" s="430" t="str">
        <f>REPT(Steuerung!BJ29,1)</f>
        <v>Emmental 5</v>
      </c>
      <c r="O37" s="430" t="str">
        <f>REPT(Steuerung!BK29,1)</f>
        <v>Papillon 3</v>
      </c>
      <c r="Q37" s="437" t="str">
        <f t="shared" si="3"/>
        <v>2N2</v>
      </c>
      <c r="R37" s="430" t="str">
        <f>REPT(Steuerung!BQ29,1)</f>
        <v>Safnern 3</v>
      </c>
      <c r="S37" s="430" t="str">
        <f>REPT(Steuerung!BR29,1)</f>
        <v>Lounge 11</v>
      </c>
      <c r="U37" s="437" t="str">
        <f t="shared" si="4"/>
        <v>2N2</v>
      </c>
      <c r="V37" s="430" t="str">
        <f>REPT(Steuerung!BX29,1)</f>
        <v>Emmental 5</v>
      </c>
      <c r="W37" s="430" t="str">
        <f>REPT(Steuerung!BY29,1)</f>
        <v>Safnern 3</v>
      </c>
      <c r="Y37" s="437" t="str">
        <f t="shared" si="5"/>
        <v>2N2</v>
      </c>
      <c r="Z37" s="430" t="str">
        <f>REPT(Steuerung!CE29,1)</f>
        <v>Lounge 11</v>
      </c>
      <c r="AA37" s="430" t="str">
        <f>REPT(Steuerung!CF29,1)</f>
        <v>Emmental 5</v>
      </c>
    </row>
    <row r="38" spans="1:27" ht="20.100000000000001" customHeight="1">
      <c r="A38" s="437" t="str">
        <f>REPT(Steuerung!AM30,1)</f>
        <v>2N3</v>
      </c>
      <c r="B38" s="430" t="str">
        <f>REPT(Steuerung!AO30,1)</f>
        <v>Joker 2</v>
      </c>
      <c r="C38" s="430" t="str">
        <f>REPT(Steuerung!AP30,1)</f>
        <v>Lounge 11</v>
      </c>
      <c r="E38" s="437" t="str">
        <f t="shared" si="0"/>
        <v>2N3</v>
      </c>
      <c r="F38" s="430" t="str">
        <f>REPT(Steuerung!AV30,1)</f>
        <v>Lounge 11</v>
      </c>
      <c r="G38" s="430" t="str">
        <f>REPT(Steuerung!AW30,1)</f>
        <v>Brugg 3</v>
      </c>
      <c r="I38" s="437" t="str">
        <f t="shared" si="1"/>
        <v>2N3</v>
      </c>
      <c r="J38" s="430" t="str">
        <f>REPT(Steuerung!BC30,1)</f>
        <v>Papillon 3</v>
      </c>
      <c r="K38" s="430" t="str">
        <f>REPT(Steuerung!BD30,1)</f>
        <v>Lounge 11</v>
      </c>
      <c r="M38" s="437" t="str">
        <f t="shared" si="2"/>
        <v>2N3</v>
      </c>
      <c r="N38" s="430" t="str">
        <f>REPT(Steuerung!BJ30,1)</f>
        <v>Lounge 11</v>
      </c>
      <c r="O38" s="430" t="str">
        <f>REPT(Steuerung!BK30,1)</f>
        <v>Freilo 2LN</v>
      </c>
      <c r="Q38" s="437" t="str">
        <f t="shared" si="3"/>
        <v>2N3</v>
      </c>
      <c r="R38" s="430" t="str">
        <f>REPT(Steuerung!BQ30,1)</f>
        <v>Freilo 2LN</v>
      </c>
      <c r="S38" s="430" t="str">
        <f>REPT(Steuerung!BR30,1)</f>
        <v>Papillon 3</v>
      </c>
      <c r="U38" s="437" t="str">
        <f t="shared" si="4"/>
        <v>2N3</v>
      </c>
      <c r="V38" s="430" t="str">
        <f>REPT(Steuerung!BX30,1)</f>
        <v>Papillon 3</v>
      </c>
      <c r="W38" s="430" t="str">
        <f>REPT(Steuerung!BY30,1)</f>
        <v>Joker 2</v>
      </c>
      <c r="Y38" s="437" t="str">
        <f t="shared" si="5"/>
        <v>2N3</v>
      </c>
      <c r="Z38" s="430" t="str">
        <f>REPT(Steuerung!CE30,1)</f>
        <v>Brugg 3</v>
      </c>
      <c r="AA38" s="430" t="str">
        <f>REPT(Steuerung!CF30,1)</f>
        <v>Papillon 3</v>
      </c>
    </row>
    <row r="39" spans="1:27" ht="20.100000000000001" customHeight="1" thickBot="1">
      <c r="A39" s="438" t="str">
        <f>REPT(Steuerung!AM31,1)</f>
        <v>2N4</v>
      </c>
      <c r="B39" s="431" t="str">
        <f>REPT(Steuerung!AO31,1)</f>
        <v>Brugg 3</v>
      </c>
      <c r="C39" s="431" t="str">
        <f>REPT(Steuerung!AP31,1)</f>
        <v>Safnern 3</v>
      </c>
      <c r="E39" s="438" t="str">
        <f t="shared" si="0"/>
        <v>2N4</v>
      </c>
      <c r="F39" s="431" t="str">
        <f>REPT(Steuerung!AV31,1)</f>
        <v>Safnern 3</v>
      </c>
      <c r="G39" s="431" t="str">
        <f>REPT(Steuerung!AW31,1)</f>
        <v>Papillon 3</v>
      </c>
      <c r="I39" s="438" t="str">
        <f t="shared" si="1"/>
        <v>2N4</v>
      </c>
      <c r="J39" s="431" t="str">
        <f>REPT(Steuerung!BC31,1)</f>
        <v>Freilo 2LN</v>
      </c>
      <c r="K39" s="431" t="str">
        <f>REPT(Steuerung!BD31,1)</f>
        <v>Safnern 3</v>
      </c>
      <c r="M39" s="438" t="str">
        <f t="shared" si="2"/>
        <v>2N4</v>
      </c>
      <c r="N39" s="431" t="str">
        <f>REPT(Steuerung!BJ31,1)</f>
        <v>Safnern 3</v>
      </c>
      <c r="O39" s="431" t="str">
        <f>REPT(Steuerung!BK31,1)</f>
        <v>Joker 2</v>
      </c>
      <c r="Q39" s="438" t="str">
        <f t="shared" si="3"/>
        <v>2N4</v>
      </c>
      <c r="R39" s="431" t="str">
        <f>REPT(Steuerung!BQ31,1)</f>
        <v>Brugg 3</v>
      </c>
      <c r="S39" s="431" t="str">
        <f>REPT(Steuerung!BR31,1)</f>
        <v>Joker 2</v>
      </c>
      <c r="U39" s="438" t="str">
        <f t="shared" si="4"/>
        <v>2N4</v>
      </c>
      <c r="V39" s="431" t="str">
        <f>REPT(Steuerung!BX31,1)</f>
        <v>Freilo 2LN</v>
      </c>
      <c r="W39" s="431" t="str">
        <f>REPT(Steuerung!BY31,1)</f>
        <v>Brugg 3</v>
      </c>
      <c r="Y39" s="438" t="str">
        <f t="shared" si="5"/>
        <v>2N4</v>
      </c>
      <c r="Z39" s="431" t="str">
        <f>REPT(Steuerung!CE31,1)</f>
        <v>Joker 2</v>
      </c>
      <c r="AA39" s="431" t="str">
        <f>REPT(Steuerung!CF31,1)</f>
        <v>Freilo 2LN</v>
      </c>
    </row>
    <row r="40" spans="1:27" ht="20.100000000000001" customHeight="1">
      <c r="A40" s="436" t="str">
        <f>REPT(Steuerung!AM32,1)</f>
        <v>2M1</v>
      </c>
      <c r="B40" s="429" t="str">
        <f>REPT(Steuerung!AO32,1)</f>
        <v>Safnern 2</v>
      </c>
      <c r="C40" s="440" t="str">
        <f>REPT(Steuerung!AP32,1)</f>
        <v>Torp. Wimmis 2</v>
      </c>
      <c r="E40" s="436" t="str">
        <f t="shared" si="0"/>
        <v>2M1</v>
      </c>
      <c r="F40" s="429" t="str">
        <f>REPT(Steuerung!AV32,1)</f>
        <v>Torp. Wimmis 2</v>
      </c>
      <c r="G40" s="440" t="str">
        <f>REPT(Steuerung!AW32,1)</f>
        <v>Sense Steel 2</v>
      </c>
      <c r="I40" s="436" t="str">
        <f t="shared" si="1"/>
        <v>2M1</v>
      </c>
      <c r="J40" s="429" t="str">
        <f>REPT(Steuerung!BC32,1)</f>
        <v>Emmental 2</v>
      </c>
      <c r="K40" s="440" t="str">
        <f>REPT(Steuerung!BD32,1)</f>
        <v>Torp. Wimmis 2</v>
      </c>
      <c r="M40" s="436" t="str">
        <f t="shared" si="2"/>
        <v>2M1</v>
      </c>
      <c r="N40" s="429" t="str">
        <f>REPT(Steuerung!BJ32,1)</f>
        <v>Torp. Wimmis 2</v>
      </c>
      <c r="O40" s="440" t="str">
        <f>REPT(Steuerung!BK32,1)</f>
        <v>Farmer</v>
      </c>
      <c r="Q40" s="436" t="str">
        <f t="shared" si="3"/>
        <v>2M1</v>
      </c>
      <c r="R40" s="429" t="str">
        <f>REPT(Steuerung!BQ32,1)</f>
        <v>Bern 2</v>
      </c>
      <c r="S40" s="440" t="str">
        <f>REPT(Steuerung!BR32,1)</f>
        <v>Torp. Wimmis 2</v>
      </c>
      <c r="U40" s="436" t="str">
        <f t="shared" si="4"/>
        <v>2M1</v>
      </c>
      <c r="V40" s="429" t="str">
        <f>REPT(Steuerung!BX32,1)</f>
        <v>Torp. Wimmis 2</v>
      </c>
      <c r="W40" s="440" t="str">
        <f>REPT(Steuerung!BY32,1)</f>
        <v>Vikings</v>
      </c>
      <c r="Y40" s="436" t="str">
        <f t="shared" si="5"/>
        <v>2M1</v>
      </c>
      <c r="Z40" s="429" t="str">
        <f>REPT(Steuerung!CE32,1)</f>
        <v>Emmental 4</v>
      </c>
      <c r="AA40" s="440" t="str">
        <f>REPT(Steuerung!CF32,1)</f>
        <v>Torp. Wimmis 2</v>
      </c>
    </row>
    <row r="41" spans="1:27" ht="20.100000000000001" customHeight="1">
      <c r="A41" s="437" t="str">
        <f>REPT(Steuerung!AM33,1)</f>
        <v>2M2</v>
      </c>
      <c r="B41" s="430" t="str">
        <f>REPT(Steuerung!AO33,1)</f>
        <v>Farmer</v>
      </c>
      <c r="C41" s="430" t="str">
        <f>REPT(Steuerung!AP33,1)</f>
        <v>Bern 2</v>
      </c>
      <c r="E41" s="437" t="str">
        <f t="shared" si="0"/>
        <v>2M2</v>
      </c>
      <c r="F41" s="430" t="str">
        <f>REPT(Steuerung!AV33,1)</f>
        <v>Bern 2</v>
      </c>
      <c r="G41" s="430" t="str">
        <f>REPT(Steuerung!AW33,1)</f>
        <v>Safnern 2</v>
      </c>
      <c r="I41" s="437" t="str">
        <f t="shared" si="1"/>
        <v>2M2</v>
      </c>
      <c r="J41" s="430" t="str">
        <f>REPT(Steuerung!BC33,1)</f>
        <v>Sense Steel 2</v>
      </c>
      <c r="K41" s="430" t="str">
        <f>REPT(Steuerung!BD33,1)</f>
        <v>Bern 2</v>
      </c>
      <c r="M41" s="437" t="str">
        <f t="shared" si="2"/>
        <v>2M2</v>
      </c>
      <c r="N41" s="430" t="str">
        <f>REPT(Steuerung!BJ33,1)</f>
        <v>Bern 2</v>
      </c>
      <c r="O41" s="430" t="str">
        <f>REPT(Steuerung!BK33,1)</f>
        <v>Emmental 2</v>
      </c>
      <c r="Q41" s="437" t="str">
        <f t="shared" si="3"/>
        <v>2M2</v>
      </c>
      <c r="R41" s="430" t="str">
        <f>REPT(Steuerung!BQ33,1)</f>
        <v>Vikings</v>
      </c>
      <c r="S41" s="430" t="str">
        <f>REPT(Steuerung!BR33,1)</f>
        <v>Emmental 4</v>
      </c>
      <c r="U41" s="437" t="str">
        <f t="shared" si="4"/>
        <v>2M2</v>
      </c>
      <c r="V41" s="430" t="str">
        <f>REPT(Steuerung!BX33,1)</f>
        <v>Bern 2</v>
      </c>
      <c r="W41" s="430" t="str">
        <f>REPT(Steuerung!BY33,1)</f>
        <v>Emmental 4</v>
      </c>
      <c r="Y41" s="437" t="str">
        <f t="shared" si="5"/>
        <v>2M2</v>
      </c>
      <c r="Z41" s="430" t="str">
        <f>REPT(Steuerung!CE33,1)</f>
        <v>Vikings</v>
      </c>
      <c r="AA41" s="430" t="str">
        <f>REPT(Steuerung!CF33,1)</f>
        <v>Bern 2</v>
      </c>
    </row>
    <row r="42" spans="1:27" ht="20.100000000000001" customHeight="1">
      <c r="A42" s="437" t="str">
        <f>REPT(Steuerung!AM34,1)</f>
        <v>2M3</v>
      </c>
      <c r="B42" s="430" t="str">
        <f>REPT(Steuerung!AO34,1)</f>
        <v>Emmental 2</v>
      </c>
      <c r="C42" s="430" t="str">
        <f>REPT(Steuerung!AP34,1)</f>
        <v>Vikings</v>
      </c>
      <c r="E42" s="437" t="str">
        <f t="shared" si="0"/>
        <v>2M3</v>
      </c>
      <c r="F42" s="430" t="str">
        <f>REPT(Steuerung!AV34,1)</f>
        <v>Vikings</v>
      </c>
      <c r="G42" s="430" t="str">
        <f>REPT(Steuerung!AW34,1)</f>
        <v>Farmer</v>
      </c>
      <c r="I42" s="437" t="str">
        <f t="shared" si="1"/>
        <v>2M3</v>
      </c>
      <c r="J42" s="430" t="str">
        <f>REPT(Steuerung!BC34,1)</f>
        <v>Safnern 2</v>
      </c>
      <c r="K42" s="430" t="str">
        <f>REPT(Steuerung!BD34,1)</f>
        <v>Vikings</v>
      </c>
      <c r="M42" s="437" t="str">
        <f t="shared" si="2"/>
        <v>2M3</v>
      </c>
      <c r="N42" s="430" t="str">
        <f>REPT(Steuerung!BJ34,1)</f>
        <v>Vikings</v>
      </c>
      <c r="O42" s="430" t="str">
        <f>REPT(Steuerung!BK34,1)</f>
        <v>Sense Steel 2</v>
      </c>
      <c r="Q42" s="437" t="str">
        <f t="shared" si="3"/>
        <v>2M3</v>
      </c>
      <c r="R42" s="430" t="str">
        <f>REPT(Steuerung!BQ34,1)</f>
        <v>Farmer</v>
      </c>
      <c r="S42" s="430" t="str">
        <f>REPT(Steuerung!BR34,1)</f>
        <v>Safnern 2</v>
      </c>
      <c r="U42" s="437" t="str">
        <f t="shared" si="4"/>
        <v>2M3</v>
      </c>
      <c r="V42" s="430" t="str">
        <f>REPT(Steuerung!BX34,1)</f>
        <v>Safnern 2</v>
      </c>
      <c r="W42" s="430" t="str">
        <f>REPT(Steuerung!BY34,1)</f>
        <v>Emmental 2</v>
      </c>
      <c r="Y42" s="437" t="str">
        <f t="shared" si="5"/>
        <v>2M3</v>
      </c>
      <c r="Z42" s="430" t="str">
        <f>REPT(Steuerung!CE34,1)</f>
        <v>Sense Steel 2</v>
      </c>
      <c r="AA42" s="430" t="str">
        <f>REPT(Steuerung!CF34,1)</f>
        <v>Safnern 2</v>
      </c>
    </row>
    <row r="43" spans="1:27" ht="20.100000000000001" customHeight="1">
      <c r="A43" s="437" t="str">
        <f>REPT(Steuerung!AM35,1)</f>
        <v>2M4</v>
      </c>
      <c r="B43" s="430" t="str">
        <f>REPT(Steuerung!AO35,1)</f>
        <v>Sense Steel 2</v>
      </c>
      <c r="C43" s="430" t="str">
        <f>REPT(Steuerung!AP35,1)</f>
        <v>Emmental 4</v>
      </c>
      <c r="E43" s="437" t="str">
        <f t="shared" si="0"/>
        <v>2M4</v>
      </c>
      <c r="F43" s="430" t="str">
        <f>REPT(Steuerung!AV35,1)</f>
        <v>Emmental 4</v>
      </c>
      <c r="G43" s="430" t="str">
        <f>REPT(Steuerung!AW35,1)</f>
        <v>Emmental 2</v>
      </c>
      <c r="I43" s="437" t="str">
        <f t="shared" si="1"/>
        <v>2M4</v>
      </c>
      <c r="J43" s="430" t="str">
        <f>REPT(Steuerung!BC35,1)</f>
        <v>Farmer</v>
      </c>
      <c r="K43" s="430" t="str">
        <f>REPT(Steuerung!BD35,1)</f>
        <v>Emmental 4</v>
      </c>
      <c r="M43" s="437" t="str">
        <f t="shared" si="2"/>
        <v>2M4</v>
      </c>
      <c r="N43" s="430" t="str">
        <f>REPT(Steuerung!BJ35,1)</f>
        <v>Emmental 4</v>
      </c>
      <c r="O43" s="430" t="str">
        <f>REPT(Steuerung!BK35,1)</f>
        <v>Safnern 2</v>
      </c>
      <c r="Q43" s="437" t="str">
        <f t="shared" si="3"/>
        <v>2M4</v>
      </c>
      <c r="R43" s="430" t="str">
        <f>REPT(Steuerung!BQ35,1)</f>
        <v>Sense Steel 2</v>
      </c>
      <c r="S43" s="430" t="str">
        <f>REPT(Steuerung!BR35,1)</f>
        <v>Emmental 2</v>
      </c>
      <c r="U43" s="437" t="str">
        <f t="shared" si="4"/>
        <v>2M4</v>
      </c>
      <c r="V43" s="430" t="str">
        <f>REPT(Steuerung!BX35,1)</f>
        <v>Farmer</v>
      </c>
      <c r="W43" s="430" t="str">
        <f>REPT(Steuerung!BY35,1)</f>
        <v>Sense Steel 2</v>
      </c>
      <c r="Y43" s="437" t="str">
        <f t="shared" si="5"/>
        <v>2M4</v>
      </c>
      <c r="Z43" s="430" t="str">
        <f>REPT(Steuerung!CE35,1)</f>
        <v>Emmental 2</v>
      </c>
      <c r="AA43" s="430" t="str">
        <f>REPT(Steuerung!CF35,1)</f>
        <v>Farmer</v>
      </c>
    </row>
    <row r="44" spans="1:27" ht="30.75" customHeight="1"/>
    <row r="45" spans="1:27" ht="24.95" customHeight="1" thickBot="1">
      <c r="A45" s="433" t="s">
        <v>6</v>
      </c>
      <c r="B45" s="434">
        <v>8</v>
      </c>
      <c r="C45" s="435" t="str">
        <f>VLOOKUP(B45,Steuerung!$A$6:$B$19,2,FALSE)</f>
        <v>18./19.01.25</v>
      </c>
      <c r="E45" s="433" t="s">
        <v>6</v>
      </c>
      <c r="F45" s="434">
        <v>9</v>
      </c>
      <c r="G45" s="435" t="str">
        <f>VLOOKUP(F45,Steuerung!$A$6:$B$19,2,FALSE)</f>
        <v>25./26.01.25</v>
      </c>
      <c r="I45" s="433" t="s">
        <v>6</v>
      </c>
      <c r="J45" s="434">
        <v>10</v>
      </c>
      <c r="K45" s="435" t="str">
        <f>VLOOKUP(J45,Steuerung!$A$6:$B$19,2,FALSE)</f>
        <v>08./09.02.25</v>
      </c>
      <c r="M45" s="433" t="s">
        <v>6</v>
      </c>
      <c r="N45" s="434">
        <v>11</v>
      </c>
      <c r="O45" s="435" t="str">
        <f>VLOOKUP(N45,Steuerung!$A$6:$B$19,2,FALSE)</f>
        <v>22./23.02.25</v>
      </c>
      <c r="Q45" s="433" t="s">
        <v>6</v>
      </c>
      <c r="R45" s="434">
        <v>12</v>
      </c>
      <c r="S45" s="435" t="str">
        <f>VLOOKUP(R45,Steuerung!$A$6:$B$19,2,FALSE)</f>
        <v>08./09.03.25</v>
      </c>
      <c r="U45" s="433" t="s">
        <v>6</v>
      </c>
      <c r="V45" s="434">
        <v>13</v>
      </c>
      <c r="W45" s="435" t="str">
        <f>VLOOKUP(V45,Steuerung!$A$6:$B$19,2,FALSE)</f>
        <v>22./23.03.25</v>
      </c>
      <c r="Y45" s="433" t="s">
        <v>6</v>
      </c>
      <c r="Z45" s="434">
        <v>14</v>
      </c>
      <c r="AA45" s="435" t="str">
        <f>VLOOKUP(Z45,Steuerung!$A$6:$B$19,2,FALSE)</f>
        <v>12./13.04.25</v>
      </c>
    </row>
    <row r="46" spans="1:27" ht="20.100000000000001" customHeight="1">
      <c r="A46" s="436" t="str">
        <f t="shared" ref="A46:A77" si="6">REPT(U12,1)</f>
        <v>A1</v>
      </c>
      <c r="B46" s="429" t="str">
        <f>REPT(Steuerung!CL4,1)</f>
        <v>Brugg 1</v>
      </c>
      <c r="C46" s="429" t="str">
        <f>REPT(Steuerung!CM4,1)</f>
        <v>Phantoms</v>
      </c>
      <c r="E46" s="436" t="str">
        <f>REPT(A46,1)</f>
        <v>A1</v>
      </c>
      <c r="F46" s="429" t="str">
        <f>REPT(Steuerung!CS4,1)</f>
        <v>Safnern 1</v>
      </c>
      <c r="G46" s="429" t="str">
        <f>REPT(Steuerung!CT4,1)</f>
        <v>Brugg 1</v>
      </c>
      <c r="I46" s="436" t="str">
        <f>REPT(E46,1)</f>
        <v>A1</v>
      </c>
      <c r="J46" s="429" t="str">
        <f>REPT(Steuerung!CZ4,1)</f>
        <v>Brugg 1</v>
      </c>
      <c r="K46" s="429" t="str">
        <f>REPT(Steuerung!DA4,1)</f>
        <v>Midland Knights</v>
      </c>
      <c r="M46" s="436" t="str">
        <f>REPT(I46,1)</f>
        <v>A1</v>
      </c>
      <c r="N46" s="429" t="str">
        <f>REPT(Steuerung!DG4,1)</f>
        <v>Lauterbrunnen</v>
      </c>
      <c r="O46" s="429" t="str">
        <f>REPT(Steuerung!DH4,1)</f>
        <v>Brugg 1</v>
      </c>
      <c r="Q46" s="436" t="str">
        <f>REPT(M46,1)</f>
        <v>A1</v>
      </c>
      <c r="R46" s="429" t="str">
        <f>REPT(Steuerung!DN4,1)</f>
        <v>Brugg 1</v>
      </c>
      <c r="S46" s="429" t="str">
        <f>REPT(Steuerung!DO4,1)</f>
        <v>Joker 1</v>
      </c>
      <c r="U46" s="436" t="str">
        <f>REPT(Q46,1)</f>
        <v>A1</v>
      </c>
      <c r="V46" s="429" t="str">
        <f>REPT(Steuerung!DU4,1)</f>
        <v>Rangers</v>
      </c>
      <c r="W46" s="429" t="str">
        <f>REPT(Steuerung!DV4,1)</f>
        <v>Brugg 1</v>
      </c>
      <c r="Y46" s="436" t="str">
        <f>REPT(U46,1)</f>
        <v>A1</v>
      </c>
      <c r="Z46" s="429" t="str">
        <f>REPT(Steuerung!EB4,1)</f>
        <v>Brugg 1</v>
      </c>
      <c r="AA46" s="429" t="str">
        <f>REPT(Steuerung!EC4,1)</f>
        <v>Chill Out Bull's 1</v>
      </c>
    </row>
    <row r="47" spans="1:27" ht="20.100000000000001" customHeight="1">
      <c r="A47" s="437" t="str">
        <f t="shared" si="6"/>
        <v>A2</v>
      </c>
      <c r="B47" s="430" t="str">
        <f>REPT(Steuerung!CL5,1)</f>
        <v>Joker 1</v>
      </c>
      <c r="C47" s="430" t="str">
        <f>REPT(Steuerung!CM5,1)</f>
        <v>Lauterbrunnen</v>
      </c>
      <c r="E47" s="437" t="str">
        <f t="shared" ref="E47:E77" si="7">REPT(A47,1)</f>
        <v>A2</v>
      </c>
      <c r="F47" s="430" t="str">
        <f>REPT(Steuerung!CS5,1)</f>
        <v>Joker 1</v>
      </c>
      <c r="G47" s="430" t="str">
        <f>REPT(Steuerung!CT5,1)</f>
        <v>Phantoms</v>
      </c>
      <c r="I47" s="437" t="str">
        <f t="shared" ref="I47:I77" si="8">REPT(E47,1)</f>
        <v>A2</v>
      </c>
      <c r="J47" s="430" t="str">
        <f>REPT(Steuerung!CZ5,1)</f>
        <v>Joker 1</v>
      </c>
      <c r="K47" s="430" t="str">
        <f>REPT(Steuerung!DA5,1)</f>
        <v>Safnern 1</v>
      </c>
      <c r="M47" s="437" t="str">
        <f t="shared" ref="M47:M77" si="9">REPT(I47,1)</f>
        <v>A2</v>
      </c>
      <c r="N47" s="430" t="str">
        <f>REPT(Steuerung!DG5,1)</f>
        <v>Midland Knights</v>
      </c>
      <c r="O47" s="430" t="str">
        <f>REPT(Steuerung!DH5,1)</f>
        <v>Joker 1</v>
      </c>
      <c r="Q47" s="437" t="str">
        <f t="shared" ref="Q47:Q77" si="10">REPT(M47,1)</f>
        <v>A2</v>
      </c>
      <c r="R47" s="430" t="str">
        <f>REPT(Steuerung!DN5,1)</f>
        <v>Rangers</v>
      </c>
      <c r="S47" s="430" t="str">
        <f>REPT(Steuerung!DO5,1)</f>
        <v>Chill Out Bull's 1</v>
      </c>
      <c r="U47" s="437" t="str">
        <f t="shared" ref="U47:U77" si="11">REPT(Q47,1)</f>
        <v>A2</v>
      </c>
      <c r="V47" s="430" t="str">
        <f>REPT(Steuerung!DU5,1)</f>
        <v>Chill Out Bull's 1</v>
      </c>
      <c r="W47" s="430" t="str">
        <f>REPT(Steuerung!DV5,1)</f>
        <v>Joker 1</v>
      </c>
      <c r="Y47" s="437" t="str">
        <f t="shared" ref="Y47:Y77" si="12">REPT(U47,1)</f>
        <v>A2</v>
      </c>
      <c r="Z47" s="430" t="str">
        <f>REPT(Steuerung!EB5,1)</f>
        <v>Joker 1</v>
      </c>
      <c r="AA47" s="430" t="str">
        <f>REPT(Steuerung!EC5,1)</f>
        <v>Rangers</v>
      </c>
    </row>
    <row r="48" spans="1:27" ht="20.100000000000001" customHeight="1">
      <c r="A48" s="437" t="str">
        <f t="shared" si="6"/>
        <v>A3</v>
      </c>
      <c r="B48" s="430" t="str">
        <f>REPT(Steuerung!CL6,1)</f>
        <v>Rangers</v>
      </c>
      <c r="C48" s="430" t="str">
        <f>REPT(Steuerung!CM6,1)</f>
        <v>Midland Knights</v>
      </c>
      <c r="E48" s="437" t="str">
        <f t="shared" si="7"/>
        <v>A3</v>
      </c>
      <c r="F48" s="430" t="str">
        <f>REPT(Steuerung!CS6,1)</f>
        <v>Lauterbrunnen</v>
      </c>
      <c r="G48" s="430" t="str">
        <f>REPT(Steuerung!CT6,1)</f>
        <v>Rangers</v>
      </c>
      <c r="I48" s="437" t="str">
        <f t="shared" si="8"/>
        <v>A3</v>
      </c>
      <c r="J48" s="430" t="str">
        <f>REPT(Steuerung!CZ6,1)</f>
        <v>Rangers</v>
      </c>
      <c r="K48" s="430" t="str">
        <f>REPT(Steuerung!DA6,1)</f>
        <v>Phantoms</v>
      </c>
      <c r="M48" s="437" t="str">
        <f t="shared" si="9"/>
        <v>A3</v>
      </c>
      <c r="N48" s="430" t="str">
        <f>REPT(Steuerung!DG6,1)</f>
        <v>Safnern 1</v>
      </c>
      <c r="O48" s="430" t="str">
        <f>REPT(Steuerung!DH6,1)</f>
        <v>Rangers</v>
      </c>
      <c r="Q48" s="437" t="str">
        <f t="shared" si="10"/>
        <v>A3</v>
      </c>
      <c r="R48" s="430" t="str">
        <f>REPT(Steuerung!DN6,1)</f>
        <v>Phantoms</v>
      </c>
      <c r="S48" s="430" t="str">
        <f>REPT(Steuerung!DO6,1)</f>
        <v>Lauterbrunnen</v>
      </c>
      <c r="U48" s="437" t="str">
        <f t="shared" si="11"/>
        <v>A3</v>
      </c>
      <c r="V48" s="430" t="str">
        <f>REPT(Steuerung!DU6,1)</f>
        <v>Midland Knights</v>
      </c>
      <c r="W48" s="430" t="str">
        <f>REPT(Steuerung!DV6,1)</f>
        <v>Phantoms</v>
      </c>
      <c r="Y48" s="437" t="str">
        <f t="shared" si="12"/>
        <v>A3</v>
      </c>
      <c r="Z48" s="430" t="str">
        <f>REPT(Steuerung!EB6,1)</f>
        <v>Phantoms</v>
      </c>
      <c r="AA48" s="430" t="str">
        <f>REPT(Steuerung!EC6,1)</f>
        <v>Safnern 1</v>
      </c>
    </row>
    <row r="49" spans="1:27" ht="20.100000000000001" customHeight="1" thickBot="1">
      <c r="A49" s="438" t="str">
        <f t="shared" si="6"/>
        <v>A4</v>
      </c>
      <c r="B49" s="431" t="str">
        <f>REPT(Steuerung!CL7,1)</f>
        <v>Chill Out Bull's 1</v>
      </c>
      <c r="C49" s="431" t="str">
        <f>REPT(Steuerung!CM7,1)</f>
        <v>Safnern 1</v>
      </c>
      <c r="E49" s="438" t="str">
        <f t="shared" si="7"/>
        <v>A4</v>
      </c>
      <c r="F49" s="431" t="str">
        <f>REPT(Steuerung!CS7,1)</f>
        <v>Midland Knights</v>
      </c>
      <c r="G49" s="431" t="str">
        <f>REPT(Steuerung!CT7,1)</f>
        <v>Chill Out Bull's 1</v>
      </c>
      <c r="I49" s="438" t="str">
        <f t="shared" si="8"/>
        <v>A4</v>
      </c>
      <c r="J49" s="431" t="str">
        <f>REPT(Steuerung!CZ7,1)</f>
        <v>Chill Out Bull's 1</v>
      </c>
      <c r="K49" s="431" t="str">
        <f>REPT(Steuerung!DA7,1)</f>
        <v>Lauterbrunnen</v>
      </c>
      <c r="M49" s="438" t="str">
        <f t="shared" si="9"/>
        <v>A4</v>
      </c>
      <c r="N49" s="431" t="str">
        <f>REPT(Steuerung!DG7,1)</f>
        <v>Phantoms</v>
      </c>
      <c r="O49" s="431" t="str">
        <f>REPT(Steuerung!DH7,1)</f>
        <v>Chill Out Bull's 1</v>
      </c>
      <c r="Q49" s="438" t="str">
        <f t="shared" si="10"/>
        <v>A4</v>
      </c>
      <c r="R49" s="431" t="str">
        <f>REPT(Steuerung!DN7,1)</f>
        <v>Midland Knights</v>
      </c>
      <c r="S49" s="431" t="str">
        <f>REPT(Steuerung!DO7,1)</f>
        <v>Safnern 1</v>
      </c>
      <c r="U49" s="438" t="str">
        <f t="shared" si="11"/>
        <v>A4</v>
      </c>
      <c r="V49" s="431" t="str">
        <f>REPT(Steuerung!DU7,1)</f>
        <v>Safnern 1</v>
      </c>
      <c r="W49" s="431" t="str">
        <f>REPT(Steuerung!DV7,1)</f>
        <v>Lauterbrunnen</v>
      </c>
      <c r="Y49" s="438" t="str">
        <f t="shared" si="12"/>
        <v>A4</v>
      </c>
      <c r="Z49" s="431" t="str">
        <f>REPT(Steuerung!EB7,1)</f>
        <v>Lauterbrunnen</v>
      </c>
      <c r="AA49" s="431" t="str">
        <f>REPT(Steuerung!EC7,1)</f>
        <v>Midland Knights</v>
      </c>
    </row>
    <row r="50" spans="1:27" ht="20.100000000000001" customHeight="1">
      <c r="A50" s="439" t="str">
        <f t="shared" si="6"/>
        <v>B1</v>
      </c>
      <c r="B50" s="432" t="str">
        <f>REPT(Steuerung!CL8,1)</f>
        <v>Sense Steel 1</v>
      </c>
      <c r="C50" s="432" t="str">
        <f>REPT(Steuerung!CM8,1)</f>
        <v>Emmental 1</v>
      </c>
      <c r="E50" s="439" t="str">
        <f t="shared" si="7"/>
        <v>B1</v>
      </c>
      <c r="F50" s="432" t="str">
        <f>REPT(Steuerung!CS8,1)</f>
        <v>Bodensee</v>
      </c>
      <c r="G50" s="432" t="str">
        <f>REPT(Steuerung!CT8,1)</f>
        <v>Sense Steel 1</v>
      </c>
      <c r="I50" s="439" t="str">
        <f t="shared" si="8"/>
        <v>B1</v>
      </c>
      <c r="J50" s="432" t="str">
        <f>REPT(Steuerung!CZ8,1)</f>
        <v>Sense Steel 1</v>
      </c>
      <c r="K50" s="432" t="str">
        <f>REPT(Steuerung!DA8,1)</f>
        <v>Iron Tigers</v>
      </c>
      <c r="M50" s="439" t="str">
        <f t="shared" si="9"/>
        <v>B1</v>
      </c>
      <c r="N50" s="432" t="str">
        <f>REPT(Steuerung!DG8,1)</f>
        <v>Torp. Wimmis 1</v>
      </c>
      <c r="O50" s="432" t="str">
        <f>REPT(Steuerung!DH8,1)</f>
        <v>Sense Steel 1</v>
      </c>
      <c r="Q50" s="439" t="str">
        <f t="shared" si="10"/>
        <v>B1</v>
      </c>
      <c r="R50" s="432" t="str">
        <f>REPT(Steuerung!DN8,1)</f>
        <v>Sense Steel 1</v>
      </c>
      <c r="S50" s="432" t="str">
        <f>REPT(Steuerung!DO8,1)</f>
        <v>Pilatus</v>
      </c>
      <c r="U50" s="439" t="str">
        <f t="shared" si="11"/>
        <v>B1</v>
      </c>
      <c r="V50" s="432" t="str">
        <f>REPT(Steuerung!DU8,1)</f>
        <v>Bern 1</v>
      </c>
      <c r="W50" s="432" t="str">
        <f>REPT(Steuerung!DV8,1)</f>
        <v>Sense Steel 1</v>
      </c>
      <c r="Y50" s="439" t="str">
        <f t="shared" si="12"/>
        <v>B1</v>
      </c>
      <c r="Z50" s="432" t="str">
        <f>REPT(Steuerung!EB8,1)</f>
        <v>Sense Steel 1</v>
      </c>
      <c r="AA50" s="432" t="str">
        <f>REPT(Steuerung!EC8,1)</f>
        <v>Einsiedeln 1</v>
      </c>
    </row>
    <row r="51" spans="1:27" ht="20.100000000000001" customHeight="1">
      <c r="A51" s="437" t="str">
        <f t="shared" si="6"/>
        <v>B2</v>
      </c>
      <c r="B51" s="430" t="str">
        <f>REPT(Steuerung!CL9,1)</f>
        <v>Pilatus</v>
      </c>
      <c r="C51" s="430" t="str">
        <f>REPT(Steuerung!CM9,1)</f>
        <v>Torp. Wimmis 1</v>
      </c>
      <c r="E51" s="437" t="str">
        <f t="shared" si="7"/>
        <v>B2</v>
      </c>
      <c r="F51" s="430" t="str">
        <f>REPT(Steuerung!CS9,1)</f>
        <v>Emmental 1</v>
      </c>
      <c r="G51" s="430" t="str">
        <f>REPT(Steuerung!CT9,1)</f>
        <v>Pilatus</v>
      </c>
      <c r="I51" s="437" t="str">
        <f t="shared" si="8"/>
        <v>B2</v>
      </c>
      <c r="J51" s="430" t="str">
        <f>REPT(Steuerung!CZ9,1)</f>
        <v>Pilatus</v>
      </c>
      <c r="K51" s="430" t="str">
        <f>REPT(Steuerung!DA9,1)</f>
        <v>Bodensee</v>
      </c>
      <c r="M51" s="437" t="str">
        <f t="shared" si="9"/>
        <v>B2</v>
      </c>
      <c r="N51" s="430" t="str">
        <f>REPT(Steuerung!DG9,1)</f>
        <v>Iron Tigers</v>
      </c>
      <c r="O51" s="430" t="str">
        <f>REPT(Steuerung!DH9,1)</f>
        <v>Pilatus</v>
      </c>
      <c r="Q51" s="437" t="str">
        <f t="shared" si="10"/>
        <v>B2</v>
      </c>
      <c r="R51" s="430" t="str">
        <f>REPT(Steuerung!DN9,1)</f>
        <v>Bern 1</v>
      </c>
      <c r="S51" s="430" t="str">
        <f>REPT(Steuerung!DO9,1)</f>
        <v>Einsiedeln 1</v>
      </c>
      <c r="U51" s="437" t="str">
        <f t="shared" si="11"/>
        <v>B2</v>
      </c>
      <c r="V51" s="430" t="str">
        <f>REPT(Steuerung!DU9,1)</f>
        <v>Einsiedeln 1</v>
      </c>
      <c r="W51" s="430" t="str">
        <f>REPT(Steuerung!DV9,1)</f>
        <v>Pilatus</v>
      </c>
      <c r="Y51" s="437" t="str">
        <f t="shared" si="12"/>
        <v>B2</v>
      </c>
      <c r="Z51" s="430" t="str">
        <f>REPT(Steuerung!EB9,1)</f>
        <v>Pilatus</v>
      </c>
      <c r="AA51" s="430" t="str">
        <f>REPT(Steuerung!EC9,1)</f>
        <v>Bern 1</v>
      </c>
    </row>
    <row r="52" spans="1:27" ht="20.100000000000001" customHeight="1">
      <c r="A52" s="437" t="str">
        <f t="shared" si="6"/>
        <v>B3</v>
      </c>
      <c r="B52" s="430" t="str">
        <f>REPT(Steuerung!CL10,1)</f>
        <v>Bern 1</v>
      </c>
      <c r="C52" s="430" t="str">
        <f>REPT(Steuerung!CM10,1)</f>
        <v>Iron Tigers</v>
      </c>
      <c r="E52" s="437" t="str">
        <f t="shared" si="7"/>
        <v>B3</v>
      </c>
      <c r="F52" s="430" t="str">
        <f>REPT(Steuerung!CS10,1)</f>
        <v>Torp. Wimmis 1</v>
      </c>
      <c r="G52" s="430" t="str">
        <f>REPT(Steuerung!CT10,1)</f>
        <v>Bern 1</v>
      </c>
      <c r="I52" s="437" t="str">
        <f t="shared" si="8"/>
        <v>B3</v>
      </c>
      <c r="J52" s="430" t="str">
        <f>REPT(Steuerung!CZ10,1)</f>
        <v>Bern 1</v>
      </c>
      <c r="K52" s="430" t="str">
        <f>REPT(Steuerung!DA10,1)</f>
        <v>Emmental 1</v>
      </c>
      <c r="M52" s="437" t="str">
        <f t="shared" si="9"/>
        <v>B3</v>
      </c>
      <c r="N52" s="430" t="str">
        <f>REPT(Steuerung!DG10,1)</f>
        <v>Bodensee</v>
      </c>
      <c r="O52" s="430" t="str">
        <f>REPT(Steuerung!DH10,1)</f>
        <v>Bern 1</v>
      </c>
      <c r="Q52" s="437" t="str">
        <f t="shared" si="10"/>
        <v>B3</v>
      </c>
      <c r="R52" s="430" t="str">
        <f>REPT(Steuerung!DN10,1)</f>
        <v>Emmental 1</v>
      </c>
      <c r="S52" s="430" t="str">
        <f>REPT(Steuerung!DO10,1)</f>
        <v>Torp. Wimmis 1</v>
      </c>
      <c r="U52" s="437" t="str">
        <f t="shared" si="11"/>
        <v>B3</v>
      </c>
      <c r="V52" s="430" t="str">
        <f>REPT(Steuerung!DU10,1)</f>
        <v>Iron Tigers</v>
      </c>
      <c r="W52" s="430" t="str">
        <f>REPT(Steuerung!DV10,1)</f>
        <v>Emmental 1</v>
      </c>
      <c r="Y52" s="437" t="str">
        <f t="shared" si="12"/>
        <v>B3</v>
      </c>
      <c r="Z52" s="430" t="str">
        <f>REPT(Steuerung!EB10,1)</f>
        <v>Emmental 1</v>
      </c>
      <c r="AA52" s="430" t="str">
        <f>REPT(Steuerung!EC10,1)</f>
        <v>Bodensee</v>
      </c>
    </row>
    <row r="53" spans="1:27" ht="20.100000000000001" customHeight="1" thickBot="1">
      <c r="A53" s="438" t="str">
        <f t="shared" si="6"/>
        <v>B4</v>
      </c>
      <c r="B53" s="431" t="str">
        <f>REPT(Steuerung!CL11,1)</f>
        <v>Einsiedeln 1</v>
      </c>
      <c r="C53" s="431" t="str">
        <f>REPT(Steuerung!CM11,1)</f>
        <v>Bodensee</v>
      </c>
      <c r="E53" s="438" t="str">
        <f t="shared" si="7"/>
        <v>B4</v>
      </c>
      <c r="F53" s="431" t="str">
        <f>REPT(Steuerung!CS11,1)</f>
        <v>Iron Tigers</v>
      </c>
      <c r="G53" s="431" t="str">
        <f>REPT(Steuerung!CT11,1)</f>
        <v>Einsiedeln 1</v>
      </c>
      <c r="I53" s="438" t="str">
        <f t="shared" si="8"/>
        <v>B4</v>
      </c>
      <c r="J53" s="431" t="str">
        <f>REPT(Steuerung!CZ11,1)</f>
        <v>Einsiedeln 1</v>
      </c>
      <c r="K53" s="431" t="str">
        <f>REPT(Steuerung!DA11,1)</f>
        <v>Torp. Wimmis 1</v>
      </c>
      <c r="M53" s="438" t="str">
        <f t="shared" si="9"/>
        <v>B4</v>
      </c>
      <c r="N53" s="431" t="str">
        <f>REPT(Steuerung!DG11,1)</f>
        <v>Emmental 1</v>
      </c>
      <c r="O53" s="431" t="str">
        <f>REPT(Steuerung!DH11,1)</f>
        <v>Einsiedeln 1</v>
      </c>
      <c r="Q53" s="438" t="str">
        <f t="shared" si="10"/>
        <v>B4</v>
      </c>
      <c r="R53" s="431" t="str">
        <f>REPT(Steuerung!DN11,1)</f>
        <v>Iron Tigers</v>
      </c>
      <c r="S53" s="431" t="str">
        <f>REPT(Steuerung!DO11,1)</f>
        <v>Bodensee</v>
      </c>
      <c r="U53" s="438" t="str">
        <f t="shared" si="11"/>
        <v>B4</v>
      </c>
      <c r="V53" s="431" t="str">
        <f>REPT(Steuerung!DU11,1)</f>
        <v>Bodensee</v>
      </c>
      <c r="W53" s="431" t="str">
        <f>REPT(Steuerung!DV11,1)</f>
        <v>Torp. Wimmis 1</v>
      </c>
      <c r="Y53" s="438" t="str">
        <f t="shared" si="12"/>
        <v>B4</v>
      </c>
      <c r="Z53" s="431" t="str">
        <f>REPT(Steuerung!EB11,1)</f>
        <v>Torp. Wimmis 1</v>
      </c>
      <c r="AA53" s="431" t="str">
        <f>REPT(Steuerung!EC11,1)</f>
        <v>Iron Tigers</v>
      </c>
    </row>
    <row r="54" spans="1:27" ht="20.100000000000001" customHeight="1">
      <c r="A54" s="439" t="str">
        <f t="shared" si="6"/>
        <v>1W1</v>
      </c>
      <c r="B54" s="432" t="str">
        <f>REPT(Steuerung!CL12,1)</f>
        <v>Star'Nack</v>
      </c>
      <c r="C54" s="432" t="str">
        <f>REPT(Steuerung!CM12,1)</f>
        <v>Aaretal</v>
      </c>
      <c r="E54" s="439" t="str">
        <f t="shared" si="7"/>
        <v>1W1</v>
      </c>
      <c r="F54" s="432" t="str">
        <f>REPT(Steuerung!CS12,1)</f>
        <v>Top Darts</v>
      </c>
      <c r="G54" s="432" t="str">
        <f>REPT(Steuerung!CT12,1)</f>
        <v>Star'Nack</v>
      </c>
      <c r="I54" s="439" t="str">
        <f t="shared" si="8"/>
        <v>1W1</v>
      </c>
      <c r="J54" s="432" t="str">
        <f>REPT(Steuerung!CZ12,1)</f>
        <v>Star'Nack</v>
      </c>
      <c r="K54" s="432" t="str">
        <f>REPT(Steuerung!DA12,1)</f>
        <v>Romont</v>
      </c>
      <c r="M54" s="439" t="str">
        <f t="shared" si="9"/>
        <v>1W1</v>
      </c>
      <c r="N54" s="432" t="str">
        <f>REPT(Steuerung!DG12,1)</f>
        <v>Deitingen 1</v>
      </c>
      <c r="O54" s="432" t="str">
        <f>REPT(Steuerung!DH12,1)</f>
        <v>Star'Nack</v>
      </c>
      <c r="Q54" s="439" t="str">
        <f t="shared" si="10"/>
        <v>1W1</v>
      </c>
      <c r="R54" s="432" t="str">
        <f>REPT(Steuerung!DN12,1)</f>
        <v>Star'Nack</v>
      </c>
      <c r="S54" s="432" t="str">
        <f>REPT(Steuerung!DO12,1)</f>
        <v>Morges 1</v>
      </c>
      <c r="U54" s="439" t="str">
        <f t="shared" si="11"/>
        <v>1W1</v>
      </c>
      <c r="V54" s="432" t="str">
        <f>REPT(Steuerung!DU12,1)</f>
        <v>Freilos 1LW</v>
      </c>
      <c r="W54" s="432" t="str">
        <f>REPT(Steuerung!DV12,1)</f>
        <v>Star'Nack</v>
      </c>
      <c r="Y54" s="439" t="str">
        <f t="shared" si="12"/>
        <v>1W1</v>
      </c>
      <c r="Z54" s="432" t="str">
        <f>REPT(Steuerung!EB12,1)</f>
        <v>Star'Nack</v>
      </c>
      <c r="AA54" s="432" t="str">
        <f>REPT(Steuerung!EC12,1)</f>
        <v>Madhouse</v>
      </c>
    </row>
    <row r="55" spans="1:27" ht="20.100000000000001" customHeight="1">
      <c r="A55" s="437" t="str">
        <f t="shared" si="6"/>
        <v>1W2</v>
      </c>
      <c r="B55" s="430" t="str">
        <f>REPT(Steuerung!CL13,1)</f>
        <v>Morges 1</v>
      </c>
      <c r="C55" s="430" t="str">
        <f>REPT(Steuerung!CM13,1)</f>
        <v>Deitingen 1</v>
      </c>
      <c r="E55" s="437" t="str">
        <f t="shared" si="7"/>
        <v>1W2</v>
      </c>
      <c r="F55" s="430" t="str">
        <f>REPT(Steuerung!CS13,1)</f>
        <v>Aaretal</v>
      </c>
      <c r="G55" s="430" t="str">
        <f>REPT(Steuerung!CT13,1)</f>
        <v>Morges 1</v>
      </c>
      <c r="I55" s="437" t="str">
        <f t="shared" si="8"/>
        <v>1W2</v>
      </c>
      <c r="J55" s="430" t="str">
        <f>REPT(Steuerung!CZ13,1)</f>
        <v>Morges 1</v>
      </c>
      <c r="K55" s="430" t="str">
        <f>REPT(Steuerung!DA13,1)</f>
        <v>Top Darts</v>
      </c>
      <c r="M55" s="437" t="str">
        <f t="shared" si="9"/>
        <v>1W2</v>
      </c>
      <c r="N55" s="430" t="str">
        <f>REPT(Steuerung!DG13,1)</f>
        <v>Romont</v>
      </c>
      <c r="O55" s="430" t="str">
        <f>REPT(Steuerung!DH13,1)</f>
        <v>Morges 1</v>
      </c>
      <c r="Q55" s="437" t="str">
        <f t="shared" si="10"/>
        <v>1W2</v>
      </c>
      <c r="R55" s="430" t="str">
        <f>REPT(Steuerung!DN13,1)</f>
        <v>Freilos 1LW</v>
      </c>
      <c r="S55" s="430" t="str">
        <f>REPT(Steuerung!DO13,1)</f>
        <v>Madhouse</v>
      </c>
      <c r="U55" s="437" t="str">
        <f t="shared" si="11"/>
        <v>1W2</v>
      </c>
      <c r="V55" s="430" t="str">
        <f>REPT(Steuerung!DU13,1)</f>
        <v>Madhouse</v>
      </c>
      <c r="W55" s="430" t="str">
        <f>REPT(Steuerung!DV13,1)</f>
        <v>Morges 1</v>
      </c>
      <c r="Y55" s="437" t="str">
        <f t="shared" si="12"/>
        <v>1W2</v>
      </c>
      <c r="Z55" s="430" t="str">
        <f>REPT(Steuerung!EB13,1)</f>
        <v>Morges 1</v>
      </c>
      <c r="AA55" s="430" t="str">
        <f>REPT(Steuerung!EC13,1)</f>
        <v>Freilos 1LW</v>
      </c>
    </row>
    <row r="56" spans="1:27" ht="20.100000000000001" customHeight="1">
      <c r="A56" s="437" t="str">
        <f t="shared" si="6"/>
        <v>1W3</v>
      </c>
      <c r="B56" s="430" t="str">
        <f>REPT(Steuerung!CL14,1)</f>
        <v>Freilos 1LW</v>
      </c>
      <c r="C56" s="430" t="str">
        <f>REPT(Steuerung!CM14,1)</f>
        <v>Romont</v>
      </c>
      <c r="E56" s="437" t="str">
        <f t="shared" si="7"/>
        <v>1W3</v>
      </c>
      <c r="F56" s="430" t="str">
        <f>REPT(Steuerung!CS14,1)</f>
        <v>Deitingen 1</v>
      </c>
      <c r="G56" s="430" t="str">
        <f>REPT(Steuerung!CT14,1)</f>
        <v>Freilos 1LW</v>
      </c>
      <c r="I56" s="437" t="str">
        <f t="shared" si="8"/>
        <v>1W3</v>
      </c>
      <c r="J56" s="430" t="str">
        <f>REPT(Steuerung!CZ14,1)</f>
        <v>Freilos 1LW</v>
      </c>
      <c r="K56" s="430" t="str">
        <f>REPT(Steuerung!DA14,1)</f>
        <v>Aaretal</v>
      </c>
      <c r="M56" s="437" t="str">
        <f t="shared" si="9"/>
        <v>1W3</v>
      </c>
      <c r="N56" s="430" t="str">
        <f>REPT(Steuerung!DG14,1)</f>
        <v>Top Darts</v>
      </c>
      <c r="O56" s="430" t="str">
        <f>REPT(Steuerung!DH14,1)</f>
        <v>Freilos 1LW</v>
      </c>
      <c r="Q56" s="437" t="str">
        <f t="shared" si="10"/>
        <v>1W3</v>
      </c>
      <c r="R56" s="430" t="str">
        <f>REPT(Steuerung!DN14,1)</f>
        <v>Aaretal</v>
      </c>
      <c r="S56" s="430" t="str">
        <f>REPT(Steuerung!DO14,1)</f>
        <v>Deitingen 1</v>
      </c>
      <c r="U56" s="437" t="str">
        <f t="shared" si="11"/>
        <v>1W3</v>
      </c>
      <c r="V56" s="430" t="str">
        <f>REPT(Steuerung!DU14,1)</f>
        <v>Romont</v>
      </c>
      <c r="W56" s="430" t="str">
        <f>REPT(Steuerung!DV14,1)</f>
        <v>Aaretal</v>
      </c>
      <c r="Y56" s="437" t="str">
        <f t="shared" si="12"/>
        <v>1W3</v>
      </c>
      <c r="Z56" s="430" t="str">
        <f>REPT(Steuerung!EB14,1)</f>
        <v>Aaretal</v>
      </c>
      <c r="AA56" s="430" t="str">
        <f>REPT(Steuerung!EC14,1)</f>
        <v>Top Darts</v>
      </c>
    </row>
    <row r="57" spans="1:27" ht="20.100000000000001" customHeight="1" thickBot="1">
      <c r="A57" s="438" t="str">
        <f t="shared" si="6"/>
        <v>1W4</v>
      </c>
      <c r="B57" s="431" t="str">
        <f>REPT(Steuerung!CL15,1)</f>
        <v>Madhouse</v>
      </c>
      <c r="C57" s="431" t="str">
        <f>REPT(Steuerung!CM15,1)</f>
        <v>Top Darts</v>
      </c>
      <c r="E57" s="438" t="str">
        <f t="shared" si="7"/>
        <v>1W4</v>
      </c>
      <c r="F57" s="431" t="str">
        <f>REPT(Steuerung!CS15,1)</f>
        <v>Romont</v>
      </c>
      <c r="G57" s="431" t="str">
        <f>REPT(Steuerung!CT15,1)</f>
        <v>Madhouse</v>
      </c>
      <c r="I57" s="438" t="str">
        <f t="shared" si="8"/>
        <v>1W4</v>
      </c>
      <c r="J57" s="431" t="str">
        <f>REPT(Steuerung!CZ15,1)</f>
        <v>Madhouse</v>
      </c>
      <c r="K57" s="431" t="str">
        <f>REPT(Steuerung!DA15,1)</f>
        <v>Deitingen 1</v>
      </c>
      <c r="M57" s="438" t="str">
        <f t="shared" si="9"/>
        <v>1W4</v>
      </c>
      <c r="N57" s="431" t="str">
        <f>REPT(Steuerung!DG15,1)</f>
        <v>Aaretal</v>
      </c>
      <c r="O57" s="431" t="str">
        <f>REPT(Steuerung!DH15,1)</f>
        <v>Madhouse</v>
      </c>
      <c r="Q57" s="438" t="str">
        <f t="shared" si="10"/>
        <v>1W4</v>
      </c>
      <c r="R57" s="431" t="str">
        <f>REPT(Steuerung!DN15,1)</f>
        <v>Romont</v>
      </c>
      <c r="S57" s="431" t="str">
        <f>REPT(Steuerung!DO15,1)</f>
        <v>Top Darts</v>
      </c>
      <c r="U57" s="438" t="str">
        <f t="shared" si="11"/>
        <v>1W4</v>
      </c>
      <c r="V57" s="431" t="str">
        <f>REPT(Steuerung!DU15,1)</f>
        <v>Top Darts</v>
      </c>
      <c r="W57" s="431" t="str">
        <f>REPT(Steuerung!DV15,1)</f>
        <v>Deitingen 1</v>
      </c>
      <c r="Y57" s="438" t="str">
        <f t="shared" si="12"/>
        <v>1W4</v>
      </c>
      <c r="Z57" s="431" t="str">
        <f>REPT(Steuerung!EB15,1)</f>
        <v>Deitingen 1</v>
      </c>
      <c r="AA57" s="431" t="str">
        <f>REPT(Steuerung!EC15,1)</f>
        <v>Romont</v>
      </c>
    </row>
    <row r="58" spans="1:27" ht="20.100000000000001" customHeight="1">
      <c r="A58" s="439" t="str">
        <f t="shared" si="6"/>
        <v>1O1</v>
      </c>
      <c r="B58" s="432" t="str">
        <f>REPT(Steuerung!CL16,1)</f>
        <v>Eastern Switzerl.</v>
      </c>
      <c r="C58" s="432" t="str">
        <f>REPT(Steuerung!CM16,1)</f>
        <v>Einsiedeln 2</v>
      </c>
      <c r="E58" s="439" t="str">
        <f t="shared" si="7"/>
        <v>1O1</v>
      </c>
      <c r="F58" s="432" t="str">
        <f>REPT(Steuerung!CS16,1)</f>
        <v>Eastern Switzerl.</v>
      </c>
      <c r="G58" s="432" t="str">
        <f>REPT(Steuerung!CT16,1)</f>
        <v>Gelterkinden 1</v>
      </c>
      <c r="I58" s="439" t="str">
        <f t="shared" si="8"/>
        <v>1O1</v>
      </c>
      <c r="J58" s="432" t="str">
        <f>REPT(Steuerung!CZ16,1)</f>
        <v>Eastern Switzerl.</v>
      </c>
      <c r="K58" s="432" t="str">
        <f>REPT(Steuerung!DA16,1)</f>
        <v>Ice Age</v>
      </c>
      <c r="M58" s="439" t="str">
        <f t="shared" si="9"/>
        <v>1O1</v>
      </c>
      <c r="N58" s="432" t="str">
        <f>REPT(Steuerung!DG16,1)</f>
        <v>Basel</v>
      </c>
      <c r="O58" s="432" t="str">
        <f>REPT(Steuerung!DH16,1)</f>
        <v>Eastern Switzerl.</v>
      </c>
      <c r="Q58" s="439" t="str">
        <f t="shared" si="10"/>
        <v>1O1</v>
      </c>
      <c r="R58" s="432" t="str">
        <f>REPT(Steuerung!DN16,1)</f>
        <v>Eastern Switzerl.</v>
      </c>
      <c r="S58" s="432" t="str">
        <f>REPT(Steuerung!DO16,1)</f>
        <v>Brugg 2</v>
      </c>
      <c r="U58" s="439" t="str">
        <f t="shared" si="11"/>
        <v>1O1</v>
      </c>
      <c r="V58" s="432" t="str">
        <f>REPT(Steuerung!DU16,1)</f>
        <v>Zurich Rebels</v>
      </c>
      <c r="W58" s="432" t="str">
        <f>REPT(Steuerung!DV16,1)</f>
        <v>Eastern Switzerl.</v>
      </c>
      <c r="Y58" s="439" t="str">
        <f t="shared" si="12"/>
        <v>1O1</v>
      </c>
      <c r="Z58" s="432" t="str">
        <f>REPT(Steuerung!EB16,1)</f>
        <v>Eastern Switzerl.</v>
      </c>
      <c r="AA58" s="432" t="str">
        <f>REPT(Steuerung!EC16,1)</f>
        <v>Papillon 1</v>
      </c>
    </row>
    <row r="59" spans="1:27" ht="20.100000000000001" customHeight="1">
      <c r="A59" s="437" t="str">
        <f t="shared" si="6"/>
        <v>1O2</v>
      </c>
      <c r="B59" s="430" t="str">
        <f>REPT(Steuerung!CL17,1)</f>
        <v>Brugg 2</v>
      </c>
      <c r="C59" s="430" t="str">
        <f>REPT(Steuerung!CM17,1)</f>
        <v>Basel</v>
      </c>
      <c r="E59" s="437" t="str">
        <f t="shared" si="7"/>
        <v>1O2</v>
      </c>
      <c r="F59" s="430" t="str">
        <f>REPT(Steuerung!CS17,1)</f>
        <v>Einsiedeln 2</v>
      </c>
      <c r="G59" s="430" t="str">
        <f>REPT(Steuerung!CT17,1)</f>
        <v>Brugg 2</v>
      </c>
      <c r="I59" s="437" t="str">
        <f t="shared" si="8"/>
        <v>1O2</v>
      </c>
      <c r="J59" s="430" t="str">
        <f>REPT(Steuerung!CZ17,1)</f>
        <v>Brugg 2</v>
      </c>
      <c r="K59" s="430" t="str">
        <f>REPT(Steuerung!DA17,1)</f>
        <v>Gelterkinden 1</v>
      </c>
      <c r="M59" s="437" t="str">
        <f t="shared" si="9"/>
        <v>1O2</v>
      </c>
      <c r="N59" s="430" t="str">
        <f>REPT(Steuerung!DG17,1)</f>
        <v>Ice Age</v>
      </c>
      <c r="O59" s="430" t="str">
        <f>REPT(Steuerung!DH17,1)</f>
        <v>Brugg 2</v>
      </c>
      <c r="Q59" s="437" t="str">
        <f t="shared" si="10"/>
        <v>1O2</v>
      </c>
      <c r="R59" s="430" t="str">
        <f>REPT(Steuerung!DN17,1)</f>
        <v>Zurich Rebels</v>
      </c>
      <c r="S59" s="430" t="str">
        <f>REPT(Steuerung!DO17,1)</f>
        <v>Papillon 1</v>
      </c>
      <c r="U59" s="437" t="str">
        <f t="shared" si="11"/>
        <v>1O2</v>
      </c>
      <c r="V59" s="430" t="str">
        <f>REPT(Steuerung!DU17,1)</f>
        <v>Papillon 1</v>
      </c>
      <c r="W59" s="430" t="str">
        <f>REPT(Steuerung!DV17,1)</f>
        <v>Brugg 2</v>
      </c>
      <c r="Y59" s="437" t="str">
        <f t="shared" si="12"/>
        <v>1O2</v>
      </c>
      <c r="Z59" s="430" t="str">
        <f>REPT(Steuerung!EB17,1)</f>
        <v>Brugg 2</v>
      </c>
      <c r="AA59" s="430" t="str">
        <f>REPT(Steuerung!EC17,1)</f>
        <v>Zurich Rebels</v>
      </c>
    </row>
    <row r="60" spans="1:27" ht="20.100000000000001" customHeight="1">
      <c r="A60" s="437" t="str">
        <f t="shared" si="6"/>
        <v>1O3</v>
      </c>
      <c r="B60" s="430" t="str">
        <f>REPT(Steuerung!CL18,1)</f>
        <v>Zurich Rebels</v>
      </c>
      <c r="C60" s="430" t="str">
        <f>REPT(Steuerung!CM18,1)</f>
        <v>Ice Age</v>
      </c>
      <c r="E60" s="437" t="str">
        <f t="shared" si="7"/>
        <v>1O3</v>
      </c>
      <c r="F60" s="430" t="str">
        <f>REPT(Steuerung!CS18,1)</f>
        <v>Basel</v>
      </c>
      <c r="G60" s="430" t="str">
        <f>REPT(Steuerung!CT18,1)</f>
        <v>Zurich Rebels</v>
      </c>
      <c r="I60" s="437" t="str">
        <f t="shared" si="8"/>
        <v>1O3</v>
      </c>
      <c r="J60" s="430" t="str">
        <f>REPT(Steuerung!CZ18,1)</f>
        <v>Zurich Rebels</v>
      </c>
      <c r="K60" s="430" t="str">
        <f>REPT(Steuerung!DA18,1)</f>
        <v>Einsiedeln 2</v>
      </c>
      <c r="M60" s="437" t="str">
        <f t="shared" si="9"/>
        <v>1O3</v>
      </c>
      <c r="N60" s="430" t="str">
        <f>REPT(Steuerung!DG18,1)</f>
        <v>Gelterkinden 1</v>
      </c>
      <c r="O60" s="430" t="str">
        <f>REPT(Steuerung!DH18,1)</f>
        <v>Zurich Rebels</v>
      </c>
      <c r="Q60" s="437" t="str">
        <f t="shared" si="10"/>
        <v>1O3</v>
      </c>
      <c r="R60" s="430" t="str">
        <f>REPT(Steuerung!DN18,1)</f>
        <v>Einsiedeln 2</v>
      </c>
      <c r="S60" s="430" t="str">
        <f>REPT(Steuerung!DO18,1)</f>
        <v>Basel</v>
      </c>
      <c r="U60" s="437" t="str">
        <f t="shared" si="11"/>
        <v>1O3</v>
      </c>
      <c r="V60" s="430" t="str">
        <f>REPT(Steuerung!DU18,1)</f>
        <v>Ice Age</v>
      </c>
      <c r="W60" s="430" t="str">
        <f>REPT(Steuerung!DV18,1)</f>
        <v>Einsiedeln 2</v>
      </c>
      <c r="Y60" s="437" t="str">
        <f t="shared" si="12"/>
        <v>1O3</v>
      </c>
      <c r="Z60" s="430" t="str">
        <f>REPT(Steuerung!EB18,1)</f>
        <v>Einsiedeln 2</v>
      </c>
      <c r="AA60" s="430" t="str">
        <f>REPT(Steuerung!EC18,1)</f>
        <v>Gelterkinden 1</v>
      </c>
    </row>
    <row r="61" spans="1:27" ht="20.100000000000001" customHeight="1" thickBot="1">
      <c r="A61" s="438" t="str">
        <f t="shared" si="6"/>
        <v>1O4</v>
      </c>
      <c r="B61" s="431" t="str">
        <f>REPT(Steuerung!CL19,1)</f>
        <v>Papillon 1</v>
      </c>
      <c r="C61" s="431" t="str">
        <f>REPT(Steuerung!CM19,1)</f>
        <v>Gelterkinden 1</v>
      </c>
      <c r="E61" s="438" t="str">
        <f t="shared" si="7"/>
        <v>1O4</v>
      </c>
      <c r="F61" s="431" t="str">
        <f>REPT(Steuerung!CS19,1)</f>
        <v>Ice Age</v>
      </c>
      <c r="G61" s="431" t="str">
        <f>REPT(Steuerung!CT19,1)</f>
        <v>Papillon 1</v>
      </c>
      <c r="I61" s="438" t="str">
        <f t="shared" si="8"/>
        <v>1O4</v>
      </c>
      <c r="J61" s="431" t="str">
        <f>REPT(Steuerung!CZ19,1)</f>
        <v>Papillon 1</v>
      </c>
      <c r="K61" s="431" t="str">
        <f>REPT(Steuerung!DA19,1)</f>
        <v>Basel</v>
      </c>
      <c r="M61" s="438" t="str">
        <f t="shared" si="9"/>
        <v>1O4</v>
      </c>
      <c r="N61" s="431" t="str">
        <f>REPT(Steuerung!DG19,1)</f>
        <v>Einsiedeln 2</v>
      </c>
      <c r="O61" s="431" t="str">
        <f>REPT(Steuerung!DH19,1)</f>
        <v>Papillon 1</v>
      </c>
      <c r="Q61" s="438" t="str">
        <f t="shared" si="10"/>
        <v>1O4</v>
      </c>
      <c r="R61" s="431" t="str">
        <f>REPT(Steuerung!DN19,1)</f>
        <v>Ice Age</v>
      </c>
      <c r="S61" s="431" t="str">
        <f>REPT(Steuerung!DO19,1)</f>
        <v>Gelterkinden 1</v>
      </c>
      <c r="U61" s="438" t="str">
        <f t="shared" si="11"/>
        <v>1O4</v>
      </c>
      <c r="V61" s="431" t="str">
        <f>REPT(Steuerung!DU19,1)</f>
        <v>Gelterkinden 1</v>
      </c>
      <c r="W61" s="431" t="str">
        <f>REPT(Steuerung!DV19,1)</f>
        <v>Basel</v>
      </c>
      <c r="Y61" s="438" t="str">
        <f t="shared" si="12"/>
        <v>1O4</v>
      </c>
      <c r="Z61" s="431" t="str">
        <f>REPT(Steuerung!EB19,1)</f>
        <v>Basel</v>
      </c>
      <c r="AA61" s="431" t="str">
        <f>REPT(Steuerung!EC19,1)</f>
        <v>Ice Age</v>
      </c>
    </row>
    <row r="62" spans="1:27" ht="20.100000000000001" customHeight="1">
      <c r="A62" s="439" t="str">
        <f t="shared" si="6"/>
        <v>2W1</v>
      </c>
      <c r="B62" s="432" t="str">
        <f>REPT(Steuerung!CL20,1)</f>
        <v>Casa Benfica GE</v>
      </c>
      <c r="C62" s="432" t="str">
        <f>REPT(Steuerung!CM20,1)</f>
        <v>Geneva DL</v>
      </c>
      <c r="E62" s="439" t="str">
        <f t="shared" si="7"/>
        <v>2W1</v>
      </c>
      <c r="F62" s="432" t="str">
        <f>REPT(Steuerung!CS20,1)</f>
        <v>Emmental 3</v>
      </c>
      <c r="G62" s="432" t="str">
        <f>REPT(Steuerung!CT20,1)</f>
        <v>Casa Benfica GE</v>
      </c>
      <c r="I62" s="439" t="str">
        <f t="shared" si="8"/>
        <v>2W1</v>
      </c>
      <c r="J62" s="432" t="str">
        <f>REPT(Steuerung!CZ20,1)</f>
        <v>Casa Benfica GE</v>
      </c>
      <c r="K62" s="432" t="str">
        <f>REPT(Steuerung!DA20,1)</f>
        <v>Morges 2</v>
      </c>
      <c r="M62" s="439" t="str">
        <f t="shared" si="9"/>
        <v>2W1</v>
      </c>
      <c r="N62" s="432" t="str">
        <f>REPT(Steuerung!DG20,1)</f>
        <v>Real Caracol</v>
      </c>
      <c r="O62" s="432" t="str">
        <f>REPT(Steuerung!DH20,1)</f>
        <v>Casa Benfica GE</v>
      </c>
      <c r="Q62" s="439" t="str">
        <f t="shared" si="10"/>
        <v>2W1</v>
      </c>
      <c r="R62" s="432" t="str">
        <f>REPT(Steuerung!DN20,1)</f>
        <v>Casa Benfica GE</v>
      </c>
      <c r="S62" s="432" t="str">
        <f>REPT(Steuerung!DO20,1)</f>
        <v>La Chaux-de-Fonds</v>
      </c>
      <c r="U62" s="439" t="str">
        <f t="shared" si="11"/>
        <v>2W1</v>
      </c>
      <c r="V62" s="432" t="str">
        <f>REPT(Steuerung!DU20,1)</f>
        <v>Martigny Sport</v>
      </c>
      <c r="W62" s="432" t="str">
        <f>REPT(Steuerung!DV20,1)</f>
        <v>Casa Benfica GE</v>
      </c>
      <c r="Y62" s="439" t="str">
        <f t="shared" si="12"/>
        <v>2W1</v>
      </c>
      <c r="Z62" s="432" t="str">
        <f>REPT(Steuerung!EB20,1)</f>
        <v>Casa Benfica GE</v>
      </c>
      <c r="AA62" s="432" t="str">
        <f>REPT(Steuerung!EC20,1)</f>
        <v>Freilos 2LW</v>
      </c>
    </row>
    <row r="63" spans="1:27" ht="20.100000000000001" customHeight="1">
      <c r="A63" s="437" t="str">
        <f t="shared" si="6"/>
        <v>2W2</v>
      </c>
      <c r="B63" s="430" t="str">
        <f>REPT(Steuerung!CL21,1)</f>
        <v>La Chaux-de-Fonds</v>
      </c>
      <c r="C63" s="430" t="str">
        <f>REPT(Steuerung!CM21,1)</f>
        <v>Real Caracol</v>
      </c>
      <c r="E63" s="437" t="str">
        <f t="shared" si="7"/>
        <v>2W2</v>
      </c>
      <c r="F63" s="430" t="str">
        <f>REPT(Steuerung!CS21,1)</f>
        <v>Geneva DL</v>
      </c>
      <c r="G63" s="430" t="str">
        <f>REPT(Steuerung!CT21,1)</f>
        <v>La Chaux-de-Fonds</v>
      </c>
      <c r="I63" s="437" t="str">
        <f t="shared" si="8"/>
        <v>2W2</v>
      </c>
      <c r="J63" s="430" t="str">
        <f>REPT(Steuerung!CZ21,1)</f>
        <v>La Chaux-de-Fonds</v>
      </c>
      <c r="K63" s="430" t="str">
        <f>REPT(Steuerung!DA21,1)</f>
        <v>Emmental 3</v>
      </c>
      <c r="M63" s="437" t="str">
        <f t="shared" si="9"/>
        <v>2W2</v>
      </c>
      <c r="N63" s="430" t="str">
        <f>REPT(Steuerung!DG21,1)</f>
        <v>Morges 2</v>
      </c>
      <c r="O63" s="430" t="str">
        <f>REPT(Steuerung!DH21,1)</f>
        <v>La Chaux-de-Fonds</v>
      </c>
      <c r="Q63" s="437" t="str">
        <f t="shared" si="10"/>
        <v>2W2</v>
      </c>
      <c r="R63" s="430" t="str">
        <f>REPT(Steuerung!DN21,1)</f>
        <v>Martigny Sport</v>
      </c>
      <c r="S63" s="430" t="str">
        <f>REPT(Steuerung!DO21,1)</f>
        <v>Freilos 2LW</v>
      </c>
      <c r="U63" s="437" t="str">
        <f t="shared" si="11"/>
        <v>2W2</v>
      </c>
      <c r="V63" s="430" t="str">
        <f>REPT(Steuerung!DU21,1)</f>
        <v>Freilos 2LW</v>
      </c>
      <c r="W63" s="430" t="str">
        <f>REPT(Steuerung!DV21,1)</f>
        <v>La Chaux-de-Fonds</v>
      </c>
      <c r="Y63" s="437" t="str">
        <f t="shared" si="12"/>
        <v>2W2</v>
      </c>
      <c r="Z63" s="430" t="str">
        <f>REPT(Steuerung!EB21,1)</f>
        <v>La Chaux-de-Fonds</v>
      </c>
      <c r="AA63" s="430" t="str">
        <f>REPT(Steuerung!EC21,1)</f>
        <v>Martigny Sport</v>
      </c>
    </row>
    <row r="64" spans="1:27" ht="20.100000000000001" customHeight="1">
      <c r="A64" s="437" t="str">
        <f t="shared" si="6"/>
        <v>2W3</v>
      </c>
      <c r="B64" s="430" t="str">
        <f>REPT(Steuerung!CL22,1)</f>
        <v>Martigny Sport</v>
      </c>
      <c r="C64" s="430" t="str">
        <f>REPT(Steuerung!CM22,1)</f>
        <v>Morges 2</v>
      </c>
      <c r="E64" s="437" t="str">
        <f t="shared" si="7"/>
        <v>2W3</v>
      </c>
      <c r="F64" s="430" t="str">
        <f>REPT(Steuerung!CS22,1)</f>
        <v>Real Caracol</v>
      </c>
      <c r="G64" s="430" t="str">
        <f>REPT(Steuerung!CT22,1)</f>
        <v>Martigny Sport</v>
      </c>
      <c r="I64" s="437" t="str">
        <f t="shared" si="8"/>
        <v>2W3</v>
      </c>
      <c r="J64" s="430" t="str">
        <f>REPT(Steuerung!CZ22,1)</f>
        <v>Martigny Sport</v>
      </c>
      <c r="K64" s="430" t="str">
        <f>REPT(Steuerung!DA22,1)</f>
        <v>Geneva DL</v>
      </c>
      <c r="M64" s="437" t="str">
        <f t="shared" si="9"/>
        <v>2W3</v>
      </c>
      <c r="N64" s="430" t="str">
        <f>REPT(Steuerung!DG22,1)</f>
        <v>Emmental 3</v>
      </c>
      <c r="O64" s="430" t="str">
        <f>REPT(Steuerung!DH22,1)</f>
        <v>Martigny Sport</v>
      </c>
      <c r="Q64" s="437" t="str">
        <f t="shared" si="10"/>
        <v>2W3</v>
      </c>
      <c r="R64" s="430" t="str">
        <f>REPT(Steuerung!DN22,1)</f>
        <v>Geneva DL</v>
      </c>
      <c r="S64" s="430" t="str">
        <f>REPT(Steuerung!DO22,1)</f>
        <v>Real Caracol</v>
      </c>
      <c r="U64" s="437" t="str">
        <f t="shared" si="11"/>
        <v>2W3</v>
      </c>
      <c r="V64" s="430" t="str">
        <f>REPT(Steuerung!DU22,1)</f>
        <v>Morges 2</v>
      </c>
      <c r="W64" s="430" t="str">
        <f>REPT(Steuerung!DV22,1)</f>
        <v>Geneva DL</v>
      </c>
      <c r="Y64" s="437" t="str">
        <f t="shared" si="12"/>
        <v>2W3</v>
      </c>
      <c r="Z64" s="430" t="str">
        <f>REPT(Steuerung!EB22,1)</f>
        <v>Geneva DL</v>
      </c>
      <c r="AA64" s="430" t="str">
        <f>REPT(Steuerung!EC22,1)</f>
        <v>Emmental 3</v>
      </c>
    </row>
    <row r="65" spans="1:27" ht="20.100000000000001" customHeight="1" thickBot="1">
      <c r="A65" s="438" t="str">
        <f t="shared" si="6"/>
        <v>2W4</v>
      </c>
      <c r="B65" s="431" t="str">
        <f>REPT(Steuerung!CL23,1)</f>
        <v>Freilos 2LW</v>
      </c>
      <c r="C65" s="431" t="str">
        <f>REPT(Steuerung!CM23,1)</f>
        <v>Emmental 3</v>
      </c>
      <c r="E65" s="438" t="str">
        <f t="shared" si="7"/>
        <v>2W4</v>
      </c>
      <c r="F65" s="431" t="str">
        <f>REPT(Steuerung!CS23,1)</f>
        <v>Morges 2</v>
      </c>
      <c r="G65" s="431" t="str">
        <f>REPT(Steuerung!CT23,1)</f>
        <v>Freilos 2LW</v>
      </c>
      <c r="I65" s="438" t="str">
        <f t="shared" si="8"/>
        <v>2W4</v>
      </c>
      <c r="J65" s="431" t="str">
        <f>REPT(Steuerung!CZ23,1)</f>
        <v>Freilos 2LW</v>
      </c>
      <c r="K65" s="431" t="str">
        <f>REPT(Steuerung!DA23,1)</f>
        <v>Real Caracol</v>
      </c>
      <c r="M65" s="438" t="str">
        <f t="shared" si="9"/>
        <v>2W4</v>
      </c>
      <c r="N65" s="431" t="str">
        <f>REPT(Steuerung!DG23,1)</f>
        <v>Geneva DL</v>
      </c>
      <c r="O65" s="431" t="str">
        <f>REPT(Steuerung!DH23,1)</f>
        <v>Freilos 2LW</v>
      </c>
      <c r="Q65" s="438" t="str">
        <f t="shared" si="10"/>
        <v>2W4</v>
      </c>
      <c r="R65" s="431" t="str">
        <f>REPT(Steuerung!DN23,1)</f>
        <v>Morges 2</v>
      </c>
      <c r="S65" s="431" t="str">
        <f>REPT(Steuerung!DO23,1)</f>
        <v>Emmental 3</v>
      </c>
      <c r="U65" s="438" t="str">
        <f t="shared" si="11"/>
        <v>2W4</v>
      </c>
      <c r="V65" s="431" t="str">
        <f>REPT(Steuerung!DU23,1)</f>
        <v>Emmental 3</v>
      </c>
      <c r="W65" s="431" t="str">
        <f>REPT(Steuerung!DV23,1)</f>
        <v>Real Caracol</v>
      </c>
      <c r="Y65" s="438" t="str">
        <f t="shared" si="12"/>
        <v>2W4</v>
      </c>
      <c r="Z65" s="431" t="str">
        <f>REPT(Steuerung!EB23,1)</f>
        <v>Real Caracol</v>
      </c>
      <c r="AA65" s="431" t="str">
        <f>REPT(Steuerung!EC23,1)</f>
        <v>Morges 2</v>
      </c>
    </row>
    <row r="66" spans="1:27" ht="20.100000000000001" customHeight="1">
      <c r="A66" s="436" t="str">
        <f t="shared" si="6"/>
        <v>2O1</v>
      </c>
      <c r="B66" s="429" t="str">
        <f>REPT(Steuerung!CL24,1)</f>
        <v>Black Jack</v>
      </c>
      <c r="C66" s="440" t="str">
        <f>REPT(Steuerung!CM24,1)</f>
        <v>Chill Out Bull's 2</v>
      </c>
      <c r="E66" s="436" t="str">
        <f t="shared" si="7"/>
        <v>2O1</v>
      </c>
      <c r="F66" s="429" t="str">
        <f>REPT(Steuerung!CS24,1)</f>
        <v>Heroes</v>
      </c>
      <c r="G66" s="440" t="str">
        <f>REPT(Steuerung!CT24,1)</f>
        <v>Black Jack</v>
      </c>
      <c r="I66" s="436" t="str">
        <f t="shared" si="8"/>
        <v>2O1</v>
      </c>
      <c r="J66" s="429" t="str">
        <f>REPT(Steuerung!CZ24,1)</f>
        <v>Black Jack</v>
      </c>
      <c r="K66" s="440" t="str">
        <f>REPT(Steuerung!DA24,1)</f>
        <v>Brugg 4</v>
      </c>
      <c r="M66" s="436" t="str">
        <f t="shared" si="9"/>
        <v>2O1</v>
      </c>
      <c r="N66" s="429" t="str">
        <f>REPT(Steuerung!DG24,1)</f>
        <v>Horgen</v>
      </c>
      <c r="O66" s="440" t="str">
        <f>REPT(Steuerung!DH24,1)</f>
        <v>Black Jack</v>
      </c>
      <c r="Q66" s="436" t="str">
        <f t="shared" si="10"/>
        <v>2O1</v>
      </c>
      <c r="R66" s="429" t="str">
        <f>REPT(Steuerung!DN24,1)</f>
        <v>Black Jack</v>
      </c>
      <c r="S66" s="440" t="str">
        <f>REPT(Steuerung!DO24,1)</f>
        <v>High 5</v>
      </c>
      <c r="U66" s="436" t="str">
        <f t="shared" si="11"/>
        <v>2O1</v>
      </c>
      <c r="V66" s="429" t="str">
        <f>REPT(Steuerung!DU24,1)</f>
        <v>Züri Otter</v>
      </c>
      <c r="W66" s="440" t="str">
        <f>REPT(Steuerung!DV24,1)</f>
        <v>Black Jack</v>
      </c>
      <c r="Y66" s="436" t="str">
        <f t="shared" si="12"/>
        <v>2O1</v>
      </c>
      <c r="Z66" s="429" t="str">
        <f>REPT(Steuerung!EB24,1)</f>
        <v>Black Jack</v>
      </c>
      <c r="AA66" s="440" t="str">
        <f>REPT(Steuerung!EC24,1)</f>
        <v>Papillon 2</v>
      </c>
    </row>
    <row r="67" spans="1:27" ht="20.100000000000001" customHeight="1">
      <c r="A67" s="437" t="str">
        <f t="shared" si="6"/>
        <v>2O2</v>
      </c>
      <c r="B67" s="430" t="str">
        <f>REPT(Steuerung!CL25,1)</f>
        <v>High 5</v>
      </c>
      <c r="C67" s="430" t="str">
        <f>REPT(Steuerung!CM25,1)</f>
        <v>Horgen</v>
      </c>
      <c r="E67" s="437" t="str">
        <f t="shared" si="7"/>
        <v>2O2</v>
      </c>
      <c r="F67" s="430" t="str">
        <f>REPT(Steuerung!CS25,1)</f>
        <v>Chill Out Bull's 2</v>
      </c>
      <c r="G67" s="430" t="str">
        <f>REPT(Steuerung!CT25,1)</f>
        <v>High 5</v>
      </c>
      <c r="I67" s="437" t="str">
        <f t="shared" si="8"/>
        <v>2O2</v>
      </c>
      <c r="J67" s="430" t="str">
        <f>REPT(Steuerung!CZ25,1)</f>
        <v>High 5</v>
      </c>
      <c r="K67" s="430" t="str">
        <f>REPT(Steuerung!DA25,1)</f>
        <v>Heroes</v>
      </c>
      <c r="M67" s="437" t="str">
        <f t="shared" si="9"/>
        <v>2O2</v>
      </c>
      <c r="N67" s="430" t="str">
        <f>REPT(Steuerung!DG25,1)</f>
        <v>Brugg 4</v>
      </c>
      <c r="O67" s="430" t="str">
        <f>REPT(Steuerung!DH25,1)</f>
        <v>High 5</v>
      </c>
      <c r="Q67" s="437" t="str">
        <f t="shared" si="10"/>
        <v>2O2</v>
      </c>
      <c r="R67" s="430" t="str">
        <f>REPT(Steuerung!DN25,1)</f>
        <v>Züri Otter</v>
      </c>
      <c r="S67" s="430" t="str">
        <f>REPT(Steuerung!DO25,1)</f>
        <v>Papillon 2</v>
      </c>
      <c r="U67" s="437" t="str">
        <f t="shared" si="11"/>
        <v>2O2</v>
      </c>
      <c r="V67" s="430" t="str">
        <f>REPT(Steuerung!DU25,1)</f>
        <v>Papillon 2</v>
      </c>
      <c r="W67" s="430" t="str">
        <f>REPT(Steuerung!DV25,1)</f>
        <v>High 5</v>
      </c>
      <c r="Y67" s="437" t="str">
        <f t="shared" si="12"/>
        <v>2O2</v>
      </c>
      <c r="Z67" s="430" t="str">
        <f>REPT(Steuerung!EB25,1)</f>
        <v>High 5</v>
      </c>
      <c r="AA67" s="430" t="str">
        <f>REPT(Steuerung!EC25,1)</f>
        <v>Züri Otter</v>
      </c>
    </row>
    <row r="68" spans="1:27" ht="20.100000000000001" customHeight="1">
      <c r="A68" s="437" t="str">
        <f t="shared" si="6"/>
        <v>2O3</v>
      </c>
      <c r="B68" s="430" t="str">
        <f>REPT(Steuerung!CL26,1)</f>
        <v>Züri Otter</v>
      </c>
      <c r="C68" s="430" t="str">
        <f>REPT(Steuerung!CM26,1)</f>
        <v>Brugg 4</v>
      </c>
      <c r="E68" s="437" t="str">
        <f t="shared" si="7"/>
        <v>2O3</v>
      </c>
      <c r="F68" s="430" t="str">
        <f>REPT(Steuerung!CS26,1)</f>
        <v>Horgen</v>
      </c>
      <c r="G68" s="430" t="str">
        <f>REPT(Steuerung!CT26,1)</f>
        <v>Züri Otter</v>
      </c>
      <c r="I68" s="437" t="str">
        <f t="shared" si="8"/>
        <v>2O3</v>
      </c>
      <c r="J68" s="430" t="str">
        <f>REPT(Steuerung!CZ26,1)</f>
        <v>Züri Otter</v>
      </c>
      <c r="K68" s="430" t="str">
        <f>REPT(Steuerung!DA26,1)</f>
        <v>Chill Out Bull's 2</v>
      </c>
      <c r="M68" s="437" t="str">
        <f t="shared" si="9"/>
        <v>2O3</v>
      </c>
      <c r="N68" s="430" t="str">
        <f>REPT(Steuerung!DG26,1)</f>
        <v>Heroes</v>
      </c>
      <c r="O68" s="430" t="str">
        <f>REPT(Steuerung!DH26,1)</f>
        <v>Züri Otter</v>
      </c>
      <c r="Q68" s="437" t="str">
        <f t="shared" si="10"/>
        <v>2O3</v>
      </c>
      <c r="R68" s="430" t="str">
        <f>REPT(Steuerung!DN26,1)</f>
        <v>Chill Out Bull's 2</v>
      </c>
      <c r="S68" s="430" t="str">
        <f>REPT(Steuerung!DO26,1)</f>
        <v>Horgen</v>
      </c>
      <c r="U68" s="437" t="str">
        <f t="shared" si="11"/>
        <v>2O3</v>
      </c>
      <c r="V68" s="430" t="str">
        <f>REPT(Steuerung!DU26,1)</f>
        <v>Brugg 4</v>
      </c>
      <c r="W68" s="430" t="str">
        <f>REPT(Steuerung!DV26,1)</f>
        <v>Chill Out Bull's 2</v>
      </c>
      <c r="Y68" s="437" t="str">
        <f t="shared" si="12"/>
        <v>2O3</v>
      </c>
      <c r="Z68" s="430" t="str">
        <f>REPT(Steuerung!EB26,1)</f>
        <v>Chill Out Bull's 2</v>
      </c>
      <c r="AA68" s="430" t="str">
        <f>REPT(Steuerung!EC26,1)</f>
        <v>Heroes</v>
      </c>
    </row>
    <row r="69" spans="1:27" ht="20.100000000000001" customHeight="1" thickBot="1">
      <c r="A69" s="438" t="str">
        <f t="shared" si="6"/>
        <v>2O4</v>
      </c>
      <c r="B69" s="431" t="str">
        <f>REPT(Steuerung!CL27,1)</f>
        <v>Papillon 2</v>
      </c>
      <c r="C69" s="431" t="str">
        <f>REPT(Steuerung!CM27,1)</f>
        <v>Heroes</v>
      </c>
      <c r="E69" s="438" t="str">
        <f t="shared" si="7"/>
        <v>2O4</v>
      </c>
      <c r="F69" s="431" t="str">
        <f>REPT(Steuerung!CS27,1)</f>
        <v>Brugg 4</v>
      </c>
      <c r="G69" s="431" t="str">
        <f>REPT(Steuerung!CT27,1)</f>
        <v>Papillon 2</v>
      </c>
      <c r="I69" s="438" t="str">
        <f t="shared" si="8"/>
        <v>2O4</v>
      </c>
      <c r="J69" s="431" t="str">
        <f>REPT(Steuerung!CZ27,1)</f>
        <v>Papillon 2</v>
      </c>
      <c r="K69" s="431" t="str">
        <f>REPT(Steuerung!DA27,1)</f>
        <v>Horgen</v>
      </c>
      <c r="M69" s="438" t="str">
        <f t="shared" si="9"/>
        <v>2O4</v>
      </c>
      <c r="N69" s="431" t="str">
        <f>REPT(Steuerung!DG27,1)</f>
        <v>Chill Out Bull's 2</v>
      </c>
      <c r="O69" s="431" t="str">
        <f>REPT(Steuerung!DH27,1)</f>
        <v>Papillon 2</v>
      </c>
      <c r="Q69" s="438" t="str">
        <f t="shared" si="10"/>
        <v>2O4</v>
      </c>
      <c r="R69" s="431" t="str">
        <f>REPT(Steuerung!DN27,1)</f>
        <v>Brugg 4</v>
      </c>
      <c r="S69" s="431" t="str">
        <f>REPT(Steuerung!DO27,1)</f>
        <v>Heroes</v>
      </c>
      <c r="U69" s="438" t="str">
        <f t="shared" si="11"/>
        <v>2O4</v>
      </c>
      <c r="V69" s="431" t="str">
        <f>REPT(Steuerung!DU27,1)</f>
        <v>Heroes</v>
      </c>
      <c r="W69" s="431" t="str">
        <f>REPT(Steuerung!DV27,1)</f>
        <v>Horgen</v>
      </c>
      <c r="Y69" s="438" t="str">
        <f t="shared" si="12"/>
        <v>2O4</v>
      </c>
      <c r="Z69" s="431" t="str">
        <f>REPT(Steuerung!EB27,1)</f>
        <v>Horgen</v>
      </c>
      <c r="AA69" s="431" t="str">
        <f>REPT(Steuerung!EC27,1)</f>
        <v>Brugg 4</v>
      </c>
    </row>
    <row r="70" spans="1:27" ht="20.100000000000001" customHeight="1">
      <c r="A70" s="436" t="str">
        <f t="shared" si="6"/>
        <v>2N1</v>
      </c>
      <c r="B70" s="429" t="str">
        <f>REPT(Steuerung!CL28,1)</f>
        <v>Gelterkinden 2</v>
      </c>
      <c r="C70" s="440" t="str">
        <f>REPT(Steuerung!CM28,1)</f>
        <v>Papillon 3</v>
      </c>
      <c r="E70" s="436" t="str">
        <f t="shared" si="7"/>
        <v>2N1</v>
      </c>
      <c r="F70" s="429" t="str">
        <f>REPT(Steuerung!CS28,1)</f>
        <v>Brugg 3</v>
      </c>
      <c r="G70" s="440" t="str">
        <f>REPT(Steuerung!CT28,1)</f>
        <v>Gelterkinden 2</v>
      </c>
      <c r="I70" s="436" t="str">
        <f t="shared" si="8"/>
        <v>2N1</v>
      </c>
      <c r="J70" s="429" t="str">
        <f>REPT(Steuerung!CZ28,1)</f>
        <v>Gelterkinden 2</v>
      </c>
      <c r="K70" s="440" t="str">
        <f>REPT(Steuerung!DA28,1)</f>
        <v>Joker 2</v>
      </c>
      <c r="M70" s="436" t="str">
        <f t="shared" si="9"/>
        <v>2N1</v>
      </c>
      <c r="N70" s="429" t="str">
        <f>REPT(Steuerung!DG28,1)</f>
        <v>Freilo 2LN</v>
      </c>
      <c r="O70" s="440" t="str">
        <f>REPT(Steuerung!DH28,1)</f>
        <v>Gelterkinden 2</v>
      </c>
      <c r="Q70" s="436" t="str">
        <f t="shared" si="10"/>
        <v>2N1</v>
      </c>
      <c r="R70" s="429" t="str">
        <f>REPT(Steuerung!DN28,1)</f>
        <v>Gelterkinden 2</v>
      </c>
      <c r="S70" s="440" t="str">
        <f>REPT(Steuerung!DO28,1)</f>
        <v>Emmental 5</v>
      </c>
      <c r="U70" s="436" t="str">
        <f t="shared" si="11"/>
        <v>2N1</v>
      </c>
      <c r="V70" s="429" t="str">
        <f>REPT(Steuerung!DU28,1)</f>
        <v>Lounge 11</v>
      </c>
      <c r="W70" s="440" t="str">
        <f>REPT(Steuerung!DV28,1)</f>
        <v>Gelterkinden 2</v>
      </c>
      <c r="Y70" s="436" t="str">
        <f t="shared" si="12"/>
        <v>2N1</v>
      </c>
      <c r="Z70" s="429" t="str">
        <f>REPT(Steuerung!EB28,1)</f>
        <v>Gelterkinden 2</v>
      </c>
      <c r="AA70" s="440" t="str">
        <f>REPT(Steuerung!EC28,1)</f>
        <v>Safnern 3</v>
      </c>
    </row>
    <row r="71" spans="1:27" ht="20.100000000000001" customHeight="1">
      <c r="A71" s="437" t="str">
        <f t="shared" si="6"/>
        <v>2N2</v>
      </c>
      <c r="B71" s="430" t="str">
        <f>REPT(Steuerung!CL29,1)</f>
        <v>Emmental 5</v>
      </c>
      <c r="C71" s="430" t="str">
        <f>REPT(Steuerung!CM29,1)</f>
        <v>Freilo 2LN</v>
      </c>
      <c r="E71" s="437" t="str">
        <f t="shared" si="7"/>
        <v>2N2</v>
      </c>
      <c r="F71" s="430" t="str">
        <f>REPT(Steuerung!CS29,1)</f>
        <v>Papillon 3</v>
      </c>
      <c r="G71" s="430" t="str">
        <f>REPT(Steuerung!CT29,1)</f>
        <v>Emmental 5</v>
      </c>
      <c r="I71" s="437" t="str">
        <f t="shared" si="8"/>
        <v>2N2</v>
      </c>
      <c r="J71" s="430" t="str">
        <f>REPT(Steuerung!CZ29,1)</f>
        <v>Emmental 5</v>
      </c>
      <c r="K71" s="430" t="str">
        <f>REPT(Steuerung!DA29,1)</f>
        <v>Brugg 3</v>
      </c>
      <c r="M71" s="437" t="str">
        <f t="shared" si="9"/>
        <v>2N2</v>
      </c>
      <c r="N71" s="430" t="str">
        <f>REPT(Steuerung!DG29,1)</f>
        <v>Joker 2</v>
      </c>
      <c r="O71" s="430" t="str">
        <f>REPT(Steuerung!DH29,1)</f>
        <v>Emmental 5</v>
      </c>
      <c r="Q71" s="437" t="str">
        <f t="shared" si="10"/>
        <v>2N2</v>
      </c>
      <c r="R71" s="430" t="str">
        <f>REPT(Steuerung!DN29,1)</f>
        <v>Lounge 11</v>
      </c>
      <c r="S71" s="430" t="str">
        <f>REPT(Steuerung!DO29,1)</f>
        <v>Safnern 3</v>
      </c>
      <c r="U71" s="437" t="str">
        <f t="shared" si="11"/>
        <v>2N2</v>
      </c>
      <c r="V71" s="430" t="str">
        <f>REPT(Steuerung!DU29,1)</f>
        <v>Safnern 3</v>
      </c>
      <c r="W71" s="430" t="str">
        <f>REPT(Steuerung!DV29,1)</f>
        <v>Emmental 5</v>
      </c>
      <c r="Y71" s="437" t="str">
        <f t="shared" si="12"/>
        <v>2N2</v>
      </c>
      <c r="Z71" s="430" t="str">
        <f>REPT(Steuerung!EB29,1)</f>
        <v>Emmental 5</v>
      </c>
      <c r="AA71" s="430" t="str">
        <f>REPT(Steuerung!EC29,1)</f>
        <v>Lounge 11</v>
      </c>
    </row>
    <row r="72" spans="1:27" ht="20.100000000000001" customHeight="1">
      <c r="A72" s="437" t="str">
        <f t="shared" si="6"/>
        <v>2N3</v>
      </c>
      <c r="B72" s="430" t="str">
        <f>REPT(Steuerung!CL30,1)</f>
        <v>Lounge 11</v>
      </c>
      <c r="C72" s="430" t="str">
        <f>REPT(Steuerung!CM30,1)</f>
        <v>Joker 2</v>
      </c>
      <c r="E72" s="437" t="str">
        <f t="shared" si="7"/>
        <v>2N3</v>
      </c>
      <c r="F72" s="430" t="str">
        <f>REPT(Steuerung!CS30,1)</f>
        <v>Freilo 2LN</v>
      </c>
      <c r="G72" s="430" t="str">
        <f>REPT(Steuerung!CT30,1)</f>
        <v>Lounge 11</v>
      </c>
      <c r="I72" s="437" t="str">
        <f t="shared" si="8"/>
        <v>2N3</v>
      </c>
      <c r="J72" s="430" t="str">
        <f>REPT(Steuerung!CZ30,1)</f>
        <v>Lounge 11</v>
      </c>
      <c r="K72" s="430" t="str">
        <f>REPT(Steuerung!DA30,1)</f>
        <v>Papillon 3</v>
      </c>
      <c r="M72" s="437" t="str">
        <f t="shared" si="9"/>
        <v>2N3</v>
      </c>
      <c r="N72" s="430" t="str">
        <f>REPT(Steuerung!DG30,1)</f>
        <v>Brugg 3</v>
      </c>
      <c r="O72" s="430" t="str">
        <f>REPT(Steuerung!DH30,1)</f>
        <v>Lounge 11</v>
      </c>
      <c r="Q72" s="437" t="str">
        <f t="shared" si="10"/>
        <v>2N3</v>
      </c>
      <c r="R72" s="430" t="str">
        <f>REPT(Steuerung!DN30,1)</f>
        <v>Papillon 3</v>
      </c>
      <c r="S72" s="430" t="str">
        <f>REPT(Steuerung!DO30,1)</f>
        <v>Brugg 3</v>
      </c>
      <c r="U72" s="437" t="str">
        <f t="shared" si="11"/>
        <v>2N3</v>
      </c>
      <c r="V72" s="430" t="str">
        <f>REPT(Steuerung!DU30,1)</f>
        <v>Joker 2</v>
      </c>
      <c r="W72" s="430" t="str">
        <f>REPT(Steuerung!DV30,1)</f>
        <v>Papillon 3</v>
      </c>
      <c r="Y72" s="437" t="str">
        <f t="shared" si="12"/>
        <v>2N3</v>
      </c>
      <c r="Z72" s="430" t="str">
        <f>REPT(Steuerung!EB30,1)</f>
        <v>Papillon 3</v>
      </c>
      <c r="AA72" s="430" t="str">
        <f>REPT(Steuerung!EC30,1)</f>
        <v>Freilo 2LN</v>
      </c>
    </row>
    <row r="73" spans="1:27" ht="20.100000000000001" customHeight="1" thickBot="1">
      <c r="A73" s="438" t="str">
        <f t="shared" si="6"/>
        <v>2N4</v>
      </c>
      <c r="B73" s="431" t="str">
        <f>REPT(Steuerung!CL31,1)</f>
        <v>Safnern 3</v>
      </c>
      <c r="C73" s="431" t="str">
        <f>REPT(Steuerung!CM31,1)</f>
        <v>Brugg 3</v>
      </c>
      <c r="E73" s="438" t="str">
        <f t="shared" si="7"/>
        <v>2N4</v>
      </c>
      <c r="F73" s="431" t="str">
        <f>REPT(Steuerung!CS31,1)</f>
        <v>Joker 2</v>
      </c>
      <c r="G73" s="431" t="str">
        <f>REPT(Steuerung!CT31,1)</f>
        <v>Safnern 3</v>
      </c>
      <c r="I73" s="438" t="str">
        <f t="shared" si="8"/>
        <v>2N4</v>
      </c>
      <c r="J73" s="431" t="str">
        <f>REPT(Steuerung!CZ31,1)</f>
        <v>Safnern 3</v>
      </c>
      <c r="K73" s="431" t="str">
        <f>REPT(Steuerung!DA31,1)</f>
        <v>Freilo 2LN</v>
      </c>
      <c r="M73" s="438" t="str">
        <f t="shared" si="9"/>
        <v>2N4</v>
      </c>
      <c r="N73" s="431" t="str">
        <f>REPT(Steuerung!DG31,1)</f>
        <v>Papillon 3</v>
      </c>
      <c r="O73" s="431" t="str">
        <f>REPT(Steuerung!DH31,1)</f>
        <v>Safnern 3</v>
      </c>
      <c r="Q73" s="438" t="str">
        <f t="shared" si="10"/>
        <v>2N4</v>
      </c>
      <c r="R73" s="431" t="str">
        <f>REPT(Steuerung!DN31,1)</f>
        <v>Freilo 2LN</v>
      </c>
      <c r="S73" s="431" t="str">
        <f>REPT(Steuerung!DO31,1)</f>
        <v>Joker 2</v>
      </c>
      <c r="U73" s="438" t="str">
        <f t="shared" si="11"/>
        <v>2N4</v>
      </c>
      <c r="V73" s="431" t="str">
        <f>REPT(Steuerung!DU31,1)</f>
        <v>Brugg 3</v>
      </c>
      <c r="W73" s="431" t="str">
        <f>REPT(Steuerung!DV31,1)</f>
        <v>Freilo 2LN</v>
      </c>
      <c r="Y73" s="438" t="str">
        <f t="shared" si="12"/>
        <v>2N4</v>
      </c>
      <c r="Z73" s="431" t="str">
        <f>REPT(Steuerung!EB31,1)</f>
        <v>Joker 2</v>
      </c>
      <c r="AA73" s="431" t="str">
        <f>REPT(Steuerung!EC31,1)</f>
        <v>Brugg 3</v>
      </c>
    </row>
    <row r="74" spans="1:27" ht="20.100000000000001" customHeight="1">
      <c r="A74" s="436" t="str">
        <f t="shared" si="6"/>
        <v>2M1</v>
      </c>
      <c r="B74" s="429" t="str">
        <f>REPT(Steuerung!CL32,1)</f>
        <v>Torp. Wimmis 2</v>
      </c>
      <c r="C74" s="440" t="str">
        <f>REPT(Steuerung!CM32,1)</f>
        <v>Safnern 2</v>
      </c>
      <c r="E74" s="436" t="str">
        <f t="shared" si="7"/>
        <v>2M1</v>
      </c>
      <c r="F74" s="429" t="str">
        <f>REPT(Steuerung!CS32,1)</f>
        <v>Sense Steel 2</v>
      </c>
      <c r="G74" s="440" t="str">
        <f>REPT(Steuerung!CT32,1)</f>
        <v>Torp. Wimmis 2</v>
      </c>
      <c r="I74" s="436" t="str">
        <f t="shared" si="8"/>
        <v>2M1</v>
      </c>
      <c r="J74" s="429" t="str">
        <f>REPT(Steuerung!CZ32,1)</f>
        <v>Torp. Wimmis 2</v>
      </c>
      <c r="K74" s="440" t="str">
        <f>REPT(Steuerung!DA32,1)</f>
        <v>Emmental 2</v>
      </c>
      <c r="M74" s="436" t="str">
        <f t="shared" si="9"/>
        <v>2M1</v>
      </c>
      <c r="N74" s="429" t="str">
        <f>REPT(Steuerung!DG32,1)</f>
        <v>Farmer</v>
      </c>
      <c r="O74" s="440" t="str">
        <f>REPT(Steuerung!DH32,1)</f>
        <v>Torp. Wimmis 2</v>
      </c>
      <c r="Q74" s="436" t="str">
        <f t="shared" si="10"/>
        <v>2M1</v>
      </c>
      <c r="R74" s="429" t="str">
        <f>REPT(Steuerung!DN32,1)</f>
        <v>Torp. Wimmis 2</v>
      </c>
      <c r="S74" s="440" t="str">
        <f>REPT(Steuerung!DO32,1)</f>
        <v>Bern 2</v>
      </c>
      <c r="U74" s="436" t="str">
        <f t="shared" si="11"/>
        <v>2M1</v>
      </c>
      <c r="V74" s="429" t="str">
        <f>REPT(Steuerung!DU32,1)</f>
        <v>Vikings</v>
      </c>
      <c r="W74" s="440" t="str">
        <f>REPT(Steuerung!DV32,1)</f>
        <v>Torp. Wimmis 2</v>
      </c>
      <c r="Y74" s="436" t="str">
        <f t="shared" si="12"/>
        <v>2M1</v>
      </c>
      <c r="Z74" s="429" t="str">
        <f>REPT(Steuerung!EB32,1)</f>
        <v>Torp. Wimmis 2</v>
      </c>
      <c r="AA74" s="440" t="str">
        <f>REPT(Steuerung!EC32,1)</f>
        <v>Emmental 4</v>
      </c>
    </row>
    <row r="75" spans="1:27" ht="20.100000000000001" customHeight="1">
      <c r="A75" s="437" t="str">
        <f t="shared" si="6"/>
        <v>2M2</v>
      </c>
      <c r="B75" s="430" t="str">
        <f>REPT(Steuerung!CL33,1)</f>
        <v>Bern 2</v>
      </c>
      <c r="C75" s="430" t="str">
        <f>REPT(Steuerung!CM33,1)</f>
        <v>Farmer</v>
      </c>
      <c r="E75" s="437" t="str">
        <f t="shared" si="7"/>
        <v>2M2</v>
      </c>
      <c r="F75" s="430" t="str">
        <f>REPT(Steuerung!CS33,1)</f>
        <v>Safnern 2</v>
      </c>
      <c r="G75" s="430" t="str">
        <f>REPT(Steuerung!CT33,1)</f>
        <v>Bern 2</v>
      </c>
      <c r="I75" s="437" t="str">
        <f t="shared" si="8"/>
        <v>2M2</v>
      </c>
      <c r="J75" s="430" t="str">
        <f>REPT(Steuerung!CZ33,1)</f>
        <v>Bern 2</v>
      </c>
      <c r="K75" s="430" t="str">
        <f>REPT(Steuerung!DA33,1)</f>
        <v>Sense Steel 2</v>
      </c>
      <c r="M75" s="437" t="str">
        <f t="shared" si="9"/>
        <v>2M2</v>
      </c>
      <c r="N75" s="430" t="str">
        <f>REPT(Steuerung!DG33,1)</f>
        <v>Emmental 2</v>
      </c>
      <c r="O75" s="430" t="str">
        <f>REPT(Steuerung!DH33,1)</f>
        <v>Bern 2</v>
      </c>
      <c r="Q75" s="437" t="str">
        <f t="shared" si="10"/>
        <v>2M2</v>
      </c>
      <c r="R75" s="430" t="str">
        <f>REPT(Steuerung!DN33,1)</f>
        <v>Emmental 4</v>
      </c>
      <c r="S75" s="430" t="str">
        <f>REPT(Steuerung!DO33,1)</f>
        <v>Vikings</v>
      </c>
      <c r="U75" s="437" t="str">
        <f t="shared" si="11"/>
        <v>2M2</v>
      </c>
      <c r="V75" s="430" t="str">
        <f>REPT(Steuerung!DU33,1)</f>
        <v>Emmental 4</v>
      </c>
      <c r="W75" s="430" t="str">
        <f>REPT(Steuerung!DV33,1)</f>
        <v>Bern 2</v>
      </c>
      <c r="Y75" s="437" t="str">
        <f t="shared" si="12"/>
        <v>2M2</v>
      </c>
      <c r="Z75" s="430" t="str">
        <f>REPT(Steuerung!EB33,1)</f>
        <v>Bern 2</v>
      </c>
      <c r="AA75" s="430" t="str">
        <f>REPT(Steuerung!EC33,1)</f>
        <v>Vikings</v>
      </c>
    </row>
    <row r="76" spans="1:27" ht="20.100000000000001" customHeight="1">
      <c r="A76" s="437" t="str">
        <f t="shared" si="6"/>
        <v>2M3</v>
      </c>
      <c r="B76" s="430" t="str">
        <f>REPT(Steuerung!CL34,1)</f>
        <v>Vikings</v>
      </c>
      <c r="C76" s="430" t="str">
        <f>REPT(Steuerung!CM34,1)</f>
        <v>Emmental 2</v>
      </c>
      <c r="E76" s="437" t="str">
        <f t="shared" si="7"/>
        <v>2M3</v>
      </c>
      <c r="F76" s="430" t="str">
        <f>REPT(Steuerung!CS34,1)</f>
        <v>Farmer</v>
      </c>
      <c r="G76" s="430" t="str">
        <f>REPT(Steuerung!CT34,1)</f>
        <v>Vikings</v>
      </c>
      <c r="I76" s="437" t="str">
        <f t="shared" si="8"/>
        <v>2M3</v>
      </c>
      <c r="J76" s="430" t="str">
        <f>REPT(Steuerung!CZ34,1)</f>
        <v>Vikings</v>
      </c>
      <c r="K76" s="430" t="str">
        <f>REPT(Steuerung!DA34,1)</f>
        <v>Safnern 2</v>
      </c>
      <c r="M76" s="437" t="str">
        <f t="shared" si="9"/>
        <v>2M3</v>
      </c>
      <c r="N76" s="430" t="str">
        <f>REPT(Steuerung!DG34,1)</f>
        <v>Sense Steel 2</v>
      </c>
      <c r="O76" s="430" t="str">
        <f>REPT(Steuerung!DH34,1)</f>
        <v>Vikings</v>
      </c>
      <c r="Q76" s="437" t="str">
        <f t="shared" si="10"/>
        <v>2M3</v>
      </c>
      <c r="R76" s="430" t="str">
        <f>REPT(Steuerung!DN34,1)</f>
        <v>Safnern 2</v>
      </c>
      <c r="S76" s="430" t="str">
        <f>REPT(Steuerung!DO34,1)</f>
        <v>Farmer</v>
      </c>
      <c r="U76" s="437" t="str">
        <f t="shared" si="11"/>
        <v>2M3</v>
      </c>
      <c r="V76" s="430" t="str">
        <f>REPT(Steuerung!DU34,1)</f>
        <v>Emmental 2</v>
      </c>
      <c r="W76" s="430" t="str">
        <f>REPT(Steuerung!DV34,1)</f>
        <v>Safnern 2</v>
      </c>
      <c r="Y76" s="437" t="str">
        <f t="shared" si="12"/>
        <v>2M3</v>
      </c>
      <c r="Z76" s="430" t="str">
        <f>REPT(Steuerung!EB34,1)</f>
        <v>Safnern 2</v>
      </c>
      <c r="AA76" s="430" t="str">
        <f>REPT(Steuerung!EC34,1)</f>
        <v>Sense Steel 2</v>
      </c>
    </row>
    <row r="77" spans="1:27" ht="20.100000000000001" customHeight="1">
      <c r="A77" s="437" t="str">
        <f t="shared" si="6"/>
        <v>2M4</v>
      </c>
      <c r="B77" s="430" t="str">
        <f>REPT(Steuerung!CL35,1)</f>
        <v>Emmental 4</v>
      </c>
      <c r="C77" s="430" t="str">
        <f>REPT(Steuerung!CM35,1)</f>
        <v>Sense Steel 2</v>
      </c>
      <c r="E77" s="437" t="str">
        <f t="shared" si="7"/>
        <v>2M4</v>
      </c>
      <c r="F77" s="430" t="str">
        <f>REPT(Steuerung!CS35,1)</f>
        <v>Emmental 2</v>
      </c>
      <c r="G77" s="430" t="str">
        <f>REPT(Steuerung!CT35,1)</f>
        <v>Emmental 4</v>
      </c>
      <c r="I77" s="437" t="str">
        <f t="shared" si="8"/>
        <v>2M4</v>
      </c>
      <c r="J77" s="430" t="str">
        <f>REPT(Steuerung!CZ35,1)</f>
        <v>Emmental 4</v>
      </c>
      <c r="K77" s="430" t="str">
        <f>REPT(Steuerung!DA35,1)</f>
        <v>Farmer</v>
      </c>
      <c r="M77" s="437" t="str">
        <f t="shared" si="9"/>
        <v>2M4</v>
      </c>
      <c r="N77" s="430" t="str">
        <f>REPT(Steuerung!DG35,1)</f>
        <v>Safnern 2</v>
      </c>
      <c r="O77" s="430" t="str">
        <f>REPT(Steuerung!DH35,1)</f>
        <v>Emmental 4</v>
      </c>
      <c r="Q77" s="437" t="str">
        <f t="shared" si="10"/>
        <v>2M4</v>
      </c>
      <c r="R77" s="430" t="str">
        <f>REPT(Steuerung!DN35,1)</f>
        <v>Emmental 2</v>
      </c>
      <c r="S77" s="430" t="str">
        <f>REPT(Steuerung!DO35,1)</f>
        <v>Sense Steel 2</v>
      </c>
      <c r="U77" s="437" t="str">
        <f t="shared" si="11"/>
        <v>2M4</v>
      </c>
      <c r="V77" s="430" t="str">
        <f>REPT(Steuerung!DU35,1)</f>
        <v>Sense Steel 2</v>
      </c>
      <c r="W77" s="430" t="str">
        <f>REPT(Steuerung!DV35,1)</f>
        <v>Farmer</v>
      </c>
      <c r="Y77" s="437" t="str">
        <f t="shared" si="12"/>
        <v>2M4</v>
      </c>
      <c r="Z77" s="430" t="str">
        <f>REPT(Steuerung!EB35,1)</f>
        <v>Farmer</v>
      </c>
      <c r="AA77" s="430" t="str">
        <f>REPT(Steuerung!EC35,1)</f>
        <v>Emmental 2</v>
      </c>
    </row>
  </sheetData>
  <sheetProtection algorithmName="SHA-512" hashValue="mfFincdjjUayk0OnzoYNZxZO7oBLt/mlJI4olWyFjEXJ4L8tT2rHQ4pQai88b8+m//yKyr/Gw/98a0V3nhe0SQ==" saltValue="Er08HfkU8V4jJZJbNwogXw==" spinCount="100000" sheet="1" objects="1" scenarios="1" selectLockedCells="1" selectUnlockedCells="1"/>
  <pageMargins left="0.35" right="0.32" top="0.18" bottom="0.18" header="0.31496062992125984" footer="0.31496062992125984"/>
  <pageSetup paperSize="9" scale="34"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B1D004-4027-46C6-867A-EE1DCF75BF5C}">
  <sheetPr>
    <tabColor rgb="FF00B0F0"/>
  </sheetPr>
  <dimension ref="A1:J30"/>
  <sheetViews>
    <sheetView showGridLines="0" tabSelected="1" zoomScale="84" zoomScaleNormal="100" workbookViewId="0">
      <pane xSplit="8" ySplit="27" topLeftCell="I28" activePane="bottomRight" state="frozen"/>
      <selection pane="topRight" activeCell="I1" sqref="I1"/>
      <selection pane="bottomLeft" activeCell="A28" sqref="A28"/>
      <selection pane="bottomRight" activeCell="B26" sqref="B26"/>
    </sheetView>
  </sheetViews>
  <sheetFormatPr baseColWidth="10" defaultColWidth="11.42578125" defaultRowHeight="14.25"/>
  <cols>
    <col min="1" max="1" width="4.42578125" style="29" customWidth="1"/>
    <col min="2" max="2" width="70.7109375" style="29" customWidth="1"/>
    <col min="3" max="3" width="11.42578125" style="29"/>
    <col min="4" max="4" width="70.7109375" style="29" customWidth="1"/>
    <col min="5" max="5" width="4.42578125" style="29" customWidth="1"/>
    <col min="6" max="6" width="45.7109375" style="29" customWidth="1"/>
    <col min="7" max="7" width="11.42578125" style="29"/>
    <col min="8" max="8" width="45.7109375" style="29" customWidth="1"/>
    <col min="9" max="9" width="11.42578125" style="29" customWidth="1"/>
    <col min="10" max="10" width="27.42578125" style="29" customWidth="1"/>
    <col min="11" max="16384" width="11.42578125" style="29"/>
  </cols>
  <sheetData>
    <row r="1" spans="1:10">
      <c r="A1" s="28"/>
      <c r="B1" s="28"/>
      <c r="C1" s="28"/>
      <c r="D1" s="28"/>
      <c r="E1" s="28"/>
      <c r="F1" s="28"/>
      <c r="G1" s="28"/>
      <c r="H1" s="28"/>
      <c r="I1" s="28"/>
      <c r="J1" s="28"/>
    </row>
    <row r="2" spans="1:10" ht="45.75">
      <c r="A2" s="28"/>
      <c r="B2" s="43" t="s">
        <v>0</v>
      </c>
      <c r="C2" s="43"/>
      <c r="D2" s="43"/>
      <c r="E2" s="43"/>
      <c r="F2" s="43"/>
      <c r="G2" s="43"/>
      <c r="H2" s="43"/>
      <c r="I2" s="43"/>
      <c r="J2" s="43"/>
    </row>
    <row r="3" spans="1:10" ht="21.75">
      <c r="A3" s="28"/>
      <c r="B3" s="30" t="s">
        <v>1</v>
      </c>
      <c r="C3" s="31"/>
      <c r="D3" s="31"/>
      <c r="E3" s="31"/>
      <c r="F3" s="31"/>
      <c r="G3" s="31"/>
      <c r="H3" s="31"/>
      <c r="I3" s="31"/>
      <c r="J3" s="31"/>
    </row>
    <row r="4" spans="1:10" ht="21.75">
      <c r="A4" s="28"/>
      <c r="B4" s="30" t="s">
        <v>2</v>
      </c>
      <c r="C4" s="31"/>
      <c r="D4" s="31"/>
      <c r="E4" s="31"/>
      <c r="F4" s="31"/>
      <c r="G4" s="31"/>
      <c r="H4" s="31"/>
      <c r="I4" s="31"/>
      <c r="J4" s="31"/>
    </row>
    <row r="5" spans="1:10" ht="21.75">
      <c r="A5" s="28"/>
      <c r="B5" s="30" t="s">
        <v>3</v>
      </c>
      <c r="C5" s="31"/>
      <c r="D5" s="31"/>
      <c r="E5" s="31"/>
      <c r="F5" s="31"/>
      <c r="G5" s="31"/>
      <c r="H5" s="31"/>
      <c r="I5" s="31"/>
      <c r="J5" s="31"/>
    </row>
    <row r="6" spans="1:10" ht="21.75">
      <c r="A6" s="28"/>
      <c r="B6" s="30" t="s">
        <v>4</v>
      </c>
      <c r="C6" s="31"/>
      <c r="D6" s="31"/>
      <c r="E6" s="31"/>
      <c r="F6" s="31"/>
      <c r="G6" s="31"/>
      <c r="H6" s="31"/>
      <c r="I6" s="31"/>
      <c r="J6" s="31"/>
    </row>
    <row r="8" spans="1:10" ht="9" customHeight="1"/>
    <row r="9" spans="1:10" ht="9" customHeight="1"/>
    <row r="10" spans="1:10" ht="9" customHeight="1"/>
    <row r="11" spans="1:10" ht="9" customHeight="1"/>
    <row r="12" spans="1:10" ht="9" customHeight="1"/>
    <row r="14" spans="1:10" ht="22.5">
      <c r="B14" s="45" t="str">
        <f>LEFT(Sprache!K18,50)</f>
        <v>SPRACHE</v>
      </c>
      <c r="C14" s="33"/>
      <c r="D14" s="45" t="str">
        <f>LEFT(Sprache!K11,50)</f>
        <v>SAISON</v>
      </c>
      <c r="E14" s="33"/>
      <c r="F14" s="33"/>
      <c r="G14" s="33"/>
      <c r="H14" s="33"/>
    </row>
    <row r="15" spans="1:10" ht="5.0999999999999996" customHeight="1">
      <c r="B15" s="34"/>
      <c r="C15" s="33"/>
      <c r="D15" s="35"/>
      <c r="E15" s="33"/>
      <c r="F15" s="33"/>
      <c r="G15" s="33"/>
      <c r="H15" s="33"/>
    </row>
    <row r="16" spans="1:10" ht="22.5">
      <c r="B16" s="39" t="s">
        <v>160</v>
      </c>
      <c r="C16" s="33"/>
      <c r="D16" s="32" t="str">
        <f>CONCATENATE(Steuerung!A2," ",Steuerung!B2," ",Steuerung!C2)</f>
        <v>24  -  25</v>
      </c>
      <c r="E16" s="33"/>
      <c r="F16" s="33"/>
      <c r="G16" s="33"/>
      <c r="H16" s="33"/>
    </row>
    <row r="17" spans="2:8" ht="12.75" customHeight="1">
      <c r="B17" s="33"/>
      <c r="C17" s="33"/>
      <c r="D17" s="33"/>
      <c r="E17" s="33"/>
      <c r="F17" s="33"/>
      <c r="G17" s="33"/>
      <c r="H17" s="33"/>
    </row>
    <row r="18" spans="2:8" ht="20.25" customHeight="1">
      <c r="B18" s="33"/>
      <c r="C18" s="35"/>
      <c r="D18" s="33"/>
      <c r="E18" s="33"/>
      <c r="F18" s="33"/>
      <c r="G18" s="33"/>
      <c r="H18" s="33"/>
    </row>
    <row r="19" spans="2:8" ht="10.5" customHeight="1">
      <c r="B19" s="33"/>
      <c r="C19" s="35"/>
      <c r="D19" s="33"/>
      <c r="E19" s="33"/>
      <c r="F19" s="33"/>
      <c r="G19" s="33"/>
      <c r="H19" s="33"/>
    </row>
    <row r="20" spans="2:8" ht="27">
      <c r="B20" s="45" t="str">
        <f>LEFT(Sprache!K19,50)</f>
        <v>RUNDE</v>
      </c>
      <c r="C20" s="36"/>
      <c r="D20" s="45" t="str">
        <f>LEFT(Sprache!K23,50)</f>
        <v>DATUM</v>
      </c>
      <c r="E20" s="36"/>
      <c r="F20" s="45" t="str">
        <f>LEFT(Sprache!K9,50)</f>
        <v>UPDATE LIZENZEN</v>
      </c>
      <c r="G20" s="35"/>
      <c r="H20" s="45" t="str">
        <f>LEFT(Sprache!K10,50)</f>
        <v>GÜLTIG AB:</v>
      </c>
    </row>
    <row r="21" spans="2:8" ht="5.0999999999999996" customHeight="1">
      <c r="B21" s="36"/>
      <c r="C21" s="36"/>
      <c r="D21" s="36"/>
      <c r="E21" s="36"/>
      <c r="F21" s="35"/>
      <c r="G21" s="35"/>
      <c r="H21" s="35"/>
    </row>
    <row r="22" spans="2:8" ht="27">
      <c r="B22" s="39">
        <v>10</v>
      </c>
      <c r="C22" s="36"/>
      <c r="D22" s="32" t="str">
        <f>VLOOKUP(B22,Steuerung!A5:B19,2,FALSE)</f>
        <v>08./09.02.25</v>
      </c>
      <c r="E22" s="36"/>
      <c r="F22" s="588">
        <f>REPT(Licenses!F1,1)*1</f>
        <v>45696</v>
      </c>
      <c r="G22" s="35"/>
      <c r="H22" s="37" t="str">
        <f>REPT(Licenses!E2,1)</f>
        <v>Runde 10</v>
      </c>
    </row>
    <row r="23" spans="2:8" ht="21.75" customHeight="1">
      <c r="B23" s="33"/>
      <c r="C23" s="33"/>
      <c r="D23" s="33"/>
      <c r="E23" s="33"/>
      <c r="F23" s="33"/>
      <c r="G23" s="33"/>
      <c r="H23" s="33"/>
    </row>
    <row r="24" spans="2:8" ht="32.25">
      <c r="B24" s="46" t="str">
        <f>LEFT(Sprache!K12,50)</f>
        <v>SPIEL</v>
      </c>
      <c r="C24" s="47"/>
      <c r="D24" s="48"/>
      <c r="E24" s="33"/>
      <c r="F24" s="49" t="str">
        <f>LEFT(Sprache!K13,50)</f>
        <v>RESULTATMELDUNG</v>
      </c>
      <c r="G24" s="50"/>
      <c r="H24" s="51"/>
    </row>
    <row r="25" spans="2:8" ht="5.0999999999999996" customHeight="1">
      <c r="B25" s="38"/>
      <c r="C25" s="38"/>
      <c r="D25" s="38"/>
      <c r="E25" s="33"/>
      <c r="F25" s="33"/>
      <c r="G25" s="33"/>
      <c r="H25" s="33"/>
    </row>
    <row r="26" spans="2:8" ht="35.25">
      <c r="B26" s="40" t="s">
        <v>19</v>
      </c>
      <c r="C26" s="41"/>
      <c r="D26" s="42" t="str">
        <f>REPT(Steuerung!AD2,1)</f>
        <v>Gast</v>
      </c>
      <c r="E26" s="33"/>
      <c r="F26" s="53" t="s">
        <v>251</v>
      </c>
      <c r="G26" s="33"/>
      <c r="H26" s="52" t="s">
        <v>1947</v>
      </c>
    </row>
    <row r="27" spans="2:8" ht="12.75" customHeight="1"/>
    <row r="28" spans="2:8" s="44" customFormat="1"/>
    <row r="29" spans="2:8">
      <c r="F29" s="377" t="s">
        <v>252</v>
      </c>
      <c r="H29" s="376" t="s">
        <v>253</v>
      </c>
    </row>
    <row r="30" spans="2:8">
      <c r="F30" s="378" t="s">
        <v>1980</v>
      </c>
      <c r="H30" s="379">
        <v>45505</v>
      </c>
    </row>
  </sheetData>
  <sheetProtection algorithmName="SHA-512" hashValue="ax/OEyKQZ+hyoBdiLKYpL9xy6uhlmKHQi/ACGe64UkSueqqoF+WbUncXZkw7afWCW+nZb35pxPF/k01q9gahpw==" saltValue="AC/2aEl4fl3o+FR5RnWDmA==" spinCount="100000" sheet="1" objects="1" scenarios="1" selectLockedCells="1"/>
  <hyperlinks>
    <hyperlink ref="F26" r:id="rId1" xr:uid="{D1FF1F81-52BD-48E8-984B-1B4C708553FE}"/>
  </hyperlinks>
  <pageMargins left="0.7" right="0.7" top="0.78740157499999996" bottom="0.78740157499999996" header="0.3" footer="0.3"/>
  <pageSetup paperSize="9" orientation="portrait" r:id="rId2"/>
  <drawing r:id="rId3"/>
  <extLst>
    <ext xmlns:x14="http://schemas.microsoft.com/office/spreadsheetml/2009/9/main" uri="{CCE6A557-97BC-4b89-ADB6-D9C93CAAB3DF}">
      <x14:dataValidations xmlns:xm="http://schemas.microsoft.com/office/excel/2006/main" count="3">
        <x14:dataValidation type="list" allowBlank="1" showInputMessage="1" showErrorMessage="1" xr:uid="{9A0E083E-B5E9-444D-8D71-50CF4DEE2903}">
          <x14:formula1>
            <xm:f>Sprache!$A$1:$A$4</xm:f>
          </x14:formula1>
          <xm:sqref>B16</xm:sqref>
        </x14:dataValidation>
        <x14:dataValidation type="list" allowBlank="1" showInputMessage="1" showErrorMessage="1" xr:uid="{5464EECD-37C8-4410-95F3-ADF1F92817DA}">
          <x14:formula1>
            <xm:f>Steuerung!$L$3:$L$39</xm:f>
          </x14:formula1>
          <xm:sqref>B26</xm:sqref>
        </x14:dataValidation>
        <x14:dataValidation type="list" allowBlank="1" showInputMessage="1" showErrorMessage="1" xr:uid="{5C3DA3EF-821B-449E-835E-E39088BEBDAE}">
          <x14:formula1>
            <xm:f>Steuerung!$A$5:$A$19</xm:f>
          </x14:formula1>
          <xm:sqref>B22</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4AC00C-FC66-4CAB-B7D8-231215A08A5D}">
  <dimension ref="A1:K393"/>
  <sheetViews>
    <sheetView zoomScale="85" zoomScaleNormal="85" workbookViewId="0">
      <selection activeCell="A69" sqref="A69"/>
    </sheetView>
  </sheetViews>
  <sheetFormatPr baseColWidth="10" defaultRowHeight="15"/>
  <cols>
    <col min="1" max="1" width="57.85546875" customWidth="1"/>
    <col min="3" max="3" width="33.7109375" customWidth="1"/>
    <col min="5" max="9" width="24.140625" customWidth="1"/>
    <col min="11" max="11" width="86.42578125" customWidth="1"/>
  </cols>
  <sheetData>
    <row r="1" spans="1:11" ht="15.75">
      <c r="A1" s="26" t="s">
        <v>160</v>
      </c>
      <c r="B1">
        <f>IF(Start!B16="Deutsch",1,0)</f>
        <v>1</v>
      </c>
    </row>
    <row r="2" spans="1:11" ht="18">
      <c r="A2" s="27" t="s">
        <v>161</v>
      </c>
      <c r="B2">
        <f>IF(Start!B16="FRANZÖSISCH",2,0)</f>
        <v>0</v>
      </c>
    </row>
    <row r="3" spans="1:11">
      <c r="A3" t="s">
        <v>162</v>
      </c>
      <c r="B3">
        <f>IF(Start!B16="italienISCH",3,0)</f>
        <v>0</v>
      </c>
    </row>
    <row r="4" spans="1:11">
      <c r="A4" t="s">
        <v>221</v>
      </c>
      <c r="B4">
        <f>IF(Start!B16="englisch",4,0)</f>
        <v>0</v>
      </c>
    </row>
    <row r="5" spans="1:11">
      <c r="A5">
        <f>SUM(B1:B4)</f>
        <v>1</v>
      </c>
    </row>
    <row r="6" spans="1:11" ht="18">
      <c r="A6" s="26" t="s">
        <v>160</v>
      </c>
      <c r="B6">
        <v>1</v>
      </c>
      <c r="C6" s="27" t="s">
        <v>161</v>
      </c>
      <c r="D6">
        <v>2</v>
      </c>
      <c r="E6" t="s">
        <v>162</v>
      </c>
      <c r="F6">
        <v>3</v>
      </c>
      <c r="G6" t="s">
        <v>220</v>
      </c>
      <c r="H6">
        <v>4</v>
      </c>
      <c r="K6" t="str">
        <f>IF($A$5=4,G6,IF($A$5=3,E6,IF($A$5=2,C6,IF($A$5=1,A6,C6))))</f>
        <v>DEUTSCH</v>
      </c>
    </row>
    <row r="7" spans="1:11">
      <c r="K7">
        <f t="shared" ref="K7:K70" si="0">IF($A$5=4,G7,IF($A$5=3,E7,IF($A$5=2,C7,IF($A$5=1,A7,C7))))</f>
        <v>0</v>
      </c>
    </row>
    <row r="8" spans="1:11">
      <c r="A8" t="s">
        <v>5</v>
      </c>
      <c r="C8" t="s">
        <v>218</v>
      </c>
      <c r="E8" t="s">
        <v>219</v>
      </c>
      <c r="G8" t="s">
        <v>247</v>
      </c>
      <c r="J8">
        <v>8</v>
      </c>
      <c r="K8" t="str">
        <f t="shared" si="0"/>
        <v>Sprache</v>
      </c>
    </row>
    <row r="9" spans="1:11">
      <c r="A9" t="s">
        <v>270</v>
      </c>
      <c r="C9" t="s">
        <v>270</v>
      </c>
      <c r="E9" t="s">
        <v>271</v>
      </c>
      <c r="G9" t="s">
        <v>272</v>
      </c>
      <c r="J9">
        <v>9</v>
      </c>
      <c r="K9" t="str">
        <f t="shared" si="0"/>
        <v>UPDATE LIZENZEN</v>
      </c>
    </row>
    <row r="10" spans="1:11">
      <c r="A10" t="s">
        <v>266</v>
      </c>
      <c r="C10" t="s">
        <v>265</v>
      </c>
      <c r="E10" t="s">
        <v>267</v>
      </c>
      <c r="G10" t="s">
        <v>268</v>
      </c>
      <c r="J10">
        <v>10</v>
      </c>
      <c r="K10" t="str">
        <f t="shared" si="0"/>
        <v>GÜLTIG AB:</v>
      </c>
    </row>
    <row r="11" spans="1:11">
      <c r="A11" t="s">
        <v>262</v>
      </c>
      <c r="C11" t="s">
        <v>262</v>
      </c>
      <c r="E11" t="s">
        <v>263</v>
      </c>
      <c r="G11" t="s">
        <v>264</v>
      </c>
      <c r="J11">
        <v>11</v>
      </c>
      <c r="K11" t="str">
        <f t="shared" si="0"/>
        <v>SAISON</v>
      </c>
    </row>
    <row r="12" spans="1:11">
      <c r="A12" t="s">
        <v>254</v>
      </c>
      <c r="C12" t="s">
        <v>255</v>
      </c>
      <c r="E12" t="s">
        <v>257</v>
      </c>
      <c r="G12" t="s">
        <v>256</v>
      </c>
      <c r="J12">
        <v>12</v>
      </c>
      <c r="K12" t="str">
        <f t="shared" si="0"/>
        <v>SPIEL</v>
      </c>
    </row>
    <row r="13" spans="1:11">
      <c r="A13" t="s">
        <v>163</v>
      </c>
      <c r="C13" t="s">
        <v>164</v>
      </c>
      <c r="E13" t="s">
        <v>258</v>
      </c>
      <c r="G13" t="s">
        <v>259</v>
      </c>
      <c r="J13">
        <v>13</v>
      </c>
      <c r="K13" t="str">
        <f t="shared" si="0"/>
        <v>RESULTATMELDUNG</v>
      </c>
    </row>
    <row r="14" spans="1:11">
      <c r="A14" t="s">
        <v>165</v>
      </c>
      <c r="C14" t="s">
        <v>795</v>
      </c>
      <c r="E14" t="s">
        <v>794</v>
      </c>
      <c r="G14" t="s">
        <v>793</v>
      </c>
      <c r="J14">
        <v>14</v>
      </c>
      <c r="K14" t="str">
        <f t="shared" si="0"/>
        <v>Fehler</v>
      </c>
    </row>
    <row r="15" spans="1:11">
      <c r="A15" t="s">
        <v>776</v>
      </c>
      <c r="C15" t="s">
        <v>789</v>
      </c>
      <c r="E15" t="s">
        <v>788</v>
      </c>
      <c r="G15" t="s">
        <v>787</v>
      </c>
      <c r="J15">
        <v>15</v>
      </c>
      <c r="K15" t="str">
        <f t="shared" si="0"/>
        <v>Liga</v>
      </c>
    </row>
    <row r="16" spans="1:11" ht="18">
      <c r="A16" t="s">
        <v>166</v>
      </c>
      <c r="C16" t="s">
        <v>167</v>
      </c>
      <c r="E16" s="380" t="s">
        <v>1145</v>
      </c>
      <c r="G16" s="380" t="s">
        <v>1144</v>
      </c>
      <c r="J16">
        <v>16</v>
      </c>
      <c r="K16" t="str">
        <f t="shared" si="0"/>
        <v>RESULTATMELDUNG NUR ÜBER SMS!!</v>
      </c>
    </row>
    <row r="17" spans="1:11">
      <c r="A17" t="s">
        <v>168</v>
      </c>
      <c r="C17" t="s">
        <v>169</v>
      </c>
      <c r="E17" t="s">
        <v>796</v>
      </c>
      <c r="G17" t="s">
        <v>797</v>
      </c>
      <c r="J17">
        <v>17</v>
      </c>
      <c r="K17" t="str">
        <f t="shared" si="0"/>
        <v>GÜLTIG AB</v>
      </c>
    </row>
    <row r="18" spans="1:11">
      <c r="A18" t="s">
        <v>170</v>
      </c>
      <c r="C18" t="s">
        <v>171</v>
      </c>
      <c r="E18" t="s">
        <v>249</v>
      </c>
      <c r="G18" t="s">
        <v>250</v>
      </c>
      <c r="J18">
        <v>18</v>
      </c>
      <c r="K18" t="str">
        <f t="shared" si="0"/>
        <v>SPRACHE</v>
      </c>
    </row>
    <row r="19" spans="1:11">
      <c r="A19" t="s">
        <v>172</v>
      </c>
      <c r="C19" t="s">
        <v>173</v>
      </c>
      <c r="E19" t="s">
        <v>261</v>
      </c>
      <c r="G19" t="s">
        <v>260</v>
      </c>
      <c r="J19">
        <v>19</v>
      </c>
      <c r="K19" t="str">
        <f t="shared" si="0"/>
        <v>RUNDE</v>
      </c>
    </row>
    <row r="20" spans="1:11">
      <c r="A20" t="s">
        <v>174</v>
      </c>
      <c r="C20" t="s">
        <v>175</v>
      </c>
      <c r="E20" t="s">
        <v>799</v>
      </c>
      <c r="G20" t="s">
        <v>798</v>
      </c>
      <c r="J20">
        <v>20</v>
      </c>
      <c r="K20" t="str">
        <f t="shared" si="0"/>
        <v>HEIM</v>
      </c>
    </row>
    <row r="21" spans="1:11">
      <c r="A21" t="s">
        <v>176</v>
      </c>
      <c r="C21" t="s">
        <v>177</v>
      </c>
      <c r="E21" t="s">
        <v>800</v>
      </c>
      <c r="G21" t="s">
        <v>801</v>
      </c>
      <c r="J21">
        <v>21</v>
      </c>
      <c r="K21" t="str">
        <f t="shared" si="0"/>
        <v>GAST</v>
      </c>
    </row>
    <row r="22" spans="1:11">
      <c r="A22" t="s">
        <v>178</v>
      </c>
      <c r="C22" t="s">
        <v>179</v>
      </c>
      <c r="E22" t="s">
        <v>803</v>
      </c>
      <c r="G22" t="s">
        <v>802</v>
      </c>
      <c r="J22">
        <v>22</v>
      </c>
      <c r="K22" t="str">
        <f t="shared" si="0"/>
        <v>SPIEL - NR.</v>
      </c>
    </row>
    <row r="23" spans="1:11">
      <c r="A23" t="s">
        <v>180</v>
      </c>
      <c r="C23" t="s">
        <v>181</v>
      </c>
      <c r="E23" t="s">
        <v>269</v>
      </c>
      <c r="G23" t="s">
        <v>181</v>
      </c>
      <c r="J23">
        <v>23</v>
      </c>
      <c r="K23" t="str">
        <f t="shared" si="0"/>
        <v>DATUM</v>
      </c>
    </row>
    <row r="24" spans="1:11">
      <c r="A24" t="s">
        <v>182</v>
      </c>
      <c r="C24" t="s">
        <v>183</v>
      </c>
      <c r="E24" t="s">
        <v>804</v>
      </c>
      <c r="G24" t="s">
        <v>805</v>
      </c>
      <c r="J24">
        <v>24</v>
      </c>
      <c r="K24" t="str">
        <f t="shared" si="0"/>
        <v>Wenn unkomplett ( min. 5 Spieler ), hier "X"</v>
      </c>
    </row>
    <row r="25" spans="1:11">
      <c r="A25" t="s">
        <v>184</v>
      </c>
      <c r="C25" t="s">
        <v>185</v>
      </c>
      <c r="E25" t="s">
        <v>807</v>
      </c>
      <c r="G25" t="s">
        <v>806</v>
      </c>
      <c r="J25">
        <v>25</v>
      </c>
      <c r="K25" t="str">
        <f t="shared" si="0"/>
        <v>Wenn unkomplett ( min. 7 Spieler ), hier "X"</v>
      </c>
    </row>
    <row r="26" spans="1:11">
      <c r="A26" t="s">
        <v>186</v>
      </c>
      <c r="C26" t="s">
        <v>187</v>
      </c>
      <c r="E26" t="s">
        <v>808</v>
      </c>
      <c r="G26" t="s">
        <v>809</v>
      </c>
      <c r="J26">
        <v>26</v>
      </c>
      <c r="K26" t="str">
        <f t="shared" si="0"/>
        <v>Bei 2 unkompletten Mannschaften sind im 3. Block ( Gesetzt ) pro Mannschaft 1 Forfait gesetzt.</v>
      </c>
    </row>
    <row r="27" spans="1:11" ht="18">
      <c r="A27" t="s">
        <v>188</v>
      </c>
      <c r="C27" t="s">
        <v>189</v>
      </c>
      <c r="E27" s="380" t="s">
        <v>1146</v>
      </c>
      <c r="G27" s="380" t="s">
        <v>1147</v>
      </c>
      <c r="J27">
        <v>27</v>
      </c>
      <c r="K27" t="str">
        <f t="shared" si="0"/>
        <v>LIZENZ-NR.UNGÜLTIG</v>
      </c>
    </row>
    <row r="28" spans="1:11" ht="18">
      <c r="A28" t="s">
        <v>190</v>
      </c>
      <c r="C28" t="s">
        <v>191</v>
      </c>
      <c r="E28" s="380" t="s">
        <v>1149</v>
      </c>
      <c r="G28" s="380" t="s">
        <v>1148</v>
      </c>
      <c r="J28">
        <v>28</v>
      </c>
      <c r="K28" t="str">
        <f t="shared" si="0"/>
        <v>**EINTRAG NICHT MÖGLICH!!**</v>
      </c>
    </row>
    <row r="29" spans="1:11" ht="18">
      <c r="A29" t="s">
        <v>192</v>
      </c>
      <c r="C29" t="s">
        <v>193</v>
      </c>
      <c r="E29" s="380" t="s">
        <v>1150</v>
      </c>
      <c r="G29" s="380" t="s">
        <v>1151</v>
      </c>
      <c r="J29">
        <v>29</v>
      </c>
      <c r="K29" t="str">
        <f t="shared" si="0"/>
        <v>**EINTRAG NOTWENDIG**</v>
      </c>
    </row>
    <row r="30" spans="1:11" ht="18">
      <c r="A30" t="s">
        <v>194</v>
      </c>
      <c r="C30" t="s">
        <v>195</v>
      </c>
      <c r="E30" s="380" t="s">
        <v>1153</v>
      </c>
      <c r="G30" s="380" t="s">
        <v>1152</v>
      </c>
      <c r="J30">
        <v>30</v>
      </c>
      <c r="K30" t="str">
        <f t="shared" si="0"/>
        <v>Wenn komplett Forfait, hier "X"</v>
      </c>
    </row>
    <row r="31" spans="1:11" ht="18">
      <c r="A31" t="s">
        <v>196</v>
      </c>
      <c r="C31" s="380" t="s">
        <v>1155</v>
      </c>
      <c r="E31" s="380" t="s">
        <v>1154</v>
      </c>
      <c r="G31" s="380" t="s">
        <v>1156</v>
      </c>
      <c r="J31">
        <v>31</v>
      </c>
      <c r="K31" t="str">
        <f t="shared" si="0"/>
        <v>Gastmannschaft</v>
      </c>
    </row>
    <row r="32" spans="1:11" ht="18">
      <c r="A32" t="s">
        <v>197</v>
      </c>
      <c r="C32" t="s">
        <v>198</v>
      </c>
      <c r="E32" s="380" t="s">
        <v>1158</v>
      </c>
      <c r="G32" s="380" t="s">
        <v>1157</v>
      </c>
      <c r="J32">
        <v>32</v>
      </c>
      <c r="K32" t="str">
        <f t="shared" si="0"/>
        <v>Erste Runde Doppel</v>
      </c>
    </row>
    <row r="33" spans="1:11" ht="18">
      <c r="A33" t="s">
        <v>199</v>
      </c>
      <c r="C33" t="s">
        <v>200</v>
      </c>
      <c r="E33" s="380" t="s">
        <v>1160</v>
      </c>
      <c r="G33" s="380" t="s">
        <v>1159</v>
      </c>
      <c r="J33">
        <v>33</v>
      </c>
      <c r="K33" t="str">
        <f t="shared" si="0"/>
        <v>Name / Vorname</v>
      </c>
    </row>
    <row r="34" spans="1:11" ht="18">
      <c r="A34" t="s">
        <v>201</v>
      </c>
      <c r="C34" t="s">
        <v>202</v>
      </c>
      <c r="E34" s="380" t="s">
        <v>1161</v>
      </c>
      <c r="G34" s="380" t="s">
        <v>1162</v>
      </c>
      <c r="J34">
        <v>34</v>
      </c>
      <c r="K34" t="str">
        <f t="shared" si="0"/>
        <v>Heimmannschaft</v>
      </c>
    </row>
    <row r="35" spans="1:11" ht="18">
      <c r="A35" t="s">
        <v>203</v>
      </c>
      <c r="C35" t="s">
        <v>204</v>
      </c>
      <c r="E35" s="380" t="s">
        <v>1164</v>
      </c>
      <c r="G35" s="380" t="s">
        <v>1163</v>
      </c>
      <c r="J35">
        <v>35</v>
      </c>
      <c r="K35" t="str">
        <f t="shared" si="0"/>
        <v>** A C H T U N G - D O P P E L T E  L I Z E N Z - N U M M E R !!! **</v>
      </c>
    </row>
    <row r="36" spans="1:11" ht="18">
      <c r="A36" t="s">
        <v>205</v>
      </c>
      <c r="C36" t="s">
        <v>206</v>
      </c>
      <c r="E36" s="380" t="s">
        <v>1165</v>
      </c>
      <c r="G36" s="380" t="s">
        <v>1166</v>
      </c>
      <c r="J36">
        <v>36</v>
      </c>
      <c r="K36" t="str">
        <f t="shared" si="0"/>
        <v>** KEIN EINTRAG MÖGLICH !!! **</v>
      </c>
    </row>
    <row r="37" spans="1:11" ht="18">
      <c r="A37" t="s">
        <v>207</v>
      </c>
      <c r="C37" t="s">
        <v>208</v>
      </c>
      <c r="E37" s="380" t="s">
        <v>1168</v>
      </c>
      <c r="G37" s="380" t="s">
        <v>1167</v>
      </c>
      <c r="J37">
        <v>37</v>
      </c>
      <c r="K37" t="str">
        <f t="shared" si="0"/>
        <v>Erste Runde Einzel</v>
      </c>
    </row>
    <row r="38" spans="1:11" ht="18">
      <c r="A38" t="s">
        <v>209</v>
      </c>
      <c r="C38" t="s">
        <v>210</v>
      </c>
      <c r="E38" s="380" t="s">
        <v>1169</v>
      </c>
      <c r="G38" s="380" t="s">
        <v>1170</v>
      </c>
      <c r="J38">
        <v>38</v>
      </c>
      <c r="K38" t="str">
        <f t="shared" si="0"/>
        <v>Zweite Runde Doppel</v>
      </c>
    </row>
    <row r="39" spans="1:11" ht="18">
      <c r="A39" t="s">
        <v>211</v>
      </c>
      <c r="C39" t="s">
        <v>212</v>
      </c>
      <c r="E39" s="380" t="s">
        <v>1172</v>
      </c>
      <c r="G39" s="380" t="s">
        <v>1171</v>
      </c>
      <c r="J39">
        <v>39</v>
      </c>
      <c r="K39" t="str">
        <f t="shared" si="0"/>
        <v>Zweite Runde Einzel</v>
      </c>
    </row>
    <row r="40" spans="1:11" ht="18">
      <c r="A40" t="s">
        <v>213</v>
      </c>
      <c r="C40" t="s">
        <v>214</v>
      </c>
      <c r="E40" s="380" t="s">
        <v>1173</v>
      </c>
      <c r="G40" s="380" t="s">
        <v>1174</v>
      </c>
      <c r="J40">
        <v>40</v>
      </c>
      <c r="K40" t="str">
        <f t="shared" si="0"/>
        <v>Dritte Runde Einzel ( gesetzt )</v>
      </c>
    </row>
    <row r="41" spans="1:11" ht="18">
      <c r="A41" t="s">
        <v>215</v>
      </c>
      <c r="C41" t="s">
        <v>216</v>
      </c>
      <c r="E41" s="380" t="s">
        <v>1176</v>
      </c>
      <c r="G41" s="380" t="s">
        <v>1175</v>
      </c>
      <c r="J41">
        <v>41</v>
      </c>
      <c r="K41" t="str">
        <f t="shared" si="0"/>
        <v>Verfügbare Lizenzen</v>
      </c>
    </row>
    <row r="42" spans="1:11" ht="18">
      <c r="A42" t="s">
        <v>196</v>
      </c>
      <c r="C42" t="s">
        <v>217</v>
      </c>
      <c r="E42" s="380" t="s">
        <v>1154</v>
      </c>
      <c r="G42" s="380" t="s">
        <v>1156</v>
      </c>
      <c r="J42">
        <v>42</v>
      </c>
      <c r="K42" t="str">
        <f t="shared" si="0"/>
        <v>Gastmannschaft</v>
      </c>
    </row>
    <row r="43" spans="1:11">
      <c r="A43" t="s">
        <v>780</v>
      </c>
      <c r="C43" t="s">
        <v>783</v>
      </c>
      <c r="E43" t="s">
        <v>782</v>
      </c>
      <c r="G43" t="s">
        <v>781</v>
      </c>
      <c r="J43">
        <v>43</v>
      </c>
      <c r="K43" t="str">
        <f t="shared" si="0"/>
        <v>Entscheidungsspiel</v>
      </c>
    </row>
    <row r="44" spans="1:11">
      <c r="A44" t="s">
        <v>775</v>
      </c>
      <c r="C44" t="s">
        <v>784</v>
      </c>
      <c r="E44" t="s">
        <v>785</v>
      </c>
      <c r="G44" t="s">
        <v>786</v>
      </c>
      <c r="J44">
        <v>44</v>
      </c>
      <c r="K44" t="str">
        <f t="shared" si="0"/>
        <v>Spieler-Nr.</v>
      </c>
    </row>
    <row r="45" spans="1:11">
      <c r="A45" t="s">
        <v>777</v>
      </c>
      <c r="C45" t="s">
        <v>790</v>
      </c>
      <c r="E45" t="s">
        <v>791</v>
      </c>
      <c r="G45" t="s">
        <v>792</v>
      </c>
      <c r="J45">
        <v>45</v>
      </c>
      <c r="K45" t="str">
        <f t="shared" si="0"/>
        <v>Qualifiziert für:</v>
      </c>
    </row>
    <row r="46" spans="1:11">
      <c r="A46" t="s">
        <v>810</v>
      </c>
      <c r="C46" t="s">
        <v>815</v>
      </c>
      <c r="E46" t="s">
        <v>814</v>
      </c>
      <c r="G46" t="s">
        <v>813</v>
      </c>
      <c r="J46">
        <v>46</v>
      </c>
      <c r="K46" t="str">
        <f t="shared" si="0"/>
        <v>Liga=Qualifiziert für diese Liga ab 3. Spiel</v>
      </c>
    </row>
    <row r="47" spans="1:11">
      <c r="A47" t="s">
        <v>811</v>
      </c>
      <c r="C47" t="s">
        <v>816</v>
      </c>
      <c r="E47" t="s">
        <v>817</v>
      </c>
      <c r="G47" t="s">
        <v>818</v>
      </c>
      <c r="J47">
        <v>47</v>
      </c>
      <c r="K47" t="str">
        <f t="shared" si="0"/>
        <v>Der Spieler darf nur für die angegebene Mannschaft eingesetzt werden oder in einer höheren Liga</v>
      </c>
    </row>
    <row r="48" spans="1:11">
      <c r="A48" t="s">
        <v>823</v>
      </c>
      <c r="C48" t="s">
        <v>825</v>
      </c>
      <c r="E48" t="s">
        <v>826</v>
      </c>
      <c r="G48" t="s">
        <v>824</v>
      </c>
      <c r="J48">
        <v>48</v>
      </c>
      <c r="K48" t="str">
        <f t="shared" si="0"/>
        <v>***!!!!!!!!!!Doppelter Eintrag!!!!!!!!!!***</v>
      </c>
    </row>
    <row r="49" spans="1:11">
      <c r="A49" t="s">
        <v>828</v>
      </c>
      <c r="C49" t="s">
        <v>830</v>
      </c>
      <c r="E49" t="s">
        <v>829</v>
      </c>
      <c r="G49" t="s">
        <v>831</v>
      </c>
      <c r="J49">
        <v>49</v>
      </c>
      <c r="K49" t="str">
        <f t="shared" si="0"/>
        <v>**NICHT SPIELBERECHTIGT!!!**</v>
      </c>
    </row>
    <row r="50" spans="1:11" ht="18">
      <c r="A50" t="s">
        <v>215</v>
      </c>
      <c r="C50" t="s">
        <v>216</v>
      </c>
      <c r="E50" s="380" t="s">
        <v>1176</v>
      </c>
      <c r="G50" s="380" t="s">
        <v>1175</v>
      </c>
      <c r="J50">
        <v>50</v>
      </c>
      <c r="K50" t="str">
        <f t="shared" si="0"/>
        <v>Verfügbare Lizenzen</v>
      </c>
    </row>
    <row r="51" spans="1:11" ht="18">
      <c r="A51" t="s">
        <v>846</v>
      </c>
      <c r="C51" s="380" t="s">
        <v>1179</v>
      </c>
      <c r="E51" s="380" t="s">
        <v>1177</v>
      </c>
      <c r="G51" s="380" t="s">
        <v>1178</v>
      </c>
      <c r="J51">
        <v>51</v>
      </c>
      <c r="K51" t="str">
        <f t="shared" si="0"/>
        <v>Fehlereingabe</v>
      </c>
    </row>
    <row r="52" spans="1:11" ht="18">
      <c r="A52" t="s">
        <v>850</v>
      </c>
      <c r="C52" t="s">
        <v>854</v>
      </c>
      <c r="E52" s="380" t="s">
        <v>1180</v>
      </c>
      <c r="G52" s="380" t="s">
        <v>1181</v>
      </c>
      <c r="J52">
        <v>52</v>
      </c>
      <c r="K52" t="str">
        <f t="shared" si="0"/>
        <v>MANNSCHAFTSMEISTERSCHAFT</v>
      </c>
    </row>
    <row r="53" spans="1:11" ht="18">
      <c r="A53" t="s">
        <v>859</v>
      </c>
      <c r="C53" t="s">
        <v>860</v>
      </c>
      <c r="E53" s="380" t="s">
        <v>1183</v>
      </c>
      <c r="G53" s="380" t="s">
        <v>1182</v>
      </c>
      <c r="J53">
        <v>53</v>
      </c>
      <c r="K53" t="str">
        <f t="shared" si="0"/>
        <v>RESULTAT</v>
      </c>
    </row>
    <row r="54" spans="1:11" ht="18">
      <c r="A54" t="s">
        <v>856</v>
      </c>
      <c r="C54" t="s">
        <v>855</v>
      </c>
      <c r="E54" s="380" t="s">
        <v>1184</v>
      </c>
      <c r="G54" s="380" t="s">
        <v>1185</v>
      </c>
      <c r="J54">
        <v>54</v>
      </c>
      <c r="K54" t="str">
        <f t="shared" si="0"/>
        <v>LIGA</v>
      </c>
    </row>
    <row r="55" spans="1:11" ht="18">
      <c r="A55" t="s">
        <v>852</v>
      </c>
      <c r="C55" t="s">
        <v>853</v>
      </c>
      <c r="E55" s="380" t="s">
        <v>1186</v>
      </c>
      <c r="G55" s="380" t="s">
        <v>853</v>
      </c>
      <c r="J55">
        <v>55</v>
      </c>
      <c r="K55" t="str">
        <f t="shared" si="0"/>
        <v>Nr.:</v>
      </c>
    </row>
    <row r="56" spans="1:11" ht="18">
      <c r="A56" t="s">
        <v>862</v>
      </c>
      <c r="C56" t="s">
        <v>861</v>
      </c>
      <c r="E56" s="380" t="s">
        <v>1187</v>
      </c>
      <c r="G56" s="380" t="s">
        <v>1188</v>
      </c>
      <c r="J56">
        <v>56</v>
      </c>
      <c r="K56" t="str">
        <f t="shared" si="0"/>
        <v>Zwischenresultat</v>
      </c>
    </row>
    <row r="57" spans="1:11" ht="18">
      <c r="A57" t="s">
        <v>884</v>
      </c>
      <c r="C57" s="380" t="s">
        <v>1191</v>
      </c>
      <c r="E57" s="380" t="s">
        <v>1190</v>
      </c>
      <c r="G57" s="380" t="s">
        <v>1189</v>
      </c>
      <c r="J57">
        <v>57</v>
      </c>
      <c r="K57" t="str">
        <f t="shared" si="0"/>
        <v>ENDRESULTAT</v>
      </c>
    </row>
    <row r="58" spans="1:11" ht="18">
      <c r="A58" t="s">
        <v>925</v>
      </c>
      <c r="C58" t="s">
        <v>924</v>
      </c>
      <c r="E58" s="380" t="s">
        <v>1192</v>
      </c>
      <c r="G58" s="380" t="s">
        <v>1193</v>
      </c>
      <c r="J58">
        <v>58</v>
      </c>
      <c r="K58" t="str">
        <f t="shared" si="0"/>
        <v>Spieler</v>
      </c>
    </row>
    <row r="59" spans="1:11" ht="18">
      <c r="A59" t="s">
        <v>886</v>
      </c>
      <c r="C59" t="s">
        <v>889</v>
      </c>
      <c r="E59" t="s">
        <v>1196</v>
      </c>
      <c r="G59" s="380" t="s">
        <v>1194</v>
      </c>
      <c r="J59">
        <v>59</v>
      </c>
      <c r="K59" t="str">
        <f t="shared" si="0"/>
        <v>Spieler 1</v>
      </c>
    </row>
    <row r="60" spans="1:11" ht="18">
      <c r="A60" t="s">
        <v>887</v>
      </c>
      <c r="C60" t="s">
        <v>890</v>
      </c>
      <c r="E60" t="s">
        <v>1197</v>
      </c>
      <c r="G60" s="380" t="s">
        <v>1195</v>
      </c>
      <c r="J60">
        <v>60</v>
      </c>
      <c r="K60" t="str">
        <f t="shared" si="0"/>
        <v>Spieler 2</v>
      </c>
    </row>
    <row r="61" spans="1:11" ht="18">
      <c r="A61" t="s">
        <v>888</v>
      </c>
      <c r="C61" t="s">
        <v>892</v>
      </c>
      <c r="E61" s="380" t="s">
        <v>1199</v>
      </c>
      <c r="G61" s="380" t="s">
        <v>1198</v>
      </c>
      <c r="J61">
        <v>61</v>
      </c>
      <c r="K61" t="str">
        <f t="shared" si="0"/>
        <v>Rest</v>
      </c>
    </row>
    <row r="62" spans="1:11" ht="18">
      <c r="A62" t="s">
        <v>866</v>
      </c>
      <c r="C62" t="s">
        <v>893</v>
      </c>
      <c r="E62" s="380" t="s">
        <v>1200</v>
      </c>
      <c r="G62" s="380" t="s">
        <v>1201</v>
      </c>
      <c r="J62">
        <v>62</v>
      </c>
      <c r="K62" t="str">
        <f t="shared" si="0"/>
        <v>Punkte</v>
      </c>
    </row>
    <row r="63" spans="1:11" ht="18">
      <c r="A63" t="s">
        <v>165</v>
      </c>
      <c r="C63" t="s">
        <v>891</v>
      </c>
      <c r="E63" s="380" t="s">
        <v>794</v>
      </c>
      <c r="G63" s="380" t="s">
        <v>1202</v>
      </c>
      <c r="J63">
        <v>63</v>
      </c>
      <c r="K63" t="str">
        <f t="shared" si="0"/>
        <v>Fehler</v>
      </c>
    </row>
    <row r="64" spans="1:11" ht="18">
      <c r="A64" t="s">
        <v>871</v>
      </c>
      <c r="C64" t="s">
        <v>872</v>
      </c>
      <c r="E64" s="380" t="s">
        <v>1203</v>
      </c>
      <c r="G64" s="380" t="s">
        <v>1204</v>
      </c>
      <c r="J64">
        <v>64</v>
      </c>
      <c r="K64" t="str">
        <f t="shared" si="0"/>
        <v>Einzelauswertung</v>
      </c>
    </row>
    <row r="65" spans="1:11" ht="18">
      <c r="A65" t="s">
        <v>875</v>
      </c>
      <c r="C65" t="s">
        <v>878</v>
      </c>
      <c r="E65" s="380" t="s">
        <v>1206</v>
      </c>
      <c r="G65" s="380" t="s">
        <v>1205</v>
      </c>
      <c r="J65">
        <v>65</v>
      </c>
      <c r="K65" t="str">
        <f t="shared" si="0"/>
        <v># Spiele</v>
      </c>
    </row>
    <row r="66" spans="1:11">
      <c r="A66" t="s">
        <v>989</v>
      </c>
      <c r="C66" t="s">
        <v>990</v>
      </c>
      <c r="E66" t="s">
        <v>1207</v>
      </c>
      <c r="G66" t="s">
        <v>1208</v>
      </c>
      <c r="J66">
        <v>66</v>
      </c>
      <c r="K66" t="str">
        <f t="shared" si="0"/>
        <v>Spiele</v>
      </c>
    </row>
    <row r="67" spans="1:11">
      <c r="A67" t="s">
        <v>863</v>
      </c>
      <c r="C67" t="s">
        <v>990</v>
      </c>
      <c r="E67" t="s">
        <v>1137</v>
      </c>
      <c r="G67" t="s">
        <v>867</v>
      </c>
      <c r="J67">
        <v>67</v>
      </c>
      <c r="K67" t="str">
        <f t="shared" si="0"/>
        <v>Spiel</v>
      </c>
    </row>
    <row r="68" spans="1:11" ht="18">
      <c r="A68" t="s">
        <v>870</v>
      </c>
      <c r="C68" t="s">
        <v>873</v>
      </c>
      <c r="E68" s="380" t="s">
        <v>1209</v>
      </c>
      <c r="G68" s="380" t="s">
        <v>1210</v>
      </c>
      <c r="J68">
        <v>68</v>
      </c>
      <c r="K68" t="str">
        <f t="shared" si="0"/>
        <v xml:space="preserve">Eingabe Fehler:      </v>
      </c>
    </row>
    <row r="69" spans="1:11">
      <c r="A69" t="s">
        <v>1214</v>
      </c>
      <c r="J69">
        <v>69</v>
      </c>
      <c r="K69" t="str">
        <f t="shared" si="0"/>
        <v>S P I E L  B E R E I T S  G E S P I E L T</v>
      </c>
    </row>
    <row r="70" spans="1:11">
      <c r="J70">
        <v>70</v>
      </c>
      <c r="K70">
        <f t="shared" si="0"/>
        <v>0</v>
      </c>
    </row>
    <row r="71" spans="1:11">
      <c r="J71">
        <v>71</v>
      </c>
      <c r="K71">
        <f t="shared" ref="K71:K134" si="1">IF($A$5=4,G71,IF($A$5=3,E71,IF($A$5=2,C71,IF($A$5=1,A71,C71))))</f>
        <v>0</v>
      </c>
    </row>
    <row r="72" spans="1:11">
      <c r="J72">
        <v>72</v>
      </c>
      <c r="K72">
        <f t="shared" si="1"/>
        <v>0</v>
      </c>
    </row>
    <row r="73" spans="1:11">
      <c r="J73">
        <v>73</v>
      </c>
      <c r="K73">
        <f t="shared" si="1"/>
        <v>0</v>
      </c>
    </row>
    <row r="74" spans="1:11">
      <c r="J74">
        <v>74</v>
      </c>
      <c r="K74">
        <f t="shared" si="1"/>
        <v>0</v>
      </c>
    </row>
    <row r="75" spans="1:11">
      <c r="J75">
        <v>75</v>
      </c>
      <c r="K75">
        <f t="shared" si="1"/>
        <v>0</v>
      </c>
    </row>
    <row r="76" spans="1:11">
      <c r="J76">
        <v>76</v>
      </c>
      <c r="K76">
        <f t="shared" si="1"/>
        <v>0</v>
      </c>
    </row>
    <row r="77" spans="1:11">
      <c r="J77">
        <v>77</v>
      </c>
      <c r="K77">
        <f t="shared" si="1"/>
        <v>0</v>
      </c>
    </row>
    <row r="78" spans="1:11">
      <c r="J78">
        <v>78</v>
      </c>
      <c r="K78">
        <f t="shared" si="1"/>
        <v>0</v>
      </c>
    </row>
    <row r="79" spans="1:11">
      <c r="J79">
        <v>79</v>
      </c>
      <c r="K79">
        <f t="shared" si="1"/>
        <v>0</v>
      </c>
    </row>
    <row r="80" spans="1:11">
      <c r="J80">
        <v>80</v>
      </c>
      <c r="K80">
        <f t="shared" si="1"/>
        <v>0</v>
      </c>
    </row>
    <row r="81" spans="10:11">
      <c r="J81">
        <v>81</v>
      </c>
      <c r="K81">
        <f t="shared" si="1"/>
        <v>0</v>
      </c>
    </row>
    <row r="82" spans="10:11">
      <c r="J82">
        <v>82</v>
      </c>
      <c r="K82">
        <f t="shared" si="1"/>
        <v>0</v>
      </c>
    </row>
    <row r="83" spans="10:11">
      <c r="J83">
        <v>83</v>
      </c>
      <c r="K83">
        <f t="shared" si="1"/>
        <v>0</v>
      </c>
    </row>
    <row r="84" spans="10:11">
      <c r="J84">
        <v>84</v>
      </c>
      <c r="K84">
        <f t="shared" si="1"/>
        <v>0</v>
      </c>
    </row>
    <row r="85" spans="10:11">
      <c r="J85">
        <v>85</v>
      </c>
      <c r="K85">
        <f t="shared" si="1"/>
        <v>0</v>
      </c>
    </row>
    <row r="86" spans="10:11">
      <c r="J86">
        <v>86</v>
      </c>
      <c r="K86">
        <f t="shared" si="1"/>
        <v>0</v>
      </c>
    </row>
    <row r="87" spans="10:11">
      <c r="J87">
        <v>87</v>
      </c>
      <c r="K87">
        <f t="shared" si="1"/>
        <v>0</v>
      </c>
    </row>
    <row r="88" spans="10:11">
      <c r="J88">
        <v>88</v>
      </c>
      <c r="K88">
        <f t="shared" si="1"/>
        <v>0</v>
      </c>
    </row>
    <row r="89" spans="10:11">
      <c r="J89">
        <v>89</v>
      </c>
      <c r="K89">
        <f t="shared" si="1"/>
        <v>0</v>
      </c>
    </row>
    <row r="90" spans="10:11">
      <c r="J90">
        <v>90</v>
      </c>
      <c r="K90">
        <f t="shared" si="1"/>
        <v>0</v>
      </c>
    </row>
    <row r="91" spans="10:11">
      <c r="J91">
        <v>91</v>
      </c>
      <c r="K91">
        <f t="shared" si="1"/>
        <v>0</v>
      </c>
    </row>
    <row r="92" spans="10:11">
      <c r="J92">
        <v>92</v>
      </c>
      <c r="K92">
        <f t="shared" si="1"/>
        <v>0</v>
      </c>
    </row>
    <row r="93" spans="10:11">
      <c r="J93">
        <v>93</v>
      </c>
      <c r="K93">
        <f t="shared" si="1"/>
        <v>0</v>
      </c>
    </row>
    <row r="94" spans="10:11">
      <c r="J94">
        <v>94</v>
      </c>
      <c r="K94">
        <f t="shared" si="1"/>
        <v>0</v>
      </c>
    </row>
    <row r="95" spans="10:11">
      <c r="J95">
        <v>95</v>
      </c>
      <c r="K95">
        <f t="shared" si="1"/>
        <v>0</v>
      </c>
    </row>
    <row r="96" spans="10:11">
      <c r="J96">
        <v>96</v>
      </c>
      <c r="K96">
        <f t="shared" si="1"/>
        <v>0</v>
      </c>
    </row>
    <row r="97" spans="10:11">
      <c r="J97">
        <v>97</v>
      </c>
      <c r="K97">
        <f t="shared" si="1"/>
        <v>0</v>
      </c>
    </row>
    <row r="98" spans="10:11">
      <c r="J98">
        <v>98</v>
      </c>
      <c r="K98">
        <f t="shared" si="1"/>
        <v>0</v>
      </c>
    </row>
    <row r="99" spans="10:11">
      <c r="J99">
        <v>99</v>
      </c>
      <c r="K99">
        <f t="shared" si="1"/>
        <v>0</v>
      </c>
    </row>
    <row r="100" spans="10:11">
      <c r="J100">
        <v>100</v>
      </c>
      <c r="K100">
        <f t="shared" si="1"/>
        <v>0</v>
      </c>
    </row>
    <row r="101" spans="10:11">
      <c r="J101">
        <v>101</v>
      </c>
      <c r="K101">
        <f t="shared" si="1"/>
        <v>0</v>
      </c>
    </row>
    <row r="102" spans="10:11">
      <c r="J102">
        <v>102</v>
      </c>
      <c r="K102">
        <f t="shared" si="1"/>
        <v>0</v>
      </c>
    </row>
    <row r="103" spans="10:11">
      <c r="J103">
        <v>103</v>
      </c>
      <c r="K103">
        <f t="shared" si="1"/>
        <v>0</v>
      </c>
    </row>
    <row r="104" spans="10:11">
      <c r="J104">
        <v>104</v>
      </c>
      <c r="K104">
        <f t="shared" si="1"/>
        <v>0</v>
      </c>
    </row>
    <row r="105" spans="10:11">
      <c r="J105">
        <v>105</v>
      </c>
      <c r="K105">
        <f t="shared" si="1"/>
        <v>0</v>
      </c>
    </row>
    <row r="106" spans="10:11">
      <c r="J106">
        <v>106</v>
      </c>
      <c r="K106">
        <f t="shared" si="1"/>
        <v>0</v>
      </c>
    </row>
    <row r="107" spans="10:11">
      <c r="J107">
        <v>107</v>
      </c>
      <c r="K107">
        <f t="shared" si="1"/>
        <v>0</v>
      </c>
    </row>
    <row r="108" spans="10:11">
      <c r="J108">
        <v>108</v>
      </c>
      <c r="K108">
        <f t="shared" si="1"/>
        <v>0</v>
      </c>
    </row>
    <row r="109" spans="10:11">
      <c r="J109">
        <v>109</v>
      </c>
      <c r="K109">
        <f t="shared" si="1"/>
        <v>0</v>
      </c>
    </row>
    <row r="110" spans="10:11">
      <c r="J110">
        <v>110</v>
      </c>
      <c r="K110">
        <f t="shared" si="1"/>
        <v>0</v>
      </c>
    </row>
    <row r="111" spans="10:11">
      <c r="J111">
        <v>111</v>
      </c>
      <c r="K111">
        <f t="shared" si="1"/>
        <v>0</v>
      </c>
    </row>
    <row r="112" spans="10:11">
      <c r="J112">
        <v>112</v>
      </c>
      <c r="K112">
        <f t="shared" si="1"/>
        <v>0</v>
      </c>
    </row>
    <row r="113" spans="10:11">
      <c r="J113">
        <v>113</v>
      </c>
      <c r="K113">
        <f t="shared" si="1"/>
        <v>0</v>
      </c>
    </row>
    <row r="114" spans="10:11">
      <c r="J114">
        <v>114</v>
      </c>
      <c r="K114">
        <f t="shared" si="1"/>
        <v>0</v>
      </c>
    </row>
    <row r="115" spans="10:11">
      <c r="J115">
        <v>115</v>
      </c>
      <c r="K115">
        <f t="shared" si="1"/>
        <v>0</v>
      </c>
    </row>
    <row r="116" spans="10:11">
      <c r="J116">
        <v>116</v>
      </c>
      <c r="K116">
        <f t="shared" si="1"/>
        <v>0</v>
      </c>
    </row>
    <row r="117" spans="10:11">
      <c r="J117">
        <v>117</v>
      </c>
      <c r="K117">
        <f t="shared" si="1"/>
        <v>0</v>
      </c>
    </row>
    <row r="118" spans="10:11">
      <c r="J118">
        <v>118</v>
      </c>
      <c r="K118">
        <f t="shared" si="1"/>
        <v>0</v>
      </c>
    </row>
    <row r="119" spans="10:11">
      <c r="J119">
        <v>119</v>
      </c>
      <c r="K119">
        <f t="shared" si="1"/>
        <v>0</v>
      </c>
    </row>
    <row r="120" spans="10:11">
      <c r="J120">
        <v>120</v>
      </c>
      <c r="K120">
        <f t="shared" si="1"/>
        <v>0</v>
      </c>
    </row>
    <row r="121" spans="10:11">
      <c r="J121">
        <v>121</v>
      </c>
      <c r="K121">
        <f t="shared" si="1"/>
        <v>0</v>
      </c>
    </row>
    <row r="122" spans="10:11">
      <c r="J122">
        <v>122</v>
      </c>
      <c r="K122">
        <f t="shared" si="1"/>
        <v>0</v>
      </c>
    </row>
    <row r="123" spans="10:11">
      <c r="J123">
        <v>123</v>
      </c>
      <c r="K123">
        <f t="shared" si="1"/>
        <v>0</v>
      </c>
    </row>
    <row r="124" spans="10:11">
      <c r="J124">
        <v>124</v>
      </c>
      <c r="K124">
        <f t="shared" si="1"/>
        <v>0</v>
      </c>
    </row>
    <row r="125" spans="10:11">
      <c r="J125">
        <v>125</v>
      </c>
      <c r="K125">
        <f t="shared" si="1"/>
        <v>0</v>
      </c>
    </row>
    <row r="126" spans="10:11">
      <c r="J126">
        <v>126</v>
      </c>
      <c r="K126">
        <f t="shared" si="1"/>
        <v>0</v>
      </c>
    </row>
    <row r="127" spans="10:11">
      <c r="J127">
        <v>127</v>
      </c>
      <c r="K127">
        <f t="shared" si="1"/>
        <v>0</v>
      </c>
    </row>
    <row r="128" spans="10:11">
      <c r="J128">
        <v>128</v>
      </c>
      <c r="K128">
        <f t="shared" si="1"/>
        <v>0</v>
      </c>
    </row>
    <row r="129" spans="10:11">
      <c r="J129">
        <v>129</v>
      </c>
      <c r="K129">
        <f t="shared" si="1"/>
        <v>0</v>
      </c>
    </row>
    <row r="130" spans="10:11">
      <c r="J130">
        <v>130</v>
      </c>
      <c r="K130">
        <f t="shared" si="1"/>
        <v>0</v>
      </c>
    </row>
    <row r="131" spans="10:11">
      <c r="J131">
        <v>131</v>
      </c>
      <c r="K131">
        <f t="shared" si="1"/>
        <v>0</v>
      </c>
    </row>
    <row r="132" spans="10:11">
      <c r="J132">
        <v>132</v>
      </c>
      <c r="K132">
        <f t="shared" si="1"/>
        <v>0</v>
      </c>
    </row>
    <row r="133" spans="10:11">
      <c r="J133">
        <v>133</v>
      </c>
      <c r="K133">
        <f t="shared" si="1"/>
        <v>0</v>
      </c>
    </row>
    <row r="134" spans="10:11">
      <c r="J134">
        <v>134</v>
      </c>
      <c r="K134">
        <f t="shared" si="1"/>
        <v>0</v>
      </c>
    </row>
    <row r="135" spans="10:11">
      <c r="J135">
        <v>135</v>
      </c>
      <c r="K135">
        <f t="shared" ref="K135:K198" si="2">IF($A$5=4,G135,IF($A$5=3,E135,IF($A$5=2,C135,IF($A$5=1,A135,C135))))</f>
        <v>0</v>
      </c>
    </row>
    <row r="136" spans="10:11">
      <c r="J136">
        <v>136</v>
      </c>
      <c r="K136">
        <f t="shared" si="2"/>
        <v>0</v>
      </c>
    </row>
    <row r="137" spans="10:11">
      <c r="J137">
        <v>137</v>
      </c>
      <c r="K137">
        <f t="shared" si="2"/>
        <v>0</v>
      </c>
    </row>
    <row r="138" spans="10:11">
      <c r="J138">
        <v>138</v>
      </c>
      <c r="K138">
        <f t="shared" si="2"/>
        <v>0</v>
      </c>
    </row>
    <row r="139" spans="10:11">
      <c r="J139">
        <v>139</v>
      </c>
      <c r="K139">
        <f t="shared" si="2"/>
        <v>0</v>
      </c>
    </row>
    <row r="140" spans="10:11">
      <c r="J140">
        <v>140</v>
      </c>
      <c r="K140">
        <f t="shared" si="2"/>
        <v>0</v>
      </c>
    </row>
    <row r="141" spans="10:11">
      <c r="J141">
        <v>141</v>
      </c>
      <c r="K141">
        <f t="shared" si="2"/>
        <v>0</v>
      </c>
    </row>
    <row r="142" spans="10:11">
      <c r="J142">
        <v>142</v>
      </c>
      <c r="K142">
        <f t="shared" si="2"/>
        <v>0</v>
      </c>
    </row>
    <row r="143" spans="10:11">
      <c r="J143">
        <v>143</v>
      </c>
      <c r="K143">
        <f t="shared" si="2"/>
        <v>0</v>
      </c>
    </row>
    <row r="144" spans="10:11">
      <c r="J144">
        <v>144</v>
      </c>
      <c r="K144">
        <f t="shared" si="2"/>
        <v>0</v>
      </c>
    </row>
    <row r="145" spans="10:11">
      <c r="J145">
        <v>145</v>
      </c>
      <c r="K145">
        <f t="shared" si="2"/>
        <v>0</v>
      </c>
    </row>
    <row r="146" spans="10:11">
      <c r="J146">
        <v>146</v>
      </c>
      <c r="K146">
        <f t="shared" si="2"/>
        <v>0</v>
      </c>
    </row>
    <row r="147" spans="10:11">
      <c r="J147">
        <v>147</v>
      </c>
      <c r="K147">
        <f t="shared" si="2"/>
        <v>0</v>
      </c>
    </row>
    <row r="148" spans="10:11">
      <c r="J148">
        <v>148</v>
      </c>
      <c r="K148">
        <f t="shared" si="2"/>
        <v>0</v>
      </c>
    </row>
    <row r="149" spans="10:11">
      <c r="J149">
        <v>149</v>
      </c>
      <c r="K149">
        <f t="shared" si="2"/>
        <v>0</v>
      </c>
    </row>
    <row r="150" spans="10:11">
      <c r="J150">
        <v>150</v>
      </c>
      <c r="K150">
        <f t="shared" si="2"/>
        <v>0</v>
      </c>
    </row>
    <row r="151" spans="10:11">
      <c r="J151">
        <v>151</v>
      </c>
      <c r="K151">
        <f t="shared" si="2"/>
        <v>0</v>
      </c>
    </row>
    <row r="152" spans="10:11">
      <c r="J152">
        <v>152</v>
      </c>
      <c r="K152">
        <f t="shared" si="2"/>
        <v>0</v>
      </c>
    </row>
    <row r="153" spans="10:11">
      <c r="J153">
        <v>153</v>
      </c>
      <c r="K153">
        <f t="shared" si="2"/>
        <v>0</v>
      </c>
    </row>
    <row r="154" spans="10:11">
      <c r="J154">
        <v>154</v>
      </c>
      <c r="K154">
        <f t="shared" si="2"/>
        <v>0</v>
      </c>
    </row>
    <row r="155" spans="10:11">
      <c r="J155">
        <v>155</v>
      </c>
      <c r="K155">
        <f t="shared" si="2"/>
        <v>0</v>
      </c>
    </row>
    <row r="156" spans="10:11">
      <c r="J156">
        <v>156</v>
      </c>
      <c r="K156">
        <f t="shared" si="2"/>
        <v>0</v>
      </c>
    </row>
    <row r="157" spans="10:11">
      <c r="J157">
        <v>157</v>
      </c>
      <c r="K157">
        <f t="shared" si="2"/>
        <v>0</v>
      </c>
    </row>
    <row r="158" spans="10:11">
      <c r="J158">
        <v>158</v>
      </c>
      <c r="K158">
        <f t="shared" si="2"/>
        <v>0</v>
      </c>
    </row>
    <row r="159" spans="10:11">
      <c r="J159">
        <v>159</v>
      </c>
      <c r="K159">
        <f t="shared" si="2"/>
        <v>0</v>
      </c>
    </row>
    <row r="160" spans="10:11">
      <c r="J160">
        <v>160</v>
      </c>
      <c r="K160">
        <f t="shared" si="2"/>
        <v>0</v>
      </c>
    </row>
    <row r="161" spans="10:11">
      <c r="J161">
        <v>161</v>
      </c>
      <c r="K161">
        <f t="shared" si="2"/>
        <v>0</v>
      </c>
    </row>
    <row r="162" spans="10:11">
      <c r="J162">
        <v>162</v>
      </c>
      <c r="K162">
        <f t="shared" si="2"/>
        <v>0</v>
      </c>
    </row>
    <row r="163" spans="10:11">
      <c r="J163">
        <v>163</v>
      </c>
      <c r="K163">
        <f t="shared" si="2"/>
        <v>0</v>
      </c>
    </row>
    <row r="164" spans="10:11">
      <c r="J164">
        <v>164</v>
      </c>
      <c r="K164">
        <f t="shared" si="2"/>
        <v>0</v>
      </c>
    </row>
    <row r="165" spans="10:11">
      <c r="J165">
        <v>165</v>
      </c>
      <c r="K165">
        <f t="shared" si="2"/>
        <v>0</v>
      </c>
    </row>
    <row r="166" spans="10:11">
      <c r="J166">
        <v>166</v>
      </c>
      <c r="K166">
        <f t="shared" si="2"/>
        <v>0</v>
      </c>
    </row>
    <row r="167" spans="10:11">
      <c r="J167">
        <v>167</v>
      </c>
      <c r="K167">
        <f t="shared" si="2"/>
        <v>0</v>
      </c>
    </row>
    <row r="168" spans="10:11">
      <c r="J168">
        <v>168</v>
      </c>
      <c r="K168">
        <f t="shared" si="2"/>
        <v>0</v>
      </c>
    </row>
    <row r="169" spans="10:11">
      <c r="J169">
        <v>169</v>
      </c>
      <c r="K169">
        <f t="shared" si="2"/>
        <v>0</v>
      </c>
    </row>
    <row r="170" spans="10:11">
      <c r="J170">
        <v>170</v>
      </c>
      <c r="K170">
        <f t="shared" si="2"/>
        <v>0</v>
      </c>
    </row>
    <row r="171" spans="10:11">
      <c r="J171">
        <v>171</v>
      </c>
      <c r="K171">
        <f t="shared" si="2"/>
        <v>0</v>
      </c>
    </row>
    <row r="172" spans="10:11">
      <c r="J172">
        <v>172</v>
      </c>
      <c r="K172">
        <f t="shared" si="2"/>
        <v>0</v>
      </c>
    </row>
    <row r="173" spans="10:11">
      <c r="J173">
        <v>173</v>
      </c>
      <c r="K173">
        <f t="shared" si="2"/>
        <v>0</v>
      </c>
    </row>
    <row r="174" spans="10:11">
      <c r="J174">
        <v>174</v>
      </c>
      <c r="K174">
        <f t="shared" si="2"/>
        <v>0</v>
      </c>
    </row>
    <row r="175" spans="10:11">
      <c r="J175">
        <v>175</v>
      </c>
      <c r="K175">
        <f t="shared" si="2"/>
        <v>0</v>
      </c>
    </row>
    <row r="176" spans="10:11">
      <c r="J176">
        <v>176</v>
      </c>
      <c r="K176">
        <f t="shared" si="2"/>
        <v>0</v>
      </c>
    </row>
    <row r="177" spans="10:11">
      <c r="J177">
        <v>177</v>
      </c>
      <c r="K177">
        <f t="shared" si="2"/>
        <v>0</v>
      </c>
    </row>
    <row r="178" spans="10:11">
      <c r="J178">
        <v>178</v>
      </c>
      <c r="K178">
        <f t="shared" si="2"/>
        <v>0</v>
      </c>
    </row>
    <row r="179" spans="10:11">
      <c r="J179">
        <v>179</v>
      </c>
      <c r="K179">
        <f t="shared" si="2"/>
        <v>0</v>
      </c>
    </row>
    <row r="180" spans="10:11">
      <c r="J180">
        <v>180</v>
      </c>
      <c r="K180">
        <f t="shared" si="2"/>
        <v>0</v>
      </c>
    </row>
    <row r="181" spans="10:11">
      <c r="J181">
        <v>181</v>
      </c>
      <c r="K181">
        <f t="shared" si="2"/>
        <v>0</v>
      </c>
    </row>
    <row r="182" spans="10:11">
      <c r="J182">
        <v>182</v>
      </c>
      <c r="K182">
        <f t="shared" si="2"/>
        <v>0</v>
      </c>
    </row>
    <row r="183" spans="10:11">
      <c r="J183">
        <v>183</v>
      </c>
      <c r="K183">
        <f t="shared" si="2"/>
        <v>0</v>
      </c>
    </row>
    <row r="184" spans="10:11">
      <c r="J184">
        <v>184</v>
      </c>
      <c r="K184">
        <f t="shared" si="2"/>
        <v>0</v>
      </c>
    </row>
    <row r="185" spans="10:11">
      <c r="J185">
        <v>185</v>
      </c>
      <c r="K185">
        <f t="shared" si="2"/>
        <v>0</v>
      </c>
    </row>
    <row r="186" spans="10:11">
      <c r="J186">
        <v>186</v>
      </c>
      <c r="K186">
        <f t="shared" si="2"/>
        <v>0</v>
      </c>
    </row>
    <row r="187" spans="10:11">
      <c r="J187">
        <v>187</v>
      </c>
      <c r="K187">
        <f t="shared" si="2"/>
        <v>0</v>
      </c>
    </row>
    <row r="188" spans="10:11">
      <c r="J188">
        <v>188</v>
      </c>
      <c r="K188">
        <f t="shared" si="2"/>
        <v>0</v>
      </c>
    </row>
    <row r="189" spans="10:11">
      <c r="J189">
        <v>189</v>
      </c>
      <c r="K189">
        <f t="shared" si="2"/>
        <v>0</v>
      </c>
    </row>
    <row r="190" spans="10:11">
      <c r="J190">
        <v>190</v>
      </c>
      <c r="K190">
        <f t="shared" si="2"/>
        <v>0</v>
      </c>
    </row>
    <row r="191" spans="10:11">
      <c r="J191">
        <v>191</v>
      </c>
      <c r="K191">
        <f t="shared" si="2"/>
        <v>0</v>
      </c>
    </row>
    <row r="192" spans="10:11">
      <c r="J192">
        <v>192</v>
      </c>
      <c r="K192">
        <f t="shared" si="2"/>
        <v>0</v>
      </c>
    </row>
    <row r="193" spans="10:11">
      <c r="J193">
        <v>193</v>
      </c>
      <c r="K193">
        <f t="shared" si="2"/>
        <v>0</v>
      </c>
    </row>
    <row r="194" spans="10:11">
      <c r="J194">
        <v>194</v>
      </c>
      <c r="K194">
        <f t="shared" si="2"/>
        <v>0</v>
      </c>
    </row>
    <row r="195" spans="10:11">
      <c r="J195">
        <v>195</v>
      </c>
      <c r="K195">
        <f t="shared" si="2"/>
        <v>0</v>
      </c>
    </row>
    <row r="196" spans="10:11">
      <c r="J196">
        <v>196</v>
      </c>
      <c r="K196">
        <f t="shared" si="2"/>
        <v>0</v>
      </c>
    </row>
    <row r="197" spans="10:11">
      <c r="J197">
        <v>197</v>
      </c>
      <c r="K197">
        <f t="shared" si="2"/>
        <v>0</v>
      </c>
    </row>
    <row r="198" spans="10:11">
      <c r="J198">
        <v>198</v>
      </c>
      <c r="K198">
        <f t="shared" si="2"/>
        <v>0</v>
      </c>
    </row>
    <row r="199" spans="10:11">
      <c r="J199">
        <v>199</v>
      </c>
      <c r="K199">
        <f t="shared" ref="K199:K262" si="3">IF($A$5=4,G199,IF($A$5=3,E199,IF($A$5=2,C199,IF($A$5=1,A199,C199))))</f>
        <v>0</v>
      </c>
    </row>
    <row r="200" spans="10:11">
      <c r="J200">
        <v>200</v>
      </c>
      <c r="K200">
        <f t="shared" si="3"/>
        <v>0</v>
      </c>
    </row>
    <row r="201" spans="10:11">
      <c r="J201">
        <v>201</v>
      </c>
      <c r="K201">
        <f t="shared" si="3"/>
        <v>0</v>
      </c>
    </row>
    <row r="202" spans="10:11">
      <c r="J202">
        <v>202</v>
      </c>
      <c r="K202">
        <f t="shared" si="3"/>
        <v>0</v>
      </c>
    </row>
    <row r="203" spans="10:11">
      <c r="J203">
        <v>203</v>
      </c>
      <c r="K203">
        <f t="shared" si="3"/>
        <v>0</v>
      </c>
    </row>
    <row r="204" spans="10:11">
      <c r="J204">
        <v>204</v>
      </c>
      <c r="K204">
        <f t="shared" si="3"/>
        <v>0</v>
      </c>
    </row>
    <row r="205" spans="10:11">
      <c r="J205">
        <v>205</v>
      </c>
      <c r="K205">
        <f t="shared" si="3"/>
        <v>0</v>
      </c>
    </row>
    <row r="206" spans="10:11">
      <c r="J206">
        <v>206</v>
      </c>
      <c r="K206">
        <f t="shared" si="3"/>
        <v>0</v>
      </c>
    </row>
    <row r="207" spans="10:11">
      <c r="J207">
        <v>207</v>
      </c>
      <c r="K207">
        <f t="shared" si="3"/>
        <v>0</v>
      </c>
    </row>
    <row r="208" spans="10:11">
      <c r="J208">
        <v>208</v>
      </c>
      <c r="K208">
        <f t="shared" si="3"/>
        <v>0</v>
      </c>
    </row>
    <row r="209" spans="10:11">
      <c r="J209">
        <v>209</v>
      </c>
      <c r="K209">
        <f t="shared" si="3"/>
        <v>0</v>
      </c>
    </row>
    <row r="210" spans="10:11">
      <c r="J210">
        <v>210</v>
      </c>
      <c r="K210">
        <f t="shared" si="3"/>
        <v>0</v>
      </c>
    </row>
    <row r="211" spans="10:11">
      <c r="J211">
        <v>211</v>
      </c>
      <c r="K211">
        <f t="shared" si="3"/>
        <v>0</v>
      </c>
    </row>
    <row r="212" spans="10:11">
      <c r="J212">
        <v>212</v>
      </c>
      <c r="K212">
        <f t="shared" si="3"/>
        <v>0</v>
      </c>
    </row>
    <row r="213" spans="10:11">
      <c r="J213">
        <v>213</v>
      </c>
      <c r="K213">
        <f t="shared" si="3"/>
        <v>0</v>
      </c>
    </row>
    <row r="214" spans="10:11">
      <c r="J214">
        <v>214</v>
      </c>
      <c r="K214">
        <f t="shared" si="3"/>
        <v>0</v>
      </c>
    </row>
    <row r="215" spans="10:11">
      <c r="J215">
        <v>215</v>
      </c>
      <c r="K215">
        <f t="shared" si="3"/>
        <v>0</v>
      </c>
    </row>
    <row r="216" spans="10:11">
      <c r="J216">
        <v>216</v>
      </c>
      <c r="K216">
        <f t="shared" si="3"/>
        <v>0</v>
      </c>
    </row>
    <row r="217" spans="10:11">
      <c r="J217">
        <v>217</v>
      </c>
      <c r="K217">
        <f t="shared" si="3"/>
        <v>0</v>
      </c>
    </row>
    <row r="218" spans="10:11">
      <c r="J218">
        <v>218</v>
      </c>
      <c r="K218">
        <f t="shared" si="3"/>
        <v>0</v>
      </c>
    </row>
    <row r="219" spans="10:11">
      <c r="J219">
        <v>219</v>
      </c>
      <c r="K219">
        <f t="shared" si="3"/>
        <v>0</v>
      </c>
    </row>
    <row r="220" spans="10:11">
      <c r="J220">
        <v>220</v>
      </c>
      <c r="K220">
        <f t="shared" si="3"/>
        <v>0</v>
      </c>
    </row>
    <row r="221" spans="10:11">
      <c r="J221">
        <v>221</v>
      </c>
      <c r="K221">
        <f t="shared" si="3"/>
        <v>0</v>
      </c>
    </row>
    <row r="222" spans="10:11">
      <c r="J222">
        <v>222</v>
      </c>
      <c r="K222">
        <f t="shared" si="3"/>
        <v>0</v>
      </c>
    </row>
    <row r="223" spans="10:11">
      <c r="J223">
        <v>223</v>
      </c>
      <c r="K223">
        <f t="shared" si="3"/>
        <v>0</v>
      </c>
    </row>
    <row r="224" spans="10:11">
      <c r="K224">
        <f t="shared" si="3"/>
        <v>0</v>
      </c>
    </row>
    <row r="225" spans="11:11">
      <c r="K225">
        <f t="shared" si="3"/>
        <v>0</v>
      </c>
    </row>
    <row r="226" spans="11:11">
      <c r="K226">
        <f t="shared" si="3"/>
        <v>0</v>
      </c>
    </row>
    <row r="227" spans="11:11">
      <c r="K227">
        <f t="shared" si="3"/>
        <v>0</v>
      </c>
    </row>
    <row r="228" spans="11:11">
      <c r="K228">
        <f t="shared" si="3"/>
        <v>0</v>
      </c>
    </row>
    <row r="229" spans="11:11">
      <c r="K229">
        <f t="shared" si="3"/>
        <v>0</v>
      </c>
    </row>
    <row r="230" spans="11:11">
      <c r="K230">
        <f t="shared" si="3"/>
        <v>0</v>
      </c>
    </row>
    <row r="231" spans="11:11">
      <c r="K231">
        <f t="shared" si="3"/>
        <v>0</v>
      </c>
    </row>
    <row r="232" spans="11:11">
      <c r="K232">
        <f t="shared" si="3"/>
        <v>0</v>
      </c>
    </row>
    <row r="233" spans="11:11">
      <c r="K233">
        <f t="shared" si="3"/>
        <v>0</v>
      </c>
    </row>
    <row r="234" spans="11:11">
      <c r="K234">
        <f t="shared" si="3"/>
        <v>0</v>
      </c>
    </row>
    <row r="235" spans="11:11">
      <c r="K235">
        <f t="shared" si="3"/>
        <v>0</v>
      </c>
    </row>
    <row r="236" spans="11:11">
      <c r="K236">
        <f t="shared" si="3"/>
        <v>0</v>
      </c>
    </row>
    <row r="237" spans="11:11">
      <c r="K237">
        <f t="shared" si="3"/>
        <v>0</v>
      </c>
    </row>
    <row r="238" spans="11:11">
      <c r="K238">
        <f t="shared" si="3"/>
        <v>0</v>
      </c>
    </row>
    <row r="239" spans="11:11">
      <c r="K239">
        <f t="shared" si="3"/>
        <v>0</v>
      </c>
    </row>
    <row r="240" spans="11:11">
      <c r="K240">
        <f t="shared" si="3"/>
        <v>0</v>
      </c>
    </row>
    <row r="241" spans="11:11">
      <c r="K241">
        <f t="shared" si="3"/>
        <v>0</v>
      </c>
    </row>
    <row r="242" spans="11:11">
      <c r="K242">
        <f t="shared" si="3"/>
        <v>0</v>
      </c>
    </row>
    <row r="243" spans="11:11">
      <c r="K243">
        <f t="shared" si="3"/>
        <v>0</v>
      </c>
    </row>
    <row r="244" spans="11:11">
      <c r="K244">
        <f t="shared" si="3"/>
        <v>0</v>
      </c>
    </row>
    <row r="245" spans="11:11">
      <c r="K245">
        <f t="shared" si="3"/>
        <v>0</v>
      </c>
    </row>
    <row r="246" spans="11:11">
      <c r="K246">
        <f t="shared" si="3"/>
        <v>0</v>
      </c>
    </row>
    <row r="247" spans="11:11">
      <c r="K247">
        <f t="shared" si="3"/>
        <v>0</v>
      </c>
    </row>
    <row r="248" spans="11:11">
      <c r="K248">
        <f t="shared" si="3"/>
        <v>0</v>
      </c>
    </row>
    <row r="249" spans="11:11">
      <c r="K249">
        <f t="shared" si="3"/>
        <v>0</v>
      </c>
    </row>
    <row r="250" spans="11:11">
      <c r="K250">
        <f t="shared" si="3"/>
        <v>0</v>
      </c>
    </row>
    <row r="251" spans="11:11">
      <c r="K251">
        <f t="shared" si="3"/>
        <v>0</v>
      </c>
    </row>
    <row r="252" spans="11:11">
      <c r="K252">
        <f t="shared" si="3"/>
        <v>0</v>
      </c>
    </row>
    <row r="253" spans="11:11">
      <c r="K253">
        <f t="shared" si="3"/>
        <v>0</v>
      </c>
    </row>
    <row r="254" spans="11:11">
      <c r="K254">
        <f t="shared" si="3"/>
        <v>0</v>
      </c>
    </row>
    <row r="255" spans="11:11">
      <c r="K255">
        <f t="shared" si="3"/>
        <v>0</v>
      </c>
    </row>
    <row r="256" spans="11:11">
      <c r="K256">
        <f t="shared" si="3"/>
        <v>0</v>
      </c>
    </row>
    <row r="257" spans="11:11">
      <c r="K257">
        <f t="shared" si="3"/>
        <v>0</v>
      </c>
    </row>
    <row r="258" spans="11:11">
      <c r="K258">
        <f t="shared" si="3"/>
        <v>0</v>
      </c>
    </row>
    <row r="259" spans="11:11">
      <c r="K259">
        <f t="shared" si="3"/>
        <v>0</v>
      </c>
    </row>
    <row r="260" spans="11:11">
      <c r="K260">
        <f t="shared" si="3"/>
        <v>0</v>
      </c>
    </row>
    <row r="261" spans="11:11">
      <c r="K261">
        <f t="shared" si="3"/>
        <v>0</v>
      </c>
    </row>
    <row r="262" spans="11:11">
      <c r="K262">
        <f t="shared" si="3"/>
        <v>0</v>
      </c>
    </row>
    <row r="263" spans="11:11">
      <c r="K263">
        <f t="shared" ref="K263:K326" si="4">IF($A$5=4,G263,IF($A$5=3,E263,IF($A$5=2,C263,IF($A$5=1,A263,C263))))</f>
        <v>0</v>
      </c>
    </row>
    <row r="264" spans="11:11">
      <c r="K264">
        <f t="shared" si="4"/>
        <v>0</v>
      </c>
    </row>
    <row r="265" spans="11:11">
      <c r="K265">
        <f t="shared" si="4"/>
        <v>0</v>
      </c>
    </row>
    <row r="266" spans="11:11">
      <c r="K266">
        <f t="shared" si="4"/>
        <v>0</v>
      </c>
    </row>
    <row r="267" spans="11:11">
      <c r="K267">
        <f t="shared" si="4"/>
        <v>0</v>
      </c>
    </row>
    <row r="268" spans="11:11">
      <c r="K268">
        <f t="shared" si="4"/>
        <v>0</v>
      </c>
    </row>
    <row r="269" spans="11:11">
      <c r="K269">
        <f t="shared" si="4"/>
        <v>0</v>
      </c>
    </row>
    <row r="270" spans="11:11">
      <c r="K270">
        <f t="shared" si="4"/>
        <v>0</v>
      </c>
    </row>
    <row r="271" spans="11:11">
      <c r="K271">
        <f t="shared" si="4"/>
        <v>0</v>
      </c>
    </row>
    <row r="272" spans="11:11">
      <c r="K272">
        <f t="shared" si="4"/>
        <v>0</v>
      </c>
    </row>
    <row r="273" spans="11:11">
      <c r="K273">
        <f t="shared" si="4"/>
        <v>0</v>
      </c>
    </row>
    <row r="274" spans="11:11">
      <c r="K274">
        <f t="shared" si="4"/>
        <v>0</v>
      </c>
    </row>
    <row r="275" spans="11:11">
      <c r="K275">
        <f t="shared" si="4"/>
        <v>0</v>
      </c>
    </row>
    <row r="276" spans="11:11">
      <c r="K276">
        <f t="shared" si="4"/>
        <v>0</v>
      </c>
    </row>
    <row r="277" spans="11:11">
      <c r="K277">
        <f t="shared" si="4"/>
        <v>0</v>
      </c>
    </row>
    <row r="278" spans="11:11">
      <c r="K278">
        <f t="shared" si="4"/>
        <v>0</v>
      </c>
    </row>
    <row r="279" spans="11:11">
      <c r="K279">
        <f t="shared" si="4"/>
        <v>0</v>
      </c>
    </row>
    <row r="280" spans="11:11">
      <c r="K280">
        <f t="shared" si="4"/>
        <v>0</v>
      </c>
    </row>
    <row r="281" spans="11:11">
      <c r="K281">
        <f t="shared" si="4"/>
        <v>0</v>
      </c>
    </row>
    <row r="282" spans="11:11">
      <c r="K282">
        <f t="shared" si="4"/>
        <v>0</v>
      </c>
    </row>
    <row r="283" spans="11:11">
      <c r="K283">
        <f t="shared" si="4"/>
        <v>0</v>
      </c>
    </row>
    <row r="284" spans="11:11">
      <c r="K284">
        <f t="shared" si="4"/>
        <v>0</v>
      </c>
    </row>
    <row r="285" spans="11:11">
      <c r="K285">
        <f t="shared" si="4"/>
        <v>0</v>
      </c>
    </row>
    <row r="286" spans="11:11">
      <c r="K286">
        <f t="shared" si="4"/>
        <v>0</v>
      </c>
    </row>
    <row r="287" spans="11:11">
      <c r="K287">
        <f t="shared" si="4"/>
        <v>0</v>
      </c>
    </row>
    <row r="288" spans="11:11">
      <c r="K288">
        <f t="shared" si="4"/>
        <v>0</v>
      </c>
    </row>
    <row r="289" spans="11:11">
      <c r="K289">
        <f t="shared" si="4"/>
        <v>0</v>
      </c>
    </row>
    <row r="290" spans="11:11">
      <c r="K290">
        <f t="shared" si="4"/>
        <v>0</v>
      </c>
    </row>
    <row r="291" spans="11:11">
      <c r="K291">
        <f t="shared" si="4"/>
        <v>0</v>
      </c>
    </row>
    <row r="292" spans="11:11">
      <c r="K292">
        <f t="shared" si="4"/>
        <v>0</v>
      </c>
    </row>
    <row r="293" spans="11:11">
      <c r="K293">
        <f t="shared" si="4"/>
        <v>0</v>
      </c>
    </row>
    <row r="294" spans="11:11">
      <c r="K294">
        <f t="shared" si="4"/>
        <v>0</v>
      </c>
    </row>
    <row r="295" spans="11:11">
      <c r="K295">
        <f t="shared" si="4"/>
        <v>0</v>
      </c>
    </row>
    <row r="296" spans="11:11">
      <c r="K296">
        <f t="shared" si="4"/>
        <v>0</v>
      </c>
    </row>
    <row r="297" spans="11:11">
      <c r="K297">
        <f t="shared" si="4"/>
        <v>0</v>
      </c>
    </row>
    <row r="298" spans="11:11">
      <c r="K298">
        <f t="shared" si="4"/>
        <v>0</v>
      </c>
    </row>
    <row r="299" spans="11:11">
      <c r="K299">
        <f t="shared" si="4"/>
        <v>0</v>
      </c>
    </row>
    <row r="300" spans="11:11">
      <c r="K300">
        <f t="shared" si="4"/>
        <v>0</v>
      </c>
    </row>
    <row r="301" spans="11:11">
      <c r="K301">
        <f t="shared" si="4"/>
        <v>0</v>
      </c>
    </row>
    <row r="302" spans="11:11">
      <c r="K302">
        <f t="shared" si="4"/>
        <v>0</v>
      </c>
    </row>
    <row r="303" spans="11:11">
      <c r="K303">
        <f t="shared" si="4"/>
        <v>0</v>
      </c>
    </row>
    <row r="304" spans="11:11">
      <c r="K304">
        <f t="shared" si="4"/>
        <v>0</v>
      </c>
    </row>
    <row r="305" spans="11:11">
      <c r="K305">
        <f t="shared" si="4"/>
        <v>0</v>
      </c>
    </row>
    <row r="306" spans="11:11">
      <c r="K306">
        <f t="shared" si="4"/>
        <v>0</v>
      </c>
    </row>
    <row r="307" spans="11:11">
      <c r="K307">
        <f t="shared" si="4"/>
        <v>0</v>
      </c>
    </row>
    <row r="308" spans="11:11">
      <c r="K308">
        <f t="shared" si="4"/>
        <v>0</v>
      </c>
    </row>
    <row r="309" spans="11:11">
      <c r="K309">
        <f t="shared" si="4"/>
        <v>0</v>
      </c>
    </row>
    <row r="310" spans="11:11">
      <c r="K310">
        <f t="shared" si="4"/>
        <v>0</v>
      </c>
    </row>
    <row r="311" spans="11:11">
      <c r="K311">
        <f t="shared" si="4"/>
        <v>0</v>
      </c>
    </row>
    <row r="312" spans="11:11">
      <c r="K312">
        <f t="shared" si="4"/>
        <v>0</v>
      </c>
    </row>
    <row r="313" spans="11:11">
      <c r="K313">
        <f t="shared" si="4"/>
        <v>0</v>
      </c>
    </row>
    <row r="314" spans="11:11">
      <c r="K314">
        <f t="shared" si="4"/>
        <v>0</v>
      </c>
    </row>
    <row r="315" spans="11:11">
      <c r="K315">
        <f t="shared" si="4"/>
        <v>0</v>
      </c>
    </row>
    <row r="316" spans="11:11">
      <c r="K316">
        <f t="shared" si="4"/>
        <v>0</v>
      </c>
    </row>
    <row r="317" spans="11:11">
      <c r="K317">
        <f t="shared" si="4"/>
        <v>0</v>
      </c>
    </row>
    <row r="318" spans="11:11">
      <c r="K318">
        <f t="shared" si="4"/>
        <v>0</v>
      </c>
    </row>
    <row r="319" spans="11:11">
      <c r="K319">
        <f t="shared" si="4"/>
        <v>0</v>
      </c>
    </row>
    <row r="320" spans="11:11">
      <c r="K320">
        <f t="shared" si="4"/>
        <v>0</v>
      </c>
    </row>
    <row r="321" spans="11:11">
      <c r="K321">
        <f t="shared" si="4"/>
        <v>0</v>
      </c>
    </row>
    <row r="322" spans="11:11">
      <c r="K322">
        <f t="shared" si="4"/>
        <v>0</v>
      </c>
    </row>
    <row r="323" spans="11:11">
      <c r="K323">
        <f t="shared" si="4"/>
        <v>0</v>
      </c>
    </row>
    <row r="324" spans="11:11">
      <c r="K324">
        <f t="shared" si="4"/>
        <v>0</v>
      </c>
    </row>
    <row r="325" spans="11:11">
      <c r="K325">
        <f t="shared" si="4"/>
        <v>0</v>
      </c>
    </row>
    <row r="326" spans="11:11">
      <c r="K326">
        <f t="shared" si="4"/>
        <v>0</v>
      </c>
    </row>
    <row r="327" spans="11:11">
      <c r="K327">
        <f t="shared" ref="K327:K390" si="5">IF($A$5=4,G327,IF($A$5=3,E327,IF($A$5=2,C327,IF($A$5=1,A327,C327))))</f>
        <v>0</v>
      </c>
    </row>
    <row r="328" spans="11:11">
      <c r="K328">
        <f t="shared" si="5"/>
        <v>0</v>
      </c>
    </row>
    <row r="329" spans="11:11">
      <c r="K329">
        <f t="shared" si="5"/>
        <v>0</v>
      </c>
    </row>
    <row r="330" spans="11:11">
      <c r="K330">
        <f t="shared" si="5"/>
        <v>0</v>
      </c>
    </row>
    <row r="331" spans="11:11">
      <c r="K331">
        <f t="shared" si="5"/>
        <v>0</v>
      </c>
    </row>
    <row r="332" spans="11:11">
      <c r="K332">
        <f t="shared" si="5"/>
        <v>0</v>
      </c>
    </row>
    <row r="333" spans="11:11">
      <c r="K333">
        <f t="shared" si="5"/>
        <v>0</v>
      </c>
    </row>
    <row r="334" spans="11:11">
      <c r="K334">
        <f t="shared" si="5"/>
        <v>0</v>
      </c>
    </row>
    <row r="335" spans="11:11">
      <c r="K335">
        <f t="shared" si="5"/>
        <v>0</v>
      </c>
    </row>
    <row r="336" spans="11:11">
      <c r="K336">
        <f t="shared" si="5"/>
        <v>0</v>
      </c>
    </row>
    <row r="337" spans="11:11">
      <c r="K337">
        <f t="shared" si="5"/>
        <v>0</v>
      </c>
    </row>
    <row r="338" spans="11:11">
      <c r="K338">
        <f t="shared" si="5"/>
        <v>0</v>
      </c>
    </row>
    <row r="339" spans="11:11">
      <c r="K339">
        <f t="shared" si="5"/>
        <v>0</v>
      </c>
    </row>
    <row r="340" spans="11:11">
      <c r="K340">
        <f t="shared" si="5"/>
        <v>0</v>
      </c>
    </row>
    <row r="341" spans="11:11">
      <c r="K341">
        <f t="shared" si="5"/>
        <v>0</v>
      </c>
    </row>
    <row r="342" spans="11:11">
      <c r="K342">
        <f t="shared" si="5"/>
        <v>0</v>
      </c>
    </row>
    <row r="343" spans="11:11">
      <c r="K343">
        <f t="shared" si="5"/>
        <v>0</v>
      </c>
    </row>
    <row r="344" spans="11:11">
      <c r="K344">
        <f t="shared" si="5"/>
        <v>0</v>
      </c>
    </row>
    <row r="345" spans="11:11">
      <c r="K345">
        <f t="shared" si="5"/>
        <v>0</v>
      </c>
    </row>
    <row r="346" spans="11:11">
      <c r="K346">
        <f t="shared" si="5"/>
        <v>0</v>
      </c>
    </row>
    <row r="347" spans="11:11">
      <c r="K347">
        <f t="shared" si="5"/>
        <v>0</v>
      </c>
    </row>
    <row r="348" spans="11:11">
      <c r="K348">
        <f t="shared" si="5"/>
        <v>0</v>
      </c>
    </row>
    <row r="349" spans="11:11">
      <c r="K349">
        <f t="shared" si="5"/>
        <v>0</v>
      </c>
    </row>
    <row r="350" spans="11:11">
      <c r="K350">
        <f t="shared" si="5"/>
        <v>0</v>
      </c>
    </row>
    <row r="351" spans="11:11">
      <c r="K351">
        <f t="shared" si="5"/>
        <v>0</v>
      </c>
    </row>
    <row r="352" spans="11:11">
      <c r="K352">
        <f t="shared" si="5"/>
        <v>0</v>
      </c>
    </row>
    <row r="353" spans="11:11">
      <c r="K353">
        <f t="shared" si="5"/>
        <v>0</v>
      </c>
    </row>
    <row r="354" spans="11:11">
      <c r="K354">
        <f t="shared" si="5"/>
        <v>0</v>
      </c>
    </row>
    <row r="355" spans="11:11">
      <c r="K355">
        <f t="shared" si="5"/>
        <v>0</v>
      </c>
    </row>
    <row r="356" spans="11:11">
      <c r="K356">
        <f t="shared" si="5"/>
        <v>0</v>
      </c>
    </row>
    <row r="357" spans="11:11">
      <c r="K357">
        <f t="shared" si="5"/>
        <v>0</v>
      </c>
    </row>
    <row r="358" spans="11:11">
      <c r="K358">
        <f t="shared" si="5"/>
        <v>0</v>
      </c>
    </row>
    <row r="359" spans="11:11">
      <c r="K359">
        <f t="shared" si="5"/>
        <v>0</v>
      </c>
    </row>
    <row r="360" spans="11:11">
      <c r="K360">
        <f t="shared" si="5"/>
        <v>0</v>
      </c>
    </row>
    <row r="361" spans="11:11">
      <c r="K361">
        <f t="shared" si="5"/>
        <v>0</v>
      </c>
    </row>
    <row r="362" spans="11:11">
      <c r="K362">
        <f t="shared" si="5"/>
        <v>0</v>
      </c>
    </row>
    <row r="363" spans="11:11">
      <c r="K363">
        <f t="shared" si="5"/>
        <v>0</v>
      </c>
    </row>
    <row r="364" spans="11:11">
      <c r="K364">
        <f t="shared" si="5"/>
        <v>0</v>
      </c>
    </row>
    <row r="365" spans="11:11">
      <c r="K365">
        <f t="shared" si="5"/>
        <v>0</v>
      </c>
    </row>
    <row r="366" spans="11:11">
      <c r="K366">
        <f t="shared" si="5"/>
        <v>0</v>
      </c>
    </row>
    <row r="367" spans="11:11">
      <c r="K367">
        <f t="shared" si="5"/>
        <v>0</v>
      </c>
    </row>
    <row r="368" spans="11:11">
      <c r="K368">
        <f t="shared" si="5"/>
        <v>0</v>
      </c>
    </row>
    <row r="369" spans="11:11">
      <c r="K369">
        <f t="shared" si="5"/>
        <v>0</v>
      </c>
    </row>
    <row r="370" spans="11:11">
      <c r="K370">
        <f t="shared" si="5"/>
        <v>0</v>
      </c>
    </row>
    <row r="371" spans="11:11">
      <c r="K371">
        <f t="shared" si="5"/>
        <v>0</v>
      </c>
    </row>
    <row r="372" spans="11:11">
      <c r="K372">
        <f t="shared" si="5"/>
        <v>0</v>
      </c>
    </row>
    <row r="373" spans="11:11">
      <c r="K373">
        <f t="shared" si="5"/>
        <v>0</v>
      </c>
    </row>
    <row r="374" spans="11:11">
      <c r="K374">
        <f t="shared" si="5"/>
        <v>0</v>
      </c>
    </row>
    <row r="375" spans="11:11">
      <c r="K375">
        <f t="shared" si="5"/>
        <v>0</v>
      </c>
    </row>
    <row r="376" spans="11:11">
      <c r="K376">
        <f t="shared" si="5"/>
        <v>0</v>
      </c>
    </row>
    <row r="377" spans="11:11">
      <c r="K377">
        <f t="shared" si="5"/>
        <v>0</v>
      </c>
    </row>
    <row r="378" spans="11:11">
      <c r="K378">
        <f t="shared" si="5"/>
        <v>0</v>
      </c>
    </row>
    <row r="379" spans="11:11">
      <c r="K379">
        <f t="shared" si="5"/>
        <v>0</v>
      </c>
    </row>
    <row r="380" spans="11:11">
      <c r="K380">
        <f t="shared" si="5"/>
        <v>0</v>
      </c>
    </row>
    <row r="381" spans="11:11">
      <c r="K381">
        <f t="shared" si="5"/>
        <v>0</v>
      </c>
    </row>
    <row r="382" spans="11:11">
      <c r="K382">
        <f t="shared" si="5"/>
        <v>0</v>
      </c>
    </row>
    <row r="383" spans="11:11">
      <c r="K383">
        <f t="shared" si="5"/>
        <v>0</v>
      </c>
    </row>
    <row r="384" spans="11:11">
      <c r="K384">
        <f t="shared" si="5"/>
        <v>0</v>
      </c>
    </row>
    <row r="385" spans="11:11">
      <c r="K385">
        <f t="shared" si="5"/>
        <v>0</v>
      </c>
    </row>
    <row r="386" spans="11:11">
      <c r="K386">
        <f t="shared" si="5"/>
        <v>0</v>
      </c>
    </row>
    <row r="387" spans="11:11">
      <c r="K387">
        <f t="shared" si="5"/>
        <v>0</v>
      </c>
    </row>
    <row r="388" spans="11:11">
      <c r="K388">
        <f t="shared" si="5"/>
        <v>0</v>
      </c>
    </row>
    <row r="389" spans="11:11">
      <c r="K389">
        <f t="shared" si="5"/>
        <v>0</v>
      </c>
    </row>
    <row r="390" spans="11:11">
      <c r="K390">
        <f t="shared" si="5"/>
        <v>0</v>
      </c>
    </row>
    <row r="391" spans="11:11">
      <c r="K391">
        <f t="shared" ref="K391:K393" si="6">IF($A$5=4,G391,IF($A$5=3,E391,IF($A$5=2,C391,IF($A$5=1,A391,C391))))</f>
        <v>0</v>
      </c>
    </row>
    <row r="392" spans="11:11">
      <c r="K392">
        <f t="shared" si="6"/>
        <v>0</v>
      </c>
    </row>
    <row r="393" spans="11:11">
      <c r="K393">
        <f t="shared" si="6"/>
        <v>0</v>
      </c>
    </row>
  </sheetData>
  <pageMargins left="0.7" right="0.7" top="0.78740157499999996" bottom="0.78740157499999996"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7403D4-1182-4960-A968-6EE7C30F91A1}">
  <dimension ref="A1:FK451"/>
  <sheetViews>
    <sheetView zoomScale="70" zoomScaleNormal="70" workbookViewId="0">
      <selection activeCell="B53" sqref="B53:B60"/>
    </sheetView>
  </sheetViews>
  <sheetFormatPr baseColWidth="10" defaultRowHeight="15"/>
  <cols>
    <col min="1" max="1" width="12" style="2" customWidth="1"/>
    <col min="2" max="2" width="14.28515625" style="2" customWidth="1"/>
    <col min="3" max="3" width="11.42578125" style="2"/>
    <col min="4" max="4" width="4.140625" style="2" customWidth="1"/>
    <col min="5" max="5" width="11.42578125" style="1"/>
    <col min="6" max="6" width="28.42578125" style="1" customWidth="1"/>
    <col min="7" max="8" width="11.42578125" style="1"/>
    <col min="9" max="9" width="21.140625" style="1" customWidth="1"/>
    <col min="10" max="11" width="11.42578125" style="1"/>
    <col min="12" max="12" width="28" style="1" customWidth="1"/>
    <col min="13" max="13" width="5.42578125" style="1" customWidth="1"/>
    <col min="14" max="15" width="11.42578125" style="1"/>
    <col min="16" max="16" width="10.42578125" style="1" customWidth="1"/>
    <col min="17" max="17" width="11.42578125" style="1"/>
    <col min="18" max="18" width="6.42578125" style="1" customWidth="1"/>
    <col min="19" max="19" width="22.28515625" style="1" customWidth="1"/>
    <col min="20" max="20" width="21.28515625" style="1" customWidth="1"/>
    <col min="21" max="31" width="6" style="1" customWidth="1"/>
    <col min="32" max="32" width="19.7109375" style="1" customWidth="1"/>
    <col min="33" max="33" width="6" style="1" customWidth="1"/>
    <col min="34" max="34" width="22.7109375" customWidth="1"/>
    <col min="35" max="37" width="11.42578125" style="1"/>
    <col min="38" max="39" width="7.7109375" style="1" customWidth="1"/>
    <col min="40" max="40" width="11.42578125" style="1"/>
    <col min="41" max="41" width="17.85546875" style="1" customWidth="1"/>
    <col min="42" max="43" width="11.42578125" style="1"/>
    <col min="44" max="44" width="3.7109375" style="1" customWidth="1"/>
    <col min="45" max="46" width="7.7109375" style="1" customWidth="1"/>
    <col min="47" max="47" width="16.28515625" style="1" customWidth="1"/>
    <col min="48" max="50" width="11.42578125" style="1"/>
    <col min="51" max="51" width="3.7109375" style="1" customWidth="1"/>
    <col min="52" max="53" width="7.7109375" style="1" customWidth="1"/>
    <col min="54" max="57" width="11.42578125" style="1"/>
    <col min="58" max="58" width="3.7109375" style="1" customWidth="1"/>
    <col min="59" max="60" width="7.7109375" style="1" customWidth="1"/>
    <col min="61" max="64" width="11.42578125" style="1"/>
    <col min="65" max="65" width="3.7109375" style="1" customWidth="1"/>
    <col min="66" max="67" width="7.7109375" style="1" customWidth="1"/>
    <col min="68" max="71" width="11.42578125" style="1"/>
    <col min="72" max="72" width="3.7109375" style="1" customWidth="1"/>
    <col min="73" max="74" width="7.7109375" style="1" customWidth="1"/>
    <col min="75" max="78" width="11.42578125" style="1"/>
    <col min="79" max="79" width="3.7109375" style="1" customWidth="1"/>
    <col min="80" max="81" width="7.7109375" style="1" customWidth="1"/>
    <col min="82" max="85" width="11.42578125" style="1"/>
    <col min="86" max="86" width="3.7109375" style="1" customWidth="1"/>
    <col min="87" max="88" width="7.7109375" style="1" customWidth="1"/>
    <col min="89" max="92" width="11.42578125" style="1"/>
    <col min="93" max="93" width="3.7109375" style="1" customWidth="1"/>
    <col min="94" max="95" width="7.7109375" style="1" customWidth="1"/>
    <col min="96" max="99" width="11.42578125" style="1"/>
    <col min="100" max="100" width="3.7109375" style="1" customWidth="1"/>
    <col min="101" max="102" width="7.7109375" style="1" customWidth="1"/>
    <col min="103" max="106" width="11.42578125" style="1"/>
    <col min="107" max="107" width="3.7109375" style="1" customWidth="1"/>
    <col min="108" max="109" width="7.7109375" style="1" customWidth="1"/>
    <col min="110" max="113" width="11.42578125" style="1"/>
    <col min="114" max="114" width="3.7109375" style="1" customWidth="1"/>
    <col min="115" max="116" width="7.7109375" style="1" customWidth="1"/>
    <col min="117" max="120" width="11.42578125" style="1"/>
    <col min="121" max="121" width="3.7109375" style="1" customWidth="1"/>
    <col min="122" max="123" width="7.7109375" style="1" customWidth="1"/>
    <col min="124" max="127" width="11.42578125" style="1"/>
    <col min="128" max="128" width="3.7109375" style="1" customWidth="1"/>
    <col min="129" max="130" width="7.7109375" style="1" customWidth="1"/>
    <col min="131" max="134" width="11.42578125" style="1"/>
    <col min="135" max="135" width="3.7109375" style="1" customWidth="1"/>
    <col min="136" max="161" width="11.42578125" style="1"/>
    <col min="162" max="162" width="22.85546875" style="1" customWidth="1"/>
    <col min="163" max="163" width="14.42578125" style="1" customWidth="1"/>
    <col min="164" max="167" width="11.42578125" style="1"/>
    <col min="168" max="272" width="11.42578125" style="2"/>
    <col min="273" max="273" width="12" style="2" customWidth="1"/>
    <col min="274" max="274" width="14.28515625" style="2" customWidth="1"/>
    <col min="275" max="275" width="11.42578125" style="2"/>
    <col min="276" max="276" width="4.140625" style="2" customWidth="1"/>
    <col min="277" max="277" width="11.42578125" style="2"/>
    <col min="278" max="278" width="28.42578125" style="2" customWidth="1"/>
    <col min="279" max="280" width="11.42578125" style="2"/>
    <col min="281" max="281" width="5.42578125" style="2" customWidth="1"/>
    <col min="282" max="283" width="11.42578125" style="2"/>
    <col min="284" max="284" width="10.42578125" style="2" customWidth="1"/>
    <col min="285" max="285" width="11.42578125" style="2"/>
    <col min="286" max="286" width="6.42578125" style="2" customWidth="1"/>
    <col min="287" max="287" width="22.28515625" style="2" customWidth="1"/>
    <col min="288" max="288" width="21.28515625" style="2" customWidth="1"/>
    <col min="289" max="289" width="6" style="2" customWidth="1"/>
    <col min="290" max="293" width="11.42578125" style="2"/>
    <col min="294" max="295" width="7.7109375" style="2" customWidth="1"/>
    <col min="296" max="296" width="11.42578125" style="2"/>
    <col min="297" max="297" width="17.85546875" style="2" customWidth="1"/>
    <col min="298" max="299" width="11.42578125" style="2"/>
    <col min="300" max="300" width="3.7109375" style="2" customWidth="1"/>
    <col min="301" max="302" width="7.7109375" style="2" customWidth="1"/>
    <col min="303" max="303" width="16.28515625" style="2" customWidth="1"/>
    <col min="304" max="306" width="11.42578125" style="2"/>
    <col min="307" max="307" width="3.7109375" style="2" customWidth="1"/>
    <col min="308" max="309" width="7.7109375" style="2" customWidth="1"/>
    <col min="310" max="313" width="11.42578125" style="2"/>
    <col min="314" max="314" width="3.7109375" style="2" customWidth="1"/>
    <col min="315" max="316" width="7.7109375" style="2" customWidth="1"/>
    <col min="317" max="320" width="11.42578125" style="2"/>
    <col min="321" max="321" width="3.7109375" style="2" customWidth="1"/>
    <col min="322" max="323" width="7.7109375" style="2" customWidth="1"/>
    <col min="324" max="327" width="11.42578125" style="2"/>
    <col min="328" max="328" width="3.7109375" style="2" customWidth="1"/>
    <col min="329" max="330" width="7.7109375" style="2" customWidth="1"/>
    <col min="331" max="334" width="11.42578125" style="2"/>
    <col min="335" max="335" width="3.7109375" style="2" customWidth="1"/>
    <col min="336" max="337" width="7.7109375" style="2" customWidth="1"/>
    <col min="338" max="341" width="11.42578125" style="2"/>
    <col min="342" max="342" width="3.7109375" style="2" customWidth="1"/>
    <col min="343" max="344" width="7.7109375" style="2" customWidth="1"/>
    <col min="345" max="348" width="11.42578125" style="2"/>
    <col min="349" max="349" width="3.7109375" style="2" customWidth="1"/>
    <col min="350" max="351" width="7.7109375" style="2" customWidth="1"/>
    <col min="352" max="355" width="11.42578125" style="2"/>
    <col min="356" max="356" width="3.7109375" style="2" customWidth="1"/>
    <col min="357" max="358" width="7.7109375" style="2" customWidth="1"/>
    <col min="359" max="362" width="11.42578125" style="2"/>
    <col min="363" max="363" width="3.7109375" style="2" customWidth="1"/>
    <col min="364" max="365" width="7.7109375" style="2" customWidth="1"/>
    <col min="366" max="369" width="11.42578125" style="2"/>
    <col min="370" max="370" width="3.7109375" style="2" customWidth="1"/>
    <col min="371" max="372" width="7.7109375" style="2" customWidth="1"/>
    <col min="373" max="376" width="11.42578125" style="2"/>
    <col min="377" max="377" width="3.7109375" style="2" customWidth="1"/>
    <col min="378" max="379" width="7.7109375" style="2" customWidth="1"/>
    <col min="380" max="383" width="11.42578125" style="2"/>
    <col min="384" max="384" width="3.7109375" style="2" customWidth="1"/>
    <col min="385" max="386" width="7.7109375" style="2" customWidth="1"/>
    <col min="387" max="390" width="11.42578125" style="2"/>
    <col min="391" max="391" width="3.7109375" style="2" customWidth="1"/>
    <col min="392" max="417" width="11.42578125" style="2"/>
    <col min="418" max="418" width="22.85546875" style="2" customWidth="1"/>
    <col min="419" max="419" width="14.42578125" style="2" customWidth="1"/>
    <col min="420" max="528" width="11.42578125" style="2"/>
    <col min="529" max="529" width="12" style="2" customWidth="1"/>
    <col min="530" max="530" width="14.28515625" style="2" customWidth="1"/>
    <col min="531" max="531" width="11.42578125" style="2"/>
    <col min="532" max="532" width="4.140625" style="2" customWidth="1"/>
    <col min="533" max="533" width="11.42578125" style="2"/>
    <col min="534" max="534" width="28.42578125" style="2" customWidth="1"/>
    <col min="535" max="536" width="11.42578125" style="2"/>
    <col min="537" max="537" width="5.42578125" style="2" customWidth="1"/>
    <col min="538" max="539" width="11.42578125" style="2"/>
    <col min="540" max="540" width="10.42578125" style="2" customWidth="1"/>
    <col min="541" max="541" width="11.42578125" style="2"/>
    <col min="542" max="542" width="6.42578125" style="2" customWidth="1"/>
    <col min="543" max="543" width="22.28515625" style="2" customWidth="1"/>
    <col min="544" max="544" width="21.28515625" style="2" customWidth="1"/>
    <col min="545" max="545" width="6" style="2" customWidth="1"/>
    <col min="546" max="549" width="11.42578125" style="2"/>
    <col min="550" max="551" width="7.7109375" style="2" customWidth="1"/>
    <col min="552" max="552" width="11.42578125" style="2"/>
    <col min="553" max="553" width="17.85546875" style="2" customWidth="1"/>
    <col min="554" max="555" width="11.42578125" style="2"/>
    <col min="556" max="556" width="3.7109375" style="2" customWidth="1"/>
    <col min="557" max="558" width="7.7109375" style="2" customWidth="1"/>
    <col min="559" max="559" width="16.28515625" style="2" customWidth="1"/>
    <col min="560" max="562" width="11.42578125" style="2"/>
    <col min="563" max="563" width="3.7109375" style="2" customWidth="1"/>
    <col min="564" max="565" width="7.7109375" style="2" customWidth="1"/>
    <col min="566" max="569" width="11.42578125" style="2"/>
    <col min="570" max="570" width="3.7109375" style="2" customWidth="1"/>
    <col min="571" max="572" width="7.7109375" style="2" customWidth="1"/>
    <col min="573" max="576" width="11.42578125" style="2"/>
    <col min="577" max="577" width="3.7109375" style="2" customWidth="1"/>
    <col min="578" max="579" width="7.7109375" style="2" customWidth="1"/>
    <col min="580" max="583" width="11.42578125" style="2"/>
    <col min="584" max="584" width="3.7109375" style="2" customWidth="1"/>
    <col min="585" max="586" width="7.7109375" style="2" customWidth="1"/>
    <col min="587" max="590" width="11.42578125" style="2"/>
    <col min="591" max="591" width="3.7109375" style="2" customWidth="1"/>
    <col min="592" max="593" width="7.7109375" style="2" customWidth="1"/>
    <col min="594" max="597" width="11.42578125" style="2"/>
    <col min="598" max="598" width="3.7109375" style="2" customWidth="1"/>
    <col min="599" max="600" width="7.7109375" style="2" customWidth="1"/>
    <col min="601" max="604" width="11.42578125" style="2"/>
    <col min="605" max="605" width="3.7109375" style="2" customWidth="1"/>
    <col min="606" max="607" width="7.7109375" style="2" customWidth="1"/>
    <col min="608" max="611" width="11.42578125" style="2"/>
    <col min="612" max="612" width="3.7109375" style="2" customWidth="1"/>
    <col min="613" max="614" width="7.7109375" style="2" customWidth="1"/>
    <col min="615" max="618" width="11.42578125" style="2"/>
    <col min="619" max="619" width="3.7109375" style="2" customWidth="1"/>
    <col min="620" max="621" width="7.7109375" style="2" customWidth="1"/>
    <col min="622" max="625" width="11.42578125" style="2"/>
    <col min="626" max="626" width="3.7109375" style="2" customWidth="1"/>
    <col min="627" max="628" width="7.7109375" style="2" customWidth="1"/>
    <col min="629" max="632" width="11.42578125" style="2"/>
    <col min="633" max="633" width="3.7109375" style="2" customWidth="1"/>
    <col min="634" max="635" width="7.7109375" style="2" customWidth="1"/>
    <col min="636" max="639" width="11.42578125" style="2"/>
    <col min="640" max="640" width="3.7109375" style="2" customWidth="1"/>
    <col min="641" max="642" width="7.7109375" style="2" customWidth="1"/>
    <col min="643" max="646" width="11.42578125" style="2"/>
    <col min="647" max="647" width="3.7109375" style="2" customWidth="1"/>
    <col min="648" max="673" width="11.42578125" style="2"/>
    <col min="674" max="674" width="22.85546875" style="2" customWidth="1"/>
    <col min="675" max="675" width="14.42578125" style="2" customWidth="1"/>
    <col min="676" max="784" width="11.42578125" style="2"/>
    <col min="785" max="785" width="12" style="2" customWidth="1"/>
    <col min="786" max="786" width="14.28515625" style="2" customWidth="1"/>
    <col min="787" max="787" width="11.42578125" style="2"/>
    <col min="788" max="788" width="4.140625" style="2" customWidth="1"/>
    <col min="789" max="789" width="11.42578125" style="2"/>
    <col min="790" max="790" width="28.42578125" style="2" customWidth="1"/>
    <col min="791" max="792" width="11.42578125" style="2"/>
    <col min="793" max="793" width="5.42578125" style="2" customWidth="1"/>
    <col min="794" max="795" width="11.42578125" style="2"/>
    <col min="796" max="796" width="10.42578125" style="2" customWidth="1"/>
    <col min="797" max="797" width="11.42578125" style="2"/>
    <col min="798" max="798" width="6.42578125" style="2" customWidth="1"/>
    <col min="799" max="799" width="22.28515625" style="2" customWidth="1"/>
    <col min="800" max="800" width="21.28515625" style="2" customWidth="1"/>
    <col min="801" max="801" width="6" style="2" customWidth="1"/>
    <col min="802" max="805" width="11.42578125" style="2"/>
    <col min="806" max="807" width="7.7109375" style="2" customWidth="1"/>
    <col min="808" max="808" width="11.42578125" style="2"/>
    <col min="809" max="809" width="17.85546875" style="2" customWidth="1"/>
    <col min="810" max="811" width="11.42578125" style="2"/>
    <col min="812" max="812" width="3.7109375" style="2" customWidth="1"/>
    <col min="813" max="814" width="7.7109375" style="2" customWidth="1"/>
    <col min="815" max="815" width="16.28515625" style="2" customWidth="1"/>
    <col min="816" max="818" width="11.42578125" style="2"/>
    <col min="819" max="819" width="3.7109375" style="2" customWidth="1"/>
    <col min="820" max="821" width="7.7109375" style="2" customWidth="1"/>
    <col min="822" max="825" width="11.42578125" style="2"/>
    <col min="826" max="826" width="3.7109375" style="2" customWidth="1"/>
    <col min="827" max="828" width="7.7109375" style="2" customWidth="1"/>
    <col min="829" max="832" width="11.42578125" style="2"/>
    <col min="833" max="833" width="3.7109375" style="2" customWidth="1"/>
    <col min="834" max="835" width="7.7109375" style="2" customWidth="1"/>
    <col min="836" max="839" width="11.42578125" style="2"/>
    <col min="840" max="840" width="3.7109375" style="2" customWidth="1"/>
    <col min="841" max="842" width="7.7109375" style="2" customWidth="1"/>
    <col min="843" max="846" width="11.42578125" style="2"/>
    <col min="847" max="847" width="3.7109375" style="2" customWidth="1"/>
    <col min="848" max="849" width="7.7109375" style="2" customWidth="1"/>
    <col min="850" max="853" width="11.42578125" style="2"/>
    <col min="854" max="854" width="3.7109375" style="2" customWidth="1"/>
    <col min="855" max="856" width="7.7109375" style="2" customWidth="1"/>
    <col min="857" max="860" width="11.42578125" style="2"/>
    <col min="861" max="861" width="3.7109375" style="2" customWidth="1"/>
    <col min="862" max="863" width="7.7109375" style="2" customWidth="1"/>
    <col min="864" max="867" width="11.42578125" style="2"/>
    <col min="868" max="868" width="3.7109375" style="2" customWidth="1"/>
    <col min="869" max="870" width="7.7109375" style="2" customWidth="1"/>
    <col min="871" max="874" width="11.42578125" style="2"/>
    <col min="875" max="875" width="3.7109375" style="2" customWidth="1"/>
    <col min="876" max="877" width="7.7109375" style="2" customWidth="1"/>
    <col min="878" max="881" width="11.42578125" style="2"/>
    <col min="882" max="882" width="3.7109375" style="2" customWidth="1"/>
    <col min="883" max="884" width="7.7109375" style="2" customWidth="1"/>
    <col min="885" max="888" width="11.42578125" style="2"/>
    <col min="889" max="889" width="3.7109375" style="2" customWidth="1"/>
    <col min="890" max="891" width="7.7109375" style="2" customWidth="1"/>
    <col min="892" max="895" width="11.42578125" style="2"/>
    <col min="896" max="896" width="3.7109375" style="2" customWidth="1"/>
    <col min="897" max="898" width="7.7109375" style="2" customWidth="1"/>
    <col min="899" max="902" width="11.42578125" style="2"/>
    <col min="903" max="903" width="3.7109375" style="2" customWidth="1"/>
    <col min="904" max="929" width="11.42578125" style="2"/>
    <col min="930" max="930" width="22.85546875" style="2" customWidth="1"/>
    <col min="931" max="931" width="14.42578125" style="2" customWidth="1"/>
    <col min="932" max="1040" width="11.42578125" style="2"/>
    <col min="1041" max="1041" width="12" style="2" customWidth="1"/>
    <col min="1042" max="1042" width="14.28515625" style="2" customWidth="1"/>
    <col min="1043" max="1043" width="11.42578125" style="2"/>
    <col min="1044" max="1044" width="4.140625" style="2" customWidth="1"/>
    <col min="1045" max="1045" width="11.42578125" style="2"/>
    <col min="1046" max="1046" width="28.42578125" style="2" customWidth="1"/>
    <col min="1047" max="1048" width="11.42578125" style="2"/>
    <col min="1049" max="1049" width="5.42578125" style="2" customWidth="1"/>
    <col min="1050" max="1051" width="11.42578125" style="2"/>
    <col min="1052" max="1052" width="10.42578125" style="2" customWidth="1"/>
    <col min="1053" max="1053" width="11.42578125" style="2"/>
    <col min="1054" max="1054" width="6.42578125" style="2" customWidth="1"/>
    <col min="1055" max="1055" width="22.28515625" style="2" customWidth="1"/>
    <col min="1056" max="1056" width="21.28515625" style="2" customWidth="1"/>
    <col min="1057" max="1057" width="6" style="2" customWidth="1"/>
    <col min="1058" max="1061" width="11.42578125" style="2"/>
    <col min="1062" max="1063" width="7.7109375" style="2" customWidth="1"/>
    <col min="1064" max="1064" width="11.42578125" style="2"/>
    <col min="1065" max="1065" width="17.85546875" style="2" customWidth="1"/>
    <col min="1066" max="1067" width="11.42578125" style="2"/>
    <col min="1068" max="1068" width="3.7109375" style="2" customWidth="1"/>
    <col min="1069" max="1070" width="7.7109375" style="2" customWidth="1"/>
    <col min="1071" max="1071" width="16.28515625" style="2" customWidth="1"/>
    <col min="1072" max="1074" width="11.42578125" style="2"/>
    <col min="1075" max="1075" width="3.7109375" style="2" customWidth="1"/>
    <col min="1076" max="1077" width="7.7109375" style="2" customWidth="1"/>
    <col min="1078" max="1081" width="11.42578125" style="2"/>
    <col min="1082" max="1082" width="3.7109375" style="2" customWidth="1"/>
    <col min="1083" max="1084" width="7.7109375" style="2" customWidth="1"/>
    <col min="1085" max="1088" width="11.42578125" style="2"/>
    <col min="1089" max="1089" width="3.7109375" style="2" customWidth="1"/>
    <col min="1090" max="1091" width="7.7109375" style="2" customWidth="1"/>
    <col min="1092" max="1095" width="11.42578125" style="2"/>
    <col min="1096" max="1096" width="3.7109375" style="2" customWidth="1"/>
    <col min="1097" max="1098" width="7.7109375" style="2" customWidth="1"/>
    <col min="1099" max="1102" width="11.42578125" style="2"/>
    <col min="1103" max="1103" width="3.7109375" style="2" customWidth="1"/>
    <col min="1104" max="1105" width="7.7109375" style="2" customWidth="1"/>
    <col min="1106" max="1109" width="11.42578125" style="2"/>
    <col min="1110" max="1110" width="3.7109375" style="2" customWidth="1"/>
    <col min="1111" max="1112" width="7.7109375" style="2" customWidth="1"/>
    <col min="1113" max="1116" width="11.42578125" style="2"/>
    <col min="1117" max="1117" width="3.7109375" style="2" customWidth="1"/>
    <col min="1118" max="1119" width="7.7109375" style="2" customWidth="1"/>
    <col min="1120" max="1123" width="11.42578125" style="2"/>
    <col min="1124" max="1124" width="3.7109375" style="2" customWidth="1"/>
    <col min="1125" max="1126" width="7.7109375" style="2" customWidth="1"/>
    <col min="1127" max="1130" width="11.42578125" style="2"/>
    <col min="1131" max="1131" width="3.7109375" style="2" customWidth="1"/>
    <col min="1132" max="1133" width="7.7109375" style="2" customWidth="1"/>
    <col min="1134" max="1137" width="11.42578125" style="2"/>
    <col min="1138" max="1138" width="3.7109375" style="2" customWidth="1"/>
    <col min="1139" max="1140" width="7.7109375" style="2" customWidth="1"/>
    <col min="1141" max="1144" width="11.42578125" style="2"/>
    <col min="1145" max="1145" width="3.7109375" style="2" customWidth="1"/>
    <col min="1146" max="1147" width="7.7109375" style="2" customWidth="1"/>
    <col min="1148" max="1151" width="11.42578125" style="2"/>
    <col min="1152" max="1152" width="3.7109375" style="2" customWidth="1"/>
    <col min="1153" max="1154" width="7.7109375" style="2" customWidth="1"/>
    <col min="1155" max="1158" width="11.42578125" style="2"/>
    <col min="1159" max="1159" width="3.7109375" style="2" customWidth="1"/>
    <col min="1160" max="1185" width="11.42578125" style="2"/>
    <col min="1186" max="1186" width="22.85546875" style="2" customWidth="1"/>
    <col min="1187" max="1187" width="14.42578125" style="2" customWidth="1"/>
    <col min="1188" max="1296" width="11.42578125" style="2"/>
    <col min="1297" max="1297" width="12" style="2" customWidth="1"/>
    <col min="1298" max="1298" width="14.28515625" style="2" customWidth="1"/>
    <col min="1299" max="1299" width="11.42578125" style="2"/>
    <col min="1300" max="1300" width="4.140625" style="2" customWidth="1"/>
    <col min="1301" max="1301" width="11.42578125" style="2"/>
    <col min="1302" max="1302" width="28.42578125" style="2" customWidth="1"/>
    <col min="1303" max="1304" width="11.42578125" style="2"/>
    <col min="1305" max="1305" width="5.42578125" style="2" customWidth="1"/>
    <col min="1306" max="1307" width="11.42578125" style="2"/>
    <col min="1308" max="1308" width="10.42578125" style="2" customWidth="1"/>
    <col min="1309" max="1309" width="11.42578125" style="2"/>
    <col min="1310" max="1310" width="6.42578125" style="2" customWidth="1"/>
    <col min="1311" max="1311" width="22.28515625" style="2" customWidth="1"/>
    <col min="1312" max="1312" width="21.28515625" style="2" customWidth="1"/>
    <col min="1313" max="1313" width="6" style="2" customWidth="1"/>
    <col min="1314" max="1317" width="11.42578125" style="2"/>
    <col min="1318" max="1319" width="7.7109375" style="2" customWidth="1"/>
    <col min="1320" max="1320" width="11.42578125" style="2"/>
    <col min="1321" max="1321" width="17.85546875" style="2" customWidth="1"/>
    <col min="1322" max="1323" width="11.42578125" style="2"/>
    <col min="1324" max="1324" width="3.7109375" style="2" customWidth="1"/>
    <col min="1325" max="1326" width="7.7109375" style="2" customWidth="1"/>
    <col min="1327" max="1327" width="16.28515625" style="2" customWidth="1"/>
    <col min="1328" max="1330" width="11.42578125" style="2"/>
    <col min="1331" max="1331" width="3.7109375" style="2" customWidth="1"/>
    <col min="1332" max="1333" width="7.7109375" style="2" customWidth="1"/>
    <col min="1334" max="1337" width="11.42578125" style="2"/>
    <col min="1338" max="1338" width="3.7109375" style="2" customWidth="1"/>
    <col min="1339" max="1340" width="7.7109375" style="2" customWidth="1"/>
    <col min="1341" max="1344" width="11.42578125" style="2"/>
    <col min="1345" max="1345" width="3.7109375" style="2" customWidth="1"/>
    <col min="1346" max="1347" width="7.7109375" style="2" customWidth="1"/>
    <col min="1348" max="1351" width="11.42578125" style="2"/>
    <col min="1352" max="1352" width="3.7109375" style="2" customWidth="1"/>
    <col min="1353" max="1354" width="7.7109375" style="2" customWidth="1"/>
    <col min="1355" max="1358" width="11.42578125" style="2"/>
    <col min="1359" max="1359" width="3.7109375" style="2" customWidth="1"/>
    <col min="1360" max="1361" width="7.7109375" style="2" customWidth="1"/>
    <col min="1362" max="1365" width="11.42578125" style="2"/>
    <col min="1366" max="1366" width="3.7109375" style="2" customWidth="1"/>
    <col min="1367" max="1368" width="7.7109375" style="2" customWidth="1"/>
    <col min="1369" max="1372" width="11.42578125" style="2"/>
    <col min="1373" max="1373" width="3.7109375" style="2" customWidth="1"/>
    <col min="1374" max="1375" width="7.7109375" style="2" customWidth="1"/>
    <col min="1376" max="1379" width="11.42578125" style="2"/>
    <col min="1380" max="1380" width="3.7109375" style="2" customWidth="1"/>
    <col min="1381" max="1382" width="7.7109375" style="2" customWidth="1"/>
    <col min="1383" max="1386" width="11.42578125" style="2"/>
    <col min="1387" max="1387" width="3.7109375" style="2" customWidth="1"/>
    <col min="1388" max="1389" width="7.7109375" style="2" customWidth="1"/>
    <col min="1390" max="1393" width="11.42578125" style="2"/>
    <col min="1394" max="1394" width="3.7109375" style="2" customWidth="1"/>
    <col min="1395" max="1396" width="7.7109375" style="2" customWidth="1"/>
    <col min="1397" max="1400" width="11.42578125" style="2"/>
    <col min="1401" max="1401" width="3.7109375" style="2" customWidth="1"/>
    <col min="1402" max="1403" width="7.7109375" style="2" customWidth="1"/>
    <col min="1404" max="1407" width="11.42578125" style="2"/>
    <col min="1408" max="1408" width="3.7109375" style="2" customWidth="1"/>
    <col min="1409" max="1410" width="7.7109375" style="2" customWidth="1"/>
    <col min="1411" max="1414" width="11.42578125" style="2"/>
    <col min="1415" max="1415" width="3.7109375" style="2" customWidth="1"/>
    <col min="1416" max="1441" width="11.42578125" style="2"/>
    <col min="1442" max="1442" width="22.85546875" style="2" customWidth="1"/>
    <col min="1443" max="1443" width="14.42578125" style="2" customWidth="1"/>
    <col min="1444" max="1552" width="11.42578125" style="2"/>
    <col min="1553" max="1553" width="12" style="2" customWidth="1"/>
    <col min="1554" max="1554" width="14.28515625" style="2" customWidth="1"/>
    <col min="1555" max="1555" width="11.42578125" style="2"/>
    <col min="1556" max="1556" width="4.140625" style="2" customWidth="1"/>
    <col min="1557" max="1557" width="11.42578125" style="2"/>
    <col min="1558" max="1558" width="28.42578125" style="2" customWidth="1"/>
    <col min="1559" max="1560" width="11.42578125" style="2"/>
    <col min="1561" max="1561" width="5.42578125" style="2" customWidth="1"/>
    <col min="1562" max="1563" width="11.42578125" style="2"/>
    <col min="1564" max="1564" width="10.42578125" style="2" customWidth="1"/>
    <col min="1565" max="1565" width="11.42578125" style="2"/>
    <col min="1566" max="1566" width="6.42578125" style="2" customWidth="1"/>
    <col min="1567" max="1567" width="22.28515625" style="2" customWidth="1"/>
    <col min="1568" max="1568" width="21.28515625" style="2" customWidth="1"/>
    <col min="1569" max="1569" width="6" style="2" customWidth="1"/>
    <col min="1570" max="1573" width="11.42578125" style="2"/>
    <col min="1574" max="1575" width="7.7109375" style="2" customWidth="1"/>
    <col min="1576" max="1576" width="11.42578125" style="2"/>
    <col min="1577" max="1577" width="17.85546875" style="2" customWidth="1"/>
    <col min="1578" max="1579" width="11.42578125" style="2"/>
    <col min="1580" max="1580" width="3.7109375" style="2" customWidth="1"/>
    <col min="1581" max="1582" width="7.7109375" style="2" customWidth="1"/>
    <col min="1583" max="1583" width="16.28515625" style="2" customWidth="1"/>
    <col min="1584" max="1586" width="11.42578125" style="2"/>
    <col min="1587" max="1587" width="3.7109375" style="2" customWidth="1"/>
    <col min="1588" max="1589" width="7.7109375" style="2" customWidth="1"/>
    <col min="1590" max="1593" width="11.42578125" style="2"/>
    <col min="1594" max="1594" width="3.7109375" style="2" customWidth="1"/>
    <col min="1595" max="1596" width="7.7109375" style="2" customWidth="1"/>
    <col min="1597" max="1600" width="11.42578125" style="2"/>
    <col min="1601" max="1601" width="3.7109375" style="2" customWidth="1"/>
    <col min="1602" max="1603" width="7.7109375" style="2" customWidth="1"/>
    <col min="1604" max="1607" width="11.42578125" style="2"/>
    <col min="1608" max="1608" width="3.7109375" style="2" customWidth="1"/>
    <col min="1609" max="1610" width="7.7109375" style="2" customWidth="1"/>
    <col min="1611" max="1614" width="11.42578125" style="2"/>
    <col min="1615" max="1615" width="3.7109375" style="2" customWidth="1"/>
    <col min="1616" max="1617" width="7.7109375" style="2" customWidth="1"/>
    <col min="1618" max="1621" width="11.42578125" style="2"/>
    <col min="1622" max="1622" width="3.7109375" style="2" customWidth="1"/>
    <col min="1623" max="1624" width="7.7109375" style="2" customWidth="1"/>
    <col min="1625" max="1628" width="11.42578125" style="2"/>
    <col min="1629" max="1629" width="3.7109375" style="2" customWidth="1"/>
    <col min="1630" max="1631" width="7.7109375" style="2" customWidth="1"/>
    <col min="1632" max="1635" width="11.42578125" style="2"/>
    <col min="1636" max="1636" width="3.7109375" style="2" customWidth="1"/>
    <col min="1637" max="1638" width="7.7109375" style="2" customWidth="1"/>
    <col min="1639" max="1642" width="11.42578125" style="2"/>
    <col min="1643" max="1643" width="3.7109375" style="2" customWidth="1"/>
    <col min="1644" max="1645" width="7.7109375" style="2" customWidth="1"/>
    <col min="1646" max="1649" width="11.42578125" style="2"/>
    <col min="1650" max="1650" width="3.7109375" style="2" customWidth="1"/>
    <col min="1651" max="1652" width="7.7109375" style="2" customWidth="1"/>
    <col min="1653" max="1656" width="11.42578125" style="2"/>
    <col min="1657" max="1657" width="3.7109375" style="2" customWidth="1"/>
    <col min="1658" max="1659" width="7.7109375" style="2" customWidth="1"/>
    <col min="1660" max="1663" width="11.42578125" style="2"/>
    <col min="1664" max="1664" width="3.7109375" style="2" customWidth="1"/>
    <col min="1665" max="1666" width="7.7109375" style="2" customWidth="1"/>
    <col min="1667" max="1670" width="11.42578125" style="2"/>
    <col min="1671" max="1671" width="3.7109375" style="2" customWidth="1"/>
    <col min="1672" max="1697" width="11.42578125" style="2"/>
    <col min="1698" max="1698" width="22.85546875" style="2" customWidth="1"/>
    <col min="1699" max="1699" width="14.42578125" style="2" customWidth="1"/>
    <col min="1700" max="1808" width="11.42578125" style="2"/>
    <col min="1809" max="1809" width="12" style="2" customWidth="1"/>
    <col min="1810" max="1810" width="14.28515625" style="2" customWidth="1"/>
    <col min="1811" max="1811" width="11.42578125" style="2"/>
    <col min="1812" max="1812" width="4.140625" style="2" customWidth="1"/>
    <col min="1813" max="1813" width="11.42578125" style="2"/>
    <col min="1814" max="1814" width="28.42578125" style="2" customWidth="1"/>
    <col min="1815" max="1816" width="11.42578125" style="2"/>
    <col min="1817" max="1817" width="5.42578125" style="2" customWidth="1"/>
    <col min="1818" max="1819" width="11.42578125" style="2"/>
    <col min="1820" max="1820" width="10.42578125" style="2" customWidth="1"/>
    <col min="1821" max="1821" width="11.42578125" style="2"/>
    <col min="1822" max="1822" width="6.42578125" style="2" customWidth="1"/>
    <col min="1823" max="1823" width="22.28515625" style="2" customWidth="1"/>
    <col min="1824" max="1824" width="21.28515625" style="2" customWidth="1"/>
    <col min="1825" max="1825" width="6" style="2" customWidth="1"/>
    <col min="1826" max="1829" width="11.42578125" style="2"/>
    <col min="1830" max="1831" width="7.7109375" style="2" customWidth="1"/>
    <col min="1832" max="1832" width="11.42578125" style="2"/>
    <col min="1833" max="1833" width="17.85546875" style="2" customWidth="1"/>
    <col min="1834" max="1835" width="11.42578125" style="2"/>
    <col min="1836" max="1836" width="3.7109375" style="2" customWidth="1"/>
    <col min="1837" max="1838" width="7.7109375" style="2" customWidth="1"/>
    <col min="1839" max="1839" width="16.28515625" style="2" customWidth="1"/>
    <col min="1840" max="1842" width="11.42578125" style="2"/>
    <col min="1843" max="1843" width="3.7109375" style="2" customWidth="1"/>
    <col min="1844" max="1845" width="7.7109375" style="2" customWidth="1"/>
    <col min="1846" max="1849" width="11.42578125" style="2"/>
    <col min="1850" max="1850" width="3.7109375" style="2" customWidth="1"/>
    <col min="1851" max="1852" width="7.7109375" style="2" customWidth="1"/>
    <col min="1853" max="1856" width="11.42578125" style="2"/>
    <col min="1857" max="1857" width="3.7109375" style="2" customWidth="1"/>
    <col min="1858" max="1859" width="7.7109375" style="2" customWidth="1"/>
    <col min="1860" max="1863" width="11.42578125" style="2"/>
    <col min="1864" max="1864" width="3.7109375" style="2" customWidth="1"/>
    <col min="1865" max="1866" width="7.7109375" style="2" customWidth="1"/>
    <col min="1867" max="1870" width="11.42578125" style="2"/>
    <col min="1871" max="1871" width="3.7109375" style="2" customWidth="1"/>
    <col min="1872" max="1873" width="7.7109375" style="2" customWidth="1"/>
    <col min="1874" max="1877" width="11.42578125" style="2"/>
    <col min="1878" max="1878" width="3.7109375" style="2" customWidth="1"/>
    <col min="1879" max="1880" width="7.7109375" style="2" customWidth="1"/>
    <col min="1881" max="1884" width="11.42578125" style="2"/>
    <col min="1885" max="1885" width="3.7109375" style="2" customWidth="1"/>
    <col min="1886" max="1887" width="7.7109375" style="2" customWidth="1"/>
    <col min="1888" max="1891" width="11.42578125" style="2"/>
    <col min="1892" max="1892" width="3.7109375" style="2" customWidth="1"/>
    <col min="1893" max="1894" width="7.7109375" style="2" customWidth="1"/>
    <col min="1895" max="1898" width="11.42578125" style="2"/>
    <col min="1899" max="1899" width="3.7109375" style="2" customWidth="1"/>
    <col min="1900" max="1901" width="7.7109375" style="2" customWidth="1"/>
    <col min="1902" max="1905" width="11.42578125" style="2"/>
    <col min="1906" max="1906" width="3.7109375" style="2" customWidth="1"/>
    <col min="1907" max="1908" width="7.7109375" style="2" customWidth="1"/>
    <col min="1909" max="1912" width="11.42578125" style="2"/>
    <col min="1913" max="1913" width="3.7109375" style="2" customWidth="1"/>
    <col min="1914" max="1915" width="7.7109375" style="2" customWidth="1"/>
    <col min="1916" max="1919" width="11.42578125" style="2"/>
    <col min="1920" max="1920" width="3.7109375" style="2" customWidth="1"/>
    <col min="1921" max="1922" width="7.7109375" style="2" customWidth="1"/>
    <col min="1923" max="1926" width="11.42578125" style="2"/>
    <col min="1927" max="1927" width="3.7109375" style="2" customWidth="1"/>
    <col min="1928" max="1953" width="11.42578125" style="2"/>
    <col min="1954" max="1954" width="22.85546875" style="2" customWidth="1"/>
    <col min="1955" max="1955" width="14.42578125" style="2" customWidth="1"/>
    <col min="1956" max="2064" width="11.42578125" style="2"/>
    <col min="2065" max="2065" width="12" style="2" customWidth="1"/>
    <col min="2066" max="2066" width="14.28515625" style="2" customWidth="1"/>
    <col min="2067" max="2067" width="11.42578125" style="2"/>
    <col min="2068" max="2068" width="4.140625" style="2" customWidth="1"/>
    <col min="2069" max="2069" width="11.42578125" style="2"/>
    <col min="2070" max="2070" width="28.42578125" style="2" customWidth="1"/>
    <col min="2071" max="2072" width="11.42578125" style="2"/>
    <col min="2073" max="2073" width="5.42578125" style="2" customWidth="1"/>
    <col min="2074" max="2075" width="11.42578125" style="2"/>
    <col min="2076" max="2076" width="10.42578125" style="2" customWidth="1"/>
    <col min="2077" max="2077" width="11.42578125" style="2"/>
    <col min="2078" max="2078" width="6.42578125" style="2" customWidth="1"/>
    <col min="2079" max="2079" width="22.28515625" style="2" customWidth="1"/>
    <col min="2080" max="2080" width="21.28515625" style="2" customWidth="1"/>
    <col min="2081" max="2081" width="6" style="2" customWidth="1"/>
    <col min="2082" max="2085" width="11.42578125" style="2"/>
    <col min="2086" max="2087" width="7.7109375" style="2" customWidth="1"/>
    <col min="2088" max="2088" width="11.42578125" style="2"/>
    <col min="2089" max="2089" width="17.85546875" style="2" customWidth="1"/>
    <col min="2090" max="2091" width="11.42578125" style="2"/>
    <col min="2092" max="2092" width="3.7109375" style="2" customWidth="1"/>
    <col min="2093" max="2094" width="7.7109375" style="2" customWidth="1"/>
    <col min="2095" max="2095" width="16.28515625" style="2" customWidth="1"/>
    <col min="2096" max="2098" width="11.42578125" style="2"/>
    <col min="2099" max="2099" width="3.7109375" style="2" customWidth="1"/>
    <col min="2100" max="2101" width="7.7109375" style="2" customWidth="1"/>
    <col min="2102" max="2105" width="11.42578125" style="2"/>
    <col min="2106" max="2106" width="3.7109375" style="2" customWidth="1"/>
    <col min="2107" max="2108" width="7.7109375" style="2" customWidth="1"/>
    <col min="2109" max="2112" width="11.42578125" style="2"/>
    <col min="2113" max="2113" width="3.7109375" style="2" customWidth="1"/>
    <col min="2114" max="2115" width="7.7109375" style="2" customWidth="1"/>
    <col min="2116" max="2119" width="11.42578125" style="2"/>
    <col min="2120" max="2120" width="3.7109375" style="2" customWidth="1"/>
    <col min="2121" max="2122" width="7.7109375" style="2" customWidth="1"/>
    <col min="2123" max="2126" width="11.42578125" style="2"/>
    <col min="2127" max="2127" width="3.7109375" style="2" customWidth="1"/>
    <col min="2128" max="2129" width="7.7109375" style="2" customWidth="1"/>
    <col min="2130" max="2133" width="11.42578125" style="2"/>
    <col min="2134" max="2134" width="3.7109375" style="2" customWidth="1"/>
    <col min="2135" max="2136" width="7.7109375" style="2" customWidth="1"/>
    <col min="2137" max="2140" width="11.42578125" style="2"/>
    <col min="2141" max="2141" width="3.7109375" style="2" customWidth="1"/>
    <col min="2142" max="2143" width="7.7109375" style="2" customWidth="1"/>
    <col min="2144" max="2147" width="11.42578125" style="2"/>
    <col min="2148" max="2148" width="3.7109375" style="2" customWidth="1"/>
    <col min="2149" max="2150" width="7.7109375" style="2" customWidth="1"/>
    <col min="2151" max="2154" width="11.42578125" style="2"/>
    <col min="2155" max="2155" width="3.7109375" style="2" customWidth="1"/>
    <col min="2156" max="2157" width="7.7109375" style="2" customWidth="1"/>
    <col min="2158" max="2161" width="11.42578125" style="2"/>
    <col min="2162" max="2162" width="3.7109375" style="2" customWidth="1"/>
    <col min="2163" max="2164" width="7.7109375" style="2" customWidth="1"/>
    <col min="2165" max="2168" width="11.42578125" style="2"/>
    <col min="2169" max="2169" width="3.7109375" style="2" customWidth="1"/>
    <col min="2170" max="2171" width="7.7109375" style="2" customWidth="1"/>
    <col min="2172" max="2175" width="11.42578125" style="2"/>
    <col min="2176" max="2176" width="3.7109375" style="2" customWidth="1"/>
    <col min="2177" max="2178" width="7.7109375" style="2" customWidth="1"/>
    <col min="2179" max="2182" width="11.42578125" style="2"/>
    <col min="2183" max="2183" width="3.7109375" style="2" customWidth="1"/>
    <col min="2184" max="2209" width="11.42578125" style="2"/>
    <col min="2210" max="2210" width="22.85546875" style="2" customWidth="1"/>
    <col min="2211" max="2211" width="14.42578125" style="2" customWidth="1"/>
    <col min="2212" max="2320" width="11.42578125" style="2"/>
    <col min="2321" max="2321" width="12" style="2" customWidth="1"/>
    <col min="2322" max="2322" width="14.28515625" style="2" customWidth="1"/>
    <col min="2323" max="2323" width="11.42578125" style="2"/>
    <col min="2324" max="2324" width="4.140625" style="2" customWidth="1"/>
    <col min="2325" max="2325" width="11.42578125" style="2"/>
    <col min="2326" max="2326" width="28.42578125" style="2" customWidth="1"/>
    <col min="2327" max="2328" width="11.42578125" style="2"/>
    <col min="2329" max="2329" width="5.42578125" style="2" customWidth="1"/>
    <col min="2330" max="2331" width="11.42578125" style="2"/>
    <col min="2332" max="2332" width="10.42578125" style="2" customWidth="1"/>
    <col min="2333" max="2333" width="11.42578125" style="2"/>
    <col min="2334" max="2334" width="6.42578125" style="2" customWidth="1"/>
    <col min="2335" max="2335" width="22.28515625" style="2" customWidth="1"/>
    <col min="2336" max="2336" width="21.28515625" style="2" customWidth="1"/>
    <col min="2337" max="2337" width="6" style="2" customWidth="1"/>
    <col min="2338" max="2341" width="11.42578125" style="2"/>
    <col min="2342" max="2343" width="7.7109375" style="2" customWidth="1"/>
    <col min="2344" max="2344" width="11.42578125" style="2"/>
    <col min="2345" max="2345" width="17.85546875" style="2" customWidth="1"/>
    <col min="2346" max="2347" width="11.42578125" style="2"/>
    <col min="2348" max="2348" width="3.7109375" style="2" customWidth="1"/>
    <col min="2349" max="2350" width="7.7109375" style="2" customWidth="1"/>
    <col min="2351" max="2351" width="16.28515625" style="2" customWidth="1"/>
    <col min="2352" max="2354" width="11.42578125" style="2"/>
    <col min="2355" max="2355" width="3.7109375" style="2" customWidth="1"/>
    <col min="2356" max="2357" width="7.7109375" style="2" customWidth="1"/>
    <col min="2358" max="2361" width="11.42578125" style="2"/>
    <col min="2362" max="2362" width="3.7109375" style="2" customWidth="1"/>
    <col min="2363" max="2364" width="7.7109375" style="2" customWidth="1"/>
    <col min="2365" max="2368" width="11.42578125" style="2"/>
    <col min="2369" max="2369" width="3.7109375" style="2" customWidth="1"/>
    <col min="2370" max="2371" width="7.7109375" style="2" customWidth="1"/>
    <col min="2372" max="2375" width="11.42578125" style="2"/>
    <col min="2376" max="2376" width="3.7109375" style="2" customWidth="1"/>
    <col min="2377" max="2378" width="7.7109375" style="2" customWidth="1"/>
    <col min="2379" max="2382" width="11.42578125" style="2"/>
    <col min="2383" max="2383" width="3.7109375" style="2" customWidth="1"/>
    <col min="2384" max="2385" width="7.7109375" style="2" customWidth="1"/>
    <col min="2386" max="2389" width="11.42578125" style="2"/>
    <col min="2390" max="2390" width="3.7109375" style="2" customWidth="1"/>
    <col min="2391" max="2392" width="7.7109375" style="2" customWidth="1"/>
    <col min="2393" max="2396" width="11.42578125" style="2"/>
    <col min="2397" max="2397" width="3.7109375" style="2" customWidth="1"/>
    <col min="2398" max="2399" width="7.7109375" style="2" customWidth="1"/>
    <col min="2400" max="2403" width="11.42578125" style="2"/>
    <col min="2404" max="2404" width="3.7109375" style="2" customWidth="1"/>
    <col min="2405" max="2406" width="7.7109375" style="2" customWidth="1"/>
    <col min="2407" max="2410" width="11.42578125" style="2"/>
    <col min="2411" max="2411" width="3.7109375" style="2" customWidth="1"/>
    <col min="2412" max="2413" width="7.7109375" style="2" customWidth="1"/>
    <col min="2414" max="2417" width="11.42578125" style="2"/>
    <col min="2418" max="2418" width="3.7109375" style="2" customWidth="1"/>
    <col min="2419" max="2420" width="7.7109375" style="2" customWidth="1"/>
    <col min="2421" max="2424" width="11.42578125" style="2"/>
    <col min="2425" max="2425" width="3.7109375" style="2" customWidth="1"/>
    <col min="2426" max="2427" width="7.7109375" style="2" customWidth="1"/>
    <col min="2428" max="2431" width="11.42578125" style="2"/>
    <col min="2432" max="2432" width="3.7109375" style="2" customWidth="1"/>
    <col min="2433" max="2434" width="7.7109375" style="2" customWidth="1"/>
    <col min="2435" max="2438" width="11.42578125" style="2"/>
    <col min="2439" max="2439" width="3.7109375" style="2" customWidth="1"/>
    <col min="2440" max="2465" width="11.42578125" style="2"/>
    <col min="2466" max="2466" width="22.85546875" style="2" customWidth="1"/>
    <col min="2467" max="2467" width="14.42578125" style="2" customWidth="1"/>
    <col min="2468" max="2576" width="11.42578125" style="2"/>
    <col min="2577" max="2577" width="12" style="2" customWidth="1"/>
    <col min="2578" max="2578" width="14.28515625" style="2" customWidth="1"/>
    <col min="2579" max="2579" width="11.42578125" style="2"/>
    <col min="2580" max="2580" width="4.140625" style="2" customWidth="1"/>
    <col min="2581" max="2581" width="11.42578125" style="2"/>
    <col min="2582" max="2582" width="28.42578125" style="2" customWidth="1"/>
    <col min="2583" max="2584" width="11.42578125" style="2"/>
    <col min="2585" max="2585" width="5.42578125" style="2" customWidth="1"/>
    <col min="2586" max="2587" width="11.42578125" style="2"/>
    <col min="2588" max="2588" width="10.42578125" style="2" customWidth="1"/>
    <col min="2589" max="2589" width="11.42578125" style="2"/>
    <col min="2590" max="2590" width="6.42578125" style="2" customWidth="1"/>
    <col min="2591" max="2591" width="22.28515625" style="2" customWidth="1"/>
    <col min="2592" max="2592" width="21.28515625" style="2" customWidth="1"/>
    <col min="2593" max="2593" width="6" style="2" customWidth="1"/>
    <col min="2594" max="2597" width="11.42578125" style="2"/>
    <col min="2598" max="2599" width="7.7109375" style="2" customWidth="1"/>
    <col min="2600" max="2600" width="11.42578125" style="2"/>
    <col min="2601" max="2601" width="17.85546875" style="2" customWidth="1"/>
    <col min="2602" max="2603" width="11.42578125" style="2"/>
    <col min="2604" max="2604" width="3.7109375" style="2" customWidth="1"/>
    <col min="2605" max="2606" width="7.7109375" style="2" customWidth="1"/>
    <col min="2607" max="2607" width="16.28515625" style="2" customWidth="1"/>
    <col min="2608" max="2610" width="11.42578125" style="2"/>
    <col min="2611" max="2611" width="3.7109375" style="2" customWidth="1"/>
    <col min="2612" max="2613" width="7.7109375" style="2" customWidth="1"/>
    <col min="2614" max="2617" width="11.42578125" style="2"/>
    <col min="2618" max="2618" width="3.7109375" style="2" customWidth="1"/>
    <col min="2619" max="2620" width="7.7109375" style="2" customWidth="1"/>
    <col min="2621" max="2624" width="11.42578125" style="2"/>
    <col min="2625" max="2625" width="3.7109375" style="2" customWidth="1"/>
    <col min="2626" max="2627" width="7.7109375" style="2" customWidth="1"/>
    <col min="2628" max="2631" width="11.42578125" style="2"/>
    <col min="2632" max="2632" width="3.7109375" style="2" customWidth="1"/>
    <col min="2633" max="2634" width="7.7109375" style="2" customWidth="1"/>
    <col min="2635" max="2638" width="11.42578125" style="2"/>
    <col min="2639" max="2639" width="3.7109375" style="2" customWidth="1"/>
    <col min="2640" max="2641" width="7.7109375" style="2" customWidth="1"/>
    <col min="2642" max="2645" width="11.42578125" style="2"/>
    <col min="2646" max="2646" width="3.7109375" style="2" customWidth="1"/>
    <col min="2647" max="2648" width="7.7109375" style="2" customWidth="1"/>
    <col min="2649" max="2652" width="11.42578125" style="2"/>
    <col min="2653" max="2653" width="3.7109375" style="2" customWidth="1"/>
    <col min="2654" max="2655" width="7.7109375" style="2" customWidth="1"/>
    <col min="2656" max="2659" width="11.42578125" style="2"/>
    <col min="2660" max="2660" width="3.7109375" style="2" customWidth="1"/>
    <col min="2661" max="2662" width="7.7109375" style="2" customWidth="1"/>
    <col min="2663" max="2666" width="11.42578125" style="2"/>
    <col min="2667" max="2667" width="3.7109375" style="2" customWidth="1"/>
    <col min="2668" max="2669" width="7.7109375" style="2" customWidth="1"/>
    <col min="2670" max="2673" width="11.42578125" style="2"/>
    <col min="2674" max="2674" width="3.7109375" style="2" customWidth="1"/>
    <col min="2675" max="2676" width="7.7109375" style="2" customWidth="1"/>
    <col min="2677" max="2680" width="11.42578125" style="2"/>
    <col min="2681" max="2681" width="3.7109375" style="2" customWidth="1"/>
    <col min="2682" max="2683" width="7.7109375" style="2" customWidth="1"/>
    <col min="2684" max="2687" width="11.42578125" style="2"/>
    <col min="2688" max="2688" width="3.7109375" style="2" customWidth="1"/>
    <col min="2689" max="2690" width="7.7109375" style="2" customWidth="1"/>
    <col min="2691" max="2694" width="11.42578125" style="2"/>
    <col min="2695" max="2695" width="3.7109375" style="2" customWidth="1"/>
    <col min="2696" max="2721" width="11.42578125" style="2"/>
    <col min="2722" max="2722" width="22.85546875" style="2" customWidth="1"/>
    <col min="2723" max="2723" width="14.42578125" style="2" customWidth="1"/>
    <col min="2724" max="2832" width="11.42578125" style="2"/>
    <col min="2833" max="2833" width="12" style="2" customWidth="1"/>
    <col min="2834" max="2834" width="14.28515625" style="2" customWidth="1"/>
    <col min="2835" max="2835" width="11.42578125" style="2"/>
    <col min="2836" max="2836" width="4.140625" style="2" customWidth="1"/>
    <col min="2837" max="2837" width="11.42578125" style="2"/>
    <col min="2838" max="2838" width="28.42578125" style="2" customWidth="1"/>
    <col min="2839" max="2840" width="11.42578125" style="2"/>
    <col min="2841" max="2841" width="5.42578125" style="2" customWidth="1"/>
    <col min="2842" max="2843" width="11.42578125" style="2"/>
    <col min="2844" max="2844" width="10.42578125" style="2" customWidth="1"/>
    <col min="2845" max="2845" width="11.42578125" style="2"/>
    <col min="2846" max="2846" width="6.42578125" style="2" customWidth="1"/>
    <col min="2847" max="2847" width="22.28515625" style="2" customWidth="1"/>
    <col min="2848" max="2848" width="21.28515625" style="2" customWidth="1"/>
    <col min="2849" max="2849" width="6" style="2" customWidth="1"/>
    <col min="2850" max="2853" width="11.42578125" style="2"/>
    <col min="2854" max="2855" width="7.7109375" style="2" customWidth="1"/>
    <col min="2856" max="2856" width="11.42578125" style="2"/>
    <col min="2857" max="2857" width="17.85546875" style="2" customWidth="1"/>
    <col min="2858" max="2859" width="11.42578125" style="2"/>
    <col min="2860" max="2860" width="3.7109375" style="2" customWidth="1"/>
    <col min="2861" max="2862" width="7.7109375" style="2" customWidth="1"/>
    <col min="2863" max="2863" width="16.28515625" style="2" customWidth="1"/>
    <col min="2864" max="2866" width="11.42578125" style="2"/>
    <col min="2867" max="2867" width="3.7109375" style="2" customWidth="1"/>
    <col min="2868" max="2869" width="7.7109375" style="2" customWidth="1"/>
    <col min="2870" max="2873" width="11.42578125" style="2"/>
    <col min="2874" max="2874" width="3.7109375" style="2" customWidth="1"/>
    <col min="2875" max="2876" width="7.7109375" style="2" customWidth="1"/>
    <col min="2877" max="2880" width="11.42578125" style="2"/>
    <col min="2881" max="2881" width="3.7109375" style="2" customWidth="1"/>
    <col min="2882" max="2883" width="7.7109375" style="2" customWidth="1"/>
    <col min="2884" max="2887" width="11.42578125" style="2"/>
    <col min="2888" max="2888" width="3.7109375" style="2" customWidth="1"/>
    <col min="2889" max="2890" width="7.7109375" style="2" customWidth="1"/>
    <col min="2891" max="2894" width="11.42578125" style="2"/>
    <col min="2895" max="2895" width="3.7109375" style="2" customWidth="1"/>
    <col min="2896" max="2897" width="7.7109375" style="2" customWidth="1"/>
    <col min="2898" max="2901" width="11.42578125" style="2"/>
    <col min="2902" max="2902" width="3.7109375" style="2" customWidth="1"/>
    <col min="2903" max="2904" width="7.7109375" style="2" customWidth="1"/>
    <col min="2905" max="2908" width="11.42578125" style="2"/>
    <col min="2909" max="2909" width="3.7109375" style="2" customWidth="1"/>
    <col min="2910" max="2911" width="7.7109375" style="2" customWidth="1"/>
    <col min="2912" max="2915" width="11.42578125" style="2"/>
    <col min="2916" max="2916" width="3.7109375" style="2" customWidth="1"/>
    <col min="2917" max="2918" width="7.7109375" style="2" customWidth="1"/>
    <col min="2919" max="2922" width="11.42578125" style="2"/>
    <col min="2923" max="2923" width="3.7109375" style="2" customWidth="1"/>
    <col min="2924" max="2925" width="7.7109375" style="2" customWidth="1"/>
    <col min="2926" max="2929" width="11.42578125" style="2"/>
    <col min="2930" max="2930" width="3.7109375" style="2" customWidth="1"/>
    <col min="2931" max="2932" width="7.7109375" style="2" customWidth="1"/>
    <col min="2933" max="2936" width="11.42578125" style="2"/>
    <col min="2937" max="2937" width="3.7109375" style="2" customWidth="1"/>
    <col min="2938" max="2939" width="7.7109375" style="2" customWidth="1"/>
    <col min="2940" max="2943" width="11.42578125" style="2"/>
    <col min="2944" max="2944" width="3.7109375" style="2" customWidth="1"/>
    <col min="2945" max="2946" width="7.7109375" style="2" customWidth="1"/>
    <col min="2947" max="2950" width="11.42578125" style="2"/>
    <col min="2951" max="2951" width="3.7109375" style="2" customWidth="1"/>
    <col min="2952" max="2977" width="11.42578125" style="2"/>
    <col min="2978" max="2978" width="22.85546875" style="2" customWidth="1"/>
    <col min="2979" max="2979" width="14.42578125" style="2" customWidth="1"/>
    <col min="2980" max="3088" width="11.42578125" style="2"/>
    <col min="3089" max="3089" width="12" style="2" customWidth="1"/>
    <col min="3090" max="3090" width="14.28515625" style="2" customWidth="1"/>
    <col min="3091" max="3091" width="11.42578125" style="2"/>
    <col min="3092" max="3092" width="4.140625" style="2" customWidth="1"/>
    <col min="3093" max="3093" width="11.42578125" style="2"/>
    <col min="3094" max="3094" width="28.42578125" style="2" customWidth="1"/>
    <col min="3095" max="3096" width="11.42578125" style="2"/>
    <col min="3097" max="3097" width="5.42578125" style="2" customWidth="1"/>
    <col min="3098" max="3099" width="11.42578125" style="2"/>
    <col min="3100" max="3100" width="10.42578125" style="2" customWidth="1"/>
    <col min="3101" max="3101" width="11.42578125" style="2"/>
    <col min="3102" max="3102" width="6.42578125" style="2" customWidth="1"/>
    <col min="3103" max="3103" width="22.28515625" style="2" customWidth="1"/>
    <col min="3104" max="3104" width="21.28515625" style="2" customWidth="1"/>
    <col min="3105" max="3105" width="6" style="2" customWidth="1"/>
    <col min="3106" max="3109" width="11.42578125" style="2"/>
    <col min="3110" max="3111" width="7.7109375" style="2" customWidth="1"/>
    <col min="3112" max="3112" width="11.42578125" style="2"/>
    <col min="3113" max="3113" width="17.85546875" style="2" customWidth="1"/>
    <col min="3114" max="3115" width="11.42578125" style="2"/>
    <col min="3116" max="3116" width="3.7109375" style="2" customWidth="1"/>
    <col min="3117" max="3118" width="7.7109375" style="2" customWidth="1"/>
    <col min="3119" max="3119" width="16.28515625" style="2" customWidth="1"/>
    <col min="3120" max="3122" width="11.42578125" style="2"/>
    <col min="3123" max="3123" width="3.7109375" style="2" customWidth="1"/>
    <col min="3124" max="3125" width="7.7109375" style="2" customWidth="1"/>
    <col min="3126" max="3129" width="11.42578125" style="2"/>
    <col min="3130" max="3130" width="3.7109375" style="2" customWidth="1"/>
    <col min="3131" max="3132" width="7.7109375" style="2" customWidth="1"/>
    <col min="3133" max="3136" width="11.42578125" style="2"/>
    <col min="3137" max="3137" width="3.7109375" style="2" customWidth="1"/>
    <col min="3138" max="3139" width="7.7109375" style="2" customWidth="1"/>
    <col min="3140" max="3143" width="11.42578125" style="2"/>
    <col min="3144" max="3144" width="3.7109375" style="2" customWidth="1"/>
    <col min="3145" max="3146" width="7.7109375" style="2" customWidth="1"/>
    <col min="3147" max="3150" width="11.42578125" style="2"/>
    <col min="3151" max="3151" width="3.7109375" style="2" customWidth="1"/>
    <col min="3152" max="3153" width="7.7109375" style="2" customWidth="1"/>
    <col min="3154" max="3157" width="11.42578125" style="2"/>
    <col min="3158" max="3158" width="3.7109375" style="2" customWidth="1"/>
    <col min="3159" max="3160" width="7.7109375" style="2" customWidth="1"/>
    <col min="3161" max="3164" width="11.42578125" style="2"/>
    <col min="3165" max="3165" width="3.7109375" style="2" customWidth="1"/>
    <col min="3166" max="3167" width="7.7109375" style="2" customWidth="1"/>
    <col min="3168" max="3171" width="11.42578125" style="2"/>
    <col min="3172" max="3172" width="3.7109375" style="2" customWidth="1"/>
    <col min="3173" max="3174" width="7.7109375" style="2" customWidth="1"/>
    <col min="3175" max="3178" width="11.42578125" style="2"/>
    <col min="3179" max="3179" width="3.7109375" style="2" customWidth="1"/>
    <col min="3180" max="3181" width="7.7109375" style="2" customWidth="1"/>
    <col min="3182" max="3185" width="11.42578125" style="2"/>
    <col min="3186" max="3186" width="3.7109375" style="2" customWidth="1"/>
    <col min="3187" max="3188" width="7.7109375" style="2" customWidth="1"/>
    <col min="3189" max="3192" width="11.42578125" style="2"/>
    <col min="3193" max="3193" width="3.7109375" style="2" customWidth="1"/>
    <col min="3194" max="3195" width="7.7109375" style="2" customWidth="1"/>
    <col min="3196" max="3199" width="11.42578125" style="2"/>
    <col min="3200" max="3200" width="3.7109375" style="2" customWidth="1"/>
    <col min="3201" max="3202" width="7.7109375" style="2" customWidth="1"/>
    <col min="3203" max="3206" width="11.42578125" style="2"/>
    <col min="3207" max="3207" width="3.7109375" style="2" customWidth="1"/>
    <col min="3208" max="3233" width="11.42578125" style="2"/>
    <col min="3234" max="3234" width="22.85546875" style="2" customWidth="1"/>
    <col min="3235" max="3235" width="14.42578125" style="2" customWidth="1"/>
    <col min="3236" max="3344" width="11.42578125" style="2"/>
    <col min="3345" max="3345" width="12" style="2" customWidth="1"/>
    <col min="3346" max="3346" width="14.28515625" style="2" customWidth="1"/>
    <col min="3347" max="3347" width="11.42578125" style="2"/>
    <col min="3348" max="3348" width="4.140625" style="2" customWidth="1"/>
    <col min="3349" max="3349" width="11.42578125" style="2"/>
    <col min="3350" max="3350" width="28.42578125" style="2" customWidth="1"/>
    <col min="3351" max="3352" width="11.42578125" style="2"/>
    <col min="3353" max="3353" width="5.42578125" style="2" customWidth="1"/>
    <col min="3354" max="3355" width="11.42578125" style="2"/>
    <col min="3356" max="3356" width="10.42578125" style="2" customWidth="1"/>
    <col min="3357" max="3357" width="11.42578125" style="2"/>
    <col min="3358" max="3358" width="6.42578125" style="2" customWidth="1"/>
    <col min="3359" max="3359" width="22.28515625" style="2" customWidth="1"/>
    <col min="3360" max="3360" width="21.28515625" style="2" customWidth="1"/>
    <col min="3361" max="3361" width="6" style="2" customWidth="1"/>
    <col min="3362" max="3365" width="11.42578125" style="2"/>
    <col min="3366" max="3367" width="7.7109375" style="2" customWidth="1"/>
    <col min="3368" max="3368" width="11.42578125" style="2"/>
    <col min="3369" max="3369" width="17.85546875" style="2" customWidth="1"/>
    <col min="3370" max="3371" width="11.42578125" style="2"/>
    <col min="3372" max="3372" width="3.7109375" style="2" customWidth="1"/>
    <col min="3373" max="3374" width="7.7109375" style="2" customWidth="1"/>
    <col min="3375" max="3375" width="16.28515625" style="2" customWidth="1"/>
    <col min="3376" max="3378" width="11.42578125" style="2"/>
    <col min="3379" max="3379" width="3.7109375" style="2" customWidth="1"/>
    <col min="3380" max="3381" width="7.7109375" style="2" customWidth="1"/>
    <col min="3382" max="3385" width="11.42578125" style="2"/>
    <col min="3386" max="3386" width="3.7109375" style="2" customWidth="1"/>
    <col min="3387" max="3388" width="7.7109375" style="2" customWidth="1"/>
    <col min="3389" max="3392" width="11.42578125" style="2"/>
    <col min="3393" max="3393" width="3.7109375" style="2" customWidth="1"/>
    <col min="3394" max="3395" width="7.7109375" style="2" customWidth="1"/>
    <col min="3396" max="3399" width="11.42578125" style="2"/>
    <col min="3400" max="3400" width="3.7109375" style="2" customWidth="1"/>
    <col min="3401" max="3402" width="7.7109375" style="2" customWidth="1"/>
    <col min="3403" max="3406" width="11.42578125" style="2"/>
    <col min="3407" max="3407" width="3.7109375" style="2" customWidth="1"/>
    <col min="3408" max="3409" width="7.7109375" style="2" customWidth="1"/>
    <col min="3410" max="3413" width="11.42578125" style="2"/>
    <col min="3414" max="3414" width="3.7109375" style="2" customWidth="1"/>
    <col min="3415" max="3416" width="7.7109375" style="2" customWidth="1"/>
    <col min="3417" max="3420" width="11.42578125" style="2"/>
    <col min="3421" max="3421" width="3.7109375" style="2" customWidth="1"/>
    <col min="3422" max="3423" width="7.7109375" style="2" customWidth="1"/>
    <col min="3424" max="3427" width="11.42578125" style="2"/>
    <col min="3428" max="3428" width="3.7109375" style="2" customWidth="1"/>
    <col min="3429" max="3430" width="7.7109375" style="2" customWidth="1"/>
    <col min="3431" max="3434" width="11.42578125" style="2"/>
    <col min="3435" max="3435" width="3.7109375" style="2" customWidth="1"/>
    <col min="3436" max="3437" width="7.7109375" style="2" customWidth="1"/>
    <col min="3438" max="3441" width="11.42578125" style="2"/>
    <col min="3442" max="3442" width="3.7109375" style="2" customWidth="1"/>
    <col min="3443" max="3444" width="7.7109375" style="2" customWidth="1"/>
    <col min="3445" max="3448" width="11.42578125" style="2"/>
    <col min="3449" max="3449" width="3.7109375" style="2" customWidth="1"/>
    <col min="3450" max="3451" width="7.7109375" style="2" customWidth="1"/>
    <col min="3452" max="3455" width="11.42578125" style="2"/>
    <col min="3456" max="3456" width="3.7109375" style="2" customWidth="1"/>
    <col min="3457" max="3458" width="7.7109375" style="2" customWidth="1"/>
    <col min="3459" max="3462" width="11.42578125" style="2"/>
    <col min="3463" max="3463" width="3.7109375" style="2" customWidth="1"/>
    <col min="3464" max="3489" width="11.42578125" style="2"/>
    <col min="3490" max="3490" width="22.85546875" style="2" customWidth="1"/>
    <col min="3491" max="3491" width="14.42578125" style="2" customWidth="1"/>
    <col min="3492" max="3600" width="11.42578125" style="2"/>
    <col min="3601" max="3601" width="12" style="2" customWidth="1"/>
    <col min="3602" max="3602" width="14.28515625" style="2" customWidth="1"/>
    <col min="3603" max="3603" width="11.42578125" style="2"/>
    <col min="3604" max="3604" width="4.140625" style="2" customWidth="1"/>
    <col min="3605" max="3605" width="11.42578125" style="2"/>
    <col min="3606" max="3606" width="28.42578125" style="2" customWidth="1"/>
    <col min="3607" max="3608" width="11.42578125" style="2"/>
    <col min="3609" max="3609" width="5.42578125" style="2" customWidth="1"/>
    <col min="3610" max="3611" width="11.42578125" style="2"/>
    <col min="3612" max="3612" width="10.42578125" style="2" customWidth="1"/>
    <col min="3613" max="3613" width="11.42578125" style="2"/>
    <col min="3614" max="3614" width="6.42578125" style="2" customWidth="1"/>
    <col min="3615" max="3615" width="22.28515625" style="2" customWidth="1"/>
    <col min="3616" max="3616" width="21.28515625" style="2" customWidth="1"/>
    <col min="3617" max="3617" width="6" style="2" customWidth="1"/>
    <col min="3618" max="3621" width="11.42578125" style="2"/>
    <col min="3622" max="3623" width="7.7109375" style="2" customWidth="1"/>
    <col min="3624" max="3624" width="11.42578125" style="2"/>
    <col min="3625" max="3625" width="17.85546875" style="2" customWidth="1"/>
    <col min="3626" max="3627" width="11.42578125" style="2"/>
    <col min="3628" max="3628" width="3.7109375" style="2" customWidth="1"/>
    <col min="3629" max="3630" width="7.7109375" style="2" customWidth="1"/>
    <col min="3631" max="3631" width="16.28515625" style="2" customWidth="1"/>
    <col min="3632" max="3634" width="11.42578125" style="2"/>
    <col min="3635" max="3635" width="3.7109375" style="2" customWidth="1"/>
    <col min="3636" max="3637" width="7.7109375" style="2" customWidth="1"/>
    <col min="3638" max="3641" width="11.42578125" style="2"/>
    <col min="3642" max="3642" width="3.7109375" style="2" customWidth="1"/>
    <col min="3643" max="3644" width="7.7109375" style="2" customWidth="1"/>
    <col min="3645" max="3648" width="11.42578125" style="2"/>
    <col min="3649" max="3649" width="3.7109375" style="2" customWidth="1"/>
    <col min="3650" max="3651" width="7.7109375" style="2" customWidth="1"/>
    <col min="3652" max="3655" width="11.42578125" style="2"/>
    <col min="3656" max="3656" width="3.7109375" style="2" customWidth="1"/>
    <col min="3657" max="3658" width="7.7109375" style="2" customWidth="1"/>
    <col min="3659" max="3662" width="11.42578125" style="2"/>
    <col min="3663" max="3663" width="3.7109375" style="2" customWidth="1"/>
    <col min="3664" max="3665" width="7.7109375" style="2" customWidth="1"/>
    <col min="3666" max="3669" width="11.42578125" style="2"/>
    <col min="3670" max="3670" width="3.7109375" style="2" customWidth="1"/>
    <col min="3671" max="3672" width="7.7109375" style="2" customWidth="1"/>
    <col min="3673" max="3676" width="11.42578125" style="2"/>
    <col min="3677" max="3677" width="3.7109375" style="2" customWidth="1"/>
    <col min="3678" max="3679" width="7.7109375" style="2" customWidth="1"/>
    <col min="3680" max="3683" width="11.42578125" style="2"/>
    <col min="3684" max="3684" width="3.7109375" style="2" customWidth="1"/>
    <col min="3685" max="3686" width="7.7109375" style="2" customWidth="1"/>
    <col min="3687" max="3690" width="11.42578125" style="2"/>
    <col min="3691" max="3691" width="3.7109375" style="2" customWidth="1"/>
    <col min="3692" max="3693" width="7.7109375" style="2" customWidth="1"/>
    <col min="3694" max="3697" width="11.42578125" style="2"/>
    <col min="3698" max="3698" width="3.7109375" style="2" customWidth="1"/>
    <col min="3699" max="3700" width="7.7109375" style="2" customWidth="1"/>
    <col min="3701" max="3704" width="11.42578125" style="2"/>
    <col min="3705" max="3705" width="3.7109375" style="2" customWidth="1"/>
    <col min="3706" max="3707" width="7.7109375" style="2" customWidth="1"/>
    <col min="3708" max="3711" width="11.42578125" style="2"/>
    <col min="3712" max="3712" width="3.7109375" style="2" customWidth="1"/>
    <col min="3713" max="3714" width="7.7109375" style="2" customWidth="1"/>
    <col min="3715" max="3718" width="11.42578125" style="2"/>
    <col min="3719" max="3719" width="3.7109375" style="2" customWidth="1"/>
    <col min="3720" max="3745" width="11.42578125" style="2"/>
    <col min="3746" max="3746" width="22.85546875" style="2" customWidth="1"/>
    <col min="3747" max="3747" width="14.42578125" style="2" customWidth="1"/>
    <col min="3748" max="3856" width="11.42578125" style="2"/>
    <col min="3857" max="3857" width="12" style="2" customWidth="1"/>
    <col min="3858" max="3858" width="14.28515625" style="2" customWidth="1"/>
    <col min="3859" max="3859" width="11.42578125" style="2"/>
    <col min="3860" max="3860" width="4.140625" style="2" customWidth="1"/>
    <col min="3861" max="3861" width="11.42578125" style="2"/>
    <col min="3862" max="3862" width="28.42578125" style="2" customWidth="1"/>
    <col min="3863" max="3864" width="11.42578125" style="2"/>
    <col min="3865" max="3865" width="5.42578125" style="2" customWidth="1"/>
    <col min="3866" max="3867" width="11.42578125" style="2"/>
    <col min="3868" max="3868" width="10.42578125" style="2" customWidth="1"/>
    <col min="3869" max="3869" width="11.42578125" style="2"/>
    <col min="3870" max="3870" width="6.42578125" style="2" customWidth="1"/>
    <col min="3871" max="3871" width="22.28515625" style="2" customWidth="1"/>
    <col min="3872" max="3872" width="21.28515625" style="2" customWidth="1"/>
    <col min="3873" max="3873" width="6" style="2" customWidth="1"/>
    <col min="3874" max="3877" width="11.42578125" style="2"/>
    <col min="3878" max="3879" width="7.7109375" style="2" customWidth="1"/>
    <col min="3880" max="3880" width="11.42578125" style="2"/>
    <col min="3881" max="3881" width="17.85546875" style="2" customWidth="1"/>
    <col min="3882" max="3883" width="11.42578125" style="2"/>
    <col min="3884" max="3884" width="3.7109375" style="2" customWidth="1"/>
    <col min="3885" max="3886" width="7.7109375" style="2" customWidth="1"/>
    <col min="3887" max="3887" width="16.28515625" style="2" customWidth="1"/>
    <col min="3888" max="3890" width="11.42578125" style="2"/>
    <col min="3891" max="3891" width="3.7109375" style="2" customWidth="1"/>
    <col min="3892" max="3893" width="7.7109375" style="2" customWidth="1"/>
    <col min="3894" max="3897" width="11.42578125" style="2"/>
    <col min="3898" max="3898" width="3.7109375" style="2" customWidth="1"/>
    <col min="3899" max="3900" width="7.7109375" style="2" customWidth="1"/>
    <col min="3901" max="3904" width="11.42578125" style="2"/>
    <col min="3905" max="3905" width="3.7109375" style="2" customWidth="1"/>
    <col min="3906" max="3907" width="7.7109375" style="2" customWidth="1"/>
    <col min="3908" max="3911" width="11.42578125" style="2"/>
    <col min="3912" max="3912" width="3.7109375" style="2" customWidth="1"/>
    <col min="3913" max="3914" width="7.7109375" style="2" customWidth="1"/>
    <col min="3915" max="3918" width="11.42578125" style="2"/>
    <col min="3919" max="3919" width="3.7109375" style="2" customWidth="1"/>
    <col min="3920" max="3921" width="7.7109375" style="2" customWidth="1"/>
    <col min="3922" max="3925" width="11.42578125" style="2"/>
    <col min="3926" max="3926" width="3.7109375" style="2" customWidth="1"/>
    <col min="3927" max="3928" width="7.7109375" style="2" customWidth="1"/>
    <col min="3929" max="3932" width="11.42578125" style="2"/>
    <col min="3933" max="3933" width="3.7109375" style="2" customWidth="1"/>
    <col min="3934" max="3935" width="7.7109375" style="2" customWidth="1"/>
    <col min="3936" max="3939" width="11.42578125" style="2"/>
    <col min="3940" max="3940" width="3.7109375" style="2" customWidth="1"/>
    <col min="3941" max="3942" width="7.7109375" style="2" customWidth="1"/>
    <col min="3943" max="3946" width="11.42578125" style="2"/>
    <col min="3947" max="3947" width="3.7109375" style="2" customWidth="1"/>
    <col min="3948" max="3949" width="7.7109375" style="2" customWidth="1"/>
    <col min="3950" max="3953" width="11.42578125" style="2"/>
    <col min="3954" max="3954" width="3.7109375" style="2" customWidth="1"/>
    <col min="3955" max="3956" width="7.7109375" style="2" customWidth="1"/>
    <col min="3957" max="3960" width="11.42578125" style="2"/>
    <col min="3961" max="3961" width="3.7109375" style="2" customWidth="1"/>
    <col min="3962" max="3963" width="7.7109375" style="2" customWidth="1"/>
    <col min="3964" max="3967" width="11.42578125" style="2"/>
    <col min="3968" max="3968" width="3.7109375" style="2" customWidth="1"/>
    <col min="3969" max="3970" width="7.7109375" style="2" customWidth="1"/>
    <col min="3971" max="3974" width="11.42578125" style="2"/>
    <col min="3975" max="3975" width="3.7109375" style="2" customWidth="1"/>
    <col min="3976" max="4001" width="11.42578125" style="2"/>
    <col min="4002" max="4002" width="22.85546875" style="2" customWidth="1"/>
    <col min="4003" max="4003" width="14.42578125" style="2" customWidth="1"/>
    <col min="4004" max="4112" width="11.42578125" style="2"/>
    <col min="4113" max="4113" width="12" style="2" customWidth="1"/>
    <col min="4114" max="4114" width="14.28515625" style="2" customWidth="1"/>
    <col min="4115" max="4115" width="11.42578125" style="2"/>
    <col min="4116" max="4116" width="4.140625" style="2" customWidth="1"/>
    <col min="4117" max="4117" width="11.42578125" style="2"/>
    <col min="4118" max="4118" width="28.42578125" style="2" customWidth="1"/>
    <col min="4119" max="4120" width="11.42578125" style="2"/>
    <col min="4121" max="4121" width="5.42578125" style="2" customWidth="1"/>
    <col min="4122" max="4123" width="11.42578125" style="2"/>
    <col min="4124" max="4124" width="10.42578125" style="2" customWidth="1"/>
    <col min="4125" max="4125" width="11.42578125" style="2"/>
    <col min="4126" max="4126" width="6.42578125" style="2" customWidth="1"/>
    <col min="4127" max="4127" width="22.28515625" style="2" customWidth="1"/>
    <col min="4128" max="4128" width="21.28515625" style="2" customWidth="1"/>
    <col min="4129" max="4129" width="6" style="2" customWidth="1"/>
    <col min="4130" max="4133" width="11.42578125" style="2"/>
    <col min="4134" max="4135" width="7.7109375" style="2" customWidth="1"/>
    <col min="4136" max="4136" width="11.42578125" style="2"/>
    <col min="4137" max="4137" width="17.85546875" style="2" customWidth="1"/>
    <col min="4138" max="4139" width="11.42578125" style="2"/>
    <col min="4140" max="4140" width="3.7109375" style="2" customWidth="1"/>
    <col min="4141" max="4142" width="7.7109375" style="2" customWidth="1"/>
    <col min="4143" max="4143" width="16.28515625" style="2" customWidth="1"/>
    <col min="4144" max="4146" width="11.42578125" style="2"/>
    <col min="4147" max="4147" width="3.7109375" style="2" customWidth="1"/>
    <col min="4148" max="4149" width="7.7109375" style="2" customWidth="1"/>
    <col min="4150" max="4153" width="11.42578125" style="2"/>
    <col min="4154" max="4154" width="3.7109375" style="2" customWidth="1"/>
    <col min="4155" max="4156" width="7.7109375" style="2" customWidth="1"/>
    <col min="4157" max="4160" width="11.42578125" style="2"/>
    <col min="4161" max="4161" width="3.7109375" style="2" customWidth="1"/>
    <col min="4162" max="4163" width="7.7109375" style="2" customWidth="1"/>
    <col min="4164" max="4167" width="11.42578125" style="2"/>
    <col min="4168" max="4168" width="3.7109375" style="2" customWidth="1"/>
    <col min="4169" max="4170" width="7.7109375" style="2" customWidth="1"/>
    <col min="4171" max="4174" width="11.42578125" style="2"/>
    <col min="4175" max="4175" width="3.7109375" style="2" customWidth="1"/>
    <col min="4176" max="4177" width="7.7109375" style="2" customWidth="1"/>
    <col min="4178" max="4181" width="11.42578125" style="2"/>
    <col min="4182" max="4182" width="3.7109375" style="2" customWidth="1"/>
    <col min="4183" max="4184" width="7.7109375" style="2" customWidth="1"/>
    <col min="4185" max="4188" width="11.42578125" style="2"/>
    <col min="4189" max="4189" width="3.7109375" style="2" customWidth="1"/>
    <col min="4190" max="4191" width="7.7109375" style="2" customWidth="1"/>
    <col min="4192" max="4195" width="11.42578125" style="2"/>
    <col min="4196" max="4196" width="3.7109375" style="2" customWidth="1"/>
    <col min="4197" max="4198" width="7.7109375" style="2" customWidth="1"/>
    <col min="4199" max="4202" width="11.42578125" style="2"/>
    <col min="4203" max="4203" width="3.7109375" style="2" customWidth="1"/>
    <col min="4204" max="4205" width="7.7109375" style="2" customWidth="1"/>
    <col min="4206" max="4209" width="11.42578125" style="2"/>
    <col min="4210" max="4210" width="3.7109375" style="2" customWidth="1"/>
    <col min="4211" max="4212" width="7.7109375" style="2" customWidth="1"/>
    <col min="4213" max="4216" width="11.42578125" style="2"/>
    <col min="4217" max="4217" width="3.7109375" style="2" customWidth="1"/>
    <col min="4218" max="4219" width="7.7109375" style="2" customWidth="1"/>
    <col min="4220" max="4223" width="11.42578125" style="2"/>
    <col min="4224" max="4224" width="3.7109375" style="2" customWidth="1"/>
    <col min="4225" max="4226" width="7.7109375" style="2" customWidth="1"/>
    <col min="4227" max="4230" width="11.42578125" style="2"/>
    <col min="4231" max="4231" width="3.7109375" style="2" customWidth="1"/>
    <col min="4232" max="4257" width="11.42578125" style="2"/>
    <col min="4258" max="4258" width="22.85546875" style="2" customWidth="1"/>
    <col min="4259" max="4259" width="14.42578125" style="2" customWidth="1"/>
    <col min="4260" max="4368" width="11.42578125" style="2"/>
    <col min="4369" max="4369" width="12" style="2" customWidth="1"/>
    <col min="4370" max="4370" width="14.28515625" style="2" customWidth="1"/>
    <col min="4371" max="4371" width="11.42578125" style="2"/>
    <col min="4372" max="4372" width="4.140625" style="2" customWidth="1"/>
    <col min="4373" max="4373" width="11.42578125" style="2"/>
    <col min="4374" max="4374" width="28.42578125" style="2" customWidth="1"/>
    <col min="4375" max="4376" width="11.42578125" style="2"/>
    <col min="4377" max="4377" width="5.42578125" style="2" customWidth="1"/>
    <col min="4378" max="4379" width="11.42578125" style="2"/>
    <col min="4380" max="4380" width="10.42578125" style="2" customWidth="1"/>
    <col min="4381" max="4381" width="11.42578125" style="2"/>
    <col min="4382" max="4382" width="6.42578125" style="2" customWidth="1"/>
    <col min="4383" max="4383" width="22.28515625" style="2" customWidth="1"/>
    <col min="4384" max="4384" width="21.28515625" style="2" customWidth="1"/>
    <col min="4385" max="4385" width="6" style="2" customWidth="1"/>
    <col min="4386" max="4389" width="11.42578125" style="2"/>
    <col min="4390" max="4391" width="7.7109375" style="2" customWidth="1"/>
    <col min="4392" max="4392" width="11.42578125" style="2"/>
    <col min="4393" max="4393" width="17.85546875" style="2" customWidth="1"/>
    <col min="4394" max="4395" width="11.42578125" style="2"/>
    <col min="4396" max="4396" width="3.7109375" style="2" customWidth="1"/>
    <col min="4397" max="4398" width="7.7109375" style="2" customWidth="1"/>
    <col min="4399" max="4399" width="16.28515625" style="2" customWidth="1"/>
    <col min="4400" max="4402" width="11.42578125" style="2"/>
    <col min="4403" max="4403" width="3.7109375" style="2" customWidth="1"/>
    <col min="4404" max="4405" width="7.7109375" style="2" customWidth="1"/>
    <col min="4406" max="4409" width="11.42578125" style="2"/>
    <col min="4410" max="4410" width="3.7109375" style="2" customWidth="1"/>
    <col min="4411" max="4412" width="7.7109375" style="2" customWidth="1"/>
    <col min="4413" max="4416" width="11.42578125" style="2"/>
    <col min="4417" max="4417" width="3.7109375" style="2" customWidth="1"/>
    <col min="4418" max="4419" width="7.7109375" style="2" customWidth="1"/>
    <col min="4420" max="4423" width="11.42578125" style="2"/>
    <col min="4424" max="4424" width="3.7109375" style="2" customWidth="1"/>
    <col min="4425" max="4426" width="7.7109375" style="2" customWidth="1"/>
    <col min="4427" max="4430" width="11.42578125" style="2"/>
    <col min="4431" max="4431" width="3.7109375" style="2" customWidth="1"/>
    <col min="4432" max="4433" width="7.7109375" style="2" customWidth="1"/>
    <col min="4434" max="4437" width="11.42578125" style="2"/>
    <col min="4438" max="4438" width="3.7109375" style="2" customWidth="1"/>
    <col min="4439" max="4440" width="7.7109375" style="2" customWidth="1"/>
    <col min="4441" max="4444" width="11.42578125" style="2"/>
    <col min="4445" max="4445" width="3.7109375" style="2" customWidth="1"/>
    <col min="4446" max="4447" width="7.7109375" style="2" customWidth="1"/>
    <col min="4448" max="4451" width="11.42578125" style="2"/>
    <col min="4452" max="4452" width="3.7109375" style="2" customWidth="1"/>
    <col min="4453" max="4454" width="7.7109375" style="2" customWidth="1"/>
    <col min="4455" max="4458" width="11.42578125" style="2"/>
    <col min="4459" max="4459" width="3.7109375" style="2" customWidth="1"/>
    <col min="4460" max="4461" width="7.7109375" style="2" customWidth="1"/>
    <col min="4462" max="4465" width="11.42578125" style="2"/>
    <col min="4466" max="4466" width="3.7109375" style="2" customWidth="1"/>
    <col min="4467" max="4468" width="7.7109375" style="2" customWidth="1"/>
    <col min="4469" max="4472" width="11.42578125" style="2"/>
    <col min="4473" max="4473" width="3.7109375" style="2" customWidth="1"/>
    <col min="4474" max="4475" width="7.7109375" style="2" customWidth="1"/>
    <col min="4476" max="4479" width="11.42578125" style="2"/>
    <col min="4480" max="4480" width="3.7109375" style="2" customWidth="1"/>
    <col min="4481" max="4482" width="7.7109375" style="2" customWidth="1"/>
    <col min="4483" max="4486" width="11.42578125" style="2"/>
    <col min="4487" max="4487" width="3.7109375" style="2" customWidth="1"/>
    <col min="4488" max="4513" width="11.42578125" style="2"/>
    <col min="4514" max="4514" width="22.85546875" style="2" customWidth="1"/>
    <col min="4515" max="4515" width="14.42578125" style="2" customWidth="1"/>
    <col min="4516" max="4624" width="11.42578125" style="2"/>
    <col min="4625" max="4625" width="12" style="2" customWidth="1"/>
    <col min="4626" max="4626" width="14.28515625" style="2" customWidth="1"/>
    <col min="4627" max="4627" width="11.42578125" style="2"/>
    <col min="4628" max="4628" width="4.140625" style="2" customWidth="1"/>
    <col min="4629" max="4629" width="11.42578125" style="2"/>
    <col min="4630" max="4630" width="28.42578125" style="2" customWidth="1"/>
    <col min="4631" max="4632" width="11.42578125" style="2"/>
    <col min="4633" max="4633" width="5.42578125" style="2" customWidth="1"/>
    <col min="4634" max="4635" width="11.42578125" style="2"/>
    <col min="4636" max="4636" width="10.42578125" style="2" customWidth="1"/>
    <col min="4637" max="4637" width="11.42578125" style="2"/>
    <col min="4638" max="4638" width="6.42578125" style="2" customWidth="1"/>
    <col min="4639" max="4639" width="22.28515625" style="2" customWidth="1"/>
    <col min="4640" max="4640" width="21.28515625" style="2" customWidth="1"/>
    <col min="4641" max="4641" width="6" style="2" customWidth="1"/>
    <col min="4642" max="4645" width="11.42578125" style="2"/>
    <col min="4646" max="4647" width="7.7109375" style="2" customWidth="1"/>
    <col min="4648" max="4648" width="11.42578125" style="2"/>
    <col min="4649" max="4649" width="17.85546875" style="2" customWidth="1"/>
    <col min="4650" max="4651" width="11.42578125" style="2"/>
    <col min="4652" max="4652" width="3.7109375" style="2" customWidth="1"/>
    <col min="4653" max="4654" width="7.7109375" style="2" customWidth="1"/>
    <col min="4655" max="4655" width="16.28515625" style="2" customWidth="1"/>
    <col min="4656" max="4658" width="11.42578125" style="2"/>
    <col min="4659" max="4659" width="3.7109375" style="2" customWidth="1"/>
    <col min="4660" max="4661" width="7.7109375" style="2" customWidth="1"/>
    <col min="4662" max="4665" width="11.42578125" style="2"/>
    <col min="4666" max="4666" width="3.7109375" style="2" customWidth="1"/>
    <col min="4667" max="4668" width="7.7109375" style="2" customWidth="1"/>
    <col min="4669" max="4672" width="11.42578125" style="2"/>
    <col min="4673" max="4673" width="3.7109375" style="2" customWidth="1"/>
    <col min="4674" max="4675" width="7.7109375" style="2" customWidth="1"/>
    <col min="4676" max="4679" width="11.42578125" style="2"/>
    <col min="4680" max="4680" width="3.7109375" style="2" customWidth="1"/>
    <col min="4681" max="4682" width="7.7109375" style="2" customWidth="1"/>
    <col min="4683" max="4686" width="11.42578125" style="2"/>
    <col min="4687" max="4687" width="3.7109375" style="2" customWidth="1"/>
    <col min="4688" max="4689" width="7.7109375" style="2" customWidth="1"/>
    <col min="4690" max="4693" width="11.42578125" style="2"/>
    <col min="4694" max="4694" width="3.7109375" style="2" customWidth="1"/>
    <col min="4695" max="4696" width="7.7109375" style="2" customWidth="1"/>
    <col min="4697" max="4700" width="11.42578125" style="2"/>
    <col min="4701" max="4701" width="3.7109375" style="2" customWidth="1"/>
    <col min="4702" max="4703" width="7.7109375" style="2" customWidth="1"/>
    <col min="4704" max="4707" width="11.42578125" style="2"/>
    <col min="4708" max="4708" width="3.7109375" style="2" customWidth="1"/>
    <col min="4709" max="4710" width="7.7109375" style="2" customWidth="1"/>
    <col min="4711" max="4714" width="11.42578125" style="2"/>
    <col min="4715" max="4715" width="3.7109375" style="2" customWidth="1"/>
    <col min="4716" max="4717" width="7.7109375" style="2" customWidth="1"/>
    <col min="4718" max="4721" width="11.42578125" style="2"/>
    <col min="4722" max="4722" width="3.7109375" style="2" customWidth="1"/>
    <col min="4723" max="4724" width="7.7109375" style="2" customWidth="1"/>
    <col min="4725" max="4728" width="11.42578125" style="2"/>
    <col min="4729" max="4729" width="3.7109375" style="2" customWidth="1"/>
    <col min="4730" max="4731" width="7.7109375" style="2" customWidth="1"/>
    <col min="4732" max="4735" width="11.42578125" style="2"/>
    <col min="4736" max="4736" width="3.7109375" style="2" customWidth="1"/>
    <col min="4737" max="4738" width="7.7109375" style="2" customWidth="1"/>
    <col min="4739" max="4742" width="11.42578125" style="2"/>
    <col min="4743" max="4743" width="3.7109375" style="2" customWidth="1"/>
    <col min="4744" max="4769" width="11.42578125" style="2"/>
    <col min="4770" max="4770" width="22.85546875" style="2" customWidth="1"/>
    <col min="4771" max="4771" width="14.42578125" style="2" customWidth="1"/>
    <col min="4772" max="4880" width="11.42578125" style="2"/>
    <col min="4881" max="4881" width="12" style="2" customWidth="1"/>
    <col min="4882" max="4882" width="14.28515625" style="2" customWidth="1"/>
    <col min="4883" max="4883" width="11.42578125" style="2"/>
    <col min="4884" max="4884" width="4.140625" style="2" customWidth="1"/>
    <col min="4885" max="4885" width="11.42578125" style="2"/>
    <col min="4886" max="4886" width="28.42578125" style="2" customWidth="1"/>
    <col min="4887" max="4888" width="11.42578125" style="2"/>
    <col min="4889" max="4889" width="5.42578125" style="2" customWidth="1"/>
    <col min="4890" max="4891" width="11.42578125" style="2"/>
    <col min="4892" max="4892" width="10.42578125" style="2" customWidth="1"/>
    <col min="4893" max="4893" width="11.42578125" style="2"/>
    <col min="4894" max="4894" width="6.42578125" style="2" customWidth="1"/>
    <col min="4895" max="4895" width="22.28515625" style="2" customWidth="1"/>
    <col min="4896" max="4896" width="21.28515625" style="2" customWidth="1"/>
    <col min="4897" max="4897" width="6" style="2" customWidth="1"/>
    <col min="4898" max="4901" width="11.42578125" style="2"/>
    <col min="4902" max="4903" width="7.7109375" style="2" customWidth="1"/>
    <col min="4904" max="4904" width="11.42578125" style="2"/>
    <col min="4905" max="4905" width="17.85546875" style="2" customWidth="1"/>
    <col min="4906" max="4907" width="11.42578125" style="2"/>
    <col min="4908" max="4908" width="3.7109375" style="2" customWidth="1"/>
    <col min="4909" max="4910" width="7.7109375" style="2" customWidth="1"/>
    <col min="4911" max="4911" width="16.28515625" style="2" customWidth="1"/>
    <col min="4912" max="4914" width="11.42578125" style="2"/>
    <col min="4915" max="4915" width="3.7109375" style="2" customWidth="1"/>
    <col min="4916" max="4917" width="7.7109375" style="2" customWidth="1"/>
    <col min="4918" max="4921" width="11.42578125" style="2"/>
    <col min="4922" max="4922" width="3.7109375" style="2" customWidth="1"/>
    <col min="4923" max="4924" width="7.7109375" style="2" customWidth="1"/>
    <col min="4925" max="4928" width="11.42578125" style="2"/>
    <col min="4929" max="4929" width="3.7109375" style="2" customWidth="1"/>
    <col min="4930" max="4931" width="7.7109375" style="2" customWidth="1"/>
    <col min="4932" max="4935" width="11.42578125" style="2"/>
    <col min="4936" max="4936" width="3.7109375" style="2" customWidth="1"/>
    <col min="4937" max="4938" width="7.7109375" style="2" customWidth="1"/>
    <col min="4939" max="4942" width="11.42578125" style="2"/>
    <col min="4943" max="4943" width="3.7109375" style="2" customWidth="1"/>
    <col min="4944" max="4945" width="7.7109375" style="2" customWidth="1"/>
    <col min="4946" max="4949" width="11.42578125" style="2"/>
    <col min="4950" max="4950" width="3.7109375" style="2" customWidth="1"/>
    <col min="4951" max="4952" width="7.7109375" style="2" customWidth="1"/>
    <col min="4953" max="4956" width="11.42578125" style="2"/>
    <col min="4957" max="4957" width="3.7109375" style="2" customWidth="1"/>
    <col min="4958" max="4959" width="7.7109375" style="2" customWidth="1"/>
    <col min="4960" max="4963" width="11.42578125" style="2"/>
    <col min="4964" max="4964" width="3.7109375" style="2" customWidth="1"/>
    <col min="4965" max="4966" width="7.7109375" style="2" customWidth="1"/>
    <col min="4967" max="4970" width="11.42578125" style="2"/>
    <col min="4971" max="4971" width="3.7109375" style="2" customWidth="1"/>
    <col min="4972" max="4973" width="7.7109375" style="2" customWidth="1"/>
    <col min="4974" max="4977" width="11.42578125" style="2"/>
    <col min="4978" max="4978" width="3.7109375" style="2" customWidth="1"/>
    <col min="4979" max="4980" width="7.7109375" style="2" customWidth="1"/>
    <col min="4981" max="4984" width="11.42578125" style="2"/>
    <col min="4985" max="4985" width="3.7109375" style="2" customWidth="1"/>
    <col min="4986" max="4987" width="7.7109375" style="2" customWidth="1"/>
    <col min="4988" max="4991" width="11.42578125" style="2"/>
    <col min="4992" max="4992" width="3.7109375" style="2" customWidth="1"/>
    <col min="4993" max="4994" width="7.7109375" style="2" customWidth="1"/>
    <col min="4995" max="4998" width="11.42578125" style="2"/>
    <col min="4999" max="4999" width="3.7109375" style="2" customWidth="1"/>
    <col min="5000" max="5025" width="11.42578125" style="2"/>
    <col min="5026" max="5026" width="22.85546875" style="2" customWidth="1"/>
    <col min="5027" max="5027" width="14.42578125" style="2" customWidth="1"/>
    <col min="5028" max="5136" width="11.42578125" style="2"/>
    <col min="5137" max="5137" width="12" style="2" customWidth="1"/>
    <col min="5138" max="5138" width="14.28515625" style="2" customWidth="1"/>
    <col min="5139" max="5139" width="11.42578125" style="2"/>
    <col min="5140" max="5140" width="4.140625" style="2" customWidth="1"/>
    <col min="5141" max="5141" width="11.42578125" style="2"/>
    <col min="5142" max="5142" width="28.42578125" style="2" customWidth="1"/>
    <col min="5143" max="5144" width="11.42578125" style="2"/>
    <col min="5145" max="5145" width="5.42578125" style="2" customWidth="1"/>
    <col min="5146" max="5147" width="11.42578125" style="2"/>
    <col min="5148" max="5148" width="10.42578125" style="2" customWidth="1"/>
    <col min="5149" max="5149" width="11.42578125" style="2"/>
    <col min="5150" max="5150" width="6.42578125" style="2" customWidth="1"/>
    <col min="5151" max="5151" width="22.28515625" style="2" customWidth="1"/>
    <col min="5152" max="5152" width="21.28515625" style="2" customWidth="1"/>
    <col min="5153" max="5153" width="6" style="2" customWidth="1"/>
    <col min="5154" max="5157" width="11.42578125" style="2"/>
    <col min="5158" max="5159" width="7.7109375" style="2" customWidth="1"/>
    <col min="5160" max="5160" width="11.42578125" style="2"/>
    <col min="5161" max="5161" width="17.85546875" style="2" customWidth="1"/>
    <col min="5162" max="5163" width="11.42578125" style="2"/>
    <col min="5164" max="5164" width="3.7109375" style="2" customWidth="1"/>
    <col min="5165" max="5166" width="7.7109375" style="2" customWidth="1"/>
    <col min="5167" max="5167" width="16.28515625" style="2" customWidth="1"/>
    <col min="5168" max="5170" width="11.42578125" style="2"/>
    <col min="5171" max="5171" width="3.7109375" style="2" customWidth="1"/>
    <col min="5172" max="5173" width="7.7109375" style="2" customWidth="1"/>
    <col min="5174" max="5177" width="11.42578125" style="2"/>
    <col min="5178" max="5178" width="3.7109375" style="2" customWidth="1"/>
    <col min="5179" max="5180" width="7.7109375" style="2" customWidth="1"/>
    <col min="5181" max="5184" width="11.42578125" style="2"/>
    <col min="5185" max="5185" width="3.7109375" style="2" customWidth="1"/>
    <col min="5186" max="5187" width="7.7109375" style="2" customWidth="1"/>
    <col min="5188" max="5191" width="11.42578125" style="2"/>
    <col min="5192" max="5192" width="3.7109375" style="2" customWidth="1"/>
    <col min="5193" max="5194" width="7.7109375" style="2" customWidth="1"/>
    <col min="5195" max="5198" width="11.42578125" style="2"/>
    <col min="5199" max="5199" width="3.7109375" style="2" customWidth="1"/>
    <col min="5200" max="5201" width="7.7109375" style="2" customWidth="1"/>
    <col min="5202" max="5205" width="11.42578125" style="2"/>
    <col min="5206" max="5206" width="3.7109375" style="2" customWidth="1"/>
    <col min="5207" max="5208" width="7.7109375" style="2" customWidth="1"/>
    <col min="5209" max="5212" width="11.42578125" style="2"/>
    <col min="5213" max="5213" width="3.7109375" style="2" customWidth="1"/>
    <col min="5214" max="5215" width="7.7109375" style="2" customWidth="1"/>
    <col min="5216" max="5219" width="11.42578125" style="2"/>
    <col min="5220" max="5220" width="3.7109375" style="2" customWidth="1"/>
    <col min="5221" max="5222" width="7.7109375" style="2" customWidth="1"/>
    <col min="5223" max="5226" width="11.42578125" style="2"/>
    <col min="5227" max="5227" width="3.7109375" style="2" customWidth="1"/>
    <col min="5228" max="5229" width="7.7109375" style="2" customWidth="1"/>
    <col min="5230" max="5233" width="11.42578125" style="2"/>
    <col min="5234" max="5234" width="3.7109375" style="2" customWidth="1"/>
    <col min="5235" max="5236" width="7.7109375" style="2" customWidth="1"/>
    <col min="5237" max="5240" width="11.42578125" style="2"/>
    <col min="5241" max="5241" width="3.7109375" style="2" customWidth="1"/>
    <col min="5242" max="5243" width="7.7109375" style="2" customWidth="1"/>
    <col min="5244" max="5247" width="11.42578125" style="2"/>
    <col min="5248" max="5248" width="3.7109375" style="2" customWidth="1"/>
    <col min="5249" max="5250" width="7.7109375" style="2" customWidth="1"/>
    <col min="5251" max="5254" width="11.42578125" style="2"/>
    <col min="5255" max="5255" width="3.7109375" style="2" customWidth="1"/>
    <col min="5256" max="5281" width="11.42578125" style="2"/>
    <col min="5282" max="5282" width="22.85546875" style="2" customWidth="1"/>
    <col min="5283" max="5283" width="14.42578125" style="2" customWidth="1"/>
    <col min="5284" max="5392" width="11.42578125" style="2"/>
    <col min="5393" max="5393" width="12" style="2" customWidth="1"/>
    <col min="5394" max="5394" width="14.28515625" style="2" customWidth="1"/>
    <col min="5395" max="5395" width="11.42578125" style="2"/>
    <col min="5396" max="5396" width="4.140625" style="2" customWidth="1"/>
    <col min="5397" max="5397" width="11.42578125" style="2"/>
    <col min="5398" max="5398" width="28.42578125" style="2" customWidth="1"/>
    <col min="5399" max="5400" width="11.42578125" style="2"/>
    <col min="5401" max="5401" width="5.42578125" style="2" customWidth="1"/>
    <col min="5402" max="5403" width="11.42578125" style="2"/>
    <col min="5404" max="5404" width="10.42578125" style="2" customWidth="1"/>
    <col min="5405" max="5405" width="11.42578125" style="2"/>
    <col min="5406" max="5406" width="6.42578125" style="2" customWidth="1"/>
    <col min="5407" max="5407" width="22.28515625" style="2" customWidth="1"/>
    <col min="5408" max="5408" width="21.28515625" style="2" customWidth="1"/>
    <col min="5409" max="5409" width="6" style="2" customWidth="1"/>
    <col min="5410" max="5413" width="11.42578125" style="2"/>
    <col min="5414" max="5415" width="7.7109375" style="2" customWidth="1"/>
    <col min="5416" max="5416" width="11.42578125" style="2"/>
    <col min="5417" max="5417" width="17.85546875" style="2" customWidth="1"/>
    <col min="5418" max="5419" width="11.42578125" style="2"/>
    <col min="5420" max="5420" width="3.7109375" style="2" customWidth="1"/>
    <col min="5421" max="5422" width="7.7109375" style="2" customWidth="1"/>
    <col min="5423" max="5423" width="16.28515625" style="2" customWidth="1"/>
    <col min="5424" max="5426" width="11.42578125" style="2"/>
    <col min="5427" max="5427" width="3.7109375" style="2" customWidth="1"/>
    <col min="5428" max="5429" width="7.7109375" style="2" customWidth="1"/>
    <col min="5430" max="5433" width="11.42578125" style="2"/>
    <col min="5434" max="5434" width="3.7109375" style="2" customWidth="1"/>
    <col min="5435" max="5436" width="7.7109375" style="2" customWidth="1"/>
    <col min="5437" max="5440" width="11.42578125" style="2"/>
    <col min="5441" max="5441" width="3.7109375" style="2" customWidth="1"/>
    <col min="5442" max="5443" width="7.7109375" style="2" customWidth="1"/>
    <col min="5444" max="5447" width="11.42578125" style="2"/>
    <col min="5448" max="5448" width="3.7109375" style="2" customWidth="1"/>
    <col min="5449" max="5450" width="7.7109375" style="2" customWidth="1"/>
    <col min="5451" max="5454" width="11.42578125" style="2"/>
    <col min="5455" max="5455" width="3.7109375" style="2" customWidth="1"/>
    <col min="5456" max="5457" width="7.7109375" style="2" customWidth="1"/>
    <col min="5458" max="5461" width="11.42578125" style="2"/>
    <col min="5462" max="5462" width="3.7109375" style="2" customWidth="1"/>
    <col min="5463" max="5464" width="7.7109375" style="2" customWidth="1"/>
    <col min="5465" max="5468" width="11.42578125" style="2"/>
    <col min="5469" max="5469" width="3.7109375" style="2" customWidth="1"/>
    <col min="5470" max="5471" width="7.7109375" style="2" customWidth="1"/>
    <col min="5472" max="5475" width="11.42578125" style="2"/>
    <col min="5476" max="5476" width="3.7109375" style="2" customWidth="1"/>
    <col min="5477" max="5478" width="7.7109375" style="2" customWidth="1"/>
    <col min="5479" max="5482" width="11.42578125" style="2"/>
    <col min="5483" max="5483" width="3.7109375" style="2" customWidth="1"/>
    <col min="5484" max="5485" width="7.7109375" style="2" customWidth="1"/>
    <col min="5486" max="5489" width="11.42578125" style="2"/>
    <col min="5490" max="5490" width="3.7109375" style="2" customWidth="1"/>
    <col min="5491" max="5492" width="7.7109375" style="2" customWidth="1"/>
    <col min="5493" max="5496" width="11.42578125" style="2"/>
    <col min="5497" max="5497" width="3.7109375" style="2" customWidth="1"/>
    <col min="5498" max="5499" width="7.7109375" style="2" customWidth="1"/>
    <col min="5500" max="5503" width="11.42578125" style="2"/>
    <col min="5504" max="5504" width="3.7109375" style="2" customWidth="1"/>
    <col min="5505" max="5506" width="7.7109375" style="2" customWidth="1"/>
    <col min="5507" max="5510" width="11.42578125" style="2"/>
    <col min="5511" max="5511" width="3.7109375" style="2" customWidth="1"/>
    <col min="5512" max="5537" width="11.42578125" style="2"/>
    <col min="5538" max="5538" width="22.85546875" style="2" customWidth="1"/>
    <col min="5539" max="5539" width="14.42578125" style="2" customWidth="1"/>
    <col min="5540" max="5648" width="11.42578125" style="2"/>
    <col min="5649" max="5649" width="12" style="2" customWidth="1"/>
    <col min="5650" max="5650" width="14.28515625" style="2" customWidth="1"/>
    <col min="5651" max="5651" width="11.42578125" style="2"/>
    <col min="5652" max="5652" width="4.140625" style="2" customWidth="1"/>
    <col min="5653" max="5653" width="11.42578125" style="2"/>
    <col min="5654" max="5654" width="28.42578125" style="2" customWidth="1"/>
    <col min="5655" max="5656" width="11.42578125" style="2"/>
    <col min="5657" max="5657" width="5.42578125" style="2" customWidth="1"/>
    <col min="5658" max="5659" width="11.42578125" style="2"/>
    <col min="5660" max="5660" width="10.42578125" style="2" customWidth="1"/>
    <col min="5661" max="5661" width="11.42578125" style="2"/>
    <col min="5662" max="5662" width="6.42578125" style="2" customWidth="1"/>
    <col min="5663" max="5663" width="22.28515625" style="2" customWidth="1"/>
    <col min="5664" max="5664" width="21.28515625" style="2" customWidth="1"/>
    <col min="5665" max="5665" width="6" style="2" customWidth="1"/>
    <col min="5666" max="5669" width="11.42578125" style="2"/>
    <col min="5670" max="5671" width="7.7109375" style="2" customWidth="1"/>
    <col min="5672" max="5672" width="11.42578125" style="2"/>
    <col min="5673" max="5673" width="17.85546875" style="2" customWidth="1"/>
    <col min="5674" max="5675" width="11.42578125" style="2"/>
    <col min="5676" max="5676" width="3.7109375" style="2" customWidth="1"/>
    <col min="5677" max="5678" width="7.7109375" style="2" customWidth="1"/>
    <col min="5679" max="5679" width="16.28515625" style="2" customWidth="1"/>
    <col min="5680" max="5682" width="11.42578125" style="2"/>
    <col min="5683" max="5683" width="3.7109375" style="2" customWidth="1"/>
    <col min="5684" max="5685" width="7.7109375" style="2" customWidth="1"/>
    <col min="5686" max="5689" width="11.42578125" style="2"/>
    <col min="5690" max="5690" width="3.7109375" style="2" customWidth="1"/>
    <col min="5691" max="5692" width="7.7109375" style="2" customWidth="1"/>
    <col min="5693" max="5696" width="11.42578125" style="2"/>
    <col min="5697" max="5697" width="3.7109375" style="2" customWidth="1"/>
    <col min="5698" max="5699" width="7.7109375" style="2" customWidth="1"/>
    <col min="5700" max="5703" width="11.42578125" style="2"/>
    <col min="5704" max="5704" width="3.7109375" style="2" customWidth="1"/>
    <col min="5705" max="5706" width="7.7109375" style="2" customWidth="1"/>
    <col min="5707" max="5710" width="11.42578125" style="2"/>
    <col min="5711" max="5711" width="3.7109375" style="2" customWidth="1"/>
    <col min="5712" max="5713" width="7.7109375" style="2" customWidth="1"/>
    <col min="5714" max="5717" width="11.42578125" style="2"/>
    <col min="5718" max="5718" width="3.7109375" style="2" customWidth="1"/>
    <col min="5719" max="5720" width="7.7109375" style="2" customWidth="1"/>
    <col min="5721" max="5724" width="11.42578125" style="2"/>
    <col min="5725" max="5725" width="3.7109375" style="2" customWidth="1"/>
    <col min="5726" max="5727" width="7.7109375" style="2" customWidth="1"/>
    <col min="5728" max="5731" width="11.42578125" style="2"/>
    <col min="5732" max="5732" width="3.7109375" style="2" customWidth="1"/>
    <col min="5733" max="5734" width="7.7109375" style="2" customWidth="1"/>
    <col min="5735" max="5738" width="11.42578125" style="2"/>
    <col min="5739" max="5739" width="3.7109375" style="2" customWidth="1"/>
    <col min="5740" max="5741" width="7.7109375" style="2" customWidth="1"/>
    <col min="5742" max="5745" width="11.42578125" style="2"/>
    <col min="5746" max="5746" width="3.7109375" style="2" customWidth="1"/>
    <col min="5747" max="5748" width="7.7109375" style="2" customWidth="1"/>
    <col min="5749" max="5752" width="11.42578125" style="2"/>
    <col min="5753" max="5753" width="3.7109375" style="2" customWidth="1"/>
    <col min="5754" max="5755" width="7.7109375" style="2" customWidth="1"/>
    <col min="5756" max="5759" width="11.42578125" style="2"/>
    <col min="5760" max="5760" width="3.7109375" style="2" customWidth="1"/>
    <col min="5761" max="5762" width="7.7109375" style="2" customWidth="1"/>
    <col min="5763" max="5766" width="11.42578125" style="2"/>
    <col min="5767" max="5767" width="3.7109375" style="2" customWidth="1"/>
    <col min="5768" max="5793" width="11.42578125" style="2"/>
    <col min="5794" max="5794" width="22.85546875" style="2" customWidth="1"/>
    <col min="5795" max="5795" width="14.42578125" style="2" customWidth="1"/>
    <col min="5796" max="5904" width="11.42578125" style="2"/>
    <col min="5905" max="5905" width="12" style="2" customWidth="1"/>
    <col min="5906" max="5906" width="14.28515625" style="2" customWidth="1"/>
    <col min="5907" max="5907" width="11.42578125" style="2"/>
    <col min="5908" max="5908" width="4.140625" style="2" customWidth="1"/>
    <col min="5909" max="5909" width="11.42578125" style="2"/>
    <col min="5910" max="5910" width="28.42578125" style="2" customWidth="1"/>
    <col min="5911" max="5912" width="11.42578125" style="2"/>
    <col min="5913" max="5913" width="5.42578125" style="2" customWidth="1"/>
    <col min="5914" max="5915" width="11.42578125" style="2"/>
    <col min="5916" max="5916" width="10.42578125" style="2" customWidth="1"/>
    <col min="5917" max="5917" width="11.42578125" style="2"/>
    <col min="5918" max="5918" width="6.42578125" style="2" customWidth="1"/>
    <col min="5919" max="5919" width="22.28515625" style="2" customWidth="1"/>
    <col min="5920" max="5920" width="21.28515625" style="2" customWidth="1"/>
    <col min="5921" max="5921" width="6" style="2" customWidth="1"/>
    <col min="5922" max="5925" width="11.42578125" style="2"/>
    <col min="5926" max="5927" width="7.7109375" style="2" customWidth="1"/>
    <col min="5928" max="5928" width="11.42578125" style="2"/>
    <col min="5929" max="5929" width="17.85546875" style="2" customWidth="1"/>
    <col min="5930" max="5931" width="11.42578125" style="2"/>
    <col min="5932" max="5932" width="3.7109375" style="2" customWidth="1"/>
    <col min="5933" max="5934" width="7.7109375" style="2" customWidth="1"/>
    <col min="5935" max="5935" width="16.28515625" style="2" customWidth="1"/>
    <col min="5936" max="5938" width="11.42578125" style="2"/>
    <col min="5939" max="5939" width="3.7109375" style="2" customWidth="1"/>
    <col min="5940" max="5941" width="7.7109375" style="2" customWidth="1"/>
    <col min="5942" max="5945" width="11.42578125" style="2"/>
    <col min="5946" max="5946" width="3.7109375" style="2" customWidth="1"/>
    <col min="5947" max="5948" width="7.7109375" style="2" customWidth="1"/>
    <col min="5949" max="5952" width="11.42578125" style="2"/>
    <col min="5953" max="5953" width="3.7109375" style="2" customWidth="1"/>
    <col min="5954" max="5955" width="7.7109375" style="2" customWidth="1"/>
    <col min="5956" max="5959" width="11.42578125" style="2"/>
    <col min="5960" max="5960" width="3.7109375" style="2" customWidth="1"/>
    <col min="5961" max="5962" width="7.7109375" style="2" customWidth="1"/>
    <col min="5963" max="5966" width="11.42578125" style="2"/>
    <col min="5967" max="5967" width="3.7109375" style="2" customWidth="1"/>
    <col min="5968" max="5969" width="7.7109375" style="2" customWidth="1"/>
    <col min="5970" max="5973" width="11.42578125" style="2"/>
    <col min="5974" max="5974" width="3.7109375" style="2" customWidth="1"/>
    <col min="5975" max="5976" width="7.7109375" style="2" customWidth="1"/>
    <col min="5977" max="5980" width="11.42578125" style="2"/>
    <col min="5981" max="5981" width="3.7109375" style="2" customWidth="1"/>
    <col min="5982" max="5983" width="7.7109375" style="2" customWidth="1"/>
    <col min="5984" max="5987" width="11.42578125" style="2"/>
    <col min="5988" max="5988" width="3.7109375" style="2" customWidth="1"/>
    <col min="5989" max="5990" width="7.7109375" style="2" customWidth="1"/>
    <col min="5991" max="5994" width="11.42578125" style="2"/>
    <col min="5995" max="5995" width="3.7109375" style="2" customWidth="1"/>
    <col min="5996" max="5997" width="7.7109375" style="2" customWidth="1"/>
    <col min="5998" max="6001" width="11.42578125" style="2"/>
    <col min="6002" max="6002" width="3.7109375" style="2" customWidth="1"/>
    <col min="6003" max="6004" width="7.7109375" style="2" customWidth="1"/>
    <col min="6005" max="6008" width="11.42578125" style="2"/>
    <col min="6009" max="6009" width="3.7109375" style="2" customWidth="1"/>
    <col min="6010" max="6011" width="7.7109375" style="2" customWidth="1"/>
    <col min="6012" max="6015" width="11.42578125" style="2"/>
    <col min="6016" max="6016" width="3.7109375" style="2" customWidth="1"/>
    <col min="6017" max="6018" width="7.7109375" style="2" customWidth="1"/>
    <col min="6019" max="6022" width="11.42578125" style="2"/>
    <col min="6023" max="6023" width="3.7109375" style="2" customWidth="1"/>
    <col min="6024" max="6049" width="11.42578125" style="2"/>
    <col min="6050" max="6050" width="22.85546875" style="2" customWidth="1"/>
    <col min="6051" max="6051" width="14.42578125" style="2" customWidth="1"/>
    <col min="6052" max="6160" width="11.42578125" style="2"/>
    <col min="6161" max="6161" width="12" style="2" customWidth="1"/>
    <col min="6162" max="6162" width="14.28515625" style="2" customWidth="1"/>
    <col min="6163" max="6163" width="11.42578125" style="2"/>
    <col min="6164" max="6164" width="4.140625" style="2" customWidth="1"/>
    <col min="6165" max="6165" width="11.42578125" style="2"/>
    <col min="6166" max="6166" width="28.42578125" style="2" customWidth="1"/>
    <col min="6167" max="6168" width="11.42578125" style="2"/>
    <col min="6169" max="6169" width="5.42578125" style="2" customWidth="1"/>
    <col min="6170" max="6171" width="11.42578125" style="2"/>
    <col min="6172" max="6172" width="10.42578125" style="2" customWidth="1"/>
    <col min="6173" max="6173" width="11.42578125" style="2"/>
    <col min="6174" max="6174" width="6.42578125" style="2" customWidth="1"/>
    <col min="6175" max="6175" width="22.28515625" style="2" customWidth="1"/>
    <col min="6176" max="6176" width="21.28515625" style="2" customWidth="1"/>
    <col min="6177" max="6177" width="6" style="2" customWidth="1"/>
    <col min="6178" max="6181" width="11.42578125" style="2"/>
    <col min="6182" max="6183" width="7.7109375" style="2" customWidth="1"/>
    <col min="6184" max="6184" width="11.42578125" style="2"/>
    <col min="6185" max="6185" width="17.85546875" style="2" customWidth="1"/>
    <col min="6186" max="6187" width="11.42578125" style="2"/>
    <col min="6188" max="6188" width="3.7109375" style="2" customWidth="1"/>
    <col min="6189" max="6190" width="7.7109375" style="2" customWidth="1"/>
    <col min="6191" max="6191" width="16.28515625" style="2" customWidth="1"/>
    <col min="6192" max="6194" width="11.42578125" style="2"/>
    <col min="6195" max="6195" width="3.7109375" style="2" customWidth="1"/>
    <col min="6196" max="6197" width="7.7109375" style="2" customWidth="1"/>
    <col min="6198" max="6201" width="11.42578125" style="2"/>
    <col min="6202" max="6202" width="3.7109375" style="2" customWidth="1"/>
    <col min="6203" max="6204" width="7.7109375" style="2" customWidth="1"/>
    <col min="6205" max="6208" width="11.42578125" style="2"/>
    <col min="6209" max="6209" width="3.7109375" style="2" customWidth="1"/>
    <col min="6210" max="6211" width="7.7109375" style="2" customWidth="1"/>
    <col min="6212" max="6215" width="11.42578125" style="2"/>
    <col min="6216" max="6216" width="3.7109375" style="2" customWidth="1"/>
    <col min="6217" max="6218" width="7.7109375" style="2" customWidth="1"/>
    <col min="6219" max="6222" width="11.42578125" style="2"/>
    <col min="6223" max="6223" width="3.7109375" style="2" customWidth="1"/>
    <col min="6224" max="6225" width="7.7109375" style="2" customWidth="1"/>
    <col min="6226" max="6229" width="11.42578125" style="2"/>
    <col min="6230" max="6230" width="3.7109375" style="2" customWidth="1"/>
    <col min="6231" max="6232" width="7.7109375" style="2" customWidth="1"/>
    <col min="6233" max="6236" width="11.42578125" style="2"/>
    <col min="6237" max="6237" width="3.7109375" style="2" customWidth="1"/>
    <col min="6238" max="6239" width="7.7109375" style="2" customWidth="1"/>
    <col min="6240" max="6243" width="11.42578125" style="2"/>
    <col min="6244" max="6244" width="3.7109375" style="2" customWidth="1"/>
    <col min="6245" max="6246" width="7.7109375" style="2" customWidth="1"/>
    <col min="6247" max="6250" width="11.42578125" style="2"/>
    <col min="6251" max="6251" width="3.7109375" style="2" customWidth="1"/>
    <col min="6252" max="6253" width="7.7109375" style="2" customWidth="1"/>
    <col min="6254" max="6257" width="11.42578125" style="2"/>
    <col min="6258" max="6258" width="3.7109375" style="2" customWidth="1"/>
    <col min="6259" max="6260" width="7.7109375" style="2" customWidth="1"/>
    <col min="6261" max="6264" width="11.42578125" style="2"/>
    <col min="6265" max="6265" width="3.7109375" style="2" customWidth="1"/>
    <col min="6266" max="6267" width="7.7109375" style="2" customWidth="1"/>
    <col min="6268" max="6271" width="11.42578125" style="2"/>
    <col min="6272" max="6272" width="3.7109375" style="2" customWidth="1"/>
    <col min="6273" max="6274" width="7.7109375" style="2" customWidth="1"/>
    <col min="6275" max="6278" width="11.42578125" style="2"/>
    <col min="6279" max="6279" width="3.7109375" style="2" customWidth="1"/>
    <col min="6280" max="6305" width="11.42578125" style="2"/>
    <col min="6306" max="6306" width="22.85546875" style="2" customWidth="1"/>
    <col min="6307" max="6307" width="14.42578125" style="2" customWidth="1"/>
    <col min="6308" max="6416" width="11.42578125" style="2"/>
    <col min="6417" max="6417" width="12" style="2" customWidth="1"/>
    <col min="6418" max="6418" width="14.28515625" style="2" customWidth="1"/>
    <col min="6419" max="6419" width="11.42578125" style="2"/>
    <col min="6420" max="6420" width="4.140625" style="2" customWidth="1"/>
    <col min="6421" max="6421" width="11.42578125" style="2"/>
    <col min="6422" max="6422" width="28.42578125" style="2" customWidth="1"/>
    <col min="6423" max="6424" width="11.42578125" style="2"/>
    <col min="6425" max="6425" width="5.42578125" style="2" customWidth="1"/>
    <col min="6426" max="6427" width="11.42578125" style="2"/>
    <col min="6428" max="6428" width="10.42578125" style="2" customWidth="1"/>
    <col min="6429" max="6429" width="11.42578125" style="2"/>
    <col min="6430" max="6430" width="6.42578125" style="2" customWidth="1"/>
    <col min="6431" max="6431" width="22.28515625" style="2" customWidth="1"/>
    <col min="6432" max="6432" width="21.28515625" style="2" customWidth="1"/>
    <col min="6433" max="6433" width="6" style="2" customWidth="1"/>
    <col min="6434" max="6437" width="11.42578125" style="2"/>
    <col min="6438" max="6439" width="7.7109375" style="2" customWidth="1"/>
    <col min="6440" max="6440" width="11.42578125" style="2"/>
    <col min="6441" max="6441" width="17.85546875" style="2" customWidth="1"/>
    <col min="6442" max="6443" width="11.42578125" style="2"/>
    <col min="6444" max="6444" width="3.7109375" style="2" customWidth="1"/>
    <col min="6445" max="6446" width="7.7109375" style="2" customWidth="1"/>
    <col min="6447" max="6447" width="16.28515625" style="2" customWidth="1"/>
    <col min="6448" max="6450" width="11.42578125" style="2"/>
    <col min="6451" max="6451" width="3.7109375" style="2" customWidth="1"/>
    <col min="6452" max="6453" width="7.7109375" style="2" customWidth="1"/>
    <col min="6454" max="6457" width="11.42578125" style="2"/>
    <col min="6458" max="6458" width="3.7109375" style="2" customWidth="1"/>
    <col min="6459" max="6460" width="7.7109375" style="2" customWidth="1"/>
    <col min="6461" max="6464" width="11.42578125" style="2"/>
    <col min="6465" max="6465" width="3.7109375" style="2" customWidth="1"/>
    <col min="6466" max="6467" width="7.7109375" style="2" customWidth="1"/>
    <col min="6468" max="6471" width="11.42578125" style="2"/>
    <col min="6472" max="6472" width="3.7109375" style="2" customWidth="1"/>
    <col min="6473" max="6474" width="7.7109375" style="2" customWidth="1"/>
    <col min="6475" max="6478" width="11.42578125" style="2"/>
    <col min="6479" max="6479" width="3.7109375" style="2" customWidth="1"/>
    <col min="6480" max="6481" width="7.7109375" style="2" customWidth="1"/>
    <col min="6482" max="6485" width="11.42578125" style="2"/>
    <col min="6486" max="6486" width="3.7109375" style="2" customWidth="1"/>
    <col min="6487" max="6488" width="7.7109375" style="2" customWidth="1"/>
    <col min="6489" max="6492" width="11.42578125" style="2"/>
    <col min="6493" max="6493" width="3.7109375" style="2" customWidth="1"/>
    <col min="6494" max="6495" width="7.7109375" style="2" customWidth="1"/>
    <col min="6496" max="6499" width="11.42578125" style="2"/>
    <col min="6500" max="6500" width="3.7109375" style="2" customWidth="1"/>
    <col min="6501" max="6502" width="7.7109375" style="2" customWidth="1"/>
    <col min="6503" max="6506" width="11.42578125" style="2"/>
    <col min="6507" max="6507" width="3.7109375" style="2" customWidth="1"/>
    <col min="6508" max="6509" width="7.7109375" style="2" customWidth="1"/>
    <col min="6510" max="6513" width="11.42578125" style="2"/>
    <col min="6514" max="6514" width="3.7109375" style="2" customWidth="1"/>
    <col min="6515" max="6516" width="7.7109375" style="2" customWidth="1"/>
    <col min="6517" max="6520" width="11.42578125" style="2"/>
    <col min="6521" max="6521" width="3.7109375" style="2" customWidth="1"/>
    <col min="6522" max="6523" width="7.7109375" style="2" customWidth="1"/>
    <col min="6524" max="6527" width="11.42578125" style="2"/>
    <col min="6528" max="6528" width="3.7109375" style="2" customWidth="1"/>
    <col min="6529" max="6530" width="7.7109375" style="2" customWidth="1"/>
    <col min="6531" max="6534" width="11.42578125" style="2"/>
    <col min="6535" max="6535" width="3.7109375" style="2" customWidth="1"/>
    <col min="6536" max="6561" width="11.42578125" style="2"/>
    <col min="6562" max="6562" width="22.85546875" style="2" customWidth="1"/>
    <col min="6563" max="6563" width="14.42578125" style="2" customWidth="1"/>
    <col min="6564" max="6672" width="11.42578125" style="2"/>
    <col min="6673" max="6673" width="12" style="2" customWidth="1"/>
    <col min="6674" max="6674" width="14.28515625" style="2" customWidth="1"/>
    <col min="6675" max="6675" width="11.42578125" style="2"/>
    <col min="6676" max="6676" width="4.140625" style="2" customWidth="1"/>
    <col min="6677" max="6677" width="11.42578125" style="2"/>
    <col min="6678" max="6678" width="28.42578125" style="2" customWidth="1"/>
    <col min="6679" max="6680" width="11.42578125" style="2"/>
    <col min="6681" max="6681" width="5.42578125" style="2" customWidth="1"/>
    <col min="6682" max="6683" width="11.42578125" style="2"/>
    <col min="6684" max="6684" width="10.42578125" style="2" customWidth="1"/>
    <col min="6685" max="6685" width="11.42578125" style="2"/>
    <col min="6686" max="6686" width="6.42578125" style="2" customWidth="1"/>
    <col min="6687" max="6687" width="22.28515625" style="2" customWidth="1"/>
    <col min="6688" max="6688" width="21.28515625" style="2" customWidth="1"/>
    <col min="6689" max="6689" width="6" style="2" customWidth="1"/>
    <col min="6690" max="6693" width="11.42578125" style="2"/>
    <col min="6694" max="6695" width="7.7109375" style="2" customWidth="1"/>
    <col min="6696" max="6696" width="11.42578125" style="2"/>
    <col min="6697" max="6697" width="17.85546875" style="2" customWidth="1"/>
    <col min="6698" max="6699" width="11.42578125" style="2"/>
    <col min="6700" max="6700" width="3.7109375" style="2" customWidth="1"/>
    <col min="6701" max="6702" width="7.7109375" style="2" customWidth="1"/>
    <col min="6703" max="6703" width="16.28515625" style="2" customWidth="1"/>
    <col min="6704" max="6706" width="11.42578125" style="2"/>
    <col min="6707" max="6707" width="3.7109375" style="2" customWidth="1"/>
    <col min="6708" max="6709" width="7.7109375" style="2" customWidth="1"/>
    <col min="6710" max="6713" width="11.42578125" style="2"/>
    <col min="6714" max="6714" width="3.7109375" style="2" customWidth="1"/>
    <col min="6715" max="6716" width="7.7109375" style="2" customWidth="1"/>
    <col min="6717" max="6720" width="11.42578125" style="2"/>
    <col min="6721" max="6721" width="3.7109375" style="2" customWidth="1"/>
    <col min="6722" max="6723" width="7.7109375" style="2" customWidth="1"/>
    <col min="6724" max="6727" width="11.42578125" style="2"/>
    <col min="6728" max="6728" width="3.7109375" style="2" customWidth="1"/>
    <col min="6729" max="6730" width="7.7109375" style="2" customWidth="1"/>
    <col min="6731" max="6734" width="11.42578125" style="2"/>
    <col min="6735" max="6735" width="3.7109375" style="2" customWidth="1"/>
    <col min="6736" max="6737" width="7.7109375" style="2" customWidth="1"/>
    <col min="6738" max="6741" width="11.42578125" style="2"/>
    <col min="6742" max="6742" width="3.7109375" style="2" customWidth="1"/>
    <col min="6743" max="6744" width="7.7109375" style="2" customWidth="1"/>
    <col min="6745" max="6748" width="11.42578125" style="2"/>
    <col min="6749" max="6749" width="3.7109375" style="2" customWidth="1"/>
    <col min="6750" max="6751" width="7.7109375" style="2" customWidth="1"/>
    <col min="6752" max="6755" width="11.42578125" style="2"/>
    <col min="6756" max="6756" width="3.7109375" style="2" customWidth="1"/>
    <col min="6757" max="6758" width="7.7109375" style="2" customWidth="1"/>
    <col min="6759" max="6762" width="11.42578125" style="2"/>
    <col min="6763" max="6763" width="3.7109375" style="2" customWidth="1"/>
    <col min="6764" max="6765" width="7.7109375" style="2" customWidth="1"/>
    <col min="6766" max="6769" width="11.42578125" style="2"/>
    <col min="6770" max="6770" width="3.7109375" style="2" customWidth="1"/>
    <col min="6771" max="6772" width="7.7109375" style="2" customWidth="1"/>
    <col min="6773" max="6776" width="11.42578125" style="2"/>
    <col min="6777" max="6777" width="3.7109375" style="2" customWidth="1"/>
    <col min="6778" max="6779" width="7.7109375" style="2" customWidth="1"/>
    <col min="6780" max="6783" width="11.42578125" style="2"/>
    <col min="6784" max="6784" width="3.7109375" style="2" customWidth="1"/>
    <col min="6785" max="6786" width="7.7109375" style="2" customWidth="1"/>
    <col min="6787" max="6790" width="11.42578125" style="2"/>
    <col min="6791" max="6791" width="3.7109375" style="2" customWidth="1"/>
    <col min="6792" max="6817" width="11.42578125" style="2"/>
    <col min="6818" max="6818" width="22.85546875" style="2" customWidth="1"/>
    <col min="6819" max="6819" width="14.42578125" style="2" customWidth="1"/>
    <col min="6820" max="6928" width="11.42578125" style="2"/>
    <col min="6929" max="6929" width="12" style="2" customWidth="1"/>
    <col min="6930" max="6930" width="14.28515625" style="2" customWidth="1"/>
    <col min="6931" max="6931" width="11.42578125" style="2"/>
    <col min="6932" max="6932" width="4.140625" style="2" customWidth="1"/>
    <col min="6933" max="6933" width="11.42578125" style="2"/>
    <col min="6934" max="6934" width="28.42578125" style="2" customWidth="1"/>
    <col min="6935" max="6936" width="11.42578125" style="2"/>
    <col min="6937" max="6937" width="5.42578125" style="2" customWidth="1"/>
    <col min="6938" max="6939" width="11.42578125" style="2"/>
    <col min="6940" max="6940" width="10.42578125" style="2" customWidth="1"/>
    <col min="6941" max="6941" width="11.42578125" style="2"/>
    <col min="6942" max="6942" width="6.42578125" style="2" customWidth="1"/>
    <col min="6943" max="6943" width="22.28515625" style="2" customWidth="1"/>
    <col min="6944" max="6944" width="21.28515625" style="2" customWidth="1"/>
    <col min="6945" max="6945" width="6" style="2" customWidth="1"/>
    <col min="6946" max="6949" width="11.42578125" style="2"/>
    <col min="6950" max="6951" width="7.7109375" style="2" customWidth="1"/>
    <col min="6952" max="6952" width="11.42578125" style="2"/>
    <col min="6953" max="6953" width="17.85546875" style="2" customWidth="1"/>
    <col min="6954" max="6955" width="11.42578125" style="2"/>
    <col min="6956" max="6956" width="3.7109375" style="2" customWidth="1"/>
    <col min="6957" max="6958" width="7.7109375" style="2" customWidth="1"/>
    <col min="6959" max="6959" width="16.28515625" style="2" customWidth="1"/>
    <col min="6960" max="6962" width="11.42578125" style="2"/>
    <col min="6963" max="6963" width="3.7109375" style="2" customWidth="1"/>
    <col min="6964" max="6965" width="7.7109375" style="2" customWidth="1"/>
    <col min="6966" max="6969" width="11.42578125" style="2"/>
    <col min="6970" max="6970" width="3.7109375" style="2" customWidth="1"/>
    <col min="6971" max="6972" width="7.7109375" style="2" customWidth="1"/>
    <col min="6973" max="6976" width="11.42578125" style="2"/>
    <col min="6977" max="6977" width="3.7109375" style="2" customWidth="1"/>
    <col min="6978" max="6979" width="7.7109375" style="2" customWidth="1"/>
    <col min="6980" max="6983" width="11.42578125" style="2"/>
    <col min="6984" max="6984" width="3.7109375" style="2" customWidth="1"/>
    <col min="6985" max="6986" width="7.7109375" style="2" customWidth="1"/>
    <col min="6987" max="6990" width="11.42578125" style="2"/>
    <col min="6991" max="6991" width="3.7109375" style="2" customWidth="1"/>
    <col min="6992" max="6993" width="7.7109375" style="2" customWidth="1"/>
    <col min="6994" max="6997" width="11.42578125" style="2"/>
    <col min="6998" max="6998" width="3.7109375" style="2" customWidth="1"/>
    <col min="6999" max="7000" width="7.7109375" style="2" customWidth="1"/>
    <col min="7001" max="7004" width="11.42578125" style="2"/>
    <col min="7005" max="7005" width="3.7109375" style="2" customWidth="1"/>
    <col min="7006" max="7007" width="7.7109375" style="2" customWidth="1"/>
    <col min="7008" max="7011" width="11.42578125" style="2"/>
    <col min="7012" max="7012" width="3.7109375" style="2" customWidth="1"/>
    <col min="7013" max="7014" width="7.7109375" style="2" customWidth="1"/>
    <col min="7015" max="7018" width="11.42578125" style="2"/>
    <col min="7019" max="7019" width="3.7109375" style="2" customWidth="1"/>
    <col min="7020" max="7021" width="7.7109375" style="2" customWidth="1"/>
    <col min="7022" max="7025" width="11.42578125" style="2"/>
    <col min="7026" max="7026" width="3.7109375" style="2" customWidth="1"/>
    <col min="7027" max="7028" width="7.7109375" style="2" customWidth="1"/>
    <col min="7029" max="7032" width="11.42578125" style="2"/>
    <col min="7033" max="7033" width="3.7109375" style="2" customWidth="1"/>
    <col min="7034" max="7035" width="7.7109375" style="2" customWidth="1"/>
    <col min="7036" max="7039" width="11.42578125" style="2"/>
    <col min="7040" max="7040" width="3.7109375" style="2" customWidth="1"/>
    <col min="7041" max="7042" width="7.7109375" style="2" customWidth="1"/>
    <col min="7043" max="7046" width="11.42578125" style="2"/>
    <col min="7047" max="7047" width="3.7109375" style="2" customWidth="1"/>
    <col min="7048" max="7073" width="11.42578125" style="2"/>
    <col min="7074" max="7074" width="22.85546875" style="2" customWidth="1"/>
    <col min="7075" max="7075" width="14.42578125" style="2" customWidth="1"/>
    <col min="7076" max="7184" width="11.42578125" style="2"/>
    <col min="7185" max="7185" width="12" style="2" customWidth="1"/>
    <col min="7186" max="7186" width="14.28515625" style="2" customWidth="1"/>
    <col min="7187" max="7187" width="11.42578125" style="2"/>
    <col min="7188" max="7188" width="4.140625" style="2" customWidth="1"/>
    <col min="7189" max="7189" width="11.42578125" style="2"/>
    <col min="7190" max="7190" width="28.42578125" style="2" customWidth="1"/>
    <col min="7191" max="7192" width="11.42578125" style="2"/>
    <col min="7193" max="7193" width="5.42578125" style="2" customWidth="1"/>
    <col min="7194" max="7195" width="11.42578125" style="2"/>
    <col min="7196" max="7196" width="10.42578125" style="2" customWidth="1"/>
    <col min="7197" max="7197" width="11.42578125" style="2"/>
    <col min="7198" max="7198" width="6.42578125" style="2" customWidth="1"/>
    <col min="7199" max="7199" width="22.28515625" style="2" customWidth="1"/>
    <col min="7200" max="7200" width="21.28515625" style="2" customWidth="1"/>
    <col min="7201" max="7201" width="6" style="2" customWidth="1"/>
    <col min="7202" max="7205" width="11.42578125" style="2"/>
    <col min="7206" max="7207" width="7.7109375" style="2" customWidth="1"/>
    <col min="7208" max="7208" width="11.42578125" style="2"/>
    <col min="7209" max="7209" width="17.85546875" style="2" customWidth="1"/>
    <col min="7210" max="7211" width="11.42578125" style="2"/>
    <col min="7212" max="7212" width="3.7109375" style="2" customWidth="1"/>
    <col min="7213" max="7214" width="7.7109375" style="2" customWidth="1"/>
    <col min="7215" max="7215" width="16.28515625" style="2" customWidth="1"/>
    <col min="7216" max="7218" width="11.42578125" style="2"/>
    <col min="7219" max="7219" width="3.7109375" style="2" customWidth="1"/>
    <col min="7220" max="7221" width="7.7109375" style="2" customWidth="1"/>
    <col min="7222" max="7225" width="11.42578125" style="2"/>
    <col min="7226" max="7226" width="3.7109375" style="2" customWidth="1"/>
    <col min="7227" max="7228" width="7.7109375" style="2" customWidth="1"/>
    <col min="7229" max="7232" width="11.42578125" style="2"/>
    <col min="7233" max="7233" width="3.7109375" style="2" customWidth="1"/>
    <col min="7234" max="7235" width="7.7109375" style="2" customWidth="1"/>
    <col min="7236" max="7239" width="11.42578125" style="2"/>
    <col min="7240" max="7240" width="3.7109375" style="2" customWidth="1"/>
    <col min="7241" max="7242" width="7.7109375" style="2" customWidth="1"/>
    <col min="7243" max="7246" width="11.42578125" style="2"/>
    <col min="7247" max="7247" width="3.7109375" style="2" customWidth="1"/>
    <col min="7248" max="7249" width="7.7109375" style="2" customWidth="1"/>
    <col min="7250" max="7253" width="11.42578125" style="2"/>
    <col min="7254" max="7254" width="3.7109375" style="2" customWidth="1"/>
    <col min="7255" max="7256" width="7.7109375" style="2" customWidth="1"/>
    <col min="7257" max="7260" width="11.42578125" style="2"/>
    <col min="7261" max="7261" width="3.7109375" style="2" customWidth="1"/>
    <col min="7262" max="7263" width="7.7109375" style="2" customWidth="1"/>
    <col min="7264" max="7267" width="11.42578125" style="2"/>
    <col min="7268" max="7268" width="3.7109375" style="2" customWidth="1"/>
    <col min="7269" max="7270" width="7.7109375" style="2" customWidth="1"/>
    <col min="7271" max="7274" width="11.42578125" style="2"/>
    <col min="7275" max="7275" width="3.7109375" style="2" customWidth="1"/>
    <col min="7276" max="7277" width="7.7109375" style="2" customWidth="1"/>
    <col min="7278" max="7281" width="11.42578125" style="2"/>
    <col min="7282" max="7282" width="3.7109375" style="2" customWidth="1"/>
    <col min="7283" max="7284" width="7.7109375" style="2" customWidth="1"/>
    <col min="7285" max="7288" width="11.42578125" style="2"/>
    <col min="7289" max="7289" width="3.7109375" style="2" customWidth="1"/>
    <col min="7290" max="7291" width="7.7109375" style="2" customWidth="1"/>
    <col min="7292" max="7295" width="11.42578125" style="2"/>
    <col min="7296" max="7296" width="3.7109375" style="2" customWidth="1"/>
    <col min="7297" max="7298" width="7.7109375" style="2" customWidth="1"/>
    <col min="7299" max="7302" width="11.42578125" style="2"/>
    <col min="7303" max="7303" width="3.7109375" style="2" customWidth="1"/>
    <col min="7304" max="7329" width="11.42578125" style="2"/>
    <col min="7330" max="7330" width="22.85546875" style="2" customWidth="1"/>
    <col min="7331" max="7331" width="14.42578125" style="2" customWidth="1"/>
    <col min="7332" max="7440" width="11.42578125" style="2"/>
    <col min="7441" max="7441" width="12" style="2" customWidth="1"/>
    <col min="7442" max="7442" width="14.28515625" style="2" customWidth="1"/>
    <col min="7443" max="7443" width="11.42578125" style="2"/>
    <col min="7444" max="7444" width="4.140625" style="2" customWidth="1"/>
    <col min="7445" max="7445" width="11.42578125" style="2"/>
    <col min="7446" max="7446" width="28.42578125" style="2" customWidth="1"/>
    <col min="7447" max="7448" width="11.42578125" style="2"/>
    <col min="7449" max="7449" width="5.42578125" style="2" customWidth="1"/>
    <col min="7450" max="7451" width="11.42578125" style="2"/>
    <col min="7452" max="7452" width="10.42578125" style="2" customWidth="1"/>
    <col min="7453" max="7453" width="11.42578125" style="2"/>
    <col min="7454" max="7454" width="6.42578125" style="2" customWidth="1"/>
    <col min="7455" max="7455" width="22.28515625" style="2" customWidth="1"/>
    <col min="7456" max="7456" width="21.28515625" style="2" customWidth="1"/>
    <col min="7457" max="7457" width="6" style="2" customWidth="1"/>
    <col min="7458" max="7461" width="11.42578125" style="2"/>
    <col min="7462" max="7463" width="7.7109375" style="2" customWidth="1"/>
    <col min="7464" max="7464" width="11.42578125" style="2"/>
    <col min="7465" max="7465" width="17.85546875" style="2" customWidth="1"/>
    <col min="7466" max="7467" width="11.42578125" style="2"/>
    <col min="7468" max="7468" width="3.7109375" style="2" customWidth="1"/>
    <col min="7469" max="7470" width="7.7109375" style="2" customWidth="1"/>
    <col min="7471" max="7471" width="16.28515625" style="2" customWidth="1"/>
    <col min="7472" max="7474" width="11.42578125" style="2"/>
    <col min="7475" max="7475" width="3.7109375" style="2" customWidth="1"/>
    <col min="7476" max="7477" width="7.7109375" style="2" customWidth="1"/>
    <col min="7478" max="7481" width="11.42578125" style="2"/>
    <col min="7482" max="7482" width="3.7109375" style="2" customWidth="1"/>
    <col min="7483" max="7484" width="7.7109375" style="2" customWidth="1"/>
    <col min="7485" max="7488" width="11.42578125" style="2"/>
    <col min="7489" max="7489" width="3.7109375" style="2" customWidth="1"/>
    <col min="7490" max="7491" width="7.7109375" style="2" customWidth="1"/>
    <col min="7492" max="7495" width="11.42578125" style="2"/>
    <col min="7496" max="7496" width="3.7109375" style="2" customWidth="1"/>
    <col min="7497" max="7498" width="7.7109375" style="2" customWidth="1"/>
    <col min="7499" max="7502" width="11.42578125" style="2"/>
    <col min="7503" max="7503" width="3.7109375" style="2" customWidth="1"/>
    <col min="7504" max="7505" width="7.7109375" style="2" customWidth="1"/>
    <col min="7506" max="7509" width="11.42578125" style="2"/>
    <col min="7510" max="7510" width="3.7109375" style="2" customWidth="1"/>
    <col min="7511" max="7512" width="7.7109375" style="2" customWidth="1"/>
    <col min="7513" max="7516" width="11.42578125" style="2"/>
    <col min="7517" max="7517" width="3.7109375" style="2" customWidth="1"/>
    <col min="7518" max="7519" width="7.7109375" style="2" customWidth="1"/>
    <col min="7520" max="7523" width="11.42578125" style="2"/>
    <col min="7524" max="7524" width="3.7109375" style="2" customWidth="1"/>
    <col min="7525" max="7526" width="7.7109375" style="2" customWidth="1"/>
    <col min="7527" max="7530" width="11.42578125" style="2"/>
    <col min="7531" max="7531" width="3.7109375" style="2" customWidth="1"/>
    <col min="7532" max="7533" width="7.7109375" style="2" customWidth="1"/>
    <col min="7534" max="7537" width="11.42578125" style="2"/>
    <col min="7538" max="7538" width="3.7109375" style="2" customWidth="1"/>
    <col min="7539" max="7540" width="7.7109375" style="2" customWidth="1"/>
    <col min="7541" max="7544" width="11.42578125" style="2"/>
    <col min="7545" max="7545" width="3.7109375" style="2" customWidth="1"/>
    <col min="7546" max="7547" width="7.7109375" style="2" customWidth="1"/>
    <col min="7548" max="7551" width="11.42578125" style="2"/>
    <col min="7552" max="7552" width="3.7109375" style="2" customWidth="1"/>
    <col min="7553" max="7554" width="7.7109375" style="2" customWidth="1"/>
    <col min="7555" max="7558" width="11.42578125" style="2"/>
    <col min="7559" max="7559" width="3.7109375" style="2" customWidth="1"/>
    <col min="7560" max="7585" width="11.42578125" style="2"/>
    <col min="7586" max="7586" width="22.85546875" style="2" customWidth="1"/>
    <col min="7587" max="7587" width="14.42578125" style="2" customWidth="1"/>
    <col min="7588" max="7696" width="11.42578125" style="2"/>
    <col min="7697" max="7697" width="12" style="2" customWidth="1"/>
    <col min="7698" max="7698" width="14.28515625" style="2" customWidth="1"/>
    <col min="7699" max="7699" width="11.42578125" style="2"/>
    <col min="7700" max="7700" width="4.140625" style="2" customWidth="1"/>
    <col min="7701" max="7701" width="11.42578125" style="2"/>
    <col min="7702" max="7702" width="28.42578125" style="2" customWidth="1"/>
    <col min="7703" max="7704" width="11.42578125" style="2"/>
    <col min="7705" max="7705" width="5.42578125" style="2" customWidth="1"/>
    <col min="7706" max="7707" width="11.42578125" style="2"/>
    <col min="7708" max="7708" width="10.42578125" style="2" customWidth="1"/>
    <col min="7709" max="7709" width="11.42578125" style="2"/>
    <col min="7710" max="7710" width="6.42578125" style="2" customWidth="1"/>
    <col min="7711" max="7711" width="22.28515625" style="2" customWidth="1"/>
    <col min="7712" max="7712" width="21.28515625" style="2" customWidth="1"/>
    <col min="7713" max="7713" width="6" style="2" customWidth="1"/>
    <col min="7714" max="7717" width="11.42578125" style="2"/>
    <col min="7718" max="7719" width="7.7109375" style="2" customWidth="1"/>
    <col min="7720" max="7720" width="11.42578125" style="2"/>
    <col min="7721" max="7721" width="17.85546875" style="2" customWidth="1"/>
    <col min="7722" max="7723" width="11.42578125" style="2"/>
    <col min="7724" max="7724" width="3.7109375" style="2" customWidth="1"/>
    <col min="7725" max="7726" width="7.7109375" style="2" customWidth="1"/>
    <col min="7727" max="7727" width="16.28515625" style="2" customWidth="1"/>
    <col min="7728" max="7730" width="11.42578125" style="2"/>
    <col min="7731" max="7731" width="3.7109375" style="2" customWidth="1"/>
    <col min="7732" max="7733" width="7.7109375" style="2" customWidth="1"/>
    <col min="7734" max="7737" width="11.42578125" style="2"/>
    <col min="7738" max="7738" width="3.7109375" style="2" customWidth="1"/>
    <col min="7739" max="7740" width="7.7109375" style="2" customWidth="1"/>
    <col min="7741" max="7744" width="11.42578125" style="2"/>
    <col min="7745" max="7745" width="3.7109375" style="2" customWidth="1"/>
    <col min="7746" max="7747" width="7.7109375" style="2" customWidth="1"/>
    <col min="7748" max="7751" width="11.42578125" style="2"/>
    <col min="7752" max="7752" width="3.7109375" style="2" customWidth="1"/>
    <col min="7753" max="7754" width="7.7109375" style="2" customWidth="1"/>
    <col min="7755" max="7758" width="11.42578125" style="2"/>
    <col min="7759" max="7759" width="3.7109375" style="2" customWidth="1"/>
    <col min="7760" max="7761" width="7.7109375" style="2" customWidth="1"/>
    <col min="7762" max="7765" width="11.42578125" style="2"/>
    <col min="7766" max="7766" width="3.7109375" style="2" customWidth="1"/>
    <col min="7767" max="7768" width="7.7109375" style="2" customWidth="1"/>
    <col min="7769" max="7772" width="11.42578125" style="2"/>
    <col min="7773" max="7773" width="3.7109375" style="2" customWidth="1"/>
    <col min="7774" max="7775" width="7.7109375" style="2" customWidth="1"/>
    <col min="7776" max="7779" width="11.42578125" style="2"/>
    <col min="7780" max="7780" width="3.7109375" style="2" customWidth="1"/>
    <col min="7781" max="7782" width="7.7109375" style="2" customWidth="1"/>
    <col min="7783" max="7786" width="11.42578125" style="2"/>
    <col min="7787" max="7787" width="3.7109375" style="2" customWidth="1"/>
    <col min="7788" max="7789" width="7.7109375" style="2" customWidth="1"/>
    <col min="7790" max="7793" width="11.42578125" style="2"/>
    <col min="7794" max="7794" width="3.7109375" style="2" customWidth="1"/>
    <col min="7795" max="7796" width="7.7109375" style="2" customWidth="1"/>
    <col min="7797" max="7800" width="11.42578125" style="2"/>
    <col min="7801" max="7801" width="3.7109375" style="2" customWidth="1"/>
    <col min="7802" max="7803" width="7.7109375" style="2" customWidth="1"/>
    <col min="7804" max="7807" width="11.42578125" style="2"/>
    <col min="7808" max="7808" width="3.7109375" style="2" customWidth="1"/>
    <col min="7809" max="7810" width="7.7109375" style="2" customWidth="1"/>
    <col min="7811" max="7814" width="11.42578125" style="2"/>
    <col min="7815" max="7815" width="3.7109375" style="2" customWidth="1"/>
    <col min="7816" max="7841" width="11.42578125" style="2"/>
    <col min="7842" max="7842" width="22.85546875" style="2" customWidth="1"/>
    <col min="7843" max="7843" width="14.42578125" style="2" customWidth="1"/>
    <col min="7844" max="7952" width="11.42578125" style="2"/>
    <col min="7953" max="7953" width="12" style="2" customWidth="1"/>
    <col min="7954" max="7954" width="14.28515625" style="2" customWidth="1"/>
    <col min="7955" max="7955" width="11.42578125" style="2"/>
    <col min="7956" max="7956" width="4.140625" style="2" customWidth="1"/>
    <col min="7957" max="7957" width="11.42578125" style="2"/>
    <col min="7958" max="7958" width="28.42578125" style="2" customWidth="1"/>
    <col min="7959" max="7960" width="11.42578125" style="2"/>
    <col min="7961" max="7961" width="5.42578125" style="2" customWidth="1"/>
    <col min="7962" max="7963" width="11.42578125" style="2"/>
    <col min="7964" max="7964" width="10.42578125" style="2" customWidth="1"/>
    <col min="7965" max="7965" width="11.42578125" style="2"/>
    <col min="7966" max="7966" width="6.42578125" style="2" customWidth="1"/>
    <col min="7967" max="7967" width="22.28515625" style="2" customWidth="1"/>
    <col min="7968" max="7968" width="21.28515625" style="2" customWidth="1"/>
    <col min="7969" max="7969" width="6" style="2" customWidth="1"/>
    <col min="7970" max="7973" width="11.42578125" style="2"/>
    <col min="7974" max="7975" width="7.7109375" style="2" customWidth="1"/>
    <col min="7976" max="7976" width="11.42578125" style="2"/>
    <col min="7977" max="7977" width="17.85546875" style="2" customWidth="1"/>
    <col min="7978" max="7979" width="11.42578125" style="2"/>
    <col min="7980" max="7980" width="3.7109375" style="2" customWidth="1"/>
    <col min="7981" max="7982" width="7.7109375" style="2" customWidth="1"/>
    <col min="7983" max="7983" width="16.28515625" style="2" customWidth="1"/>
    <col min="7984" max="7986" width="11.42578125" style="2"/>
    <col min="7987" max="7987" width="3.7109375" style="2" customWidth="1"/>
    <col min="7988" max="7989" width="7.7109375" style="2" customWidth="1"/>
    <col min="7990" max="7993" width="11.42578125" style="2"/>
    <col min="7994" max="7994" width="3.7109375" style="2" customWidth="1"/>
    <col min="7995" max="7996" width="7.7109375" style="2" customWidth="1"/>
    <col min="7997" max="8000" width="11.42578125" style="2"/>
    <col min="8001" max="8001" width="3.7109375" style="2" customWidth="1"/>
    <col min="8002" max="8003" width="7.7109375" style="2" customWidth="1"/>
    <col min="8004" max="8007" width="11.42578125" style="2"/>
    <col min="8008" max="8008" width="3.7109375" style="2" customWidth="1"/>
    <col min="8009" max="8010" width="7.7109375" style="2" customWidth="1"/>
    <col min="8011" max="8014" width="11.42578125" style="2"/>
    <col min="8015" max="8015" width="3.7109375" style="2" customWidth="1"/>
    <col min="8016" max="8017" width="7.7109375" style="2" customWidth="1"/>
    <col min="8018" max="8021" width="11.42578125" style="2"/>
    <col min="8022" max="8022" width="3.7109375" style="2" customWidth="1"/>
    <col min="8023" max="8024" width="7.7109375" style="2" customWidth="1"/>
    <col min="8025" max="8028" width="11.42578125" style="2"/>
    <col min="8029" max="8029" width="3.7109375" style="2" customWidth="1"/>
    <col min="8030" max="8031" width="7.7109375" style="2" customWidth="1"/>
    <col min="8032" max="8035" width="11.42578125" style="2"/>
    <col min="8036" max="8036" width="3.7109375" style="2" customWidth="1"/>
    <col min="8037" max="8038" width="7.7109375" style="2" customWidth="1"/>
    <col min="8039" max="8042" width="11.42578125" style="2"/>
    <col min="8043" max="8043" width="3.7109375" style="2" customWidth="1"/>
    <col min="8044" max="8045" width="7.7109375" style="2" customWidth="1"/>
    <col min="8046" max="8049" width="11.42578125" style="2"/>
    <col min="8050" max="8050" width="3.7109375" style="2" customWidth="1"/>
    <col min="8051" max="8052" width="7.7109375" style="2" customWidth="1"/>
    <col min="8053" max="8056" width="11.42578125" style="2"/>
    <col min="8057" max="8057" width="3.7109375" style="2" customWidth="1"/>
    <col min="8058" max="8059" width="7.7109375" style="2" customWidth="1"/>
    <col min="8060" max="8063" width="11.42578125" style="2"/>
    <col min="8064" max="8064" width="3.7109375" style="2" customWidth="1"/>
    <col min="8065" max="8066" width="7.7109375" style="2" customWidth="1"/>
    <col min="8067" max="8070" width="11.42578125" style="2"/>
    <col min="8071" max="8071" width="3.7109375" style="2" customWidth="1"/>
    <col min="8072" max="8097" width="11.42578125" style="2"/>
    <col min="8098" max="8098" width="22.85546875" style="2" customWidth="1"/>
    <col min="8099" max="8099" width="14.42578125" style="2" customWidth="1"/>
    <col min="8100" max="8208" width="11.42578125" style="2"/>
    <col min="8209" max="8209" width="12" style="2" customWidth="1"/>
    <col min="8210" max="8210" width="14.28515625" style="2" customWidth="1"/>
    <col min="8211" max="8211" width="11.42578125" style="2"/>
    <col min="8212" max="8212" width="4.140625" style="2" customWidth="1"/>
    <col min="8213" max="8213" width="11.42578125" style="2"/>
    <col min="8214" max="8214" width="28.42578125" style="2" customWidth="1"/>
    <col min="8215" max="8216" width="11.42578125" style="2"/>
    <col min="8217" max="8217" width="5.42578125" style="2" customWidth="1"/>
    <col min="8218" max="8219" width="11.42578125" style="2"/>
    <col min="8220" max="8220" width="10.42578125" style="2" customWidth="1"/>
    <col min="8221" max="8221" width="11.42578125" style="2"/>
    <col min="8222" max="8222" width="6.42578125" style="2" customWidth="1"/>
    <col min="8223" max="8223" width="22.28515625" style="2" customWidth="1"/>
    <col min="8224" max="8224" width="21.28515625" style="2" customWidth="1"/>
    <col min="8225" max="8225" width="6" style="2" customWidth="1"/>
    <col min="8226" max="8229" width="11.42578125" style="2"/>
    <col min="8230" max="8231" width="7.7109375" style="2" customWidth="1"/>
    <col min="8232" max="8232" width="11.42578125" style="2"/>
    <col min="8233" max="8233" width="17.85546875" style="2" customWidth="1"/>
    <col min="8234" max="8235" width="11.42578125" style="2"/>
    <col min="8236" max="8236" width="3.7109375" style="2" customWidth="1"/>
    <col min="8237" max="8238" width="7.7109375" style="2" customWidth="1"/>
    <col min="8239" max="8239" width="16.28515625" style="2" customWidth="1"/>
    <col min="8240" max="8242" width="11.42578125" style="2"/>
    <col min="8243" max="8243" width="3.7109375" style="2" customWidth="1"/>
    <col min="8244" max="8245" width="7.7109375" style="2" customWidth="1"/>
    <col min="8246" max="8249" width="11.42578125" style="2"/>
    <col min="8250" max="8250" width="3.7109375" style="2" customWidth="1"/>
    <col min="8251" max="8252" width="7.7109375" style="2" customWidth="1"/>
    <col min="8253" max="8256" width="11.42578125" style="2"/>
    <col min="8257" max="8257" width="3.7109375" style="2" customWidth="1"/>
    <col min="8258" max="8259" width="7.7109375" style="2" customWidth="1"/>
    <col min="8260" max="8263" width="11.42578125" style="2"/>
    <col min="8264" max="8264" width="3.7109375" style="2" customWidth="1"/>
    <col min="8265" max="8266" width="7.7109375" style="2" customWidth="1"/>
    <col min="8267" max="8270" width="11.42578125" style="2"/>
    <col min="8271" max="8271" width="3.7109375" style="2" customWidth="1"/>
    <col min="8272" max="8273" width="7.7109375" style="2" customWidth="1"/>
    <col min="8274" max="8277" width="11.42578125" style="2"/>
    <col min="8278" max="8278" width="3.7109375" style="2" customWidth="1"/>
    <col min="8279" max="8280" width="7.7109375" style="2" customWidth="1"/>
    <col min="8281" max="8284" width="11.42578125" style="2"/>
    <col min="8285" max="8285" width="3.7109375" style="2" customWidth="1"/>
    <col min="8286" max="8287" width="7.7109375" style="2" customWidth="1"/>
    <col min="8288" max="8291" width="11.42578125" style="2"/>
    <col min="8292" max="8292" width="3.7109375" style="2" customWidth="1"/>
    <col min="8293" max="8294" width="7.7109375" style="2" customWidth="1"/>
    <col min="8295" max="8298" width="11.42578125" style="2"/>
    <col min="8299" max="8299" width="3.7109375" style="2" customWidth="1"/>
    <col min="8300" max="8301" width="7.7109375" style="2" customWidth="1"/>
    <col min="8302" max="8305" width="11.42578125" style="2"/>
    <col min="8306" max="8306" width="3.7109375" style="2" customWidth="1"/>
    <col min="8307" max="8308" width="7.7109375" style="2" customWidth="1"/>
    <col min="8309" max="8312" width="11.42578125" style="2"/>
    <col min="8313" max="8313" width="3.7109375" style="2" customWidth="1"/>
    <col min="8314" max="8315" width="7.7109375" style="2" customWidth="1"/>
    <col min="8316" max="8319" width="11.42578125" style="2"/>
    <col min="8320" max="8320" width="3.7109375" style="2" customWidth="1"/>
    <col min="8321" max="8322" width="7.7109375" style="2" customWidth="1"/>
    <col min="8323" max="8326" width="11.42578125" style="2"/>
    <col min="8327" max="8327" width="3.7109375" style="2" customWidth="1"/>
    <col min="8328" max="8353" width="11.42578125" style="2"/>
    <col min="8354" max="8354" width="22.85546875" style="2" customWidth="1"/>
    <col min="8355" max="8355" width="14.42578125" style="2" customWidth="1"/>
    <col min="8356" max="8464" width="11.42578125" style="2"/>
    <col min="8465" max="8465" width="12" style="2" customWidth="1"/>
    <col min="8466" max="8466" width="14.28515625" style="2" customWidth="1"/>
    <col min="8467" max="8467" width="11.42578125" style="2"/>
    <col min="8468" max="8468" width="4.140625" style="2" customWidth="1"/>
    <col min="8469" max="8469" width="11.42578125" style="2"/>
    <col min="8470" max="8470" width="28.42578125" style="2" customWidth="1"/>
    <col min="8471" max="8472" width="11.42578125" style="2"/>
    <col min="8473" max="8473" width="5.42578125" style="2" customWidth="1"/>
    <col min="8474" max="8475" width="11.42578125" style="2"/>
    <col min="8476" max="8476" width="10.42578125" style="2" customWidth="1"/>
    <col min="8477" max="8477" width="11.42578125" style="2"/>
    <col min="8478" max="8478" width="6.42578125" style="2" customWidth="1"/>
    <col min="8479" max="8479" width="22.28515625" style="2" customWidth="1"/>
    <col min="8480" max="8480" width="21.28515625" style="2" customWidth="1"/>
    <col min="8481" max="8481" width="6" style="2" customWidth="1"/>
    <col min="8482" max="8485" width="11.42578125" style="2"/>
    <col min="8486" max="8487" width="7.7109375" style="2" customWidth="1"/>
    <col min="8488" max="8488" width="11.42578125" style="2"/>
    <col min="8489" max="8489" width="17.85546875" style="2" customWidth="1"/>
    <col min="8490" max="8491" width="11.42578125" style="2"/>
    <col min="8492" max="8492" width="3.7109375" style="2" customWidth="1"/>
    <col min="8493" max="8494" width="7.7109375" style="2" customWidth="1"/>
    <col min="8495" max="8495" width="16.28515625" style="2" customWidth="1"/>
    <col min="8496" max="8498" width="11.42578125" style="2"/>
    <col min="8499" max="8499" width="3.7109375" style="2" customWidth="1"/>
    <col min="8500" max="8501" width="7.7109375" style="2" customWidth="1"/>
    <col min="8502" max="8505" width="11.42578125" style="2"/>
    <col min="8506" max="8506" width="3.7109375" style="2" customWidth="1"/>
    <col min="8507" max="8508" width="7.7109375" style="2" customWidth="1"/>
    <col min="8509" max="8512" width="11.42578125" style="2"/>
    <col min="8513" max="8513" width="3.7109375" style="2" customWidth="1"/>
    <col min="8514" max="8515" width="7.7109375" style="2" customWidth="1"/>
    <col min="8516" max="8519" width="11.42578125" style="2"/>
    <col min="8520" max="8520" width="3.7109375" style="2" customWidth="1"/>
    <col min="8521" max="8522" width="7.7109375" style="2" customWidth="1"/>
    <col min="8523" max="8526" width="11.42578125" style="2"/>
    <col min="8527" max="8527" width="3.7109375" style="2" customWidth="1"/>
    <col min="8528" max="8529" width="7.7109375" style="2" customWidth="1"/>
    <col min="8530" max="8533" width="11.42578125" style="2"/>
    <col min="8534" max="8534" width="3.7109375" style="2" customWidth="1"/>
    <col min="8535" max="8536" width="7.7109375" style="2" customWidth="1"/>
    <col min="8537" max="8540" width="11.42578125" style="2"/>
    <col min="8541" max="8541" width="3.7109375" style="2" customWidth="1"/>
    <col min="8542" max="8543" width="7.7109375" style="2" customWidth="1"/>
    <col min="8544" max="8547" width="11.42578125" style="2"/>
    <col min="8548" max="8548" width="3.7109375" style="2" customWidth="1"/>
    <col min="8549" max="8550" width="7.7109375" style="2" customWidth="1"/>
    <col min="8551" max="8554" width="11.42578125" style="2"/>
    <col min="8555" max="8555" width="3.7109375" style="2" customWidth="1"/>
    <col min="8556" max="8557" width="7.7109375" style="2" customWidth="1"/>
    <col min="8558" max="8561" width="11.42578125" style="2"/>
    <col min="8562" max="8562" width="3.7109375" style="2" customWidth="1"/>
    <col min="8563" max="8564" width="7.7109375" style="2" customWidth="1"/>
    <col min="8565" max="8568" width="11.42578125" style="2"/>
    <col min="8569" max="8569" width="3.7109375" style="2" customWidth="1"/>
    <col min="8570" max="8571" width="7.7109375" style="2" customWidth="1"/>
    <col min="8572" max="8575" width="11.42578125" style="2"/>
    <col min="8576" max="8576" width="3.7109375" style="2" customWidth="1"/>
    <col min="8577" max="8578" width="7.7109375" style="2" customWidth="1"/>
    <col min="8579" max="8582" width="11.42578125" style="2"/>
    <col min="8583" max="8583" width="3.7109375" style="2" customWidth="1"/>
    <col min="8584" max="8609" width="11.42578125" style="2"/>
    <col min="8610" max="8610" width="22.85546875" style="2" customWidth="1"/>
    <col min="8611" max="8611" width="14.42578125" style="2" customWidth="1"/>
    <col min="8612" max="8720" width="11.42578125" style="2"/>
    <col min="8721" max="8721" width="12" style="2" customWidth="1"/>
    <col min="8722" max="8722" width="14.28515625" style="2" customWidth="1"/>
    <col min="8723" max="8723" width="11.42578125" style="2"/>
    <col min="8724" max="8724" width="4.140625" style="2" customWidth="1"/>
    <col min="8725" max="8725" width="11.42578125" style="2"/>
    <col min="8726" max="8726" width="28.42578125" style="2" customWidth="1"/>
    <col min="8727" max="8728" width="11.42578125" style="2"/>
    <col min="8729" max="8729" width="5.42578125" style="2" customWidth="1"/>
    <col min="8730" max="8731" width="11.42578125" style="2"/>
    <col min="8732" max="8732" width="10.42578125" style="2" customWidth="1"/>
    <col min="8733" max="8733" width="11.42578125" style="2"/>
    <col min="8734" max="8734" width="6.42578125" style="2" customWidth="1"/>
    <col min="8735" max="8735" width="22.28515625" style="2" customWidth="1"/>
    <col min="8736" max="8736" width="21.28515625" style="2" customWidth="1"/>
    <col min="8737" max="8737" width="6" style="2" customWidth="1"/>
    <col min="8738" max="8741" width="11.42578125" style="2"/>
    <col min="8742" max="8743" width="7.7109375" style="2" customWidth="1"/>
    <col min="8744" max="8744" width="11.42578125" style="2"/>
    <col min="8745" max="8745" width="17.85546875" style="2" customWidth="1"/>
    <col min="8746" max="8747" width="11.42578125" style="2"/>
    <col min="8748" max="8748" width="3.7109375" style="2" customWidth="1"/>
    <col min="8749" max="8750" width="7.7109375" style="2" customWidth="1"/>
    <col min="8751" max="8751" width="16.28515625" style="2" customWidth="1"/>
    <col min="8752" max="8754" width="11.42578125" style="2"/>
    <col min="8755" max="8755" width="3.7109375" style="2" customWidth="1"/>
    <col min="8756" max="8757" width="7.7109375" style="2" customWidth="1"/>
    <col min="8758" max="8761" width="11.42578125" style="2"/>
    <col min="8762" max="8762" width="3.7109375" style="2" customWidth="1"/>
    <col min="8763" max="8764" width="7.7109375" style="2" customWidth="1"/>
    <col min="8765" max="8768" width="11.42578125" style="2"/>
    <col min="8769" max="8769" width="3.7109375" style="2" customWidth="1"/>
    <col min="8770" max="8771" width="7.7109375" style="2" customWidth="1"/>
    <col min="8772" max="8775" width="11.42578125" style="2"/>
    <col min="8776" max="8776" width="3.7109375" style="2" customWidth="1"/>
    <col min="8777" max="8778" width="7.7109375" style="2" customWidth="1"/>
    <col min="8779" max="8782" width="11.42578125" style="2"/>
    <col min="8783" max="8783" width="3.7109375" style="2" customWidth="1"/>
    <col min="8784" max="8785" width="7.7109375" style="2" customWidth="1"/>
    <col min="8786" max="8789" width="11.42578125" style="2"/>
    <col min="8790" max="8790" width="3.7109375" style="2" customWidth="1"/>
    <col min="8791" max="8792" width="7.7109375" style="2" customWidth="1"/>
    <col min="8793" max="8796" width="11.42578125" style="2"/>
    <col min="8797" max="8797" width="3.7109375" style="2" customWidth="1"/>
    <col min="8798" max="8799" width="7.7109375" style="2" customWidth="1"/>
    <col min="8800" max="8803" width="11.42578125" style="2"/>
    <col min="8804" max="8804" width="3.7109375" style="2" customWidth="1"/>
    <col min="8805" max="8806" width="7.7109375" style="2" customWidth="1"/>
    <col min="8807" max="8810" width="11.42578125" style="2"/>
    <col min="8811" max="8811" width="3.7109375" style="2" customWidth="1"/>
    <col min="8812" max="8813" width="7.7109375" style="2" customWidth="1"/>
    <col min="8814" max="8817" width="11.42578125" style="2"/>
    <col min="8818" max="8818" width="3.7109375" style="2" customWidth="1"/>
    <col min="8819" max="8820" width="7.7109375" style="2" customWidth="1"/>
    <col min="8821" max="8824" width="11.42578125" style="2"/>
    <col min="8825" max="8825" width="3.7109375" style="2" customWidth="1"/>
    <col min="8826" max="8827" width="7.7109375" style="2" customWidth="1"/>
    <col min="8828" max="8831" width="11.42578125" style="2"/>
    <col min="8832" max="8832" width="3.7109375" style="2" customWidth="1"/>
    <col min="8833" max="8834" width="7.7109375" style="2" customWidth="1"/>
    <col min="8835" max="8838" width="11.42578125" style="2"/>
    <col min="8839" max="8839" width="3.7109375" style="2" customWidth="1"/>
    <col min="8840" max="8865" width="11.42578125" style="2"/>
    <col min="8866" max="8866" width="22.85546875" style="2" customWidth="1"/>
    <col min="8867" max="8867" width="14.42578125" style="2" customWidth="1"/>
    <col min="8868" max="8976" width="11.42578125" style="2"/>
    <col min="8977" max="8977" width="12" style="2" customWidth="1"/>
    <col min="8978" max="8978" width="14.28515625" style="2" customWidth="1"/>
    <col min="8979" max="8979" width="11.42578125" style="2"/>
    <col min="8980" max="8980" width="4.140625" style="2" customWidth="1"/>
    <col min="8981" max="8981" width="11.42578125" style="2"/>
    <col min="8982" max="8982" width="28.42578125" style="2" customWidth="1"/>
    <col min="8983" max="8984" width="11.42578125" style="2"/>
    <col min="8985" max="8985" width="5.42578125" style="2" customWidth="1"/>
    <col min="8986" max="8987" width="11.42578125" style="2"/>
    <col min="8988" max="8988" width="10.42578125" style="2" customWidth="1"/>
    <col min="8989" max="8989" width="11.42578125" style="2"/>
    <col min="8990" max="8990" width="6.42578125" style="2" customWidth="1"/>
    <col min="8991" max="8991" width="22.28515625" style="2" customWidth="1"/>
    <col min="8992" max="8992" width="21.28515625" style="2" customWidth="1"/>
    <col min="8993" max="8993" width="6" style="2" customWidth="1"/>
    <col min="8994" max="8997" width="11.42578125" style="2"/>
    <col min="8998" max="8999" width="7.7109375" style="2" customWidth="1"/>
    <col min="9000" max="9000" width="11.42578125" style="2"/>
    <col min="9001" max="9001" width="17.85546875" style="2" customWidth="1"/>
    <col min="9002" max="9003" width="11.42578125" style="2"/>
    <col min="9004" max="9004" width="3.7109375" style="2" customWidth="1"/>
    <col min="9005" max="9006" width="7.7109375" style="2" customWidth="1"/>
    <col min="9007" max="9007" width="16.28515625" style="2" customWidth="1"/>
    <col min="9008" max="9010" width="11.42578125" style="2"/>
    <col min="9011" max="9011" width="3.7109375" style="2" customWidth="1"/>
    <col min="9012" max="9013" width="7.7109375" style="2" customWidth="1"/>
    <col min="9014" max="9017" width="11.42578125" style="2"/>
    <col min="9018" max="9018" width="3.7109375" style="2" customWidth="1"/>
    <col min="9019" max="9020" width="7.7109375" style="2" customWidth="1"/>
    <col min="9021" max="9024" width="11.42578125" style="2"/>
    <col min="9025" max="9025" width="3.7109375" style="2" customWidth="1"/>
    <col min="9026" max="9027" width="7.7109375" style="2" customWidth="1"/>
    <col min="9028" max="9031" width="11.42578125" style="2"/>
    <col min="9032" max="9032" width="3.7109375" style="2" customWidth="1"/>
    <col min="9033" max="9034" width="7.7109375" style="2" customWidth="1"/>
    <col min="9035" max="9038" width="11.42578125" style="2"/>
    <col min="9039" max="9039" width="3.7109375" style="2" customWidth="1"/>
    <col min="9040" max="9041" width="7.7109375" style="2" customWidth="1"/>
    <col min="9042" max="9045" width="11.42578125" style="2"/>
    <col min="9046" max="9046" width="3.7109375" style="2" customWidth="1"/>
    <col min="9047" max="9048" width="7.7109375" style="2" customWidth="1"/>
    <col min="9049" max="9052" width="11.42578125" style="2"/>
    <col min="9053" max="9053" width="3.7109375" style="2" customWidth="1"/>
    <col min="9054" max="9055" width="7.7109375" style="2" customWidth="1"/>
    <col min="9056" max="9059" width="11.42578125" style="2"/>
    <col min="9060" max="9060" width="3.7109375" style="2" customWidth="1"/>
    <col min="9061" max="9062" width="7.7109375" style="2" customWidth="1"/>
    <col min="9063" max="9066" width="11.42578125" style="2"/>
    <col min="9067" max="9067" width="3.7109375" style="2" customWidth="1"/>
    <col min="9068" max="9069" width="7.7109375" style="2" customWidth="1"/>
    <col min="9070" max="9073" width="11.42578125" style="2"/>
    <col min="9074" max="9074" width="3.7109375" style="2" customWidth="1"/>
    <col min="9075" max="9076" width="7.7109375" style="2" customWidth="1"/>
    <col min="9077" max="9080" width="11.42578125" style="2"/>
    <col min="9081" max="9081" width="3.7109375" style="2" customWidth="1"/>
    <col min="9082" max="9083" width="7.7109375" style="2" customWidth="1"/>
    <col min="9084" max="9087" width="11.42578125" style="2"/>
    <col min="9088" max="9088" width="3.7109375" style="2" customWidth="1"/>
    <col min="9089" max="9090" width="7.7109375" style="2" customWidth="1"/>
    <col min="9091" max="9094" width="11.42578125" style="2"/>
    <col min="9095" max="9095" width="3.7109375" style="2" customWidth="1"/>
    <col min="9096" max="9121" width="11.42578125" style="2"/>
    <col min="9122" max="9122" width="22.85546875" style="2" customWidth="1"/>
    <col min="9123" max="9123" width="14.42578125" style="2" customWidth="1"/>
    <col min="9124" max="9232" width="11.42578125" style="2"/>
    <col min="9233" max="9233" width="12" style="2" customWidth="1"/>
    <col min="9234" max="9234" width="14.28515625" style="2" customWidth="1"/>
    <col min="9235" max="9235" width="11.42578125" style="2"/>
    <col min="9236" max="9236" width="4.140625" style="2" customWidth="1"/>
    <col min="9237" max="9237" width="11.42578125" style="2"/>
    <col min="9238" max="9238" width="28.42578125" style="2" customWidth="1"/>
    <col min="9239" max="9240" width="11.42578125" style="2"/>
    <col min="9241" max="9241" width="5.42578125" style="2" customWidth="1"/>
    <col min="9242" max="9243" width="11.42578125" style="2"/>
    <col min="9244" max="9244" width="10.42578125" style="2" customWidth="1"/>
    <col min="9245" max="9245" width="11.42578125" style="2"/>
    <col min="9246" max="9246" width="6.42578125" style="2" customWidth="1"/>
    <col min="9247" max="9247" width="22.28515625" style="2" customWidth="1"/>
    <col min="9248" max="9248" width="21.28515625" style="2" customWidth="1"/>
    <col min="9249" max="9249" width="6" style="2" customWidth="1"/>
    <col min="9250" max="9253" width="11.42578125" style="2"/>
    <col min="9254" max="9255" width="7.7109375" style="2" customWidth="1"/>
    <col min="9256" max="9256" width="11.42578125" style="2"/>
    <col min="9257" max="9257" width="17.85546875" style="2" customWidth="1"/>
    <col min="9258" max="9259" width="11.42578125" style="2"/>
    <col min="9260" max="9260" width="3.7109375" style="2" customWidth="1"/>
    <col min="9261" max="9262" width="7.7109375" style="2" customWidth="1"/>
    <col min="9263" max="9263" width="16.28515625" style="2" customWidth="1"/>
    <col min="9264" max="9266" width="11.42578125" style="2"/>
    <col min="9267" max="9267" width="3.7109375" style="2" customWidth="1"/>
    <col min="9268" max="9269" width="7.7109375" style="2" customWidth="1"/>
    <col min="9270" max="9273" width="11.42578125" style="2"/>
    <col min="9274" max="9274" width="3.7109375" style="2" customWidth="1"/>
    <col min="9275" max="9276" width="7.7109375" style="2" customWidth="1"/>
    <col min="9277" max="9280" width="11.42578125" style="2"/>
    <col min="9281" max="9281" width="3.7109375" style="2" customWidth="1"/>
    <col min="9282" max="9283" width="7.7109375" style="2" customWidth="1"/>
    <col min="9284" max="9287" width="11.42578125" style="2"/>
    <col min="9288" max="9288" width="3.7109375" style="2" customWidth="1"/>
    <col min="9289" max="9290" width="7.7109375" style="2" customWidth="1"/>
    <col min="9291" max="9294" width="11.42578125" style="2"/>
    <col min="9295" max="9295" width="3.7109375" style="2" customWidth="1"/>
    <col min="9296" max="9297" width="7.7109375" style="2" customWidth="1"/>
    <col min="9298" max="9301" width="11.42578125" style="2"/>
    <col min="9302" max="9302" width="3.7109375" style="2" customWidth="1"/>
    <col min="9303" max="9304" width="7.7109375" style="2" customWidth="1"/>
    <col min="9305" max="9308" width="11.42578125" style="2"/>
    <col min="9309" max="9309" width="3.7109375" style="2" customWidth="1"/>
    <col min="9310" max="9311" width="7.7109375" style="2" customWidth="1"/>
    <col min="9312" max="9315" width="11.42578125" style="2"/>
    <col min="9316" max="9316" width="3.7109375" style="2" customWidth="1"/>
    <col min="9317" max="9318" width="7.7109375" style="2" customWidth="1"/>
    <col min="9319" max="9322" width="11.42578125" style="2"/>
    <col min="9323" max="9323" width="3.7109375" style="2" customWidth="1"/>
    <col min="9324" max="9325" width="7.7109375" style="2" customWidth="1"/>
    <col min="9326" max="9329" width="11.42578125" style="2"/>
    <col min="9330" max="9330" width="3.7109375" style="2" customWidth="1"/>
    <col min="9331" max="9332" width="7.7109375" style="2" customWidth="1"/>
    <col min="9333" max="9336" width="11.42578125" style="2"/>
    <col min="9337" max="9337" width="3.7109375" style="2" customWidth="1"/>
    <col min="9338" max="9339" width="7.7109375" style="2" customWidth="1"/>
    <col min="9340" max="9343" width="11.42578125" style="2"/>
    <col min="9344" max="9344" width="3.7109375" style="2" customWidth="1"/>
    <col min="9345" max="9346" width="7.7109375" style="2" customWidth="1"/>
    <col min="9347" max="9350" width="11.42578125" style="2"/>
    <col min="9351" max="9351" width="3.7109375" style="2" customWidth="1"/>
    <col min="9352" max="9377" width="11.42578125" style="2"/>
    <col min="9378" max="9378" width="22.85546875" style="2" customWidth="1"/>
    <col min="9379" max="9379" width="14.42578125" style="2" customWidth="1"/>
    <col min="9380" max="9488" width="11.42578125" style="2"/>
    <col min="9489" max="9489" width="12" style="2" customWidth="1"/>
    <col min="9490" max="9490" width="14.28515625" style="2" customWidth="1"/>
    <col min="9491" max="9491" width="11.42578125" style="2"/>
    <col min="9492" max="9492" width="4.140625" style="2" customWidth="1"/>
    <col min="9493" max="9493" width="11.42578125" style="2"/>
    <col min="9494" max="9494" width="28.42578125" style="2" customWidth="1"/>
    <col min="9495" max="9496" width="11.42578125" style="2"/>
    <col min="9497" max="9497" width="5.42578125" style="2" customWidth="1"/>
    <col min="9498" max="9499" width="11.42578125" style="2"/>
    <col min="9500" max="9500" width="10.42578125" style="2" customWidth="1"/>
    <col min="9501" max="9501" width="11.42578125" style="2"/>
    <col min="9502" max="9502" width="6.42578125" style="2" customWidth="1"/>
    <col min="9503" max="9503" width="22.28515625" style="2" customWidth="1"/>
    <col min="9504" max="9504" width="21.28515625" style="2" customWidth="1"/>
    <col min="9505" max="9505" width="6" style="2" customWidth="1"/>
    <col min="9506" max="9509" width="11.42578125" style="2"/>
    <col min="9510" max="9511" width="7.7109375" style="2" customWidth="1"/>
    <col min="9512" max="9512" width="11.42578125" style="2"/>
    <col min="9513" max="9513" width="17.85546875" style="2" customWidth="1"/>
    <col min="9514" max="9515" width="11.42578125" style="2"/>
    <col min="9516" max="9516" width="3.7109375" style="2" customWidth="1"/>
    <col min="9517" max="9518" width="7.7109375" style="2" customWidth="1"/>
    <col min="9519" max="9519" width="16.28515625" style="2" customWidth="1"/>
    <col min="9520" max="9522" width="11.42578125" style="2"/>
    <col min="9523" max="9523" width="3.7109375" style="2" customWidth="1"/>
    <col min="9524" max="9525" width="7.7109375" style="2" customWidth="1"/>
    <col min="9526" max="9529" width="11.42578125" style="2"/>
    <col min="9530" max="9530" width="3.7109375" style="2" customWidth="1"/>
    <col min="9531" max="9532" width="7.7109375" style="2" customWidth="1"/>
    <col min="9533" max="9536" width="11.42578125" style="2"/>
    <col min="9537" max="9537" width="3.7109375" style="2" customWidth="1"/>
    <col min="9538" max="9539" width="7.7109375" style="2" customWidth="1"/>
    <col min="9540" max="9543" width="11.42578125" style="2"/>
    <col min="9544" max="9544" width="3.7109375" style="2" customWidth="1"/>
    <col min="9545" max="9546" width="7.7109375" style="2" customWidth="1"/>
    <col min="9547" max="9550" width="11.42578125" style="2"/>
    <col min="9551" max="9551" width="3.7109375" style="2" customWidth="1"/>
    <col min="9552" max="9553" width="7.7109375" style="2" customWidth="1"/>
    <col min="9554" max="9557" width="11.42578125" style="2"/>
    <col min="9558" max="9558" width="3.7109375" style="2" customWidth="1"/>
    <col min="9559" max="9560" width="7.7109375" style="2" customWidth="1"/>
    <col min="9561" max="9564" width="11.42578125" style="2"/>
    <col min="9565" max="9565" width="3.7109375" style="2" customWidth="1"/>
    <col min="9566" max="9567" width="7.7109375" style="2" customWidth="1"/>
    <col min="9568" max="9571" width="11.42578125" style="2"/>
    <col min="9572" max="9572" width="3.7109375" style="2" customWidth="1"/>
    <col min="9573" max="9574" width="7.7109375" style="2" customWidth="1"/>
    <col min="9575" max="9578" width="11.42578125" style="2"/>
    <col min="9579" max="9579" width="3.7109375" style="2" customWidth="1"/>
    <col min="9580" max="9581" width="7.7109375" style="2" customWidth="1"/>
    <col min="9582" max="9585" width="11.42578125" style="2"/>
    <col min="9586" max="9586" width="3.7109375" style="2" customWidth="1"/>
    <col min="9587" max="9588" width="7.7109375" style="2" customWidth="1"/>
    <col min="9589" max="9592" width="11.42578125" style="2"/>
    <col min="9593" max="9593" width="3.7109375" style="2" customWidth="1"/>
    <col min="9594" max="9595" width="7.7109375" style="2" customWidth="1"/>
    <col min="9596" max="9599" width="11.42578125" style="2"/>
    <col min="9600" max="9600" width="3.7109375" style="2" customWidth="1"/>
    <col min="9601" max="9602" width="7.7109375" style="2" customWidth="1"/>
    <col min="9603" max="9606" width="11.42578125" style="2"/>
    <col min="9607" max="9607" width="3.7109375" style="2" customWidth="1"/>
    <col min="9608" max="9633" width="11.42578125" style="2"/>
    <col min="9634" max="9634" width="22.85546875" style="2" customWidth="1"/>
    <col min="9635" max="9635" width="14.42578125" style="2" customWidth="1"/>
    <col min="9636" max="9744" width="11.42578125" style="2"/>
    <col min="9745" max="9745" width="12" style="2" customWidth="1"/>
    <col min="9746" max="9746" width="14.28515625" style="2" customWidth="1"/>
    <col min="9747" max="9747" width="11.42578125" style="2"/>
    <col min="9748" max="9748" width="4.140625" style="2" customWidth="1"/>
    <col min="9749" max="9749" width="11.42578125" style="2"/>
    <col min="9750" max="9750" width="28.42578125" style="2" customWidth="1"/>
    <col min="9751" max="9752" width="11.42578125" style="2"/>
    <col min="9753" max="9753" width="5.42578125" style="2" customWidth="1"/>
    <col min="9754" max="9755" width="11.42578125" style="2"/>
    <col min="9756" max="9756" width="10.42578125" style="2" customWidth="1"/>
    <col min="9757" max="9757" width="11.42578125" style="2"/>
    <col min="9758" max="9758" width="6.42578125" style="2" customWidth="1"/>
    <col min="9759" max="9759" width="22.28515625" style="2" customWidth="1"/>
    <col min="9760" max="9760" width="21.28515625" style="2" customWidth="1"/>
    <col min="9761" max="9761" width="6" style="2" customWidth="1"/>
    <col min="9762" max="9765" width="11.42578125" style="2"/>
    <col min="9766" max="9767" width="7.7109375" style="2" customWidth="1"/>
    <col min="9768" max="9768" width="11.42578125" style="2"/>
    <col min="9769" max="9769" width="17.85546875" style="2" customWidth="1"/>
    <col min="9770" max="9771" width="11.42578125" style="2"/>
    <col min="9772" max="9772" width="3.7109375" style="2" customWidth="1"/>
    <col min="9773" max="9774" width="7.7109375" style="2" customWidth="1"/>
    <col min="9775" max="9775" width="16.28515625" style="2" customWidth="1"/>
    <col min="9776" max="9778" width="11.42578125" style="2"/>
    <col min="9779" max="9779" width="3.7109375" style="2" customWidth="1"/>
    <col min="9780" max="9781" width="7.7109375" style="2" customWidth="1"/>
    <col min="9782" max="9785" width="11.42578125" style="2"/>
    <col min="9786" max="9786" width="3.7109375" style="2" customWidth="1"/>
    <col min="9787" max="9788" width="7.7109375" style="2" customWidth="1"/>
    <col min="9789" max="9792" width="11.42578125" style="2"/>
    <col min="9793" max="9793" width="3.7109375" style="2" customWidth="1"/>
    <col min="9794" max="9795" width="7.7109375" style="2" customWidth="1"/>
    <col min="9796" max="9799" width="11.42578125" style="2"/>
    <col min="9800" max="9800" width="3.7109375" style="2" customWidth="1"/>
    <col min="9801" max="9802" width="7.7109375" style="2" customWidth="1"/>
    <col min="9803" max="9806" width="11.42578125" style="2"/>
    <col min="9807" max="9807" width="3.7109375" style="2" customWidth="1"/>
    <col min="9808" max="9809" width="7.7109375" style="2" customWidth="1"/>
    <col min="9810" max="9813" width="11.42578125" style="2"/>
    <col min="9814" max="9814" width="3.7109375" style="2" customWidth="1"/>
    <col min="9815" max="9816" width="7.7109375" style="2" customWidth="1"/>
    <col min="9817" max="9820" width="11.42578125" style="2"/>
    <col min="9821" max="9821" width="3.7109375" style="2" customWidth="1"/>
    <col min="9822" max="9823" width="7.7109375" style="2" customWidth="1"/>
    <col min="9824" max="9827" width="11.42578125" style="2"/>
    <col min="9828" max="9828" width="3.7109375" style="2" customWidth="1"/>
    <col min="9829" max="9830" width="7.7109375" style="2" customWidth="1"/>
    <col min="9831" max="9834" width="11.42578125" style="2"/>
    <col min="9835" max="9835" width="3.7109375" style="2" customWidth="1"/>
    <col min="9836" max="9837" width="7.7109375" style="2" customWidth="1"/>
    <col min="9838" max="9841" width="11.42578125" style="2"/>
    <col min="9842" max="9842" width="3.7109375" style="2" customWidth="1"/>
    <col min="9843" max="9844" width="7.7109375" style="2" customWidth="1"/>
    <col min="9845" max="9848" width="11.42578125" style="2"/>
    <col min="9849" max="9849" width="3.7109375" style="2" customWidth="1"/>
    <col min="9850" max="9851" width="7.7109375" style="2" customWidth="1"/>
    <col min="9852" max="9855" width="11.42578125" style="2"/>
    <col min="9856" max="9856" width="3.7109375" style="2" customWidth="1"/>
    <col min="9857" max="9858" width="7.7109375" style="2" customWidth="1"/>
    <col min="9859" max="9862" width="11.42578125" style="2"/>
    <col min="9863" max="9863" width="3.7109375" style="2" customWidth="1"/>
    <col min="9864" max="9889" width="11.42578125" style="2"/>
    <col min="9890" max="9890" width="22.85546875" style="2" customWidth="1"/>
    <col min="9891" max="9891" width="14.42578125" style="2" customWidth="1"/>
    <col min="9892" max="10000" width="11.42578125" style="2"/>
    <col min="10001" max="10001" width="12" style="2" customWidth="1"/>
    <col min="10002" max="10002" width="14.28515625" style="2" customWidth="1"/>
    <col min="10003" max="10003" width="11.42578125" style="2"/>
    <col min="10004" max="10004" width="4.140625" style="2" customWidth="1"/>
    <col min="10005" max="10005" width="11.42578125" style="2"/>
    <col min="10006" max="10006" width="28.42578125" style="2" customWidth="1"/>
    <col min="10007" max="10008" width="11.42578125" style="2"/>
    <col min="10009" max="10009" width="5.42578125" style="2" customWidth="1"/>
    <col min="10010" max="10011" width="11.42578125" style="2"/>
    <col min="10012" max="10012" width="10.42578125" style="2" customWidth="1"/>
    <col min="10013" max="10013" width="11.42578125" style="2"/>
    <col min="10014" max="10014" width="6.42578125" style="2" customWidth="1"/>
    <col min="10015" max="10015" width="22.28515625" style="2" customWidth="1"/>
    <col min="10016" max="10016" width="21.28515625" style="2" customWidth="1"/>
    <col min="10017" max="10017" width="6" style="2" customWidth="1"/>
    <col min="10018" max="10021" width="11.42578125" style="2"/>
    <col min="10022" max="10023" width="7.7109375" style="2" customWidth="1"/>
    <col min="10024" max="10024" width="11.42578125" style="2"/>
    <col min="10025" max="10025" width="17.85546875" style="2" customWidth="1"/>
    <col min="10026" max="10027" width="11.42578125" style="2"/>
    <col min="10028" max="10028" width="3.7109375" style="2" customWidth="1"/>
    <col min="10029" max="10030" width="7.7109375" style="2" customWidth="1"/>
    <col min="10031" max="10031" width="16.28515625" style="2" customWidth="1"/>
    <col min="10032" max="10034" width="11.42578125" style="2"/>
    <col min="10035" max="10035" width="3.7109375" style="2" customWidth="1"/>
    <col min="10036" max="10037" width="7.7109375" style="2" customWidth="1"/>
    <col min="10038" max="10041" width="11.42578125" style="2"/>
    <col min="10042" max="10042" width="3.7109375" style="2" customWidth="1"/>
    <col min="10043" max="10044" width="7.7109375" style="2" customWidth="1"/>
    <col min="10045" max="10048" width="11.42578125" style="2"/>
    <col min="10049" max="10049" width="3.7109375" style="2" customWidth="1"/>
    <col min="10050" max="10051" width="7.7109375" style="2" customWidth="1"/>
    <col min="10052" max="10055" width="11.42578125" style="2"/>
    <col min="10056" max="10056" width="3.7109375" style="2" customWidth="1"/>
    <col min="10057" max="10058" width="7.7109375" style="2" customWidth="1"/>
    <col min="10059" max="10062" width="11.42578125" style="2"/>
    <col min="10063" max="10063" width="3.7109375" style="2" customWidth="1"/>
    <col min="10064" max="10065" width="7.7109375" style="2" customWidth="1"/>
    <col min="10066" max="10069" width="11.42578125" style="2"/>
    <col min="10070" max="10070" width="3.7109375" style="2" customWidth="1"/>
    <col min="10071" max="10072" width="7.7109375" style="2" customWidth="1"/>
    <col min="10073" max="10076" width="11.42578125" style="2"/>
    <col min="10077" max="10077" width="3.7109375" style="2" customWidth="1"/>
    <col min="10078" max="10079" width="7.7109375" style="2" customWidth="1"/>
    <col min="10080" max="10083" width="11.42578125" style="2"/>
    <col min="10084" max="10084" width="3.7109375" style="2" customWidth="1"/>
    <col min="10085" max="10086" width="7.7109375" style="2" customWidth="1"/>
    <col min="10087" max="10090" width="11.42578125" style="2"/>
    <col min="10091" max="10091" width="3.7109375" style="2" customWidth="1"/>
    <col min="10092" max="10093" width="7.7109375" style="2" customWidth="1"/>
    <col min="10094" max="10097" width="11.42578125" style="2"/>
    <col min="10098" max="10098" width="3.7109375" style="2" customWidth="1"/>
    <col min="10099" max="10100" width="7.7109375" style="2" customWidth="1"/>
    <col min="10101" max="10104" width="11.42578125" style="2"/>
    <col min="10105" max="10105" width="3.7109375" style="2" customWidth="1"/>
    <col min="10106" max="10107" width="7.7109375" style="2" customWidth="1"/>
    <col min="10108" max="10111" width="11.42578125" style="2"/>
    <col min="10112" max="10112" width="3.7109375" style="2" customWidth="1"/>
    <col min="10113" max="10114" width="7.7109375" style="2" customWidth="1"/>
    <col min="10115" max="10118" width="11.42578125" style="2"/>
    <col min="10119" max="10119" width="3.7109375" style="2" customWidth="1"/>
    <col min="10120" max="10145" width="11.42578125" style="2"/>
    <col min="10146" max="10146" width="22.85546875" style="2" customWidth="1"/>
    <col min="10147" max="10147" width="14.42578125" style="2" customWidth="1"/>
    <col min="10148" max="10256" width="11.42578125" style="2"/>
    <col min="10257" max="10257" width="12" style="2" customWidth="1"/>
    <col min="10258" max="10258" width="14.28515625" style="2" customWidth="1"/>
    <col min="10259" max="10259" width="11.42578125" style="2"/>
    <col min="10260" max="10260" width="4.140625" style="2" customWidth="1"/>
    <col min="10261" max="10261" width="11.42578125" style="2"/>
    <col min="10262" max="10262" width="28.42578125" style="2" customWidth="1"/>
    <col min="10263" max="10264" width="11.42578125" style="2"/>
    <col min="10265" max="10265" width="5.42578125" style="2" customWidth="1"/>
    <col min="10266" max="10267" width="11.42578125" style="2"/>
    <col min="10268" max="10268" width="10.42578125" style="2" customWidth="1"/>
    <col min="10269" max="10269" width="11.42578125" style="2"/>
    <col min="10270" max="10270" width="6.42578125" style="2" customWidth="1"/>
    <col min="10271" max="10271" width="22.28515625" style="2" customWidth="1"/>
    <col min="10272" max="10272" width="21.28515625" style="2" customWidth="1"/>
    <col min="10273" max="10273" width="6" style="2" customWidth="1"/>
    <col min="10274" max="10277" width="11.42578125" style="2"/>
    <col min="10278" max="10279" width="7.7109375" style="2" customWidth="1"/>
    <col min="10280" max="10280" width="11.42578125" style="2"/>
    <col min="10281" max="10281" width="17.85546875" style="2" customWidth="1"/>
    <col min="10282" max="10283" width="11.42578125" style="2"/>
    <col min="10284" max="10284" width="3.7109375" style="2" customWidth="1"/>
    <col min="10285" max="10286" width="7.7109375" style="2" customWidth="1"/>
    <col min="10287" max="10287" width="16.28515625" style="2" customWidth="1"/>
    <col min="10288" max="10290" width="11.42578125" style="2"/>
    <col min="10291" max="10291" width="3.7109375" style="2" customWidth="1"/>
    <col min="10292" max="10293" width="7.7109375" style="2" customWidth="1"/>
    <col min="10294" max="10297" width="11.42578125" style="2"/>
    <col min="10298" max="10298" width="3.7109375" style="2" customWidth="1"/>
    <col min="10299" max="10300" width="7.7109375" style="2" customWidth="1"/>
    <col min="10301" max="10304" width="11.42578125" style="2"/>
    <col min="10305" max="10305" width="3.7109375" style="2" customWidth="1"/>
    <col min="10306" max="10307" width="7.7109375" style="2" customWidth="1"/>
    <col min="10308" max="10311" width="11.42578125" style="2"/>
    <col min="10312" max="10312" width="3.7109375" style="2" customWidth="1"/>
    <col min="10313" max="10314" width="7.7109375" style="2" customWidth="1"/>
    <col min="10315" max="10318" width="11.42578125" style="2"/>
    <col min="10319" max="10319" width="3.7109375" style="2" customWidth="1"/>
    <col min="10320" max="10321" width="7.7109375" style="2" customWidth="1"/>
    <col min="10322" max="10325" width="11.42578125" style="2"/>
    <col min="10326" max="10326" width="3.7109375" style="2" customWidth="1"/>
    <col min="10327" max="10328" width="7.7109375" style="2" customWidth="1"/>
    <col min="10329" max="10332" width="11.42578125" style="2"/>
    <col min="10333" max="10333" width="3.7109375" style="2" customWidth="1"/>
    <col min="10334" max="10335" width="7.7109375" style="2" customWidth="1"/>
    <col min="10336" max="10339" width="11.42578125" style="2"/>
    <col min="10340" max="10340" width="3.7109375" style="2" customWidth="1"/>
    <col min="10341" max="10342" width="7.7109375" style="2" customWidth="1"/>
    <col min="10343" max="10346" width="11.42578125" style="2"/>
    <col min="10347" max="10347" width="3.7109375" style="2" customWidth="1"/>
    <col min="10348" max="10349" width="7.7109375" style="2" customWidth="1"/>
    <col min="10350" max="10353" width="11.42578125" style="2"/>
    <col min="10354" max="10354" width="3.7109375" style="2" customWidth="1"/>
    <col min="10355" max="10356" width="7.7109375" style="2" customWidth="1"/>
    <col min="10357" max="10360" width="11.42578125" style="2"/>
    <col min="10361" max="10361" width="3.7109375" style="2" customWidth="1"/>
    <col min="10362" max="10363" width="7.7109375" style="2" customWidth="1"/>
    <col min="10364" max="10367" width="11.42578125" style="2"/>
    <col min="10368" max="10368" width="3.7109375" style="2" customWidth="1"/>
    <col min="10369" max="10370" width="7.7109375" style="2" customWidth="1"/>
    <col min="10371" max="10374" width="11.42578125" style="2"/>
    <col min="10375" max="10375" width="3.7109375" style="2" customWidth="1"/>
    <col min="10376" max="10401" width="11.42578125" style="2"/>
    <col min="10402" max="10402" width="22.85546875" style="2" customWidth="1"/>
    <col min="10403" max="10403" width="14.42578125" style="2" customWidth="1"/>
    <col min="10404" max="10512" width="11.42578125" style="2"/>
    <col min="10513" max="10513" width="12" style="2" customWidth="1"/>
    <col min="10514" max="10514" width="14.28515625" style="2" customWidth="1"/>
    <col min="10515" max="10515" width="11.42578125" style="2"/>
    <col min="10516" max="10516" width="4.140625" style="2" customWidth="1"/>
    <col min="10517" max="10517" width="11.42578125" style="2"/>
    <col min="10518" max="10518" width="28.42578125" style="2" customWidth="1"/>
    <col min="10519" max="10520" width="11.42578125" style="2"/>
    <col min="10521" max="10521" width="5.42578125" style="2" customWidth="1"/>
    <col min="10522" max="10523" width="11.42578125" style="2"/>
    <col min="10524" max="10524" width="10.42578125" style="2" customWidth="1"/>
    <col min="10525" max="10525" width="11.42578125" style="2"/>
    <col min="10526" max="10526" width="6.42578125" style="2" customWidth="1"/>
    <col min="10527" max="10527" width="22.28515625" style="2" customWidth="1"/>
    <col min="10528" max="10528" width="21.28515625" style="2" customWidth="1"/>
    <col min="10529" max="10529" width="6" style="2" customWidth="1"/>
    <col min="10530" max="10533" width="11.42578125" style="2"/>
    <col min="10534" max="10535" width="7.7109375" style="2" customWidth="1"/>
    <col min="10536" max="10536" width="11.42578125" style="2"/>
    <col min="10537" max="10537" width="17.85546875" style="2" customWidth="1"/>
    <col min="10538" max="10539" width="11.42578125" style="2"/>
    <col min="10540" max="10540" width="3.7109375" style="2" customWidth="1"/>
    <col min="10541" max="10542" width="7.7109375" style="2" customWidth="1"/>
    <col min="10543" max="10543" width="16.28515625" style="2" customWidth="1"/>
    <col min="10544" max="10546" width="11.42578125" style="2"/>
    <col min="10547" max="10547" width="3.7109375" style="2" customWidth="1"/>
    <col min="10548" max="10549" width="7.7109375" style="2" customWidth="1"/>
    <col min="10550" max="10553" width="11.42578125" style="2"/>
    <col min="10554" max="10554" width="3.7109375" style="2" customWidth="1"/>
    <col min="10555" max="10556" width="7.7109375" style="2" customWidth="1"/>
    <col min="10557" max="10560" width="11.42578125" style="2"/>
    <col min="10561" max="10561" width="3.7109375" style="2" customWidth="1"/>
    <col min="10562" max="10563" width="7.7109375" style="2" customWidth="1"/>
    <col min="10564" max="10567" width="11.42578125" style="2"/>
    <col min="10568" max="10568" width="3.7109375" style="2" customWidth="1"/>
    <col min="10569" max="10570" width="7.7109375" style="2" customWidth="1"/>
    <col min="10571" max="10574" width="11.42578125" style="2"/>
    <col min="10575" max="10575" width="3.7109375" style="2" customWidth="1"/>
    <col min="10576" max="10577" width="7.7109375" style="2" customWidth="1"/>
    <col min="10578" max="10581" width="11.42578125" style="2"/>
    <col min="10582" max="10582" width="3.7109375" style="2" customWidth="1"/>
    <col min="10583" max="10584" width="7.7109375" style="2" customWidth="1"/>
    <col min="10585" max="10588" width="11.42578125" style="2"/>
    <col min="10589" max="10589" width="3.7109375" style="2" customWidth="1"/>
    <col min="10590" max="10591" width="7.7109375" style="2" customWidth="1"/>
    <col min="10592" max="10595" width="11.42578125" style="2"/>
    <col min="10596" max="10596" width="3.7109375" style="2" customWidth="1"/>
    <col min="10597" max="10598" width="7.7109375" style="2" customWidth="1"/>
    <col min="10599" max="10602" width="11.42578125" style="2"/>
    <col min="10603" max="10603" width="3.7109375" style="2" customWidth="1"/>
    <col min="10604" max="10605" width="7.7109375" style="2" customWidth="1"/>
    <col min="10606" max="10609" width="11.42578125" style="2"/>
    <col min="10610" max="10610" width="3.7109375" style="2" customWidth="1"/>
    <col min="10611" max="10612" width="7.7109375" style="2" customWidth="1"/>
    <col min="10613" max="10616" width="11.42578125" style="2"/>
    <col min="10617" max="10617" width="3.7109375" style="2" customWidth="1"/>
    <col min="10618" max="10619" width="7.7109375" style="2" customWidth="1"/>
    <col min="10620" max="10623" width="11.42578125" style="2"/>
    <col min="10624" max="10624" width="3.7109375" style="2" customWidth="1"/>
    <col min="10625" max="10626" width="7.7109375" style="2" customWidth="1"/>
    <col min="10627" max="10630" width="11.42578125" style="2"/>
    <col min="10631" max="10631" width="3.7109375" style="2" customWidth="1"/>
    <col min="10632" max="10657" width="11.42578125" style="2"/>
    <col min="10658" max="10658" width="22.85546875" style="2" customWidth="1"/>
    <col min="10659" max="10659" width="14.42578125" style="2" customWidth="1"/>
    <col min="10660" max="10768" width="11.42578125" style="2"/>
    <col min="10769" max="10769" width="12" style="2" customWidth="1"/>
    <col min="10770" max="10770" width="14.28515625" style="2" customWidth="1"/>
    <col min="10771" max="10771" width="11.42578125" style="2"/>
    <col min="10772" max="10772" width="4.140625" style="2" customWidth="1"/>
    <col min="10773" max="10773" width="11.42578125" style="2"/>
    <col min="10774" max="10774" width="28.42578125" style="2" customWidth="1"/>
    <col min="10775" max="10776" width="11.42578125" style="2"/>
    <col min="10777" max="10777" width="5.42578125" style="2" customWidth="1"/>
    <col min="10778" max="10779" width="11.42578125" style="2"/>
    <col min="10780" max="10780" width="10.42578125" style="2" customWidth="1"/>
    <col min="10781" max="10781" width="11.42578125" style="2"/>
    <col min="10782" max="10782" width="6.42578125" style="2" customWidth="1"/>
    <col min="10783" max="10783" width="22.28515625" style="2" customWidth="1"/>
    <col min="10784" max="10784" width="21.28515625" style="2" customWidth="1"/>
    <col min="10785" max="10785" width="6" style="2" customWidth="1"/>
    <col min="10786" max="10789" width="11.42578125" style="2"/>
    <col min="10790" max="10791" width="7.7109375" style="2" customWidth="1"/>
    <col min="10792" max="10792" width="11.42578125" style="2"/>
    <col min="10793" max="10793" width="17.85546875" style="2" customWidth="1"/>
    <col min="10794" max="10795" width="11.42578125" style="2"/>
    <col min="10796" max="10796" width="3.7109375" style="2" customWidth="1"/>
    <col min="10797" max="10798" width="7.7109375" style="2" customWidth="1"/>
    <col min="10799" max="10799" width="16.28515625" style="2" customWidth="1"/>
    <col min="10800" max="10802" width="11.42578125" style="2"/>
    <col min="10803" max="10803" width="3.7109375" style="2" customWidth="1"/>
    <col min="10804" max="10805" width="7.7109375" style="2" customWidth="1"/>
    <col min="10806" max="10809" width="11.42578125" style="2"/>
    <col min="10810" max="10810" width="3.7109375" style="2" customWidth="1"/>
    <col min="10811" max="10812" width="7.7109375" style="2" customWidth="1"/>
    <col min="10813" max="10816" width="11.42578125" style="2"/>
    <col min="10817" max="10817" width="3.7109375" style="2" customWidth="1"/>
    <col min="10818" max="10819" width="7.7109375" style="2" customWidth="1"/>
    <col min="10820" max="10823" width="11.42578125" style="2"/>
    <col min="10824" max="10824" width="3.7109375" style="2" customWidth="1"/>
    <col min="10825" max="10826" width="7.7109375" style="2" customWidth="1"/>
    <col min="10827" max="10830" width="11.42578125" style="2"/>
    <col min="10831" max="10831" width="3.7109375" style="2" customWidth="1"/>
    <col min="10832" max="10833" width="7.7109375" style="2" customWidth="1"/>
    <col min="10834" max="10837" width="11.42578125" style="2"/>
    <col min="10838" max="10838" width="3.7109375" style="2" customWidth="1"/>
    <col min="10839" max="10840" width="7.7109375" style="2" customWidth="1"/>
    <col min="10841" max="10844" width="11.42578125" style="2"/>
    <col min="10845" max="10845" width="3.7109375" style="2" customWidth="1"/>
    <col min="10846" max="10847" width="7.7109375" style="2" customWidth="1"/>
    <col min="10848" max="10851" width="11.42578125" style="2"/>
    <col min="10852" max="10852" width="3.7109375" style="2" customWidth="1"/>
    <col min="10853" max="10854" width="7.7109375" style="2" customWidth="1"/>
    <col min="10855" max="10858" width="11.42578125" style="2"/>
    <col min="10859" max="10859" width="3.7109375" style="2" customWidth="1"/>
    <col min="10860" max="10861" width="7.7109375" style="2" customWidth="1"/>
    <col min="10862" max="10865" width="11.42578125" style="2"/>
    <col min="10866" max="10866" width="3.7109375" style="2" customWidth="1"/>
    <col min="10867" max="10868" width="7.7109375" style="2" customWidth="1"/>
    <col min="10869" max="10872" width="11.42578125" style="2"/>
    <col min="10873" max="10873" width="3.7109375" style="2" customWidth="1"/>
    <col min="10874" max="10875" width="7.7109375" style="2" customWidth="1"/>
    <col min="10876" max="10879" width="11.42578125" style="2"/>
    <col min="10880" max="10880" width="3.7109375" style="2" customWidth="1"/>
    <col min="10881" max="10882" width="7.7109375" style="2" customWidth="1"/>
    <col min="10883" max="10886" width="11.42578125" style="2"/>
    <col min="10887" max="10887" width="3.7109375" style="2" customWidth="1"/>
    <col min="10888" max="10913" width="11.42578125" style="2"/>
    <col min="10914" max="10914" width="22.85546875" style="2" customWidth="1"/>
    <col min="10915" max="10915" width="14.42578125" style="2" customWidth="1"/>
    <col min="10916" max="11024" width="11.42578125" style="2"/>
    <col min="11025" max="11025" width="12" style="2" customWidth="1"/>
    <col min="11026" max="11026" width="14.28515625" style="2" customWidth="1"/>
    <col min="11027" max="11027" width="11.42578125" style="2"/>
    <col min="11028" max="11028" width="4.140625" style="2" customWidth="1"/>
    <col min="11029" max="11029" width="11.42578125" style="2"/>
    <col min="11030" max="11030" width="28.42578125" style="2" customWidth="1"/>
    <col min="11031" max="11032" width="11.42578125" style="2"/>
    <col min="11033" max="11033" width="5.42578125" style="2" customWidth="1"/>
    <col min="11034" max="11035" width="11.42578125" style="2"/>
    <col min="11036" max="11036" width="10.42578125" style="2" customWidth="1"/>
    <col min="11037" max="11037" width="11.42578125" style="2"/>
    <col min="11038" max="11038" width="6.42578125" style="2" customWidth="1"/>
    <col min="11039" max="11039" width="22.28515625" style="2" customWidth="1"/>
    <col min="11040" max="11040" width="21.28515625" style="2" customWidth="1"/>
    <col min="11041" max="11041" width="6" style="2" customWidth="1"/>
    <col min="11042" max="11045" width="11.42578125" style="2"/>
    <col min="11046" max="11047" width="7.7109375" style="2" customWidth="1"/>
    <col min="11048" max="11048" width="11.42578125" style="2"/>
    <col min="11049" max="11049" width="17.85546875" style="2" customWidth="1"/>
    <col min="11050" max="11051" width="11.42578125" style="2"/>
    <col min="11052" max="11052" width="3.7109375" style="2" customWidth="1"/>
    <col min="11053" max="11054" width="7.7109375" style="2" customWidth="1"/>
    <col min="11055" max="11055" width="16.28515625" style="2" customWidth="1"/>
    <col min="11056" max="11058" width="11.42578125" style="2"/>
    <col min="11059" max="11059" width="3.7109375" style="2" customWidth="1"/>
    <col min="11060" max="11061" width="7.7109375" style="2" customWidth="1"/>
    <col min="11062" max="11065" width="11.42578125" style="2"/>
    <col min="11066" max="11066" width="3.7109375" style="2" customWidth="1"/>
    <col min="11067" max="11068" width="7.7109375" style="2" customWidth="1"/>
    <col min="11069" max="11072" width="11.42578125" style="2"/>
    <col min="11073" max="11073" width="3.7109375" style="2" customWidth="1"/>
    <col min="11074" max="11075" width="7.7109375" style="2" customWidth="1"/>
    <col min="11076" max="11079" width="11.42578125" style="2"/>
    <col min="11080" max="11080" width="3.7109375" style="2" customWidth="1"/>
    <col min="11081" max="11082" width="7.7109375" style="2" customWidth="1"/>
    <col min="11083" max="11086" width="11.42578125" style="2"/>
    <col min="11087" max="11087" width="3.7109375" style="2" customWidth="1"/>
    <col min="11088" max="11089" width="7.7109375" style="2" customWidth="1"/>
    <col min="11090" max="11093" width="11.42578125" style="2"/>
    <col min="11094" max="11094" width="3.7109375" style="2" customWidth="1"/>
    <col min="11095" max="11096" width="7.7109375" style="2" customWidth="1"/>
    <col min="11097" max="11100" width="11.42578125" style="2"/>
    <col min="11101" max="11101" width="3.7109375" style="2" customWidth="1"/>
    <col min="11102" max="11103" width="7.7109375" style="2" customWidth="1"/>
    <col min="11104" max="11107" width="11.42578125" style="2"/>
    <col min="11108" max="11108" width="3.7109375" style="2" customWidth="1"/>
    <col min="11109" max="11110" width="7.7109375" style="2" customWidth="1"/>
    <col min="11111" max="11114" width="11.42578125" style="2"/>
    <col min="11115" max="11115" width="3.7109375" style="2" customWidth="1"/>
    <col min="11116" max="11117" width="7.7109375" style="2" customWidth="1"/>
    <col min="11118" max="11121" width="11.42578125" style="2"/>
    <col min="11122" max="11122" width="3.7109375" style="2" customWidth="1"/>
    <col min="11123" max="11124" width="7.7109375" style="2" customWidth="1"/>
    <col min="11125" max="11128" width="11.42578125" style="2"/>
    <col min="11129" max="11129" width="3.7109375" style="2" customWidth="1"/>
    <col min="11130" max="11131" width="7.7109375" style="2" customWidth="1"/>
    <col min="11132" max="11135" width="11.42578125" style="2"/>
    <col min="11136" max="11136" width="3.7109375" style="2" customWidth="1"/>
    <col min="11137" max="11138" width="7.7109375" style="2" customWidth="1"/>
    <col min="11139" max="11142" width="11.42578125" style="2"/>
    <col min="11143" max="11143" width="3.7109375" style="2" customWidth="1"/>
    <col min="11144" max="11169" width="11.42578125" style="2"/>
    <col min="11170" max="11170" width="22.85546875" style="2" customWidth="1"/>
    <col min="11171" max="11171" width="14.42578125" style="2" customWidth="1"/>
    <col min="11172" max="11280" width="11.42578125" style="2"/>
    <col min="11281" max="11281" width="12" style="2" customWidth="1"/>
    <col min="11282" max="11282" width="14.28515625" style="2" customWidth="1"/>
    <col min="11283" max="11283" width="11.42578125" style="2"/>
    <col min="11284" max="11284" width="4.140625" style="2" customWidth="1"/>
    <col min="11285" max="11285" width="11.42578125" style="2"/>
    <col min="11286" max="11286" width="28.42578125" style="2" customWidth="1"/>
    <col min="11287" max="11288" width="11.42578125" style="2"/>
    <col min="11289" max="11289" width="5.42578125" style="2" customWidth="1"/>
    <col min="11290" max="11291" width="11.42578125" style="2"/>
    <col min="11292" max="11292" width="10.42578125" style="2" customWidth="1"/>
    <col min="11293" max="11293" width="11.42578125" style="2"/>
    <col min="11294" max="11294" width="6.42578125" style="2" customWidth="1"/>
    <col min="11295" max="11295" width="22.28515625" style="2" customWidth="1"/>
    <col min="11296" max="11296" width="21.28515625" style="2" customWidth="1"/>
    <col min="11297" max="11297" width="6" style="2" customWidth="1"/>
    <col min="11298" max="11301" width="11.42578125" style="2"/>
    <col min="11302" max="11303" width="7.7109375" style="2" customWidth="1"/>
    <col min="11304" max="11304" width="11.42578125" style="2"/>
    <col min="11305" max="11305" width="17.85546875" style="2" customWidth="1"/>
    <col min="11306" max="11307" width="11.42578125" style="2"/>
    <col min="11308" max="11308" width="3.7109375" style="2" customWidth="1"/>
    <col min="11309" max="11310" width="7.7109375" style="2" customWidth="1"/>
    <col min="11311" max="11311" width="16.28515625" style="2" customWidth="1"/>
    <col min="11312" max="11314" width="11.42578125" style="2"/>
    <col min="11315" max="11315" width="3.7109375" style="2" customWidth="1"/>
    <col min="11316" max="11317" width="7.7109375" style="2" customWidth="1"/>
    <col min="11318" max="11321" width="11.42578125" style="2"/>
    <col min="11322" max="11322" width="3.7109375" style="2" customWidth="1"/>
    <col min="11323" max="11324" width="7.7109375" style="2" customWidth="1"/>
    <col min="11325" max="11328" width="11.42578125" style="2"/>
    <col min="11329" max="11329" width="3.7109375" style="2" customWidth="1"/>
    <col min="11330" max="11331" width="7.7109375" style="2" customWidth="1"/>
    <col min="11332" max="11335" width="11.42578125" style="2"/>
    <col min="11336" max="11336" width="3.7109375" style="2" customWidth="1"/>
    <col min="11337" max="11338" width="7.7109375" style="2" customWidth="1"/>
    <col min="11339" max="11342" width="11.42578125" style="2"/>
    <col min="11343" max="11343" width="3.7109375" style="2" customWidth="1"/>
    <col min="11344" max="11345" width="7.7109375" style="2" customWidth="1"/>
    <col min="11346" max="11349" width="11.42578125" style="2"/>
    <col min="11350" max="11350" width="3.7109375" style="2" customWidth="1"/>
    <col min="11351" max="11352" width="7.7109375" style="2" customWidth="1"/>
    <col min="11353" max="11356" width="11.42578125" style="2"/>
    <col min="11357" max="11357" width="3.7109375" style="2" customWidth="1"/>
    <col min="11358" max="11359" width="7.7109375" style="2" customWidth="1"/>
    <col min="11360" max="11363" width="11.42578125" style="2"/>
    <col min="11364" max="11364" width="3.7109375" style="2" customWidth="1"/>
    <col min="11365" max="11366" width="7.7109375" style="2" customWidth="1"/>
    <col min="11367" max="11370" width="11.42578125" style="2"/>
    <col min="11371" max="11371" width="3.7109375" style="2" customWidth="1"/>
    <col min="11372" max="11373" width="7.7109375" style="2" customWidth="1"/>
    <col min="11374" max="11377" width="11.42578125" style="2"/>
    <col min="11378" max="11378" width="3.7109375" style="2" customWidth="1"/>
    <col min="11379" max="11380" width="7.7109375" style="2" customWidth="1"/>
    <col min="11381" max="11384" width="11.42578125" style="2"/>
    <col min="11385" max="11385" width="3.7109375" style="2" customWidth="1"/>
    <col min="11386" max="11387" width="7.7109375" style="2" customWidth="1"/>
    <col min="11388" max="11391" width="11.42578125" style="2"/>
    <col min="11392" max="11392" width="3.7109375" style="2" customWidth="1"/>
    <col min="11393" max="11394" width="7.7109375" style="2" customWidth="1"/>
    <col min="11395" max="11398" width="11.42578125" style="2"/>
    <col min="11399" max="11399" width="3.7109375" style="2" customWidth="1"/>
    <col min="11400" max="11425" width="11.42578125" style="2"/>
    <col min="11426" max="11426" width="22.85546875" style="2" customWidth="1"/>
    <col min="11427" max="11427" width="14.42578125" style="2" customWidth="1"/>
    <col min="11428" max="11536" width="11.42578125" style="2"/>
    <col min="11537" max="11537" width="12" style="2" customWidth="1"/>
    <col min="11538" max="11538" width="14.28515625" style="2" customWidth="1"/>
    <col min="11539" max="11539" width="11.42578125" style="2"/>
    <col min="11540" max="11540" width="4.140625" style="2" customWidth="1"/>
    <col min="11541" max="11541" width="11.42578125" style="2"/>
    <col min="11542" max="11542" width="28.42578125" style="2" customWidth="1"/>
    <col min="11543" max="11544" width="11.42578125" style="2"/>
    <col min="11545" max="11545" width="5.42578125" style="2" customWidth="1"/>
    <col min="11546" max="11547" width="11.42578125" style="2"/>
    <col min="11548" max="11548" width="10.42578125" style="2" customWidth="1"/>
    <col min="11549" max="11549" width="11.42578125" style="2"/>
    <col min="11550" max="11550" width="6.42578125" style="2" customWidth="1"/>
    <col min="11551" max="11551" width="22.28515625" style="2" customWidth="1"/>
    <col min="11552" max="11552" width="21.28515625" style="2" customWidth="1"/>
    <col min="11553" max="11553" width="6" style="2" customWidth="1"/>
    <col min="11554" max="11557" width="11.42578125" style="2"/>
    <col min="11558" max="11559" width="7.7109375" style="2" customWidth="1"/>
    <col min="11560" max="11560" width="11.42578125" style="2"/>
    <col min="11561" max="11561" width="17.85546875" style="2" customWidth="1"/>
    <col min="11562" max="11563" width="11.42578125" style="2"/>
    <col min="11564" max="11564" width="3.7109375" style="2" customWidth="1"/>
    <col min="11565" max="11566" width="7.7109375" style="2" customWidth="1"/>
    <col min="11567" max="11567" width="16.28515625" style="2" customWidth="1"/>
    <col min="11568" max="11570" width="11.42578125" style="2"/>
    <col min="11571" max="11571" width="3.7109375" style="2" customWidth="1"/>
    <col min="11572" max="11573" width="7.7109375" style="2" customWidth="1"/>
    <col min="11574" max="11577" width="11.42578125" style="2"/>
    <col min="11578" max="11578" width="3.7109375" style="2" customWidth="1"/>
    <col min="11579" max="11580" width="7.7109375" style="2" customWidth="1"/>
    <col min="11581" max="11584" width="11.42578125" style="2"/>
    <col min="11585" max="11585" width="3.7109375" style="2" customWidth="1"/>
    <col min="11586" max="11587" width="7.7109375" style="2" customWidth="1"/>
    <col min="11588" max="11591" width="11.42578125" style="2"/>
    <col min="11592" max="11592" width="3.7109375" style="2" customWidth="1"/>
    <col min="11593" max="11594" width="7.7109375" style="2" customWidth="1"/>
    <col min="11595" max="11598" width="11.42578125" style="2"/>
    <col min="11599" max="11599" width="3.7109375" style="2" customWidth="1"/>
    <col min="11600" max="11601" width="7.7109375" style="2" customWidth="1"/>
    <col min="11602" max="11605" width="11.42578125" style="2"/>
    <col min="11606" max="11606" width="3.7109375" style="2" customWidth="1"/>
    <col min="11607" max="11608" width="7.7109375" style="2" customWidth="1"/>
    <col min="11609" max="11612" width="11.42578125" style="2"/>
    <col min="11613" max="11613" width="3.7109375" style="2" customWidth="1"/>
    <col min="11614" max="11615" width="7.7109375" style="2" customWidth="1"/>
    <col min="11616" max="11619" width="11.42578125" style="2"/>
    <col min="11620" max="11620" width="3.7109375" style="2" customWidth="1"/>
    <col min="11621" max="11622" width="7.7109375" style="2" customWidth="1"/>
    <col min="11623" max="11626" width="11.42578125" style="2"/>
    <col min="11627" max="11627" width="3.7109375" style="2" customWidth="1"/>
    <col min="11628" max="11629" width="7.7109375" style="2" customWidth="1"/>
    <col min="11630" max="11633" width="11.42578125" style="2"/>
    <col min="11634" max="11634" width="3.7109375" style="2" customWidth="1"/>
    <col min="11635" max="11636" width="7.7109375" style="2" customWidth="1"/>
    <col min="11637" max="11640" width="11.42578125" style="2"/>
    <col min="11641" max="11641" width="3.7109375" style="2" customWidth="1"/>
    <col min="11642" max="11643" width="7.7109375" style="2" customWidth="1"/>
    <col min="11644" max="11647" width="11.42578125" style="2"/>
    <col min="11648" max="11648" width="3.7109375" style="2" customWidth="1"/>
    <col min="11649" max="11650" width="7.7109375" style="2" customWidth="1"/>
    <col min="11651" max="11654" width="11.42578125" style="2"/>
    <col min="11655" max="11655" width="3.7109375" style="2" customWidth="1"/>
    <col min="11656" max="11681" width="11.42578125" style="2"/>
    <col min="11682" max="11682" width="22.85546875" style="2" customWidth="1"/>
    <col min="11683" max="11683" width="14.42578125" style="2" customWidth="1"/>
    <col min="11684" max="11792" width="11.42578125" style="2"/>
    <col min="11793" max="11793" width="12" style="2" customWidth="1"/>
    <col min="11794" max="11794" width="14.28515625" style="2" customWidth="1"/>
    <col min="11795" max="11795" width="11.42578125" style="2"/>
    <col min="11796" max="11796" width="4.140625" style="2" customWidth="1"/>
    <col min="11797" max="11797" width="11.42578125" style="2"/>
    <col min="11798" max="11798" width="28.42578125" style="2" customWidth="1"/>
    <col min="11799" max="11800" width="11.42578125" style="2"/>
    <col min="11801" max="11801" width="5.42578125" style="2" customWidth="1"/>
    <col min="11802" max="11803" width="11.42578125" style="2"/>
    <col min="11804" max="11804" width="10.42578125" style="2" customWidth="1"/>
    <col min="11805" max="11805" width="11.42578125" style="2"/>
    <col min="11806" max="11806" width="6.42578125" style="2" customWidth="1"/>
    <col min="11807" max="11807" width="22.28515625" style="2" customWidth="1"/>
    <col min="11808" max="11808" width="21.28515625" style="2" customWidth="1"/>
    <col min="11809" max="11809" width="6" style="2" customWidth="1"/>
    <col min="11810" max="11813" width="11.42578125" style="2"/>
    <col min="11814" max="11815" width="7.7109375" style="2" customWidth="1"/>
    <col min="11816" max="11816" width="11.42578125" style="2"/>
    <col min="11817" max="11817" width="17.85546875" style="2" customWidth="1"/>
    <col min="11818" max="11819" width="11.42578125" style="2"/>
    <col min="11820" max="11820" width="3.7109375" style="2" customWidth="1"/>
    <col min="11821" max="11822" width="7.7109375" style="2" customWidth="1"/>
    <col min="11823" max="11823" width="16.28515625" style="2" customWidth="1"/>
    <col min="11824" max="11826" width="11.42578125" style="2"/>
    <col min="11827" max="11827" width="3.7109375" style="2" customWidth="1"/>
    <col min="11828" max="11829" width="7.7109375" style="2" customWidth="1"/>
    <col min="11830" max="11833" width="11.42578125" style="2"/>
    <col min="11834" max="11834" width="3.7109375" style="2" customWidth="1"/>
    <col min="11835" max="11836" width="7.7109375" style="2" customWidth="1"/>
    <col min="11837" max="11840" width="11.42578125" style="2"/>
    <col min="11841" max="11841" width="3.7109375" style="2" customWidth="1"/>
    <col min="11842" max="11843" width="7.7109375" style="2" customWidth="1"/>
    <col min="11844" max="11847" width="11.42578125" style="2"/>
    <col min="11848" max="11848" width="3.7109375" style="2" customWidth="1"/>
    <col min="11849" max="11850" width="7.7109375" style="2" customWidth="1"/>
    <col min="11851" max="11854" width="11.42578125" style="2"/>
    <col min="11855" max="11855" width="3.7109375" style="2" customWidth="1"/>
    <col min="11856" max="11857" width="7.7109375" style="2" customWidth="1"/>
    <col min="11858" max="11861" width="11.42578125" style="2"/>
    <col min="11862" max="11862" width="3.7109375" style="2" customWidth="1"/>
    <col min="11863" max="11864" width="7.7109375" style="2" customWidth="1"/>
    <col min="11865" max="11868" width="11.42578125" style="2"/>
    <col min="11869" max="11869" width="3.7109375" style="2" customWidth="1"/>
    <col min="11870" max="11871" width="7.7109375" style="2" customWidth="1"/>
    <col min="11872" max="11875" width="11.42578125" style="2"/>
    <col min="11876" max="11876" width="3.7109375" style="2" customWidth="1"/>
    <col min="11877" max="11878" width="7.7109375" style="2" customWidth="1"/>
    <col min="11879" max="11882" width="11.42578125" style="2"/>
    <col min="11883" max="11883" width="3.7109375" style="2" customWidth="1"/>
    <col min="11884" max="11885" width="7.7109375" style="2" customWidth="1"/>
    <col min="11886" max="11889" width="11.42578125" style="2"/>
    <col min="11890" max="11890" width="3.7109375" style="2" customWidth="1"/>
    <col min="11891" max="11892" width="7.7109375" style="2" customWidth="1"/>
    <col min="11893" max="11896" width="11.42578125" style="2"/>
    <col min="11897" max="11897" width="3.7109375" style="2" customWidth="1"/>
    <col min="11898" max="11899" width="7.7109375" style="2" customWidth="1"/>
    <col min="11900" max="11903" width="11.42578125" style="2"/>
    <col min="11904" max="11904" width="3.7109375" style="2" customWidth="1"/>
    <col min="11905" max="11906" width="7.7109375" style="2" customWidth="1"/>
    <col min="11907" max="11910" width="11.42578125" style="2"/>
    <col min="11911" max="11911" width="3.7109375" style="2" customWidth="1"/>
    <col min="11912" max="11937" width="11.42578125" style="2"/>
    <col min="11938" max="11938" width="22.85546875" style="2" customWidth="1"/>
    <col min="11939" max="11939" width="14.42578125" style="2" customWidth="1"/>
    <col min="11940" max="12048" width="11.42578125" style="2"/>
    <col min="12049" max="12049" width="12" style="2" customWidth="1"/>
    <col min="12050" max="12050" width="14.28515625" style="2" customWidth="1"/>
    <col min="12051" max="12051" width="11.42578125" style="2"/>
    <col min="12052" max="12052" width="4.140625" style="2" customWidth="1"/>
    <col min="12053" max="12053" width="11.42578125" style="2"/>
    <col min="12054" max="12054" width="28.42578125" style="2" customWidth="1"/>
    <col min="12055" max="12056" width="11.42578125" style="2"/>
    <col min="12057" max="12057" width="5.42578125" style="2" customWidth="1"/>
    <col min="12058" max="12059" width="11.42578125" style="2"/>
    <col min="12060" max="12060" width="10.42578125" style="2" customWidth="1"/>
    <col min="12061" max="12061" width="11.42578125" style="2"/>
    <col min="12062" max="12062" width="6.42578125" style="2" customWidth="1"/>
    <col min="12063" max="12063" width="22.28515625" style="2" customWidth="1"/>
    <col min="12064" max="12064" width="21.28515625" style="2" customWidth="1"/>
    <col min="12065" max="12065" width="6" style="2" customWidth="1"/>
    <col min="12066" max="12069" width="11.42578125" style="2"/>
    <col min="12070" max="12071" width="7.7109375" style="2" customWidth="1"/>
    <col min="12072" max="12072" width="11.42578125" style="2"/>
    <col min="12073" max="12073" width="17.85546875" style="2" customWidth="1"/>
    <col min="12074" max="12075" width="11.42578125" style="2"/>
    <col min="12076" max="12076" width="3.7109375" style="2" customWidth="1"/>
    <col min="12077" max="12078" width="7.7109375" style="2" customWidth="1"/>
    <col min="12079" max="12079" width="16.28515625" style="2" customWidth="1"/>
    <col min="12080" max="12082" width="11.42578125" style="2"/>
    <col min="12083" max="12083" width="3.7109375" style="2" customWidth="1"/>
    <col min="12084" max="12085" width="7.7109375" style="2" customWidth="1"/>
    <col min="12086" max="12089" width="11.42578125" style="2"/>
    <col min="12090" max="12090" width="3.7109375" style="2" customWidth="1"/>
    <col min="12091" max="12092" width="7.7109375" style="2" customWidth="1"/>
    <col min="12093" max="12096" width="11.42578125" style="2"/>
    <col min="12097" max="12097" width="3.7109375" style="2" customWidth="1"/>
    <col min="12098" max="12099" width="7.7109375" style="2" customWidth="1"/>
    <col min="12100" max="12103" width="11.42578125" style="2"/>
    <col min="12104" max="12104" width="3.7109375" style="2" customWidth="1"/>
    <col min="12105" max="12106" width="7.7109375" style="2" customWidth="1"/>
    <col min="12107" max="12110" width="11.42578125" style="2"/>
    <col min="12111" max="12111" width="3.7109375" style="2" customWidth="1"/>
    <col min="12112" max="12113" width="7.7109375" style="2" customWidth="1"/>
    <col min="12114" max="12117" width="11.42578125" style="2"/>
    <col min="12118" max="12118" width="3.7109375" style="2" customWidth="1"/>
    <col min="12119" max="12120" width="7.7109375" style="2" customWidth="1"/>
    <col min="12121" max="12124" width="11.42578125" style="2"/>
    <col min="12125" max="12125" width="3.7109375" style="2" customWidth="1"/>
    <col min="12126" max="12127" width="7.7109375" style="2" customWidth="1"/>
    <col min="12128" max="12131" width="11.42578125" style="2"/>
    <col min="12132" max="12132" width="3.7109375" style="2" customWidth="1"/>
    <col min="12133" max="12134" width="7.7109375" style="2" customWidth="1"/>
    <col min="12135" max="12138" width="11.42578125" style="2"/>
    <col min="12139" max="12139" width="3.7109375" style="2" customWidth="1"/>
    <col min="12140" max="12141" width="7.7109375" style="2" customWidth="1"/>
    <col min="12142" max="12145" width="11.42578125" style="2"/>
    <col min="12146" max="12146" width="3.7109375" style="2" customWidth="1"/>
    <col min="12147" max="12148" width="7.7109375" style="2" customWidth="1"/>
    <col min="12149" max="12152" width="11.42578125" style="2"/>
    <col min="12153" max="12153" width="3.7109375" style="2" customWidth="1"/>
    <col min="12154" max="12155" width="7.7109375" style="2" customWidth="1"/>
    <col min="12156" max="12159" width="11.42578125" style="2"/>
    <col min="12160" max="12160" width="3.7109375" style="2" customWidth="1"/>
    <col min="12161" max="12162" width="7.7109375" style="2" customWidth="1"/>
    <col min="12163" max="12166" width="11.42578125" style="2"/>
    <col min="12167" max="12167" width="3.7109375" style="2" customWidth="1"/>
    <col min="12168" max="12193" width="11.42578125" style="2"/>
    <col min="12194" max="12194" width="22.85546875" style="2" customWidth="1"/>
    <col min="12195" max="12195" width="14.42578125" style="2" customWidth="1"/>
    <col min="12196" max="12304" width="11.42578125" style="2"/>
    <col min="12305" max="12305" width="12" style="2" customWidth="1"/>
    <col min="12306" max="12306" width="14.28515625" style="2" customWidth="1"/>
    <col min="12307" max="12307" width="11.42578125" style="2"/>
    <col min="12308" max="12308" width="4.140625" style="2" customWidth="1"/>
    <col min="12309" max="12309" width="11.42578125" style="2"/>
    <col min="12310" max="12310" width="28.42578125" style="2" customWidth="1"/>
    <col min="12311" max="12312" width="11.42578125" style="2"/>
    <col min="12313" max="12313" width="5.42578125" style="2" customWidth="1"/>
    <col min="12314" max="12315" width="11.42578125" style="2"/>
    <col min="12316" max="12316" width="10.42578125" style="2" customWidth="1"/>
    <col min="12317" max="12317" width="11.42578125" style="2"/>
    <col min="12318" max="12318" width="6.42578125" style="2" customWidth="1"/>
    <col min="12319" max="12319" width="22.28515625" style="2" customWidth="1"/>
    <col min="12320" max="12320" width="21.28515625" style="2" customWidth="1"/>
    <col min="12321" max="12321" width="6" style="2" customWidth="1"/>
    <col min="12322" max="12325" width="11.42578125" style="2"/>
    <col min="12326" max="12327" width="7.7109375" style="2" customWidth="1"/>
    <col min="12328" max="12328" width="11.42578125" style="2"/>
    <col min="12329" max="12329" width="17.85546875" style="2" customWidth="1"/>
    <col min="12330" max="12331" width="11.42578125" style="2"/>
    <col min="12332" max="12332" width="3.7109375" style="2" customWidth="1"/>
    <col min="12333" max="12334" width="7.7109375" style="2" customWidth="1"/>
    <col min="12335" max="12335" width="16.28515625" style="2" customWidth="1"/>
    <col min="12336" max="12338" width="11.42578125" style="2"/>
    <col min="12339" max="12339" width="3.7109375" style="2" customWidth="1"/>
    <col min="12340" max="12341" width="7.7109375" style="2" customWidth="1"/>
    <col min="12342" max="12345" width="11.42578125" style="2"/>
    <col min="12346" max="12346" width="3.7109375" style="2" customWidth="1"/>
    <col min="12347" max="12348" width="7.7109375" style="2" customWidth="1"/>
    <col min="12349" max="12352" width="11.42578125" style="2"/>
    <col min="12353" max="12353" width="3.7109375" style="2" customWidth="1"/>
    <col min="12354" max="12355" width="7.7109375" style="2" customWidth="1"/>
    <col min="12356" max="12359" width="11.42578125" style="2"/>
    <col min="12360" max="12360" width="3.7109375" style="2" customWidth="1"/>
    <col min="12361" max="12362" width="7.7109375" style="2" customWidth="1"/>
    <col min="12363" max="12366" width="11.42578125" style="2"/>
    <col min="12367" max="12367" width="3.7109375" style="2" customWidth="1"/>
    <col min="12368" max="12369" width="7.7109375" style="2" customWidth="1"/>
    <col min="12370" max="12373" width="11.42578125" style="2"/>
    <col min="12374" max="12374" width="3.7109375" style="2" customWidth="1"/>
    <col min="12375" max="12376" width="7.7109375" style="2" customWidth="1"/>
    <col min="12377" max="12380" width="11.42578125" style="2"/>
    <col min="12381" max="12381" width="3.7109375" style="2" customWidth="1"/>
    <col min="12382" max="12383" width="7.7109375" style="2" customWidth="1"/>
    <col min="12384" max="12387" width="11.42578125" style="2"/>
    <col min="12388" max="12388" width="3.7109375" style="2" customWidth="1"/>
    <col min="12389" max="12390" width="7.7109375" style="2" customWidth="1"/>
    <col min="12391" max="12394" width="11.42578125" style="2"/>
    <col min="12395" max="12395" width="3.7109375" style="2" customWidth="1"/>
    <col min="12396" max="12397" width="7.7109375" style="2" customWidth="1"/>
    <col min="12398" max="12401" width="11.42578125" style="2"/>
    <col min="12402" max="12402" width="3.7109375" style="2" customWidth="1"/>
    <col min="12403" max="12404" width="7.7109375" style="2" customWidth="1"/>
    <col min="12405" max="12408" width="11.42578125" style="2"/>
    <col min="12409" max="12409" width="3.7109375" style="2" customWidth="1"/>
    <col min="12410" max="12411" width="7.7109375" style="2" customWidth="1"/>
    <col min="12412" max="12415" width="11.42578125" style="2"/>
    <col min="12416" max="12416" width="3.7109375" style="2" customWidth="1"/>
    <col min="12417" max="12418" width="7.7109375" style="2" customWidth="1"/>
    <col min="12419" max="12422" width="11.42578125" style="2"/>
    <col min="12423" max="12423" width="3.7109375" style="2" customWidth="1"/>
    <col min="12424" max="12449" width="11.42578125" style="2"/>
    <col min="12450" max="12450" width="22.85546875" style="2" customWidth="1"/>
    <col min="12451" max="12451" width="14.42578125" style="2" customWidth="1"/>
    <col min="12452" max="12560" width="11.42578125" style="2"/>
    <col min="12561" max="12561" width="12" style="2" customWidth="1"/>
    <col min="12562" max="12562" width="14.28515625" style="2" customWidth="1"/>
    <col min="12563" max="12563" width="11.42578125" style="2"/>
    <col min="12564" max="12564" width="4.140625" style="2" customWidth="1"/>
    <col min="12565" max="12565" width="11.42578125" style="2"/>
    <col min="12566" max="12566" width="28.42578125" style="2" customWidth="1"/>
    <col min="12567" max="12568" width="11.42578125" style="2"/>
    <col min="12569" max="12569" width="5.42578125" style="2" customWidth="1"/>
    <col min="12570" max="12571" width="11.42578125" style="2"/>
    <col min="12572" max="12572" width="10.42578125" style="2" customWidth="1"/>
    <col min="12573" max="12573" width="11.42578125" style="2"/>
    <col min="12574" max="12574" width="6.42578125" style="2" customWidth="1"/>
    <col min="12575" max="12575" width="22.28515625" style="2" customWidth="1"/>
    <col min="12576" max="12576" width="21.28515625" style="2" customWidth="1"/>
    <col min="12577" max="12577" width="6" style="2" customWidth="1"/>
    <col min="12578" max="12581" width="11.42578125" style="2"/>
    <col min="12582" max="12583" width="7.7109375" style="2" customWidth="1"/>
    <col min="12584" max="12584" width="11.42578125" style="2"/>
    <col min="12585" max="12585" width="17.85546875" style="2" customWidth="1"/>
    <col min="12586" max="12587" width="11.42578125" style="2"/>
    <col min="12588" max="12588" width="3.7109375" style="2" customWidth="1"/>
    <col min="12589" max="12590" width="7.7109375" style="2" customWidth="1"/>
    <col min="12591" max="12591" width="16.28515625" style="2" customWidth="1"/>
    <col min="12592" max="12594" width="11.42578125" style="2"/>
    <col min="12595" max="12595" width="3.7109375" style="2" customWidth="1"/>
    <col min="12596" max="12597" width="7.7109375" style="2" customWidth="1"/>
    <col min="12598" max="12601" width="11.42578125" style="2"/>
    <col min="12602" max="12602" width="3.7109375" style="2" customWidth="1"/>
    <col min="12603" max="12604" width="7.7109375" style="2" customWidth="1"/>
    <col min="12605" max="12608" width="11.42578125" style="2"/>
    <col min="12609" max="12609" width="3.7109375" style="2" customWidth="1"/>
    <col min="12610" max="12611" width="7.7109375" style="2" customWidth="1"/>
    <col min="12612" max="12615" width="11.42578125" style="2"/>
    <col min="12616" max="12616" width="3.7109375" style="2" customWidth="1"/>
    <col min="12617" max="12618" width="7.7109375" style="2" customWidth="1"/>
    <col min="12619" max="12622" width="11.42578125" style="2"/>
    <col min="12623" max="12623" width="3.7109375" style="2" customWidth="1"/>
    <col min="12624" max="12625" width="7.7109375" style="2" customWidth="1"/>
    <col min="12626" max="12629" width="11.42578125" style="2"/>
    <col min="12630" max="12630" width="3.7109375" style="2" customWidth="1"/>
    <col min="12631" max="12632" width="7.7109375" style="2" customWidth="1"/>
    <col min="12633" max="12636" width="11.42578125" style="2"/>
    <col min="12637" max="12637" width="3.7109375" style="2" customWidth="1"/>
    <col min="12638" max="12639" width="7.7109375" style="2" customWidth="1"/>
    <col min="12640" max="12643" width="11.42578125" style="2"/>
    <col min="12644" max="12644" width="3.7109375" style="2" customWidth="1"/>
    <col min="12645" max="12646" width="7.7109375" style="2" customWidth="1"/>
    <col min="12647" max="12650" width="11.42578125" style="2"/>
    <col min="12651" max="12651" width="3.7109375" style="2" customWidth="1"/>
    <col min="12652" max="12653" width="7.7109375" style="2" customWidth="1"/>
    <col min="12654" max="12657" width="11.42578125" style="2"/>
    <col min="12658" max="12658" width="3.7109375" style="2" customWidth="1"/>
    <col min="12659" max="12660" width="7.7109375" style="2" customWidth="1"/>
    <col min="12661" max="12664" width="11.42578125" style="2"/>
    <col min="12665" max="12665" width="3.7109375" style="2" customWidth="1"/>
    <col min="12666" max="12667" width="7.7109375" style="2" customWidth="1"/>
    <col min="12668" max="12671" width="11.42578125" style="2"/>
    <col min="12672" max="12672" width="3.7109375" style="2" customWidth="1"/>
    <col min="12673" max="12674" width="7.7109375" style="2" customWidth="1"/>
    <col min="12675" max="12678" width="11.42578125" style="2"/>
    <col min="12679" max="12679" width="3.7109375" style="2" customWidth="1"/>
    <col min="12680" max="12705" width="11.42578125" style="2"/>
    <col min="12706" max="12706" width="22.85546875" style="2" customWidth="1"/>
    <col min="12707" max="12707" width="14.42578125" style="2" customWidth="1"/>
    <col min="12708" max="12816" width="11.42578125" style="2"/>
    <col min="12817" max="12817" width="12" style="2" customWidth="1"/>
    <col min="12818" max="12818" width="14.28515625" style="2" customWidth="1"/>
    <col min="12819" max="12819" width="11.42578125" style="2"/>
    <col min="12820" max="12820" width="4.140625" style="2" customWidth="1"/>
    <col min="12821" max="12821" width="11.42578125" style="2"/>
    <col min="12822" max="12822" width="28.42578125" style="2" customWidth="1"/>
    <col min="12823" max="12824" width="11.42578125" style="2"/>
    <col min="12825" max="12825" width="5.42578125" style="2" customWidth="1"/>
    <col min="12826" max="12827" width="11.42578125" style="2"/>
    <col min="12828" max="12828" width="10.42578125" style="2" customWidth="1"/>
    <col min="12829" max="12829" width="11.42578125" style="2"/>
    <col min="12830" max="12830" width="6.42578125" style="2" customWidth="1"/>
    <col min="12831" max="12831" width="22.28515625" style="2" customWidth="1"/>
    <col min="12832" max="12832" width="21.28515625" style="2" customWidth="1"/>
    <col min="12833" max="12833" width="6" style="2" customWidth="1"/>
    <col min="12834" max="12837" width="11.42578125" style="2"/>
    <col min="12838" max="12839" width="7.7109375" style="2" customWidth="1"/>
    <col min="12840" max="12840" width="11.42578125" style="2"/>
    <col min="12841" max="12841" width="17.85546875" style="2" customWidth="1"/>
    <col min="12842" max="12843" width="11.42578125" style="2"/>
    <col min="12844" max="12844" width="3.7109375" style="2" customWidth="1"/>
    <col min="12845" max="12846" width="7.7109375" style="2" customWidth="1"/>
    <col min="12847" max="12847" width="16.28515625" style="2" customWidth="1"/>
    <col min="12848" max="12850" width="11.42578125" style="2"/>
    <col min="12851" max="12851" width="3.7109375" style="2" customWidth="1"/>
    <col min="12852" max="12853" width="7.7109375" style="2" customWidth="1"/>
    <col min="12854" max="12857" width="11.42578125" style="2"/>
    <col min="12858" max="12858" width="3.7109375" style="2" customWidth="1"/>
    <col min="12859" max="12860" width="7.7109375" style="2" customWidth="1"/>
    <col min="12861" max="12864" width="11.42578125" style="2"/>
    <col min="12865" max="12865" width="3.7109375" style="2" customWidth="1"/>
    <col min="12866" max="12867" width="7.7109375" style="2" customWidth="1"/>
    <col min="12868" max="12871" width="11.42578125" style="2"/>
    <col min="12872" max="12872" width="3.7109375" style="2" customWidth="1"/>
    <col min="12873" max="12874" width="7.7109375" style="2" customWidth="1"/>
    <col min="12875" max="12878" width="11.42578125" style="2"/>
    <col min="12879" max="12879" width="3.7109375" style="2" customWidth="1"/>
    <col min="12880" max="12881" width="7.7109375" style="2" customWidth="1"/>
    <col min="12882" max="12885" width="11.42578125" style="2"/>
    <col min="12886" max="12886" width="3.7109375" style="2" customWidth="1"/>
    <col min="12887" max="12888" width="7.7109375" style="2" customWidth="1"/>
    <col min="12889" max="12892" width="11.42578125" style="2"/>
    <col min="12893" max="12893" width="3.7109375" style="2" customWidth="1"/>
    <col min="12894" max="12895" width="7.7109375" style="2" customWidth="1"/>
    <col min="12896" max="12899" width="11.42578125" style="2"/>
    <col min="12900" max="12900" width="3.7109375" style="2" customWidth="1"/>
    <col min="12901" max="12902" width="7.7109375" style="2" customWidth="1"/>
    <col min="12903" max="12906" width="11.42578125" style="2"/>
    <col min="12907" max="12907" width="3.7109375" style="2" customWidth="1"/>
    <col min="12908" max="12909" width="7.7109375" style="2" customWidth="1"/>
    <col min="12910" max="12913" width="11.42578125" style="2"/>
    <col min="12914" max="12914" width="3.7109375" style="2" customWidth="1"/>
    <col min="12915" max="12916" width="7.7109375" style="2" customWidth="1"/>
    <col min="12917" max="12920" width="11.42578125" style="2"/>
    <col min="12921" max="12921" width="3.7109375" style="2" customWidth="1"/>
    <col min="12922" max="12923" width="7.7109375" style="2" customWidth="1"/>
    <col min="12924" max="12927" width="11.42578125" style="2"/>
    <col min="12928" max="12928" width="3.7109375" style="2" customWidth="1"/>
    <col min="12929" max="12930" width="7.7109375" style="2" customWidth="1"/>
    <col min="12931" max="12934" width="11.42578125" style="2"/>
    <col min="12935" max="12935" width="3.7109375" style="2" customWidth="1"/>
    <col min="12936" max="12961" width="11.42578125" style="2"/>
    <col min="12962" max="12962" width="22.85546875" style="2" customWidth="1"/>
    <col min="12963" max="12963" width="14.42578125" style="2" customWidth="1"/>
    <col min="12964" max="13072" width="11.42578125" style="2"/>
    <col min="13073" max="13073" width="12" style="2" customWidth="1"/>
    <col min="13074" max="13074" width="14.28515625" style="2" customWidth="1"/>
    <col min="13075" max="13075" width="11.42578125" style="2"/>
    <col min="13076" max="13076" width="4.140625" style="2" customWidth="1"/>
    <col min="13077" max="13077" width="11.42578125" style="2"/>
    <col min="13078" max="13078" width="28.42578125" style="2" customWidth="1"/>
    <col min="13079" max="13080" width="11.42578125" style="2"/>
    <col min="13081" max="13081" width="5.42578125" style="2" customWidth="1"/>
    <col min="13082" max="13083" width="11.42578125" style="2"/>
    <col min="13084" max="13084" width="10.42578125" style="2" customWidth="1"/>
    <col min="13085" max="13085" width="11.42578125" style="2"/>
    <col min="13086" max="13086" width="6.42578125" style="2" customWidth="1"/>
    <col min="13087" max="13087" width="22.28515625" style="2" customWidth="1"/>
    <col min="13088" max="13088" width="21.28515625" style="2" customWidth="1"/>
    <col min="13089" max="13089" width="6" style="2" customWidth="1"/>
    <col min="13090" max="13093" width="11.42578125" style="2"/>
    <col min="13094" max="13095" width="7.7109375" style="2" customWidth="1"/>
    <col min="13096" max="13096" width="11.42578125" style="2"/>
    <col min="13097" max="13097" width="17.85546875" style="2" customWidth="1"/>
    <col min="13098" max="13099" width="11.42578125" style="2"/>
    <col min="13100" max="13100" width="3.7109375" style="2" customWidth="1"/>
    <col min="13101" max="13102" width="7.7109375" style="2" customWidth="1"/>
    <col min="13103" max="13103" width="16.28515625" style="2" customWidth="1"/>
    <col min="13104" max="13106" width="11.42578125" style="2"/>
    <col min="13107" max="13107" width="3.7109375" style="2" customWidth="1"/>
    <col min="13108" max="13109" width="7.7109375" style="2" customWidth="1"/>
    <col min="13110" max="13113" width="11.42578125" style="2"/>
    <col min="13114" max="13114" width="3.7109375" style="2" customWidth="1"/>
    <col min="13115" max="13116" width="7.7109375" style="2" customWidth="1"/>
    <col min="13117" max="13120" width="11.42578125" style="2"/>
    <col min="13121" max="13121" width="3.7109375" style="2" customWidth="1"/>
    <col min="13122" max="13123" width="7.7109375" style="2" customWidth="1"/>
    <col min="13124" max="13127" width="11.42578125" style="2"/>
    <col min="13128" max="13128" width="3.7109375" style="2" customWidth="1"/>
    <col min="13129" max="13130" width="7.7109375" style="2" customWidth="1"/>
    <col min="13131" max="13134" width="11.42578125" style="2"/>
    <col min="13135" max="13135" width="3.7109375" style="2" customWidth="1"/>
    <col min="13136" max="13137" width="7.7109375" style="2" customWidth="1"/>
    <col min="13138" max="13141" width="11.42578125" style="2"/>
    <col min="13142" max="13142" width="3.7109375" style="2" customWidth="1"/>
    <col min="13143" max="13144" width="7.7109375" style="2" customWidth="1"/>
    <col min="13145" max="13148" width="11.42578125" style="2"/>
    <col min="13149" max="13149" width="3.7109375" style="2" customWidth="1"/>
    <col min="13150" max="13151" width="7.7109375" style="2" customWidth="1"/>
    <col min="13152" max="13155" width="11.42578125" style="2"/>
    <col min="13156" max="13156" width="3.7109375" style="2" customWidth="1"/>
    <col min="13157" max="13158" width="7.7109375" style="2" customWidth="1"/>
    <col min="13159" max="13162" width="11.42578125" style="2"/>
    <col min="13163" max="13163" width="3.7109375" style="2" customWidth="1"/>
    <col min="13164" max="13165" width="7.7109375" style="2" customWidth="1"/>
    <col min="13166" max="13169" width="11.42578125" style="2"/>
    <col min="13170" max="13170" width="3.7109375" style="2" customWidth="1"/>
    <col min="13171" max="13172" width="7.7109375" style="2" customWidth="1"/>
    <col min="13173" max="13176" width="11.42578125" style="2"/>
    <col min="13177" max="13177" width="3.7109375" style="2" customWidth="1"/>
    <col min="13178" max="13179" width="7.7109375" style="2" customWidth="1"/>
    <col min="13180" max="13183" width="11.42578125" style="2"/>
    <col min="13184" max="13184" width="3.7109375" style="2" customWidth="1"/>
    <col min="13185" max="13186" width="7.7109375" style="2" customWidth="1"/>
    <col min="13187" max="13190" width="11.42578125" style="2"/>
    <col min="13191" max="13191" width="3.7109375" style="2" customWidth="1"/>
    <col min="13192" max="13217" width="11.42578125" style="2"/>
    <col min="13218" max="13218" width="22.85546875" style="2" customWidth="1"/>
    <col min="13219" max="13219" width="14.42578125" style="2" customWidth="1"/>
    <col min="13220" max="13328" width="11.42578125" style="2"/>
    <col min="13329" max="13329" width="12" style="2" customWidth="1"/>
    <col min="13330" max="13330" width="14.28515625" style="2" customWidth="1"/>
    <col min="13331" max="13331" width="11.42578125" style="2"/>
    <col min="13332" max="13332" width="4.140625" style="2" customWidth="1"/>
    <col min="13333" max="13333" width="11.42578125" style="2"/>
    <col min="13334" max="13334" width="28.42578125" style="2" customWidth="1"/>
    <col min="13335" max="13336" width="11.42578125" style="2"/>
    <col min="13337" max="13337" width="5.42578125" style="2" customWidth="1"/>
    <col min="13338" max="13339" width="11.42578125" style="2"/>
    <col min="13340" max="13340" width="10.42578125" style="2" customWidth="1"/>
    <col min="13341" max="13341" width="11.42578125" style="2"/>
    <col min="13342" max="13342" width="6.42578125" style="2" customWidth="1"/>
    <col min="13343" max="13343" width="22.28515625" style="2" customWidth="1"/>
    <col min="13344" max="13344" width="21.28515625" style="2" customWidth="1"/>
    <col min="13345" max="13345" width="6" style="2" customWidth="1"/>
    <col min="13346" max="13349" width="11.42578125" style="2"/>
    <col min="13350" max="13351" width="7.7109375" style="2" customWidth="1"/>
    <col min="13352" max="13352" width="11.42578125" style="2"/>
    <col min="13353" max="13353" width="17.85546875" style="2" customWidth="1"/>
    <col min="13354" max="13355" width="11.42578125" style="2"/>
    <col min="13356" max="13356" width="3.7109375" style="2" customWidth="1"/>
    <col min="13357" max="13358" width="7.7109375" style="2" customWidth="1"/>
    <col min="13359" max="13359" width="16.28515625" style="2" customWidth="1"/>
    <col min="13360" max="13362" width="11.42578125" style="2"/>
    <col min="13363" max="13363" width="3.7109375" style="2" customWidth="1"/>
    <col min="13364" max="13365" width="7.7109375" style="2" customWidth="1"/>
    <col min="13366" max="13369" width="11.42578125" style="2"/>
    <col min="13370" max="13370" width="3.7109375" style="2" customWidth="1"/>
    <col min="13371" max="13372" width="7.7109375" style="2" customWidth="1"/>
    <col min="13373" max="13376" width="11.42578125" style="2"/>
    <col min="13377" max="13377" width="3.7109375" style="2" customWidth="1"/>
    <col min="13378" max="13379" width="7.7109375" style="2" customWidth="1"/>
    <col min="13380" max="13383" width="11.42578125" style="2"/>
    <col min="13384" max="13384" width="3.7109375" style="2" customWidth="1"/>
    <col min="13385" max="13386" width="7.7109375" style="2" customWidth="1"/>
    <col min="13387" max="13390" width="11.42578125" style="2"/>
    <col min="13391" max="13391" width="3.7109375" style="2" customWidth="1"/>
    <col min="13392" max="13393" width="7.7109375" style="2" customWidth="1"/>
    <col min="13394" max="13397" width="11.42578125" style="2"/>
    <col min="13398" max="13398" width="3.7109375" style="2" customWidth="1"/>
    <col min="13399" max="13400" width="7.7109375" style="2" customWidth="1"/>
    <col min="13401" max="13404" width="11.42578125" style="2"/>
    <col min="13405" max="13405" width="3.7109375" style="2" customWidth="1"/>
    <col min="13406" max="13407" width="7.7109375" style="2" customWidth="1"/>
    <col min="13408" max="13411" width="11.42578125" style="2"/>
    <col min="13412" max="13412" width="3.7109375" style="2" customWidth="1"/>
    <col min="13413" max="13414" width="7.7109375" style="2" customWidth="1"/>
    <col min="13415" max="13418" width="11.42578125" style="2"/>
    <col min="13419" max="13419" width="3.7109375" style="2" customWidth="1"/>
    <col min="13420" max="13421" width="7.7109375" style="2" customWidth="1"/>
    <col min="13422" max="13425" width="11.42578125" style="2"/>
    <col min="13426" max="13426" width="3.7109375" style="2" customWidth="1"/>
    <col min="13427" max="13428" width="7.7109375" style="2" customWidth="1"/>
    <col min="13429" max="13432" width="11.42578125" style="2"/>
    <col min="13433" max="13433" width="3.7109375" style="2" customWidth="1"/>
    <col min="13434" max="13435" width="7.7109375" style="2" customWidth="1"/>
    <col min="13436" max="13439" width="11.42578125" style="2"/>
    <col min="13440" max="13440" width="3.7109375" style="2" customWidth="1"/>
    <col min="13441" max="13442" width="7.7109375" style="2" customWidth="1"/>
    <col min="13443" max="13446" width="11.42578125" style="2"/>
    <col min="13447" max="13447" width="3.7109375" style="2" customWidth="1"/>
    <col min="13448" max="13473" width="11.42578125" style="2"/>
    <col min="13474" max="13474" width="22.85546875" style="2" customWidth="1"/>
    <col min="13475" max="13475" width="14.42578125" style="2" customWidth="1"/>
    <col min="13476" max="13584" width="11.42578125" style="2"/>
    <col min="13585" max="13585" width="12" style="2" customWidth="1"/>
    <col min="13586" max="13586" width="14.28515625" style="2" customWidth="1"/>
    <col min="13587" max="13587" width="11.42578125" style="2"/>
    <col min="13588" max="13588" width="4.140625" style="2" customWidth="1"/>
    <col min="13589" max="13589" width="11.42578125" style="2"/>
    <col min="13590" max="13590" width="28.42578125" style="2" customWidth="1"/>
    <col min="13591" max="13592" width="11.42578125" style="2"/>
    <col min="13593" max="13593" width="5.42578125" style="2" customWidth="1"/>
    <col min="13594" max="13595" width="11.42578125" style="2"/>
    <col min="13596" max="13596" width="10.42578125" style="2" customWidth="1"/>
    <col min="13597" max="13597" width="11.42578125" style="2"/>
    <col min="13598" max="13598" width="6.42578125" style="2" customWidth="1"/>
    <col min="13599" max="13599" width="22.28515625" style="2" customWidth="1"/>
    <col min="13600" max="13600" width="21.28515625" style="2" customWidth="1"/>
    <col min="13601" max="13601" width="6" style="2" customWidth="1"/>
    <col min="13602" max="13605" width="11.42578125" style="2"/>
    <col min="13606" max="13607" width="7.7109375" style="2" customWidth="1"/>
    <col min="13608" max="13608" width="11.42578125" style="2"/>
    <col min="13609" max="13609" width="17.85546875" style="2" customWidth="1"/>
    <col min="13610" max="13611" width="11.42578125" style="2"/>
    <col min="13612" max="13612" width="3.7109375" style="2" customWidth="1"/>
    <col min="13613" max="13614" width="7.7109375" style="2" customWidth="1"/>
    <col min="13615" max="13615" width="16.28515625" style="2" customWidth="1"/>
    <col min="13616" max="13618" width="11.42578125" style="2"/>
    <col min="13619" max="13619" width="3.7109375" style="2" customWidth="1"/>
    <col min="13620" max="13621" width="7.7109375" style="2" customWidth="1"/>
    <col min="13622" max="13625" width="11.42578125" style="2"/>
    <col min="13626" max="13626" width="3.7109375" style="2" customWidth="1"/>
    <col min="13627" max="13628" width="7.7109375" style="2" customWidth="1"/>
    <col min="13629" max="13632" width="11.42578125" style="2"/>
    <col min="13633" max="13633" width="3.7109375" style="2" customWidth="1"/>
    <col min="13634" max="13635" width="7.7109375" style="2" customWidth="1"/>
    <col min="13636" max="13639" width="11.42578125" style="2"/>
    <col min="13640" max="13640" width="3.7109375" style="2" customWidth="1"/>
    <col min="13641" max="13642" width="7.7109375" style="2" customWidth="1"/>
    <col min="13643" max="13646" width="11.42578125" style="2"/>
    <col min="13647" max="13647" width="3.7109375" style="2" customWidth="1"/>
    <col min="13648" max="13649" width="7.7109375" style="2" customWidth="1"/>
    <col min="13650" max="13653" width="11.42578125" style="2"/>
    <col min="13654" max="13654" width="3.7109375" style="2" customWidth="1"/>
    <col min="13655" max="13656" width="7.7109375" style="2" customWidth="1"/>
    <col min="13657" max="13660" width="11.42578125" style="2"/>
    <col min="13661" max="13661" width="3.7109375" style="2" customWidth="1"/>
    <col min="13662" max="13663" width="7.7109375" style="2" customWidth="1"/>
    <col min="13664" max="13667" width="11.42578125" style="2"/>
    <col min="13668" max="13668" width="3.7109375" style="2" customWidth="1"/>
    <col min="13669" max="13670" width="7.7109375" style="2" customWidth="1"/>
    <col min="13671" max="13674" width="11.42578125" style="2"/>
    <col min="13675" max="13675" width="3.7109375" style="2" customWidth="1"/>
    <col min="13676" max="13677" width="7.7109375" style="2" customWidth="1"/>
    <col min="13678" max="13681" width="11.42578125" style="2"/>
    <col min="13682" max="13682" width="3.7109375" style="2" customWidth="1"/>
    <col min="13683" max="13684" width="7.7109375" style="2" customWidth="1"/>
    <col min="13685" max="13688" width="11.42578125" style="2"/>
    <col min="13689" max="13689" width="3.7109375" style="2" customWidth="1"/>
    <col min="13690" max="13691" width="7.7109375" style="2" customWidth="1"/>
    <col min="13692" max="13695" width="11.42578125" style="2"/>
    <col min="13696" max="13696" width="3.7109375" style="2" customWidth="1"/>
    <col min="13697" max="13698" width="7.7109375" style="2" customWidth="1"/>
    <col min="13699" max="13702" width="11.42578125" style="2"/>
    <col min="13703" max="13703" width="3.7109375" style="2" customWidth="1"/>
    <col min="13704" max="13729" width="11.42578125" style="2"/>
    <col min="13730" max="13730" width="22.85546875" style="2" customWidth="1"/>
    <col min="13731" max="13731" width="14.42578125" style="2" customWidth="1"/>
    <col min="13732" max="13840" width="11.42578125" style="2"/>
    <col min="13841" max="13841" width="12" style="2" customWidth="1"/>
    <col min="13842" max="13842" width="14.28515625" style="2" customWidth="1"/>
    <col min="13843" max="13843" width="11.42578125" style="2"/>
    <col min="13844" max="13844" width="4.140625" style="2" customWidth="1"/>
    <col min="13845" max="13845" width="11.42578125" style="2"/>
    <col min="13846" max="13846" width="28.42578125" style="2" customWidth="1"/>
    <col min="13847" max="13848" width="11.42578125" style="2"/>
    <col min="13849" max="13849" width="5.42578125" style="2" customWidth="1"/>
    <col min="13850" max="13851" width="11.42578125" style="2"/>
    <col min="13852" max="13852" width="10.42578125" style="2" customWidth="1"/>
    <col min="13853" max="13853" width="11.42578125" style="2"/>
    <col min="13854" max="13854" width="6.42578125" style="2" customWidth="1"/>
    <col min="13855" max="13855" width="22.28515625" style="2" customWidth="1"/>
    <col min="13856" max="13856" width="21.28515625" style="2" customWidth="1"/>
    <col min="13857" max="13857" width="6" style="2" customWidth="1"/>
    <col min="13858" max="13861" width="11.42578125" style="2"/>
    <col min="13862" max="13863" width="7.7109375" style="2" customWidth="1"/>
    <col min="13864" max="13864" width="11.42578125" style="2"/>
    <col min="13865" max="13865" width="17.85546875" style="2" customWidth="1"/>
    <col min="13866" max="13867" width="11.42578125" style="2"/>
    <col min="13868" max="13868" width="3.7109375" style="2" customWidth="1"/>
    <col min="13869" max="13870" width="7.7109375" style="2" customWidth="1"/>
    <col min="13871" max="13871" width="16.28515625" style="2" customWidth="1"/>
    <col min="13872" max="13874" width="11.42578125" style="2"/>
    <col min="13875" max="13875" width="3.7109375" style="2" customWidth="1"/>
    <col min="13876" max="13877" width="7.7109375" style="2" customWidth="1"/>
    <col min="13878" max="13881" width="11.42578125" style="2"/>
    <col min="13882" max="13882" width="3.7109375" style="2" customWidth="1"/>
    <col min="13883" max="13884" width="7.7109375" style="2" customWidth="1"/>
    <col min="13885" max="13888" width="11.42578125" style="2"/>
    <col min="13889" max="13889" width="3.7109375" style="2" customWidth="1"/>
    <col min="13890" max="13891" width="7.7109375" style="2" customWidth="1"/>
    <col min="13892" max="13895" width="11.42578125" style="2"/>
    <col min="13896" max="13896" width="3.7109375" style="2" customWidth="1"/>
    <col min="13897" max="13898" width="7.7109375" style="2" customWidth="1"/>
    <col min="13899" max="13902" width="11.42578125" style="2"/>
    <col min="13903" max="13903" width="3.7109375" style="2" customWidth="1"/>
    <col min="13904" max="13905" width="7.7109375" style="2" customWidth="1"/>
    <col min="13906" max="13909" width="11.42578125" style="2"/>
    <col min="13910" max="13910" width="3.7109375" style="2" customWidth="1"/>
    <col min="13911" max="13912" width="7.7109375" style="2" customWidth="1"/>
    <col min="13913" max="13916" width="11.42578125" style="2"/>
    <col min="13917" max="13917" width="3.7109375" style="2" customWidth="1"/>
    <col min="13918" max="13919" width="7.7109375" style="2" customWidth="1"/>
    <col min="13920" max="13923" width="11.42578125" style="2"/>
    <col min="13924" max="13924" width="3.7109375" style="2" customWidth="1"/>
    <col min="13925" max="13926" width="7.7109375" style="2" customWidth="1"/>
    <col min="13927" max="13930" width="11.42578125" style="2"/>
    <col min="13931" max="13931" width="3.7109375" style="2" customWidth="1"/>
    <col min="13932" max="13933" width="7.7109375" style="2" customWidth="1"/>
    <col min="13934" max="13937" width="11.42578125" style="2"/>
    <col min="13938" max="13938" width="3.7109375" style="2" customWidth="1"/>
    <col min="13939" max="13940" width="7.7109375" style="2" customWidth="1"/>
    <col min="13941" max="13944" width="11.42578125" style="2"/>
    <col min="13945" max="13945" width="3.7109375" style="2" customWidth="1"/>
    <col min="13946" max="13947" width="7.7109375" style="2" customWidth="1"/>
    <col min="13948" max="13951" width="11.42578125" style="2"/>
    <col min="13952" max="13952" width="3.7109375" style="2" customWidth="1"/>
    <col min="13953" max="13954" width="7.7109375" style="2" customWidth="1"/>
    <col min="13955" max="13958" width="11.42578125" style="2"/>
    <col min="13959" max="13959" width="3.7109375" style="2" customWidth="1"/>
    <col min="13960" max="13985" width="11.42578125" style="2"/>
    <col min="13986" max="13986" width="22.85546875" style="2" customWidth="1"/>
    <col min="13987" max="13987" width="14.42578125" style="2" customWidth="1"/>
    <col min="13988" max="14096" width="11.42578125" style="2"/>
    <col min="14097" max="14097" width="12" style="2" customWidth="1"/>
    <col min="14098" max="14098" width="14.28515625" style="2" customWidth="1"/>
    <col min="14099" max="14099" width="11.42578125" style="2"/>
    <col min="14100" max="14100" width="4.140625" style="2" customWidth="1"/>
    <col min="14101" max="14101" width="11.42578125" style="2"/>
    <col min="14102" max="14102" width="28.42578125" style="2" customWidth="1"/>
    <col min="14103" max="14104" width="11.42578125" style="2"/>
    <col min="14105" max="14105" width="5.42578125" style="2" customWidth="1"/>
    <col min="14106" max="14107" width="11.42578125" style="2"/>
    <col min="14108" max="14108" width="10.42578125" style="2" customWidth="1"/>
    <col min="14109" max="14109" width="11.42578125" style="2"/>
    <col min="14110" max="14110" width="6.42578125" style="2" customWidth="1"/>
    <col min="14111" max="14111" width="22.28515625" style="2" customWidth="1"/>
    <col min="14112" max="14112" width="21.28515625" style="2" customWidth="1"/>
    <col min="14113" max="14113" width="6" style="2" customWidth="1"/>
    <col min="14114" max="14117" width="11.42578125" style="2"/>
    <col min="14118" max="14119" width="7.7109375" style="2" customWidth="1"/>
    <col min="14120" max="14120" width="11.42578125" style="2"/>
    <col min="14121" max="14121" width="17.85546875" style="2" customWidth="1"/>
    <col min="14122" max="14123" width="11.42578125" style="2"/>
    <col min="14124" max="14124" width="3.7109375" style="2" customWidth="1"/>
    <col min="14125" max="14126" width="7.7109375" style="2" customWidth="1"/>
    <col min="14127" max="14127" width="16.28515625" style="2" customWidth="1"/>
    <col min="14128" max="14130" width="11.42578125" style="2"/>
    <col min="14131" max="14131" width="3.7109375" style="2" customWidth="1"/>
    <col min="14132" max="14133" width="7.7109375" style="2" customWidth="1"/>
    <col min="14134" max="14137" width="11.42578125" style="2"/>
    <col min="14138" max="14138" width="3.7109375" style="2" customWidth="1"/>
    <col min="14139" max="14140" width="7.7109375" style="2" customWidth="1"/>
    <col min="14141" max="14144" width="11.42578125" style="2"/>
    <col min="14145" max="14145" width="3.7109375" style="2" customWidth="1"/>
    <col min="14146" max="14147" width="7.7109375" style="2" customWidth="1"/>
    <col min="14148" max="14151" width="11.42578125" style="2"/>
    <col min="14152" max="14152" width="3.7109375" style="2" customWidth="1"/>
    <col min="14153" max="14154" width="7.7109375" style="2" customWidth="1"/>
    <col min="14155" max="14158" width="11.42578125" style="2"/>
    <col min="14159" max="14159" width="3.7109375" style="2" customWidth="1"/>
    <col min="14160" max="14161" width="7.7109375" style="2" customWidth="1"/>
    <col min="14162" max="14165" width="11.42578125" style="2"/>
    <col min="14166" max="14166" width="3.7109375" style="2" customWidth="1"/>
    <col min="14167" max="14168" width="7.7109375" style="2" customWidth="1"/>
    <col min="14169" max="14172" width="11.42578125" style="2"/>
    <col min="14173" max="14173" width="3.7109375" style="2" customWidth="1"/>
    <col min="14174" max="14175" width="7.7109375" style="2" customWidth="1"/>
    <col min="14176" max="14179" width="11.42578125" style="2"/>
    <col min="14180" max="14180" width="3.7109375" style="2" customWidth="1"/>
    <col min="14181" max="14182" width="7.7109375" style="2" customWidth="1"/>
    <col min="14183" max="14186" width="11.42578125" style="2"/>
    <col min="14187" max="14187" width="3.7109375" style="2" customWidth="1"/>
    <col min="14188" max="14189" width="7.7109375" style="2" customWidth="1"/>
    <col min="14190" max="14193" width="11.42578125" style="2"/>
    <col min="14194" max="14194" width="3.7109375" style="2" customWidth="1"/>
    <col min="14195" max="14196" width="7.7109375" style="2" customWidth="1"/>
    <col min="14197" max="14200" width="11.42578125" style="2"/>
    <col min="14201" max="14201" width="3.7109375" style="2" customWidth="1"/>
    <col min="14202" max="14203" width="7.7109375" style="2" customWidth="1"/>
    <col min="14204" max="14207" width="11.42578125" style="2"/>
    <col min="14208" max="14208" width="3.7109375" style="2" customWidth="1"/>
    <col min="14209" max="14210" width="7.7109375" style="2" customWidth="1"/>
    <col min="14211" max="14214" width="11.42578125" style="2"/>
    <col min="14215" max="14215" width="3.7109375" style="2" customWidth="1"/>
    <col min="14216" max="14241" width="11.42578125" style="2"/>
    <col min="14242" max="14242" width="22.85546875" style="2" customWidth="1"/>
    <col min="14243" max="14243" width="14.42578125" style="2" customWidth="1"/>
    <col min="14244" max="14352" width="11.42578125" style="2"/>
    <col min="14353" max="14353" width="12" style="2" customWidth="1"/>
    <col min="14354" max="14354" width="14.28515625" style="2" customWidth="1"/>
    <col min="14355" max="14355" width="11.42578125" style="2"/>
    <col min="14356" max="14356" width="4.140625" style="2" customWidth="1"/>
    <col min="14357" max="14357" width="11.42578125" style="2"/>
    <col min="14358" max="14358" width="28.42578125" style="2" customWidth="1"/>
    <col min="14359" max="14360" width="11.42578125" style="2"/>
    <col min="14361" max="14361" width="5.42578125" style="2" customWidth="1"/>
    <col min="14362" max="14363" width="11.42578125" style="2"/>
    <col min="14364" max="14364" width="10.42578125" style="2" customWidth="1"/>
    <col min="14365" max="14365" width="11.42578125" style="2"/>
    <col min="14366" max="14366" width="6.42578125" style="2" customWidth="1"/>
    <col min="14367" max="14367" width="22.28515625" style="2" customWidth="1"/>
    <col min="14368" max="14368" width="21.28515625" style="2" customWidth="1"/>
    <col min="14369" max="14369" width="6" style="2" customWidth="1"/>
    <col min="14370" max="14373" width="11.42578125" style="2"/>
    <col min="14374" max="14375" width="7.7109375" style="2" customWidth="1"/>
    <col min="14376" max="14376" width="11.42578125" style="2"/>
    <col min="14377" max="14377" width="17.85546875" style="2" customWidth="1"/>
    <col min="14378" max="14379" width="11.42578125" style="2"/>
    <col min="14380" max="14380" width="3.7109375" style="2" customWidth="1"/>
    <col min="14381" max="14382" width="7.7109375" style="2" customWidth="1"/>
    <col min="14383" max="14383" width="16.28515625" style="2" customWidth="1"/>
    <col min="14384" max="14386" width="11.42578125" style="2"/>
    <col min="14387" max="14387" width="3.7109375" style="2" customWidth="1"/>
    <col min="14388" max="14389" width="7.7109375" style="2" customWidth="1"/>
    <col min="14390" max="14393" width="11.42578125" style="2"/>
    <col min="14394" max="14394" width="3.7109375" style="2" customWidth="1"/>
    <col min="14395" max="14396" width="7.7109375" style="2" customWidth="1"/>
    <col min="14397" max="14400" width="11.42578125" style="2"/>
    <col min="14401" max="14401" width="3.7109375" style="2" customWidth="1"/>
    <col min="14402" max="14403" width="7.7109375" style="2" customWidth="1"/>
    <col min="14404" max="14407" width="11.42578125" style="2"/>
    <col min="14408" max="14408" width="3.7109375" style="2" customWidth="1"/>
    <col min="14409" max="14410" width="7.7109375" style="2" customWidth="1"/>
    <col min="14411" max="14414" width="11.42578125" style="2"/>
    <col min="14415" max="14415" width="3.7109375" style="2" customWidth="1"/>
    <col min="14416" max="14417" width="7.7109375" style="2" customWidth="1"/>
    <col min="14418" max="14421" width="11.42578125" style="2"/>
    <col min="14422" max="14422" width="3.7109375" style="2" customWidth="1"/>
    <col min="14423" max="14424" width="7.7109375" style="2" customWidth="1"/>
    <col min="14425" max="14428" width="11.42578125" style="2"/>
    <col min="14429" max="14429" width="3.7109375" style="2" customWidth="1"/>
    <col min="14430" max="14431" width="7.7109375" style="2" customWidth="1"/>
    <col min="14432" max="14435" width="11.42578125" style="2"/>
    <col min="14436" max="14436" width="3.7109375" style="2" customWidth="1"/>
    <col min="14437" max="14438" width="7.7109375" style="2" customWidth="1"/>
    <col min="14439" max="14442" width="11.42578125" style="2"/>
    <col min="14443" max="14443" width="3.7109375" style="2" customWidth="1"/>
    <col min="14444" max="14445" width="7.7109375" style="2" customWidth="1"/>
    <col min="14446" max="14449" width="11.42578125" style="2"/>
    <col min="14450" max="14450" width="3.7109375" style="2" customWidth="1"/>
    <col min="14451" max="14452" width="7.7109375" style="2" customWidth="1"/>
    <col min="14453" max="14456" width="11.42578125" style="2"/>
    <col min="14457" max="14457" width="3.7109375" style="2" customWidth="1"/>
    <col min="14458" max="14459" width="7.7109375" style="2" customWidth="1"/>
    <col min="14460" max="14463" width="11.42578125" style="2"/>
    <col min="14464" max="14464" width="3.7109375" style="2" customWidth="1"/>
    <col min="14465" max="14466" width="7.7109375" style="2" customWidth="1"/>
    <col min="14467" max="14470" width="11.42578125" style="2"/>
    <col min="14471" max="14471" width="3.7109375" style="2" customWidth="1"/>
    <col min="14472" max="14497" width="11.42578125" style="2"/>
    <col min="14498" max="14498" width="22.85546875" style="2" customWidth="1"/>
    <col min="14499" max="14499" width="14.42578125" style="2" customWidth="1"/>
    <col min="14500" max="14608" width="11.42578125" style="2"/>
    <col min="14609" max="14609" width="12" style="2" customWidth="1"/>
    <col min="14610" max="14610" width="14.28515625" style="2" customWidth="1"/>
    <col min="14611" max="14611" width="11.42578125" style="2"/>
    <col min="14612" max="14612" width="4.140625" style="2" customWidth="1"/>
    <col min="14613" max="14613" width="11.42578125" style="2"/>
    <col min="14614" max="14614" width="28.42578125" style="2" customWidth="1"/>
    <col min="14615" max="14616" width="11.42578125" style="2"/>
    <col min="14617" max="14617" width="5.42578125" style="2" customWidth="1"/>
    <col min="14618" max="14619" width="11.42578125" style="2"/>
    <col min="14620" max="14620" width="10.42578125" style="2" customWidth="1"/>
    <col min="14621" max="14621" width="11.42578125" style="2"/>
    <col min="14622" max="14622" width="6.42578125" style="2" customWidth="1"/>
    <col min="14623" max="14623" width="22.28515625" style="2" customWidth="1"/>
    <col min="14624" max="14624" width="21.28515625" style="2" customWidth="1"/>
    <col min="14625" max="14625" width="6" style="2" customWidth="1"/>
    <col min="14626" max="14629" width="11.42578125" style="2"/>
    <col min="14630" max="14631" width="7.7109375" style="2" customWidth="1"/>
    <col min="14632" max="14632" width="11.42578125" style="2"/>
    <col min="14633" max="14633" width="17.85546875" style="2" customWidth="1"/>
    <col min="14634" max="14635" width="11.42578125" style="2"/>
    <col min="14636" max="14636" width="3.7109375" style="2" customWidth="1"/>
    <col min="14637" max="14638" width="7.7109375" style="2" customWidth="1"/>
    <col min="14639" max="14639" width="16.28515625" style="2" customWidth="1"/>
    <col min="14640" max="14642" width="11.42578125" style="2"/>
    <col min="14643" max="14643" width="3.7109375" style="2" customWidth="1"/>
    <col min="14644" max="14645" width="7.7109375" style="2" customWidth="1"/>
    <col min="14646" max="14649" width="11.42578125" style="2"/>
    <col min="14650" max="14650" width="3.7109375" style="2" customWidth="1"/>
    <col min="14651" max="14652" width="7.7109375" style="2" customWidth="1"/>
    <col min="14653" max="14656" width="11.42578125" style="2"/>
    <col min="14657" max="14657" width="3.7109375" style="2" customWidth="1"/>
    <col min="14658" max="14659" width="7.7109375" style="2" customWidth="1"/>
    <col min="14660" max="14663" width="11.42578125" style="2"/>
    <col min="14664" max="14664" width="3.7109375" style="2" customWidth="1"/>
    <col min="14665" max="14666" width="7.7109375" style="2" customWidth="1"/>
    <col min="14667" max="14670" width="11.42578125" style="2"/>
    <col min="14671" max="14671" width="3.7109375" style="2" customWidth="1"/>
    <col min="14672" max="14673" width="7.7109375" style="2" customWidth="1"/>
    <col min="14674" max="14677" width="11.42578125" style="2"/>
    <col min="14678" max="14678" width="3.7109375" style="2" customWidth="1"/>
    <col min="14679" max="14680" width="7.7109375" style="2" customWidth="1"/>
    <col min="14681" max="14684" width="11.42578125" style="2"/>
    <col min="14685" max="14685" width="3.7109375" style="2" customWidth="1"/>
    <col min="14686" max="14687" width="7.7109375" style="2" customWidth="1"/>
    <col min="14688" max="14691" width="11.42578125" style="2"/>
    <col min="14692" max="14692" width="3.7109375" style="2" customWidth="1"/>
    <col min="14693" max="14694" width="7.7109375" style="2" customWidth="1"/>
    <col min="14695" max="14698" width="11.42578125" style="2"/>
    <col min="14699" max="14699" width="3.7109375" style="2" customWidth="1"/>
    <col min="14700" max="14701" width="7.7109375" style="2" customWidth="1"/>
    <col min="14702" max="14705" width="11.42578125" style="2"/>
    <col min="14706" max="14706" width="3.7109375" style="2" customWidth="1"/>
    <col min="14707" max="14708" width="7.7109375" style="2" customWidth="1"/>
    <col min="14709" max="14712" width="11.42578125" style="2"/>
    <col min="14713" max="14713" width="3.7109375" style="2" customWidth="1"/>
    <col min="14714" max="14715" width="7.7109375" style="2" customWidth="1"/>
    <col min="14716" max="14719" width="11.42578125" style="2"/>
    <col min="14720" max="14720" width="3.7109375" style="2" customWidth="1"/>
    <col min="14721" max="14722" width="7.7109375" style="2" customWidth="1"/>
    <col min="14723" max="14726" width="11.42578125" style="2"/>
    <col min="14727" max="14727" width="3.7109375" style="2" customWidth="1"/>
    <col min="14728" max="14753" width="11.42578125" style="2"/>
    <col min="14754" max="14754" width="22.85546875" style="2" customWidth="1"/>
    <col min="14755" max="14755" width="14.42578125" style="2" customWidth="1"/>
    <col min="14756" max="14864" width="11.42578125" style="2"/>
    <col min="14865" max="14865" width="12" style="2" customWidth="1"/>
    <col min="14866" max="14866" width="14.28515625" style="2" customWidth="1"/>
    <col min="14867" max="14867" width="11.42578125" style="2"/>
    <col min="14868" max="14868" width="4.140625" style="2" customWidth="1"/>
    <col min="14869" max="14869" width="11.42578125" style="2"/>
    <col min="14870" max="14870" width="28.42578125" style="2" customWidth="1"/>
    <col min="14871" max="14872" width="11.42578125" style="2"/>
    <col min="14873" max="14873" width="5.42578125" style="2" customWidth="1"/>
    <col min="14874" max="14875" width="11.42578125" style="2"/>
    <col min="14876" max="14876" width="10.42578125" style="2" customWidth="1"/>
    <col min="14877" max="14877" width="11.42578125" style="2"/>
    <col min="14878" max="14878" width="6.42578125" style="2" customWidth="1"/>
    <col min="14879" max="14879" width="22.28515625" style="2" customWidth="1"/>
    <col min="14880" max="14880" width="21.28515625" style="2" customWidth="1"/>
    <col min="14881" max="14881" width="6" style="2" customWidth="1"/>
    <col min="14882" max="14885" width="11.42578125" style="2"/>
    <col min="14886" max="14887" width="7.7109375" style="2" customWidth="1"/>
    <col min="14888" max="14888" width="11.42578125" style="2"/>
    <col min="14889" max="14889" width="17.85546875" style="2" customWidth="1"/>
    <col min="14890" max="14891" width="11.42578125" style="2"/>
    <col min="14892" max="14892" width="3.7109375" style="2" customWidth="1"/>
    <col min="14893" max="14894" width="7.7109375" style="2" customWidth="1"/>
    <col min="14895" max="14895" width="16.28515625" style="2" customWidth="1"/>
    <col min="14896" max="14898" width="11.42578125" style="2"/>
    <col min="14899" max="14899" width="3.7109375" style="2" customWidth="1"/>
    <col min="14900" max="14901" width="7.7109375" style="2" customWidth="1"/>
    <col min="14902" max="14905" width="11.42578125" style="2"/>
    <col min="14906" max="14906" width="3.7109375" style="2" customWidth="1"/>
    <col min="14907" max="14908" width="7.7109375" style="2" customWidth="1"/>
    <col min="14909" max="14912" width="11.42578125" style="2"/>
    <col min="14913" max="14913" width="3.7109375" style="2" customWidth="1"/>
    <col min="14914" max="14915" width="7.7109375" style="2" customWidth="1"/>
    <col min="14916" max="14919" width="11.42578125" style="2"/>
    <col min="14920" max="14920" width="3.7109375" style="2" customWidth="1"/>
    <col min="14921" max="14922" width="7.7109375" style="2" customWidth="1"/>
    <col min="14923" max="14926" width="11.42578125" style="2"/>
    <col min="14927" max="14927" width="3.7109375" style="2" customWidth="1"/>
    <col min="14928" max="14929" width="7.7109375" style="2" customWidth="1"/>
    <col min="14930" max="14933" width="11.42578125" style="2"/>
    <col min="14934" max="14934" width="3.7109375" style="2" customWidth="1"/>
    <col min="14935" max="14936" width="7.7109375" style="2" customWidth="1"/>
    <col min="14937" max="14940" width="11.42578125" style="2"/>
    <col min="14941" max="14941" width="3.7109375" style="2" customWidth="1"/>
    <col min="14942" max="14943" width="7.7109375" style="2" customWidth="1"/>
    <col min="14944" max="14947" width="11.42578125" style="2"/>
    <col min="14948" max="14948" width="3.7109375" style="2" customWidth="1"/>
    <col min="14949" max="14950" width="7.7109375" style="2" customWidth="1"/>
    <col min="14951" max="14954" width="11.42578125" style="2"/>
    <col min="14955" max="14955" width="3.7109375" style="2" customWidth="1"/>
    <col min="14956" max="14957" width="7.7109375" style="2" customWidth="1"/>
    <col min="14958" max="14961" width="11.42578125" style="2"/>
    <col min="14962" max="14962" width="3.7109375" style="2" customWidth="1"/>
    <col min="14963" max="14964" width="7.7109375" style="2" customWidth="1"/>
    <col min="14965" max="14968" width="11.42578125" style="2"/>
    <col min="14969" max="14969" width="3.7109375" style="2" customWidth="1"/>
    <col min="14970" max="14971" width="7.7109375" style="2" customWidth="1"/>
    <col min="14972" max="14975" width="11.42578125" style="2"/>
    <col min="14976" max="14976" width="3.7109375" style="2" customWidth="1"/>
    <col min="14977" max="14978" width="7.7109375" style="2" customWidth="1"/>
    <col min="14979" max="14982" width="11.42578125" style="2"/>
    <col min="14983" max="14983" width="3.7109375" style="2" customWidth="1"/>
    <col min="14984" max="15009" width="11.42578125" style="2"/>
    <col min="15010" max="15010" width="22.85546875" style="2" customWidth="1"/>
    <col min="15011" max="15011" width="14.42578125" style="2" customWidth="1"/>
    <col min="15012" max="15120" width="11.42578125" style="2"/>
    <col min="15121" max="15121" width="12" style="2" customWidth="1"/>
    <col min="15122" max="15122" width="14.28515625" style="2" customWidth="1"/>
    <col min="15123" max="15123" width="11.42578125" style="2"/>
    <col min="15124" max="15124" width="4.140625" style="2" customWidth="1"/>
    <col min="15125" max="15125" width="11.42578125" style="2"/>
    <col min="15126" max="15126" width="28.42578125" style="2" customWidth="1"/>
    <col min="15127" max="15128" width="11.42578125" style="2"/>
    <col min="15129" max="15129" width="5.42578125" style="2" customWidth="1"/>
    <col min="15130" max="15131" width="11.42578125" style="2"/>
    <col min="15132" max="15132" width="10.42578125" style="2" customWidth="1"/>
    <col min="15133" max="15133" width="11.42578125" style="2"/>
    <col min="15134" max="15134" width="6.42578125" style="2" customWidth="1"/>
    <col min="15135" max="15135" width="22.28515625" style="2" customWidth="1"/>
    <col min="15136" max="15136" width="21.28515625" style="2" customWidth="1"/>
    <col min="15137" max="15137" width="6" style="2" customWidth="1"/>
    <col min="15138" max="15141" width="11.42578125" style="2"/>
    <col min="15142" max="15143" width="7.7109375" style="2" customWidth="1"/>
    <col min="15144" max="15144" width="11.42578125" style="2"/>
    <col min="15145" max="15145" width="17.85546875" style="2" customWidth="1"/>
    <col min="15146" max="15147" width="11.42578125" style="2"/>
    <col min="15148" max="15148" width="3.7109375" style="2" customWidth="1"/>
    <col min="15149" max="15150" width="7.7109375" style="2" customWidth="1"/>
    <col min="15151" max="15151" width="16.28515625" style="2" customWidth="1"/>
    <col min="15152" max="15154" width="11.42578125" style="2"/>
    <col min="15155" max="15155" width="3.7109375" style="2" customWidth="1"/>
    <col min="15156" max="15157" width="7.7109375" style="2" customWidth="1"/>
    <col min="15158" max="15161" width="11.42578125" style="2"/>
    <col min="15162" max="15162" width="3.7109375" style="2" customWidth="1"/>
    <col min="15163" max="15164" width="7.7109375" style="2" customWidth="1"/>
    <col min="15165" max="15168" width="11.42578125" style="2"/>
    <col min="15169" max="15169" width="3.7109375" style="2" customWidth="1"/>
    <col min="15170" max="15171" width="7.7109375" style="2" customWidth="1"/>
    <col min="15172" max="15175" width="11.42578125" style="2"/>
    <col min="15176" max="15176" width="3.7109375" style="2" customWidth="1"/>
    <col min="15177" max="15178" width="7.7109375" style="2" customWidth="1"/>
    <col min="15179" max="15182" width="11.42578125" style="2"/>
    <col min="15183" max="15183" width="3.7109375" style="2" customWidth="1"/>
    <col min="15184" max="15185" width="7.7109375" style="2" customWidth="1"/>
    <col min="15186" max="15189" width="11.42578125" style="2"/>
    <col min="15190" max="15190" width="3.7109375" style="2" customWidth="1"/>
    <col min="15191" max="15192" width="7.7109375" style="2" customWidth="1"/>
    <col min="15193" max="15196" width="11.42578125" style="2"/>
    <col min="15197" max="15197" width="3.7109375" style="2" customWidth="1"/>
    <col min="15198" max="15199" width="7.7109375" style="2" customWidth="1"/>
    <col min="15200" max="15203" width="11.42578125" style="2"/>
    <col min="15204" max="15204" width="3.7109375" style="2" customWidth="1"/>
    <col min="15205" max="15206" width="7.7109375" style="2" customWidth="1"/>
    <col min="15207" max="15210" width="11.42578125" style="2"/>
    <col min="15211" max="15211" width="3.7109375" style="2" customWidth="1"/>
    <col min="15212" max="15213" width="7.7109375" style="2" customWidth="1"/>
    <col min="15214" max="15217" width="11.42578125" style="2"/>
    <col min="15218" max="15218" width="3.7109375" style="2" customWidth="1"/>
    <col min="15219" max="15220" width="7.7109375" style="2" customWidth="1"/>
    <col min="15221" max="15224" width="11.42578125" style="2"/>
    <col min="15225" max="15225" width="3.7109375" style="2" customWidth="1"/>
    <col min="15226" max="15227" width="7.7109375" style="2" customWidth="1"/>
    <col min="15228" max="15231" width="11.42578125" style="2"/>
    <col min="15232" max="15232" width="3.7109375" style="2" customWidth="1"/>
    <col min="15233" max="15234" width="7.7109375" style="2" customWidth="1"/>
    <col min="15235" max="15238" width="11.42578125" style="2"/>
    <col min="15239" max="15239" width="3.7109375" style="2" customWidth="1"/>
    <col min="15240" max="15265" width="11.42578125" style="2"/>
    <col min="15266" max="15266" width="22.85546875" style="2" customWidth="1"/>
    <col min="15267" max="15267" width="14.42578125" style="2" customWidth="1"/>
    <col min="15268" max="15376" width="11.42578125" style="2"/>
    <col min="15377" max="15377" width="12" style="2" customWidth="1"/>
    <col min="15378" max="15378" width="14.28515625" style="2" customWidth="1"/>
    <col min="15379" max="15379" width="11.42578125" style="2"/>
    <col min="15380" max="15380" width="4.140625" style="2" customWidth="1"/>
    <col min="15381" max="15381" width="11.42578125" style="2"/>
    <col min="15382" max="15382" width="28.42578125" style="2" customWidth="1"/>
    <col min="15383" max="15384" width="11.42578125" style="2"/>
    <col min="15385" max="15385" width="5.42578125" style="2" customWidth="1"/>
    <col min="15386" max="15387" width="11.42578125" style="2"/>
    <col min="15388" max="15388" width="10.42578125" style="2" customWidth="1"/>
    <col min="15389" max="15389" width="11.42578125" style="2"/>
    <col min="15390" max="15390" width="6.42578125" style="2" customWidth="1"/>
    <col min="15391" max="15391" width="22.28515625" style="2" customWidth="1"/>
    <col min="15392" max="15392" width="21.28515625" style="2" customWidth="1"/>
    <col min="15393" max="15393" width="6" style="2" customWidth="1"/>
    <col min="15394" max="15397" width="11.42578125" style="2"/>
    <col min="15398" max="15399" width="7.7109375" style="2" customWidth="1"/>
    <col min="15400" max="15400" width="11.42578125" style="2"/>
    <col min="15401" max="15401" width="17.85546875" style="2" customWidth="1"/>
    <col min="15402" max="15403" width="11.42578125" style="2"/>
    <col min="15404" max="15404" width="3.7109375" style="2" customWidth="1"/>
    <col min="15405" max="15406" width="7.7109375" style="2" customWidth="1"/>
    <col min="15407" max="15407" width="16.28515625" style="2" customWidth="1"/>
    <col min="15408" max="15410" width="11.42578125" style="2"/>
    <col min="15411" max="15411" width="3.7109375" style="2" customWidth="1"/>
    <col min="15412" max="15413" width="7.7109375" style="2" customWidth="1"/>
    <col min="15414" max="15417" width="11.42578125" style="2"/>
    <col min="15418" max="15418" width="3.7109375" style="2" customWidth="1"/>
    <col min="15419" max="15420" width="7.7109375" style="2" customWidth="1"/>
    <col min="15421" max="15424" width="11.42578125" style="2"/>
    <col min="15425" max="15425" width="3.7109375" style="2" customWidth="1"/>
    <col min="15426" max="15427" width="7.7109375" style="2" customWidth="1"/>
    <col min="15428" max="15431" width="11.42578125" style="2"/>
    <col min="15432" max="15432" width="3.7109375" style="2" customWidth="1"/>
    <col min="15433" max="15434" width="7.7109375" style="2" customWidth="1"/>
    <col min="15435" max="15438" width="11.42578125" style="2"/>
    <col min="15439" max="15439" width="3.7109375" style="2" customWidth="1"/>
    <col min="15440" max="15441" width="7.7109375" style="2" customWidth="1"/>
    <col min="15442" max="15445" width="11.42578125" style="2"/>
    <col min="15446" max="15446" width="3.7109375" style="2" customWidth="1"/>
    <col min="15447" max="15448" width="7.7109375" style="2" customWidth="1"/>
    <col min="15449" max="15452" width="11.42578125" style="2"/>
    <col min="15453" max="15453" width="3.7109375" style="2" customWidth="1"/>
    <col min="15454" max="15455" width="7.7109375" style="2" customWidth="1"/>
    <col min="15456" max="15459" width="11.42578125" style="2"/>
    <col min="15460" max="15460" width="3.7109375" style="2" customWidth="1"/>
    <col min="15461" max="15462" width="7.7109375" style="2" customWidth="1"/>
    <col min="15463" max="15466" width="11.42578125" style="2"/>
    <col min="15467" max="15467" width="3.7109375" style="2" customWidth="1"/>
    <col min="15468" max="15469" width="7.7109375" style="2" customWidth="1"/>
    <col min="15470" max="15473" width="11.42578125" style="2"/>
    <col min="15474" max="15474" width="3.7109375" style="2" customWidth="1"/>
    <col min="15475" max="15476" width="7.7109375" style="2" customWidth="1"/>
    <col min="15477" max="15480" width="11.42578125" style="2"/>
    <col min="15481" max="15481" width="3.7109375" style="2" customWidth="1"/>
    <col min="15482" max="15483" width="7.7109375" style="2" customWidth="1"/>
    <col min="15484" max="15487" width="11.42578125" style="2"/>
    <col min="15488" max="15488" width="3.7109375" style="2" customWidth="1"/>
    <col min="15489" max="15490" width="7.7109375" style="2" customWidth="1"/>
    <col min="15491" max="15494" width="11.42578125" style="2"/>
    <col min="15495" max="15495" width="3.7109375" style="2" customWidth="1"/>
    <col min="15496" max="15521" width="11.42578125" style="2"/>
    <col min="15522" max="15522" width="22.85546875" style="2" customWidth="1"/>
    <col min="15523" max="15523" width="14.42578125" style="2" customWidth="1"/>
    <col min="15524" max="15632" width="11.42578125" style="2"/>
    <col min="15633" max="15633" width="12" style="2" customWidth="1"/>
    <col min="15634" max="15634" width="14.28515625" style="2" customWidth="1"/>
    <col min="15635" max="15635" width="11.42578125" style="2"/>
    <col min="15636" max="15636" width="4.140625" style="2" customWidth="1"/>
    <col min="15637" max="15637" width="11.42578125" style="2"/>
    <col min="15638" max="15638" width="28.42578125" style="2" customWidth="1"/>
    <col min="15639" max="15640" width="11.42578125" style="2"/>
    <col min="15641" max="15641" width="5.42578125" style="2" customWidth="1"/>
    <col min="15642" max="15643" width="11.42578125" style="2"/>
    <col min="15644" max="15644" width="10.42578125" style="2" customWidth="1"/>
    <col min="15645" max="15645" width="11.42578125" style="2"/>
    <col min="15646" max="15646" width="6.42578125" style="2" customWidth="1"/>
    <col min="15647" max="15647" width="22.28515625" style="2" customWidth="1"/>
    <col min="15648" max="15648" width="21.28515625" style="2" customWidth="1"/>
    <col min="15649" max="15649" width="6" style="2" customWidth="1"/>
    <col min="15650" max="15653" width="11.42578125" style="2"/>
    <col min="15654" max="15655" width="7.7109375" style="2" customWidth="1"/>
    <col min="15656" max="15656" width="11.42578125" style="2"/>
    <col min="15657" max="15657" width="17.85546875" style="2" customWidth="1"/>
    <col min="15658" max="15659" width="11.42578125" style="2"/>
    <col min="15660" max="15660" width="3.7109375" style="2" customWidth="1"/>
    <col min="15661" max="15662" width="7.7109375" style="2" customWidth="1"/>
    <col min="15663" max="15663" width="16.28515625" style="2" customWidth="1"/>
    <col min="15664" max="15666" width="11.42578125" style="2"/>
    <col min="15667" max="15667" width="3.7109375" style="2" customWidth="1"/>
    <col min="15668" max="15669" width="7.7109375" style="2" customWidth="1"/>
    <col min="15670" max="15673" width="11.42578125" style="2"/>
    <col min="15674" max="15674" width="3.7109375" style="2" customWidth="1"/>
    <col min="15675" max="15676" width="7.7109375" style="2" customWidth="1"/>
    <col min="15677" max="15680" width="11.42578125" style="2"/>
    <col min="15681" max="15681" width="3.7109375" style="2" customWidth="1"/>
    <col min="15682" max="15683" width="7.7109375" style="2" customWidth="1"/>
    <col min="15684" max="15687" width="11.42578125" style="2"/>
    <col min="15688" max="15688" width="3.7109375" style="2" customWidth="1"/>
    <col min="15689" max="15690" width="7.7109375" style="2" customWidth="1"/>
    <col min="15691" max="15694" width="11.42578125" style="2"/>
    <col min="15695" max="15695" width="3.7109375" style="2" customWidth="1"/>
    <col min="15696" max="15697" width="7.7109375" style="2" customWidth="1"/>
    <col min="15698" max="15701" width="11.42578125" style="2"/>
    <col min="15702" max="15702" width="3.7109375" style="2" customWidth="1"/>
    <col min="15703" max="15704" width="7.7109375" style="2" customWidth="1"/>
    <col min="15705" max="15708" width="11.42578125" style="2"/>
    <col min="15709" max="15709" width="3.7109375" style="2" customWidth="1"/>
    <col min="15710" max="15711" width="7.7109375" style="2" customWidth="1"/>
    <col min="15712" max="15715" width="11.42578125" style="2"/>
    <col min="15716" max="15716" width="3.7109375" style="2" customWidth="1"/>
    <col min="15717" max="15718" width="7.7109375" style="2" customWidth="1"/>
    <col min="15719" max="15722" width="11.42578125" style="2"/>
    <col min="15723" max="15723" width="3.7109375" style="2" customWidth="1"/>
    <col min="15724" max="15725" width="7.7109375" style="2" customWidth="1"/>
    <col min="15726" max="15729" width="11.42578125" style="2"/>
    <col min="15730" max="15730" width="3.7109375" style="2" customWidth="1"/>
    <col min="15731" max="15732" width="7.7109375" style="2" customWidth="1"/>
    <col min="15733" max="15736" width="11.42578125" style="2"/>
    <col min="15737" max="15737" width="3.7109375" style="2" customWidth="1"/>
    <col min="15738" max="15739" width="7.7109375" style="2" customWidth="1"/>
    <col min="15740" max="15743" width="11.42578125" style="2"/>
    <col min="15744" max="15744" width="3.7109375" style="2" customWidth="1"/>
    <col min="15745" max="15746" width="7.7109375" style="2" customWidth="1"/>
    <col min="15747" max="15750" width="11.42578125" style="2"/>
    <col min="15751" max="15751" width="3.7109375" style="2" customWidth="1"/>
    <col min="15752" max="15777" width="11.42578125" style="2"/>
    <col min="15778" max="15778" width="22.85546875" style="2" customWidth="1"/>
    <col min="15779" max="15779" width="14.42578125" style="2" customWidth="1"/>
    <col min="15780" max="15888" width="11.42578125" style="2"/>
    <col min="15889" max="15889" width="12" style="2" customWidth="1"/>
    <col min="15890" max="15890" width="14.28515625" style="2" customWidth="1"/>
    <col min="15891" max="15891" width="11.42578125" style="2"/>
    <col min="15892" max="15892" width="4.140625" style="2" customWidth="1"/>
    <col min="15893" max="15893" width="11.42578125" style="2"/>
    <col min="15894" max="15894" width="28.42578125" style="2" customWidth="1"/>
    <col min="15895" max="15896" width="11.42578125" style="2"/>
    <col min="15897" max="15897" width="5.42578125" style="2" customWidth="1"/>
    <col min="15898" max="15899" width="11.42578125" style="2"/>
    <col min="15900" max="15900" width="10.42578125" style="2" customWidth="1"/>
    <col min="15901" max="15901" width="11.42578125" style="2"/>
    <col min="15902" max="15902" width="6.42578125" style="2" customWidth="1"/>
    <col min="15903" max="15903" width="22.28515625" style="2" customWidth="1"/>
    <col min="15904" max="15904" width="21.28515625" style="2" customWidth="1"/>
    <col min="15905" max="15905" width="6" style="2" customWidth="1"/>
    <col min="15906" max="15909" width="11.42578125" style="2"/>
    <col min="15910" max="15911" width="7.7109375" style="2" customWidth="1"/>
    <col min="15912" max="15912" width="11.42578125" style="2"/>
    <col min="15913" max="15913" width="17.85546875" style="2" customWidth="1"/>
    <col min="15914" max="15915" width="11.42578125" style="2"/>
    <col min="15916" max="15916" width="3.7109375" style="2" customWidth="1"/>
    <col min="15917" max="15918" width="7.7109375" style="2" customWidth="1"/>
    <col min="15919" max="15919" width="16.28515625" style="2" customWidth="1"/>
    <col min="15920" max="15922" width="11.42578125" style="2"/>
    <col min="15923" max="15923" width="3.7109375" style="2" customWidth="1"/>
    <col min="15924" max="15925" width="7.7109375" style="2" customWidth="1"/>
    <col min="15926" max="15929" width="11.42578125" style="2"/>
    <col min="15930" max="15930" width="3.7109375" style="2" customWidth="1"/>
    <col min="15931" max="15932" width="7.7109375" style="2" customWidth="1"/>
    <col min="15933" max="15936" width="11.42578125" style="2"/>
    <col min="15937" max="15937" width="3.7109375" style="2" customWidth="1"/>
    <col min="15938" max="15939" width="7.7109375" style="2" customWidth="1"/>
    <col min="15940" max="15943" width="11.42578125" style="2"/>
    <col min="15944" max="15944" width="3.7109375" style="2" customWidth="1"/>
    <col min="15945" max="15946" width="7.7109375" style="2" customWidth="1"/>
    <col min="15947" max="15950" width="11.42578125" style="2"/>
    <col min="15951" max="15951" width="3.7109375" style="2" customWidth="1"/>
    <col min="15952" max="15953" width="7.7109375" style="2" customWidth="1"/>
    <col min="15954" max="15957" width="11.42578125" style="2"/>
    <col min="15958" max="15958" width="3.7109375" style="2" customWidth="1"/>
    <col min="15959" max="15960" width="7.7109375" style="2" customWidth="1"/>
    <col min="15961" max="15964" width="11.42578125" style="2"/>
    <col min="15965" max="15965" width="3.7109375" style="2" customWidth="1"/>
    <col min="15966" max="15967" width="7.7109375" style="2" customWidth="1"/>
    <col min="15968" max="15971" width="11.42578125" style="2"/>
    <col min="15972" max="15972" width="3.7109375" style="2" customWidth="1"/>
    <col min="15973" max="15974" width="7.7109375" style="2" customWidth="1"/>
    <col min="15975" max="15978" width="11.42578125" style="2"/>
    <col min="15979" max="15979" width="3.7109375" style="2" customWidth="1"/>
    <col min="15980" max="15981" width="7.7109375" style="2" customWidth="1"/>
    <col min="15982" max="15985" width="11.42578125" style="2"/>
    <col min="15986" max="15986" width="3.7109375" style="2" customWidth="1"/>
    <col min="15987" max="15988" width="7.7109375" style="2" customWidth="1"/>
    <col min="15989" max="15992" width="11.42578125" style="2"/>
    <col min="15993" max="15993" width="3.7109375" style="2" customWidth="1"/>
    <col min="15994" max="15995" width="7.7109375" style="2" customWidth="1"/>
    <col min="15996" max="15999" width="11.42578125" style="2"/>
    <col min="16000" max="16000" width="3.7109375" style="2" customWidth="1"/>
    <col min="16001" max="16002" width="7.7109375" style="2" customWidth="1"/>
    <col min="16003" max="16006" width="11.42578125" style="2"/>
    <col min="16007" max="16007" width="3.7109375" style="2" customWidth="1"/>
    <col min="16008" max="16033" width="11.42578125" style="2"/>
    <col min="16034" max="16034" width="22.85546875" style="2" customWidth="1"/>
    <col min="16035" max="16035" width="14.42578125" style="2" customWidth="1"/>
    <col min="16036" max="16144" width="11.42578125" style="2"/>
    <col min="16145" max="16145" width="12" style="2" customWidth="1"/>
    <col min="16146" max="16146" width="14.28515625" style="2" customWidth="1"/>
    <col min="16147" max="16147" width="11.42578125" style="2"/>
    <col min="16148" max="16148" width="4.140625" style="2" customWidth="1"/>
    <col min="16149" max="16149" width="11.42578125" style="2"/>
    <col min="16150" max="16150" width="28.42578125" style="2" customWidth="1"/>
    <col min="16151" max="16152" width="11.42578125" style="2"/>
    <col min="16153" max="16153" width="5.42578125" style="2" customWidth="1"/>
    <col min="16154" max="16155" width="11.42578125" style="2"/>
    <col min="16156" max="16156" width="10.42578125" style="2" customWidth="1"/>
    <col min="16157" max="16157" width="11.42578125" style="2"/>
    <col min="16158" max="16158" width="6.42578125" style="2" customWidth="1"/>
    <col min="16159" max="16159" width="22.28515625" style="2" customWidth="1"/>
    <col min="16160" max="16160" width="21.28515625" style="2" customWidth="1"/>
    <col min="16161" max="16161" width="6" style="2" customWidth="1"/>
    <col min="16162" max="16165" width="11.42578125" style="2"/>
    <col min="16166" max="16167" width="7.7109375" style="2" customWidth="1"/>
    <col min="16168" max="16168" width="11.42578125" style="2"/>
    <col min="16169" max="16169" width="17.85546875" style="2" customWidth="1"/>
    <col min="16170" max="16171" width="11.42578125" style="2"/>
    <col min="16172" max="16172" width="3.7109375" style="2" customWidth="1"/>
    <col min="16173" max="16174" width="7.7109375" style="2" customWidth="1"/>
    <col min="16175" max="16175" width="16.28515625" style="2" customWidth="1"/>
    <col min="16176" max="16178" width="11.42578125" style="2"/>
    <col min="16179" max="16179" width="3.7109375" style="2" customWidth="1"/>
    <col min="16180" max="16181" width="7.7109375" style="2" customWidth="1"/>
    <col min="16182" max="16185" width="11.42578125" style="2"/>
    <col min="16186" max="16186" width="3.7109375" style="2" customWidth="1"/>
    <col min="16187" max="16188" width="7.7109375" style="2" customWidth="1"/>
    <col min="16189" max="16192" width="11.42578125" style="2"/>
    <col min="16193" max="16193" width="3.7109375" style="2" customWidth="1"/>
    <col min="16194" max="16195" width="7.7109375" style="2" customWidth="1"/>
    <col min="16196" max="16199" width="11.42578125" style="2"/>
    <col min="16200" max="16200" width="3.7109375" style="2" customWidth="1"/>
    <col min="16201" max="16202" width="7.7109375" style="2" customWidth="1"/>
    <col min="16203" max="16206" width="11.42578125" style="2"/>
    <col min="16207" max="16207" width="3.7109375" style="2" customWidth="1"/>
    <col min="16208" max="16209" width="7.7109375" style="2" customWidth="1"/>
    <col min="16210" max="16213" width="11.42578125" style="2"/>
    <col min="16214" max="16214" width="3.7109375" style="2" customWidth="1"/>
    <col min="16215" max="16216" width="7.7109375" style="2" customWidth="1"/>
    <col min="16217" max="16220" width="11.42578125" style="2"/>
    <col min="16221" max="16221" width="3.7109375" style="2" customWidth="1"/>
    <col min="16222" max="16223" width="7.7109375" style="2" customWidth="1"/>
    <col min="16224" max="16227" width="11.42578125" style="2"/>
    <col min="16228" max="16228" width="3.7109375" style="2" customWidth="1"/>
    <col min="16229" max="16230" width="7.7109375" style="2" customWidth="1"/>
    <col min="16231" max="16234" width="11.42578125" style="2"/>
    <col min="16235" max="16235" width="3.7109375" style="2" customWidth="1"/>
    <col min="16236" max="16237" width="7.7109375" style="2" customWidth="1"/>
    <col min="16238" max="16241" width="11.42578125" style="2"/>
    <col min="16242" max="16242" width="3.7109375" style="2" customWidth="1"/>
    <col min="16243" max="16244" width="7.7109375" style="2" customWidth="1"/>
    <col min="16245" max="16248" width="11.42578125" style="2"/>
    <col min="16249" max="16249" width="3.7109375" style="2" customWidth="1"/>
    <col min="16250" max="16251" width="7.7109375" style="2" customWidth="1"/>
    <col min="16252" max="16255" width="11.42578125" style="2"/>
    <col min="16256" max="16256" width="3.7109375" style="2" customWidth="1"/>
    <col min="16257" max="16258" width="7.7109375" style="2" customWidth="1"/>
    <col min="16259" max="16262" width="11.42578125" style="2"/>
    <col min="16263" max="16263" width="3.7109375" style="2" customWidth="1"/>
    <col min="16264" max="16289" width="11.42578125" style="2"/>
    <col min="16290" max="16290" width="22.85546875" style="2" customWidth="1"/>
    <col min="16291" max="16291" width="14.42578125" style="2" customWidth="1"/>
    <col min="16292" max="16384" width="11.42578125" style="2"/>
  </cols>
  <sheetData>
    <row r="1" spans="1:144" ht="24.95" customHeight="1">
      <c r="A1" s="1" t="s">
        <v>8</v>
      </c>
      <c r="B1" s="1"/>
      <c r="C1" s="1" t="str">
        <f>CONCATENATE(A2,B2,C2)</f>
        <v>24 - 25</v>
      </c>
      <c r="E1" s="1" t="s">
        <v>9</v>
      </c>
      <c r="F1" s="1">
        <v>1</v>
      </c>
      <c r="G1" s="1" t="s">
        <v>9</v>
      </c>
      <c r="W1" s="1" t="s">
        <v>246</v>
      </c>
      <c r="X1" s="1" t="s">
        <v>10</v>
      </c>
      <c r="AC1" s="3">
        <f>IF(AC2="select Heim - Team",0,LOOKUP(AB2,EG2:EG65,EI2:EI65))+0</f>
        <v>0</v>
      </c>
      <c r="AD1" s="1">
        <f>IF(AC2="select Heim - Team",0,LOOKUP(AE2,EG2:EG65,EI2:EI65))</f>
        <v>0</v>
      </c>
      <c r="AL1" s="4"/>
      <c r="AM1" s="4" t="s">
        <v>11</v>
      </c>
      <c r="AN1" s="4"/>
      <c r="AO1" s="4" t="s">
        <v>7</v>
      </c>
      <c r="AP1" s="4" t="s">
        <v>12</v>
      </c>
      <c r="AQ1" s="4"/>
      <c r="AR1" s="4"/>
      <c r="AS1" s="4" t="s">
        <v>6</v>
      </c>
      <c r="AT1" s="4" t="s">
        <v>11</v>
      </c>
      <c r="AU1" s="4"/>
      <c r="AV1" s="4" t="s">
        <v>7</v>
      </c>
      <c r="AW1" s="4" t="s">
        <v>12</v>
      </c>
      <c r="AX1" s="4"/>
      <c r="AY1" s="4"/>
      <c r="AZ1" s="4" t="s">
        <v>6</v>
      </c>
      <c r="BA1" s="4" t="s">
        <v>11</v>
      </c>
      <c r="BB1" s="4"/>
      <c r="BC1" s="4" t="s">
        <v>7</v>
      </c>
      <c r="BD1" s="4" t="s">
        <v>12</v>
      </c>
      <c r="BE1" s="4"/>
      <c r="BF1" s="4"/>
      <c r="BG1" s="4" t="s">
        <v>6</v>
      </c>
      <c r="BH1" s="4" t="s">
        <v>11</v>
      </c>
      <c r="BI1" s="4"/>
      <c r="BJ1" s="4" t="s">
        <v>7</v>
      </c>
      <c r="BK1" s="4" t="s">
        <v>12</v>
      </c>
      <c r="BL1" s="4"/>
      <c r="BM1" s="4"/>
      <c r="BN1" s="4" t="s">
        <v>6</v>
      </c>
      <c r="BO1" s="4" t="s">
        <v>11</v>
      </c>
      <c r="BP1" s="4"/>
      <c r="BQ1" s="4" t="s">
        <v>7</v>
      </c>
      <c r="BR1" s="4" t="s">
        <v>12</v>
      </c>
      <c r="BS1" s="4"/>
      <c r="BT1" s="4"/>
      <c r="BU1" s="4" t="s">
        <v>6</v>
      </c>
      <c r="BV1" s="4" t="s">
        <v>11</v>
      </c>
      <c r="BW1" s="4"/>
      <c r="BX1" s="4" t="s">
        <v>7</v>
      </c>
      <c r="BY1" s="4" t="s">
        <v>12</v>
      </c>
      <c r="BZ1" s="4"/>
      <c r="CA1" s="4"/>
      <c r="CB1" s="4" t="s">
        <v>6</v>
      </c>
      <c r="CC1" s="4" t="s">
        <v>11</v>
      </c>
      <c r="CD1" s="4"/>
      <c r="CE1" s="4" t="s">
        <v>7</v>
      </c>
      <c r="CF1" s="4" t="s">
        <v>12</v>
      </c>
      <c r="CG1" s="4"/>
      <c r="CH1" s="4"/>
      <c r="CI1" s="4" t="s">
        <v>6</v>
      </c>
      <c r="CJ1" s="4" t="s">
        <v>11</v>
      </c>
      <c r="CK1" s="4"/>
      <c r="CL1" s="4" t="s">
        <v>7</v>
      </c>
      <c r="CM1" s="4" t="s">
        <v>12</v>
      </c>
      <c r="CN1" s="4"/>
      <c r="CO1" s="4"/>
      <c r="CP1" s="4" t="s">
        <v>6</v>
      </c>
      <c r="CQ1" s="4" t="s">
        <v>11</v>
      </c>
      <c r="CR1" s="4"/>
      <c r="CS1" s="4" t="s">
        <v>7</v>
      </c>
      <c r="CT1" s="4" t="s">
        <v>12</v>
      </c>
      <c r="CU1" s="4"/>
      <c r="CV1" s="4"/>
      <c r="CW1" s="4" t="s">
        <v>6</v>
      </c>
      <c r="CX1" s="4" t="s">
        <v>11</v>
      </c>
      <c r="CY1" s="4"/>
      <c r="CZ1" s="4" t="s">
        <v>7</v>
      </c>
      <c r="DA1" s="4" t="s">
        <v>12</v>
      </c>
      <c r="DB1" s="4"/>
      <c r="DC1" s="4"/>
      <c r="DD1" s="4" t="s">
        <v>6</v>
      </c>
      <c r="DE1" s="4" t="s">
        <v>11</v>
      </c>
      <c r="DF1" s="4"/>
      <c r="DG1" s="4" t="s">
        <v>7</v>
      </c>
      <c r="DH1" s="4" t="s">
        <v>12</v>
      </c>
      <c r="DI1" s="4"/>
      <c r="DJ1" s="4"/>
      <c r="DK1" s="4" t="s">
        <v>6</v>
      </c>
      <c r="DL1" s="4" t="s">
        <v>11</v>
      </c>
      <c r="DM1" s="4"/>
      <c r="DN1" s="4" t="s">
        <v>7</v>
      </c>
      <c r="DO1" s="4" t="s">
        <v>12</v>
      </c>
      <c r="DP1" s="4"/>
      <c r="DQ1" s="4"/>
      <c r="DR1" s="4" t="s">
        <v>6</v>
      </c>
      <c r="DS1" s="4" t="s">
        <v>11</v>
      </c>
      <c r="DT1" s="4"/>
      <c r="DU1" s="4" t="s">
        <v>7</v>
      </c>
      <c r="DV1" s="4" t="s">
        <v>12</v>
      </c>
      <c r="DW1" s="4"/>
      <c r="DX1" s="4"/>
      <c r="DY1" s="4" t="s">
        <v>6</v>
      </c>
      <c r="DZ1" s="4" t="s">
        <v>11</v>
      </c>
      <c r="EA1" s="4"/>
      <c r="EB1" s="4" t="s">
        <v>7</v>
      </c>
      <c r="EC1" s="4" t="s">
        <v>12</v>
      </c>
      <c r="ED1" s="4"/>
      <c r="EE1" s="4"/>
      <c r="EH1" s="1" t="s">
        <v>13</v>
      </c>
      <c r="EI1" s="1" t="s">
        <v>14</v>
      </c>
    </row>
    <row r="2" spans="1:144" ht="24.95" customHeight="1">
      <c r="A2" s="5">
        <v>24</v>
      </c>
      <c r="B2" s="6" t="s">
        <v>15</v>
      </c>
      <c r="C2" s="5">
        <v>25</v>
      </c>
      <c r="E2" s="1" t="s">
        <v>16</v>
      </c>
      <c r="F2" s="1" t="s">
        <v>13</v>
      </c>
      <c r="G2" s="1" t="s">
        <v>14</v>
      </c>
      <c r="I2" s="1" t="s">
        <v>273</v>
      </c>
      <c r="J2" s="1" t="s">
        <v>13</v>
      </c>
      <c r="P2" s="1" t="str">
        <f>VLOOKUP(P4,A6:C19,3,FALSE)</f>
        <v>R10</v>
      </c>
      <c r="V2" s="10"/>
      <c r="W2" s="7">
        <f>VLOOKUP(Start!B26,L:M,2,FALSE)</f>
        <v>1</v>
      </c>
      <c r="X2" s="7">
        <f>LOOKUP(W2,M:M,N:N)</f>
        <v>1</v>
      </c>
      <c r="Y2" s="8" t="str">
        <f>LOOKUP(W2,M:M,O:O)</f>
        <v>?</v>
      </c>
      <c r="Z2" s="8">
        <f>SUM(P4)</f>
        <v>10</v>
      </c>
      <c r="AA2" s="8" t="str">
        <f>LOOKUP(W2,M:M,Q:Q)</f>
        <v>?</v>
      </c>
      <c r="AB2" s="8">
        <f>LOOKUP(W2,M:M,R:R)</f>
        <v>0</v>
      </c>
      <c r="AC2" s="4" t="str">
        <f>LOOKUP(W2,M:M,S:S)</f>
        <v>select Heim - Team</v>
      </c>
      <c r="AD2" s="7" t="str">
        <f>LOOKUP(W2,M:M,T:T)</f>
        <v>Gast</v>
      </c>
      <c r="AE2" s="4">
        <f>LOOKUP(W2,M:M,U:U)</f>
        <v>0</v>
      </c>
      <c r="AF2" s="10" t="str">
        <f>CONCATENATE(A2,C2,P2,,AA2)</f>
        <v>2425R10?</v>
      </c>
      <c r="AG2" s="10"/>
      <c r="AL2" s="4" t="s">
        <v>6</v>
      </c>
      <c r="AM2" s="4"/>
      <c r="AN2" s="4"/>
      <c r="AO2" s="4">
        <v>1</v>
      </c>
      <c r="AP2" s="4"/>
      <c r="AQ2" s="4"/>
      <c r="AR2" s="4"/>
      <c r="AS2" s="4"/>
      <c r="AT2" s="4"/>
      <c r="AU2" s="4"/>
      <c r="AV2" s="4">
        <v>2</v>
      </c>
      <c r="AW2" s="4"/>
      <c r="AX2" s="4"/>
      <c r="AY2" s="4"/>
      <c r="AZ2" s="4"/>
      <c r="BA2" s="4"/>
      <c r="BB2" s="4"/>
      <c r="BC2" s="4">
        <v>3</v>
      </c>
      <c r="BD2" s="4"/>
      <c r="BE2" s="4"/>
      <c r="BF2" s="4"/>
      <c r="BG2" s="4"/>
      <c r="BH2" s="4"/>
      <c r="BI2" s="4"/>
      <c r="BJ2" s="4">
        <v>4</v>
      </c>
      <c r="BK2" s="4"/>
      <c r="BL2" s="4"/>
      <c r="BM2" s="4"/>
      <c r="BN2" s="4"/>
      <c r="BO2" s="4"/>
      <c r="BP2" s="4"/>
      <c r="BQ2" s="4">
        <v>5</v>
      </c>
      <c r="BR2" s="4"/>
      <c r="BS2" s="4"/>
      <c r="BT2" s="4"/>
      <c r="BU2" s="4"/>
      <c r="BV2" s="4"/>
      <c r="BW2" s="4"/>
      <c r="BX2" s="4">
        <v>6</v>
      </c>
      <c r="BY2" s="4"/>
      <c r="BZ2" s="4"/>
      <c r="CA2" s="4"/>
      <c r="CB2" s="4"/>
      <c r="CC2" s="4"/>
      <c r="CD2" s="4"/>
      <c r="CE2" s="4">
        <v>7</v>
      </c>
      <c r="CF2" s="4"/>
      <c r="CG2" s="4"/>
      <c r="CH2" s="4"/>
      <c r="CI2" s="4"/>
      <c r="CJ2" s="4"/>
      <c r="CK2" s="4"/>
      <c r="CL2" s="4">
        <v>8</v>
      </c>
      <c r="CM2" s="4"/>
      <c r="CN2" s="4"/>
      <c r="CO2" s="4"/>
      <c r="CP2" s="4"/>
      <c r="CQ2" s="4"/>
      <c r="CR2" s="4"/>
      <c r="CS2" s="4">
        <v>9</v>
      </c>
      <c r="CT2" s="4"/>
      <c r="CU2" s="4"/>
      <c r="CV2" s="4"/>
      <c r="CW2" s="4"/>
      <c r="CX2" s="4"/>
      <c r="CY2" s="4"/>
      <c r="CZ2" s="4">
        <v>10</v>
      </c>
      <c r="DA2" s="4"/>
      <c r="DB2" s="4"/>
      <c r="DC2" s="4"/>
      <c r="DD2" s="4"/>
      <c r="DE2" s="4"/>
      <c r="DF2" s="4"/>
      <c r="DG2" s="4">
        <v>11</v>
      </c>
      <c r="DH2" s="4"/>
      <c r="DI2" s="4"/>
      <c r="DJ2" s="4"/>
      <c r="DK2" s="4"/>
      <c r="DL2" s="4"/>
      <c r="DM2" s="4"/>
      <c r="DN2" s="4">
        <v>12</v>
      </c>
      <c r="DO2" s="4"/>
      <c r="DP2" s="4"/>
      <c r="DQ2" s="4"/>
      <c r="DR2" s="4"/>
      <c r="DS2" s="4"/>
      <c r="DT2" s="4"/>
      <c r="DU2" s="4">
        <v>13</v>
      </c>
      <c r="DV2" s="4"/>
      <c r="DW2" s="4"/>
      <c r="DX2" s="4"/>
      <c r="DY2" s="4"/>
      <c r="DZ2" s="4"/>
      <c r="EA2" s="4"/>
      <c r="EB2" s="4">
        <v>14</v>
      </c>
      <c r="EC2" s="4"/>
      <c r="ED2" s="4"/>
      <c r="EE2" s="4"/>
      <c r="EF2" s="1" t="str">
        <f>LEFT($E$1,50)</f>
        <v>A</v>
      </c>
      <c r="EG2" s="1">
        <v>1</v>
      </c>
      <c r="EH2" s="1" t="str">
        <f>LEFT(F3,50)</f>
        <v>Brugg 1</v>
      </c>
      <c r="EI2" s="1">
        <f>SUM(G3)</f>
        <v>1800</v>
      </c>
    </row>
    <row r="3" spans="1:144" ht="24.95" customHeight="1" thickBot="1">
      <c r="B3" s="1"/>
      <c r="C3" s="1"/>
      <c r="E3" s="7">
        <v>1</v>
      </c>
      <c r="F3" s="9" t="s">
        <v>61</v>
      </c>
      <c r="G3" s="155">
        <v>1800</v>
      </c>
      <c r="H3" s="16"/>
      <c r="I3" s="76">
        <f>VLOOKUP(G3,Licenses!B:K,10,FALSE)</f>
        <v>0</v>
      </c>
      <c r="J3" s="16"/>
      <c r="K3" s="16"/>
      <c r="L3" t="str">
        <f>LEFT(S3,30)</f>
        <v>select Heim - Team</v>
      </c>
      <c r="M3" s="1">
        <v>1</v>
      </c>
      <c r="N3" s="1">
        <v>1</v>
      </c>
      <c r="O3" s="1" t="s">
        <v>18</v>
      </c>
      <c r="P3" s="10" t="s">
        <v>6</v>
      </c>
      <c r="Q3" s="10" t="s">
        <v>18</v>
      </c>
      <c r="R3" s="10"/>
      <c r="S3" s="10" t="s">
        <v>19</v>
      </c>
      <c r="T3" s="10" t="s">
        <v>12</v>
      </c>
      <c r="U3" s="10"/>
      <c r="V3" s="10"/>
      <c r="W3" s="10"/>
      <c r="X3" s="10"/>
      <c r="Y3" s="10">
        <f>VLOOKUP(Y2,A39:B56,2,FALSE)</f>
        <v>1</v>
      </c>
      <c r="Z3" s="10"/>
      <c r="AA3" s="10"/>
      <c r="AB3" s="10"/>
      <c r="AC3" s="10"/>
      <c r="AD3" s="10"/>
      <c r="AE3" s="10"/>
      <c r="AF3" s="10"/>
      <c r="AG3" s="10"/>
      <c r="AL3" s="11" t="s">
        <v>6</v>
      </c>
      <c r="AM3" s="11"/>
      <c r="AN3" s="11"/>
      <c r="AO3" s="11"/>
      <c r="AP3" s="11">
        <v>1</v>
      </c>
      <c r="AQ3" s="11"/>
      <c r="AR3" s="11"/>
      <c r="AS3" s="11"/>
      <c r="AT3" s="11"/>
      <c r="AU3" s="11"/>
      <c r="AV3" s="11"/>
      <c r="AW3" s="11">
        <v>2</v>
      </c>
      <c r="AX3" s="11"/>
      <c r="AY3" s="11"/>
      <c r="AZ3" s="11"/>
      <c r="BA3" s="11"/>
      <c r="BB3" s="11"/>
      <c r="BC3" s="11"/>
      <c r="BD3" s="11">
        <v>3</v>
      </c>
      <c r="BE3" s="11"/>
      <c r="BF3" s="11"/>
      <c r="BG3" s="11"/>
      <c r="BH3" s="11"/>
      <c r="BI3" s="11"/>
      <c r="BJ3" s="11"/>
      <c r="BK3" s="11">
        <v>4</v>
      </c>
      <c r="BL3" s="11"/>
      <c r="BM3" s="11"/>
      <c r="BN3" s="11"/>
      <c r="BO3" s="11"/>
      <c r="BP3" s="11"/>
      <c r="BQ3" s="11"/>
      <c r="BR3" s="11">
        <v>5</v>
      </c>
      <c r="BS3" s="11"/>
      <c r="BT3" s="11"/>
      <c r="BU3" s="11"/>
      <c r="BV3" s="11"/>
      <c r="BW3" s="11"/>
      <c r="BX3" s="11"/>
      <c r="BY3" s="11">
        <v>6</v>
      </c>
      <c r="BZ3" s="11"/>
      <c r="CA3" s="11"/>
      <c r="CB3" s="11"/>
      <c r="CC3" s="11"/>
      <c r="CD3" s="11"/>
      <c r="CE3" s="11"/>
      <c r="CF3" s="11">
        <v>7</v>
      </c>
      <c r="CG3" s="11"/>
      <c r="CH3" s="11"/>
      <c r="CI3" s="11"/>
      <c r="CJ3" s="11"/>
      <c r="CK3" s="11"/>
      <c r="CL3" s="11"/>
      <c r="CM3" s="11">
        <v>8</v>
      </c>
      <c r="CN3" s="11"/>
      <c r="CO3" s="11"/>
      <c r="CP3" s="11"/>
      <c r="CQ3" s="11"/>
      <c r="CR3" s="11"/>
      <c r="CS3" s="11"/>
      <c r="CT3" s="11">
        <v>9</v>
      </c>
      <c r="CU3" s="11"/>
      <c r="CV3" s="11"/>
      <c r="CW3" s="11"/>
      <c r="CX3" s="11"/>
      <c r="CY3" s="11"/>
      <c r="CZ3" s="11"/>
      <c r="DA3" s="11">
        <v>10</v>
      </c>
      <c r="DB3" s="11"/>
      <c r="DC3" s="11"/>
      <c r="DD3" s="11"/>
      <c r="DE3" s="11"/>
      <c r="DF3" s="11"/>
      <c r="DG3" s="11"/>
      <c r="DH3" s="11">
        <v>11</v>
      </c>
      <c r="DI3" s="11"/>
      <c r="DJ3" s="11"/>
      <c r="DK3" s="11"/>
      <c r="DL3" s="11"/>
      <c r="DM3" s="11"/>
      <c r="DN3" s="11"/>
      <c r="DO3" s="11">
        <v>12</v>
      </c>
      <c r="DP3" s="11"/>
      <c r="DQ3" s="11"/>
      <c r="DR3" s="11"/>
      <c r="DS3" s="11"/>
      <c r="DT3" s="11"/>
      <c r="DU3" s="11"/>
      <c r="DV3" s="11">
        <v>13</v>
      </c>
      <c r="DW3" s="11"/>
      <c r="DX3" s="11"/>
      <c r="DY3" s="11"/>
      <c r="DZ3" s="11"/>
      <c r="EA3" s="11"/>
      <c r="EB3" s="11"/>
      <c r="EC3" s="11">
        <v>14</v>
      </c>
      <c r="ED3" s="11"/>
      <c r="EE3" s="11"/>
      <c r="EF3" s="1" t="str">
        <f t="shared" ref="EF3:EF9" si="0">LEFT($E$1,50)</f>
        <v>A</v>
      </c>
      <c r="EG3" s="1">
        <v>2</v>
      </c>
      <c r="EH3" s="1" t="str">
        <f>LEFT(F4,50)</f>
        <v>Phantoms</v>
      </c>
      <c r="EI3" s="1">
        <f>SUM(G4)</f>
        <v>2800</v>
      </c>
    </row>
    <row r="4" spans="1:144" ht="24.95" customHeight="1">
      <c r="A4" s="1" t="s">
        <v>6</v>
      </c>
      <c r="B4" s="1" t="s">
        <v>20</v>
      </c>
      <c r="C4" s="1"/>
      <c r="E4" s="7">
        <v>2</v>
      </c>
      <c r="F4" s="9" t="s">
        <v>17</v>
      </c>
      <c r="G4" s="155">
        <v>2800</v>
      </c>
      <c r="H4" s="16"/>
      <c r="I4" s="76">
        <f>VLOOKUP(G4,Licenses!B:K,10,FALSE)</f>
        <v>0</v>
      </c>
      <c r="J4" s="16"/>
      <c r="K4" s="16"/>
      <c r="L4" t="str">
        <f t="shared" ref="L4:L35" si="1">CONCATENATE(Q4," ",S4)</f>
        <v>A1 Brugg 1</v>
      </c>
      <c r="M4" s="1">
        <v>2</v>
      </c>
      <c r="N4" s="1">
        <v>1</v>
      </c>
      <c r="O4" s="1" t="s">
        <v>9</v>
      </c>
      <c r="P4" s="1">
        <f>SUM(Start!B22)</f>
        <v>10</v>
      </c>
      <c r="Q4" s="10" t="s">
        <v>22</v>
      </c>
      <c r="R4" s="1">
        <f t="shared" ref="R4:R35" si="2">LOOKUP($P$4,$AL$36:$ED$36,AL4:ED4)</f>
        <v>1</v>
      </c>
      <c r="S4" s="1" t="str">
        <f>VLOOKUP(R4,E:F,2,FALSE)</f>
        <v>Brugg 1</v>
      </c>
      <c r="T4" s="1" t="str">
        <f>VLOOKUP(U4,E:F,2,FALSE)</f>
        <v>Midland Knights</v>
      </c>
      <c r="U4" s="1">
        <f t="shared" ref="U4:U35" si="3">LOOKUP($P$4,$AL$37:$ED$37,AL4:ED4)</f>
        <v>6</v>
      </c>
      <c r="Y4" s="1">
        <f>VLOOKUP(Y2,A39:B56,2,FALSE)</f>
        <v>1</v>
      </c>
      <c r="AL4" s="12">
        <v>1</v>
      </c>
      <c r="AM4" s="13" t="s">
        <v>22</v>
      </c>
      <c r="AN4" s="13">
        <f>SUM(EK4)</f>
        <v>2</v>
      </c>
      <c r="AO4" s="13" t="str">
        <f t="shared" ref="AO4:AO35" si="4">VLOOKUP(AN4,$EG:$EH,2,FALSE)</f>
        <v>Phantoms</v>
      </c>
      <c r="AP4" s="13" t="str">
        <f t="shared" ref="AP4:AP35" si="5">VLOOKUP(AQ4,$EG:$EH,2,FALSE)</f>
        <v>Brugg 1</v>
      </c>
      <c r="AQ4" s="13">
        <f>SUM(EL4)</f>
        <v>1</v>
      </c>
      <c r="AR4" s="14"/>
      <c r="AS4" s="12">
        <v>2</v>
      </c>
      <c r="AT4" s="13" t="str">
        <f>REPT(AM4,1)</f>
        <v>A1</v>
      </c>
      <c r="AU4" s="13">
        <f>SUM(EK36)</f>
        <v>1</v>
      </c>
      <c r="AV4" s="13" t="str">
        <f t="shared" ref="AV4:AV35" si="6">VLOOKUP(AU4,$EG:$EH,2,FALSE)</f>
        <v>Brugg 1</v>
      </c>
      <c r="AW4" s="13" t="str">
        <f t="shared" ref="AW4:AW35" si="7">VLOOKUP(AX4,$EG:$EH,2,FALSE)</f>
        <v>Safnern 1</v>
      </c>
      <c r="AX4" s="13">
        <f>SUM(EL36)</f>
        <v>8</v>
      </c>
      <c r="AY4" s="14"/>
      <c r="AZ4" s="12">
        <v>3</v>
      </c>
      <c r="BA4" s="13" t="str">
        <f>REPT(AT4,1)</f>
        <v>A1</v>
      </c>
      <c r="BB4" s="13">
        <f>SUM(EK68)</f>
        <v>6</v>
      </c>
      <c r="BC4" s="13" t="str">
        <f t="shared" ref="BC4:BC35" si="8">VLOOKUP(BB4,$EG:$EH,2,FALSE)</f>
        <v>Midland Knights</v>
      </c>
      <c r="BD4" s="13" t="str">
        <f t="shared" ref="BD4:BD35" si="9">VLOOKUP(BE4,$EG:$EH,2,FALSE)</f>
        <v>Brugg 1</v>
      </c>
      <c r="BE4" s="13">
        <f>SUM(EL68)</f>
        <v>1</v>
      </c>
      <c r="BF4" s="14"/>
      <c r="BG4" s="12">
        <v>4</v>
      </c>
      <c r="BH4" s="13" t="str">
        <f>REPT(BA4,1)</f>
        <v>A1</v>
      </c>
      <c r="BI4" s="13">
        <f>SUM(EK100)</f>
        <v>1</v>
      </c>
      <c r="BJ4" s="13" t="str">
        <f t="shared" ref="BJ4:BJ35" si="10">VLOOKUP(BI4,$EG:$EH,2,FALSE)</f>
        <v>Brugg 1</v>
      </c>
      <c r="BK4" s="13" t="str">
        <f t="shared" ref="BK4:BK35" si="11">VLOOKUP(BL4,$EG:$EH,2,FALSE)</f>
        <v>Lauterbrunnen</v>
      </c>
      <c r="BL4" s="13">
        <f>SUM(EL100)</f>
        <v>4</v>
      </c>
      <c r="BM4" s="14"/>
      <c r="BN4" s="12">
        <v>5</v>
      </c>
      <c r="BO4" s="13" t="str">
        <f>REPT(BH4,1)</f>
        <v>A1</v>
      </c>
      <c r="BP4" s="13">
        <f t="shared" ref="BP4:BP35" si="12">SUM(EK132)</f>
        <v>3</v>
      </c>
      <c r="BQ4" s="13" t="str">
        <f t="shared" ref="BQ4:BQ35" si="13">VLOOKUP(BP4,$EG:$EH,2,FALSE)</f>
        <v>Joker 1</v>
      </c>
      <c r="BR4" s="13" t="str">
        <f t="shared" ref="BR4:BR35" si="14">VLOOKUP(BS4,$EG:$EH,2,FALSE)</f>
        <v>Brugg 1</v>
      </c>
      <c r="BS4" s="13">
        <f t="shared" ref="BS4:BS35" si="15">SUM(EL132)</f>
        <v>1</v>
      </c>
      <c r="BT4" s="14"/>
      <c r="BU4" s="12">
        <v>6</v>
      </c>
      <c r="BV4" s="13" t="str">
        <f>REPT(BO4,1)</f>
        <v>A1</v>
      </c>
      <c r="BW4" s="13">
        <f t="shared" ref="BW4:BW35" si="16">SUM(EK164)</f>
        <v>1</v>
      </c>
      <c r="BX4" s="13" t="str">
        <f t="shared" ref="BX4:BX35" si="17">VLOOKUP(BW4,$EG:$EH,2,FALSE)</f>
        <v>Brugg 1</v>
      </c>
      <c r="BY4" s="13" t="str">
        <f t="shared" ref="BY4:BY35" si="18">VLOOKUP(BZ4,$EG:$EH,2,FALSE)</f>
        <v>Rangers</v>
      </c>
      <c r="BZ4" s="13">
        <f t="shared" ref="BZ4:BZ35" si="19">SUM(EL164)</f>
        <v>5</v>
      </c>
      <c r="CA4" s="14"/>
      <c r="CB4" s="12">
        <v>7</v>
      </c>
      <c r="CC4" s="13" t="str">
        <f>REPT(BV4,1)</f>
        <v>A1</v>
      </c>
      <c r="CD4" s="13">
        <f t="shared" ref="CD4:CD35" si="20">SUM(EK196)</f>
        <v>7</v>
      </c>
      <c r="CE4" s="13" t="str">
        <f t="shared" ref="CE4:CE35" si="21">VLOOKUP(CD4,$EG:$EH,2,FALSE)</f>
        <v>Chill Out Bull's 1</v>
      </c>
      <c r="CF4" s="13" t="str">
        <f t="shared" ref="CF4:CF35" si="22">VLOOKUP(CG4,$EG:$EH,2,FALSE)</f>
        <v>Brugg 1</v>
      </c>
      <c r="CG4" s="13">
        <f t="shared" ref="CG4:CG35" si="23">SUM(EL196)</f>
        <v>1</v>
      </c>
      <c r="CH4" s="14"/>
      <c r="CI4" s="12">
        <v>8</v>
      </c>
      <c r="CJ4" s="13" t="str">
        <f>REPT(CC4,1)</f>
        <v>A1</v>
      </c>
      <c r="CK4" s="13">
        <f>SUM(EK228)</f>
        <v>1</v>
      </c>
      <c r="CL4" s="13" t="str">
        <f t="shared" ref="CL4:CL35" si="24">VLOOKUP(CK4,$EG:$EH,2,FALSE)</f>
        <v>Brugg 1</v>
      </c>
      <c r="CM4" s="13" t="str">
        <f t="shared" ref="CM4:CM35" si="25">VLOOKUP(CN4,$EG:$EH,2,FALSE)</f>
        <v>Phantoms</v>
      </c>
      <c r="CN4" s="13">
        <f>SUM(EL228)</f>
        <v>2</v>
      </c>
      <c r="CO4" s="14"/>
      <c r="CP4" s="12">
        <v>9</v>
      </c>
      <c r="CQ4" s="13" t="str">
        <f>REPT(CJ4,1)</f>
        <v>A1</v>
      </c>
      <c r="CR4" s="13">
        <f>SUM(EK260)</f>
        <v>8</v>
      </c>
      <c r="CS4" s="13" t="str">
        <f t="shared" ref="CS4:CS35" si="26">VLOOKUP(CR4,$EG:$EH,2,FALSE)</f>
        <v>Safnern 1</v>
      </c>
      <c r="CT4" s="13" t="str">
        <f t="shared" ref="CT4:CT35" si="27">VLOOKUP(CU4,$EG:$EH,2,FALSE)</f>
        <v>Brugg 1</v>
      </c>
      <c r="CU4" s="13">
        <f>SUM(EL260)</f>
        <v>1</v>
      </c>
      <c r="CV4" s="14"/>
      <c r="CW4" s="12">
        <v>10</v>
      </c>
      <c r="CX4" s="13" t="str">
        <f>REPT(CQ4,1)</f>
        <v>A1</v>
      </c>
      <c r="CY4" s="13">
        <f>SUM(EK292)</f>
        <v>1</v>
      </c>
      <c r="CZ4" s="13" t="str">
        <f t="shared" ref="CZ4:CZ35" si="28">VLOOKUP(CY4,$EG:$EH,2,FALSE)</f>
        <v>Brugg 1</v>
      </c>
      <c r="DA4" s="13" t="str">
        <f t="shared" ref="DA4:DA35" si="29">VLOOKUP(DB4,$EG:$EH,2,FALSE)</f>
        <v>Midland Knights</v>
      </c>
      <c r="DB4" s="13">
        <f>SUM(EL292)</f>
        <v>6</v>
      </c>
      <c r="DC4" s="14"/>
      <c r="DD4" s="12">
        <v>11</v>
      </c>
      <c r="DE4" s="13" t="str">
        <f>REPT(CX4,1)</f>
        <v>A1</v>
      </c>
      <c r="DF4" s="13">
        <f>SUM(EK324)</f>
        <v>4</v>
      </c>
      <c r="DG4" s="13" t="str">
        <f t="shared" ref="DG4:DG35" si="30">VLOOKUP(DF4,$EG:$EH,2,FALSE)</f>
        <v>Lauterbrunnen</v>
      </c>
      <c r="DH4" s="13" t="str">
        <f t="shared" ref="DH4:DH35" si="31">VLOOKUP(DI4,$EG:$EH,2,FALSE)</f>
        <v>Brugg 1</v>
      </c>
      <c r="DI4" s="13">
        <f>SUM(EL324)</f>
        <v>1</v>
      </c>
      <c r="DJ4" s="14"/>
      <c r="DK4" s="12">
        <v>12</v>
      </c>
      <c r="DL4" s="13" t="str">
        <f>REPT(DE4,1)</f>
        <v>A1</v>
      </c>
      <c r="DM4" s="13">
        <f>SUM(EK356)</f>
        <v>1</v>
      </c>
      <c r="DN4" s="13" t="str">
        <f t="shared" ref="DN4:DN35" si="32">VLOOKUP(DM4,$EG:$EH,2,FALSE)</f>
        <v>Brugg 1</v>
      </c>
      <c r="DO4" s="13" t="str">
        <f t="shared" ref="DO4:DO35" si="33">VLOOKUP(DP4,$EG:$EH,2,FALSE)</f>
        <v>Joker 1</v>
      </c>
      <c r="DP4" s="13">
        <f>SUM(EL356)</f>
        <v>3</v>
      </c>
      <c r="DQ4" s="14"/>
      <c r="DR4" s="12">
        <v>13</v>
      </c>
      <c r="DS4" s="13" t="str">
        <f>REPT(DL4,1)</f>
        <v>A1</v>
      </c>
      <c r="DT4" s="13">
        <f>SUM(EK388)</f>
        <v>5</v>
      </c>
      <c r="DU4" s="13" t="str">
        <f t="shared" ref="DU4:DU35" si="34">VLOOKUP(DT4,$EG:$EH,2,FALSE)</f>
        <v>Rangers</v>
      </c>
      <c r="DV4" s="13" t="str">
        <f t="shared" ref="DV4:DV35" si="35">VLOOKUP(DW4,$EG:$EH,2,FALSE)</f>
        <v>Brugg 1</v>
      </c>
      <c r="DW4" s="13">
        <f>SUM(EL388)</f>
        <v>1</v>
      </c>
      <c r="DX4" s="14"/>
      <c r="DY4" s="12">
        <v>14</v>
      </c>
      <c r="DZ4" s="13" t="str">
        <f>REPT(DS4,1)</f>
        <v>A1</v>
      </c>
      <c r="EA4" s="13">
        <f>SUM(EK420)</f>
        <v>1</v>
      </c>
      <c r="EB4" s="13" t="str">
        <f t="shared" ref="EB4:EB35" si="36">VLOOKUP(EA4,$EG:$EH,2,FALSE)</f>
        <v>Brugg 1</v>
      </c>
      <c r="EC4" s="13" t="str">
        <f t="shared" ref="EC4:EC35" si="37">VLOOKUP(ED4,$EG:$EH,2,FALSE)</f>
        <v>Chill Out Bull's 1</v>
      </c>
      <c r="ED4" s="13">
        <f>SUM(EL420)</f>
        <v>7</v>
      </c>
      <c r="EE4" s="14"/>
      <c r="EF4" s="1" t="str">
        <f t="shared" si="0"/>
        <v>A</v>
      </c>
      <c r="EG4" s="1">
        <v>3</v>
      </c>
      <c r="EH4" s="1" t="str">
        <f t="shared" ref="EH4:EH9" si="38">LEFT(F5,50)</f>
        <v>Joker 1</v>
      </c>
      <c r="EI4" s="1">
        <f t="shared" ref="EI4:EI9" si="39">SUM(G5)</f>
        <v>3200</v>
      </c>
      <c r="EK4" s="1">
        <v>2</v>
      </c>
      <c r="EL4" s="1">
        <v>1</v>
      </c>
      <c r="EM4" s="1" t="s">
        <v>23</v>
      </c>
      <c r="EN4" s="1" t="s">
        <v>1254</v>
      </c>
    </row>
    <row r="5" spans="1:144" ht="24.95" customHeight="1">
      <c r="A5" s="1">
        <v>0</v>
      </c>
      <c r="B5" s="1" t="s">
        <v>25</v>
      </c>
      <c r="C5" s="1" t="s">
        <v>24</v>
      </c>
      <c r="E5" s="7">
        <v>3</v>
      </c>
      <c r="F5" s="9" t="s">
        <v>37</v>
      </c>
      <c r="G5" s="155">
        <v>3200</v>
      </c>
      <c r="H5" s="16"/>
      <c r="I5" s="76">
        <f>VLOOKUP(G5,Licenses!B:K,10,FALSE)</f>
        <v>0</v>
      </c>
      <c r="J5" s="16"/>
      <c r="K5" s="16"/>
      <c r="L5" t="str">
        <f t="shared" si="1"/>
        <v>A2 Joker 1</v>
      </c>
      <c r="M5" s="1">
        <v>3</v>
      </c>
      <c r="N5" s="1">
        <v>1</v>
      </c>
      <c r="O5" s="1" t="s">
        <v>9</v>
      </c>
      <c r="Q5" s="10" t="s">
        <v>27</v>
      </c>
      <c r="R5" s="1">
        <f t="shared" si="2"/>
        <v>3</v>
      </c>
      <c r="S5" s="1" t="str">
        <f t="shared" ref="S5:S35" si="40">VLOOKUP(R5,E:F,2,FALSE)</f>
        <v>Joker 1</v>
      </c>
      <c r="T5" s="1" t="str">
        <f t="shared" ref="T5:T35" si="41">VLOOKUP(U5,E:F,2,FALSE)</f>
        <v>Safnern 1</v>
      </c>
      <c r="U5" s="1">
        <f t="shared" si="3"/>
        <v>8</v>
      </c>
      <c r="AL5" s="15">
        <v>1</v>
      </c>
      <c r="AM5" s="4" t="s">
        <v>27</v>
      </c>
      <c r="AN5" s="4">
        <f t="shared" ref="AN5:AN31" si="42">SUM(EK5)</f>
        <v>4</v>
      </c>
      <c r="AO5" s="4" t="str">
        <f t="shared" si="4"/>
        <v>Lauterbrunnen</v>
      </c>
      <c r="AP5" s="4" t="str">
        <f t="shared" si="5"/>
        <v>Joker 1</v>
      </c>
      <c r="AQ5" s="4">
        <f t="shared" ref="AQ5:AQ31" si="43">SUM(EL5)</f>
        <v>3</v>
      </c>
      <c r="AR5" s="7"/>
      <c r="AS5" s="15">
        <v>2</v>
      </c>
      <c r="AT5" s="4" t="str">
        <f t="shared" ref="AT5:AT27" si="44">REPT(AM5,1)</f>
        <v>A2</v>
      </c>
      <c r="AU5" s="4">
        <f t="shared" ref="AU5:AU31" si="45">SUM(EK37)</f>
        <v>2</v>
      </c>
      <c r="AV5" s="4" t="str">
        <f t="shared" si="6"/>
        <v>Phantoms</v>
      </c>
      <c r="AW5" s="4" t="str">
        <f t="shared" si="7"/>
        <v>Joker 1</v>
      </c>
      <c r="AX5" s="4">
        <f t="shared" ref="AX5:AX31" si="46">SUM(EL37)</f>
        <v>3</v>
      </c>
      <c r="AY5" s="7"/>
      <c r="AZ5" s="15">
        <v>3</v>
      </c>
      <c r="BA5" s="4" t="str">
        <f t="shared" ref="BA5:BA27" si="47">REPT(AT5,1)</f>
        <v>A2</v>
      </c>
      <c r="BB5" s="4">
        <f t="shared" ref="BB5:BB31" si="48">SUM(EK69)</f>
        <v>8</v>
      </c>
      <c r="BC5" s="4" t="str">
        <f t="shared" si="8"/>
        <v>Safnern 1</v>
      </c>
      <c r="BD5" s="4" t="str">
        <f t="shared" si="9"/>
        <v>Joker 1</v>
      </c>
      <c r="BE5" s="4">
        <f t="shared" ref="BE5:BE31" si="49">SUM(EL69)</f>
        <v>3</v>
      </c>
      <c r="BF5" s="7"/>
      <c r="BG5" s="15">
        <v>4</v>
      </c>
      <c r="BH5" s="4" t="str">
        <f t="shared" ref="BH5:BH27" si="50">REPT(BA5,1)</f>
        <v>A2</v>
      </c>
      <c r="BI5" s="4">
        <f t="shared" ref="BI5:BI35" si="51">SUM(EK101)</f>
        <v>3</v>
      </c>
      <c r="BJ5" s="4" t="str">
        <f t="shared" si="10"/>
        <v>Joker 1</v>
      </c>
      <c r="BK5" s="4" t="str">
        <f t="shared" si="11"/>
        <v>Midland Knights</v>
      </c>
      <c r="BL5" s="4">
        <f t="shared" ref="BL5:BL35" si="52">SUM(EL101)</f>
        <v>6</v>
      </c>
      <c r="BM5" s="7"/>
      <c r="BN5" s="15">
        <v>5</v>
      </c>
      <c r="BO5" s="4" t="str">
        <f t="shared" ref="BO5:BO27" si="53">REPT(BH5,1)</f>
        <v>A2</v>
      </c>
      <c r="BP5" s="4">
        <f t="shared" si="12"/>
        <v>7</v>
      </c>
      <c r="BQ5" s="4" t="str">
        <f t="shared" si="13"/>
        <v>Chill Out Bull's 1</v>
      </c>
      <c r="BR5" s="4" t="str">
        <f t="shared" si="14"/>
        <v>Rangers</v>
      </c>
      <c r="BS5" s="4">
        <f t="shared" si="15"/>
        <v>5</v>
      </c>
      <c r="BT5" s="7"/>
      <c r="BU5" s="15">
        <v>6</v>
      </c>
      <c r="BV5" s="4" t="str">
        <f t="shared" ref="BV5:BV27" si="54">REPT(BO5,1)</f>
        <v>A2</v>
      </c>
      <c r="BW5" s="4">
        <f t="shared" si="16"/>
        <v>3</v>
      </c>
      <c r="BX5" s="4" t="str">
        <f t="shared" si="17"/>
        <v>Joker 1</v>
      </c>
      <c r="BY5" s="4" t="str">
        <f t="shared" si="18"/>
        <v>Chill Out Bull's 1</v>
      </c>
      <c r="BZ5" s="4">
        <f t="shared" si="19"/>
        <v>7</v>
      </c>
      <c r="CA5" s="7"/>
      <c r="CB5" s="15">
        <v>7</v>
      </c>
      <c r="CC5" s="4" t="str">
        <f t="shared" ref="CC5:CC27" si="55">REPT(BV5,1)</f>
        <v>A2</v>
      </c>
      <c r="CD5" s="4">
        <f t="shared" si="20"/>
        <v>5</v>
      </c>
      <c r="CE5" s="4" t="str">
        <f t="shared" si="21"/>
        <v>Rangers</v>
      </c>
      <c r="CF5" s="4" t="str">
        <f t="shared" si="22"/>
        <v>Joker 1</v>
      </c>
      <c r="CG5" s="4">
        <f t="shared" si="23"/>
        <v>3</v>
      </c>
      <c r="CH5" s="7"/>
      <c r="CI5" s="15">
        <v>8</v>
      </c>
      <c r="CJ5" s="4" t="str">
        <f t="shared" ref="CJ5:CJ27" si="56">REPT(CC5,1)</f>
        <v>A2</v>
      </c>
      <c r="CK5" s="4">
        <f t="shared" ref="CK5:CK35" si="57">SUM(EK229)</f>
        <v>3</v>
      </c>
      <c r="CL5" s="4" t="str">
        <f t="shared" si="24"/>
        <v>Joker 1</v>
      </c>
      <c r="CM5" s="4" t="str">
        <f t="shared" si="25"/>
        <v>Lauterbrunnen</v>
      </c>
      <c r="CN5" s="4">
        <f t="shared" ref="CN5:CN35" si="58">SUM(EL229)</f>
        <v>4</v>
      </c>
      <c r="CO5" s="7"/>
      <c r="CP5" s="15">
        <v>9</v>
      </c>
      <c r="CQ5" s="4" t="str">
        <f t="shared" ref="CQ5:CQ27" si="59">REPT(CJ5,1)</f>
        <v>A2</v>
      </c>
      <c r="CR5" s="4">
        <f t="shared" ref="CR5:CR35" si="60">SUM(EK261)</f>
        <v>3</v>
      </c>
      <c r="CS5" s="4" t="str">
        <f t="shared" si="26"/>
        <v>Joker 1</v>
      </c>
      <c r="CT5" s="4" t="str">
        <f t="shared" si="27"/>
        <v>Phantoms</v>
      </c>
      <c r="CU5" s="4">
        <f t="shared" ref="CU5:CU35" si="61">SUM(EL261)</f>
        <v>2</v>
      </c>
      <c r="CV5" s="7"/>
      <c r="CW5" s="15">
        <v>10</v>
      </c>
      <c r="CX5" s="4" t="str">
        <f t="shared" ref="CX5:CX27" si="62">REPT(CQ5,1)</f>
        <v>A2</v>
      </c>
      <c r="CY5" s="4">
        <f t="shared" ref="CY5:CY35" si="63">SUM(EK293)</f>
        <v>3</v>
      </c>
      <c r="CZ5" s="4" t="str">
        <f t="shared" si="28"/>
        <v>Joker 1</v>
      </c>
      <c r="DA5" s="4" t="str">
        <f t="shared" si="29"/>
        <v>Safnern 1</v>
      </c>
      <c r="DB5" s="4">
        <f t="shared" ref="DB5:DB35" si="64">SUM(EL293)</f>
        <v>8</v>
      </c>
      <c r="DC5" s="7"/>
      <c r="DD5" s="15">
        <v>11</v>
      </c>
      <c r="DE5" s="4" t="str">
        <f t="shared" ref="DE5:DE27" si="65">REPT(CX5,1)</f>
        <v>A2</v>
      </c>
      <c r="DF5" s="4">
        <f t="shared" ref="DF5:DF35" si="66">SUM(EK325)</f>
        <v>6</v>
      </c>
      <c r="DG5" s="4" t="str">
        <f t="shared" si="30"/>
        <v>Midland Knights</v>
      </c>
      <c r="DH5" s="4" t="str">
        <f t="shared" si="31"/>
        <v>Joker 1</v>
      </c>
      <c r="DI5" s="4">
        <f t="shared" ref="DI5:DI35" si="67">SUM(EL325)</f>
        <v>3</v>
      </c>
      <c r="DJ5" s="7"/>
      <c r="DK5" s="15">
        <v>12</v>
      </c>
      <c r="DL5" s="4" t="str">
        <f t="shared" ref="DL5:DL27" si="68">REPT(DE5,1)</f>
        <v>A2</v>
      </c>
      <c r="DM5" s="4">
        <f t="shared" ref="DM5:DM35" si="69">SUM(EK357)</f>
        <v>5</v>
      </c>
      <c r="DN5" s="4" t="str">
        <f t="shared" si="32"/>
        <v>Rangers</v>
      </c>
      <c r="DO5" s="4" t="str">
        <f t="shared" si="33"/>
        <v>Chill Out Bull's 1</v>
      </c>
      <c r="DP5" s="4">
        <f t="shared" ref="DP5:DP35" si="70">SUM(EL357)</f>
        <v>7</v>
      </c>
      <c r="DQ5" s="7"/>
      <c r="DR5" s="15">
        <v>13</v>
      </c>
      <c r="DS5" s="4" t="str">
        <f t="shared" ref="DS5:DS27" si="71">REPT(DL5,1)</f>
        <v>A2</v>
      </c>
      <c r="DT5" s="4">
        <f t="shared" ref="DT5:DT35" si="72">SUM(EK389)</f>
        <v>7</v>
      </c>
      <c r="DU5" s="4" t="str">
        <f t="shared" si="34"/>
        <v>Chill Out Bull's 1</v>
      </c>
      <c r="DV5" s="4" t="str">
        <f t="shared" si="35"/>
        <v>Joker 1</v>
      </c>
      <c r="DW5" s="4">
        <f t="shared" ref="DW5:DW35" si="73">SUM(EL389)</f>
        <v>3</v>
      </c>
      <c r="DX5" s="7"/>
      <c r="DY5" s="15">
        <v>14</v>
      </c>
      <c r="DZ5" s="4" t="str">
        <f t="shared" ref="DZ5:DZ27" si="74">REPT(DS5,1)</f>
        <v>A2</v>
      </c>
      <c r="EA5" s="4">
        <f t="shared" ref="EA5:EA35" si="75">SUM(EK421)</f>
        <v>3</v>
      </c>
      <c r="EB5" s="4" t="str">
        <f t="shared" si="36"/>
        <v>Joker 1</v>
      </c>
      <c r="EC5" s="4" t="str">
        <f t="shared" si="37"/>
        <v>Rangers</v>
      </c>
      <c r="ED5" s="4">
        <f t="shared" ref="ED5:ED35" si="76">SUM(EL421)</f>
        <v>5</v>
      </c>
      <c r="EE5" s="7"/>
      <c r="EF5" s="1" t="str">
        <f t="shared" si="0"/>
        <v>A</v>
      </c>
      <c r="EG5" s="1">
        <v>4</v>
      </c>
      <c r="EH5" s="1" t="str">
        <f t="shared" si="38"/>
        <v>Lauterbrunnen</v>
      </c>
      <c r="EI5" s="1">
        <f t="shared" si="39"/>
        <v>600</v>
      </c>
      <c r="EK5" s="1">
        <v>4</v>
      </c>
      <c r="EL5" s="1">
        <v>3</v>
      </c>
      <c r="EN5" s="1" t="s">
        <v>1255</v>
      </c>
    </row>
    <row r="6" spans="1:144" ht="24.95" customHeight="1">
      <c r="A6" s="1">
        <v>1</v>
      </c>
      <c r="B6" s="16" t="s">
        <v>1241</v>
      </c>
      <c r="C6" s="1" t="s">
        <v>28</v>
      </c>
      <c r="E6" s="7">
        <v>4</v>
      </c>
      <c r="F6" s="9" t="s">
        <v>26</v>
      </c>
      <c r="G6" s="155">
        <v>600</v>
      </c>
      <c r="H6" s="16"/>
      <c r="I6" s="76">
        <f>VLOOKUP(G6,Licenses!B:K,10,FALSE)</f>
        <v>0</v>
      </c>
      <c r="J6" s="16"/>
      <c r="K6" s="16"/>
      <c r="L6" t="str">
        <f t="shared" si="1"/>
        <v>A3 Rangers</v>
      </c>
      <c r="M6" s="1">
        <v>4</v>
      </c>
      <c r="N6" s="1">
        <v>1</v>
      </c>
      <c r="O6" s="1" t="s">
        <v>9</v>
      </c>
      <c r="Q6" s="10" t="s">
        <v>29</v>
      </c>
      <c r="R6" s="1">
        <f t="shared" si="2"/>
        <v>5</v>
      </c>
      <c r="S6" s="1" t="str">
        <f t="shared" si="40"/>
        <v>Rangers</v>
      </c>
      <c r="T6" s="1" t="str">
        <f t="shared" si="41"/>
        <v>Phantoms</v>
      </c>
      <c r="U6" s="1">
        <f t="shared" si="3"/>
        <v>2</v>
      </c>
      <c r="AL6" s="15">
        <v>1</v>
      </c>
      <c r="AM6" s="4" t="s">
        <v>29</v>
      </c>
      <c r="AN6" s="4">
        <f t="shared" si="42"/>
        <v>6</v>
      </c>
      <c r="AO6" s="4" t="str">
        <f t="shared" si="4"/>
        <v>Midland Knights</v>
      </c>
      <c r="AP6" s="4" t="str">
        <f t="shared" si="5"/>
        <v>Rangers</v>
      </c>
      <c r="AQ6" s="4">
        <f t="shared" si="43"/>
        <v>5</v>
      </c>
      <c r="AR6" s="7"/>
      <c r="AS6" s="15">
        <v>2</v>
      </c>
      <c r="AT6" s="4" t="str">
        <f t="shared" si="44"/>
        <v>A3</v>
      </c>
      <c r="AU6" s="4">
        <f t="shared" si="45"/>
        <v>5</v>
      </c>
      <c r="AV6" s="4" t="str">
        <f t="shared" si="6"/>
        <v>Rangers</v>
      </c>
      <c r="AW6" s="4" t="str">
        <f t="shared" si="7"/>
        <v>Lauterbrunnen</v>
      </c>
      <c r="AX6" s="4">
        <f t="shared" si="46"/>
        <v>4</v>
      </c>
      <c r="AY6" s="7"/>
      <c r="AZ6" s="15">
        <v>3</v>
      </c>
      <c r="BA6" s="4" t="str">
        <f t="shared" si="47"/>
        <v>A3</v>
      </c>
      <c r="BB6" s="4">
        <f t="shared" si="48"/>
        <v>2</v>
      </c>
      <c r="BC6" s="4" t="str">
        <f t="shared" si="8"/>
        <v>Phantoms</v>
      </c>
      <c r="BD6" s="4" t="str">
        <f t="shared" si="9"/>
        <v>Rangers</v>
      </c>
      <c r="BE6" s="4">
        <f t="shared" si="49"/>
        <v>5</v>
      </c>
      <c r="BF6" s="7"/>
      <c r="BG6" s="15">
        <v>4</v>
      </c>
      <c r="BH6" s="4" t="str">
        <f t="shared" si="50"/>
        <v>A3</v>
      </c>
      <c r="BI6" s="4">
        <f t="shared" si="51"/>
        <v>5</v>
      </c>
      <c r="BJ6" s="4" t="str">
        <f t="shared" si="10"/>
        <v>Rangers</v>
      </c>
      <c r="BK6" s="4" t="str">
        <f t="shared" si="11"/>
        <v>Safnern 1</v>
      </c>
      <c r="BL6" s="4">
        <f t="shared" si="52"/>
        <v>8</v>
      </c>
      <c r="BM6" s="7"/>
      <c r="BN6" s="15">
        <v>5</v>
      </c>
      <c r="BO6" s="4" t="str">
        <f t="shared" si="53"/>
        <v>A3</v>
      </c>
      <c r="BP6" s="4">
        <f t="shared" si="12"/>
        <v>4</v>
      </c>
      <c r="BQ6" s="4" t="str">
        <f t="shared" si="13"/>
        <v>Lauterbrunnen</v>
      </c>
      <c r="BR6" s="4" t="str">
        <f t="shared" si="14"/>
        <v>Phantoms</v>
      </c>
      <c r="BS6" s="4">
        <f t="shared" si="15"/>
        <v>2</v>
      </c>
      <c r="BT6" s="7"/>
      <c r="BU6" s="15">
        <v>6</v>
      </c>
      <c r="BV6" s="4" t="str">
        <f t="shared" si="54"/>
        <v>A3</v>
      </c>
      <c r="BW6" s="4">
        <f t="shared" si="16"/>
        <v>2</v>
      </c>
      <c r="BX6" s="4" t="str">
        <f t="shared" si="17"/>
        <v>Phantoms</v>
      </c>
      <c r="BY6" s="4" t="str">
        <f t="shared" si="18"/>
        <v>Midland Knights</v>
      </c>
      <c r="BZ6" s="4">
        <f t="shared" si="19"/>
        <v>6</v>
      </c>
      <c r="CA6" s="7"/>
      <c r="CB6" s="15">
        <v>7</v>
      </c>
      <c r="CC6" s="4" t="str">
        <f t="shared" si="55"/>
        <v>A3</v>
      </c>
      <c r="CD6" s="4">
        <f t="shared" si="20"/>
        <v>8</v>
      </c>
      <c r="CE6" s="4" t="str">
        <f t="shared" si="21"/>
        <v>Safnern 1</v>
      </c>
      <c r="CF6" s="4" t="str">
        <f t="shared" si="22"/>
        <v>Phantoms</v>
      </c>
      <c r="CG6" s="4">
        <f t="shared" si="23"/>
        <v>2</v>
      </c>
      <c r="CH6" s="7"/>
      <c r="CI6" s="15">
        <v>8</v>
      </c>
      <c r="CJ6" s="4" t="str">
        <f t="shared" si="56"/>
        <v>A3</v>
      </c>
      <c r="CK6" s="4">
        <f t="shared" si="57"/>
        <v>5</v>
      </c>
      <c r="CL6" s="4" t="str">
        <f t="shared" si="24"/>
        <v>Rangers</v>
      </c>
      <c r="CM6" s="4" t="str">
        <f t="shared" si="25"/>
        <v>Midland Knights</v>
      </c>
      <c r="CN6" s="4">
        <f t="shared" si="58"/>
        <v>6</v>
      </c>
      <c r="CO6" s="7"/>
      <c r="CP6" s="15">
        <v>9</v>
      </c>
      <c r="CQ6" s="4" t="str">
        <f t="shared" si="59"/>
        <v>A3</v>
      </c>
      <c r="CR6" s="4">
        <f t="shared" si="60"/>
        <v>4</v>
      </c>
      <c r="CS6" s="4" t="str">
        <f t="shared" si="26"/>
        <v>Lauterbrunnen</v>
      </c>
      <c r="CT6" s="4" t="str">
        <f t="shared" si="27"/>
        <v>Rangers</v>
      </c>
      <c r="CU6" s="4">
        <f t="shared" si="61"/>
        <v>5</v>
      </c>
      <c r="CV6" s="7"/>
      <c r="CW6" s="15">
        <v>10</v>
      </c>
      <c r="CX6" s="4" t="str">
        <f t="shared" si="62"/>
        <v>A3</v>
      </c>
      <c r="CY6" s="4">
        <f t="shared" si="63"/>
        <v>5</v>
      </c>
      <c r="CZ6" s="4" t="str">
        <f t="shared" si="28"/>
        <v>Rangers</v>
      </c>
      <c r="DA6" s="4" t="str">
        <f t="shared" si="29"/>
        <v>Phantoms</v>
      </c>
      <c r="DB6" s="4">
        <f t="shared" si="64"/>
        <v>2</v>
      </c>
      <c r="DC6" s="7"/>
      <c r="DD6" s="15">
        <v>11</v>
      </c>
      <c r="DE6" s="4" t="str">
        <f t="shared" si="65"/>
        <v>A3</v>
      </c>
      <c r="DF6" s="4">
        <f t="shared" si="66"/>
        <v>8</v>
      </c>
      <c r="DG6" s="4" t="str">
        <f t="shared" si="30"/>
        <v>Safnern 1</v>
      </c>
      <c r="DH6" s="4" t="str">
        <f t="shared" si="31"/>
        <v>Rangers</v>
      </c>
      <c r="DI6" s="4">
        <f t="shared" si="67"/>
        <v>5</v>
      </c>
      <c r="DJ6" s="7"/>
      <c r="DK6" s="15">
        <v>12</v>
      </c>
      <c r="DL6" s="4" t="str">
        <f t="shared" si="68"/>
        <v>A3</v>
      </c>
      <c r="DM6" s="4">
        <f t="shared" si="69"/>
        <v>2</v>
      </c>
      <c r="DN6" s="4" t="str">
        <f t="shared" si="32"/>
        <v>Phantoms</v>
      </c>
      <c r="DO6" s="4" t="str">
        <f t="shared" si="33"/>
        <v>Lauterbrunnen</v>
      </c>
      <c r="DP6" s="4">
        <f t="shared" si="70"/>
        <v>4</v>
      </c>
      <c r="DQ6" s="7"/>
      <c r="DR6" s="15">
        <v>13</v>
      </c>
      <c r="DS6" s="4" t="str">
        <f t="shared" si="71"/>
        <v>A3</v>
      </c>
      <c r="DT6" s="4">
        <f t="shared" si="72"/>
        <v>6</v>
      </c>
      <c r="DU6" s="4" t="str">
        <f t="shared" si="34"/>
        <v>Midland Knights</v>
      </c>
      <c r="DV6" s="4" t="str">
        <f t="shared" si="35"/>
        <v>Phantoms</v>
      </c>
      <c r="DW6" s="4">
        <f t="shared" si="73"/>
        <v>2</v>
      </c>
      <c r="DX6" s="7"/>
      <c r="DY6" s="15">
        <v>14</v>
      </c>
      <c r="DZ6" s="4" t="str">
        <f t="shared" si="74"/>
        <v>A3</v>
      </c>
      <c r="EA6" s="4">
        <f t="shared" si="75"/>
        <v>2</v>
      </c>
      <c r="EB6" s="4" t="str">
        <f t="shared" si="36"/>
        <v>Phantoms</v>
      </c>
      <c r="EC6" s="4" t="str">
        <f t="shared" si="37"/>
        <v>Safnern 1</v>
      </c>
      <c r="ED6" s="4">
        <f t="shared" si="76"/>
        <v>8</v>
      </c>
      <c r="EE6" s="7"/>
      <c r="EF6" s="1" t="str">
        <f t="shared" si="0"/>
        <v>A</v>
      </c>
      <c r="EG6" s="1">
        <v>5</v>
      </c>
      <c r="EH6" s="1" t="str">
        <f t="shared" si="38"/>
        <v>Rangers</v>
      </c>
      <c r="EI6" s="1">
        <f t="shared" si="39"/>
        <v>3300</v>
      </c>
      <c r="EK6" s="1">
        <v>6</v>
      </c>
      <c r="EL6" s="1">
        <v>5</v>
      </c>
      <c r="EN6" s="1" t="s">
        <v>1256</v>
      </c>
    </row>
    <row r="7" spans="1:144" ht="24.95" customHeight="1" thickBot="1">
      <c r="A7" s="1">
        <v>2</v>
      </c>
      <c r="B7" s="16" t="s">
        <v>1242</v>
      </c>
      <c r="C7" s="1" t="s">
        <v>30</v>
      </c>
      <c r="E7" s="7">
        <v>5</v>
      </c>
      <c r="F7" s="9" t="s">
        <v>39</v>
      </c>
      <c r="G7" s="155">
        <v>3300</v>
      </c>
      <c r="H7" s="16"/>
      <c r="I7" s="76">
        <f>VLOOKUP(G7,Licenses!B:K,10,FALSE)</f>
        <v>0</v>
      </c>
      <c r="J7" s="16"/>
      <c r="K7" s="16"/>
      <c r="L7" t="str">
        <f t="shared" si="1"/>
        <v>A4 Chill Out Bull's 1</v>
      </c>
      <c r="M7" s="1">
        <v>5</v>
      </c>
      <c r="N7" s="1">
        <v>1</v>
      </c>
      <c r="O7" s="1" t="s">
        <v>9</v>
      </c>
      <c r="Q7" s="10" t="s">
        <v>32</v>
      </c>
      <c r="R7" s="1">
        <f t="shared" si="2"/>
        <v>7</v>
      </c>
      <c r="S7" s="1" t="str">
        <f t="shared" si="40"/>
        <v>Chill Out Bull's 1</v>
      </c>
      <c r="T7" s="1" t="str">
        <f t="shared" si="41"/>
        <v>Lauterbrunnen</v>
      </c>
      <c r="U7" s="1">
        <f t="shared" si="3"/>
        <v>4</v>
      </c>
      <c r="AL7" s="17">
        <v>1</v>
      </c>
      <c r="AM7" s="18" t="s">
        <v>32</v>
      </c>
      <c r="AN7" s="18">
        <f t="shared" si="42"/>
        <v>8</v>
      </c>
      <c r="AO7" s="18" t="str">
        <f t="shared" si="4"/>
        <v>Safnern 1</v>
      </c>
      <c r="AP7" s="18" t="str">
        <f t="shared" si="5"/>
        <v>Chill Out Bull's 1</v>
      </c>
      <c r="AQ7" s="18">
        <f t="shared" si="43"/>
        <v>7</v>
      </c>
      <c r="AR7" s="19"/>
      <c r="AS7" s="17">
        <v>2</v>
      </c>
      <c r="AT7" s="18" t="str">
        <f t="shared" si="44"/>
        <v>A4</v>
      </c>
      <c r="AU7" s="18">
        <f t="shared" si="45"/>
        <v>7</v>
      </c>
      <c r="AV7" s="18" t="str">
        <f t="shared" si="6"/>
        <v>Chill Out Bull's 1</v>
      </c>
      <c r="AW7" s="18" t="str">
        <f t="shared" si="7"/>
        <v>Midland Knights</v>
      </c>
      <c r="AX7" s="18">
        <f t="shared" si="46"/>
        <v>6</v>
      </c>
      <c r="AY7" s="19"/>
      <c r="AZ7" s="17">
        <v>3</v>
      </c>
      <c r="BA7" s="18" t="str">
        <f t="shared" si="47"/>
        <v>A4</v>
      </c>
      <c r="BB7" s="18">
        <f t="shared" si="48"/>
        <v>4</v>
      </c>
      <c r="BC7" s="18" t="str">
        <f t="shared" si="8"/>
        <v>Lauterbrunnen</v>
      </c>
      <c r="BD7" s="18" t="str">
        <f t="shared" si="9"/>
        <v>Chill Out Bull's 1</v>
      </c>
      <c r="BE7" s="18">
        <f t="shared" si="49"/>
        <v>7</v>
      </c>
      <c r="BF7" s="19"/>
      <c r="BG7" s="17">
        <v>4</v>
      </c>
      <c r="BH7" s="18" t="str">
        <f t="shared" si="50"/>
        <v>A4</v>
      </c>
      <c r="BI7" s="18">
        <f t="shared" si="51"/>
        <v>7</v>
      </c>
      <c r="BJ7" s="18" t="str">
        <f t="shared" si="10"/>
        <v>Chill Out Bull's 1</v>
      </c>
      <c r="BK7" s="18" t="str">
        <f t="shared" si="11"/>
        <v>Phantoms</v>
      </c>
      <c r="BL7" s="18">
        <f t="shared" si="52"/>
        <v>2</v>
      </c>
      <c r="BM7" s="19"/>
      <c r="BN7" s="17">
        <v>5</v>
      </c>
      <c r="BO7" s="18" t="str">
        <f t="shared" si="53"/>
        <v>A4</v>
      </c>
      <c r="BP7" s="18">
        <f t="shared" si="12"/>
        <v>8</v>
      </c>
      <c r="BQ7" s="18" t="str">
        <f t="shared" si="13"/>
        <v>Safnern 1</v>
      </c>
      <c r="BR7" s="18" t="str">
        <f t="shared" si="14"/>
        <v>Midland Knights</v>
      </c>
      <c r="BS7" s="18">
        <f t="shared" si="15"/>
        <v>6</v>
      </c>
      <c r="BT7" s="19"/>
      <c r="BU7" s="17">
        <v>6</v>
      </c>
      <c r="BV7" s="18" t="str">
        <f t="shared" si="54"/>
        <v>A4</v>
      </c>
      <c r="BW7" s="18">
        <f t="shared" si="16"/>
        <v>4</v>
      </c>
      <c r="BX7" s="18" t="str">
        <f t="shared" si="17"/>
        <v>Lauterbrunnen</v>
      </c>
      <c r="BY7" s="18" t="str">
        <f t="shared" si="18"/>
        <v>Safnern 1</v>
      </c>
      <c r="BZ7" s="18">
        <f t="shared" si="19"/>
        <v>8</v>
      </c>
      <c r="CA7" s="19"/>
      <c r="CB7" s="17">
        <v>7</v>
      </c>
      <c r="CC7" s="18" t="str">
        <f t="shared" si="55"/>
        <v>A4</v>
      </c>
      <c r="CD7" s="18">
        <f t="shared" si="20"/>
        <v>6</v>
      </c>
      <c r="CE7" s="18" t="str">
        <f t="shared" si="21"/>
        <v>Midland Knights</v>
      </c>
      <c r="CF7" s="18" t="str">
        <f t="shared" si="22"/>
        <v>Lauterbrunnen</v>
      </c>
      <c r="CG7" s="18">
        <f t="shared" si="23"/>
        <v>4</v>
      </c>
      <c r="CH7" s="19"/>
      <c r="CI7" s="17">
        <v>8</v>
      </c>
      <c r="CJ7" s="18" t="str">
        <f t="shared" si="56"/>
        <v>A4</v>
      </c>
      <c r="CK7" s="18">
        <f t="shared" si="57"/>
        <v>7</v>
      </c>
      <c r="CL7" s="18" t="str">
        <f t="shared" si="24"/>
        <v>Chill Out Bull's 1</v>
      </c>
      <c r="CM7" s="18" t="str">
        <f t="shared" si="25"/>
        <v>Safnern 1</v>
      </c>
      <c r="CN7" s="18">
        <f t="shared" si="58"/>
        <v>8</v>
      </c>
      <c r="CO7" s="19"/>
      <c r="CP7" s="17">
        <v>9</v>
      </c>
      <c r="CQ7" s="18" t="str">
        <f t="shared" si="59"/>
        <v>A4</v>
      </c>
      <c r="CR7" s="18">
        <f t="shared" si="60"/>
        <v>6</v>
      </c>
      <c r="CS7" s="18" t="str">
        <f t="shared" si="26"/>
        <v>Midland Knights</v>
      </c>
      <c r="CT7" s="18" t="str">
        <f t="shared" si="27"/>
        <v>Chill Out Bull's 1</v>
      </c>
      <c r="CU7" s="18">
        <f t="shared" si="61"/>
        <v>7</v>
      </c>
      <c r="CV7" s="19"/>
      <c r="CW7" s="17">
        <v>10</v>
      </c>
      <c r="CX7" s="18" t="str">
        <f t="shared" si="62"/>
        <v>A4</v>
      </c>
      <c r="CY7" s="18">
        <f t="shared" si="63"/>
        <v>7</v>
      </c>
      <c r="CZ7" s="18" t="str">
        <f t="shared" si="28"/>
        <v>Chill Out Bull's 1</v>
      </c>
      <c r="DA7" s="18" t="str">
        <f t="shared" si="29"/>
        <v>Lauterbrunnen</v>
      </c>
      <c r="DB7" s="18">
        <f t="shared" si="64"/>
        <v>4</v>
      </c>
      <c r="DC7" s="19"/>
      <c r="DD7" s="17">
        <v>11</v>
      </c>
      <c r="DE7" s="18" t="str">
        <f t="shared" si="65"/>
        <v>A4</v>
      </c>
      <c r="DF7" s="18">
        <f t="shared" si="66"/>
        <v>2</v>
      </c>
      <c r="DG7" s="18" t="str">
        <f t="shared" si="30"/>
        <v>Phantoms</v>
      </c>
      <c r="DH7" s="18" t="str">
        <f t="shared" si="31"/>
        <v>Chill Out Bull's 1</v>
      </c>
      <c r="DI7" s="18">
        <f t="shared" si="67"/>
        <v>7</v>
      </c>
      <c r="DJ7" s="19"/>
      <c r="DK7" s="17">
        <v>12</v>
      </c>
      <c r="DL7" s="18" t="str">
        <f t="shared" si="68"/>
        <v>A4</v>
      </c>
      <c r="DM7" s="18">
        <f t="shared" si="69"/>
        <v>6</v>
      </c>
      <c r="DN7" s="18" t="str">
        <f t="shared" si="32"/>
        <v>Midland Knights</v>
      </c>
      <c r="DO7" s="18" t="str">
        <f t="shared" si="33"/>
        <v>Safnern 1</v>
      </c>
      <c r="DP7" s="18">
        <f t="shared" si="70"/>
        <v>8</v>
      </c>
      <c r="DQ7" s="19"/>
      <c r="DR7" s="17">
        <v>13</v>
      </c>
      <c r="DS7" s="18" t="str">
        <f t="shared" si="71"/>
        <v>A4</v>
      </c>
      <c r="DT7" s="18">
        <f t="shared" si="72"/>
        <v>8</v>
      </c>
      <c r="DU7" s="18" t="str">
        <f t="shared" si="34"/>
        <v>Safnern 1</v>
      </c>
      <c r="DV7" s="18" t="str">
        <f t="shared" si="35"/>
        <v>Lauterbrunnen</v>
      </c>
      <c r="DW7" s="18">
        <f t="shared" si="73"/>
        <v>4</v>
      </c>
      <c r="DX7" s="19"/>
      <c r="DY7" s="17">
        <v>14</v>
      </c>
      <c r="DZ7" s="18" t="str">
        <f t="shared" si="74"/>
        <v>A4</v>
      </c>
      <c r="EA7" s="18">
        <f t="shared" si="75"/>
        <v>4</v>
      </c>
      <c r="EB7" s="18" t="str">
        <f t="shared" si="36"/>
        <v>Lauterbrunnen</v>
      </c>
      <c r="EC7" s="18" t="str">
        <f t="shared" si="37"/>
        <v>Midland Knights</v>
      </c>
      <c r="ED7" s="18">
        <f t="shared" si="76"/>
        <v>6</v>
      </c>
      <c r="EE7" s="19"/>
      <c r="EF7" s="1" t="str">
        <f t="shared" si="0"/>
        <v>A</v>
      </c>
      <c r="EG7" s="1">
        <v>6</v>
      </c>
      <c r="EH7" s="1" t="str">
        <f t="shared" si="38"/>
        <v>Midland Knights</v>
      </c>
      <c r="EI7" s="1">
        <f t="shared" si="39"/>
        <v>1700</v>
      </c>
      <c r="EK7" s="1">
        <v>8</v>
      </c>
      <c r="EL7" s="1">
        <v>7</v>
      </c>
      <c r="EN7" s="1" t="s">
        <v>1257</v>
      </c>
    </row>
    <row r="8" spans="1:144" ht="24.95" customHeight="1">
      <c r="A8" s="1">
        <v>3</v>
      </c>
      <c r="B8" s="16" t="s">
        <v>1654</v>
      </c>
      <c r="C8" s="1" t="s">
        <v>33</v>
      </c>
      <c r="E8" s="7">
        <v>6</v>
      </c>
      <c r="F8" s="9" t="s">
        <v>31</v>
      </c>
      <c r="G8" s="155">
        <v>1700</v>
      </c>
      <c r="H8" s="16"/>
      <c r="I8" s="76">
        <f>VLOOKUP(G8,Licenses!B:K,10,FALSE)</f>
        <v>0</v>
      </c>
      <c r="J8" s="16"/>
      <c r="K8" s="16"/>
      <c r="L8" t="str">
        <f t="shared" si="1"/>
        <v>B1 Sense Steel 1</v>
      </c>
      <c r="M8" s="1">
        <v>6</v>
      </c>
      <c r="N8" s="1">
        <v>1</v>
      </c>
      <c r="O8" s="1" t="s">
        <v>35</v>
      </c>
      <c r="Q8" s="10" t="s">
        <v>222</v>
      </c>
      <c r="R8" s="1">
        <f t="shared" si="2"/>
        <v>9</v>
      </c>
      <c r="S8" s="1" t="str">
        <f t="shared" si="40"/>
        <v>Sense Steel 1</v>
      </c>
      <c r="T8" s="1" t="str">
        <f t="shared" si="41"/>
        <v>Iron Tigers</v>
      </c>
      <c r="U8" s="1">
        <f t="shared" si="3"/>
        <v>14</v>
      </c>
      <c r="AL8" s="12">
        <v>1</v>
      </c>
      <c r="AM8" s="13" t="s">
        <v>222</v>
      </c>
      <c r="AN8" s="13">
        <f t="shared" si="42"/>
        <v>10</v>
      </c>
      <c r="AO8" s="13" t="str">
        <f t="shared" si="4"/>
        <v>Emmental 1</v>
      </c>
      <c r="AP8" s="13" t="str">
        <f t="shared" si="5"/>
        <v>Sense Steel 1</v>
      </c>
      <c r="AQ8" s="13">
        <f t="shared" si="43"/>
        <v>9</v>
      </c>
      <c r="AR8" s="14"/>
      <c r="AS8" s="12">
        <v>2</v>
      </c>
      <c r="AT8" s="13" t="str">
        <f t="shared" si="44"/>
        <v>B1</v>
      </c>
      <c r="AU8" s="13">
        <f t="shared" si="45"/>
        <v>9</v>
      </c>
      <c r="AV8" s="13" t="str">
        <f t="shared" si="6"/>
        <v>Sense Steel 1</v>
      </c>
      <c r="AW8" s="13" t="str">
        <f t="shared" si="7"/>
        <v>Bodensee</v>
      </c>
      <c r="AX8" s="13">
        <f t="shared" si="46"/>
        <v>16</v>
      </c>
      <c r="AY8" s="14"/>
      <c r="AZ8" s="12">
        <v>3</v>
      </c>
      <c r="BA8" s="13" t="str">
        <f t="shared" si="47"/>
        <v>B1</v>
      </c>
      <c r="BB8" s="13">
        <f t="shared" si="48"/>
        <v>14</v>
      </c>
      <c r="BC8" s="13" t="str">
        <f t="shared" si="8"/>
        <v>Iron Tigers</v>
      </c>
      <c r="BD8" s="13" t="str">
        <f t="shared" si="9"/>
        <v>Sense Steel 1</v>
      </c>
      <c r="BE8" s="13">
        <f t="shared" si="49"/>
        <v>9</v>
      </c>
      <c r="BF8" s="14"/>
      <c r="BG8" s="12">
        <v>4</v>
      </c>
      <c r="BH8" s="13" t="str">
        <f t="shared" si="50"/>
        <v>B1</v>
      </c>
      <c r="BI8" s="13">
        <f t="shared" si="51"/>
        <v>9</v>
      </c>
      <c r="BJ8" s="13" t="str">
        <f t="shared" si="10"/>
        <v>Sense Steel 1</v>
      </c>
      <c r="BK8" s="13" t="str">
        <f t="shared" si="11"/>
        <v>Torp. Wimmis 1</v>
      </c>
      <c r="BL8" s="13">
        <f t="shared" si="52"/>
        <v>12</v>
      </c>
      <c r="BM8" s="14"/>
      <c r="BN8" s="12">
        <v>5</v>
      </c>
      <c r="BO8" s="13" t="str">
        <f t="shared" si="53"/>
        <v>B1</v>
      </c>
      <c r="BP8" s="13">
        <f t="shared" si="12"/>
        <v>11</v>
      </c>
      <c r="BQ8" s="13" t="str">
        <f t="shared" si="13"/>
        <v>Pilatus</v>
      </c>
      <c r="BR8" s="13" t="str">
        <f t="shared" si="14"/>
        <v>Sense Steel 1</v>
      </c>
      <c r="BS8" s="13">
        <f t="shared" si="15"/>
        <v>9</v>
      </c>
      <c r="BT8" s="14"/>
      <c r="BU8" s="12">
        <v>6</v>
      </c>
      <c r="BV8" s="13" t="str">
        <f t="shared" si="54"/>
        <v>B1</v>
      </c>
      <c r="BW8" s="13">
        <f t="shared" si="16"/>
        <v>9</v>
      </c>
      <c r="BX8" s="13" t="str">
        <f t="shared" si="17"/>
        <v>Sense Steel 1</v>
      </c>
      <c r="BY8" s="13" t="str">
        <f t="shared" si="18"/>
        <v>Bern 1</v>
      </c>
      <c r="BZ8" s="13">
        <f t="shared" si="19"/>
        <v>13</v>
      </c>
      <c r="CA8" s="14"/>
      <c r="CB8" s="12">
        <v>7</v>
      </c>
      <c r="CC8" s="13" t="str">
        <f t="shared" si="55"/>
        <v>B1</v>
      </c>
      <c r="CD8" s="13">
        <f t="shared" si="20"/>
        <v>15</v>
      </c>
      <c r="CE8" s="13" t="str">
        <f t="shared" si="21"/>
        <v>Einsiedeln 1</v>
      </c>
      <c r="CF8" s="13" t="str">
        <f t="shared" si="22"/>
        <v>Sense Steel 1</v>
      </c>
      <c r="CG8" s="13">
        <f t="shared" si="23"/>
        <v>9</v>
      </c>
      <c r="CH8" s="14"/>
      <c r="CI8" s="12">
        <v>8</v>
      </c>
      <c r="CJ8" s="13" t="str">
        <f t="shared" si="56"/>
        <v>B1</v>
      </c>
      <c r="CK8" s="13">
        <f t="shared" si="57"/>
        <v>9</v>
      </c>
      <c r="CL8" s="13" t="str">
        <f t="shared" si="24"/>
        <v>Sense Steel 1</v>
      </c>
      <c r="CM8" s="13" t="str">
        <f t="shared" si="25"/>
        <v>Emmental 1</v>
      </c>
      <c r="CN8" s="13">
        <f t="shared" si="58"/>
        <v>10</v>
      </c>
      <c r="CO8" s="14"/>
      <c r="CP8" s="12">
        <v>9</v>
      </c>
      <c r="CQ8" s="13" t="str">
        <f t="shared" si="59"/>
        <v>B1</v>
      </c>
      <c r="CR8" s="13">
        <f t="shared" si="60"/>
        <v>16</v>
      </c>
      <c r="CS8" s="13" t="str">
        <f t="shared" si="26"/>
        <v>Bodensee</v>
      </c>
      <c r="CT8" s="13" t="str">
        <f t="shared" si="27"/>
        <v>Sense Steel 1</v>
      </c>
      <c r="CU8" s="13">
        <f t="shared" si="61"/>
        <v>9</v>
      </c>
      <c r="CV8" s="14"/>
      <c r="CW8" s="12">
        <v>10</v>
      </c>
      <c r="CX8" s="13" t="str">
        <f t="shared" si="62"/>
        <v>B1</v>
      </c>
      <c r="CY8" s="13">
        <f t="shared" si="63"/>
        <v>9</v>
      </c>
      <c r="CZ8" s="13" t="str">
        <f t="shared" si="28"/>
        <v>Sense Steel 1</v>
      </c>
      <c r="DA8" s="13" t="str">
        <f t="shared" si="29"/>
        <v>Iron Tigers</v>
      </c>
      <c r="DB8" s="13">
        <f t="shared" si="64"/>
        <v>14</v>
      </c>
      <c r="DC8" s="14"/>
      <c r="DD8" s="12">
        <v>11</v>
      </c>
      <c r="DE8" s="13" t="str">
        <f t="shared" si="65"/>
        <v>B1</v>
      </c>
      <c r="DF8" s="13">
        <f t="shared" si="66"/>
        <v>12</v>
      </c>
      <c r="DG8" s="13" t="str">
        <f t="shared" si="30"/>
        <v>Torp. Wimmis 1</v>
      </c>
      <c r="DH8" s="13" t="str">
        <f t="shared" si="31"/>
        <v>Sense Steel 1</v>
      </c>
      <c r="DI8" s="13">
        <f t="shared" si="67"/>
        <v>9</v>
      </c>
      <c r="DJ8" s="14"/>
      <c r="DK8" s="12">
        <v>12</v>
      </c>
      <c r="DL8" s="13" t="str">
        <f t="shared" si="68"/>
        <v>B1</v>
      </c>
      <c r="DM8" s="13">
        <f t="shared" si="69"/>
        <v>9</v>
      </c>
      <c r="DN8" s="13" t="str">
        <f t="shared" si="32"/>
        <v>Sense Steel 1</v>
      </c>
      <c r="DO8" s="13" t="str">
        <f t="shared" si="33"/>
        <v>Pilatus</v>
      </c>
      <c r="DP8" s="13">
        <f t="shared" si="70"/>
        <v>11</v>
      </c>
      <c r="DQ8" s="14"/>
      <c r="DR8" s="12">
        <v>13</v>
      </c>
      <c r="DS8" s="13" t="str">
        <f t="shared" si="71"/>
        <v>B1</v>
      </c>
      <c r="DT8" s="13">
        <f t="shared" si="72"/>
        <v>13</v>
      </c>
      <c r="DU8" s="13" t="str">
        <f t="shared" si="34"/>
        <v>Bern 1</v>
      </c>
      <c r="DV8" s="13" t="str">
        <f t="shared" si="35"/>
        <v>Sense Steel 1</v>
      </c>
      <c r="DW8" s="13">
        <f t="shared" si="73"/>
        <v>9</v>
      </c>
      <c r="DX8" s="14"/>
      <c r="DY8" s="12">
        <v>14</v>
      </c>
      <c r="DZ8" s="13" t="str">
        <f t="shared" si="74"/>
        <v>B1</v>
      </c>
      <c r="EA8" s="13">
        <f t="shared" si="75"/>
        <v>9</v>
      </c>
      <c r="EB8" s="13" t="str">
        <f t="shared" si="36"/>
        <v>Sense Steel 1</v>
      </c>
      <c r="EC8" s="13" t="str">
        <f t="shared" si="37"/>
        <v>Einsiedeln 1</v>
      </c>
      <c r="ED8" s="13">
        <f t="shared" si="76"/>
        <v>15</v>
      </c>
      <c r="EE8" s="14"/>
      <c r="EF8" s="1" t="str">
        <f t="shared" si="0"/>
        <v>A</v>
      </c>
      <c r="EG8" s="1">
        <v>7</v>
      </c>
      <c r="EH8" s="1" t="str">
        <f t="shared" si="38"/>
        <v>Chill Out Bull's 1</v>
      </c>
      <c r="EI8" s="1">
        <f t="shared" si="39"/>
        <v>4700</v>
      </c>
      <c r="EK8" s="1">
        <v>10</v>
      </c>
      <c r="EL8" s="1">
        <v>9</v>
      </c>
      <c r="EN8" s="1" t="s">
        <v>1258</v>
      </c>
    </row>
    <row r="9" spans="1:144" ht="24.95" customHeight="1">
      <c r="A9" s="1">
        <v>4</v>
      </c>
      <c r="B9" s="16" t="s">
        <v>1243</v>
      </c>
      <c r="C9" s="1" t="s">
        <v>36</v>
      </c>
      <c r="E9" s="7">
        <v>7</v>
      </c>
      <c r="F9" s="9" t="s">
        <v>1219</v>
      </c>
      <c r="G9" s="155">
        <v>4700</v>
      </c>
      <c r="H9" s="16"/>
      <c r="I9" s="76">
        <f>VLOOKUP(G9,Licenses!B:K,10,FALSE)</f>
        <v>0</v>
      </c>
      <c r="J9" s="16">
        <v>1</v>
      </c>
      <c r="K9" s="16"/>
      <c r="L9" t="str">
        <f t="shared" si="1"/>
        <v>B2 Pilatus</v>
      </c>
      <c r="M9" s="1">
        <v>7</v>
      </c>
      <c r="N9" s="1">
        <v>1</v>
      </c>
      <c r="O9" s="1" t="s">
        <v>35</v>
      </c>
      <c r="Q9" s="10" t="s">
        <v>223</v>
      </c>
      <c r="R9" s="1">
        <f t="shared" si="2"/>
        <v>11</v>
      </c>
      <c r="S9" s="1" t="str">
        <f t="shared" si="40"/>
        <v>Pilatus</v>
      </c>
      <c r="T9" s="1" t="str">
        <f t="shared" si="41"/>
        <v>Bodensee</v>
      </c>
      <c r="U9" s="1">
        <f t="shared" si="3"/>
        <v>16</v>
      </c>
      <c r="AL9" s="15">
        <v>1</v>
      </c>
      <c r="AM9" s="4" t="s">
        <v>223</v>
      </c>
      <c r="AN9" s="4">
        <f t="shared" si="42"/>
        <v>12</v>
      </c>
      <c r="AO9" s="4" t="str">
        <f t="shared" si="4"/>
        <v>Torp. Wimmis 1</v>
      </c>
      <c r="AP9" s="4" t="str">
        <f t="shared" si="5"/>
        <v>Pilatus</v>
      </c>
      <c r="AQ9" s="4">
        <f t="shared" si="43"/>
        <v>11</v>
      </c>
      <c r="AR9" s="7"/>
      <c r="AS9" s="15">
        <v>2</v>
      </c>
      <c r="AT9" s="4" t="str">
        <f t="shared" si="44"/>
        <v>B2</v>
      </c>
      <c r="AU9" s="4">
        <f t="shared" si="45"/>
        <v>11</v>
      </c>
      <c r="AV9" s="4" t="str">
        <f t="shared" si="6"/>
        <v>Pilatus</v>
      </c>
      <c r="AW9" s="4" t="str">
        <f t="shared" si="7"/>
        <v>Emmental 1</v>
      </c>
      <c r="AX9" s="4">
        <f t="shared" si="46"/>
        <v>10</v>
      </c>
      <c r="AY9" s="7"/>
      <c r="AZ9" s="15">
        <v>3</v>
      </c>
      <c r="BA9" s="4" t="str">
        <f t="shared" si="47"/>
        <v>B2</v>
      </c>
      <c r="BB9" s="4">
        <f t="shared" si="48"/>
        <v>16</v>
      </c>
      <c r="BC9" s="4" t="str">
        <f t="shared" si="8"/>
        <v>Bodensee</v>
      </c>
      <c r="BD9" s="4" t="str">
        <f t="shared" si="9"/>
        <v>Pilatus</v>
      </c>
      <c r="BE9" s="4">
        <f t="shared" si="49"/>
        <v>11</v>
      </c>
      <c r="BF9" s="7"/>
      <c r="BG9" s="15">
        <v>4</v>
      </c>
      <c r="BH9" s="4" t="str">
        <f t="shared" si="50"/>
        <v>B2</v>
      </c>
      <c r="BI9" s="4">
        <f t="shared" si="51"/>
        <v>11</v>
      </c>
      <c r="BJ9" s="4" t="str">
        <f t="shared" si="10"/>
        <v>Pilatus</v>
      </c>
      <c r="BK9" s="4" t="str">
        <f t="shared" si="11"/>
        <v>Iron Tigers</v>
      </c>
      <c r="BL9" s="4">
        <f t="shared" si="52"/>
        <v>14</v>
      </c>
      <c r="BM9" s="7"/>
      <c r="BN9" s="15">
        <v>5</v>
      </c>
      <c r="BO9" s="4" t="str">
        <f t="shared" si="53"/>
        <v>B2</v>
      </c>
      <c r="BP9" s="4">
        <f t="shared" si="12"/>
        <v>15</v>
      </c>
      <c r="BQ9" s="4" t="str">
        <f t="shared" si="13"/>
        <v>Einsiedeln 1</v>
      </c>
      <c r="BR9" s="4" t="str">
        <f t="shared" si="14"/>
        <v>Bern 1</v>
      </c>
      <c r="BS9" s="4">
        <f t="shared" si="15"/>
        <v>13</v>
      </c>
      <c r="BT9" s="7"/>
      <c r="BU9" s="15">
        <v>6</v>
      </c>
      <c r="BV9" s="4" t="str">
        <f t="shared" si="54"/>
        <v>B2</v>
      </c>
      <c r="BW9" s="4">
        <f t="shared" si="16"/>
        <v>11</v>
      </c>
      <c r="BX9" s="4" t="str">
        <f t="shared" si="17"/>
        <v>Pilatus</v>
      </c>
      <c r="BY9" s="4" t="str">
        <f t="shared" si="18"/>
        <v>Einsiedeln 1</v>
      </c>
      <c r="BZ9" s="4">
        <f t="shared" si="19"/>
        <v>15</v>
      </c>
      <c r="CA9" s="7"/>
      <c r="CB9" s="15">
        <v>7</v>
      </c>
      <c r="CC9" s="4" t="str">
        <f t="shared" si="55"/>
        <v>B2</v>
      </c>
      <c r="CD9" s="4">
        <f t="shared" si="20"/>
        <v>13</v>
      </c>
      <c r="CE9" s="4" t="str">
        <f t="shared" si="21"/>
        <v>Bern 1</v>
      </c>
      <c r="CF9" s="4" t="str">
        <f t="shared" si="22"/>
        <v>Pilatus</v>
      </c>
      <c r="CG9" s="4">
        <f t="shared" si="23"/>
        <v>11</v>
      </c>
      <c r="CH9" s="7"/>
      <c r="CI9" s="15">
        <v>8</v>
      </c>
      <c r="CJ9" s="4" t="str">
        <f t="shared" si="56"/>
        <v>B2</v>
      </c>
      <c r="CK9" s="4">
        <f t="shared" si="57"/>
        <v>11</v>
      </c>
      <c r="CL9" s="4" t="str">
        <f t="shared" si="24"/>
        <v>Pilatus</v>
      </c>
      <c r="CM9" s="4" t="str">
        <f t="shared" si="25"/>
        <v>Torp. Wimmis 1</v>
      </c>
      <c r="CN9" s="4">
        <f t="shared" si="58"/>
        <v>12</v>
      </c>
      <c r="CO9" s="7"/>
      <c r="CP9" s="15">
        <v>9</v>
      </c>
      <c r="CQ9" s="4" t="str">
        <f t="shared" si="59"/>
        <v>B2</v>
      </c>
      <c r="CR9" s="4">
        <f t="shared" si="60"/>
        <v>10</v>
      </c>
      <c r="CS9" s="4" t="str">
        <f t="shared" si="26"/>
        <v>Emmental 1</v>
      </c>
      <c r="CT9" s="4" t="str">
        <f t="shared" si="27"/>
        <v>Pilatus</v>
      </c>
      <c r="CU9" s="4">
        <f t="shared" si="61"/>
        <v>11</v>
      </c>
      <c r="CV9" s="7"/>
      <c r="CW9" s="15">
        <v>10</v>
      </c>
      <c r="CX9" s="4" t="str">
        <f t="shared" si="62"/>
        <v>B2</v>
      </c>
      <c r="CY9" s="4">
        <f t="shared" si="63"/>
        <v>11</v>
      </c>
      <c r="CZ9" s="4" t="str">
        <f t="shared" si="28"/>
        <v>Pilatus</v>
      </c>
      <c r="DA9" s="4" t="str">
        <f t="shared" si="29"/>
        <v>Bodensee</v>
      </c>
      <c r="DB9" s="4">
        <f t="shared" si="64"/>
        <v>16</v>
      </c>
      <c r="DC9" s="7"/>
      <c r="DD9" s="15">
        <v>11</v>
      </c>
      <c r="DE9" s="4" t="str">
        <f t="shared" si="65"/>
        <v>B2</v>
      </c>
      <c r="DF9" s="4">
        <f t="shared" si="66"/>
        <v>14</v>
      </c>
      <c r="DG9" s="4" t="str">
        <f t="shared" si="30"/>
        <v>Iron Tigers</v>
      </c>
      <c r="DH9" s="4" t="str">
        <f t="shared" si="31"/>
        <v>Pilatus</v>
      </c>
      <c r="DI9" s="4">
        <f t="shared" si="67"/>
        <v>11</v>
      </c>
      <c r="DJ9" s="7"/>
      <c r="DK9" s="15">
        <v>12</v>
      </c>
      <c r="DL9" s="4" t="str">
        <f t="shared" si="68"/>
        <v>B2</v>
      </c>
      <c r="DM9" s="4">
        <f t="shared" si="69"/>
        <v>13</v>
      </c>
      <c r="DN9" s="4" t="str">
        <f t="shared" si="32"/>
        <v>Bern 1</v>
      </c>
      <c r="DO9" s="4" t="str">
        <f t="shared" si="33"/>
        <v>Einsiedeln 1</v>
      </c>
      <c r="DP9" s="4">
        <f t="shared" si="70"/>
        <v>15</v>
      </c>
      <c r="DQ9" s="7"/>
      <c r="DR9" s="15">
        <v>13</v>
      </c>
      <c r="DS9" s="4" t="str">
        <f t="shared" si="71"/>
        <v>B2</v>
      </c>
      <c r="DT9" s="4">
        <f t="shared" si="72"/>
        <v>15</v>
      </c>
      <c r="DU9" s="4" t="str">
        <f t="shared" si="34"/>
        <v>Einsiedeln 1</v>
      </c>
      <c r="DV9" s="4" t="str">
        <f t="shared" si="35"/>
        <v>Pilatus</v>
      </c>
      <c r="DW9" s="4">
        <f t="shared" si="73"/>
        <v>11</v>
      </c>
      <c r="DX9" s="7"/>
      <c r="DY9" s="15">
        <v>14</v>
      </c>
      <c r="DZ9" s="4" t="str">
        <f t="shared" si="74"/>
        <v>B2</v>
      </c>
      <c r="EA9" s="4">
        <f t="shared" si="75"/>
        <v>11</v>
      </c>
      <c r="EB9" s="4" t="str">
        <f t="shared" si="36"/>
        <v>Pilatus</v>
      </c>
      <c r="EC9" s="4" t="str">
        <f t="shared" si="37"/>
        <v>Bern 1</v>
      </c>
      <c r="ED9" s="4">
        <f t="shared" si="76"/>
        <v>13</v>
      </c>
      <c r="EE9" s="7"/>
      <c r="EF9" s="1" t="str">
        <f t="shared" si="0"/>
        <v>A</v>
      </c>
      <c r="EG9" s="1">
        <v>8</v>
      </c>
      <c r="EH9" s="1" t="str">
        <f t="shared" si="38"/>
        <v>Safnern 1</v>
      </c>
      <c r="EI9" s="1">
        <f t="shared" si="39"/>
        <v>4600</v>
      </c>
      <c r="EK9" s="1">
        <v>12</v>
      </c>
      <c r="EL9" s="1">
        <v>11</v>
      </c>
      <c r="EN9" s="1" t="s">
        <v>1259</v>
      </c>
    </row>
    <row r="10" spans="1:144" ht="24.95" customHeight="1">
      <c r="A10" s="1">
        <v>5</v>
      </c>
      <c r="B10" s="16" t="s">
        <v>1244</v>
      </c>
      <c r="C10" s="1" t="s">
        <v>38</v>
      </c>
      <c r="E10" s="7">
        <v>8</v>
      </c>
      <c r="F10" s="9" t="s">
        <v>45</v>
      </c>
      <c r="G10" s="155">
        <v>4600</v>
      </c>
      <c r="H10" s="16"/>
      <c r="I10" s="76">
        <f>VLOOKUP(G10,Licenses!B:K,10,FALSE)</f>
        <v>0</v>
      </c>
      <c r="J10" s="16"/>
      <c r="K10" s="16"/>
      <c r="L10" t="str">
        <f t="shared" si="1"/>
        <v>B3 Bern 1</v>
      </c>
      <c r="M10" s="1">
        <v>8</v>
      </c>
      <c r="N10" s="1">
        <v>1</v>
      </c>
      <c r="O10" s="1" t="s">
        <v>35</v>
      </c>
      <c r="Q10" s="10" t="s">
        <v>224</v>
      </c>
      <c r="R10" s="1">
        <f t="shared" si="2"/>
        <v>13</v>
      </c>
      <c r="S10" s="1" t="str">
        <f t="shared" si="40"/>
        <v>Bern 1</v>
      </c>
      <c r="T10" s="1" t="str">
        <f t="shared" si="41"/>
        <v>Emmental 1</v>
      </c>
      <c r="U10" s="1">
        <f t="shared" si="3"/>
        <v>10</v>
      </c>
      <c r="AL10" s="15">
        <v>1</v>
      </c>
      <c r="AM10" s="4" t="s">
        <v>224</v>
      </c>
      <c r="AN10" s="4">
        <f t="shared" si="42"/>
        <v>14</v>
      </c>
      <c r="AO10" s="4" t="str">
        <f t="shared" si="4"/>
        <v>Iron Tigers</v>
      </c>
      <c r="AP10" s="4" t="str">
        <f t="shared" si="5"/>
        <v>Bern 1</v>
      </c>
      <c r="AQ10" s="4">
        <f t="shared" si="43"/>
        <v>13</v>
      </c>
      <c r="AR10" s="7"/>
      <c r="AS10" s="15">
        <v>2</v>
      </c>
      <c r="AT10" s="4" t="str">
        <f t="shared" si="44"/>
        <v>B3</v>
      </c>
      <c r="AU10" s="4">
        <f t="shared" si="45"/>
        <v>13</v>
      </c>
      <c r="AV10" s="4" t="str">
        <f t="shared" si="6"/>
        <v>Bern 1</v>
      </c>
      <c r="AW10" s="4" t="str">
        <f t="shared" si="7"/>
        <v>Torp. Wimmis 1</v>
      </c>
      <c r="AX10" s="4">
        <f t="shared" si="46"/>
        <v>12</v>
      </c>
      <c r="AY10" s="7"/>
      <c r="AZ10" s="15">
        <v>3</v>
      </c>
      <c r="BA10" s="4" t="str">
        <f t="shared" si="47"/>
        <v>B3</v>
      </c>
      <c r="BB10" s="4">
        <f t="shared" si="48"/>
        <v>10</v>
      </c>
      <c r="BC10" s="4" t="str">
        <f t="shared" si="8"/>
        <v>Emmental 1</v>
      </c>
      <c r="BD10" s="4" t="str">
        <f t="shared" si="9"/>
        <v>Bern 1</v>
      </c>
      <c r="BE10" s="4">
        <f t="shared" si="49"/>
        <v>13</v>
      </c>
      <c r="BF10" s="7"/>
      <c r="BG10" s="15">
        <v>4</v>
      </c>
      <c r="BH10" s="4" t="str">
        <f t="shared" si="50"/>
        <v>B3</v>
      </c>
      <c r="BI10" s="4">
        <f t="shared" si="51"/>
        <v>13</v>
      </c>
      <c r="BJ10" s="4" t="str">
        <f t="shared" si="10"/>
        <v>Bern 1</v>
      </c>
      <c r="BK10" s="4" t="str">
        <f t="shared" si="11"/>
        <v>Bodensee</v>
      </c>
      <c r="BL10" s="4">
        <f t="shared" si="52"/>
        <v>16</v>
      </c>
      <c r="BM10" s="7"/>
      <c r="BN10" s="15">
        <v>5</v>
      </c>
      <c r="BO10" s="4" t="str">
        <f t="shared" si="53"/>
        <v>B3</v>
      </c>
      <c r="BP10" s="4">
        <f t="shared" si="12"/>
        <v>12</v>
      </c>
      <c r="BQ10" s="4" t="str">
        <f t="shared" si="13"/>
        <v>Torp. Wimmis 1</v>
      </c>
      <c r="BR10" s="4" t="str">
        <f t="shared" si="14"/>
        <v>Emmental 1</v>
      </c>
      <c r="BS10" s="4">
        <f t="shared" si="15"/>
        <v>10</v>
      </c>
      <c r="BT10" s="7"/>
      <c r="BU10" s="15">
        <v>6</v>
      </c>
      <c r="BV10" s="4" t="str">
        <f t="shared" si="54"/>
        <v>B3</v>
      </c>
      <c r="BW10" s="4">
        <f t="shared" si="16"/>
        <v>10</v>
      </c>
      <c r="BX10" s="4" t="str">
        <f t="shared" si="17"/>
        <v>Emmental 1</v>
      </c>
      <c r="BY10" s="4" t="str">
        <f t="shared" si="18"/>
        <v>Iron Tigers</v>
      </c>
      <c r="BZ10" s="4">
        <f t="shared" si="19"/>
        <v>14</v>
      </c>
      <c r="CA10" s="7"/>
      <c r="CB10" s="15">
        <v>7</v>
      </c>
      <c r="CC10" s="4" t="str">
        <f t="shared" si="55"/>
        <v>B3</v>
      </c>
      <c r="CD10" s="4">
        <f t="shared" si="20"/>
        <v>16</v>
      </c>
      <c r="CE10" s="4" t="str">
        <f t="shared" si="21"/>
        <v>Bodensee</v>
      </c>
      <c r="CF10" s="4" t="str">
        <f t="shared" si="22"/>
        <v>Emmental 1</v>
      </c>
      <c r="CG10" s="4">
        <f t="shared" si="23"/>
        <v>10</v>
      </c>
      <c r="CH10" s="7"/>
      <c r="CI10" s="15">
        <v>8</v>
      </c>
      <c r="CJ10" s="4" t="str">
        <f t="shared" si="56"/>
        <v>B3</v>
      </c>
      <c r="CK10" s="4">
        <f t="shared" si="57"/>
        <v>13</v>
      </c>
      <c r="CL10" s="4" t="str">
        <f t="shared" si="24"/>
        <v>Bern 1</v>
      </c>
      <c r="CM10" s="4" t="str">
        <f t="shared" si="25"/>
        <v>Iron Tigers</v>
      </c>
      <c r="CN10" s="4">
        <f t="shared" si="58"/>
        <v>14</v>
      </c>
      <c r="CO10" s="7"/>
      <c r="CP10" s="15">
        <v>9</v>
      </c>
      <c r="CQ10" s="4" t="str">
        <f t="shared" si="59"/>
        <v>B3</v>
      </c>
      <c r="CR10" s="4">
        <f t="shared" si="60"/>
        <v>12</v>
      </c>
      <c r="CS10" s="4" t="str">
        <f t="shared" si="26"/>
        <v>Torp. Wimmis 1</v>
      </c>
      <c r="CT10" s="4" t="str">
        <f t="shared" si="27"/>
        <v>Bern 1</v>
      </c>
      <c r="CU10" s="4">
        <f t="shared" si="61"/>
        <v>13</v>
      </c>
      <c r="CV10" s="7"/>
      <c r="CW10" s="15">
        <v>10</v>
      </c>
      <c r="CX10" s="4" t="str">
        <f t="shared" si="62"/>
        <v>B3</v>
      </c>
      <c r="CY10" s="4">
        <f t="shared" si="63"/>
        <v>13</v>
      </c>
      <c r="CZ10" s="4" t="str">
        <f t="shared" si="28"/>
        <v>Bern 1</v>
      </c>
      <c r="DA10" s="4" t="str">
        <f t="shared" si="29"/>
        <v>Emmental 1</v>
      </c>
      <c r="DB10" s="4">
        <f t="shared" si="64"/>
        <v>10</v>
      </c>
      <c r="DC10" s="7"/>
      <c r="DD10" s="15">
        <v>11</v>
      </c>
      <c r="DE10" s="4" t="str">
        <f t="shared" si="65"/>
        <v>B3</v>
      </c>
      <c r="DF10" s="4">
        <f t="shared" si="66"/>
        <v>16</v>
      </c>
      <c r="DG10" s="4" t="str">
        <f t="shared" si="30"/>
        <v>Bodensee</v>
      </c>
      <c r="DH10" s="4" t="str">
        <f t="shared" si="31"/>
        <v>Bern 1</v>
      </c>
      <c r="DI10" s="4">
        <f t="shared" si="67"/>
        <v>13</v>
      </c>
      <c r="DJ10" s="7"/>
      <c r="DK10" s="15">
        <v>12</v>
      </c>
      <c r="DL10" s="4" t="str">
        <f t="shared" si="68"/>
        <v>B3</v>
      </c>
      <c r="DM10" s="4">
        <f t="shared" si="69"/>
        <v>10</v>
      </c>
      <c r="DN10" s="4" t="str">
        <f t="shared" si="32"/>
        <v>Emmental 1</v>
      </c>
      <c r="DO10" s="4" t="str">
        <f t="shared" si="33"/>
        <v>Torp. Wimmis 1</v>
      </c>
      <c r="DP10" s="4">
        <f t="shared" si="70"/>
        <v>12</v>
      </c>
      <c r="DQ10" s="7"/>
      <c r="DR10" s="15">
        <v>13</v>
      </c>
      <c r="DS10" s="4" t="str">
        <f t="shared" si="71"/>
        <v>B3</v>
      </c>
      <c r="DT10" s="4">
        <f t="shared" si="72"/>
        <v>14</v>
      </c>
      <c r="DU10" s="4" t="str">
        <f t="shared" si="34"/>
        <v>Iron Tigers</v>
      </c>
      <c r="DV10" s="4" t="str">
        <f t="shared" si="35"/>
        <v>Emmental 1</v>
      </c>
      <c r="DW10" s="4">
        <f t="shared" si="73"/>
        <v>10</v>
      </c>
      <c r="DX10" s="7"/>
      <c r="DY10" s="15">
        <v>14</v>
      </c>
      <c r="DZ10" s="4" t="str">
        <f t="shared" si="74"/>
        <v>B3</v>
      </c>
      <c r="EA10" s="4">
        <f t="shared" si="75"/>
        <v>10</v>
      </c>
      <c r="EB10" s="4" t="str">
        <f t="shared" si="36"/>
        <v>Emmental 1</v>
      </c>
      <c r="EC10" s="4" t="str">
        <f t="shared" si="37"/>
        <v>Bodensee</v>
      </c>
      <c r="ED10" s="4">
        <f t="shared" si="76"/>
        <v>16</v>
      </c>
      <c r="EE10" s="7"/>
      <c r="EF10" s="1" t="str">
        <f>LEFT($E$12,50)</f>
        <v>B</v>
      </c>
      <c r="EG10" s="1">
        <v>9</v>
      </c>
      <c r="EH10" s="1" t="str">
        <f>LEFT(F14,50)</f>
        <v>Sense Steel 1</v>
      </c>
      <c r="EI10" s="1">
        <f>SUM(G14)</f>
        <v>2600</v>
      </c>
      <c r="EK10" s="1">
        <v>14</v>
      </c>
      <c r="EL10" s="1">
        <v>13</v>
      </c>
      <c r="EN10" s="1" t="s">
        <v>1260</v>
      </c>
    </row>
    <row r="11" spans="1:144" ht="24.95" customHeight="1" thickBot="1">
      <c r="A11" s="1">
        <v>6</v>
      </c>
      <c r="B11" s="16" t="s">
        <v>1245</v>
      </c>
      <c r="C11" s="1" t="s">
        <v>40</v>
      </c>
      <c r="L11" t="str">
        <f t="shared" si="1"/>
        <v>B4 Einsiedeln 1</v>
      </c>
      <c r="M11" s="1">
        <v>9</v>
      </c>
      <c r="N11" s="1">
        <v>1</v>
      </c>
      <c r="O11" s="1" t="s">
        <v>35</v>
      </c>
      <c r="Q11" s="10" t="s">
        <v>225</v>
      </c>
      <c r="R11" s="1">
        <f t="shared" si="2"/>
        <v>15</v>
      </c>
      <c r="S11" s="1" t="str">
        <f t="shared" si="40"/>
        <v>Einsiedeln 1</v>
      </c>
      <c r="T11" s="1" t="str">
        <f t="shared" si="41"/>
        <v>Torp. Wimmis 1</v>
      </c>
      <c r="U11" s="1">
        <f t="shared" si="3"/>
        <v>12</v>
      </c>
      <c r="AL11" s="17">
        <v>1</v>
      </c>
      <c r="AM11" s="18" t="s">
        <v>225</v>
      </c>
      <c r="AN11" s="18">
        <f t="shared" si="42"/>
        <v>16</v>
      </c>
      <c r="AO11" s="18" t="str">
        <f t="shared" si="4"/>
        <v>Bodensee</v>
      </c>
      <c r="AP11" s="18" t="str">
        <f t="shared" si="5"/>
        <v>Einsiedeln 1</v>
      </c>
      <c r="AQ11" s="18">
        <f t="shared" si="43"/>
        <v>15</v>
      </c>
      <c r="AR11" s="19"/>
      <c r="AS11" s="17">
        <v>2</v>
      </c>
      <c r="AT11" s="18" t="str">
        <f t="shared" si="44"/>
        <v>B4</v>
      </c>
      <c r="AU11" s="18">
        <f t="shared" si="45"/>
        <v>15</v>
      </c>
      <c r="AV11" s="18" t="str">
        <f t="shared" si="6"/>
        <v>Einsiedeln 1</v>
      </c>
      <c r="AW11" s="18" t="str">
        <f t="shared" si="7"/>
        <v>Iron Tigers</v>
      </c>
      <c r="AX11" s="18">
        <f t="shared" si="46"/>
        <v>14</v>
      </c>
      <c r="AY11" s="19"/>
      <c r="AZ11" s="17">
        <v>3</v>
      </c>
      <c r="BA11" s="18" t="str">
        <f t="shared" si="47"/>
        <v>B4</v>
      </c>
      <c r="BB11" s="18">
        <f t="shared" si="48"/>
        <v>12</v>
      </c>
      <c r="BC11" s="18" t="str">
        <f t="shared" si="8"/>
        <v>Torp. Wimmis 1</v>
      </c>
      <c r="BD11" s="18" t="str">
        <f t="shared" si="9"/>
        <v>Einsiedeln 1</v>
      </c>
      <c r="BE11" s="18">
        <f t="shared" si="49"/>
        <v>15</v>
      </c>
      <c r="BF11" s="19"/>
      <c r="BG11" s="17">
        <v>4</v>
      </c>
      <c r="BH11" s="18" t="str">
        <f t="shared" si="50"/>
        <v>B4</v>
      </c>
      <c r="BI11" s="18">
        <f t="shared" si="51"/>
        <v>15</v>
      </c>
      <c r="BJ11" s="18" t="str">
        <f t="shared" si="10"/>
        <v>Einsiedeln 1</v>
      </c>
      <c r="BK11" s="18" t="str">
        <f t="shared" si="11"/>
        <v>Emmental 1</v>
      </c>
      <c r="BL11" s="18">
        <f t="shared" si="52"/>
        <v>10</v>
      </c>
      <c r="BM11" s="19"/>
      <c r="BN11" s="17">
        <v>5</v>
      </c>
      <c r="BO11" s="18" t="str">
        <f t="shared" si="53"/>
        <v>B4</v>
      </c>
      <c r="BP11" s="18">
        <f t="shared" si="12"/>
        <v>16</v>
      </c>
      <c r="BQ11" s="18" t="str">
        <f t="shared" si="13"/>
        <v>Bodensee</v>
      </c>
      <c r="BR11" s="18" t="str">
        <f t="shared" si="14"/>
        <v>Iron Tigers</v>
      </c>
      <c r="BS11" s="18">
        <f t="shared" si="15"/>
        <v>14</v>
      </c>
      <c r="BT11" s="19"/>
      <c r="BU11" s="17">
        <v>6</v>
      </c>
      <c r="BV11" s="18" t="str">
        <f t="shared" si="54"/>
        <v>B4</v>
      </c>
      <c r="BW11" s="18">
        <f t="shared" si="16"/>
        <v>12</v>
      </c>
      <c r="BX11" s="18" t="str">
        <f t="shared" si="17"/>
        <v>Torp. Wimmis 1</v>
      </c>
      <c r="BY11" s="18" t="str">
        <f t="shared" si="18"/>
        <v>Bodensee</v>
      </c>
      <c r="BZ11" s="18">
        <f t="shared" si="19"/>
        <v>16</v>
      </c>
      <c r="CA11" s="19"/>
      <c r="CB11" s="17">
        <v>7</v>
      </c>
      <c r="CC11" s="18" t="str">
        <f t="shared" si="55"/>
        <v>B4</v>
      </c>
      <c r="CD11" s="18">
        <f t="shared" si="20"/>
        <v>14</v>
      </c>
      <c r="CE11" s="18" t="str">
        <f t="shared" si="21"/>
        <v>Iron Tigers</v>
      </c>
      <c r="CF11" s="18" t="str">
        <f t="shared" si="22"/>
        <v>Torp. Wimmis 1</v>
      </c>
      <c r="CG11" s="18">
        <f t="shared" si="23"/>
        <v>12</v>
      </c>
      <c r="CH11" s="19"/>
      <c r="CI11" s="17">
        <v>8</v>
      </c>
      <c r="CJ11" s="18" t="str">
        <f t="shared" si="56"/>
        <v>B4</v>
      </c>
      <c r="CK11" s="18">
        <f t="shared" si="57"/>
        <v>15</v>
      </c>
      <c r="CL11" s="18" t="str">
        <f t="shared" si="24"/>
        <v>Einsiedeln 1</v>
      </c>
      <c r="CM11" s="18" t="str">
        <f t="shared" si="25"/>
        <v>Bodensee</v>
      </c>
      <c r="CN11" s="18">
        <f t="shared" si="58"/>
        <v>16</v>
      </c>
      <c r="CO11" s="19"/>
      <c r="CP11" s="17">
        <v>9</v>
      </c>
      <c r="CQ11" s="18" t="str">
        <f t="shared" si="59"/>
        <v>B4</v>
      </c>
      <c r="CR11" s="18">
        <f t="shared" si="60"/>
        <v>14</v>
      </c>
      <c r="CS11" s="18" t="str">
        <f t="shared" si="26"/>
        <v>Iron Tigers</v>
      </c>
      <c r="CT11" s="18" t="str">
        <f t="shared" si="27"/>
        <v>Einsiedeln 1</v>
      </c>
      <c r="CU11" s="18">
        <f t="shared" si="61"/>
        <v>15</v>
      </c>
      <c r="CV11" s="19"/>
      <c r="CW11" s="17">
        <v>10</v>
      </c>
      <c r="CX11" s="18" t="str">
        <f t="shared" si="62"/>
        <v>B4</v>
      </c>
      <c r="CY11" s="18">
        <f t="shared" si="63"/>
        <v>15</v>
      </c>
      <c r="CZ11" s="18" t="str">
        <f t="shared" si="28"/>
        <v>Einsiedeln 1</v>
      </c>
      <c r="DA11" s="18" t="str">
        <f t="shared" si="29"/>
        <v>Torp. Wimmis 1</v>
      </c>
      <c r="DB11" s="18">
        <f t="shared" si="64"/>
        <v>12</v>
      </c>
      <c r="DC11" s="19"/>
      <c r="DD11" s="17">
        <v>11</v>
      </c>
      <c r="DE11" s="18" t="str">
        <f t="shared" si="65"/>
        <v>B4</v>
      </c>
      <c r="DF11" s="18">
        <f t="shared" si="66"/>
        <v>10</v>
      </c>
      <c r="DG11" s="18" t="str">
        <f t="shared" si="30"/>
        <v>Emmental 1</v>
      </c>
      <c r="DH11" s="18" t="str">
        <f t="shared" si="31"/>
        <v>Einsiedeln 1</v>
      </c>
      <c r="DI11" s="18">
        <f t="shared" si="67"/>
        <v>15</v>
      </c>
      <c r="DJ11" s="19"/>
      <c r="DK11" s="17">
        <v>12</v>
      </c>
      <c r="DL11" s="18" t="str">
        <f t="shared" si="68"/>
        <v>B4</v>
      </c>
      <c r="DM11" s="18">
        <f t="shared" si="69"/>
        <v>14</v>
      </c>
      <c r="DN11" s="18" t="str">
        <f t="shared" si="32"/>
        <v>Iron Tigers</v>
      </c>
      <c r="DO11" s="18" t="str">
        <f t="shared" si="33"/>
        <v>Bodensee</v>
      </c>
      <c r="DP11" s="18">
        <f t="shared" si="70"/>
        <v>16</v>
      </c>
      <c r="DQ11" s="19"/>
      <c r="DR11" s="17">
        <v>13</v>
      </c>
      <c r="DS11" s="18" t="str">
        <f t="shared" si="71"/>
        <v>B4</v>
      </c>
      <c r="DT11" s="18">
        <f t="shared" si="72"/>
        <v>16</v>
      </c>
      <c r="DU11" s="18" t="str">
        <f t="shared" si="34"/>
        <v>Bodensee</v>
      </c>
      <c r="DV11" s="18" t="str">
        <f t="shared" si="35"/>
        <v>Torp. Wimmis 1</v>
      </c>
      <c r="DW11" s="18">
        <f t="shared" si="73"/>
        <v>12</v>
      </c>
      <c r="DX11" s="19"/>
      <c r="DY11" s="17">
        <v>14</v>
      </c>
      <c r="DZ11" s="18" t="str">
        <f t="shared" si="74"/>
        <v>B4</v>
      </c>
      <c r="EA11" s="18">
        <f t="shared" si="75"/>
        <v>12</v>
      </c>
      <c r="EB11" s="18" t="str">
        <f t="shared" si="36"/>
        <v>Torp. Wimmis 1</v>
      </c>
      <c r="EC11" s="18" t="str">
        <f t="shared" si="37"/>
        <v>Iron Tigers</v>
      </c>
      <c r="ED11" s="18">
        <f t="shared" si="76"/>
        <v>14</v>
      </c>
      <c r="EE11" s="19"/>
      <c r="EF11" s="1" t="str">
        <f t="shared" ref="EF11:EF17" si="77">LEFT($E$12,50)</f>
        <v>B</v>
      </c>
      <c r="EG11" s="1">
        <v>10</v>
      </c>
      <c r="EH11" s="1" t="str">
        <f t="shared" ref="EH11:EH17" si="78">LEFT(F15,50)</f>
        <v>Emmental 1</v>
      </c>
      <c r="EI11" s="1">
        <f t="shared" ref="EI11:EI17" si="79">SUM(G15)</f>
        <v>3800</v>
      </c>
      <c r="EK11" s="1">
        <v>16</v>
      </c>
      <c r="EL11" s="1">
        <v>15</v>
      </c>
      <c r="EN11" s="1" t="s">
        <v>1261</v>
      </c>
    </row>
    <row r="12" spans="1:144" ht="24.95" customHeight="1">
      <c r="A12" s="1">
        <v>7</v>
      </c>
      <c r="B12" s="16" t="s">
        <v>1246</v>
      </c>
      <c r="C12" s="1" t="s">
        <v>41</v>
      </c>
      <c r="E12" s="1" t="s">
        <v>35</v>
      </c>
      <c r="F12" s="1">
        <v>2</v>
      </c>
      <c r="G12" s="1" t="s">
        <v>35</v>
      </c>
      <c r="L12" t="str">
        <f t="shared" si="1"/>
        <v>1W1 Star'Nack</v>
      </c>
      <c r="M12" s="1">
        <v>10</v>
      </c>
      <c r="N12" s="1">
        <v>2</v>
      </c>
      <c r="O12" s="1" t="s">
        <v>837</v>
      </c>
      <c r="Q12" s="10" t="s">
        <v>226</v>
      </c>
      <c r="R12" s="1">
        <f t="shared" si="2"/>
        <v>17</v>
      </c>
      <c r="S12" s="1" t="str">
        <f t="shared" si="40"/>
        <v>Star'Nack</v>
      </c>
      <c r="T12" s="1" t="str">
        <f t="shared" si="41"/>
        <v>Romont</v>
      </c>
      <c r="U12" s="1">
        <f t="shared" si="3"/>
        <v>22</v>
      </c>
      <c r="AL12" s="12">
        <v>1</v>
      </c>
      <c r="AM12" s="13" t="s">
        <v>226</v>
      </c>
      <c r="AN12" s="13">
        <f t="shared" si="42"/>
        <v>18</v>
      </c>
      <c r="AO12" s="13" t="str">
        <f t="shared" si="4"/>
        <v>Aaretal</v>
      </c>
      <c r="AP12" s="13" t="str">
        <f t="shared" si="5"/>
        <v>Star'Nack</v>
      </c>
      <c r="AQ12" s="13">
        <f t="shared" si="43"/>
        <v>17</v>
      </c>
      <c r="AR12" s="14"/>
      <c r="AS12" s="12">
        <v>2</v>
      </c>
      <c r="AT12" s="13" t="str">
        <f t="shared" si="44"/>
        <v>1W1</v>
      </c>
      <c r="AU12" s="13">
        <f t="shared" si="45"/>
        <v>17</v>
      </c>
      <c r="AV12" s="13" t="str">
        <f t="shared" si="6"/>
        <v>Star'Nack</v>
      </c>
      <c r="AW12" s="13" t="str">
        <f t="shared" si="7"/>
        <v>Top Darts</v>
      </c>
      <c r="AX12" s="13">
        <f t="shared" si="46"/>
        <v>24</v>
      </c>
      <c r="AY12" s="14"/>
      <c r="AZ12" s="12">
        <v>3</v>
      </c>
      <c r="BA12" s="13" t="str">
        <f t="shared" si="47"/>
        <v>1W1</v>
      </c>
      <c r="BB12" s="13">
        <f t="shared" si="48"/>
        <v>22</v>
      </c>
      <c r="BC12" s="13" t="str">
        <f t="shared" si="8"/>
        <v>Romont</v>
      </c>
      <c r="BD12" s="13" t="str">
        <f t="shared" si="9"/>
        <v>Star'Nack</v>
      </c>
      <c r="BE12" s="13">
        <f t="shared" si="49"/>
        <v>17</v>
      </c>
      <c r="BF12" s="14"/>
      <c r="BG12" s="12">
        <v>4</v>
      </c>
      <c r="BH12" s="13" t="str">
        <f t="shared" si="50"/>
        <v>1W1</v>
      </c>
      <c r="BI12" s="13">
        <f t="shared" si="51"/>
        <v>17</v>
      </c>
      <c r="BJ12" s="13" t="str">
        <f t="shared" si="10"/>
        <v>Star'Nack</v>
      </c>
      <c r="BK12" s="13" t="str">
        <f t="shared" si="11"/>
        <v>Deitingen 1</v>
      </c>
      <c r="BL12" s="13">
        <f t="shared" si="52"/>
        <v>20</v>
      </c>
      <c r="BM12" s="14"/>
      <c r="BN12" s="12">
        <v>5</v>
      </c>
      <c r="BO12" s="13" t="str">
        <f t="shared" si="53"/>
        <v>1W1</v>
      </c>
      <c r="BP12" s="13">
        <f t="shared" si="12"/>
        <v>19</v>
      </c>
      <c r="BQ12" s="13" t="str">
        <f t="shared" si="13"/>
        <v>Morges 1</v>
      </c>
      <c r="BR12" s="13" t="str">
        <f t="shared" si="14"/>
        <v>Star'Nack</v>
      </c>
      <c r="BS12" s="13">
        <f t="shared" si="15"/>
        <v>17</v>
      </c>
      <c r="BT12" s="14"/>
      <c r="BU12" s="12">
        <v>6</v>
      </c>
      <c r="BV12" s="13" t="str">
        <f t="shared" si="54"/>
        <v>1W1</v>
      </c>
      <c r="BW12" s="13">
        <f t="shared" si="16"/>
        <v>17</v>
      </c>
      <c r="BX12" s="13" t="str">
        <f t="shared" si="17"/>
        <v>Star'Nack</v>
      </c>
      <c r="BY12" s="13" t="str">
        <f t="shared" si="18"/>
        <v>Freilos 1LW</v>
      </c>
      <c r="BZ12" s="13">
        <f t="shared" si="19"/>
        <v>21</v>
      </c>
      <c r="CA12" s="14"/>
      <c r="CB12" s="12">
        <v>7</v>
      </c>
      <c r="CC12" s="13" t="str">
        <f t="shared" si="55"/>
        <v>1W1</v>
      </c>
      <c r="CD12" s="13">
        <f t="shared" si="20"/>
        <v>23</v>
      </c>
      <c r="CE12" s="13" t="str">
        <f t="shared" si="21"/>
        <v>Madhouse</v>
      </c>
      <c r="CF12" s="13" t="str">
        <f t="shared" si="22"/>
        <v>Star'Nack</v>
      </c>
      <c r="CG12" s="13">
        <f t="shared" si="23"/>
        <v>17</v>
      </c>
      <c r="CH12" s="14"/>
      <c r="CI12" s="12">
        <v>8</v>
      </c>
      <c r="CJ12" s="13" t="str">
        <f t="shared" si="56"/>
        <v>1W1</v>
      </c>
      <c r="CK12" s="13">
        <f t="shared" si="57"/>
        <v>17</v>
      </c>
      <c r="CL12" s="13" t="str">
        <f t="shared" si="24"/>
        <v>Star'Nack</v>
      </c>
      <c r="CM12" s="13" t="str">
        <f t="shared" si="25"/>
        <v>Aaretal</v>
      </c>
      <c r="CN12" s="13">
        <f t="shared" si="58"/>
        <v>18</v>
      </c>
      <c r="CO12" s="14"/>
      <c r="CP12" s="12">
        <v>9</v>
      </c>
      <c r="CQ12" s="13" t="str">
        <f t="shared" si="59"/>
        <v>1W1</v>
      </c>
      <c r="CR12" s="13">
        <f t="shared" si="60"/>
        <v>24</v>
      </c>
      <c r="CS12" s="13" t="str">
        <f t="shared" si="26"/>
        <v>Top Darts</v>
      </c>
      <c r="CT12" s="13" t="str">
        <f t="shared" si="27"/>
        <v>Star'Nack</v>
      </c>
      <c r="CU12" s="13">
        <f t="shared" si="61"/>
        <v>17</v>
      </c>
      <c r="CV12" s="14"/>
      <c r="CW12" s="12">
        <v>10</v>
      </c>
      <c r="CX12" s="13" t="str">
        <f t="shared" si="62"/>
        <v>1W1</v>
      </c>
      <c r="CY12" s="13">
        <f t="shared" si="63"/>
        <v>17</v>
      </c>
      <c r="CZ12" s="13" t="str">
        <f t="shared" si="28"/>
        <v>Star'Nack</v>
      </c>
      <c r="DA12" s="13" t="str">
        <f t="shared" si="29"/>
        <v>Romont</v>
      </c>
      <c r="DB12" s="13">
        <f t="shared" si="64"/>
        <v>22</v>
      </c>
      <c r="DC12" s="14"/>
      <c r="DD12" s="12">
        <v>11</v>
      </c>
      <c r="DE12" s="13" t="str">
        <f t="shared" si="65"/>
        <v>1W1</v>
      </c>
      <c r="DF12" s="13">
        <f t="shared" si="66"/>
        <v>20</v>
      </c>
      <c r="DG12" s="13" t="str">
        <f t="shared" si="30"/>
        <v>Deitingen 1</v>
      </c>
      <c r="DH12" s="13" t="str">
        <f t="shared" si="31"/>
        <v>Star'Nack</v>
      </c>
      <c r="DI12" s="13">
        <f t="shared" si="67"/>
        <v>17</v>
      </c>
      <c r="DJ12" s="14"/>
      <c r="DK12" s="12">
        <v>12</v>
      </c>
      <c r="DL12" s="13" t="str">
        <f t="shared" si="68"/>
        <v>1W1</v>
      </c>
      <c r="DM12" s="13">
        <f t="shared" si="69"/>
        <v>17</v>
      </c>
      <c r="DN12" s="13" t="str">
        <f t="shared" si="32"/>
        <v>Star'Nack</v>
      </c>
      <c r="DO12" s="13" t="str">
        <f t="shared" si="33"/>
        <v>Morges 1</v>
      </c>
      <c r="DP12" s="13">
        <f t="shared" si="70"/>
        <v>19</v>
      </c>
      <c r="DQ12" s="14"/>
      <c r="DR12" s="12">
        <v>13</v>
      </c>
      <c r="DS12" s="13" t="str">
        <f t="shared" si="71"/>
        <v>1W1</v>
      </c>
      <c r="DT12" s="13">
        <f t="shared" si="72"/>
        <v>21</v>
      </c>
      <c r="DU12" s="13" t="str">
        <f t="shared" si="34"/>
        <v>Freilos 1LW</v>
      </c>
      <c r="DV12" s="13" t="str">
        <f t="shared" si="35"/>
        <v>Star'Nack</v>
      </c>
      <c r="DW12" s="13">
        <f t="shared" si="73"/>
        <v>17</v>
      </c>
      <c r="DX12" s="14"/>
      <c r="DY12" s="12">
        <v>14</v>
      </c>
      <c r="DZ12" s="13" t="str">
        <f t="shared" si="74"/>
        <v>1W1</v>
      </c>
      <c r="EA12" s="13">
        <f t="shared" si="75"/>
        <v>17</v>
      </c>
      <c r="EB12" s="13" t="str">
        <f t="shared" si="36"/>
        <v>Star'Nack</v>
      </c>
      <c r="EC12" s="13" t="str">
        <f t="shared" si="37"/>
        <v>Madhouse</v>
      </c>
      <c r="ED12" s="13">
        <f t="shared" si="76"/>
        <v>23</v>
      </c>
      <c r="EE12" s="14"/>
      <c r="EF12" s="1" t="str">
        <f t="shared" si="77"/>
        <v>B</v>
      </c>
      <c r="EG12" s="1">
        <v>11</v>
      </c>
      <c r="EH12" s="1" t="str">
        <f>LEFT(F16,50)</f>
        <v>Pilatus</v>
      </c>
      <c r="EI12" s="1">
        <f>SUM(G16)</f>
        <v>1400</v>
      </c>
      <c r="EK12" s="1">
        <v>18</v>
      </c>
      <c r="EL12" s="1">
        <v>17</v>
      </c>
      <c r="EN12" s="1" t="s">
        <v>1262</v>
      </c>
    </row>
    <row r="13" spans="1:144" ht="24.95" customHeight="1">
      <c r="A13" s="1">
        <v>8</v>
      </c>
      <c r="B13" s="16" t="s">
        <v>1247</v>
      </c>
      <c r="C13" s="1" t="s">
        <v>42</v>
      </c>
      <c r="E13" s="1" t="s">
        <v>43</v>
      </c>
      <c r="F13" s="1" t="s">
        <v>13</v>
      </c>
      <c r="G13" s="1" t="s">
        <v>14</v>
      </c>
      <c r="L13" t="str">
        <f t="shared" si="1"/>
        <v>1W2 Morges 1</v>
      </c>
      <c r="M13" s="1">
        <v>11</v>
      </c>
      <c r="N13" s="1">
        <v>2</v>
      </c>
      <c r="O13" s="1" t="s">
        <v>837</v>
      </c>
      <c r="Q13" s="10" t="s">
        <v>227</v>
      </c>
      <c r="R13" s="1">
        <f t="shared" si="2"/>
        <v>19</v>
      </c>
      <c r="S13" s="1" t="str">
        <f t="shared" si="40"/>
        <v>Morges 1</v>
      </c>
      <c r="T13" s="1" t="str">
        <f t="shared" si="41"/>
        <v>Top Darts</v>
      </c>
      <c r="U13" s="1">
        <f t="shared" si="3"/>
        <v>24</v>
      </c>
      <c r="AL13" s="15">
        <v>1</v>
      </c>
      <c r="AM13" s="4" t="s">
        <v>227</v>
      </c>
      <c r="AN13" s="4">
        <f t="shared" si="42"/>
        <v>20</v>
      </c>
      <c r="AO13" s="4" t="str">
        <f t="shared" si="4"/>
        <v>Deitingen 1</v>
      </c>
      <c r="AP13" s="4" t="str">
        <f t="shared" si="5"/>
        <v>Morges 1</v>
      </c>
      <c r="AQ13" s="4">
        <f t="shared" si="43"/>
        <v>19</v>
      </c>
      <c r="AR13" s="7"/>
      <c r="AS13" s="15">
        <v>2</v>
      </c>
      <c r="AT13" s="4" t="str">
        <f t="shared" si="44"/>
        <v>1W2</v>
      </c>
      <c r="AU13" s="4">
        <f t="shared" si="45"/>
        <v>19</v>
      </c>
      <c r="AV13" s="4" t="str">
        <f t="shared" si="6"/>
        <v>Morges 1</v>
      </c>
      <c r="AW13" s="4" t="str">
        <f t="shared" si="7"/>
        <v>Aaretal</v>
      </c>
      <c r="AX13" s="4">
        <f t="shared" si="46"/>
        <v>18</v>
      </c>
      <c r="AY13" s="7"/>
      <c r="AZ13" s="15">
        <v>3</v>
      </c>
      <c r="BA13" s="4" t="str">
        <f t="shared" si="47"/>
        <v>1W2</v>
      </c>
      <c r="BB13" s="4">
        <f t="shared" si="48"/>
        <v>24</v>
      </c>
      <c r="BC13" s="4" t="str">
        <f t="shared" si="8"/>
        <v>Top Darts</v>
      </c>
      <c r="BD13" s="4" t="str">
        <f t="shared" si="9"/>
        <v>Morges 1</v>
      </c>
      <c r="BE13" s="4">
        <f t="shared" si="49"/>
        <v>19</v>
      </c>
      <c r="BF13" s="7"/>
      <c r="BG13" s="15">
        <v>4</v>
      </c>
      <c r="BH13" s="4" t="str">
        <f t="shared" si="50"/>
        <v>1W2</v>
      </c>
      <c r="BI13" s="4">
        <f t="shared" si="51"/>
        <v>19</v>
      </c>
      <c r="BJ13" s="4" t="str">
        <f t="shared" si="10"/>
        <v>Morges 1</v>
      </c>
      <c r="BK13" s="4" t="str">
        <f t="shared" si="11"/>
        <v>Romont</v>
      </c>
      <c r="BL13" s="4">
        <f t="shared" si="52"/>
        <v>22</v>
      </c>
      <c r="BM13" s="7"/>
      <c r="BN13" s="15">
        <v>5</v>
      </c>
      <c r="BO13" s="4" t="str">
        <f t="shared" si="53"/>
        <v>1W2</v>
      </c>
      <c r="BP13" s="4">
        <f t="shared" si="12"/>
        <v>23</v>
      </c>
      <c r="BQ13" s="4" t="str">
        <f t="shared" si="13"/>
        <v>Madhouse</v>
      </c>
      <c r="BR13" s="4" t="str">
        <f t="shared" si="14"/>
        <v>Freilos 1LW</v>
      </c>
      <c r="BS13" s="4">
        <f t="shared" si="15"/>
        <v>21</v>
      </c>
      <c r="BT13" s="7"/>
      <c r="BU13" s="15">
        <v>6</v>
      </c>
      <c r="BV13" s="4" t="str">
        <f t="shared" si="54"/>
        <v>1W2</v>
      </c>
      <c r="BW13" s="4">
        <f t="shared" si="16"/>
        <v>19</v>
      </c>
      <c r="BX13" s="4" t="str">
        <f t="shared" si="17"/>
        <v>Morges 1</v>
      </c>
      <c r="BY13" s="4" t="str">
        <f t="shared" si="18"/>
        <v>Madhouse</v>
      </c>
      <c r="BZ13" s="4">
        <f t="shared" si="19"/>
        <v>23</v>
      </c>
      <c r="CA13" s="7"/>
      <c r="CB13" s="15">
        <v>7</v>
      </c>
      <c r="CC13" s="4" t="str">
        <f t="shared" si="55"/>
        <v>1W2</v>
      </c>
      <c r="CD13" s="4">
        <f t="shared" si="20"/>
        <v>21</v>
      </c>
      <c r="CE13" s="4" t="str">
        <f t="shared" si="21"/>
        <v>Freilos 1LW</v>
      </c>
      <c r="CF13" s="4" t="str">
        <f t="shared" si="22"/>
        <v>Morges 1</v>
      </c>
      <c r="CG13" s="4">
        <f t="shared" si="23"/>
        <v>19</v>
      </c>
      <c r="CH13" s="7"/>
      <c r="CI13" s="15">
        <v>8</v>
      </c>
      <c r="CJ13" s="4" t="str">
        <f t="shared" si="56"/>
        <v>1W2</v>
      </c>
      <c r="CK13" s="4">
        <f t="shared" si="57"/>
        <v>19</v>
      </c>
      <c r="CL13" s="4" t="str">
        <f t="shared" si="24"/>
        <v>Morges 1</v>
      </c>
      <c r="CM13" s="4" t="str">
        <f t="shared" si="25"/>
        <v>Deitingen 1</v>
      </c>
      <c r="CN13" s="4">
        <f t="shared" si="58"/>
        <v>20</v>
      </c>
      <c r="CO13" s="7"/>
      <c r="CP13" s="15">
        <v>9</v>
      </c>
      <c r="CQ13" s="4" t="str">
        <f t="shared" si="59"/>
        <v>1W2</v>
      </c>
      <c r="CR13" s="4">
        <f t="shared" si="60"/>
        <v>18</v>
      </c>
      <c r="CS13" s="4" t="str">
        <f t="shared" si="26"/>
        <v>Aaretal</v>
      </c>
      <c r="CT13" s="4" t="str">
        <f t="shared" si="27"/>
        <v>Morges 1</v>
      </c>
      <c r="CU13" s="4">
        <f t="shared" si="61"/>
        <v>19</v>
      </c>
      <c r="CV13" s="7"/>
      <c r="CW13" s="15">
        <v>10</v>
      </c>
      <c r="CX13" s="4" t="str">
        <f t="shared" si="62"/>
        <v>1W2</v>
      </c>
      <c r="CY13" s="4">
        <f t="shared" si="63"/>
        <v>19</v>
      </c>
      <c r="CZ13" s="4" t="str">
        <f t="shared" si="28"/>
        <v>Morges 1</v>
      </c>
      <c r="DA13" s="4" t="str">
        <f t="shared" si="29"/>
        <v>Top Darts</v>
      </c>
      <c r="DB13" s="4">
        <f t="shared" si="64"/>
        <v>24</v>
      </c>
      <c r="DC13" s="7"/>
      <c r="DD13" s="15">
        <v>11</v>
      </c>
      <c r="DE13" s="4" t="str">
        <f t="shared" si="65"/>
        <v>1W2</v>
      </c>
      <c r="DF13" s="4">
        <f t="shared" si="66"/>
        <v>22</v>
      </c>
      <c r="DG13" s="4" t="str">
        <f t="shared" si="30"/>
        <v>Romont</v>
      </c>
      <c r="DH13" s="4" t="str">
        <f t="shared" si="31"/>
        <v>Morges 1</v>
      </c>
      <c r="DI13" s="4">
        <f t="shared" si="67"/>
        <v>19</v>
      </c>
      <c r="DJ13" s="7"/>
      <c r="DK13" s="15">
        <v>12</v>
      </c>
      <c r="DL13" s="4" t="str">
        <f t="shared" si="68"/>
        <v>1W2</v>
      </c>
      <c r="DM13" s="4">
        <f t="shared" si="69"/>
        <v>21</v>
      </c>
      <c r="DN13" s="4" t="str">
        <f t="shared" si="32"/>
        <v>Freilos 1LW</v>
      </c>
      <c r="DO13" s="4" t="str">
        <f t="shared" si="33"/>
        <v>Madhouse</v>
      </c>
      <c r="DP13" s="4">
        <f t="shared" si="70"/>
        <v>23</v>
      </c>
      <c r="DQ13" s="7"/>
      <c r="DR13" s="15">
        <v>13</v>
      </c>
      <c r="DS13" s="4" t="str">
        <f t="shared" si="71"/>
        <v>1W2</v>
      </c>
      <c r="DT13" s="4">
        <f t="shared" si="72"/>
        <v>23</v>
      </c>
      <c r="DU13" s="4" t="str">
        <f t="shared" si="34"/>
        <v>Madhouse</v>
      </c>
      <c r="DV13" s="4" t="str">
        <f t="shared" si="35"/>
        <v>Morges 1</v>
      </c>
      <c r="DW13" s="4">
        <f t="shared" si="73"/>
        <v>19</v>
      </c>
      <c r="DX13" s="7"/>
      <c r="DY13" s="15">
        <v>14</v>
      </c>
      <c r="DZ13" s="4" t="str">
        <f t="shared" si="74"/>
        <v>1W2</v>
      </c>
      <c r="EA13" s="4">
        <f t="shared" si="75"/>
        <v>19</v>
      </c>
      <c r="EB13" s="4" t="str">
        <f t="shared" si="36"/>
        <v>Morges 1</v>
      </c>
      <c r="EC13" s="4" t="str">
        <f t="shared" si="37"/>
        <v>Freilos 1LW</v>
      </c>
      <c r="ED13" s="4">
        <f t="shared" si="76"/>
        <v>21</v>
      </c>
      <c r="EE13" s="7"/>
      <c r="EF13" s="1" t="str">
        <f t="shared" si="77"/>
        <v>B</v>
      </c>
      <c r="EG13" s="1">
        <v>12</v>
      </c>
      <c r="EH13" s="1" t="str">
        <f t="shared" si="78"/>
        <v>Torp. Wimmis 1</v>
      </c>
      <c r="EI13" s="1">
        <f t="shared" si="79"/>
        <v>3600</v>
      </c>
      <c r="EK13" s="1">
        <v>20</v>
      </c>
      <c r="EL13" s="1">
        <v>19</v>
      </c>
      <c r="EN13" s="1" t="s">
        <v>1263</v>
      </c>
    </row>
    <row r="14" spans="1:144" ht="24.95" customHeight="1">
      <c r="A14" s="1">
        <v>9</v>
      </c>
      <c r="B14" s="16" t="s">
        <v>1248</v>
      </c>
      <c r="C14" s="1" t="s">
        <v>44</v>
      </c>
      <c r="D14" s="2">
        <v>1</v>
      </c>
      <c r="E14" s="7">
        <v>9</v>
      </c>
      <c r="F14" s="9" t="s">
        <v>21</v>
      </c>
      <c r="G14" s="155">
        <v>2600</v>
      </c>
      <c r="H14" s="16"/>
      <c r="I14" s="76">
        <f>VLOOKUP(G14,Licenses!B:K,10,FALSE)</f>
        <v>0</v>
      </c>
      <c r="J14" s="16"/>
      <c r="K14" s="16"/>
      <c r="L14" t="str">
        <f t="shared" si="1"/>
        <v>1W3 Freilos 1LW</v>
      </c>
      <c r="M14" s="1">
        <v>12</v>
      </c>
      <c r="N14" s="1">
        <v>2</v>
      </c>
      <c r="O14" s="1" t="s">
        <v>837</v>
      </c>
      <c r="Q14" s="10" t="s">
        <v>228</v>
      </c>
      <c r="R14" s="1">
        <f t="shared" si="2"/>
        <v>21</v>
      </c>
      <c r="S14" s="1" t="str">
        <f t="shared" si="40"/>
        <v>Freilos 1LW</v>
      </c>
      <c r="T14" s="1" t="str">
        <f t="shared" si="41"/>
        <v>Aaretal</v>
      </c>
      <c r="U14" s="1">
        <f t="shared" si="3"/>
        <v>18</v>
      </c>
      <c r="AL14" s="15">
        <v>1</v>
      </c>
      <c r="AM14" s="4" t="s">
        <v>228</v>
      </c>
      <c r="AN14" s="4">
        <f t="shared" si="42"/>
        <v>22</v>
      </c>
      <c r="AO14" s="4" t="str">
        <f t="shared" si="4"/>
        <v>Romont</v>
      </c>
      <c r="AP14" s="4" t="str">
        <f t="shared" si="5"/>
        <v>Freilos 1LW</v>
      </c>
      <c r="AQ14" s="4">
        <f t="shared" si="43"/>
        <v>21</v>
      </c>
      <c r="AR14" s="7"/>
      <c r="AS14" s="15">
        <v>2</v>
      </c>
      <c r="AT14" s="4" t="str">
        <f t="shared" si="44"/>
        <v>1W3</v>
      </c>
      <c r="AU14" s="4">
        <f t="shared" si="45"/>
        <v>21</v>
      </c>
      <c r="AV14" s="4" t="str">
        <f t="shared" si="6"/>
        <v>Freilos 1LW</v>
      </c>
      <c r="AW14" s="4" t="str">
        <f t="shared" si="7"/>
        <v>Deitingen 1</v>
      </c>
      <c r="AX14" s="4">
        <f t="shared" si="46"/>
        <v>20</v>
      </c>
      <c r="AY14" s="7"/>
      <c r="AZ14" s="15">
        <v>3</v>
      </c>
      <c r="BA14" s="4" t="str">
        <f t="shared" si="47"/>
        <v>1W3</v>
      </c>
      <c r="BB14" s="4">
        <f t="shared" si="48"/>
        <v>18</v>
      </c>
      <c r="BC14" s="4" t="str">
        <f t="shared" si="8"/>
        <v>Aaretal</v>
      </c>
      <c r="BD14" s="4" t="str">
        <f t="shared" si="9"/>
        <v>Freilos 1LW</v>
      </c>
      <c r="BE14" s="4">
        <f t="shared" si="49"/>
        <v>21</v>
      </c>
      <c r="BF14" s="7"/>
      <c r="BG14" s="15">
        <v>4</v>
      </c>
      <c r="BH14" s="4" t="str">
        <f t="shared" si="50"/>
        <v>1W3</v>
      </c>
      <c r="BI14" s="4">
        <f t="shared" si="51"/>
        <v>21</v>
      </c>
      <c r="BJ14" s="4" t="str">
        <f t="shared" si="10"/>
        <v>Freilos 1LW</v>
      </c>
      <c r="BK14" s="4" t="str">
        <f t="shared" si="11"/>
        <v>Top Darts</v>
      </c>
      <c r="BL14" s="4">
        <f t="shared" si="52"/>
        <v>24</v>
      </c>
      <c r="BM14" s="7"/>
      <c r="BN14" s="15">
        <v>5</v>
      </c>
      <c r="BO14" s="4" t="str">
        <f t="shared" si="53"/>
        <v>1W3</v>
      </c>
      <c r="BP14" s="4">
        <f t="shared" si="12"/>
        <v>20</v>
      </c>
      <c r="BQ14" s="4" t="str">
        <f t="shared" si="13"/>
        <v>Deitingen 1</v>
      </c>
      <c r="BR14" s="4" t="str">
        <f t="shared" si="14"/>
        <v>Aaretal</v>
      </c>
      <c r="BS14" s="4">
        <f t="shared" si="15"/>
        <v>18</v>
      </c>
      <c r="BT14" s="7"/>
      <c r="BU14" s="15">
        <v>6</v>
      </c>
      <c r="BV14" s="4" t="str">
        <f t="shared" si="54"/>
        <v>1W3</v>
      </c>
      <c r="BW14" s="4">
        <f t="shared" si="16"/>
        <v>18</v>
      </c>
      <c r="BX14" s="4" t="str">
        <f t="shared" si="17"/>
        <v>Aaretal</v>
      </c>
      <c r="BY14" s="4" t="str">
        <f t="shared" si="18"/>
        <v>Romont</v>
      </c>
      <c r="BZ14" s="4">
        <f t="shared" si="19"/>
        <v>22</v>
      </c>
      <c r="CA14" s="7"/>
      <c r="CB14" s="15">
        <v>7</v>
      </c>
      <c r="CC14" s="4" t="str">
        <f t="shared" si="55"/>
        <v>1W3</v>
      </c>
      <c r="CD14" s="4">
        <f t="shared" si="20"/>
        <v>24</v>
      </c>
      <c r="CE14" s="4" t="str">
        <f t="shared" si="21"/>
        <v>Top Darts</v>
      </c>
      <c r="CF14" s="4" t="str">
        <f t="shared" si="22"/>
        <v>Aaretal</v>
      </c>
      <c r="CG14" s="4">
        <f t="shared" si="23"/>
        <v>18</v>
      </c>
      <c r="CH14" s="7"/>
      <c r="CI14" s="15">
        <v>8</v>
      </c>
      <c r="CJ14" s="4" t="str">
        <f t="shared" si="56"/>
        <v>1W3</v>
      </c>
      <c r="CK14" s="4">
        <f t="shared" si="57"/>
        <v>21</v>
      </c>
      <c r="CL14" s="4" t="str">
        <f t="shared" si="24"/>
        <v>Freilos 1LW</v>
      </c>
      <c r="CM14" s="4" t="str">
        <f t="shared" si="25"/>
        <v>Romont</v>
      </c>
      <c r="CN14" s="4">
        <f t="shared" si="58"/>
        <v>22</v>
      </c>
      <c r="CO14" s="7"/>
      <c r="CP14" s="15">
        <v>9</v>
      </c>
      <c r="CQ14" s="4" t="str">
        <f t="shared" si="59"/>
        <v>1W3</v>
      </c>
      <c r="CR14" s="4">
        <f t="shared" si="60"/>
        <v>20</v>
      </c>
      <c r="CS14" s="4" t="str">
        <f t="shared" si="26"/>
        <v>Deitingen 1</v>
      </c>
      <c r="CT14" s="4" t="str">
        <f t="shared" si="27"/>
        <v>Freilos 1LW</v>
      </c>
      <c r="CU14" s="4">
        <f t="shared" si="61"/>
        <v>21</v>
      </c>
      <c r="CV14" s="7"/>
      <c r="CW14" s="15">
        <v>10</v>
      </c>
      <c r="CX14" s="4" t="str">
        <f t="shared" si="62"/>
        <v>1W3</v>
      </c>
      <c r="CY14" s="4">
        <f t="shared" si="63"/>
        <v>21</v>
      </c>
      <c r="CZ14" s="4" t="str">
        <f t="shared" si="28"/>
        <v>Freilos 1LW</v>
      </c>
      <c r="DA14" s="4" t="str">
        <f t="shared" si="29"/>
        <v>Aaretal</v>
      </c>
      <c r="DB14" s="4">
        <f t="shared" si="64"/>
        <v>18</v>
      </c>
      <c r="DC14" s="7"/>
      <c r="DD14" s="15">
        <v>11</v>
      </c>
      <c r="DE14" s="4" t="str">
        <f t="shared" si="65"/>
        <v>1W3</v>
      </c>
      <c r="DF14" s="4">
        <f t="shared" si="66"/>
        <v>24</v>
      </c>
      <c r="DG14" s="4" t="str">
        <f t="shared" si="30"/>
        <v>Top Darts</v>
      </c>
      <c r="DH14" s="4" t="str">
        <f t="shared" si="31"/>
        <v>Freilos 1LW</v>
      </c>
      <c r="DI14" s="4">
        <f t="shared" si="67"/>
        <v>21</v>
      </c>
      <c r="DJ14" s="7"/>
      <c r="DK14" s="15">
        <v>12</v>
      </c>
      <c r="DL14" s="4" t="str">
        <f t="shared" si="68"/>
        <v>1W3</v>
      </c>
      <c r="DM14" s="4">
        <f t="shared" si="69"/>
        <v>18</v>
      </c>
      <c r="DN14" s="4" t="str">
        <f t="shared" si="32"/>
        <v>Aaretal</v>
      </c>
      <c r="DO14" s="4" t="str">
        <f t="shared" si="33"/>
        <v>Deitingen 1</v>
      </c>
      <c r="DP14" s="4">
        <f t="shared" si="70"/>
        <v>20</v>
      </c>
      <c r="DQ14" s="7"/>
      <c r="DR14" s="15">
        <v>13</v>
      </c>
      <c r="DS14" s="4" t="str">
        <f t="shared" si="71"/>
        <v>1W3</v>
      </c>
      <c r="DT14" s="4">
        <f t="shared" si="72"/>
        <v>22</v>
      </c>
      <c r="DU14" s="4" t="str">
        <f t="shared" si="34"/>
        <v>Romont</v>
      </c>
      <c r="DV14" s="4" t="str">
        <f t="shared" si="35"/>
        <v>Aaretal</v>
      </c>
      <c r="DW14" s="4">
        <f t="shared" si="73"/>
        <v>18</v>
      </c>
      <c r="DX14" s="7"/>
      <c r="DY14" s="15">
        <v>14</v>
      </c>
      <c r="DZ14" s="4" t="str">
        <f t="shared" si="74"/>
        <v>1W3</v>
      </c>
      <c r="EA14" s="4">
        <f t="shared" si="75"/>
        <v>18</v>
      </c>
      <c r="EB14" s="4" t="str">
        <f t="shared" si="36"/>
        <v>Aaretal</v>
      </c>
      <c r="EC14" s="4" t="str">
        <f t="shared" si="37"/>
        <v>Top Darts</v>
      </c>
      <c r="ED14" s="4">
        <f t="shared" si="76"/>
        <v>24</v>
      </c>
      <c r="EE14" s="7"/>
      <c r="EF14" s="1" t="str">
        <f t="shared" si="77"/>
        <v>B</v>
      </c>
      <c r="EG14" s="1">
        <v>13</v>
      </c>
      <c r="EH14" s="1" t="str">
        <f t="shared" si="78"/>
        <v>Bern 1</v>
      </c>
      <c r="EI14" s="1">
        <f t="shared" si="79"/>
        <v>500</v>
      </c>
      <c r="EK14" s="1">
        <v>22</v>
      </c>
      <c r="EL14" s="1">
        <v>21</v>
      </c>
      <c r="EN14" s="1" t="s">
        <v>1264</v>
      </c>
    </row>
    <row r="15" spans="1:144" ht="24.95" customHeight="1" thickBot="1">
      <c r="A15" s="1">
        <v>10</v>
      </c>
      <c r="B15" s="16" t="s">
        <v>1249</v>
      </c>
      <c r="C15" s="1" t="s">
        <v>46</v>
      </c>
      <c r="D15" s="2">
        <v>2</v>
      </c>
      <c r="E15" s="7">
        <v>10</v>
      </c>
      <c r="F15" s="9" t="s">
        <v>57</v>
      </c>
      <c r="G15" s="155">
        <v>3800</v>
      </c>
      <c r="H15" s="16"/>
      <c r="I15" s="76">
        <f>VLOOKUP(G15,Licenses!B:K,10,FALSE)</f>
        <v>0</v>
      </c>
      <c r="J15" s="16"/>
      <c r="K15" s="16"/>
      <c r="L15" t="str">
        <f t="shared" si="1"/>
        <v>1W4 Madhouse</v>
      </c>
      <c r="M15" s="1">
        <v>13</v>
      </c>
      <c r="N15" s="1">
        <v>2</v>
      </c>
      <c r="O15" s="1" t="s">
        <v>837</v>
      </c>
      <c r="Q15" s="10" t="s">
        <v>229</v>
      </c>
      <c r="R15" s="1">
        <f t="shared" si="2"/>
        <v>23</v>
      </c>
      <c r="S15" s="1" t="str">
        <f t="shared" si="40"/>
        <v>Madhouse</v>
      </c>
      <c r="T15" s="1" t="str">
        <f t="shared" si="41"/>
        <v>Deitingen 1</v>
      </c>
      <c r="U15" s="1">
        <f t="shared" si="3"/>
        <v>20</v>
      </c>
      <c r="AL15" s="17">
        <v>1</v>
      </c>
      <c r="AM15" s="18" t="s">
        <v>229</v>
      </c>
      <c r="AN15" s="18">
        <f t="shared" si="42"/>
        <v>24</v>
      </c>
      <c r="AO15" s="18" t="str">
        <f t="shared" si="4"/>
        <v>Top Darts</v>
      </c>
      <c r="AP15" s="18" t="str">
        <f t="shared" si="5"/>
        <v>Madhouse</v>
      </c>
      <c r="AQ15" s="18">
        <f t="shared" si="43"/>
        <v>23</v>
      </c>
      <c r="AR15" s="19"/>
      <c r="AS15" s="17">
        <v>2</v>
      </c>
      <c r="AT15" s="18" t="str">
        <f t="shared" si="44"/>
        <v>1W4</v>
      </c>
      <c r="AU15" s="18">
        <f t="shared" si="45"/>
        <v>23</v>
      </c>
      <c r="AV15" s="18" t="str">
        <f t="shared" si="6"/>
        <v>Madhouse</v>
      </c>
      <c r="AW15" s="18" t="str">
        <f t="shared" si="7"/>
        <v>Romont</v>
      </c>
      <c r="AX15" s="18">
        <f t="shared" si="46"/>
        <v>22</v>
      </c>
      <c r="AY15" s="19"/>
      <c r="AZ15" s="17">
        <v>3</v>
      </c>
      <c r="BA15" s="18" t="str">
        <f t="shared" si="47"/>
        <v>1W4</v>
      </c>
      <c r="BB15" s="18">
        <f t="shared" si="48"/>
        <v>20</v>
      </c>
      <c r="BC15" s="18" t="str">
        <f t="shared" si="8"/>
        <v>Deitingen 1</v>
      </c>
      <c r="BD15" s="18" t="str">
        <f t="shared" si="9"/>
        <v>Madhouse</v>
      </c>
      <c r="BE15" s="18">
        <f t="shared" si="49"/>
        <v>23</v>
      </c>
      <c r="BF15" s="19"/>
      <c r="BG15" s="17">
        <v>4</v>
      </c>
      <c r="BH15" s="18" t="str">
        <f t="shared" si="50"/>
        <v>1W4</v>
      </c>
      <c r="BI15" s="18">
        <f t="shared" si="51"/>
        <v>23</v>
      </c>
      <c r="BJ15" s="18" t="str">
        <f t="shared" si="10"/>
        <v>Madhouse</v>
      </c>
      <c r="BK15" s="18" t="str">
        <f t="shared" si="11"/>
        <v>Aaretal</v>
      </c>
      <c r="BL15" s="18">
        <f t="shared" si="52"/>
        <v>18</v>
      </c>
      <c r="BM15" s="19"/>
      <c r="BN15" s="17">
        <v>5</v>
      </c>
      <c r="BO15" s="18" t="str">
        <f t="shared" si="53"/>
        <v>1W4</v>
      </c>
      <c r="BP15" s="18">
        <f t="shared" si="12"/>
        <v>24</v>
      </c>
      <c r="BQ15" s="18" t="str">
        <f t="shared" si="13"/>
        <v>Top Darts</v>
      </c>
      <c r="BR15" s="18" t="str">
        <f t="shared" si="14"/>
        <v>Romont</v>
      </c>
      <c r="BS15" s="18">
        <f t="shared" si="15"/>
        <v>22</v>
      </c>
      <c r="BT15" s="19"/>
      <c r="BU15" s="17">
        <v>6</v>
      </c>
      <c r="BV15" s="18" t="str">
        <f t="shared" si="54"/>
        <v>1W4</v>
      </c>
      <c r="BW15" s="18">
        <f t="shared" si="16"/>
        <v>20</v>
      </c>
      <c r="BX15" s="18" t="str">
        <f t="shared" si="17"/>
        <v>Deitingen 1</v>
      </c>
      <c r="BY15" s="18" t="str">
        <f t="shared" si="18"/>
        <v>Top Darts</v>
      </c>
      <c r="BZ15" s="18">
        <f t="shared" si="19"/>
        <v>24</v>
      </c>
      <c r="CA15" s="19"/>
      <c r="CB15" s="17">
        <v>7</v>
      </c>
      <c r="CC15" s="18" t="str">
        <f t="shared" si="55"/>
        <v>1W4</v>
      </c>
      <c r="CD15" s="18">
        <f t="shared" si="20"/>
        <v>22</v>
      </c>
      <c r="CE15" s="18" t="str">
        <f t="shared" si="21"/>
        <v>Romont</v>
      </c>
      <c r="CF15" s="18" t="str">
        <f t="shared" si="22"/>
        <v>Deitingen 1</v>
      </c>
      <c r="CG15" s="18">
        <f t="shared" si="23"/>
        <v>20</v>
      </c>
      <c r="CH15" s="19"/>
      <c r="CI15" s="17">
        <v>8</v>
      </c>
      <c r="CJ15" s="18" t="str">
        <f t="shared" si="56"/>
        <v>1W4</v>
      </c>
      <c r="CK15" s="18">
        <f t="shared" si="57"/>
        <v>23</v>
      </c>
      <c r="CL15" s="18" t="str">
        <f t="shared" si="24"/>
        <v>Madhouse</v>
      </c>
      <c r="CM15" s="18" t="str">
        <f t="shared" si="25"/>
        <v>Top Darts</v>
      </c>
      <c r="CN15" s="18">
        <f t="shared" si="58"/>
        <v>24</v>
      </c>
      <c r="CO15" s="19"/>
      <c r="CP15" s="17">
        <v>9</v>
      </c>
      <c r="CQ15" s="18" t="str">
        <f t="shared" si="59"/>
        <v>1W4</v>
      </c>
      <c r="CR15" s="18">
        <f t="shared" si="60"/>
        <v>22</v>
      </c>
      <c r="CS15" s="18" t="str">
        <f t="shared" si="26"/>
        <v>Romont</v>
      </c>
      <c r="CT15" s="18" t="str">
        <f t="shared" si="27"/>
        <v>Madhouse</v>
      </c>
      <c r="CU15" s="18">
        <f t="shared" si="61"/>
        <v>23</v>
      </c>
      <c r="CV15" s="19"/>
      <c r="CW15" s="17">
        <v>10</v>
      </c>
      <c r="CX15" s="18" t="str">
        <f t="shared" si="62"/>
        <v>1W4</v>
      </c>
      <c r="CY15" s="18">
        <f t="shared" si="63"/>
        <v>23</v>
      </c>
      <c r="CZ15" s="18" t="str">
        <f t="shared" si="28"/>
        <v>Madhouse</v>
      </c>
      <c r="DA15" s="18" t="str">
        <f t="shared" si="29"/>
        <v>Deitingen 1</v>
      </c>
      <c r="DB15" s="18">
        <f t="shared" si="64"/>
        <v>20</v>
      </c>
      <c r="DC15" s="19"/>
      <c r="DD15" s="17">
        <v>11</v>
      </c>
      <c r="DE15" s="18" t="str">
        <f t="shared" si="65"/>
        <v>1W4</v>
      </c>
      <c r="DF15" s="18">
        <f t="shared" si="66"/>
        <v>18</v>
      </c>
      <c r="DG15" s="18" t="str">
        <f t="shared" si="30"/>
        <v>Aaretal</v>
      </c>
      <c r="DH15" s="18" t="str">
        <f t="shared" si="31"/>
        <v>Madhouse</v>
      </c>
      <c r="DI15" s="18">
        <f t="shared" si="67"/>
        <v>23</v>
      </c>
      <c r="DJ15" s="19"/>
      <c r="DK15" s="17">
        <v>12</v>
      </c>
      <c r="DL15" s="18" t="str">
        <f t="shared" si="68"/>
        <v>1W4</v>
      </c>
      <c r="DM15" s="18">
        <f t="shared" si="69"/>
        <v>22</v>
      </c>
      <c r="DN15" s="18" t="str">
        <f t="shared" si="32"/>
        <v>Romont</v>
      </c>
      <c r="DO15" s="18" t="str">
        <f t="shared" si="33"/>
        <v>Top Darts</v>
      </c>
      <c r="DP15" s="18">
        <f t="shared" si="70"/>
        <v>24</v>
      </c>
      <c r="DQ15" s="19"/>
      <c r="DR15" s="17">
        <v>13</v>
      </c>
      <c r="DS15" s="18" t="str">
        <f t="shared" si="71"/>
        <v>1W4</v>
      </c>
      <c r="DT15" s="18">
        <f t="shared" si="72"/>
        <v>24</v>
      </c>
      <c r="DU15" s="18" t="str">
        <f t="shared" si="34"/>
        <v>Top Darts</v>
      </c>
      <c r="DV15" s="18" t="str">
        <f t="shared" si="35"/>
        <v>Deitingen 1</v>
      </c>
      <c r="DW15" s="18">
        <f t="shared" si="73"/>
        <v>20</v>
      </c>
      <c r="DX15" s="19"/>
      <c r="DY15" s="17">
        <v>14</v>
      </c>
      <c r="DZ15" s="18" t="str">
        <f t="shared" si="74"/>
        <v>1W4</v>
      </c>
      <c r="EA15" s="18">
        <f t="shared" si="75"/>
        <v>20</v>
      </c>
      <c r="EB15" s="18" t="str">
        <f t="shared" si="36"/>
        <v>Deitingen 1</v>
      </c>
      <c r="EC15" s="18" t="str">
        <f t="shared" si="37"/>
        <v>Romont</v>
      </c>
      <c r="ED15" s="18">
        <f t="shared" si="76"/>
        <v>22</v>
      </c>
      <c r="EE15" s="19"/>
      <c r="EF15" s="1" t="str">
        <f t="shared" si="77"/>
        <v>B</v>
      </c>
      <c r="EG15" s="1">
        <v>14</v>
      </c>
      <c r="EH15" s="1" t="str">
        <f t="shared" si="78"/>
        <v>Iron Tigers</v>
      </c>
      <c r="EI15" s="1">
        <f t="shared" si="79"/>
        <v>2700</v>
      </c>
      <c r="EK15" s="1">
        <v>24</v>
      </c>
      <c r="EL15" s="1">
        <v>23</v>
      </c>
      <c r="EN15" s="1" t="s">
        <v>1265</v>
      </c>
    </row>
    <row r="16" spans="1:144" ht="24.95" customHeight="1">
      <c r="A16" s="1">
        <v>11</v>
      </c>
      <c r="B16" s="16" t="s">
        <v>1250</v>
      </c>
      <c r="C16" s="1" t="s">
        <v>48</v>
      </c>
      <c r="D16" s="2">
        <v>3</v>
      </c>
      <c r="E16" s="7">
        <v>11</v>
      </c>
      <c r="F16" s="9" t="s">
        <v>65</v>
      </c>
      <c r="G16" s="155">
        <v>1400</v>
      </c>
      <c r="H16" s="16"/>
      <c r="I16" s="76">
        <f>VLOOKUP(G16,Licenses!B:K,10,FALSE)</f>
        <v>0</v>
      </c>
      <c r="J16" s="16"/>
      <c r="K16" s="16"/>
      <c r="L16" t="str">
        <f t="shared" si="1"/>
        <v>1O1 Eastern Switzerl.</v>
      </c>
      <c r="M16" s="1">
        <v>14</v>
      </c>
      <c r="N16" s="1">
        <v>2</v>
      </c>
      <c r="O16" s="1" t="s">
        <v>838</v>
      </c>
      <c r="Q16" s="10" t="s">
        <v>230</v>
      </c>
      <c r="R16" s="1">
        <f t="shared" si="2"/>
        <v>25</v>
      </c>
      <c r="S16" s="1" t="str">
        <f t="shared" si="40"/>
        <v>Eastern Switzerl.</v>
      </c>
      <c r="T16" s="1" t="str">
        <f t="shared" si="41"/>
        <v>Ice Age</v>
      </c>
      <c r="U16" s="1">
        <f t="shared" si="3"/>
        <v>30</v>
      </c>
      <c r="AL16" s="12">
        <v>1</v>
      </c>
      <c r="AM16" s="13" t="s">
        <v>230</v>
      </c>
      <c r="AN16" s="13">
        <f t="shared" si="42"/>
        <v>26</v>
      </c>
      <c r="AO16" s="13" t="str">
        <f t="shared" si="4"/>
        <v>Einsiedeln 2</v>
      </c>
      <c r="AP16" s="13" t="str">
        <f t="shared" si="5"/>
        <v>Eastern Switzerl.</v>
      </c>
      <c r="AQ16" s="13">
        <f t="shared" si="43"/>
        <v>25</v>
      </c>
      <c r="AR16" s="14"/>
      <c r="AS16" s="12">
        <v>2</v>
      </c>
      <c r="AT16" s="13" t="str">
        <f t="shared" si="44"/>
        <v>1O1</v>
      </c>
      <c r="AU16" s="13">
        <f t="shared" si="45"/>
        <v>32</v>
      </c>
      <c r="AV16" s="13" t="str">
        <f t="shared" si="6"/>
        <v>Gelterkinden 1</v>
      </c>
      <c r="AW16" s="13" t="str">
        <f t="shared" si="7"/>
        <v>Eastern Switzerl.</v>
      </c>
      <c r="AX16" s="13">
        <f t="shared" si="46"/>
        <v>25</v>
      </c>
      <c r="AY16" s="14"/>
      <c r="AZ16" s="12">
        <v>3</v>
      </c>
      <c r="BA16" s="13" t="str">
        <f t="shared" si="47"/>
        <v>1O1</v>
      </c>
      <c r="BB16" s="13">
        <f t="shared" si="48"/>
        <v>30</v>
      </c>
      <c r="BC16" s="13" t="str">
        <f t="shared" si="8"/>
        <v>Ice Age</v>
      </c>
      <c r="BD16" s="13" t="str">
        <f t="shared" si="9"/>
        <v>Eastern Switzerl.</v>
      </c>
      <c r="BE16" s="13">
        <f t="shared" si="49"/>
        <v>25</v>
      </c>
      <c r="BF16" s="14"/>
      <c r="BG16" s="12">
        <v>4</v>
      </c>
      <c r="BH16" s="13" t="str">
        <f t="shared" si="50"/>
        <v>1O1</v>
      </c>
      <c r="BI16" s="13">
        <f t="shared" si="51"/>
        <v>25</v>
      </c>
      <c r="BJ16" s="13" t="str">
        <f t="shared" si="10"/>
        <v>Eastern Switzerl.</v>
      </c>
      <c r="BK16" s="13" t="str">
        <f t="shared" si="11"/>
        <v>Basel</v>
      </c>
      <c r="BL16" s="13">
        <f t="shared" si="52"/>
        <v>28</v>
      </c>
      <c r="BM16" s="14"/>
      <c r="BN16" s="12">
        <v>5</v>
      </c>
      <c r="BO16" s="13" t="str">
        <f t="shared" si="53"/>
        <v>1O1</v>
      </c>
      <c r="BP16" s="13">
        <f t="shared" si="12"/>
        <v>27</v>
      </c>
      <c r="BQ16" s="13" t="str">
        <f t="shared" si="13"/>
        <v>Brugg 2</v>
      </c>
      <c r="BR16" s="13" t="str">
        <f t="shared" si="14"/>
        <v>Eastern Switzerl.</v>
      </c>
      <c r="BS16" s="13">
        <f t="shared" si="15"/>
        <v>25</v>
      </c>
      <c r="BT16" s="14"/>
      <c r="BU16" s="12">
        <v>6</v>
      </c>
      <c r="BV16" s="13" t="str">
        <f t="shared" si="54"/>
        <v>1O1</v>
      </c>
      <c r="BW16" s="13">
        <f t="shared" si="16"/>
        <v>25</v>
      </c>
      <c r="BX16" s="13" t="str">
        <f t="shared" si="17"/>
        <v>Eastern Switzerl.</v>
      </c>
      <c r="BY16" s="13" t="str">
        <f t="shared" si="18"/>
        <v>Zurich Rebels</v>
      </c>
      <c r="BZ16" s="13">
        <f t="shared" si="19"/>
        <v>29</v>
      </c>
      <c r="CA16" s="14"/>
      <c r="CB16" s="12">
        <v>7</v>
      </c>
      <c r="CC16" s="13" t="str">
        <f t="shared" si="55"/>
        <v>1O1</v>
      </c>
      <c r="CD16" s="13">
        <f t="shared" si="20"/>
        <v>31</v>
      </c>
      <c r="CE16" s="13" t="str">
        <f t="shared" si="21"/>
        <v>Papillon 1</v>
      </c>
      <c r="CF16" s="13" t="str">
        <f t="shared" si="22"/>
        <v>Eastern Switzerl.</v>
      </c>
      <c r="CG16" s="13">
        <f t="shared" si="23"/>
        <v>25</v>
      </c>
      <c r="CH16" s="14"/>
      <c r="CI16" s="12">
        <v>8</v>
      </c>
      <c r="CJ16" s="13" t="str">
        <f t="shared" si="56"/>
        <v>1O1</v>
      </c>
      <c r="CK16" s="13">
        <f t="shared" si="57"/>
        <v>25</v>
      </c>
      <c r="CL16" s="13" t="str">
        <f t="shared" si="24"/>
        <v>Eastern Switzerl.</v>
      </c>
      <c r="CM16" s="13" t="str">
        <f t="shared" si="25"/>
        <v>Einsiedeln 2</v>
      </c>
      <c r="CN16" s="13">
        <f t="shared" si="58"/>
        <v>26</v>
      </c>
      <c r="CO16" s="14"/>
      <c r="CP16" s="12">
        <v>9</v>
      </c>
      <c r="CQ16" s="13" t="str">
        <f t="shared" si="59"/>
        <v>1O1</v>
      </c>
      <c r="CR16" s="13">
        <f t="shared" si="60"/>
        <v>25</v>
      </c>
      <c r="CS16" s="13" t="str">
        <f t="shared" si="26"/>
        <v>Eastern Switzerl.</v>
      </c>
      <c r="CT16" s="13" t="str">
        <f t="shared" si="27"/>
        <v>Gelterkinden 1</v>
      </c>
      <c r="CU16" s="13">
        <f t="shared" si="61"/>
        <v>32</v>
      </c>
      <c r="CV16" s="14"/>
      <c r="CW16" s="12">
        <v>10</v>
      </c>
      <c r="CX16" s="13" t="str">
        <f t="shared" si="62"/>
        <v>1O1</v>
      </c>
      <c r="CY16" s="13">
        <f t="shared" si="63"/>
        <v>25</v>
      </c>
      <c r="CZ16" s="13" t="str">
        <f t="shared" si="28"/>
        <v>Eastern Switzerl.</v>
      </c>
      <c r="DA16" s="13" t="str">
        <f t="shared" si="29"/>
        <v>Ice Age</v>
      </c>
      <c r="DB16" s="13">
        <f t="shared" si="64"/>
        <v>30</v>
      </c>
      <c r="DC16" s="14"/>
      <c r="DD16" s="12">
        <v>11</v>
      </c>
      <c r="DE16" s="13" t="str">
        <f t="shared" si="65"/>
        <v>1O1</v>
      </c>
      <c r="DF16" s="13">
        <f t="shared" si="66"/>
        <v>28</v>
      </c>
      <c r="DG16" s="13" t="str">
        <f t="shared" si="30"/>
        <v>Basel</v>
      </c>
      <c r="DH16" s="13" t="str">
        <f t="shared" si="31"/>
        <v>Eastern Switzerl.</v>
      </c>
      <c r="DI16" s="13">
        <f t="shared" si="67"/>
        <v>25</v>
      </c>
      <c r="DJ16" s="14"/>
      <c r="DK16" s="12">
        <v>12</v>
      </c>
      <c r="DL16" s="13" t="str">
        <f t="shared" si="68"/>
        <v>1O1</v>
      </c>
      <c r="DM16" s="13">
        <f t="shared" si="69"/>
        <v>25</v>
      </c>
      <c r="DN16" s="13" t="str">
        <f t="shared" si="32"/>
        <v>Eastern Switzerl.</v>
      </c>
      <c r="DO16" s="13" t="str">
        <f t="shared" si="33"/>
        <v>Brugg 2</v>
      </c>
      <c r="DP16" s="13">
        <f t="shared" si="70"/>
        <v>27</v>
      </c>
      <c r="DQ16" s="14"/>
      <c r="DR16" s="12">
        <v>13</v>
      </c>
      <c r="DS16" s="13" t="str">
        <f t="shared" si="71"/>
        <v>1O1</v>
      </c>
      <c r="DT16" s="13">
        <f t="shared" si="72"/>
        <v>29</v>
      </c>
      <c r="DU16" s="13" t="str">
        <f t="shared" si="34"/>
        <v>Zurich Rebels</v>
      </c>
      <c r="DV16" s="13" t="str">
        <f t="shared" si="35"/>
        <v>Eastern Switzerl.</v>
      </c>
      <c r="DW16" s="13">
        <f t="shared" si="73"/>
        <v>25</v>
      </c>
      <c r="DX16" s="14"/>
      <c r="DY16" s="12">
        <v>14</v>
      </c>
      <c r="DZ16" s="13" t="str">
        <f t="shared" si="74"/>
        <v>1O1</v>
      </c>
      <c r="EA16" s="13">
        <f t="shared" si="75"/>
        <v>25</v>
      </c>
      <c r="EB16" s="13" t="str">
        <f t="shared" si="36"/>
        <v>Eastern Switzerl.</v>
      </c>
      <c r="EC16" s="13" t="str">
        <f t="shared" si="37"/>
        <v>Papillon 1</v>
      </c>
      <c r="ED16" s="13">
        <f t="shared" si="76"/>
        <v>31</v>
      </c>
      <c r="EE16" s="14"/>
      <c r="EF16" s="1" t="str">
        <f t="shared" si="77"/>
        <v>B</v>
      </c>
      <c r="EG16" s="1">
        <v>15</v>
      </c>
      <c r="EH16" s="1" t="str">
        <f t="shared" si="78"/>
        <v>Einsiedeln 1</v>
      </c>
      <c r="EI16" s="1">
        <f t="shared" si="79"/>
        <v>2200</v>
      </c>
      <c r="EK16" s="1">
        <v>26</v>
      </c>
      <c r="EL16" s="1">
        <v>25</v>
      </c>
      <c r="EN16" s="1" t="s">
        <v>1266</v>
      </c>
    </row>
    <row r="17" spans="1:167" ht="24.95" customHeight="1">
      <c r="A17" s="1">
        <v>12</v>
      </c>
      <c r="B17" s="16" t="s">
        <v>1251</v>
      </c>
      <c r="C17" s="1" t="s">
        <v>50</v>
      </c>
      <c r="D17" s="2">
        <v>4</v>
      </c>
      <c r="E17" s="7">
        <v>12</v>
      </c>
      <c r="F17" s="9" t="s">
        <v>34</v>
      </c>
      <c r="G17" s="155">
        <v>3600</v>
      </c>
      <c r="H17" s="16"/>
      <c r="I17" s="76">
        <f>VLOOKUP(G17,Licenses!B:K,10,FALSE)</f>
        <v>0</v>
      </c>
      <c r="J17" s="16"/>
      <c r="K17" s="16"/>
      <c r="L17" t="str">
        <f t="shared" si="1"/>
        <v>1O2 Brugg 2</v>
      </c>
      <c r="M17" s="1">
        <v>15</v>
      </c>
      <c r="N17" s="1">
        <v>2</v>
      </c>
      <c r="O17" s="1" t="s">
        <v>838</v>
      </c>
      <c r="Q17" s="10" t="s">
        <v>231</v>
      </c>
      <c r="R17" s="1">
        <f t="shared" si="2"/>
        <v>27</v>
      </c>
      <c r="S17" s="1" t="str">
        <f t="shared" si="40"/>
        <v>Brugg 2</v>
      </c>
      <c r="T17" s="1" t="str">
        <f t="shared" si="41"/>
        <v>Gelterkinden 1</v>
      </c>
      <c r="U17" s="1">
        <f t="shared" si="3"/>
        <v>32</v>
      </c>
      <c r="AK17" s="20"/>
      <c r="AL17" s="15">
        <v>1</v>
      </c>
      <c r="AM17" s="4" t="s">
        <v>231</v>
      </c>
      <c r="AN17" s="4">
        <f t="shared" si="42"/>
        <v>28</v>
      </c>
      <c r="AO17" s="4" t="str">
        <f t="shared" si="4"/>
        <v>Basel</v>
      </c>
      <c r="AP17" s="4" t="str">
        <f t="shared" si="5"/>
        <v>Brugg 2</v>
      </c>
      <c r="AQ17" s="4">
        <f t="shared" si="43"/>
        <v>27</v>
      </c>
      <c r="AR17" s="7"/>
      <c r="AS17" s="15">
        <v>2</v>
      </c>
      <c r="AT17" s="4" t="str">
        <f t="shared" si="44"/>
        <v>1O2</v>
      </c>
      <c r="AU17" s="4">
        <f t="shared" si="45"/>
        <v>27</v>
      </c>
      <c r="AV17" s="4" t="str">
        <f t="shared" si="6"/>
        <v>Brugg 2</v>
      </c>
      <c r="AW17" s="4" t="str">
        <f t="shared" si="7"/>
        <v>Einsiedeln 2</v>
      </c>
      <c r="AX17" s="4">
        <f t="shared" si="46"/>
        <v>26</v>
      </c>
      <c r="AY17" s="7"/>
      <c r="AZ17" s="15">
        <v>3</v>
      </c>
      <c r="BA17" s="4" t="str">
        <f t="shared" si="47"/>
        <v>1O2</v>
      </c>
      <c r="BB17" s="4">
        <f t="shared" si="48"/>
        <v>32</v>
      </c>
      <c r="BC17" s="4" t="str">
        <f t="shared" si="8"/>
        <v>Gelterkinden 1</v>
      </c>
      <c r="BD17" s="4" t="str">
        <f t="shared" si="9"/>
        <v>Brugg 2</v>
      </c>
      <c r="BE17" s="4">
        <f t="shared" si="49"/>
        <v>27</v>
      </c>
      <c r="BF17" s="7"/>
      <c r="BG17" s="15">
        <v>4</v>
      </c>
      <c r="BH17" s="4" t="str">
        <f t="shared" si="50"/>
        <v>1O2</v>
      </c>
      <c r="BI17" s="4">
        <f t="shared" si="51"/>
        <v>27</v>
      </c>
      <c r="BJ17" s="4" t="str">
        <f t="shared" si="10"/>
        <v>Brugg 2</v>
      </c>
      <c r="BK17" s="4" t="str">
        <f t="shared" si="11"/>
        <v>Ice Age</v>
      </c>
      <c r="BL17" s="4">
        <f t="shared" si="52"/>
        <v>30</v>
      </c>
      <c r="BM17" s="7"/>
      <c r="BN17" s="15">
        <v>5</v>
      </c>
      <c r="BO17" s="4" t="str">
        <f t="shared" si="53"/>
        <v>1O2</v>
      </c>
      <c r="BP17" s="4">
        <f t="shared" si="12"/>
        <v>31</v>
      </c>
      <c r="BQ17" s="4" t="str">
        <f t="shared" si="13"/>
        <v>Papillon 1</v>
      </c>
      <c r="BR17" s="4" t="str">
        <f t="shared" si="14"/>
        <v>Zurich Rebels</v>
      </c>
      <c r="BS17" s="4">
        <f t="shared" si="15"/>
        <v>29</v>
      </c>
      <c r="BT17" s="7"/>
      <c r="BU17" s="15">
        <v>6</v>
      </c>
      <c r="BV17" s="4" t="str">
        <f t="shared" si="54"/>
        <v>1O2</v>
      </c>
      <c r="BW17" s="4">
        <f t="shared" si="16"/>
        <v>27</v>
      </c>
      <c r="BX17" s="4" t="str">
        <f t="shared" si="17"/>
        <v>Brugg 2</v>
      </c>
      <c r="BY17" s="4" t="str">
        <f t="shared" si="18"/>
        <v>Papillon 1</v>
      </c>
      <c r="BZ17" s="4">
        <f t="shared" si="19"/>
        <v>31</v>
      </c>
      <c r="CA17" s="7"/>
      <c r="CB17" s="15">
        <v>7</v>
      </c>
      <c r="CC17" s="4" t="str">
        <f t="shared" si="55"/>
        <v>1O2</v>
      </c>
      <c r="CD17" s="4">
        <f t="shared" si="20"/>
        <v>29</v>
      </c>
      <c r="CE17" s="4" t="str">
        <f t="shared" si="21"/>
        <v>Zurich Rebels</v>
      </c>
      <c r="CF17" s="4" t="str">
        <f t="shared" si="22"/>
        <v>Brugg 2</v>
      </c>
      <c r="CG17" s="4">
        <f t="shared" si="23"/>
        <v>27</v>
      </c>
      <c r="CH17" s="7"/>
      <c r="CI17" s="15">
        <v>8</v>
      </c>
      <c r="CJ17" s="4" t="str">
        <f t="shared" si="56"/>
        <v>1O2</v>
      </c>
      <c r="CK17" s="4">
        <f t="shared" si="57"/>
        <v>27</v>
      </c>
      <c r="CL17" s="4" t="str">
        <f t="shared" si="24"/>
        <v>Brugg 2</v>
      </c>
      <c r="CM17" s="4" t="str">
        <f t="shared" si="25"/>
        <v>Basel</v>
      </c>
      <c r="CN17" s="4">
        <f t="shared" si="58"/>
        <v>28</v>
      </c>
      <c r="CO17" s="7"/>
      <c r="CP17" s="15">
        <v>9</v>
      </c>
      <c r="CQ17" s="4" t="str">
        <f t="shared" si="59"/>
        <v>1O2</v>
      </c>
      <c r="CR17" s="4">
        <f t="shared" si="60"/>
        <v>26</v>
      </c>
      <c r="CS17" s="4" t="str">
        <f t="shared" si="26"/>
        <v>Einsiedeln 2</v>
      </c>
      <c r="CT17" s="4" t="str">
        <f t="shared" si="27"/>
        <v>Brugg 2</v>
      </c>
      <c r="CU17" s="4">
        <f t="shared" si="61"/>
        <v>27</v>
      </c>
      <c r="CV17" s="7"/>
      <c r="CW17" s="15">
        <v>10</v>
      </c>
      <c r="CX17" s="4" t="str">
        <f t="shared" si="62"/>
        <v>1O2</v>
      </c>
      <c r="CY17" s="4">
        <f t="shared" si="63"/>
        <v>27</v>
      </c>
      <c r="CZ17" s="4" t="str">
        <f t="shared" si="28"/>
        <v>Brugg 2</v>
      </c>
      <c r="DA17" s="4" t="str">
        <f t="shared" si="29"/>
        <v>Gelterkinden 1</v>
      </c>
      <c r="DB17" s="4">
        <f t="shared" si="64"/>
        <v>32</v>
      </c>
      <c r="DC17" s="7"/>
      <c r="DD17" s="15">
        <v>11</v>
      </c>
      <c r="DE17" s="4" t="str">
        <f t="shared" si="65"/>
        <v>1O2</v>
      </c>
      <c r="DF17" s="4">
        <f t="shared" si="66"/>
        <v>30</v>
      </c>
      <c r="DG17" s="4" t="str">
        <f t="shared" si="30"/>
        <v>Ice Age</v>
      </c>
      <c r="DH17" s="4" t="str">
        <f t="shared" si="31"/>
        <v>Brugg 2</v>
      </c>
      <c r="DI17" s="4">
        <f t="shared" si="67"/>
        <v>27</v>
      </c>
      <c r="DJ17" s="7"/>
      <c r="DK17" s="15">
        <v>12</v>
      </c>
      <c r="DL17" s="4" t="str">
        <f t="shared" si="68"/>
        <v>1O2</v>
      </c>
      <c r="DM17" s="4">
        <f t="shared" si="69"/>
        <v>29</v>
      </c>
      <c r="DN17" s="4" t="str">
        <f t="shared" si="32"/>
        <v>Zurich Rebels</v>
      </c>
      <c r="DO17" s="4" t="str">
        <f t="shared" si="33"/>
        <v>Papillon 1</v>
      </c>
      <c r="DP17" s="4">
        <f t="shared" si="70"/>
        <v>31</v>
      </c>
      <c r="DQ17" s="7"/>
      <c r="DR17" s="15">
        <v>13</v>
      </c>
      <c r="DS17" s="4" t="str">
        <f t="shared" si="71"/>
        <v>1O2</v>
      </c>
      <c r="DT17" s="4">
        <f t="shared" si="72"/>
        <v>31</v>
      </c>
      <c r="DU17" s="4" t="str">
        <f t="shared" si="34"/>
        <v>Papillon 1</v>
      </c>
      <c r="DV17" s="4" t="str">
        <f t="shared" si="35"/>
        <v>Brugg 2</v>
      </c>
      <c r="DW17" s="4">
        <f t="shared" si="73"/>
        <v>27</v>
      </c>
      <c r="DX17" s="7"/>
      <c r="DY17" s="15">
        <v>14</v>
      </c>
      <c r="DZ17" s="4" t="str">
        <f t="shared" si="74"/>
        <v>1O2</v>
      </c>
      <c r="EA17" s="4">
        <f t="shared" si="75"/>
        <v>27</v>
      </c>
      <c r="EB17" s="4" t="str">
        <f t="shared" si="36"/>
        <v>Brugg 2</v>
      </c>
      <c r="EC17" s="4" t="str">
        <f t="shared" si="37"/>
        <v>Zurich Rebels</v>
      </c>
      <c r="ED17" s="4">
        <f t="shared" si="76"/>
        <v>29</v>
      </c>
      <c r="EE17" s="7"/>
      <c r="EF17" s="1" t="str">
        <f t="shared" si="77"/>
        <v>B</v>
      </c>
      <c r="EG17" s="1">
        <v>16</v>
      </c>
      <c r="EH17" s="1" t="str">
        <f t="shared" si="78"/>
        <v>Bodensee</v>
      </c>
      <c r="EI17" s="1">
        <f t="shared" si="79"/>
        <v>3100</v>
      </c>
      <c r="EJ17" s="20"/>
      <c r="EK17" s="20">
        <v>28</v>
      </c>
      <c r="EL17" s="20">
        <v>27</v>
      </c>
      <c r="EM17" s="20"/>
      <c r="EN17" s="20" t="s">
        <v>1267</v>
      </c>
      <c r="EO17" s="20"/>
      <c r="EP17" s="20"/>
      <c r="EQ17" s="20"/>
      <c r="ER17" s="20"/>
      <c r="ES17" s="20"/>
      <c r="ET17" s="20"/>
      <c r="EU17" s="20"/>
      <c r="EV17" s="20"/>
      <c r="EW17" s="20"/>
      <c r="EX17" s="20"/>
      <c r="EY17" s="20"/>
      <c r="EZ17" s="20"/>
      <c r="FA17" s="20"/>
      <c r="FB17" s="20"/>
      <c r="FC17" s="20"/>
      <c r="FD17" s="20"/>
      <c r="FE17" s="20"/>
      <c r="FF17" s="20"/>
      <c r="FG17" s="20"/>
      <c r="FH17" s="20"/>
      <c r="FI17" s="20"/>
      <c r="FJ17" s="20"/>
      <c r="FK17" s="20"/>
    </row>
    <row r="18" spans="1:167" ht="24.95" customHeight="1">
      <c r="A18" s="1">
        <v>13</v>
      </c>
      <c r="B18" s="16" t="s">
        <v>1252</v>
      </c>
      <c r="C18" s="1" t="s">
        <v>52</v>
      </c>
      <c r="D18" s="2">
        <v>5</v>
      </c>
      <c r="E18" s="7">
        <v>13</v>
      </c>
      <c r="F18" s="9" t="s">
        <v>49</v>
      </c>
      <c r="G18" s="155">
        <v>500</v>
      </c>
      <c r="H18" s="16"/>
      <c r="I18" s="76">
        <f>VLOOKUP(G18,Licenses!B:K,10,FALSE)</f>
        <v>0</v>
      </c>
      <c r="J18" s="16"/>
      <c r="K18" s="16"/>
      <c r="L18" t="str">
        <f t="shared" si="1"/>
        <v>1O3 Zurich Rebels</v>
      </c>
      <c r="M18" s="1">
        <v>16</v>
      </c>
      <c r="N18" s="1">
        <v>2</v>
      </c>
      <c r="O18" s="1" t="s">
        <v>838</v>
      </c>
      <c r="Q18" s="10" t="s">
        <v>232</v>
      </c>
      <c r="R18" s="1">
        <f t="shared" si="2"/>
        <v>29</v>
      </c>
      <c r="S18" s="1" t="str">
        <f t="shared" si="40"/>
        <v>Zurich Rebels</v>
      </c>
      <c r="T18" s="1" t="str">
        <f t="shared" si="41"/>
        <v>Einsiedeln 2</v>
      </c>
      <c r="U18" s="1">
        <f t="shared" si="3"/>
        <v>26</v>
      </c>
      <c r="AK18" s="6"/>
      <c r="AL18" s="15">
        <v>1</v>
      </c>
      <c r="AM18" s="4" t="s">
        <v>232</v>
      </c>
      <c r="AN18" s="4">
        <f t="shared" si="42"/>
        <v>30</v>
      </c>
      <c r="AO18" s="4" t="str">
        <f t="shared" si="4"/>
        <v>Ice Age</v>
      </c>
      <c r="AP18" s="4" t="str">
        <f t="shared" si="5"/>
        <v>Zurich Rebels</v>
      </c>
      <c r="AQ18" s="4">
        <f t="shared" si="43"/>
        <v>29</v>
      </c>
      <c r="AR18" s="7"/>
      <c r="AS18" s="15">
        <v>2</v>
      </c>
      <c r="AT18" s="4" t="str">
        <f t="shared" si="44"/>
        <v>1O3</v>
      </c>
      <c r="AU18" s="4">
        <f t="shared" si="45"/>
        <v>29</v>
      </c>
      <c r="AV18" s="4" t="str">
        <f t="shared" si="6"/>
        <v>Zurich Rebels</v>
      </c>
      <c r="AW18" s="4" t="str">
        <f t="shared" si="7"/>
        <v>Basel</v>
      </c>
      <c r="AX18" s="4">
        <f t="shared" si="46"/>
        <v>28</v>
      </c>
      <c r="AY18" s="7"/>
      <c r="AZ18" s="15">
        <v>3</v>
      </c>
      <c r="BA18" s="4" t="str">
        <f t="shared" si="47"/>
        <v>1O3</v>
      </c>
      <c r="BB18" s="4">
        <f t="shared" si="48"/>
        <v>26</v>
      </c>
      <c r="BC18" s="4" t="str">
        <f t="shared" si="8"/>
        <v>Einsiedeln 2</v>
      </c>
      <c r="BD18" s="4" t="str">
        <f t="shared" si="9"/>
        <v>Zurich Rebels</v>
      </c>
      <c r="BE18" s="4">
        <f t="shared" si="49"/>
        <v>29</v>
      </c>
      <c r="BF18" s="7"/>
      <c r="BG18" s="15">
        <v>4</v>
      </c>
      <c r="BH18" s="4" t="str">
        <f t="shared" si="50"/>
        <v>1O3</v>
      </c>
      <c r="BI18" s="4">
        <f t="shared" si="51"/>
        <v>29</v>
      </c>
      <c r="BJ18" s="4" t="str">
        <f t="shared" si="10"/>
        <v>Zurich Rebels</v>
      </c>
      <c r="BK18" s="4" t="str">
        <f t="shared" si="11"/>
        <v>Gelterkinden 1</v>
      </c>
      <c r="BL18" s="4">
        <f t="shared" si="52"/>
        <v>32</v>
      </c>
      <c r="BM18" s="7"/>
      <c r="BN18" s="15">
        <v>5</v>
      </c>
      <c r="BO18" s="4" t="str">
        <f t="shared" si="53"/>
        <v>1O3</v>
      </c>
      <c r="BP18" s="4">
        <f t="shared" si="12"/>
        <v>28</v>
      </c>
      <c r="BQ18" s="4" t="str">
        <f t="shared" si="13"/>
        <v>Basel</v>
      </c>
      <c r="BR18" s="4" t="str">
        <f t="shared" si="14"/>
        <v>Einsiedeln 2</v>
      </c>
      <c r="BS18" s="4">
        <f t="shared" si="15"/>
        <v>26</v>
      </c>
      <c r="BT18" s="7"/>
      <c r="BU18" s="15">
        <v>6</v>
      </c>
      <c r="BV18" s="4" t="str">
        <f t="shared" si="54"/>
        <v>1O3</v>
      </c>
      <c r="BW18" s="4">
        <f t="shared" si="16"/>
        <v>26</v>
      </c>
      <c r="BX18" s="4" t="str">
        <f t="shared" si="17"/>
        <v>Einsiedeln 2</v>
      </c>
      <c r="BY18" s="4" t="str">
        <f t="shared" si="18"/>
        <v>Ice Age</v>
      </c>
      <c r="BZ18" s="4">
        <f t="shared" si="19"/>
        <v>30</v>
      </c>
      <c r="CA18" s="7"/>
      <c r="CB18" s="15">
        <v>7</v>
      </c>
      <c r="CC18" s="4" t="str">
        <f t="shared" si="55"/>
        <v>1O3</v>
      </c>
      <c r="CD18" s="4">
        <f t="shared" si="20"/>
        <v>32</v>
      </c>
      <c r="CE18" s="4" t="str">
        <f t="shared" si="21"/>
        <v>Gelterkinden 1</v>
      </c>
      <c r="CF18" s="4" t="str">
        <f t="shared" si="22"/>
        <v>Einsiedeln 2</v>
      </c>
      <c r="CG18" s="4">
        <f t="shared" si="23"/>
        <v>26</v>
      </c>
      <c r="CH18" s="7"/>
      <c r="CI18" s="15">
        <v>8</v>
      </c>
      <c r="CJ18" s="4" t="str">
        <f t="shared" si="56"/>
        <v>1O3</v>
      </c>
      <c r="CK18" s="4">
        <f t="shared" si="57"/>
        <v>29</v>
      </c>
      <c r="CL18" s="4" t="str">
        <f t="shared" si="24"/>
        <v>Zurich Rebels</v>
      </c>
      <c r="CM18" s="4" t="str">
        <f t="shared" si="25"/>
        <v>Ice Age</v>
      </c>
      <c r="CN18" s="4">
        <f t="shared" si="58"/>
        <v>30</v>
      </c>
      <c r="CO18" s="7"/>
      <c r="CP18" s="15">
        <v>9</v>
      </c>
      <c r="CQ18" s="4" t="str">
        <f t="shared" si="59"/>
        <v>1O3</v>
      </c>
      <c r="CR18" s="4">
        <f t="shared" si="60"/>
        <v>28</v>
      </c>
      <c r="CS18" s="4" t="str">
        <f t="shared" si="26"/>
        <v>Basel</v>
      </c>
      <c r="CT18" s="4" t="str">
        <f t="shared" si="27"/>
        <v>Zurich Rebels</v>
      </c>
      <c r="CU18" s="4">
        <f t="shared" si="61"/>
        <v>29</v>
      </c>
      <c r="CV18" s="7"/>
      <c r="CW18" s="15">
        <v>10</v>
      </c>
      <c r="CX18" s="4" t="str">
        <f t="shared" si="62"/>
        <v>1O3</v>
      </c>
      <c r="CY18" s="4">
        <f t="shared" si="63"/>
        <v>29</v>
      </c>
      <c r="CZ18" s="4" t="str">
        <f t="shared" si="28"/>
        <v>Zurich Rebels</v>
      </c>
      <c r="DA18" s="4" t="str">
        <f t="shared" si="29"/>
        <v>Einsiedeln 2</v>
      </c>
      <c r="DB18" s="4">
        <f t="shared" si="64"/>
        <v>26</v>
      </c>
      <c r="DC18" s="7"/>
      <c r="DD18" s="15">
        <v>11</v>
      </c>
      <c r="DE18" s="4" t="str">
        <f t="shared" si="65"/>
        <v>1O3</v>
      </c>
      <c r="DF18" s="4">
        <f t="shared" si="66"/>
        <v>32</v>
      </c>
      <c r="DG18" s="4" t="str">
        <f t="shared" si="30"/>
        <v>Gelterkinden 1</v>
      </c>
      <c r="DH18" s="4" t="str">
        <f t="shared" si="31"/>
        <v>Zurich Rebels</v>
      </c>
      <c r="DI18" s="4">
        <f t="shared" si="67"/>
        <v>29</v>
      </c>
      <c r="DJ18" s="7"/>
      <c r="DK18" s="15">
        <v>12</v>
      </c>
      <c r="DL18" s="4" t="str">
        <f t="shared" si="68"/>
        <v>1O3</v>
      </c>
      <c r="DM18" s="4">
        <f t="shared" si="69"/>
        <v>26</v>
      </c>
      <c r="DN18" s="4" t="str">
        <f t="shared" si="32"/>
        <v>Einsiedeln 2</v>
      </c>
      <c r="DO18" s="4" t="str">
        <f t="shared" si="33"/>
        <v>Basel</v>
      </c>
      <c r="DP18" s="4">
        <f t="shared" si="70"/>
        <v>28</v>
      </c>
      <c r="DQ18" s="7"/>
      <c r="DR18" s="15">
        <v>13</v>
      </c>
      <c r="DS18" s="4" t="str">
        <f t="shared" si="71"/>
        <v>1O3</v>
      </c>
      <c r="DT18" s="4">
        <f t="shared" si="72"/>
        <v>30</v>
      </c>
      <c r="DU18" s="4" t="str">
        <f t="shared" si="34"/>
        <v>Ice Age</v>
      </c>
      <c r="DV18" s="4" t="str">
        <f t="shared" si="35"/>
        <v>Einsiedeln 2</v>
      </c>
      <c r="DW18" s="4">
        <f t="shared" si="73"/>
        <v>26</v>
      </c>
      <c r="DX18" s="7"/>
      <c r="DY18" s="15">
        <v>14</v>
      </c>
      <c r="DZ18" s="4" t="str">
        <f t="shared" si="74"/>
        <v>1O3</v>
      </c>
      <c r="EA18" s="4">
        <f t="shared" si="75"/>
        <v>26</v>
      </c>
      <c r="EB18" s="4" t="str">
        <f t="shared" si="36"/>
        <v>Einsiedeln 2</v>
      </c>
      <c r="EC18" s="4" t="str">
        <f t="shared" si="37"/>
        <v>Gelterkinden 1</v>
      </c>
      <c r="ED18" s="4">
        <f t="shared" si="76"/>
        <v>32</v>
      </c>
      <c r="EE18" s="7"/>
      <c r="EF18" s="1" t="str">
        <f>LEFT($E$23,50)</f>
        <v>1LW</v>
      </c>
      <c r="EG18" s="1">
        <v>17</v>
      </c>
      <c r="EH18" s="1" t="str">
        <f>LEFT(F25,50)</f>
        <v>Star'Nack</v>
      </c>
      <c r="EI18" s="1">
        <f>SUM(G25)</f>
        <v>1500</v>
      </c>
      <c r="EJ18" s="6"/>
      <c r="EK18" s="6">
        <v>30</v>
      </c>
      <c r="EL18" s="6">
        <v>29</v>
      </c>
      <c r="EM18" s="6"/>
      <c r="EN18" s="6" t="s">
        <v>1268</v>
      </c>
      <c r="EO18" s="6"/>
      <c r="EP18" s="6"/>
      <c r="EQ18" s="6"/>
      <c r="ER18" s="6"/>
      <c r="ES18" s="6"/>
      <c r="ET18" s="6"/>
      <c r="EU18" s="6"/>
      <c r="EV18" s="6"/>
      <c r="EW18" s="6"/>
      <c r="EX18" s="6"/>
      <c r="EY18" s="6"/>
      <c r="EZ18" s="6"/>
      <c r="FA18" s="6"/>
      <c r="FB18" s="6"/>
      <c r="FC18" s="6"/>
      <c r="FD18" s="6"/>
      <c r="FE18" s="6"/>
      <c r="FF18" s="6"/>
      <c r="FG18" s="6"/>
      <c r="FH18" s="6"/>
      <c r="FI18" s="6"/>
      <c r="FJ18" s="6"/>
      <c r="FK18" s="6"/>
    </row>
    <row r="19" spans="1:167" ht="24.95" customHeight="1" thickBot="1">
      <c r="A19" s="1">
        <v>14</v>
      </c>
      <c r="B19" s="16" t="s">
        <v>1253</v>
      </c>
      <c r="C19" s="1" t="s">
        <v>54</v>
      </c>
      <c r="D19" s="2">
        <v>6</v>
      </c>
      <c r="E19" s="7">
        <v>14</v>
      </c>
      <c r="F19" s="9" t="s">
        <v>1220</v>
      </c>
      <c r="G19" s="155">
        <v>2700</v>
      </c>
      <c r="H19" s="16"/>
      <c r="I19" s="76">
        <f>VLOOKUP(G19,Licenses!B:K,10,FALSE)</f>
        <v>0</v>
      </c>
      <c r="J19" s="16"/>
      <c r="K19" s="16"/>
      <c r="L19" t="str">
        <f t="shared" si="1"/>
        <v>1O4 Papillon 1</v>
      </c>
      <c r="M19" s="1">
        <v>17</v>
      </c>
      <c r="N19" s="1">
        <v>2</v>
      </c>
      <c r="O19" s="1" t="s">
        <v>838</v>
      </c>
      <c r="Q19" s="10" t="s">
        <v>233</v>
      </c>
      <c r="R19" s="1">
        <f t="shared" si="2"/>
        <v>31</v>
      </c>
      <c r="S19" s="1" t="str">
        <f t="shared" si="40"/>
        <v>Papillon 1</v>
      </c>
      <c r="T19" s="1" t="str">
        <f t="shared" si="41"/>
        <v>Basel</v>
      </c>
      <c r="U19" s="1">
        <f t="shared" si="3"/>
        <v>28</v>
      </c>
      <c r="AK19" s="6"/>
      <c r="AL19" s="17">
        <v>1</v>
      </c>
      <c r="AM19" s="18" t="s">
        <v>233</v>
      </c>
      <c r="AN19" s="18">
        <f t="shared" si="42"/>
        <v>32</v>
      </c>
      <c r="AO19" s="18" t="str">
        <f t="shared" si="4"/>
        <v>Gelterkinden 1</v>
      </c>
      <c r="AP19" s="18" t="str">
        <f t="shared" si="5"/>
        <v>Papillon 1</v>
      </c>
      <c r="AQ19" s="18">
        <f t="shared" si="43"/>
        <v>31</v>
      </c>
      <c r="AR19" s="19"/>
      <c r="AS19" s="17">
        <v>2</v>
      </c>
      <c r="AT19" s="18" t="str">
        <f t="shared" si="44"/>
        <v>1O4</v>
      </c>
      <c r="AU19" s="18">
        <f t="shared" si="45"/>
        <v>31</v>
      </c>
      <c r="AV19" s="18" t="str">
        <f t="shared" si="6"/>
        <v>Papillon 1</v>
      </c>
      <c r="AW19" s="18" t="str">
        <f t="shared" si="7"/>
        <v>Ice Age</v>
      </c>
      <c r="AX19" s="18">
        <f t="shared" si="46"/>
        <v>30</v>
      </c>
      <c r="AY19" s="19"/>
      <c r="AZ19" s="17">
        <v>3</v>
      </c>
      <c r="BA19" s="18" t="str">
        <f t="shared" si="47"/>
        <v>1O4</v>
      </c>
      <c r="BB19" s="18">
        <f t="shared" si="48"/>
        <v>28</v>
      </c>
      <c r="BC19" s="18" t="str">
        <f t="shared" si="8"/>
        <v>Basel</v>
      </c>
      <c r="BD19" s="18" t="str">
        <f t="shared" si="9"/>
        <v>Papillon 1</v>
      </c>
      <c r="BE19" s="18">
        <f t="shared" si="49"/>
        <v>31</v>
      </c>
      <c r="BF19" s="19"/>
      <c r="BG19" s="17">
        <v>4</v>
      </c>
      <c r="BH19" s="18" t="str">
        <f t="shared" si="50"/>
        <v>1O4</v>
      </c>
      <c r="BI19" s="18">
        <f t="shared" si="51"/>
        <v>31</v>
      </c>
      <c r="BJ19" s="18" t="str">
        <f t="shared" si="10"/>
        <v>Papillon 1</v>
      </c>
      <c r="BK19" s="18" t="str">
        <f t="shared" si="11"/>
        <v>Einsiedeln 2</v>
      </c>
      <c r="BL19" s="18">
        <f t="shared" si="52"/>
        <v>26</v>
      </c>
      <c r="BM19" s="19"/>
      <c r="BN19" s="17">
        <v>5</v>
      </c>
      <c r="BO19" s="18" t="str">
        <f t="shared" si="53"/>
        <v>1O4</v>
      </c>
      <c r="BP19" s="18">
        <f t="shared" si="12"/>
        <v>32</v>
      </c>
      <c r="BQ19" s="18" t="str">
        <f t="shared" si="13"/>
        <v>Gelterkinden 1</v>
      </c>
      <c r="BR19" s="18" t="str">
        <f t="shared" si="14"/>
        <v>Ice Age</v>
      </c>
      <c r="BS19" s="18">
        <f t="shared" si="15"/>
        <v>30</v>
      </c>
      <c r="BT19" s="19"/>
      <c r="BU19" s="17">
        <v>6</v>
      </c>
      <c r="BV19" s="18" t="str">
        <f t="shared" si="54"/>
        <v>1O4</v>
      </c>
      <c r="BW19" s="18">
        <f t="shared" si="16"/>
        <v>28</v>
      </c>
      <c r="BX19" s="18" t="str">
        <f t="shared" si="17"/>
        <v>Basel</v>
      </c>
      <c r="BY19" s="18" t="str">
        <f t="shared" si="18"/>
        <v>Gelterkinden 1</v>
      </c>
      <c r="BZ19" s="18">
        <f t="shared" si="19"/>
        <v>32</v>
      </c>
      <c r="CA19" s="19"/>
      <c r="CB19" s="17">
        <v>7</v>
      </c>
      <c r="CC19" s="18" t="str">
        <f t="shared" si="55"/>
        <v>1O4</v>
      </c>
      <c r="CD19" s="18">
        <f t="shared" si="20"/>
        <v>30</v>
      </c>
      <c r="CE19" s="18" t="str">
        <f t="shared" si="21"/>
        <v>Ice Age</v>
      </c>
      <c r="CF19" s="18" t="str">
        <f t="shared" si="22"/>
        <v>Basel</v>
      </c>
      <c r="CG19" s="18">
        <f t="shared" si="23"/>
        <v>28</v>
      </c>
      <c r="CH19" s="19"/>
      <c r="CI19" s="17">
        <v>8</v>
      </c>
      <c r="CJ19" s="18" t="str">
        <f t="shared" si="56"/>
        <v>1O4</v>
      </c>
      <c r="CK19" s="18">
        <f t="shared" si="57"/>
        <v>31</v>
      </c>
      <c r="CL19" s="18" t="str">
        <f t="shared" si="24"/>
        <v>Papillon 1</v>
      </c>
      <c r="CM19" s="18" t="str">
        <f t="shared" si="25"/>
        <v>Gelterkinden 1</v>
      </c>
      <c r="CN19" s="18">
        <f t="shared" si="58"/>
        <v>32</v>
      </c>
      <c r="CO19" s="19"/>
      <c r="CP19" s="17">
        <v>9</v>
      </c>
      <c r="CQ19" s="18" t="str">
        <f t="shared" si="59"/>
        <v>1O4</v>
      </c>
      <c r="CR19" s="18">
        <f t="shared" si="60"/>
        <v>30</v>
      </c>
      <c r="CS19" s="18" t="str">
        <f t="shared" si="26"/>
        <v>Ice Age</v>
      </c>
      <c r="CT19" s="18" t="str">
        <f t="shared" si="27"/>
        <v>Papillon 1</v>
      </c>
      <c r="CU19" s="18">
        <f t="shared" si="61"/>
        <v>31</v>
      </c>
      <c r="CV19" s="19"/>
      <c r="CW19" s="17">
        <v>10</v>
      </c>
      <c r="CX19" s="18" t="str">
        <f t="shared" si="62"/>
        <v>1O4</v>
      </c>
      <c r="CY19" s="18">
        <f t="shared" si="63"/>
        <v>31</v>
      </c>
      <c r="CZ19" s="18" t="str">
        <f t="shared" si="28"/>
        <v>Papillon 1</v>
      </c>
      <c r="DA19" s="18" t="str">
        <f t="shared" si="29"/>
        <v>Basel</v>
      </c>
      <c r="DB19" s="18">
        <f t="shared" si="64"/>
        <v>28</v>
      </c>
      <c r="DC19" s="19"/>
      <c r="DD19" s="17">
        <v>11</v>
      </c>
      <c r="DE19" s="18" t="str">
        <f t="shared" si="65"/>
        <v>1O4</v>
      </c>
      <c r="DF19" s="18">
        <f t="shared" si="66"/>
        <v>26</v>
      </c>
      <c r="DG19" s="18" t="str">
        <f t="shared" si="30"/>
        <v>Einsiedeln 2</v>
      </c>
      <c r="DH19" s="18" t="str">
        <f t="shared" si="31"/>
        <v>Papillon 1</v>
      </c>
      <c r="DI19" s="18">
        <f t="shared" si="67"/>
        <v>31</v>
      </c>
      <c r="DJ19" s="19"/>
      <c r="DK19" s="17">
        <v>12</v>
      </c>
      <c r="DL19" s="18" t="str">
        <f t="shared" si="68"/>
        <v>1O4</v>
      </c>
      <c r="DM19" s="18">
        <f t="shared" si="69"/>
        <v>30</v>
      </c>
      <c r="DN19" s="18" t="str">
        <f t="shared" si="32"/>
        <v>Ice Age</v>
      </c>
      <c r="DO19" s="18" t="str">
        <f t="shared" si="33"/>
        <v>Gelterkinden 1</v>
      </c>
      <c r="DP19" s="18">
        <f t="shared" si="70"/>
        <v>32</v>
      </c>
      <c r="DQ19" s="19"/>
      <c r="DR19" s="17">
        <v>13</v>
      </c>
      <c r="DS19" s="18" t="str">
        <f t="shared" si="71"/>
        <v>1O4</v>
      </c>
      <c r="DT19" s="18">
        <f t="shared" si="72"/>
        <v>32</v>
      </c>
      <c r="DU19" s="18" t="str">
        <f t="shared" si="34"/>
        <v>Gelterkinden 1</v>
      </c>
      <c r="DV19" s="18" t="str">
        <f t="shared" si="35"/>
        <v>Basel</v>
      </c>
      <c r="DW19" s="18">
        <f t="shared" si="73"/>
        <v>28</v>
      </c>
      <c r="DX19" s="19"/>
      <c r="DY19" s="17">
        <v>14</v>
      </c>
      <c r="DZ19" s="18" t="str">
        <f t="shared" si="74"/>
        <v>1O4</v>
      </c>
      <c r="EA19" s="18">
        <f t="shared" si="75"/>
        <v>28</v>
      </c>
      <c r="EB19" s="18" t="str">
        <f t="shared" si="36"/>
        <v>Basel</v>
      </c>
      <c r="EC19" s="18" t="str">
        <f t="shared" si="37"/>
        <v>Ice Age</v>
      </c>
      <c r="ED19" s="18">
        <f t="shared" si="76"/>
        <v>30</v>
      </c>
      <c r="EE19" s="19"/>
      <c r="EF19" s="1" t="str">
        <f t="shared" ref="EF19:EF25" si="80">LEFT($E$23,50)</f>
        <v>1LW</v>
      </c>
      <c r="EG19" s="1">
        <v>18</v>
      </c>
      <c r="EH19" s="1" t="str">
        <f t="shared" ref="EH19:EH25" si="81">LEFT(F26,50)</f>
        <v>Aaretal</v>
      </c>
      <c r="EI19" s="1">
        <f t="shared" ref="EI19:EI25" si="82">SUM(G26)</f>
        <v>2900</v>
      </c>
      <c r="EJ19" s="6"/>
      <c r="EK19" s="6">
        <v>32</v>
      </c>
      <c r="EL19" s="6">
        <v>31</v>
      </c>
      <c r="EM19" s="6"/>
      <c r="EN19" s="6" t="s">
        <v>1269</v>
      </c>
      <c r="EO19" s="6"/>
      <c r="EP19" s="6"/>
      <c r="EQ19" s="6"/>
      <c r="ER19" s="6"/>
      <c r="ES19" s="6"/>
      <c r="ET19" s="6"/>
      <c r="EU19" s="6"/>
      <c r="EV19" s="6"/>
      <c r="EW19" s="6"/>
      <c r="EX19" s="6"/>
      <c r="EY19" s="6"/>
      <c r="EZ19" s="6"/>
      <c r="FA19" s="6"/>
      <c r="FB19" s="6"/>
      <c r="FC19" s="6"/>
      <c r="FD19" s="6"/>
      <c r="FE19" s="6"/>
      <c r="FF19" s="6"/>
      <c r="FG19" s="6"/>
      <c r="FH19" s="6"/>
      <c r="FI19" s="6"/>
      <c r="FJ19" s="6"/>
      <c r="FK19" s="6"/>
    </row>
    <row r="20" spans="1:167" ht="24.95" customHeight="1">
      <c r="D20" s="2">
        <v>7</v>
      </c>
      <c r="E20" s="7">
        <v>15</v>
      </c>
      <c r="F20" s="9" t="s">
        <v>64</v>
      </c>
      <c r="G20" s="155">
        <v>2200</v>
      </c>
      <c r="H20" s="16"/>
      <c r="I20" s="76">
        <f>VLOOKUP(G20,Licenses!B:K,10,FALSE)</f>
        <v>0</v>
      </c>
      <c r="J20" s="16"/>
      <c r="K20" s="16"/>
      <c r="L20" t="str">
        <f t="shared" si="1"/>
        <v>2W1 Casa Benfica GE</v>
      </c>
      <c r="M20" s="1">
        <v>18</v>
      </c>
      <c r="N20" s="1">
        <v>3</v>
      </c>
      <c r="O20" s="1" t="s">
        <v>835</v>
      </c>
      <c r="Q20" s="10" t="s">
        <v>234</v>
      </c>
      <c r="R20" s="1">
        <f t="shared" si="2"/>
        <v>33</v>
      </c>
      <c r="S20" s="1" t="str">
        <f t="shared" si="40"/>
        <v>Casa Benfica GE</v>
      </c>
      <c r="T20" s="1" t="str">
        <f t="shared" si="41"/>
        <v>Morges 2</v>
      </c>
      <c r="U20" s="1">
        <f t="shared" si="3"/>
        <v>38</v>
      </c>
      <c r="AI20" s="6"/>
      <c r="AJ20" s="6"/>
      <c r="AK20" s="6"/>
      <c r="AL20" s="12">
        <v>1</v>
      </c>
      <c r="AM20" s="13" t="s">
        <v>234</v>
      </c>
      <c r="AN20" s="13">
        <f t="shared" si="42"/>
        <v>34</v>
      </c>
      <c r="AO20" s="13" t="str">
        <f t="shared" si="4"/>
        <v>Geneva DL</v>
      </c>
      <c r="AP20" s="13" t="str">
        <f t="shared" si="5"/>
        <v>Casa Benfica GE</v>
      </c>
      <c r="AQ20" s="13">
        <f t="shared" si="43"/>
        <v>33</v>
      </c>
      <c r="AR20" s="14"/>
      <c r="AS20" s="12">
        <v>2</v>
      </c>
      <c r="AT20" s="13" t="str">
        <f t="shared" si="44"/>
        <v>2W1</v>
      </c>
      <c r="AU20" s="13">
        <f t="shared" si="45"/>
        <v>33</v>
      </c>
      <c r="AV20" s="13" t="str">
        <f t="shared" si="6"/>
        <v>Casa Benfica GE</v>
      </c>
      <c r="AW20" s="13" t="str">
        <f t="shared" si="7"/>
        <v>Emmental 3</v>
      </c>
      <c r="AX20" s="13">
        <f t="shared" si="46"/>
        <v>40</v>
      </c>
      <c r="AY20" s="14"/>
      <c r="AZ20" s="12">
        <v>3</v>
      </c>
      <c r="BA20" s="13" t="str">
        <f t="shared" si="47"/>
        <v>2W1</v>
      </c>
      <c r="BB20" s="13">
        <f t="shared" si="48"/>
        <v>38</v>
      </c>
      <c r="BC20" s="13" t="str">
        <f t="shared" si="8"/>
        <v>Morges 2</v>
      </c>
      <c r="BD20" s="13" t="str">
        <f t="shared" si="9"/>
        <v>Casa Benfica GE</v>
      </c>
      <c r="BE20" s="13">
        <f t="shared" si="49"/>
        <v>33</v>
      </c>
      <c r="BF20" s="14"/>
      <c r="BG20" s="12">
        <v>4</v>
      </c>
      <c r="BH20" s="13" t="str">
        <f t="shared" si="50"/>
        <v>2W1</v>
      </c>
      <c r="BI20" s="13">
        <f t="shared" si="51"/>
        <v>33</v>
      </c>
      <c r="BJ20" s="13" t="str">
        <f t="shared" si="10"/>
        <v>Casa Benfica GE</v>
      </c>
      <c r="BK20" s="13" t="str">
        <f t="shared" si="11"/>
        <v>Real Caracol</v>
      </c>
      <c r="BL20" s="13">
        <f t="shared" si="52"/>
        <v>36</v>
      </c>
      <c r="BM20" s="14"/>
      <c r="BN20" s="12">
        <v>5</v>
      </c>
      <c r="BO20" s="13" t="str">
        <f t="shared" si="53"/>
        <v>2W1</v>
      </c>
      <c r="BP20" s="13">
        <f t="shared" si="12"/>
        <v>35</v>
      </c>
      <c r="BQ20" s="13" t="str">
        <f t="shared" si="13"/>
        <v>La Chaux-de-Fonds</v>
      </c>
      <c r="BR20" s="13" t="str">
        <f t="shared" si="14"/>
        <v>Casa Benfica GE</v>
      </c>
      <c r="BS20" s="13">
        <f t="shared" si="15"/>
        <v>33</v>
      </c>
      <c r="BT20" s="14"/>
      <c r="BU20" s="12">
        <v>6</v>
      </c>
      <c r="BV20" s="13" t="str">
        <f t="shared" si="54"/>
        <v>2W1</v>
      </c>
      <c r="BW20" s="13">
        <f t="shared" si="16"/>
        <v>33</v>
      </c>
      <c r="BX20" s="13" t="str">
        <f t="shared" si="17"/>
        <v>Casa Benfica GE</v>
      </c>
      <c r="BY20" s="13" t="str">
        <f t="shared" si="18"/>
        <v>Martigny Sport</v>
      </c>
      <c r="BZ20" s="13">
        <f t="shared" si="19"/>
        <v>37</v>
      </c>
      <c r="CA20" s="14"/>
      <c r="CB20" s="12">
        <v>7</v>
      </c>
      <c r="CC20" s="13" t="str">
        <f t="shared" si="55"/>
        <v>2W1</v>
      </c>
      <c r="CD20" s="13">
        <f t="shared" si="20"/>
        <v>39</v>
      </c>
      <c r="CE20" s="13" t="str">
        <f t="shared" si="21"/>
        <v>Freilos 2LW</v>
      </c>
      <c r="CF20" s="13" t="str">
        <f t="shared" si="22"/>
        <v>Casa Benfica GE</v>
      </c>
      <c r="CG20" s="13">
        <f t="shared" si="23"/>
        <v>33</v>
      </c>
      <c r="CH20" s="14"/>
      <c r="CI20" s="12">
        <v>8</v>
      </c>
      <c r="CJ20" s="13" t="str">
        <f t="shared" si="56"/>
        <v>2W1</v>
      </c>
      <c r="CK20" s="13">
        <f t="shared" si="57"/>
        <v>33</v>
      </c>
      <c r="CL20" s="13" t="str">
        <f t="shared" si="24"/>
        <v>Casa Benfica GE</v>
      </c>
      <c r="CM20" s="13" t="str">
        <f t="shared" si="25"/>
        <v>Geneva DL</v>
      </c>
      <c r="CN20" s="13">
        <f t="shared" si="58"/>
        <v>34</v>
      </c>
      <c r="CO20" s="14"/>
      <c r="CP20" s="12">
        <v>9</v>
      </c>
      <c r="CQ20" s="13" t="str">
        <f t="shared" si="59"/>
        <v>2W1</v>
      </c>
      <c r="CR20" s="13">
        <f t="shared" si="60"/>
        <v>40</v>
      </c>
      <c r="CS20" s="13" t="str">
        <f t="shared" si="26"/>
        <v>Emmental 3</v>
      </c>
      <c r="CT20" s="13" t="str">
        <f t="shared" si="27"/>
        <v>Casa Benfica GE</v>
      </c>
      <c r="CU20" s="13">
        <f t="shared" si="61"/>
        <v>33</v>
      </c>
      <c r="CV20" s="14"/>
      <c r="CW20" s="12">
        <v>10</v>
      </c>
      <c r="CX20" s="13" t="str">
        <f t="shared" si="62"/>
        <v>2W1</v>
      </c>
      <c r="CY20" s="13">
        <f t="shared" si="63"/>
        <v>33</v>
      </c>
      <c r="CZ20" s="13" t="str">
        <f t="shared" si="28"/>
        <v>Casa Benfica GE</v>
      </c>
      <c r="DA20" s="13" t="str">
        <f t="shared" si="29"/>
        <v>Morges 2</v>
      </c>
      <c r="DB20" s="13">
        <f t="shared" si="64"/>
        <v>38</v>
      </c>
      <c r="DC20" s="14"/>
      <c r="DD20" s="12">
        <v>11</v>
      </c>
      <c r="DE20" s="13" t="str">
        <f t="shared" si="65"/>
        <v>2W1</v>
      </c>
      <c r="DF20" s="13">
        <f t="shared" si="66"/>
        <v>36</v>
      </c>
      <c r="DG20" s="13" t="str">
        <f t="shared" si="30"/>
        <v>Real Caracol</v>
      </c>
      <c r="DH20" s="13" t="str">
        <f t="shared" si="31"/>
        <v>Casa Benfica GE</v>
      </c>
      <c r="DI20" s="13">
        <f t="shared" si="67"/>
        <v>33</v>
      </c>
      <c r="DJ20" s="14"/>
      <c r="DK20" s="12">
        <v>12</v>
      </c>
      <c r="DL20" s="13" t="str">
        <f t="shared" si="68"/>
        <v>2W1</v>
      </c>
      <c r="DM20" s="13">
        <f t="shared" si="69"/>
        <v>33</v>
      </c>
      <c r="DN20" s="13" t="str">
        <f t="shared" si="32"/>
        <v>Casa Benfica GE</v>
      </c>
      <c r="DO20" s="13" t="str">
        <f t="shared" si="33"/>
        <v>La Chaux-de-Fonds</v>
      </c>
      <c r="DP20" s="13">
        <f t="shared" si="70"/>
        <v>35</v>
      </c>
      <c r="DQ20" s="14"/>
      <c r="DR20" s="12">
        <v>13</v>
      </c>
      <c r="DS20" s="13" t="str">
        <f t="shared" si="71"/>
        <v>2W1</v>
      </c>
      <c r="DT20" s="13">
        <f t="shared" si="72"/>
        <v>37</v>
      </c>
      <c r="DU20" s="13" t="str">
        <f t="shared" si="34"/>
        <v>Martigny Sport</v>
      </c>
      <c r="DV20" s="13" t="str">
        <f t="shared" si="35"/>
        <v>Casa Benfica GE</v>
      </c>
      <c r="DW20" s="13">
        <f t="shared" si="73"/>
        <v>33</v>
      </c>
      <c r="DX20" s="14"/>
      <c r="DY20" s="12">
        <v>14</v>
      </c>
      <c r="DZ20" s="13" t="str">
        <f t="shared" si="74"/>
        <v>2W1</v>
      </c>
      <c r="EA20" s="13">
        <f t="shared" si="75"/>
        <v>33</v>
      </c>
      <c r="EB20" s="13" t="str">
        <f t="shared" si="36"/>
        <v>Casa Benfica GE</v>
      </c>
      <c r="EC20" s="13" t="str">
        <f t="shared" si="37"/>
        <v>Freilos 2LW</v>
      </c>
      <c r="ED20" s="13">
        <f t="shared" si="76"/>
        <v>39</v>
      </c>
      <c r="EE20" s="14"/>
      <c r="EF20" s="1" t="str">
        <f t="shared" si="80"/>
        <v>1LW</v>
      </c>
      <c r="EG20" s="1">
        <v>19</v>
      </c>
      <c r="EH20" s="1" t="str">
        <f t="shared" si="81"/>
        <v>Morges 1</v>
      </c>
      <c r="EI20" s="1">
        <f t="shared" si="82"/>
        <v>4800</v>
      </c>
      <c r="EJ20" s="6"/>
      <c r="EK20" s="6">
        <v>34</v>
      </c>
      <c r="EL20" s="6">
        <v>33</v>
      </c>
      <c r="EM20" s="6"/>
      <c r="EN20" s="6" t="s">
        <v>1270</v>
      </c>
      <c r="EO20" s="6"/>
      <c r="EP20" s="6"/>
      <c r="EQ20" s="6"/>
      <c r="ER20" s="6"/>
      <c r="ES20" s="6"/>
      <c r="ET20" s="6"/>
      <c r="EU20" s="6"/>
      <c r="EV20" s="6"/>
      <c r="EW20" s="6"/>
      <c r="EX20" s="6"/>
      <c r="EY20" s="6"/>
      <c r="EZ20" s="6"/>
      <c r="FA20" s="6"/>
      <c r="FB20" s="6"/>
      <c r="FC20" s="6"/>
      <c r="FD20" s="6"/>
      <c r="FE20" s="6"/>
      <c r="FF20" s="6"/>
      <c r="FG20" s="6"/>
      <c r="FH20" s="6"/>
      <c r="FI20" s="6"/>
      <c r="FJ20" s="6"/>
      <c r="FK20" s="6"/>
    </row>
    <row r="21" spans="1:167" ht="24.95" customHeight="1">
      <c r="C21" s="2">
        <f>SUM($A$2)</f>
        <v>24</v>
      </c>
      <c r="D21" s="2">
        <v>8</v>
      </c>
      <c r="E21" s="7">
        <v>16</v>
      </c>
      <c r="F21" s="9" t="s">
        <v>1655</v>
      </c>
      <c r="G21" s="155">
        <v>3100</v>
      </c>
      <c r="H21" s="16"/>
      <c r="I21" s="76">
        <f>VLOOKUP(G21,Licenses!B:K,10,FALSE)</f>
        <v>0</v>
      </c>
      <c r="J21" s="16"/>
      <c r="K21" s="16"/>
      <c r="L21" t="str">
        <f t="shared" si="1"/>
        <v>2W2 La Chaux-de-Fonds</v>
      </c>
      <c r="M21" s="1">
        <v>19</v>
      </c>
      <c r="N21" s="1">
        <v>3</v>
      </c>
      <c r="O21" s="1" t="s">
        <v>835</v>
      </c>
      <c r="Q21" s="10" t="s">
        <v>235</v>
      </c>
      <c r="R21" s="1">
        <f t="shared" si="2"/>
        <v>35</v>
      </c>
      <c r="S21" s="1" t="str">
        <f t="shared" si="40"/>
        <v>La Chaux-de-Fonds</v>
      </c>
      <c r="T21" s="1" t="str">
        <f t="shared" si="41"/>
        <v>Emmental 3</v>
      </c>
      <c r="U21" s="1">
        <f t="shared" si="3"/>
        <v>40</v>
      </c>
      <c r="AI21" s="6"/>
      <c r="AJ21" s="6"/>
      <c r="AK21" s="6"/>
      <c r="AL21" s="15">
        <v>1</v>
      </c>
      <c r="AM21" s="4" t="s">
        <v>235</v>
      </c>
      <c r="AN21" s="4">
        <f t="shared" si="42"/>
        <v>36</v>
      </c>
      <c r="AO21" s="4" t="str">
        <f t="shared" si="4"/>
        <v>Real Caracol</v>
      </c>
      <c r="AP21" s="4" t="str">
        <f t="shared" si="5"/>
        <v>La Chaux-de-Fonds</v>
      </c>
      <c r="AQ21" s="4">
        <f t="shared" si="43"/>
        <v>35</v>
      </c>
      <c r="AR21" s="7"/>
      <c r="AS21" s="15">
        <v>2</v>
      </c>
      <c r="AT21" s="4" t="str">
        <f t="shared" si="44"/>
        <v>2W2</v>
      </c>
      <c r="AU21" s="4">
        <f t="shared" si="45"/>
        <v>35</v>
      </c>
      <c r="AV21" s="4" t="str">
        <f t="shared" si="6"/>
        <v>La Chaux-de-Fonds</v>
      </c>
      <c r="AW21" s="4" t="str">
        <f t="shared" si="7"/>
        <v>Geneva DL</v>
      </c>
      <c r="AX21" s="4">
        <f t="shared" si="46"/>
        <v>34</v>
      </c>
      <c r="AY21" s="7"/>
      <c r="AZ21" s="15">
        <v>3</v>
      </c>
      <c r="BA21" s="4" t="str">
        <f t="shared" si="47"/>
        <v>2W2</v>
      </c>
      <c r="BB21" s="4">
        <f t="shared" si="48"/>
        <v>40</v>
      </c>
      <c r="BC21" s="4" t="str">
        <f t="shared" si="8"/>
        <v>Emmental 3</v>
      </c>
      <c r="BD21" s="4" t="str">
        <f t="shared" si="9"/>
        <v>La Chaux-de-Fonds</v>
      </c>
      <c r="BE21" s="4">
        <f t="shared" si="49"/>
        <v>35</v>
      </c>
      <c r="BF21" s="7"/>
      <c r="BG21" s="15">
        <v>4</v>
      </c>
      <c r="BH21" s="4" t="str">
        <f t="shared" si="50"/>
        <v>2W2</v>
      </c>
      <c r="BI21" s="4">
        <f t="shared" si="51"/>
        <v>35</v>
      </c>
      <c r="BJ21" s="4" t="str">
        <f t="shared" si="10"/>
        <v>La Chaux-de-Fonds</v>
      </c>
      <c r="BK21" s="4" t="str">
        <f t="shared" si="11"/>
        <v>Morges 2</v>
      </c>
      <c r="BL21" s="4">
        <f t="shared" si="52"/>
        <v>38</v>
      </c>
      <c r="BM21" s="7"/>
      <c r="BN21" s="15">
        <v>5</v>
      </c>
      <c r="BO21" s="4" t="str">
        <f t="shared" si="53"/>
        <v>2W2</v>
      </c>
      <c r="BP21" s="4">
        <f t="shared" si="12"/>
        <v>39</v>
      </c>
      <c r="BQ21" s="4" t="str">
        <f t="shared" si="13"/>
        <v>Freilos 2LW</v>
      </c>
      <c r="BR21" s="4" t="str">
        <f t="shared" si="14"/>
        <v>Martigny Sport</v>
      </c>
      <c r="BS21" s="4">
        <f t="shared" si="15"/>
        <v>37</v>
      </c>
      <c r="BT21" s="7"/>
      <c r="BU21" s="15">
        <v>6</v>
      </c>
      <c r="BV21" s="4" t="str">
        <f t="shared" si="54"/>
        <v>2W2</v>
      </c>
      <c r="BW21" s="4">
        <f t="shared" si="16"/>
        <v>35</v>
      </c>
      <c r="BX21" s="4" t="str">
        <f t="shared" si="17"/>
        <v>La Chaux-de-Fonds</v>
      </c>
      <c r="BY21" s="4" t="str">
        <f t="shared" si="18"/>
        <v>Freilos 2LW</v>
      </c>
      <c r="BZ21" s="4">
        <f t="shared" si="19"/>
        <v>39</v>
      </c>
      <c r="CA21" s="7"/>
      <c r="CB21" s="15">
        <v>7</v>
      </c>
      <c r="CC21" s="4" t="str">
        <f t="shared" si="55"/>
        <v>2W2</v>
      </c>
      <c r="CD21" s="4">
        <f t="shared" si="20"/>
        <v>37</v>
      </c>
      <c r="CE21" s="4" t="str">
        <f t="shared" si="21"/>
        <v>Martigny Sport</v>
      </c>
      <c r="CF21" s="4" t="str">
        <f t="shared" si="22"/>
        <v>La Chaux-de-Fonds</v>
      </c>
      <c r="CG21" s="4">
        <f t="shared" si="23"/>
        <v>35</v>
      </c>
      <c r="CH21" s="7"/>
      <c r="CI21" s="15">
        <v>8</v>
      </c>
      <c r="CJ21" s="4" t="str">
        <f t="shared" si="56"/>
        <v>2W2</v>
      </c>
      <c r="CK21" s="4">
        <f t="shared" si="57"/>
        <v>35</v>
      </c>
      <c r="CL21" s="4" t="str">
        <f t="shared" si="24"/>
        <v>La Chaux-de-Fonds</v>
      </c>
      <c r="CM21" s="4" t="str">
        <f t="shared" si="25"/>
        <v>Real Caracol</v>
      </c>
      <c r="CN21" s="4">
        <f t="shared" si="58"/>
        <v>36</v>
      </c>
      <c r="CO21" s="7"/>
      <c r="CP21" s="15">
        <v>9</v>
      </c>
      <c r="CQ21" s="4" t="str">
        <f t="shared" si="59"/>
        <v>2W2</v>
      </c>
      <c r="CR21" s="4">
        <f t="shared" si="60"/>
        <v>34</v>
      </c>
      <c r="CS21" s="4" t="str">
        <f t="shared" si="26"/>
        <v>Geneva DL</v>
      </c>
      <c r="CT21" s="4" t="str">
        <f t="shared" si="27"/>
        <v>La Chaux-de-Fonds</v>
      </c>
      <c r="CU21" s="4">
        <f t="shared" si="61"/>
        <v>35</v>
      </c>
      <c r="CV21" s="7"/>
      <c r="CW21" s="15">
        <v>10</v>
      </c>
      <c r="CX21" s="4" t="str">
        <f t="shared" si="62"/>
        <v>2W2</v>
      </c>
      <c r="CY21" s="4">
        <f t="shared" si="63"/>
        <v>35</v>
      </c>
      <c r="CZ21" s="4" t="str">
        <f t="shared" si="28"/>
        <v>La Chaux-de-Fonds</v>
      </c>
      <c r="DA21" s="4" t="str">
        <f t="shared" si="29"/>
        <v>Emmental 3</v>
      </c>
      <c r="DB21" s="4">
        <f t="shared" si="64"/>
        <v>40</v>
      </c>
      <c r="DC21" s="7"/>
      <c r="DD21" s="15">
        <v>11</v>
      </c>
      <c r="DE21" s="4" t="str">
        <f t="shared" si="65"/>
        <v>2W2</v>
      </c>
      <c r="DF21" s="4">
        <f t="shared" si="66"/>
        <v>38</v>
      </c>
      <c r="DG21" s="4" t="str">
        <f t="shared" si="30"/>
        <v>Morges 2</v>
      </c>
      <c r="DH21" s="4" t="str">
        <f t="shared" si="31"/>
        <v>La Chaux-de-Fonds</v>
      </c>
      <c r="DI21" s="4">
        <f t="shared" si="67"/>
        <v>35</v>
      </c>
      <c r="DJ21" s="7"/>
      <c r="DK21" s="15">
        <v>12</v>
      </c>
      <c r="DL21" s="4" t="str">
        <f t="shared" si="68"/>
        <v>2W2</v>
      </c>
      <c r="DM21" s="4">
        <f t="shared" si="69"/>
        <v>37</v>
      </c>
      <c r="DN21" s="4" t="str">
        <f t="shared" si="32"/>
        <v>Martigny Sport</v>
      </c>
      <c r="DO21" s="4" t="str">
        <f t="shared" si="33"/>
        <v>Freilos 2LW</v>
      </c>
      <c r="DP21" s="4">
        <f t="shared" si="70"/>
        <v>39</v>
      </c>
      <c r="DQ21" s="7"/>
      <c r="DR21" s="15">
        <v>13</v>
      </c>
      <c r="DS21" s="4" t="str">
        <f t="shared" si="71"/>
        <v>2W2</v>
      </c>
      <c r="DT21" s="4">
        <f t="shared" si="72"/>
        <v>39</v>
      </c>
      <c r="DU21" s="4" t="str">
        <f t="shared" si="34"/>
        <v>Freilos 2LW</v>
      </c>
      <c r="DV21" s="4" t="str">
        <f t="shared" si="35"/>
        <v>La Chaux-de-Fonds</v>
      </c>
      <c r="DW21" s="4">
        <f t="shared" si="73"/>
        <v>35</v>
      </c>
      <c r="DX21" s="7"/>
      <c r="DY21" s="15">
        <v>14</v>
      </c>
      <c r="DZ21" s="4" t="str">
        <f t="shared" si="74"/>
        <v>2W2</v>
      </c>
      <c r="EA21" s="4">
        <f t="shared" si="75"/>
        <v>35</v>
      </c>
      <c r="EB21" s="4" t="str">
        <f t="shared" si="36"/>
        <v>La Chaux-de-Fonds</v>
      </c>
      <c r="EC21" s="4" t="str">
        <f t="shared" si="37"/>
        <v>Martigny Sport</v>
      </c>
      <c r="ED21" s="4">
        <f t="shared" si="76"/>
        <v>37</v>
      </c>
      <c r="EE21" s="7"/>
      <c r="EF21" s="1" t="str">
        <f t="shared" si="80"/>
        <v>1LW</v>
      </c>
      <c r="EG21" s="1">
        <v>20</v>
      </c>
      <c r="EH21" s="1" t="str">
        <f t="shared" si="81"/>
        <v>Deitingen 1</v>
      </c>
      <c r="EI21" s="1">
        <f t="shared" si="82"/>
        <v>4400</v>
      </c>
      <c r="EJ21" s="6"/>
      <c r="EK21" s="6">
        <v>36</v>
      </c>
      <c r="EL21" s="6">
        <v>35</v>
      </c>
      <c r="EM21" s="6"/>
      <c r="EN21" s="6" t="s">
        <v>1271</v>
      </c>
      <c r="EO21" s="6"/>
      <c r="EP21" s="6"/>
      <c r="EQ21" s="6"/>
      <c r="ER21" s="6"/>
      <c r="ES21" s="6"/>
      <c r="ET21" s="6"/>
      <c r="EU21" s="6"/>
      <c r="EV21" s="6"/>
      <c r="EW21" s="6"/>
      <c r="EX21" s="6"/>
      <c r="EY21" s="6"/>
      <c r="EZ21" s="6"/>
      <c r="FA21" s="6"/>
      <c r="FB21" s="6"/>
      <c r="FC21" s="6"/>
      <c r="FD21" s="6"/>
      <c r="FE21" s="6"/>
      <c r="FF21" s="6"/>
      <c r="FG21" s="6"/>
      <c r="FH21" s="6"/>
      <c r="FI21" s="6"/>
      <c r="FJ21" s="6"/>
      <c r="FK21" s="6"/>
    </row>
    <row r="22" spans="1:167" ht="24.95" customHeight="1">
      <c r="A22" s="2" t="s">
        <v>58</v>
      </c>
      <c r="B22" s="21" t="s">
        <v>59</v>
      </c>
      <c r="C22" s="2">
        <f>SUM($C$2)</f>
        <v>25</v>
      </c>
      <c r="E22" s="6"/>
      <c r="F22" s="6"/>
      <c r="G22" s="20"/>
      <c r="H22" s="20"/>
      <c r="I22" s="20"/>
      <c r="J22" s="20"/>
      <c r="K22" s="20"/>
      <c r="L22" t="str">
        <f t="shared" si="1"/>
        <v>2W3 Martigny Sport</v>
      </c>
      <c r="M22" s="1">
        <v>20</v>
      </c>
      <c r="N22" s="1">
        <v>3</v>
      </c>
      <c r="O22" s="1" t="s">
        <v>835</v>
      </c>
      <c r="Q22" s="10" t="s">
        <v>236</v>
      </c>
      <c r="R22" s="1">
        <f t="shared" si="2"/>
        <v>37</v>
      </c>
      <c r="S22" s="1" t="str">
        <f t="shared" si="40"/>
        <v>Martigny Sport</v>
      </c>
      <c r="T22" s="1" t="str">
        <f t="shared" si="41"/>
        <v>Geneva DL</v>
      </c>
      <c r="U22" s="1">
        <f t="shared" si="3"/>
        <v>34</v>
      </c>
      <c r="AI22" s="6"/>
      <c r="AJ22" s="6"/>
      <c r="AK22" s="6"/>
      <c r="AL22" s="15">
        <v>1</v>
      </c>
      <c r="AM22" s="4" t="s">
        <v>236</v>
      </c>
      <c r="AN22" s="4">
        <f t="shared" si="42"/>
        <v>38</v>
      </c>
      <c r="AO22" s="4" t="str">
        <f t="shared" si="4"/>
        <v>Morges 2</v>
      </c>
      <c r="AP22" s="4" t="str">
        <f t="shared" si="5"/>
        <v>Martigny Sport</v>
      </c>
      <c r="AQ22" s="4">
        <f t="shared" si="43"/>
        <v>37</v>
      </c>
      <c r="AR22" s="7"/>
      <c r="AS22" s="15">
        <v>2</v>
      </c>
      <c r="AT22" s="4" t="str">
        <f t="shared" si="44"/>
        <v>2W3</v>
      </c>
      <c r="AU22" s="4">
        <f t="shared" si="45"/>
        <v>37</v>
      </c>
      <c r="AV22" s="4" t="str">
        <f t="shared" si="6"/>
        <v>Martigny Sport</v>
      </c>
      <c r="AW22" s="4" t="str">
        <f t="shared" si="7"/>
        <v>Real Caracol</v>
      </c>
      <c r="AX22" s="4">
        <f t="shared" si="46"/>
        <v>36</v>
      </c>
      <c r="AY22" s="7"/>
      <c r="AZ22" s="15">
        <v>3</v>
      </c>
      <c r="BA22" s="4" t="str">
        <f t="shared" si="47"/>
        <v>2W3</v>
      </c>
      <c r="BB22" s="4">
        <f t="shared" si="48"/>
        <v>34</v>
      </c>
      <c r="BC22" s="4" t="str">
        <f t="shared" si="8"/>
        <v>Geneva DL</v>
      </c>
      <c r="BD22" s="4" t="str">
        <f t="shared" si="9"/>
        <v>Martigny Sport</v>
      </c>
      <c r="BE22" s="4">
        <f t="shared" si="49"/>
        <v>37</v>
      </c>
      <c r="BF22" s="7"/>
      <c r="BG22" s="15">
        <v>4</v>
      </c>
      <c r="BH22" s="4" t="str">
        <f t="shared" si="50"/>
        <v>2W3</v>
      </c>
      <c r="BI22" s="4">
        <f t="shared" si="51"/>
        <v>37</v>
      </c>
      <c r="BJ22" s="4" t="str">
        <f t="shared" si="10"/>
        <v>Martigny Sport</v>
      </c>
      <c r="BK22" s="4" t="str">
        <f t="shared" si="11"/>
        <v>Emmental 3</v>
      </c>
      <c r="BL22" s="4">
        <f t="shared" si="52"/>
        <v>40</v>
      </c>
      <c r="BM22" s="7"/>
      <c r="BN22" s="15">
        <v>5</v>
      </c>
      <c r="BO22" s="4" t="str">
        <f t="shared" si="53"/>
        <v>2W3</v>
      </c>
      <c r="BP22" s="4">
        <f t="shared" si="12"/>
        <v>36</v>
      </c>
      <c r="BQ22" s="4" t="str">
        <f t="shared" si="13"/>
        <v>Real Caracol</v>
      </c>
      <c r="BR22" s="4" t="str">
        <f t="shared" si="14"/>
        <v>Geneva DL</v>
      </c>
      <c r="BS22" s="4">
        <f t="shared" si="15"/>
        <v>34</v>
      </c>
      <c r="BT22" s="7"/>
      <c r="BU22" s="15">
        <v>6</v>
      </c>
      <c r="BV22" s="4" t="str">
        <f t="shared" si="54"/>
        <v>2W3</v>
      </c>
      <c r="BW22" s="4">
        <f t="shared" si="16"/>
        <v>34</v>
      </c>
      <c r="BX22" s="4" t="str">
        <f t="shared" si="17"/>
        <v>Geneva DL</v>
      </c>
      <c r="BY22" s="4" t="str">
        <f t="shared" si="18"/>
        <v>Morges 2</v>
      </c>
      <c r="BZ22" s="4">
        <f t="shared" si="19"/>
        <v>38</v>
      </c>
      <c r="CA22" s="7"/>
      <c r="CB22" s="15">
        <v>7</v>
      </c>
      <c r="CC22" s="4" t="str">
        <f t="shared" si="55"/>
        <v>2W3</v>
      </c>
      <c r="CD22" s="4">
        <f t="shared" si="20"/>
        <v>40</v>
      </c>
      <c r="CE22" s="4" t="str">
        <f t="shared" si="21"/>
        <v>Emmental 3</v>
      </c>
      <c r="CF22" s="4" t="str">
        <f t="shared" si="22"/>
        <v>Geneva DL</v>
      </c>
      <c r="CG22" s="4">
        <f t="shared" si="23"/>
        <v>34</v>
      </c>
      <c r="CH22" s="7"/>
      <c r="CI22" s="15">
        <v>8</v>
      </c>
      <c r="CJ22" s="4" t="str">
        <f t="shared" si="56"/>
        <v>2W3</v>
      </c>
      <c r="CK22" s="4">
        <f t="shared" si="57"/>
        <v>37</v>
      </c>
      <c r="CL22" s="4" t="str">
        <f t="shared" si="24"/>
        <v>Martigny Sport</v>
      </c>
      <c r="CM22" s="4" t="str">
        <f t="shared" si="25"/>
        <v>Morges 2</v>
      </c>
      <c r="CN22" s="4">
        <f t="shared" si="58"/>
        <v>38</v>
      </c>
      <c r="CO22" s="7"/>
      <c r="CP22" s="15">
        <v>9</v>
      </c>
      <c r="CQ22" s="4" t="str">
        <f t="shared" si="59"/>
        <v>2W3</v>
      </c>
      <c r="CR22" s="4">
        <f t="shared" si="60"/>
        <v>36</v>
      </c>
      <c r="CS22" s="4" t="str">
        <f t="shared" si="26"/>
        <v>Real Caracol</v>
      </c>
      <c r="CT22" s="4" t="str">
        <f t="shared" si="27"/>
        <v>Martigny Sport</v>
      </c>
      <c r="CU22" s="4">
        <f t="shared" si="61"/>
        <v>37</v>
      </c>
      <c r="CV22" s="7"/>
      <c r="CW22" s="15">
        <v>10</v>
      </c>
      <c r="CX22" s="4" t="str">
        <f t="shared" si="62"/>
        <v>2W3</v>
      </c>
      <c r="CY22" s="4">
        <f t="shared" si="63"/>
        <v>37</v>
      </c>
      <c r="CZ22" s="4" t="str">
        <f t="shared" si="28"/>
        <v>Martigny Sport</v>
      </c>
      <c r="DA22" s="4" t="str">
        <f t="shared" si="29"/>
        <v>Geneva DL</v>
      </c>
      <c r="DB22" s="4">
        <f t="shared" si="64"/>
        <v>34</v>
      </c>
      <c r="DC22" s="7"/>
      <c r="DD22" s="15">
        <v>11</v>
      </c>
      <c r="DE22" s="4" t="str">
        <f t="shared" si="65"/>
        <v>2W3</v>
      </c>
      <c r="DF22" s="4">
        <f t="shared" si="66"/>
        <v>40</v>
      </c>
      <c r="DG22" s="4" t="str">
        <f t="shared" si="30"/>
        <v>Emmental 3</v>
      </c>
      <c r="DH22" s="4" t="str">
        <f t="shared" si="31"/>
        <v>Martigny Sport</v>
      </c>
      <c r="DI22" s="4">
        <f t="shared" si="67"/>
        <v>37</v>
      </c>
      <c r="DJ22" s="7"/>
      <c r="DK22" s="15">
        <v>12</v>
      </c>
      <c r="DL22" s="4" t="str">
        <f t="shared" si="68"/>
        <v>2W3</v>
      </c>
      <c r="DM22" s="4">
        <f t="shared" si="69"/>
        <v>34</v>
      </c>
      <c r="DN22" s="4" t="str">
        <f t="shared" si="32"/>
        <v>Geneva DL</v>
      </c>
      <c r="DO22" s="4" t="str">
        <f t="shared" si="33"/>
        <v>Real Caracol</v>
      </c>
      <c r="DP22" s="4">
        <f t="shared" si="70"/>
        <v>36</v>
      </c>
      <c r="DQ22" s="7"/>
      <c r="DR22" s="15">
        <v>13</v>
      </c>
      <c r="DS22" s="4" t="str">
        <f t="shared" si="71"/>
        <v>2W3</v>
      </c>
      <c r="DT22" s="4">
        <f t="shared" si="72"/>
        <v>38</v>
      </c>
      <c r="DU22" s="4" t="str">
        <f t="shared" si="34"/>
        <v>Morges 2</v>
      </c>
      <c r="DV22" s="4" t="str">
        <f t="shared" si="35"/>
        <v>Geneva DL</v>
      </c>
      <c r="DW22" s="4">
        <f t="shared" si="73"/>
        <v>34</v>
      </c>
      <c r="DX22" s="7"/>
      <c r="DY22" s="15">
        <v>14</v>
      </c>
      <c r="DZ22" s="4" t="str">
        <f t="shared" si="74"/>
        <v>2W3</v>
      </c>
      <c r="EA22" s="4">
        <f t="shared" si="75"/>
        <v>34</v>
      </c>
      <c r="EB22" s="4" t="str">
        <f t="shared" si="36"/>
        <v>Geneva DL</v>
      </c>
      <c r="EC22" s="4" t="str">
        <f t="shared" si="37"/>
        <v>Emmental 3</v>
      </c>
      <c r="ED22" s="4">
        <f t="shared" si="76"/>
        <v>40</v>
      </c>
      <c r="EE22" s="7"/>
      <c r="EF22" s="1" t="str">
        <f t="shared" si="80"/>
        <v>1LW</v>
      </c>
      <c r="EG22" s="1">
        <v>21</v>
      </c>
      <c r="EH22" s="1" t="str">
        <f t="shared" si="81"/>
        <v>Freilos 1LW</v>
      </c>
      <c r="EI22" s="1">
        <f t="shared" si="82"/>
        <v>100</v>
      </c>
      <c r="EJ22" s="6"/>
      <c r="EK22" s="6">
        <v>38</v>
      </c>
      <c r="EL22" s="6">
        <v>37</v>
      </c>
      <c r="EM22" s="6"/>
      <c r="EN22" s="6" t="s">
        <v>1272</v>
      </c>
      <c r="EO22" s="6"/>
      <c r="EP22" s="6"/>
      <c r="EQ22" s="6"/>
      <c r="ER22" s="6"/>
      <c r="ES22" s="6"/>
      <c r="ET22" s="6"/>
      <c r="EU22" s="6"/>
      <c r="EV22" s="6"/>
      <c r="EW22" s="6"/>
      <c r="EX22" s="6"/>
      <c r="EY22" s="6"/>
      <c r="EZ22" s="6"/>
      <c r="FA22" s="6"/>
      <c r="FB22" s="6"/>
      <c r="FC22" s="6"/>
      <c r="FD22" s="6"/>
      <c r="FE22" s="6"/>
      <c r="FF22" s="6"/>
      <c r="FG22" s="6"/>
      <c r="FH22" s="6"/>
      <c r="FI22" s="6"/>
      <c r="FJ22" s="6"/>
      <c r="FK22" s="6"/>
    </row>
    <row r="23" spans="1:167" ht="24.95" customHeight="1" thickBot="1">
      <c r="A23" s="22">
        <v>17</v>
      </c>
      <c r="B23" s="22">
        <v>9</v>
      </c>
      <c r="C23" s="2">
        <f>SUM(A23+1)</f>
        <v>18</v>
      </c>
      <c r="E23" s="1" t="s">
        <v>837</v>
      </c>
      <c r="F23" s="1">
        <v>3</v>
      </c>
      <c r="G23" s="1" t="s">
        <v>1975</v>
      </c>
      <c r="L23" t="str">
        <f t="shared" si="1"/>
        <v>2W4 Freilos 2LW</v>
      </c>
      <c r="M23" s="1">
        <v>21</v>
      </c>
      <c r="N23" s="1">
        <v>3</v>
      </c>
      <c r="O23" s="1" t="s">
        <v>835</v>
      </c>
      <c r="Q23" s="10" t="s">
        <v>237</v>
      </c>
      <c r="R23" s="1">
        <f t="shared" si="2"/>
        <v>39</v>
      </c>
      <c r="S23" s="1" t="str">
        <f t="shared" si="40"/>
        <v>Freilos 2LW</v>
      </c>
      <c r="T23" s="1" t="str">
        <f t="shared" si="41"/>
        <v>Real Caracol</v>
      </c>
      <c r="U23" s="1">
        <f t="shared" si="3"/>
        <v>36</v>
      </c>
      <c r="AI23" s="6"/>
      <c r="AJ23" s="6"/>
      <c r="AK23" s="6"/>
      <c r="AL23" s="17">
        <v>1</v>
      </c>
      <c r="AM23" s="18" t="s">
        <v>237</v>
      </c>
      <c r="AN23" s="18">
        <f t="shared" si="42"/>
        <v>40</v>
      </c>
      <c r="AO23" s="18" t="str">
        <f t="shared" si="4"/>
        <v>Emmental 3</v>
      </c>
      <c r="AP23" s="18" t="str">
        <f t="shared" si="5"/>
        <v>Freilos 2LW</v>
      </c>
      <c r="AQ23" s="18">
        <f t="shared" si="43"/>
        <v>39</v>
      </c>
      <c r="AR23" s="19"/>
      <c r="AS23" s="17">
        <v>2</v>
      </c>
      <c r="AT23" s="18" t="str">
        <f t="shared" si="44"/>
        <v>2W4</v>
      </c>
      <c r="AU23" s="18">
        <f t="shared" si="45"/>
        <v>39</v>
      </c>
      <c r="AV23" s="18" t="str">
        <f t="shared" si="6"/>
        <v>Freilos 2LW</v>
      </c>
      <c r="AW23" s="18" t="str">
        <f t="shared" si="7"/>
        <v>Morges 2</v>
      </c>
      <c r="AX23" s="18">
        <f t="shared" si="46"/>
        <v>38</v>
      </c>
      <c r="AY23" s="19"/>
      <c r="AZ23" s="17">
        <v>3</v>
      </c>
      <c r="BA23" s="18" t="str">
        <f t="shared" si="47"/>
        <v>2W4</v>
      </c>
      <c r="BB23" s="18">
        <f t="shared" si="48"/>
        <v>36</v>
      </c>
      <c r="BC23" s="18" t="str">
        <f t="shared" si="8"/>
        <v>Real Caracol</v>
      </c>
      <c r="BD23" s="18" t="str">
        <f t="shared" si="9"/>
        <v>Freilos 2LW</v>
      </c>
      <c r="BE23" s="18">
        <f t="shared" si="49"/>
        <v>39</v>
      </c>
      <c r="BF23" s="19"/>
      <c r="BG23" s="17">
        <v>4</v>
      </c>
      <c r="BH23" s="18" t="str">
        <f t="shared" si="50"/>
        <v>2W4</v>
      </c>
      <c r="BI23" s="18">
        <f t="shared" si="51"/>
        <v>39</v>
      </c>
      <c r="BJ23" s="18" t="str">
        <f t="shared" si="10"/>
        <v>Freilos 2LW</v>
      </c>
      <c r="BK23" s="18" t="str">
        <f t="shared" si="11"/>
        <v>Geneva DL</v>
      </c>
      <c r="BL23" s="18">
        <f t="shared" si="52"/>
        <v>34</v>
      </c>
      <c r="BM23" s="19"/>
      <c r="BN23" s="17">
        <v>5</v>
      </c>
      <c r="BO23" s="18" t="str">
        <f t="shared" si="53"/>
        <v>2W4</v>
      </c>
      <c r="BP23" s="18">
        <f t="shared" si="12"/>
        <v>40</v>
      </c>
      <c r="BQ23" s="18" t="str">
        <f t="shared" si="13"/>
        <v>Emmental 3</v>
      </c>
      <c r="BR23" s="18" t="str">
        <f t="shared" si="14"/>
        <v>Morges 2</v>
      </c>
      <c r="BS23" s="18">
        <f t="shared" si="15"/>
        <v>38</v>
      </c>
      <c r="BT23" s="19"/>
      <c r="BU23" s="17">
        <v>6</v>
      </c>
      <c r="BV23" s="18" t="str">
        <f t="shared" si="54"/>
        <v>2W4</v>
      </c>
      <c r="BW23" s="18">
        <f t="shared" si="16"/>
        <v>36</v>
      </c>
      <c r="BX23" s="18" t="str">
        <f t="shared" si="17"/>
        <v>Real Caracol</v>
      </c>
      <c r="BY23" s="18" t="str">
        <f t="shared" si="18"/>
        <v>Emmental 3</v>
      </c>
      <c r="BZ23" s="18">
        <f t="shared" si="19"/>
        <v>40</v>
      </c>
      <c r="CA23" s="19"/>
      <c r="CB23" s="17">
        <v>7</v>
      </c>
      <c r="CC23" s="18" t="str">
        <f t="shared" si="55"/>
        <v>2W4</v>
      </c>
      <c r="CD23" s="18">
        <f t="shared" si="20"/>
        <v>38</v>
      </c>
      <c r="CE23" s="18" t="str">
        <f t="shared" si="21"/>
        <v>Morges 2</v>
      </c>
      <c r="CF23" s="18" t="str">
        <f t="shared" si="22"/>
        <v>Real Caracol</v>
      </c>
      <c r="CG23" s="18">
        <f t="shared" si="23"/>
        <v>36</v>
      </c>
      <c r="CH23" s="19"/>
      <c r="CI23" s="17">
        <v>8</v>
      </c>
      <c r="CJ23" s="18" t="str">
        <f t="shared" si="56"/>
        <v>2W4</v>
      </c>
      <c r="CK23" s="18">
        <f t="shared" si="57"/>
        <v>39</v>
      </c>
      <c r="CL23" s="18" t="str">
        <f t="shared" si="24"/>
        <v>Freilos 2LW</v>
      </c>
      <c r="CM23" s="18" t="str">
        <f t="shared" si="25"/>
        <v>Emmental 3</v>
      </c>
      <c r="CN23" s="18">
        <f t="shared" si="58"/>
        <v>40</v>
      </c>
      <c r="CO23" s="19"/>
      <c r="CP23" s="17">
        <v>9</v>
      </c>
      <c r="CQ23" s="18" t="str">
        <f t="shared" si="59"/>
        <v>2W4</v>
      </c>
      <c r="CR23" s="18">
        <f t="shared" si="60"/>
        <v>38</v>
      </c>
      <c r="CS23" s="18" t="str">
        <f t="shared" si="26"/>
        <v>Morges 2</v>
      </c>
      <c r="CT23" s="18" t="str">
        <f t="shared" si="27"/>
        <v>Freilos 2LW</v>
      </c>
      <c r="CU23" s="18">
        <f t="shared" si="61"/>
        <v>39</v>
      </c>
      <c r="CV23" s="19"/>
      <c r="CW23" s="17">
        <v>10</v>
      </c>
      <c r="CX23" s="18" t="str">
        <f t="shared" si="62"/>
        <v>2W4</v>
      </c>
      <c r="CY23" s="18">
        <f t="shared" si="63"/>
        <v>39</v>
      </c>
      <c r="CZ23" s="18" t="str">
        <f t="shared" si="28"/>
        <v>Freilos 2LW</v>
      </c>
      <c r="DA23" s="18" t="str">
        <f t="shared" si="29"/>
        <v>Real Caracol</v>
      </c>
      <c r="DB23" s="18">
        <f t="shared" si="64"/>
        <v>36</v>
      </c>
      <c r="DC23" s="19"/>
      <c r="DD23" s="17">
        <v>11</v>
      </c>
      <c r="DE23" s="18" t="str">
        <f t="shared" si="65"/>
        <v>2W4</v>
      </c>
      <c r="DF23" s="18">
        <f t="shared" si="66"/>
        <v>34</v>
      </c>
      <c r="DG23" s="18" t="str">
        <f t="shared" si="30"/>
        <v>Geneva DL</v>
      </c>
      <c r="DH23" s="18" t="str">
        <f t="shared" si="31"/>
        <v>Freilos 2LW</v>
      </c>
      <c r="DI23" s="18">
        <f t="shared" si="67"/>
        <v>39</v>
      </c>
      <c r="DJ23" s="19"/>
      <c r="DK23" s="17">
        <v>12</v>
      </c>
      <c r="DL23" s="18" t="str">
        <f t="shared" si="68"/>
        <v>2W4</v>
      </c>
      <c r="DM23" s="18">
        <f t="shared" si="69"/>
        <v>38</v>
      </c>
      <c r="DN23" s="18" t="str">
        <f t="shared" si="32"/>
        <v>Morges 2</v>
      </c>
      <c r="DO23" s="18" t="str">
        <f t="shared" si="33"/>
        <v>Emmental 3</v>
      </c>
      <c r="DP23" s="18">
        <f t="shared" si="70"/>
        <v>40</v>
      </c>
      <c r="DQ23" s="19"/>
      <c r="DR23" s="17">
        <v>13</v>
      </c>
      <c r="DS23" s="18" t="str">
        <f t="shared" si="71"/>
        <v>2W4</v>
      </c>
      <c r="DT23" s="18">
        <f t="shared" si="72"/>
        <v>40</v>
      </c>
      <c r="DU23" s="18" t="str">
        <f t="shared" si="34"/>
        <v>Emmental 3</v>
      </c>
      <c r="DV23" s="18" t="str">
        <f t="shared" si="35"/>
        <v>Real Caracol</v>
      </c>
      <c r="DW23" s="18">
        <f t="shared" si="73"/>
        <v>36</v>
      </c>
      <c r="DX23" s="19"/>
      <c r="DY23" s="17">
        <v>14</v>
      </c>
      <c r="DZ23" s="18" t="str">
        <f t="shared" si="74"/>
        <v>2W4</v>
      </c>
      <c r="EA23" s="18">
        <f t="shared" si="75"/>
        <v>36</v>
      </c>
      <c r="EB23" s="18" t="str">
        <f t="shared" si="36"/>
        <v>Real Caracol</v>
      </c>
      <c r="EC23" s="18" t="str">
        <f t="shared" si="37"/>
        <v>Morges 2</v>
      </c>
      <c r="ED23" s="18">
        <f t="shared" si="76"/>
        <v>38</v>
      </c>
      <c r="EE23" s="19"/>
      <c r="EF23" s="1" t="str">
        <f t="shared" si="80"/>
        <v>1LW</v>
      </c>
      <c r="EG23" s="1">
        <v>22</v>
      </c>
      <c r="EH23" s="1" t="str">
        <f t="shared" si="81"/>
        <v>Romont</v>
      </c>
      <c r="EI23" s="1">
        <f t="shared" si="82"/>
        <v>1000</v>
      </c>
      <c r="EJ23" s="6"/>
      <c r="EK23" s="6">
        <v>40</v>
      </c>
      <c r="EL23" s="6">
        <v>39</v>
      </c>
      <c r="EM23" s="6"/>
      <c r="EN23" s="6" t="s">
        <v>1273</v>
      </c>
      <c r="EO23" s="6"/>
      <c r="EP23" s="6"/>
      <c r="EQ23" s="6"/>
      <c r="ER23" s="6"/>
      <c r="ES23" s="6"/>
      <c r="ET23" s="6"/>
      <c r="EU23" s="6"/>
      <c r="EV23" s="6"/>
      <c r="EW23" s="6"/>
      <c r="EX23" s="6"/>
      <c r="EY23" s="6"/>
      <c r="EZ23" s="6"/>
      <c r="FA23" s="6"/>
      <c r="FB23" s="6"/>
      <c r="FC23" s="6"/>
      <c r="FD23" s="6"/>
      <c r="FE23" s="6"/>
      <c r="FF23" s="6"/>
      <c r="FG23" s="6"/>
      <c r="FH23" s="6"/>
      <c r="FI23" s="6"/>
      <c r="FJ23" s="6"/>
      <c r="FK23" s="6"/>
    </row>
    <row r="24" spans="1:167" ht="24.95" customHeight="1">
      <c r="A24" s="22">
        <v>18</v>
      </c>
      <c r="B24" s="22">
        <v>9</v>
      </c>
      <c r="C24" s="2">
        <f t="shared" ref="C24:C36" si="83">SUM(A24+1)</f>
        <v>19</v>
      </c>
      <c r="E24" s="1" t="s">
        <v>60</v>
      </c>
      <c r="F24" s="1" t="s">
        <v>13</v>
      </c>
      <c r="G24" s="1" t="s">
        <v>14</v>
      </c>
      <c r="L24" t="str">
        <f t="shared" si="1"/>
        <v>2O1 Black Jack</v>
      </c>
      <c r="M24" s="1">
        <v>22</v>
      </c>
      <c r="N24" s="1">
        <v>3</v>
      </c>
      <c r="O24" s="1" t="s">
        <v>836</v>
      </c>
      <c r="Q24" s="10" t="s">
        <v>238</v>
      </c>
      <c r="R24" s="1">
        <f t="shared" si="2"/>
        <v>41</v>
      </c>
      <c r="S24" s="1" t="str">
        <f t="shared" si="40"/>
        <v>Black Jack</v>
      </c>
      <c r="T24" s="1" t="str">
        <f t="shared" si="41"/>
        <v>Brugg 4</v>
      </c>
      <c r="U24" s="1">
        <f t="shared" si="3"/>
        <v>46</v>
      </c>
      <c r="AI24" s="6"/>
      <c r="AJ24" s="6"/>
      <c r="AK24" s="6"/>
      <c r="AL24" s="12">
        <v>1</v>
      </c>
      <c r="AM24" s="13" t="s">
        <v>238</v>
      </c>
      <c r="AN24" s="13">
        <f t="shared" si="42"/>
        <v>42</v>
      </c>
      <c r="AO24" s="13" t="str">
        <f t="shared" si="4"/>
        <v>Chill Out Bull's 2</v>
      </c>
      <c r="AP24" s="13" t="str">
        <f t="shared" si="5"/>
        <v>Black Jack</v>
      </c>
      <c r="AQ24" s="13">
        <f t="shared" si="43"/>
        <v>41</v>
      </c>
      <c r="AR24" s="14"/>
      <c r="AS24" s="12">
        <v>2</v>
      </c>
      <c r="AT24" s="13" t="str">
        <f t="shared" si="44"/>
        <v>2O1</v>
      </c>
      <c r="AU24" s="13">
        <f t="shared" si="45"/>
        <v>41</v>
      </c>
      <c r="AV24" s="13" t="str">
        <f t="shared" si="6"/>
        <v>Black Jack</v>
      </c>
      <c r="AW24" s="13" t="str">
        <f t="shared" si="7"/>
        <v>Heroes</v>
      </c>
      <c r="AX24" s="13">
        <f t="shared" si="46"/>
        <v>48</v>
      </c>
      <c r="AY24" s="14"/>
      <c r="AZ24" s="12">
        <v>3</v>
      </c>
      <c r="BA24" s="13" t="str">
        <f t="shared" si="47"/>
        <v>2O1</v>
      </c>
      <c r="BB24" s="13">
        <f t="shared" si="48"/>
        <v>46</v>
      </c>
      <c r="BC24" s="13" t="str">
        <f t="shared" si="8"/>
        <v>Brugg 4</v>
      </c>
      <c r="BD24" s="13" t="str">
        <f t="shared" si="9"/>
        <v>Black Jack</v>
      </c>
      <c r="BE24" s="13">
        <f t="shared" si="49"/>
        <v>41</v>
      </c>
      <c r="BF24" s="14"/>
      <c r="BG24" s="12">
        <v>4</v>
      </c>
      <c r="BH24" s="13" t="str">
        <f t="shared" si="50"/>
        <v>2O1</v>
      </c>
      <c r="BI24" s="13">
        <f t="shared" si="51"/>
        <v>41</v>
      </c>
      <c r="BJ24" s="13" t="str">
        <f t="shared" si="10"/>
        <v>Black Jack</v>
      </c>
      <c r="BK24" s="13" t="str">
        <f t="shared" si="11"/>
        <v>Horgen</v>
      </c>
      <c r="BL24" s="13">
        <f t="shared" si="52"/>
        <v>44</v>
      </c>
      <c r="BM24" s="14"/>
      <c r="BN24" s="12">
        <v>5</v>
      </c>
      <c r="BO24" s="13" t="str">
        <f t="shared" si="53"/>
        <v>2O1</v>
      </c>
      <c r="BP24" s="13">
        <f t="shared" si="12"/>
        <v>43</v>
      </c>
      <c r="BQ24" s="13" t="str">
        <f t="shared" si="13"/>
        <v>High 5</v>
      </c>
      <c r="BR24" s="13" t="str">
        <f t="shared" si="14"/>
        <v>Black Jack</v>
      </c>
      <c r="BS24" s="13">
        <f t="shared" si="15"/>
        <v>41</v>
      </c>
      <c r="BT24" s="14"/>
      <c r="BU24" s="12">
        <v>6</v>
      </c>
      <c r="BV24" s="13" t="str">
        <f t="shared" si="54"/>
        <v>2O1</v>
      </c>
      <c r="BW24" s="13">
        <f t="shared" si="16"/>
        <v>41</v>
      </c>
      <c r="BX24" s="13" t="str">
        <f t="shared" si="17"/>
        <v>Black Jack</v>
      </c>
      <c r="BY24" s="13" t="str">
        <f t="shared" si="18"/>
        <v>Züri Otter</v>
      </c>
      <c r="BZ24" s="13">
        <f t="shared" si="19"/>
        <v>45</v>
      </c>
      <c r="CA24" s="14"/>
      <c r="CB24" s="12">
        <v>7</v>
      </c>
      <c r="CC24" s="13" t="str">
        <f t="shared" si="55"/>
        <v>2O1</v>
      </c>
      <c r="CD24" s="13">
        <f t="shared" si="20"/>
        <v>47</v>
      </c>
      <c r="CE24" s="13" t="str">
        <f t="shared" si="21"/>
        <v>Papillon 2</v>
      </c>
      <c r="CF24" s="13" t="str">
        <f t="shared" si="22"/>
        <v>Black Jack</v>
      </c>
      <c r="CG24" s="13">
        <f t="shared" si="23"/>
        <v>41</v>
      </c>
      <c r="CH24" s="14"/>
      <c r="CI24" s="12">
        <v>8</v>
      </c>
      <c r="CJ24" s="13" t="str">
        <f t="shared" si="56"/>
        <v>2O1</v>
      </c>
      <c r="CK24" s="13">
        <f t="shared" si="57"/>
        <v>41</v>
      </c>
      <c r="CL24" s="13" t="str">
        <f t="shared" si="24"/>
        <v>Black Jack</v>
      </c>
      <c r="CM24" s="13" t="str">
        <f t="shared" si="25"/>
        <v>Chill Out Bull's 2</v>
      </c>
      <c r="CN24" s="13">
        <f t="shared" si="58"/>
        <v>42</v>
      </c>
      <c r="CO24" s="14"/>
      <c r="CP24" s="12">
        <v>9</v>
      </c>
      <c r="CQ24" s="13" t="str">
        <f t="shared" si="59"/>
        <v>2O1</v>
      </c>
      <c r="CR24" s="13">
        <f t="shared" si="60"/>
        <v>48</v>
      </c>
      <c r="CS24" s="13" t="str">
        <f t="shared" si="26"/>
        <v>Heroes</v>
      </c>
      <c r="CT24" s="13" t="str">
        <f t="shared" si="27"/>
        <v>Black Jack</v>
      </c>
      <c r="CU24" s="13">
        <f t="shared" si="61"/>
        <v>41</v>
      </c>
      <c r="CV24" s="14"/>
      <c r="CW24" s="12">
        <v>10</v>
      </c>
      <c r="CX24" s="13" t="str">
        <f t="shared" si="62"/>
        <v>2O1</v>
      </c>
      <c r="CY24" s="13">
        <f t="shared" si="63"/>
        <v>41</v>
      </c>
      <c r="CZ24" s="13" t="str">
        <f t="shared" si="28"/>
        <v>Black Jack</v>
      </c>
      <c r="DA24" s="13" t="str">
        <f t="shared" si="29"/>
        <v>Brugg 4</v>
      </c>
      <c r="DB24" s="13">
        <f t="shared" si="64"/>
        <v>46</v>
      </c>
      <c r="DC24" s="14"/>
      <c r="DD24" s="12">
        <v>11</v>
      </c>
      <c r="DE24" s="13" t="str">
        <f t="shared" si="65"/>
        <v>2O1</v>
      </c>
      <c r="DF24" s="13">
        <f t="shared" si="66"/>
        <v>44</v>
      </c>
      <c r="DG24" s="13" t="str">
        <f t="shared" si="30"/>
        <v>Horgen</v>
      </c>
      <c r="DH24" s="13" t="str">
        <f t="shared" si="31"/>
        <v>Black Jack</v>
      </c>
      <c r="DI24" s="13">
        <f t="shared" si="67"/>
        <v>41</v>
      </c>
      <c r="DJ24" s="14"/>
      <c r="DK24" s="12">
        <v>12</v>
      </c>
      <c r="DL24" s="13" t="str">
        <f t="shared" si="68"/>
        <v>2O1</v>
      </c>
      <c r="DM24" s="13">
        <f t="shared" si="69"/>
        <v>41</v>
      </c>
      <c r="DN24" s="13" t="str">
        <f t="shared" si="32"/>
        <v>Black Jack</v>
      </c>
      <c r="DO24" s="13" t="str">
        <f t="shared" si="33"/>
        <v>High 5</v>
      </c>
      <c r="DP24" s="13">
        <f t="shared" si="70"/>
        <v>43</v>
      </c>
      <c r="DQ24" s="14"/>
      <c r="DR24" s="12">
        <v>13</v>
      </c>
      <c r="DS24" s="13" t="str">
        <f t="shared" si="71"/>
        <v>2O1</v>
      </c>
      <c r="DT24" s="13">
        <f t="shared" si="72"/>
        <v>45</v>
      </c>
      <c r="DU24" s="13" t="str">
        <f t="shared" si="34"/>
        <v>Züri Otter</v>
      </c>
      <c r="DV24" s="13" t="str">
        <f t="shared" si="35"/>
        <v>Black Jack</v>
      </c>
      <c r="DW24" s="13">
        <f t="shared" si="73"/>
        <v>41</v>
      </c>
      <c r="DX24" s="14"/>
      <c r="DY24" s="12">
        <v>14</v>
      </c>
      <c r="DZ24" s="13" t="str">
        <f t="shared" si="74"/>
        <v>2O1</v>
      </c>
      <c r="EA24" s="13">
        <f t="shared" si="75"/>
        <v>41</v>
      </c>
      <c r="EB24" s="13" t="str">
        <f t="shared" si="36"/>
        <v>Black Jack</v>
      </c>
      <c r="EC24" s="13" t="str">
        <f t="shared" si="37"/>
        <v>Papillon 2</v>
      </c>
      <c r="ED24" s="13">
        <f t="shared" si="76"/>
        <v>47</v>
      </c>
      <c r="EE24" s="14"/>
      <c r="EF24" s="1" t="str">
        <f t="shared" si="80"/>
        <v>1LW</v>
      </c>
      <c r="EG24" s="1">
        <v>23</v>
      </c>
      <c r="EH24" s="1" t="str">
        <f t="shared" si="81"/>
        <v>Madhouse</v>
      </c>
      <c r="EI24" s="1">
        <f t="shared" si="82"/>
        <v>1300</v>
      </c>
      <c r="EJ24" s="6"/>
      <c r="EK24" s="6">
        <v>42</v>
      </c>
      <c r="EL24" s="6">
        <v>41</v>
      </c>
      <c r="EM24" s="6"/>
      <c r="EN24" s="6" t="s">
        <v>1274</v>
      </c>
      <c r="EO24" s="6"/>
      <c r="EP24" s="6"/>
      <c r="EQ24" s="6"/>
      <c r="ER24" s="6"/>
      <c r="ES24" s="6"/>
      <c r="ET24" s="6"/>
      <c r="EU24" s="6"/>
      <c r="EV24" s="6"/>
      <c r="EW24" s="6"/>
      <c r="EX24" s="6"/>
      <c r="EY24" s="6"/>
      <c r="EZ24" s="6"/>
      <c r="FA24" s="6"/>
      <c r="FB24" s="6"/>
      <c r="FC24" s="6"/>
      <c r="FD24" s="6"/>
      <c r="FE24" s="6"/>
      <c r="FF24" s="6"/>
      <c r="FG24" s="6"/>
      <c r="FH24" s="6"/>
      <c r="FI24" s="6"/>
      <c r="FJ24" s="6"/>
      <c r="FK24" s="6"/>
    </row>
    <row r="25" spans="1:167" ht="24.95" customHeight="1">
      <c r="A25" s="22">
        <v>19</v>
      </c>
      <c r="B25" s="22">
        <v>10</v>
      </c>
      <c r="C25" s="2">
        <f t="shared" si="83"/>
        <v>20</v>
      </c>
      <c r="D25" s="2">
        <v>1</v>
      </c>
      <c r="E25" s="7">
        <v>17</v>
      </c>
      <c r="F25" s="9" t="s">
        <v>1221</v>
      </c>
      <c r="G25" s="155">
        <v>1500</v>
      </c>
      <c r="H25" s="16"/>
      <c r="I25" s="76">
        <f>VLOOKUP(G25,Licenses!B:K,10,FALSE)</f>
        <v>0</v>
      </c>
      <c r="J25" s="16"/>
      <c r="K25" s="16"/>
      <c r="L25" t="str">
        <f t="shared" si="1"/>
        <v>2O2 High 5</v>
      </c>
      <c r="M25" s="1">
        <v>23</v>
      </c>
      <c r="N25" s="1">
        <v>3</v>
      </c>
      <c r="O25" s="1" t="s">
        <v>836</v>
      </c>
      <c r="Q25" s="10" t="s">
        <v>239</v>
      </c>
      <c r="R25" s="1">
        <f t="shared" si="2"/>
        <v>43</v>
      </c>
      <c r="S25" s="1" t="str">
        <f t="shared" si="40"/>
        <v>High 5</v>
      </c>
      <c r="T25" s="1" t="str">
        <f t="shared" si="41"/>
        <v>Heroes</v>
      </c>
      <c r="U25" s="1">
        <f t="shared" si="3"/>
        <v>48</v>
      </c>
      <c r="AI25" s="6"/>
      <c r="AJ25" s="6"/>
      <c r="AK25" s="6"/>
      <c r="AL25" s="15">
        <v>1</v>
      </c>
      <c r="AM25" s="4" t="s">
        <v>239</v>
      </c>
      <c r="AN25" s="4">
        <f t="shared" si="42"/>
        <v>44</v>
      </c>
      <c r="AO25" s="4" t="str">
        <f t="shared" si="4"/>
        <v>Horgen</v>
      </c>
      <c r="AP25" s="4" t="str">
        <f t="shared" si="5"/>
        <v>High 5</v>
      </c>
      <c r="AQ25" s="4">
        <f t="shared" si="43"/>
        <v>43</v>
      </c>
      <c r="AR25" s="7"/>
      <c r="AS25" s="15">
        <v>2</v>
      </c>
      <c r="AT25" s="4" t="str">
        <f t="shared" si="44"/>
        <v>2O2</v>
      </c>
      <c r="AU25" s="4">
        <f t="shared" si="45"/>
        <v>43</v>
      </c>
      <c r="AV25" s="4" t="str">
        <f t="shared" si="6"/>
        <v>High 5</v>
      </c>
      <c r="AW25" s="4" t="str">
        <f t="shared" si="7"/>
        <v>Chill Out Bull's 2</v>
      </c>
      <c r="AX25" s="4">
        <f t="shared" si="46"/>
        <v>42</v>
      </c>
      <c r="AY25" s="7"/>
      <c r="AZ25" s="15">
        <v>3</v>
      </c>
      <c r="BA25" s="4" t="str">
        <f t="shared" si="47"/>
        <v>2O2</v>
      </c>
      <c r="BB25" s="4">
        <f t="shared" si="48"/>
        <v>48</v>
      </c>
      <c r="BC25" s="4" t="str">
        <f t="shared" si="8"/>
        <v>Heroes</v>
      </c>
      <c r="BD25" s="4" t="str">
        <f t="shared" si="9"/>
        <v>High 5</v>
      </c>
      <c r="BE25" s="4">
        <f t="shared" si="49"/>
        <v>43</v>
      </c>
      <c r="BF25" s="7"/>
      <c r="BG25" s="15">
        <v>4</v>
      </c>
      <c r="BH25" s="4" t="str">
        <f t="shared" si="50"/>
        <v>2O2</v>
      </c>
      <c r="BI25" s="4">
        <f t="shared" si="51"/>
        <v>43</v>
      </c>
      <c r="BJ25" s="4" t="str">
        <f t="shared" si="10"/>
        <v>High 5</v>
      </c>
      <c r="BK25" s="4" t="str">
        <f t="shared" si="11"/>
        <v>Brugg 4</v>
      </c>
      <c r="BL25" s="4">
        <f t="shared" si="52"/>
        <v>46</v>
      </c>
      <c r="BM25" s="7"/>
      <c r="BN25" s="15">
        <v>5</v>
      </c>
      <c r="BO25" s="4" t="str">
        <f t="shared" si="53"/>
        <v>2O2</v>
      </c>
      <c r="BP25" s="4">
        <f t="shared" si="12"/>
        <v>47</v>
      </c>
      <c r="BQ25" s="4" t="str">
        <f t="shared" si="13"/>
        <v>Papillon 2</v>
      </c>
      <c r="BR25" s="4" t="str">
        <f t="shared" si="14"/>
        <v>Züri Otter</v>
      </c>
      <c r="BS25" s="4">
        <f t="shared" si="15"/>
        <v>45</v>
      </c>
      <c r="BT25" s="7"/>
      <c r="BU25" s="15">
        <v>6</v>
      </c>
      <c r="BV25" s="4" t="str">
        <f t="shared" si="54"/>
        <v>2O2</v>
      </c>
      <c r="BW25" s="4">
        <f t="shared" si="16"/>
        <v>43</v>
      </c>
      <c r="BX25" s="4" t="str">
        <f t="shared" si="17"/>
        <v>High 5</v>
      </c>
      <c r="BY25" s="4" t="str">
        <f t="shared" si="18"/>
        <v>Papillon 2</v>
      </c>
      <c r="BZ25" s="4">
        <f t="shared" si="19"/>
        <v>47</v>
      </c>
      <c r="CA25" s="7"/>
      <c r="CB25" s="15">
        <v>7</v>
      </c>
      <c r="CC25" s="4" t="str">
        <f t="shared" si="55"/>
        <v>2O2</v>
      </c>
      <c r="CD25" s="4">
        <f t="shared" si="20"/>
        <v>45</v>
      </c>
      <c r="CE25" s="4" t="str">
        <f t="shared" si="21"/>
        <v>Züri Otter</v>
      </c>
      <c r="CF25" s="4" t="str">
        <f t="shared" si="22"/>
        <v>High 5</v>
      </c>
      <c r="CG25" s="4">
        <f t="shared" si="23"/>
        <v>43</v>
      </c>
      <c r="CH25" s="7"/>
      <c r="CI25" s="15">
        <v>8</v>
      </c>
      <c r="CJ25" s="4" t="str">
        <f t="shared" si="56"/>
        <v>2O2</v>
      </c>
      <c r="CK25" s="4">
        <f t="shared" si="57"/>
        <v>43</v>
      </c>
      <c r="CL25" s="4" t="str">
        <f t="shared" si="24"/>
        <v>High 5</v>
      </c>
      <c r="CM25" s="4" t="str">
        <f t="shared" si="25"/>
        <v>Horgen</v>
      </c>
      <c r="CN25" s="4">
        <f t="shared" si="58"/>
        <v>44</v>
      </c>
      <c r="CO25" s="7"/>
      <c r="CP25" s="15">
        <v>9</v>
      </c>
      <c r="CQ25" s="4" t="str">
        <f t="shared" si="59"/>
        <v>2O2</v>
      </c>
      <c r="CR25" s="4">
        <f t="shared" si="60"/>
        <v>42</v>
      </c>
      <c r="CS25" s="4" t="str">
        <f t="shared" si="26"/>
        <v>Chill Out Bull's 2</v>
      </c>
      <c r="CT25" s="4" t="str">
        <f t="shared" si="27"/>
        <v>High 5</v>
      </c>
      <c r="CU25" s="4">
        <f t="shared" si="61"/>
        <v>43</v>
      </c>
      <c r="CV25" s="7"/>
      <c r="CW25" s="15">
        <v>10</v>
      </c>
      <c r="CX25" s="4" t="str">
        <f t="shared" si="62"/>
        <v>2O2</v>
      </c>
      <c r="CY25" s="4">
        <f t="shared" si="63"/>
        <v>43</v>
      </c>
      <c r="CZ25" s="4" t="str">
        <f t="shared" si="28"/>
        <v>High 5</v>
      </c>
      <c r="DA25" s="4" t="str">
        <f t="shared" si="29"/>
        <v>Heroes</v>
      </c>
      <c r="DB25" s="4">
        <f t="shared" si="64"/>
        <v>48</v>
      </c>
      <c r="DC25" s="7"/>
      <c r="DD25" s="15">
        <v>11</v>
      </c>
      <c r="DE25" s="4" t="str">
        <f t="shared" si="65"/>
        <v>2O2</v>
      </c>
      <c r="DF25" s="4">
        <f t="shared" si="66"/>
        <v>46</v>
      </c>
      <c r="DG25" s="4" t="str">
        <f t="shared" si="30"/>
        <v>Brugg 4</v>
      </c>
      <c r="DH25" s="4" t="str">
        <f t="shared" si="31"/>
        <v>High 5</v>
      </c>
      <c r="DI25" s="4">
        <f t="shared" si="67"/>
        <v>43</v>
      </c>
      <c r="DJ25" s="7"/>
      <c r="DK25" s="15">
        <v>12</v>
      </c>
      <c r="DL25" s="4" t="str">
        <f t="shared" si="68"/>
        <v>2O2</v>
      </c>
      <c r="DM25" s="4">
        <f t="shared" si="69"/>
        <v>45</v>
      </c>
      <c r="DN25" s="4" t="str">
        <f t="shared" si="32"/>
        <v>Züri Otter</v>
      </c>
      <c r="DO25" s="4" t="str">
        <f t="shared" si="33"/>
        <v>Papillon 2</v>
      </c>
      <c r="DP25" s="4">
        <f t="shared" si="70"/>
        <v>47</v>
      </c>
      <c r="DQ25" s="7"/>
      <c r="DR25" s="15">
        <v>13</v>
      </c>
      <c r="DS25" s="4" t="str">
        <f t="shared" si="71"/>
        <v>2O2</v>
      </c>
      <c r="DT25" s="4">
        <f t="shared" si="72"/>
        <v>47</v>
      </c>
      <c r="DU25" s="4" t="str">
        <f t="shared" si="34"/>
        <v>Papillon 2</v>
      </c>
      <c r="DV25" s="4" t="str">
        <f t="shared" si="35"/>
        <v>High 5</v>
      </c>
      <c r="DW25" s="4">
        <f t="shared" si="73"/>
        <v>43</v>
      </c>
      <c r="DX25" s="7"/>
      <c r="DY25" s="15">
        <v>14</v>
      </c>
      <c r="DZ25" s="4" t="str">
        <f t="shared" si="74"/>
        <v>2O2</v>
      </c>
      <c r="EA25" s="4">
        <f t="shared" si="75"/>
        <v>43</v>
      </c>
      <c r="EB25" s="4" t="str">
        <f t="shared" si="36"/>
        <v>High 5</v>
      </c>
      <c r="EC25" s="4" t="str">
        <f t="shared" si="37"/>
        <v>Züri Otter</v>
      </c>
      <c r="ED25" s="4">
        <f t="shared" si="76"/>
        <v>45</v>
      </c>
      <c r="EE25" s="7"/>
      <c r="EF25" s="1" t="str">
        <f t="shared" si="80"/>
        <v>1LW</v>
      </c>
      <c r="EG25" s="1">
        <v>24</v>
      </c>
      <c r="EH25" s="1" t="str">
        <f t="shared" si="81"/>
        <v>Top Darts</v>
      </c>
      <c r="EI25" s="1">
        <f t="shared" si="82"/>
        <v>2400</v>
      </c>
      <c r="EJ25" s="6"/>
      <c r="EK25" s="6">
        <v>44</v>
      </c>
      <c r="EL25" s="6">
        <v>43</v>
      </c>
      <c r="EM25" s="6"/>
      <c r="EN25" s="6" t="s">
        <v>1275</v>
      </c>
      <c r="EO25" s="6"/>
      <c r="EP25" s="6"/>
      <c r="EQ25" s="6"/>
      <c r="ER25" s="6"/>
      <c r="ES25" s="6"/>
      <c r="ET25" s="6"/>
      <c r="EU25" s="6"/>
      <c r="EV25" s="6"/>
      <c r="EW25" s="6"/>
      <c r="EX25" s="6"/>
      <c r="EY25" s="6"/>
      <c r="EZ25" s="6"/>
      <c r="FA25" s="6"/>
      <c r="FB25" s="6"/>
      <c r="FC25" s="6"/>
      <c r="FD25" s="6"/>
      <c r="FE25" s="6"/>
      <c r="FF25" s="6"/>
      <c r="FG25" s="6"/>
      <c r="FH25" s="6"/>
      <c r="FI25" s="6"/>
      <c r="FJ25" s="6"/>
      <c r="FK25" s="6"/>
    </row>
    <row r="26" spans="1:167" ht="24.95" customHeight="1">
      <c r="A26" s="22">
        <v>20</v>
      </c>
      <c r="B26" s="22">
        <v>10</v>
      </c>
      <c r="C26" s="2">
        <f t="shared" si="83"/>
        <v>21</v>
      </c>
      <c r="D26" s="2">
        <v>2</v>
      </c>
      <c r="E26" s="7">
        <v>18</v>
      </c>
      <c r="F26" s="9" t="s">
        <v>1222</v>
      </c>
      <c r="G26" s="155">
        <v>2900</v>
      </c>
      <c r="H26" s="16"/>
      <c r="I26" s="76">
        <f>VLOOKUP(G26,Licenses!B:K,10,FALSE)</f>
        <v>0</v>
      </c>
      <c r="J26" s="16"/>
      <c r="K26" s="16"/>
      <c r="L26" t="str">
        <f t="shared" si="1"/>
        <v>2O3 Züri Otter</v>
      </c>
      <c r="M26" s="1">
        <v>24</v>
      </c>
      <c r="N26" s="1">
        <v>3</v>
      </c>
      <c r="O26" s="1" t="s">
        <v>836</v>
      </c>
      <c r="Q26" s="10" t="s">
        <v>240</v>
      </c>
      <c r="R26" s="1">
        <f t="shared" si="2"/>
        <v>45</v>
      </c>
      <c r="S26" s="1" t="str">
        <f t="shared" si="40"/>
        <v>Züri Otter</v>
      </c>
      <c r="T26" s="1" t="str">
        <f t="shared" si="41"/>
        <v>Chill Out Bull's 2</v>
      </c>
      <c r="U26" s="1">
        <f t="shared" si="3"/>
        <v>42</v>
      </c>
      <c r="AI26" s="6"/>
      <c r="AJ26" s="6"/>
      <c r="AK26" s="6"/>
      <c r="AL26" s="15">
        <v>1</v>
      </c>
      <c r="AM26" s="4" t="s">
        <v>240</v>
      </c>
      <c r="AN26" s="4">
        <f t="shared" si="42"/>
        <v>46</v>
      </c>
      <c r="AO26" s="4" t="str">
        <f t="shared" si="4"/>
        <v>Brugg 4</v>
      </c>
      <c r="AP26" s="4" t="str">
        <f t="shared" si="5"/>
        <v>Züri Otter</v>
      </c>
      <c r="AQ26" s="4">
        <f t="shared" si="43"/>
        <v>45</v>
      </c>
      <c r="AR26" s="7"/>
      <c r="AS26" s="15">
        <v>2</v>
      </c>
      <c r="AT26" s="4" t="str">
        <f t="shared" si="44"/>
        <v>2O3</v>
      </c>
      <c r="AU26" s="4">
        <f t="shared" si="45"/>
        <v>45</v>
      </c>
      <c r="AV26" s="4" t="str">
        <f t="shared" si="6"/>
        <v>Züri Otter</v>
      </c>
      <c r="AW26" s="4" t="str">
        <f t="shared" si="7"/>
        <v>Horgen</v>
      </c>
      <c r="AX26" s="4">
        <f t="shared" si="46"/>
        <v>44</v>
      </c>
      <c r="AY26" s="7"/>
      <c r="AZ26" s="15">
        <v>3</v>
      </c>
      <c r="BA26" s="4" t="str">
        <f t="shared" si="47"/>
        <v>2O3</v>
      </c>
      <c r="BB26" s="4">
        <f t="shared" si="48"/>
        <v>42</v>
      </c>
      <c r="BC26" s="4" t="str">
        <f t="shared" si="8"/>
        <v>Chill Out Bull's 2</v>
      </c>
      <c r="BD26" s="4" t="str">
        <f t="shared" si="9"/>
        <v>Züri Otter</v>
      </c>
      <c r="BE26" s="4">
        <f t="shared" si="49"/>
        <v>45</v>
      </c>
      <c r="BF26" s="7"/>
      <c r="BG26" s="15">
        <v>4</v>
      </c>
      <c r="BH26" s="4" t="str">
        <f t="shared" si="50"/>
        <v>2O3</v>
      </c>
      <c r="BI26" s="4">
        <f t="shared" si="51"/>
        <v>45</v>
      </c>
      <c r="BJ26" s="4" t="str">
        <f t="shared" si="10"/>
        <v>Züri Otter</v>
      </c>
      <c r="BK26" s="4" t="str">
        <f t="shared" si="11"/>
        <v>Heroes</v>
      </c>
      <c r="BL26" s="4">
        <f t="shared" si="52"/>
        <v>48</v>
      </c>
      <c r="BM26" s="7"/>
      <c r="BN26" s="15">
        <v>5</v>
      </c>
      <c r="BO26" s="4" t="str">
        <f t="shared" si="53"/>
        <v>2O3</v>
      </c>
      <c r="BP26" s="4">
        <f t="shared" si="12"/>
        <v>44</v>
      </c>
      <c r="BQ26" s="4" t="str">
        <f t="shared" si="13"/>
        <v>Horgen</v>
      </c>
      <c r="BR26" s="4" t="str">
        <f t="shared" si="14"/>
        <v>Chill Out Bull's 2</v>
      </c>
      <c r="BS26" s="4">
        <f t="shared" si="15"/>
        <v>42</v>
      </c>
      <c r="BT26" s="7"/>
      <c r="BU26" s="15">
        <v>6</v>
      </c>
      <c r="BV26" s="4" t="str">
        <f t="shared" si="54"/>
        <v>2O3</v>
      </c>
      <c r="BW26" s="4">
        <f t="shared" si="16"/>
        <v>42</v>
      </c>
      <c r="BX26" s="4" t="str">
        <f t="shared" si="17"/>
        <v>Chill Out Bull's 2</v>
      </c>
      <c r="BY26" s="4" t="str">
        <f t="shared" si="18"/>
        <v>Brugg 4</v>
      </c>
      <c r="BZ26" s="4">
        <f t="shared" si="19"/>
        <v>46</v>
      </c>
      <c r="CA26" s="7"/>
      <c r="CB26" s="15">
        <v>7</v>
      </c>
      <c r="CC26" s="4" t="str">
        <f t="shared" si="55"/>
        <v>2O3</v>
      </c>
      <c r="CD26" s="4">
        <f t="shared" si="20"/>
        <v>48</v>
      </c>
      <c r="CE26" s="4" t="str">
        <f t="shared" si="21"/>
        <v>Heroes</v>
      </c>
      <c r="CF26" s="4" t="str">
        <f t="shared" si="22"/>
        <v>Chill Out Bull's 2</v>
      </c>
      <c r="CG26" s="4">
        <f t="shared" si="23"/>
        <v>42</v>
      </c>
      <c r="CH26" s="7"/>
      <c r="CI26" s="15">
        <v>8</v>
      </c>
      <c r="CJ26" s="4" t="str">
        <f t="shared" si="56"/>
        <v>2O3</v>
      </c>
      <c r="CK26" s="4">
        <f t="shared" si="57"/>
        <v>45</v>
      </c>
      <c r="CL26" s="4" t="str">
        <f t="shared" si="24"/>
        <v>Züri Otter</v>
      </c>
      <c r="CM26" s="4" t="str">
        <f t="shared" si="25"/>
        <v>Brugg 4</v>
      </c>
      <c r="CN26" s="4">
        <f t="shared" si="58"/>
        <v>46</v>
      </c>
      <c r="CO26" s="7"/>
      <c r="CP26" s="15">
        <v>9</v>
      </c>
      <c r="CQ26" s="4" t="str">
        <f t="shared" si="59"/>
        <v>2O3</v>
      </c>
      <c r="CR26" s="4">
        <f t="shared" si="60"/>
        <v>44</v>
      </c>
      <c r="CS26" s="4" t="str">
        <f t="shared" si="26"/>
        <v>Horgen</v>
      </c>
      <c r="CT26" s="4" t="str">
        <f t="shared" si="27"/>
        <v>Züri Otter</v>
      </c>
      <c r="CU26" s="4">
        <f t="shared" si="61"/>
        <v>45</v>
      </c>
      <c r="CV26" s="7"/>
      <c r="CW26" s="15">
        <v>10</v>
      </c>
      <c r="CX26" s="4" t="str">
        <f t="shared" si="62"/>
        <v>2O3</v>
      </c>
      <c r="CY26" s="4">
        <f t="shared" si="63"/>
        <v>45</v>
      </c>
      <c r="CZ26" s="4" t="str">
        <f t="shared" si="28"/>
        <v>Züri Otter</v>
      </c>
      <c r="DA26" s="4" t="str">
        <f t="shared" si="29"/>
        <v>Chill Out Bull's 2</v>
      </c>
      <c r="DB26" s="4">
        <f t="shared" si="64"/>
        <v>42</v>
      </c>
      <c r="DC26" s="7"/>
      <c r="DD26" s="15">
        <v>11</v>
      </c>
      <c r="DE26" s="4" t="str">
        <f t="shared" si="65"/>
        <v>2O3</v>
      </c>
      <c r="DF26" s="4">
        <f t="shared" si="66"/>
        <v>48</v>
      </c>
      <c r="DG26" s="4" t="str">
        <f t="shared" si="30"/>
        <v>Heroes</v>
      </c>
      <c r="DH26" s="4" t="str">
        <f t="shared" si="31"/>
        <v>Züri Otter</v>
      </c>
      <c r="DI26" s="4">
        <f t="shared" si="67"/>
        <v>45</v>
      </c>
      <c r="DJ26" s="7"/>
      <c r="DK26" s="15">
        <v>12</v>
      </c>
      <c r="DL26" s="4" t="str">
        <f t="shared" si="68"/>
        <v>2O3</v>
      </c>
      <c r="DM26" s="4">
        <f t="shared" si="69"/>
        <v>42</v>
      </c>
      <c r="DN26" s="4" t="str">
        <f t="shared" si="32"/>
        <v>Chill Out Bull's 2</v>
      </c>
      <c r="DO26" s="4" t="str">
        <f t="shared" si="33"/>
        <v>Horgen</v>
      </c>
      <c r="DP26" s="4">
        <f t="shared" si="70"/>
        <v>44</v>
      </c>
      <c r="DQ26" s="7"/>
      <c r="DR26" s="15">
        <v>13</v>
      </c>
      <c r="DS26" s="4" t="str">
        <f t="shared" si="71"/>
        <v>2O3</v>
      </c>
      <c r="DT26" s="4">
        <f t="shared" si="72"/>
        <v>46</v>
      </c>
      <c r="DU26" s="4" t="str">
        <f t="shared" si="34"/>
        <v>Brugg 4</v>
      </c>
      <c r="DV26" s="4" t="str">
        <f t="shared" si="35"/>
        <v>Chill Out Bull's 2</v>
      </c>
      <c r="DW26" s="4">
        <f t="shared" si="73"/>
        <v>42</v>
      </c>
      <c r="DX26" s="7"/>
      <c r="DY26" s="15">
        <v>14</v>
      </c>
      <c r="DZ26" s="4" t="str">
        <f t="shared" si="74"/>
        <v>2O3</v>
      </c>
      <c r="EA26" s="4">
        <f t="shared" si="75"/>
        <v>42</v>
      </c>
      <c r="EB26" s="4" t="str">
        <f t="shared" si="36"/>
        <v>Chill Out Bull's 2</v>
      </c>
      <c r="EC26" s="4" t="str">
        <f t="shared" si="37"/>
        <v>Heroes</v>
      </c>
      <c r="ED26" s="4">
        <f t="shared" si="76"/>
        <v>48</v>
      </c>
      <c r="EE26" s="7"/>
      <c r="EF26" s="1" t="str">
        <f>LEFT($E$34,50)</f>
        <v>1LO</v>
      </c>
      <c r="EG26" s="1">
        <v>25</v>
      </c>
      <c r="EH26" s="1" t="str">
        <f t="shared" ref="EH26:EI33" si="84">LEFT(F36,50)</f>
        <v>Eastern Switzerl.</v>
      </c>
      <c r="EI26" s="1" t="str">
        <f t="shared" si="84"/>
        <v>1600</v>
      </c>
      <c r="EK26" s="1">
        <v>46</v>
      </c>
      <c r="EL26" s="1">
        <v>45</v>
      </c>
      <c r="EN26" s="1" t="s">
        <v>1276</v>
      </c>
      <c r="FC26" s="6"/>
      <c r="FD26" s="6"/>
      <c r="FE26" s="6"/>
      <c r="FF26" s="6"/>
      <c r="FG26" s="6"/>
      <c r="FH26" s="6"/>
      <c r="FI26" s="6"/>
      <c r="FJ26" s="6"/>
      <c r="FK26" s="6"/>
    </row>
    <row r="27" spans="1:167" ht="24.95" customHeight="1" thickBot="1">
      <c r="A27" s="22">
        <v>21</v>
      </c>
      <c r="B27" s="22">
        <v>11</v>
      </c>
      <c r="C27" s="2">
        <f t="shared" si="83"/>
        <v>22</v>
      </c>
      <c r="D27" s="2">
        <v>3</v>
      </c>
      <c r="E27" s="7">
        <v>19</v>
      </c>
      <c r="F27" s="9" t="s">
        <v>103</v>
      </c>
      <c r="G27" s="155">
        <v>4800</v>
      </c>
      <c r="H27" s="16"/>
      <c r="I27" s="76">
        <f>VLOOKUP(G27,Licenses!B:K,10,FALSE)</f>
        <v>0</v>
      </c>
      <c r="J27" s="16"/>
      <c r="K27" s="16"/>
      <c r="L27" t="str">
        <f t="shared" si="1"/>
        <v>2O4 Papillon 2</v>
      </c>
      <c r="M27" s="1">
        <v>25</v>
      </c>
      <c r="N27" s="1">
        <v>3</v>
      </c>
      <c r="O27" s="1" t="s">
        <v>836</v>
      </c>
      <c r="Q27" s="10" t="s">
        <v>241</v>
      </c>
      <c r="R27" s="1">
        <f t="shared" si="2"/>
        <v>47</v>
      </c>
      <c r="S27" s="1" t="str">
        <f t="shared" si="40"/>
        <v>Papillon 2</v>
      </c>
      <c r="T27" s="1" t="str">
        <f t="shared" si="41"/>
        <v>Horgen</v>
      </c>
      <c r="U27" s="1">
        <f t="shared" si="3"/>
        <v>44</v>
      </c>
      <c r="AI27" s="6"/>
      <c r="AJ27" s="6"/>
      <c r="AK27" s="6"/>
      <c r="AL27" s="17">
        <v>1</v>
      </c>
      <c r="AM27" s="18" t="s">
        <v>241</v>
      </c>
      <c r="AN27" s="18">
        <f t="shared" si="42"/>
        <v>48</v>
      </c>
      <c r="AO27" s="18" t="str">
        <f t="shared" si="4"/>
        <v>Heroes</v>
      </c>
      <c r="AP27" s="18" t="str">
        <f t="shared" si="5"/>
        <v>Papillon 2</v>
      </c>
      <c r="AQ27" s="18">
        <f t="shared" si="43"/>
        <v>47</v>
      </c>
      <c r="AR27" s="19"/>
      <c r="AS27" s="17">
        <v>2</v>
      </c>
      <c r="AT27" s="18" t="str">
        <f t="shared" si="44"/>
        <v>2O4</v>
      </c>
      <c r="AU27" s="18">
        <f t="shared" si="45"/>
        <v>47</v>
      </c>
      <c r="AV27" s="18" t="str">
        <f t="shared" si="6"/>
        <v>Papillon 2</v>
      </c>
      <c r="AW27" s="18" t="str">
        <f t="shared" si="7"/>
        <v>Brugg 4</v>
      </c>
      <c r="AX27" s="18">
        <f t="shared" si="46"/>
        <v>46</v>
      </c>
      <c r="AY27" s="19"/>
      <c r="AZ27" s="17">
        <v>3</v>
      </c>
      <c r="BA27" s="18" t="str">
        <f t="shared" si="47"/>
        <v>2O4</v>
      </c>
      <c r="BB27" s="18">
        <f t="shared" si="48"/>
        <v>44</v>
      </c>
      <c r="BC27" s="18" t="str">
        <f t="shared" si="8"/>
        <v>Horgen</v>
      </c>
      <c r="BD27" s="18" t="str">
        <f t="shared" si="9"/>
        <v>Papillon 2</v>
      </c>
      <c r="BE27" s="18">
        <f t="shared" si="49"/>
        <v>47</v>
      </c>
      <c r="BF27" s="19"/>
      <c r="BG27" s="17">
        <v>4</v>
      </c>
      <c r="BH27" s="18" t="str">
        <f t="shared" si="50"/>
        <v>2O4</v>
      </c>
      <c r="BI27" s="18">
        <f t="shared" si="51"/>
        <v>47</v>
      </c>
      <c r="BJ27" s="18" t="str">
        <f t="shared" si="10"/>
        <v>Papillon 2</v>
      </c>
      <c r="BK27" s="18" t="str">
        <f t="shared" si="11"/>
        <v>Chill Out Bull's 2</v>
      </c>
      <c r="BL27" s="18">
        <f t="shared" si="52"/>
        <v>42</v>
      </c>
      <c r="BM27" s="19"/>
      <c r="BN27" s="17">
        <v>5</v>
      </c>
      <c r="BO27" s="18" t="str">
        <f t="shared" si="53"/>
        <v>2O4</v>
      </c>
      <c r="BP27" s="18">
        <f t="shared" si="12"/>
        <v>48</v>
      </c>
      <c r="BQ27" s="18" t="str">
        <f t="shared" si="13"/>
        <v>Heroes</v>
      </c>
      <c r="BR27" s="18" t="str">
        <f t="shared" si="14"/>
        <v>Brugg 4</v>
      </c>
      <c r="BS27" s="18">
        <f t="shared" si="15"/>
        <v>46</v>
      </c>
      <c r="BT27" s="19"/>
      <c r="BU27" s="17">
        <v>6</v>
      </c>
      <c r="BV27" s="18" t="str">
        <f t="shared" si="54"/>
        <v>2O4</v>
      </c>
      <c r="BW27" s="18">
        <f t="shared" si="16"/>
        <v>44</v>
      </c>
      <c r="BX27" s="18" t="str">
        <f t="shared" si="17"/>
        <v>Horgen</v>
      </c>
      <c r="BY27" s="18" t="str">
        <f t="shared" si="18"/>
        <v>Heroes</v>
      </c>
      <c r="BZ27" s="18">
        <f t="shared" si="19"/>
        <v>48</v>
      </c>
      <c r="CA27" s="19"/>
      <c r="CB27" s="17">
        <v>7</v>
      </c>
      <c r="CC27" s="18" t="str">
        <f t="shared" si="55"/>
        <v>2O4</v>
      </c>
      <c r="CD27" s="18">
        <f t="shared" si="20"/>
        <v>46</v>
      </c>
      <c r="CE27" s="18" t="str">
        <f t="shared" si="21"/>
        <v>Brugg 4</v>
      </c>
      <c r="CF27" s="18" t="str">
        <f t="shared" si="22"/>
        <v>Horgen</v>
      </c>
      <c r="CG27" s="18">
        <f t="shared" si="23"/>
        <v>44</v>
      </c>
      <c r="CH27" s="19"/>
      <c r="CI27" s="17">
        <v>8</v>
      </c>
      <c r="CJ27" s="18" t="str">
        <f t="shared" si="56"/>
        <v>2O4</v>
      </c>
      <c r="CK27" s="18">
        <f t="shared" si="57"/>
        <v>47</v>
      </c>
      <c r="CL27" s="18" t="str">
        <f t="shared" si="24"/>
        <v>Papillon 2</v>
      </c>
      <c r="CM27" s="18" t="str">
        <f t="shared" si="25"/>
        <v>Heroes</v>
      </c>
      <c r="CN27" s="18">
        <f t="shared" si="58"/>
        <v>48</v>
      </c>
      <c r="CO27" s="19"/>
      <c r="CP27" s="17">
        <v>9</v>
      </c>
      <c r="CQ27" s="18" t="str">
        <f t="shared" si="59"/>
        <v>2O4</v>
      </c>
      <c r="CR27" s="18">
        <f t="shared" si="60"/>
        <v>46</v>
      </c>
      <c r="CS27" s="18" t="str">
        <f t="shared" si="26"/>
        <v>Brugg 4</v>
      </c>
      <c r="CT27" s="18" t="str">
        <f t="shared" si="27"/>
        <v>Papillon 2</v>
      </c>
      <c r="CU27" s="18">
        <f t="shared" si="61"/>
        <v>47</v>
      </c>
      <c r="CV27" s="19"/>
      <c r="CW27" s="17">
        <v>10</v>
      </c>
      <c r="CX27" s="18" t="str">
        <f t="shared" si="62"/>
        <v>2O4</v>
      </c>
      <c r="CY27" s="18">
        <f t="shared" si="63"/>
        <v>47</v>
      </c>
      <c r="CZ27" s="18" t="str">
        <f t="shared" si="28"/>
        <v>Papillon 2</v>
      </c>
      <c r="DA27" s="18" t="str">
        <f t="shared" si="29"/>
        <v>Horgen</v>
      </c>
      <c r="DB27" s="18">
        <f t="shared" si="64"/>
        <v>44</v>
      </c>
      <c r="DC27" s="19"/>
      <c r="DD27" s="17">
        <v>11</v>
      </c>
      <c r="DE27" s="18" t="str">
        <f t="shared" si="65"/>
        <v>2O4</v>
      </c>
      <c r="DF27" s="18">
        <f t="shared" si="66"/>
        <v>42</v>
      </c>
      <c r="DG27" s="18" t="str">
        <f t="shared" si="30"/>
        <v>Chill Out Bull's 2</v>
      </c>
      <c r="DH27" s="18" t="str">
        <f t="shared" si="31"/>
        <v>Papillon 2</v>
      </c>
      <c r="DI27" s="18">
        <f t="shared" si="67"/>
        <v>47</v>
      </c>
      <c r="DJ27" s="19"/>
      <c r="DK27" s="17">
        <v>12</v>
      </c>
      <c r="DL27" s="18" t="str">
        <f t="shared" si="68"/>
        <v>2O4</v>
      </c>
      <c r="DM27" s="18">
        <f t="shared" si="69"/>
        <v>46</v>
      </c>
      <c r="DN27" s="18" t="str">
        <f t="shared" si="32"/>
        <v>Brugg 4</v>
      </c>
      <c r="DO27" s="18" t="str">
        <f t="shared" si="33"/>
        <v>Heroes</v>
      </c>
      <c r="DP27" s="18">
        <f t="shared" si="70"/>
        <v>48</v>
      </c>
      <c r="DQ27" s="19"/>
      <c r="DR27" s="17">
        <v>13</v>
      </c>
      <c r="DS27" s="18" t="str">
        <f t="shared" si="71"/>
        <v>2O4</v>
      </c>
      <c r="DT27" s="18">
        <f t="shared" si="72"/>
        <v>48</v>
      </c>
      <c r="DU27" s="18" t="str">
        <f t="shared" si="34"/>
        <v>Heroes</v>
      </c>
      <c r="DV27" s="18" t="str">
        <f t="shared" si="35"/>
        <v>Horgen</v>
      </c>
      <c r="DW27" s="18">
        <f t="shared" si="73"/>
        <v>44</v>
      </c>
      <c r="DX27" s="19"/>
      <c r="DY27" s="17">
        <v>14</v>
      </c>
      <c r="DZ27" s="18" t="str">
        <f t="shared" si="74"/>
        <v>2O4</v>
      </c>
      <c r="EA27" s="18">
        <f t="shared" si="75"/>
        <v>44</v>
      </c>
      <c r="EB27" s="18" t="str">
        <f t="shared" si="36"/>
        <v>Horgen</v>
      </c>
      <c r="EC27" s="18" t="str">
        <f t="shared" si="37"/>
        <v>Brugg 4</v>
      </c>
      <c r="ED27" s="18">
        <f t="shared" si="76"/>
        <v>46</v>
      </c>
      <c r="EE27" s="19"/>
      <c r="EF27" s="1" t="str">
        <f t="shared" ref="EF27:EF33" si="85">LEFT($E$34,50)</f>
        <v>1LO</v>
      </c>
      <c r="EG27" s="1">
        <v>26</v>
      </c>
      <c r="EH27" s="1" t="str">
        <f t="shared" si="84"/>
        <v>Einsiedeln 2</v>
      </c>
      <c r="EI27" s="1" t="str">
        <f t="shared" si="84"/>
        <v>2200</v>
      </c>
      <c r="EK27" s="1">
        <v>48</v>
      </c>
      <c r="EL27" s="1">
        <v>47</v>
      </c>
      <c r="EN27" s="1" t="s">
        <v>1277</v>
      </c>
      <c r="FC27" s="6"/>
      <c r="FD27" s="6"/>
      <c r="FE27" s="6"/>
      <c r="FF27" s="6"/>
      <c r="FG27" s="6"/>
      <c r="FH27" s="6"/>
      <c r="FI27" s="6"/>
      <c r="FJ27" s="6"/>
      <c r="FK27" s="6"/>
    </row>
    <row r="28" spans="1:167" ht="24.95" customHeight="1">
      <c r="A28" s="22">
        <v>22</v>
      </c>
      <c r="B28" s="22">
        <v>11</v>
      </c>
      <c r="C28" s="2">
        <f t="shared" si="83"/>
        <v>23</v>
      </c>
      <c r="D28" s="2">
        <v>4</v>
      </c>
      <c r="E28" s="7">
        <v>20</v>
      </c>
      <c r="F28" s="9" t="s">
        <v>55</v>
      </c>
      <c r="G28" s="155">
        <v>4400</v>
      </c>
      <c r="H28" s="16"/>
      <c r="I28" s="76">
        <f>VLOOKUP(G28,Licenses!B:K,10,FALSE)</f>
        <v>0</v>
      </c>
      <c r="J28" s="16"/>
      <c r="K28" s="16"/>
      <c r="L28" t="str">
        <f t="shared" si="1"/>
        <v>2N1 Gelterkinden 2</v>
      </c>
      <c r="M28" s="1">
        <v>26</v>
      </c>
      <c r="N28" s="1">
        <v>3</v>
      </c>
      <c r="O28" s="1" t="s">
        <v>1238</v>
      </c>
      <c r="Q28" s="10" t="s">
        <v>1650</v>
      </c>
      <c r="R28" s="1">
        <f t="shared" si="2"/>
        <v>49</v>
      </c>
      <c r="S28" s="1" t="str">
        <f t="shared" si="40"/>
        <v>Gelterkinden 2</v>
      </c>
      <c r="T28" s="1" t="str">
        <f t="shared" si="41"/>
        <v>Joker 2</v>
      </c>
      <c r="U28" s="1">
        <f t="shared" si="3"/>
        <v>54</v>
      </c>
      <c r="AL28" s="12">
        <v>1</v>
      </c>
      <c r="AM28" s="13" t="s">
        <v>1650</v>
      </c>
      <c r="AN28" s="13">
        <f t="shared" si="42"/>
        <v>50</v>
      </c>
      <c r="AO28" s="13" t="str">
        <f t="shared" si="4"/>
        <v>Papillon 3</v>
      </c>
      <c r="AP28" s="13" t="str">
        <f t="shared" si="5"/>
        <v>Gelterkinden 2</v>
      </c>
      <c r="AQ28" s="13">
        <f t="shared" si="43"/>
        <v>49</v>
      </c>
      <c r="AR28" s="14"/>
      <c r="AS28" s="12">
        <v>2</v>
      </c>
      <c r="AT28" s="13" t="str">
        <f>REPT(AM28,1)</f>
        <v>2N1</v>
      </c>
      <c r="AU28" s="13">
        <f t="shared" si="45"/>
        <v>49</v>
      </c>
      <c r="AV28" s="13" t="str">
        <f t="shared" si="6"/>
        <v>Gelterkinden 2</v>
      </c>
      <c r="AW28" s="13" t="str">
        <f t="shared" si="7"/>
        <v>Freilo 2LN</v>
      </c>
      <c r="AX28" s="13">
        <f t="shared" si="46"/>
        <v>52</v>
      </c>
      <c r="AY28" s="14"/>
      <c r="AZ28" s="12">
        <v>3</v>
      </c>
      <c r="BA28" s="13" t="str">
        <f>REPT(AT28,1)</f>
        <v>2N1</v>
      </c>
      <c r="BB28" s="13">
        <f t="shared" si="48"/>
        <v>54</v>
      </c>
      <c r="BC28" s="13" t="str">
        <f t="shared" si="8"/>
        <v>Joker 2</v>
      </c>
      <c r="BD28" s="13" t="str">
        <f t="shared" si="9"/>
        <v>Gelterkinden 2</v>
      </c>
      <c r="BE28" s="13">
        <f t="shared" si="49"/>
        <v>49</v>
      </c>
      <c r="BF28" s="14"/>
      <c r="BG28" s="12">
        <v>4</v>
      </c>
      <c r="BH28" s="13" t="str">
        <f>REPT(BA28,1)</f>
        <v>2N1</v>
      </c>
      <c r="BI28" s="13">
        <f t="shared" si="51"/>
        <v>49</v>
      </c>
      <c r="BJ28" s="13" t="str">
        <f t="shared" si="10"/>
        <v>Gelterkinden 2</v>
      </c>
      <c r="BK28" s="13" t="str">
        <f t="shared" si="11"/>
        <v>Brugg 3</v>
      </c>
      <c r="BL28" s="13">
        <f t="shared" si="52"/>
        <v>56</v>
      </c>
      <c r="BM28" s="14"/>
      <c r="BN28" s="12">
        <v>5</v>
      </c>
      <c r="BO28" s="13" t="str">
        <f>REPT(BH28,1)</f>
        <v>2N1</v>
      </c>
      <c r="BP28" s="13">
        <f t="shared" si="12"/>
        <v>51</v>
      </c>
      <c r="BQ28" s="13" t="str">
        <f t="shared" si="13"/>
        <v>Emmental 5</v>
      </c>
      <c r="BR28" s="13" t="str">
        <f t="shared" si="14"/>
        <v>Gelterkinden 2</v>
      </c>
      <c r="BS28" s="13">
        <f t="shared" si="15"/>
        <v>49</v>
      </c>
      <c r="BT28" s="14"/>
      <c r="BU28" s="12">
        <v>6</v>
      </c>
      <c r="BV28" s="13" t="str">
        <f>REPT(BO28,1)</f>
        <v>2N1</v>
      </c>
      <c r="BW28" s="13">
        <f t="shared" si="16"/>
        <v>49</v>
      </c>
      <c r="BX28" s="13" t="str">
        <f t="shared" si="17"/>
        <v>Gelterkinden 2</v>
      </c>
      <c r="BY28" s="13" t="str">
        <f t="shared" si="18"/>
        <v>Lounge 11</v>
      </c>
      <c r="BZ28" s="13">
        <f t="shared" si="19"/>
        <v>53</v>
      </c>
      <c r="CA28" s="14"/>
      <c r="CB28" s="12">
        <v>7</v>
      </c>
      <c r="CC28" s="13" t="str">
        <f>REPT(BV28,1)</f>
        <v>2N1</v>
      </c>
      <c r="CD28" s="13">
        <f t="shared" si="20"/>
        <v>55</v>
      </c>
      <c r="CE28" s="13" t="str">
        <f t="shared" si="21"/>
        <v>Safnern 3</v>
      </c>
      <c r="CF28" s="13" t="str">
        <f t="shared" si="22"/>
        <v>Gelterkinden 2</v>
      </c>
      <c r="CG28" s="13">
        <f t="shared" si="23"/>
        <v>49</v>
      </c>
      <c r="CH28" s="14"/>
      <c r="CI28" s="12">
        <v>8</v>
      </c>
      <c r="CJ28" s="13" t="str">
        <f>REPT(CC28,1)</f>
        <v>2N1</v>
      </c>
      <c r="CK28" s="13">
        <f t="shared" si="57"/>
        <v>49</v>
      </c>
      <c r="CL28" s="13" t="str">
        <f t="shared" si="24"/>
        <v>Gelterkinden 2</v>
      </c>
      <c r="CM28" s="13" t="str">
        <f t="shared" si="25"/>
        <v>Papillon 3</v>
      </c>
      <c r="CN28" s="13">
        <f t="shared" si="58"/>
        <v>50</v>
      </c>
      <c r="CO28" s="14"/>
      <c r="CP28" s="12">
        <v>9</v>
      </c>
      <c r="CQ28" s="13" t="str">
        <f>REPT(CJ28,1)</f>
        <v>2N1</v>
      </c>
      <c r="CR28" s="13">
        <f t="shared" si="60"/>
        <v>56</v>
      </c>
      <c r="CS28" s="13" t="str">
        <f t="shared" si="26"/>
        <v>Brugg 3</v>
      </c>
      <c r="CT28" s="13" t="str">
        <f t="shared" si="27"/>
        <v>Gelterkinden 2</v>
      </c>
      <c r="CU28" s="13">
        <f t="shared" si="61"/>
        <v>49</v>
      </c>
      <c r="CV28" s="14"/>
      <c r="CW28" s="12">
        <v>10</v>
      </c>
      <c r="CX28" s="13" t="str">
        <f>REPT(CQ28,1)</f>
        <v>2N1</v>
      </c>
      <c r="CY28" s="13">
        <f t="shared" si="63"/>
        <v>49</v>
      </c>
      <c r="CZ28" s="13" t="str">
        <f t="shared" si="28"/>
        <v>Gelterkinden 2</v>
      </c>
      <c r="DA28" s="13" t="str">
        <f t="shared" si="29"/>
        <v>Joker 2</v>
      </c>
      <c r="DB28" s="13">
        <f t="shared" si="64"/>
        <v>54</v>
      </c>
      <c r="DC28" s="14"/>
      <c r="DD28" s="12">
        <v>11</v>
      </c>
      <c r="DE28" s="13" t="str">
        <f>REPT(CX28,1)</f>
        <v>2N1</v>
      </c>
      <c r="DF28" s="13">
        <f t="shared" si="66"/>
        <v>52</v>
      </c>
      <c r="DG28" s="13" t="str">
        <f t="shared" si="30"/>
        <v>Freilo 2LN</v>
      </c>
      <c r="DH28" s="13" t="str">
        <f t="shared" si="31"/>
        <v>Gelterkinden 2</v>
      </c>
      <c r="DI28" s="13">
        <f t="shared" si="67"/>
        <v>49</v>
      </c>
      <c r="DJ28" s="14"/>
      <c r="DK28" s="12">
        <v>12</v>
      </c>
      <c r="DL28" s="13" t="str">
        <f>REPT(DE28,1)</f>
        <v>2N1</v>
      </c>
      <c r="DM28" s="13">
        <f t="shared" si="69"/>
        <v>49</v>
      </c>
      <c r="DN28" s="13" t="str">
        <f t="shared" si="32"/>
        <v>Gelterkinden 2</v>
      </c>
      <c r="DO28" s="13" t="str">
        <f t="shared" si="33"/>
        <v>Emmental 5</v>
      </c>
      <c r="DP28" s="13">
        <f t="shared" si="70"/>
        <v>51</v>
      </c>
      <c r="DQ28" s="14"/>
      <c r="DR28" s="12">
        <v>13</v>
      </c>
      <c r="DS28" s="13" t="str">
        <f>REPT(DL28,1)</f>
        <v>2N1</v>
      </c>
      <c r="DT28" s="13">
        <f t="shared" si="72"/>
        <v>53</v>
      </c>
      <c r="DU28" s="13" t="str">
        <f t="shared" si="34"/>
        <v>Lounge 11</v>
      </c>
      <c r="DV28" s="13" t="str">
        <f t="shared" si="35"/>
        <v>Gelterkinden 2</v>
      </c>
      <c r="DW28" s="13">
        <f t="shared" si="73"/>
        <v>49</v>
      </c>
      <c r="DX28" s="14"/>
      <c r="DY28" s="12">
        <v>14</v>
      </c>
      <c r="DZ28" s="13" t="str">
        <f>REPT(DS28,1)</f>
        <v>2N1</v>
      </c>
      <c r="EA28" s="13">
        <f t="shared" si="75"/>
        <v>49</v>
      </c>
      <c r="EB28" s="13" t="str">
        <f t="shared" si="36"/>
        <v>Gelterkinden 2</v>
      </c>
      <c r="EC28" s="13" t="str">
        <f t="shared" si="37"/>
        <v>Safnern 3</v>
      </c>
      <c r="ED28" s="13">
        <f t="shared" si="76"/>
        <v>55</v>
      </c>
      <c r="EE28" s="14"/>
      <c r="EF28" s="1" t="str">
        <f t="shared" si="85"/>
        <v>1LO</v>
      </c>
      <c r="EG28" s="1">
        <v>27</v>
      </c>
      <c r="EH28" s="1" t="str">
        <f t="shared" si="84"/>
        <v>Brugg 2</v>
      </c>
      <c r="EI28" s="1" t="str">
        <f t="shared" si="84"/>
        <v>1800</v>
      </c>
      <c r="EK28" s="1">
        <v>50</v>
      </c>
      <c r="EL28" s="1">
        <v>49</v>
      </c>
      <c r="EN28" s="1" t="s">
        <v>1278</v>
      </c>
    </row>
    <row r="29" spans="1:167" ht="24.95" customHeight="1">
      <c r="A29" s="22">
        <v>23</v>
      </c>
      <c r="B29" s="22">
        <v>12</v>
      </c>
      <c r="C29" s="2">
        <f t="shared" si="83"/>
        <v>24</v>
      </c>
      <c r="D29" s="2">
        <v>5</v>
      </c>
      <c r="E29" s="7">
        <v>21</v>
      </c>
      <c r="F29" s="9" t="s">
        <v>1656</v>
      </c>
      <c r="G29" s="155">
        <v>100</v>
      </c>
      <c r="H29" s="16"/>
      <c r="I29" s="76" t="e">
        <f>VLOOKUP(G29,Licenses!B:K,10,FALSE)</f>
        <v>#N/A</v>
      </c>
      <c r="J29" s="16"/>
      <c r="K29" s="16"/>
      <c r="L29" t="str">
        <f t="shared" si="1"/>
        <v>2N2 Emmental 5</v>
      </c>
      <c r="M29" s="1">
        <v>27</v>
      </c>
      <c r="N29" s="1">
        <v>3</v>
      </c>
      <c r="O29" s="1" t="s">
        <v>1238</v>
      </c>
      <c r="Q29" s="10" t="s">
        <v>1651</v>
      </c>
      <c r="R29" s="1">
        <f t="shared" si="2"/>
        <v>51</v>
      </c>
      <c r="S29" s="1" t="str">
        <f t="shared" si="40"/>
        <v>Emmental 5</v>
      </c>
      <c r="T29" s="1" t="str">
        <f t="shared" si="41"/>
        <v>Brugg 3</v>
      </c>
      <c r="U29" s="1">
        <f t="shared" si="3"/>
        <v>56</v>
      </c>
      <c r="AL29" s="15">
        <v>1</v>
      </c>
      <c r="AM29" s="4" t="s">
        <v>1651</v>
      </c>
      <c r="AN29" s="4">
        <f t="shared" si="42"/>
        <v>52</v>
      </c>
      <c r="AO29" s="4" t="str">
        <f t="shared" si="4"/>
        <v>Freilo 2LN</v>
      </c>
      <c r="AP29" s="4" t="str">
        <f t="shared" si="5"/>
        <v>Emmental 5</v>
      </c>
      <c r="AQ29" s="4">
        <f t="shared" si="43"/>
        <v>51</v>
      </c>
      <c r="AR29" s="7"/>
      <c r="AS29" s="15">
        <v>2</v>
      </c>
      <c r="AT29" s="4" t="str">
        <f>REPT(AM29,1)</f>
        <v>2N2</v>
      </c>
      <c r="AU29" s="4">
        <f t="shared" si="45"/>
        <v>51</v>
      </c>
      <c r="AV29" s="4" t="str">
        <f t="shared" si="6"/>
        <v>Emmental 5</v>
      </c>
      <c r="AW29" s="4" t="str">
        <f t="shared" si="7"/>
        <v>Joker 2</v>
      </c>
      <c r="AX29" s="4">
        <f t="shared" si="46"/>
        <v>54</v>
      </c>
      <c r="AY29" s="7"/>
      <c r="AZ29" s="15">
        <v>3</v>
      </c>
      <c r="BA29" s="4" t="str">
        <f>REPT(AT29,1)</f>
        <v>2N2</v>
      </c>
      <c r="BB29" s="4">
        <f t="shared" si="48"/>
        <v>56</v>
      </c>
      <c r="BC29" s="4" t="str">
        <f t="shared" si="8"/>
        <v>Brugg 3</v>
      </c>
      <c r="BD29" s="4" t="str">
        <f t="shared" si="9"/>
        <v>Emmental 5</v>
      </c>
      <c r="BE29" s="4">
        <f t="shared" si="49"/>
        <v>51</v>
      </c>
      <c r="BF29" s="7"/>
      <c r="BG29" s="15">
        <v>4</v>
      </c>
      <c r="BH29" s="4" t="str">
        <f>REPT(BA29,1)</f>
        <v>2N2</v>
      </c>
      <c r="BI29" s="4">
        <f t="shared" si="51"/>
        <v>51</v>
      </c>
      <c r="BJ29" s="4" t="str">
        <f t="shared" si="10"/>
        <v>Emmental 5</v>
      </c>
      <c r="BK29" s="4" t="str">
        <f t="shared" si="11"/>
        <v>Papillon 3</v>
      </c>
      <c r="BL29" s="4">
        <f t="shared" si="52"/>
        <v>50</v>
      </c>
      <c r="BM29" s="7"/>
      <c r="BN29" s="15">
        <v>5</v>
      </c>
      <c r="BO29" s="4" t="str">
        <f>REPT(BH29,1)</f>
        <v>2N2</v>
      </c>
      <c r="BP29" s="4">
        <f t="shared" si="12"/>
        <v>55</v>
      </c>
      <c r="BQ29" s="4" t="str">
        <f t="shared" si="13"/>
        <v>Safnern 3</v>
      </c>
      <c r="BR29" s="4" t="str">
        <f t="shared" si="14"/>
        <v>Lounge 11</v>
      </c>
      <c r="BS29" s="4">
        <f t="shared" si="15"/>
        <v>53</v>
      </c>
      <c r="BT29" s="7"/>
      <c r="BU29" s="15">
        <v>6</v>
      </c>
      <c r="BV29" s="4" t="str">
        <f>REPT(BO29,1)</f>
        <v>2N2</v>
      </c>
      <c r="BW29" s="4">
        <f t="shared" si="16"/>
        <v>51</v>
      </c>
      <c r="BX29" s="4" t="str">
        <f t="shared" si="17"/>
        <v>Emmental 5</v>
      </c>
      <c r="BY29" s="4" t="str">
        <f t="shared" si="18"/>
        <v>Safnern 3</v>
      </c>
      <c r="BZ29" s="4">
        <f t="shared" si="19"/>
        <v>55</v>
      </c>
      <c r="CA29" s="7"/>
      <c r="CB29" s="15">
        <v>7</v>
      </c>
      <c r="CC29" s="4" t="str">
        <f>REPT(BV29,1)</f>
        <v>2N2</v>
      </c>
      <c r="CD29" s="4">
        <f t="shared" si="20"/>
        <v>53</v>
      </c>
      <c r="CE29" s="4" t="str">
        <f t="shared" si="21"/>
        <v>Lounge 11</v>
      </c>
      <c r="CF29" s="4" t="str">
        <f t="shared" si="22"/>
        <v>Emmental 5</v>
      </c>
      <c r="CG29" s="4">
        <f t="shared" si="23"/>
        <v>51</v>
      </c>
      <c r="CH29" s="7"/>
      <c r="CI29" s="15">
        <v>8</v>
      </c>
      <c r="CJ29" s="4" t="str">
        <f>REPT(CC29,1)</f>
        <v>2N2</v>
      </c>
      <c r="CK29" s="4">
        <f t="shared" si="57"/>
        <v>51</v>
      </c>
      <c r="CL29" s="4" t="str">
        <f t="shared" si="24"/>
        <v>Emmental 5</v>
      </c>
      <c r="CM29" s="4" t="str">
        <f t="shared" si="25"/>
        <v>Freilo 2LN</v>
      </c>
      <c r="CN29" s="4">
        <f t="shared" si="58"/>
        <v>52</v>
      </c>
      <c r="CO29" s="7"/>
      <c r="CP29" s="15">
        <v>9</v>
      </c>
      <c r="CQ29" s="4" t="str">
        <f>REPT(CJ29,1)</f>
        <v>2N2</v>
      </c>
      <c r="CR29" s="4">
        <f t="shared" si="60"/>
        <v>50</v>
      </c>
      <c r="CS29" s="4" t="str">
        <f t="shared" si="26"/>
        <v>Papillon 3</v>
      </c>
      <c r="CT29" s="4" t="str">
        <f t="shared" si="27"/>
        <v>Emmental 5</v>
      </c>
      <c r="CU29" s="4">
        <f t="shared" si="61"/>
        <v>51</v>
      </c>
      <c r="CV29" s="7"/>
      <c r="CW29" s="15">
        <v>10</v>
      </c>
      <c r="CX29" s="4" t="str">
        <f>REPT(CQ29,1)</f>
        <v>2N2</v>
      </c>
      <c r="CY29" s="4">
        <f t="shared" si="63"/>
        <v>51</v>
      </c>
      <c r="CZ29" s="4" t="str">
        <f t="shared" si="28"/>
        <v>Emmental 5</v>
      </c>
      <c r="DA29" s="4" t="str">
        <f t="shared" si="29"/>
        <v>Brugg 3</v>
      </c>
      <c r="DB29" s="4">
        <f t="shared" si="64"/>
        <v>56</v>
      </c>
      <c r="DC29" s="7"/>
      <c r="DD29" s="15">
        <v>11</v>
      </c>
      <c r="DE29" s="4" t="str">
        <f>REPT(CX29,1)</f>
        <v>2N2</v>
      </c>
      <c r="DF29" s="4">
        <f t="shared" si="66"/>
        <v>54</v>
      </c>
      <c r="DG29" s="4" t="str">
        <f t="shared" si="30"/>
        <v>Joker 2</v>
      </c>
      <c r="DH29" s="4" t="str">
        <f t="shared" si="31"/>
        <v>Emmental 5</v>
      </c>
      <c r="DI29" s="4">
        <f t="shared" si="67"/>
        <v>51</v>
      </c>
      <c r="DJ29" s="7"/>
      <c r="DK29" s="15">
        <v>12</v>
      </c>
      <c r="DL29" s="4" t="str">
        <f>REPT(DE29,1)</f>
        <v>2N2</v>
      </c>
      <c r="DM29" s="4">
        <f t="shared" si="69"/>
        <v>53</v>
      </c>
      <c r="DN29" s="4" t="str">
        <f t="shared" si="32"/>
        <v>Lounge 11</v>
      </c>
      <c r="DO29" s="4" t="str">
        <f t="shared" si="33"/>
        <v>Safnern 3</v>
      </c>
      <c r="DP29" s="4">
        <f t="shared" si="70"/>
        <v>55</v>
      </c>
      <c r="DQ29" s="7"/>
      <c r="DR29" s="15">
        <v>13</v>
      </c>
      <c r="DS29" s="4" t="str">
        <f>REPT(DL29,1)</f>
        <v>2N2</v>
      </c>
      <c r="DT29" s="4">
        <f t="shared" si="72"/>
        <v>55</v>
      </c>
      <c r="DU29" s="4" t="str">
        <f t="shared" si="34"/>
        <v>Safnern 3</v>
      </c>
      <c r="DV29" s="4" t="str">
        <f t="shared" si="35"/>
        <v>Emmental 5</v>
      </c>
      <c r="DW29" s="4">
        <f t="shared" si="73"/>
        <v>51</v>
      </c>
      <c r="DX29" s="7"/>
      <c r="DY29" s="15">
        <v>14</v>
      </c>
      <c r="DZ29" s="4" t="str">
        <f>REPT(DS29,1)</f>
        <v>2N2</v>
      </c>
      <c r="EA29" s="4">
        <f t="shared" si="75"/>
        <v>51</v>
      </c>
      <c r="EB29" s="4" t="str">
        <f t="shared" si="36"/>
        <v>Emmental 5</v>
      </c>
      <c r="EC29" s="4" t="str">
        <f t="shared" si="37"/>
        <v>Lounge 11</v>
      </c>
      <c r="ED29" s="4">
        <f t="shared" si="76"/>
        <v>53</v>
      </c>
      <c r="EE29" s="7"/>
      <c r="EF29" s="1" t="str">
        <f t="shared" si="85"/>
        <v>1LO</v>
      </c>
      <c r="EG29" s="1">
        <v>28</v>
      </c>
      <c r="EH29" s="1" t="str">
        <f t="shared" si="84"/>
        <v>Basel</v>
      </c>
      <c r="EI29" s="1" t="str">
        <f t="shared" si="84"/>
        <v>300</v>
      </c>
      <c r="EK29" s="1">
        <v>52</v>
      </c>
      <c r="EL29" s="1">
        <v>51</v>
      </c>
      <c r="EN29" s="1" t="s">
        <v>1279</v>
      </c>
    </row>
    <row r="30" spans="1:167" ht="24.95" customHeight="1">
      <c r="A30" s="22">
        <v>17</v>
      </c>
      <c r="B30" s="22">
        <v>1</v>
      </c>
      <c r="C30" s="2">
        <f t="shared" si="83"/>
        <v>18</v>
      </c>
      <c r="D30" s="2">
        <v>6</v>
      </c>
      <c r="E30" s="7">
        <v>22</v>
      </c>
      <c r="F30" s="9" t="s">
        <v>78</v>
      </c>
      <c r="G30" s="155">
        <v>1000</v>
      </c>
      <c r="H30" s="16"/>
      <c r="I30" s="76">
        <f>VLOOKUP(G30,Licenses!B:K,10,FALSE)</f>
        <v>0</v>
      </c>
      <c r="J30" s="16"/>
      <c r="K30" s="16"/>
      <c r="L30" t="str">
        <f t="shared" si="1"/>
        <v>2N3 Lounge 11</v>
      </c>
      <c r="M30" s="1">
        <v>28</v>
      </c>
      <c r="N30" s="1">
        <v>3</v>
      </c>
      <c r="O30" s="1" t="s">
        <v>1238</v>
      </c>
      <c r="Q30" s="10" t="s">
        <v>1652</v>
      </c>
      <c r="R30" s="1">
        <f t="shared" si="2"/>
        <v>53</v>
      </c>
      <c r="S30" s="1" t="str">
        <f t="shared" si="40"/>
        <v>Lounge 11</v>
      </c>
      <c r="T30" s="1" t="str">
        <f t="shared" si="41"/>
        <v>Papillon 3</v>
      </c>
      <c r="U30" s="1">
        <f t="shared" si="3"/>
        <v>50</v>
      </c>
      <c r="AL30" s="15">
        <v>1</v>
      </c>
      <c r="AM30" s="4" t="s">
        <v>1652</v>
      </c>
      <c r="AN30" s="4">
        <f t="shared" si="42"/>
        <v>54</v>
      </c>
      <c r="AO30" s="4" t="str">
        <f t="shared" si="4"/>
        <v>Joker 2</v>
      </c>
      <c r="AP30" s="4" t="str">
        <f t="shared" si="5"/>
        <v>Lounge 11</v>
      </c>
      <c r="AQ30" s="4">
        <f t="shared" si="43"/>
        <v>53</v>
      </c>
      <c r="AR30" s="7"/>
      <c r="AS30" s="15">
        <v>2</v>
      </c>
      <c r="AT30" s="4" t="str">
        <f>REPT(AM30,1)</f>
        <v>2N3</v>
      </c>
      <c r="AU30" s="4">
        <f t="shared" si="45"/>
        <v>53</v>
      </c>
      <c r="AV30" s="4" t="str">
        <f t="shared" si="6"/>
        <v>Lounge 11</v>
      </c>
      <c r="AW30" s="4" t="str">
        <f t="shared" si="7"/>
        <v>Brugg 3</v>
      </c>
      <c r="AX30" s="4">
        <f t="shared" si="46"/>
        <v>56</v>
      </c>
      <c r="AY30" s="7"/>
      <c r="AZ30" s="15">
        <v>3</v>
      </c>
      <c r="BA30" s="4" t="str">
        <f>REPT(AT30,1)</f>
        <v>2N3</v>
      </c>
      <c r="BB30" s="4">
        <f t="shared" si="48"/>
        <v>50</v>
      </c>
      <c r="BC30" s="4" t="str">
        <f t="shared" si="8"/>
        <v>Papillon 3</v>
      </c>
      <c r="BD30" s="4" t="str">
        <f t="shared" si="9"/>
        <v>Lounge 11</v>
      </c>
      <c r="BE30" s="4">
        <f t="shared" si="49"/>
        <v>53</v>
      </c>
      <c r="BF30" s="7"/>
      <c r="BG30" s="15">
        <v>4</v>
      </c>
      <c r="BH30" s="4" t="str">
        <f>REPT(BA30,1)</f>
        <v>2N3</v>
      </c>
      <c r="BI30" s="4">
        <f t="shared" si="51"/>
        <v>53</v>
      </c>
      <c r="BJ30" s="4" t="str">
        <f t="shared" si="10"/>
        <v>Lounge 11</v>
      </c>
      <c r="BK30" s="4" t="str">
        <f t="shared" si="11"/>
        <v>Freilo 2LN</v>
      </c>
      <c r="BL30" s="4">
        <f t="shared" si="52"/>
        <v>52</v>
      </c>
      <c r="BM30" s="7"/>
      <c r="BN30" s="15">
        <v>5</v>
      </c>
      <c r="BO30" s="4" t="str">
        <f>REPT(BH30,1)</f>
        <v>2N3</v>
      </c>
      <c r="BP30" s="4">
        <f t="shared" si="12"/>
        <v>52</v>
      </c>
      <c r="BQ30" s="4" t="str">
        <f t="shared" si="13"/>
        <v>Freilo 2LN</v>
      </c>
      <c r="BR30" s="4" t="str">
        <f t="shared" si="14"/>
        <v>Papillon 3</v>
      </c>
      <c r="BS30" s="4">
        <f t="shared" si="15"/>
        <v>50</v>
      </c>
      <c r="BT30" s="7"/>
      <c r="BU30" s="15">
        <v>6</v>
      </c>
      <c r="BV30" s="4" t="str">
        <f>REPT(BO30,1)</f>
        <v>2N3</v>
      </c>
      <c r="BW30" s="4">
        <f t="shared" si="16"/>
        <v>50</v>
      </c>
      <c r="BX30" s="4" t="str">
        <f t="shared" si="17"/>
        <v>Papillon 3</v>
      </c>
      <c r="BY30" s="4" t="str">
        <f t="shared" si="18"/>
        <v>Joker 2</v>
      </c>
      <c r="BZ30" s="4">
        <f t="shared" si="19"/>
        <v>54</v>
      </c>
      <c r="CA30" s="7"/>
      <c r="CB30" s="15">
        <v>7</v>
      </c>
      <c r="CC30" s="4" t="str">
        <f>REPT(BV30,1)</f>
        <v>2N3</v>
      </c>
      <c r="CD30" s="4">
        <f t="shared" si="20"/>
        <v>56</v>
      </c>
      <c r="CE30" s="4" t="str">
        <f t="shared" si="21"/>
        <v>Brugg 3</v>
      </c>
      <c r="CF30" s="4" t="str">
        <f t="shared" si="22"/>
        <v>Papillon 3</v>
      </c>
      <c r="CG30" s="4">
        <f t="shared" si="23"/>
        <v>50</v>
      </c>
      <c r="CH30" s="7"/>
      <c r="CI30" s="15">
        <v>8</v>
      </c>
      <c r="CJ30" s="4" t="str">
        <f>REPT(CC30,1)</f>
        <v>2N3</v>
      </c>
      <c r="CK30" s="4">
        <f t="shared" si="57"/>
        <v>53</v>
      </c>
      <c r="CL30" s="4" t="str">
        <f t="shared" si="24"/>
        <v>Lounge 11</v>
      </c>
      <c r="CM30" s="4" t="str">
        <f t="shared" si="25"/>
        <v>Joker 2</v>
      </c>
      <c r="CN30" s="4">
        <f t="shared" si="58"/>
        <v>54</v>
      </c>
      <c r="CO30" s="7"/>
      <c r="CP30" s="15">
        <v>9</v>
      </c>
      <c r="CQ30" s="4" t="str">
        <f>REPT(CJ30,1)</f>
        <v>2N3</v>
      </c>
      <c r="CR30" s="4">
        <f t="shared" si="60"/>
        <v>52</v>
      </c>
      <c r="CS30" s="4" t="str">
        <f t="shared" si="26"/>
        <v>Freilo 2LN</v>
      </c>
      <c r="CT30" s="4" t="str">
        <f t="shared" si="27"/>
        <v>Lounge 11</v>
      </c>
      <c r="CU30" s="4">
        <f t="shared" si="61"/>
        <v>53</v>
      </c>
      <c r="CV30" s="7"/>
      <c r="CW30" s="15">
        <v>10</v>
      </c>
      <c r="CX30" s="4" t="str">
        <f>REPT(CQ30,1)</f>
        <v>2N3</v>
      </c>
      <c r="CY30" s="4">
        <f t="shared" si="63"/>
        <v>53</v>
      </c>
      <c r="CZ30" s="4" t="str">
        <f t="shared" si="28"/>
        <v>Lounge 11</v>
      </c>
      <c r="DA30" s="4" t="str">
        <f t="shared" si="29"/>
        <v>Papillon 3</v>
      </c>
      <c r="DB30" s="4">
        <f t="shared" si="64"/>
        <v>50</v>
      </c>
      <c r="DC30" s="7"/>
      <c r="DD30" s="15">
        <v>11</v>
      </c>
      <c r="DE30" s="4" t="str">
        <f>REPT(CX30,1)</f>
        <v>2N3</v>
      </c>
      <c r="DF30" s="4">
        <f t="shared" si="66"/>
        <v>56</v>
      </c>
      <c r="DG30" s="4" t="str">
        <f t="shared" si="30"/>
        <v>Brugg 3</v>
      </c>
      <c r="DH30" s="4" t="str">
        <f t="shared" si="31"/>
        <v>Lounge 11</v>
      </c>
      <c r="DI30" s="4">
        <f t="shared" si="67"/>
        <v>53</v>
      </c>
      <c r="DJ30" s="7"/>
      <c r="DK30" s="15">
        <v>12</v>
      </c>
      <c r="DL30" s="4" t="str">
        <f>REPT(DE30,1)</f>
        <v>2N3</v>
      </c>
      <c r="DM30" s="4">
        <f t="shared" si="69"/>
        <v>50</v>
      </c>
      <c r="DN30" s="4" t="str">
        <f t="shared" si="32"/>
        <v>Papillon 3</v>
      </c>
      <c r="DO30" s="4" t="str">
        <f t="shared" si="33"/>
        <v>Brugg 3</v>
      </c>
      <c r="DP30" s="4">
        <f t="shared" si="70"/>
        <v>56</v>
      </c>
      <c r="DQ30" s="7"/>
      <c r="DR30" s="15">
        <v>13</v>
      </c>
      <c r="DS30" s="4" t="str">
        <f>REPT(DL30,1)</f>
        <v>2N3</v>
      </c>
      <c r="DT30" s="4">
        <f t="shared" si="72"/>
        <v>54</v>
      </c>
      <c r="DU30" s="4" t="str">
        <f t="shared" si="34"/>
        <v>Joker 2</v>
      </c>
      <c r="DV30" s="4" t="str">
        <f t="shared" si="35"/>
        <v>Papillon 3</v>
      </c>
      <c r="DW30" s="4">
        <f t="shared" si="73"/>
        <v>50</v>
      </c>
      <c r="DX30" s="7"/>
      <c r="DY30" s="15">
        <v>14</v>
      </c>
      <c r="DZ30" s="4" t="str">
        <f>REPT(DS30,1)</f>
        <v>2N3</v>
      </c>
      <c r="EA30" s="4">
        <f t="shared" si="75"/>
        <v>50</v>
      </c>
      <c r="EB30" s="4" t="str">
        <f t="shared" si="36"/>
        <v>Papillon 3</v>
      </c>
      <c r="EC30" s="4" t="str">
        <f t="shared" si="37"/>
        <v>Freilo 2LN</v>
      </c>
      <c r="ED30" s="4">
        <f t="shared" si="76"/>
        <v>52</v>
      </c>
      <c r="EE30" s="7"/>
      <c r="EF30" s="1" t="str">
        <f t="shared" si="85"/>
        <v>1LO</v>
      </c>
      <c r="EG30" s="1">
        <v>29</v>
      </c>
      <c r="EH30" s="1" t="str">
        <f t="shared" si="84"/>
        <v>Zurich Rebels</v>
      </c>
      <c r="EI30" s="1" t="str">
        <f t="shared" si="84"/>
        <v>2100</v>
      </c>
      <c r="EK30" s="1">
        <v>54</v>
      </c>
      <c r="EL30" s="1">
        <v>53</v>
      </c>
      <c r="EN30" s="1" t="s">
        <v>1280</v>
      </c>
    </row>
    <row r="31" spans="1:167" ht="24.95" customHeight="1" thickBot="1">
      <c r="A31" s="22">
        <v>18</v>
      </c>
      <c r="B31" s="22">
        <v>1</v>
      </c>
      <c r="C31" s="2">
        <f t="shared" si="83"/>
        <v>19</v>
      </c>
      <c r="D31" s="2">
        <v>7</v>
      </c>
      <c r="E31" s="7">
        <v>23</v>
      </c>
      <c r="F31" s="9" t="s">
        <v>47</v>
      </c>
      <c r="G31" s="155">
        <v>1300</v>
      </c>
      <c r="H31" s="16"/>
      <c r="I31" s="76">
        <f>VLOOKUP(G31,Licenses!B:K,10,FALSE)</f>
        <v>0</v>
      </c>
      <c r="J31" s="16"/>
      <c r="K31" s="16"/>
      <c r="L31" t="str">
        <f t="shared" si="1"/>
        <v>2N4 Safnern 3</v>
      </c>
      <c r="M31" s="1">
        <v>29</v>
      </c>
      <c r="N31" s="1">
        <v>3</v>
      </c>
      <c r="O31" s="1" t="s">
        <v>1238</v>
      </c>
      <c r="Q31" s="10" t="s">
        <v>1653</v>
      </c>
      <c r="R31" s="1">
        <f t="shared" si="2"/>
        <v>55</v>
      </c>
      <c r="S31" s="1" t="str">
        <f t="shared" si="40"/>
        <v>Safnern 3</v>
      </c>
      <c r="T31" s="1" t="str">
        <f t="shared" si="41"/>
        <v>Freilo 2LN</v>
      </c>
      <c r="U31" s="1">
        <f t="shared" si="3"/>
        <v>52</v>
      </c>
      <c r="AL31" s="17">
        <v>1</v>
      </c>
      <c r="AM31" s="18" t="s">
        <v>1653</v>
      </c>
      <c r="AN31" s="18">
        <f t="shared" si="42"/>
        <v>56</v>
      </c>
      <c r="AO31" s="18" t="str">
        <f t="shared" si="4"/>
        <v>Brugg 3</v>
      </c>
      <c r="AP31" s="18" t="str">
        <f t="shared" si="5"/>
        <v>Safnern 3</v>
      </c>
      <c r="AQ31" s="18">
        <f t="shared" si="43"/>
        <v>55</v>
      </c>
      <c r="AR31" s="19"/>
      <c r="AS31" s="17">
        <v>2</v>
      </c>
      <c r="AT31" s="18" t="str">
        <f>REPT(AM31,1)</f>
        <v>2N4</v>
      </c>
      <c r="AU31" s="18">
        <f t="shared" si="45"/>
        <v>55</v>
      </c>
      <c r="AV31" s="18" t="str">
        <f t="shared" si="6"/>
        <v>Safnern 3</v>
      </c>
      <c r="AW31" s="18" t="str">
        <f t="shared" si="7"/>
        <v>Papillon 3</v>
      </c>
      <c r="AX31" s="18">
        <f t="shared" si="46"/>
        <v>50</v>
      </c>
      <c r="AY31" s="19"/>
      <c r="AZ31" s="17">
        <v>3</v>
      </c>
      <c r="BA31" s="18" t="str">
        <f>REPT(AT31,1)</f>
        <v>2N4</v>
      </c>
      <c r="BB31" s="18">
        <f t="shared" si="48"/>
        <v>52</v>
      </c>
      <c r="BC31" s="18" t="str">
        <f t="shared" si="8"/>
        <v>Freilo 2LN</v>
      </c>
      <c r="BD31" s="18" t="str">
        <f t="shared" si="9"/>
        <v>Safnern 3</v>
      </c>
      <c r="BE31" s="18">
        <f t="shared" si="49"/>
        <v>55</v>
      </c>
      <c r="BF31" s="19"/>
      <c r="BG31" s="17">
        <v>4</v>
      </c>
      <c r="BH31" s="18" t="str">
        <f>REPT(BA31,1)</f>
        <v>2N4</v>
      </c>
      <c r="BI31" s="18">
        <f t="shared" si="51"/>
        <v>55</v>
      </c>
      <c r="BJ31" s="18" t="str">
        <f t="shared" si="10"/>
        <v>Safnern 3</v>
      </c>
      <c r="BK31" s="18" t="str">
        <f t="shared" si="11"/>
        <v>Joker 2</v>
      </c>
      <c r="BL31" s="18">
        <f t="shared" si="52"/>
        <v>54</v>
      </c>
      <c r="BM31" s="19"/>
      <c r="BN31" s="17">
        <v>5</v>
      </c>
      <c r="BO31" s="18" t="str">
        <f>REPT(BH31,1)</f>
        <v>2N4</v>
      </c>
      <c r="BP31" s="18">
        <f t="shared" si="12"/>
        <v>56</v>
      </c>
      <c r="BQ31" s="18" t="str">
        <f t="shared" si="13"/>
        <v>Brugg 3</v>
      </c>
      <c r="BR31" s="18" t="str">
        <f t="shared" si="14"/>
        <v>Joker 2</v>
      </c>
      <c r="BS31" s="18">
        <f t="shared" si="15"/>
        <v>54</v>
      </c>
      <c r="BT31" s="19"/>
      <c r="BU31" s="17">
        <v>6</v>
      </c>
      <c r="BV31" s="18" t="str">
        <f>REPT(BO31,1)</f>
        <v>2N4</v>
      </c>
      <c r="BW31" s="18">
        <f t="shared" si="16"/>
        <v>52</v>
      </c>
      <c r="BX31" s="18" t="str">
        <f t="shared" si="17"/>
        <v>Freilo 2LN</v>
      </c>
      <c r="BY31" s="18" t="str">
        <f t="shared" si="18"/>
        <v>Brugg 3</v>
      </c>
      <c r="BZ31" s="18">
        <f t="shared" si="19"/>
        <v>56</v>
      </c>
      <c r="CA31" s="19"/>
      <c r="CB31" s="17">
        <v>7</v>
      </c>
      <c r="CC31" s="18" t="str">
        <f>REPT(BV31,1)</f>
        <v>2N4</v>
      </c>
      <c r="CD31" s="18">
        <f t="shared" si="20"/>
        <v>54</v>
      </c>
      <c r="CE31" s="18" t="str">
        <f t="shared" si="21"/>
        <v>Joker 2</v>
      </c>
      <c r="CF31" s="18" t="str">
        <f t="shared" si="22"/>
        <v>Freilo 2LN</v>
      </c>
      <c r="CG31" s="18">
        <f t="shared" si="23"/>
        <v>52</v>
      </c>
      <c r="CH31" s="19"/>
      <c r="CI31" s="17">
        <v>8</v>
      </c>
      <c r="CJ31" s="18" t="str">
        <f>REPT(CC31,1)</f>
        <v>2N4</v>
      </c>
      <c r="CK31" s="18">
        <f t="shared" si="57"/>
        <v>55</v>
      </c>
      <c r="CL31" s="18" t="str">
        <f t="shared" si="24"/>
        <v>Safnern 3</v>
      </c>
      <c r="CM31" s="18" t="str">
        <f t="shared" si="25"/>
        <v>Brugg 3</v>
      </c>
      <c r="CN31" s="18">
        <f t="shared" si="58"/>
        <v>56</v>
      </c>
      <c r="CO31" s="19"/>
      <c r="CP31" s="17">
        <v>9</v>
      </c>
      <c r="CQ31" s="18" t="str">
        <f>REPT(CJ31,1)</f>
        <v>2N4</v>
      </c>
      <c r="CR31" s="18">
        <f t="shared" si="60"/>
        <v>54</v>
      </c>
      <c r="CS31" s="18" t="str">
        <f t="shared" si="26"/>
        <v>Joker 2</v>
      </c>
      <c r="CT31" s="18" t="str">
        <f t="shared" si="27"/>
        <v>Safnern 3</v>
      </c>
      <c r="CU31" s="18">
        <f t="shared" si="61"/>
        <v>55</v>
      </c>
      <c r="CV31" s="19"/>
      <c r="CW31" s="17">
        <v>10</v>
      </c>
      <c r="CX31" s="18" t="str">
        <f>REPT(CQ31,1)</f>
        <v>2N4</v>
      </c>
      <c r="CY31" s="18">
        <f t="shared" si="63"/>
        <v>55</v>
      </c>
      <c r="CZ31" s="18" t="str">
        <f t="shared" si="28"/>
        <v>Safnern 3</v>
      </c>
      <c r="DA31" s="18" t="str">
        <f t="shared" si="29"/>
        <v>Freilo 2LN</v>
      </c>
      <c r="DB31" s="18">
        <f t="shared" si="64"/>
        <v>52</v>
      </c>
      <c r="DC31" s="19"/>
      <c r="DD31" s="17">
        <v>11</v>
      </c>
      <c r="DE31" s="18" t="str">
        <f>REPT(CX31,1)</f>
        <v>2N4</v>
      </c>
      <c r="DF31" s="18">
        <f t="shared" si="66"/>
        <v>50</v>
      </c>
      <c r="DG31" s="18" t="str">
        <f t="shared" si="30"/>
        <v>Papillon 3</v>
      </c>
      <c r="DH31" s="18" t="str">
        <f t="shared" si="31"/>
        <v>Safnern 3</v>
      </c>
      <c r="DI31" s="18">
        <f t="shared" si="67"/>
        <v>55</v>
      </c>
      <c r="DJ31" s="19"/>
      <c r="DK31" s="17">
        <v>12</v>
      </c>
      <c r="DL31" s="18" t="str">
        <f>REPT(DE31,1)</f>
        <v>2N4</v>
      </c>
      <c r="DM31" s="18">
        <f t="shared" si="69"/>
        <v>52</v>
      </c>
      <c r="DN31" s="18" t="str">
        <f t="shared" si="32"/>
        <v>Freilo 2LN</v>
      </c>
      <c r="DO31" s="18" t="str">
        <f t="shared" si="33"/>
        <v>Joker 2</v>
      </c>
      <c r="DP31" s="18">
        <f t="shared" si="70"/>
        <v>54</v>
      </c>
      <c r="DQ31" s="19"/>
      <c r="DR31" s="17">
        <v>13</v>
      </c>
      <c r="DS31" s="18" t="str">
        <f>REPT(DL31,1)</f>
        <v>2N4</v>
      </c>
      <c r="DT31" s="18">
        <f t="shared" si="72"/>
        <v>56</v>
      </c>
      <c r="DU31" s="18" t="str">
        <f t="shared" si="34"/>
        <v>Brugg 3</v>
      </c>
      <c r="DV31" s="18" t="str">
        <f t="shared" si="35"/>
        <v>Freilo 2LN</v>
      </c>
      <c r="DW31" s="18">
        <f t="shared" si="73"/>
        <v>52</v>
      </c>
      <c r="DX31" s="19"/>
      <c r="DY31" s="17">
        <v>14</v>
      </c>
      <c r="DZ31" s="18" t="str">
        <f>REPT(DS31,1)</f>
        <v>2N4</v>
      </c>
      <c r="EA31" s="18">
        <f t="shared" si="75"/>
        <v>54</v>
      </c>
      <c r="EB31" s="18" t="str">
        <f t="shared" si="36"/>
        <v>Joker 2</v>
      </c>
      <c r="EC31" s="18" t="str">
        <f t="shared" si="37"/>
        <v>Brugg 3</v>
      </c>
      <c r="ED31" s="18">
        <f t="shared" si="76"/>
        <v>56</v>
      </c>
      <c r="EE31" s="19"/>
      <c r="EF31" s="1" t="str">
        <f t="shared" si="85"/>
        <v>1LO</v>
      </c>
      <c r="EG31" s="1">
        <v>30</v>
      </c>
      <c r="EH31" s="1" t="str">
        <f t="shared" si="84"/>
        <v>Ice Age</v>
      </c>
      <c r="EI31" s="1" t="str">
        <f t="shared" si="84"/>
        <v>3700</v>
      </c>
      <c r="EK31" s="1">
        <v>56</v>
      </c>
      <c r="EL31" s="1">
        <v>55</v>
      </c>
      <c r="EN31" s="1" t="s">
        <v>1281</v>
      </c>
    </row>
    <row r="32" spans="1:167" ht="24.95" customHeight="1">
      <c r="A32" s="22">
        <v>19</v>
      </c>
      <c r="B32" s="22">
        <v>2</v>
      </c>
      <c r="C32" s="2">
        <f t="shared" si="83"/>
        <v>20</v>
      </c>
      <c r="D32" s="2">
        <v>8</v>
      </c>
      <c r="E32" s="7">
        <v>24</v>
      </c>
      <c r="F32" s="9" t="s">
        <v>51</v>
      </c>
      <c r="G32" s="155">
        <v>2400</v>
      </c>
      <c r="H32" s="16"/>
      <c r="I32" s="76">
        <f>VLOOKUP(G32,Licenses!B:K,10,FALSE)</f>
        <v>0</v>
      </c>
      <c r="J32" s="16"/>
      <c r="K32" s="16"/>
      <c r="L32" t="str">
        <f t="shared" si="1"/>
        <v>2M1 Torp. Wimmis 2</v>
      </c>
      <c r="M32" s="1">
        <v>30</v>
      </c>
      <c r="N32" s="1">
        <v>3</v>
      </c>
      <c r="O32" s="1" t="s">
        <v>839</v>
      </c>
      <c r="Q32" s="10" t="s">
        <v>242</v>
      </c>
      <c r="R32" s="1">
        <f t="shared" si="2"/>
        <v>57</v>
      </c>
      <c r="S32" s="1" t="str">
        <f t="shared" si="40"/>
        <v>Torp. Wimmis 2</v>
      </c>
      <c r="T32" s="1" t="str">
        <f t="shared" si="41"/>
        <v>Emmental 2</v>
      </c>
      <c r="U32" s="1">
        <f t="shared" si="3"/>
        <v>62</v>
      </c>
      <c r="AL32" s="12">
        <v>1</v>
      </c>
      <c r="AM32" s="13" t="s">
        <v>242</v>
      </c>
      <c r="AN32" s="23">
        <f>SUM(EK32)</f>
        <v>58</v>
      </c>
      <c r="AO32" s="13" t="str">
        <f t="shared" si="4"/>
        <v>Safnern 2</v>
      </c>
      <c r="AP32" s="13" t="str">
        <f t="shared" si="5"/>
        <v>Torp. Wimmis 2</v>
      </c>
      <c r="AQ32" s="23">
        <f>SUM(EL32)</f>
        <v>57</v>
      </c>
      <c r="AR32" s="14"/>
      <c r="AS32" s="12">
        <v>2</v>
      </c>
      <c r="AT32" s="13" t="s">
        <v>66</v>
      </c>
      <c r="AU32" s="23">
        <f>SUM(EK64)</f>
        <v>57</v>
      </c>
      <c r="AV32" s="13" t="str">
        <f t="shared" si="6"/>
        <v>Torp. Wimmis 2</v>
      </c>
      <c r="AW32" s="13" t="str">
        <f t="shared" si="7"/>
        <v>Sense Steel 2</v>
      </c>
      <c r="AX32" s="23">
        <f>SUM(EL64)</f>
        <v>64</v>
      </c>
      <c r="AY32" s="14"/>
      <c r="AZ32" s="12">
        <v>3</v>
      </c>
      <c r="BA32" s="13" t="s">
        <v>66</v>
      </c>
      <c r="BB32" s="23">
        <f>SUM(EK96)</f>
        <v>62</v>
      </c>
      <c r="BC32" s="13" t="str">
        <f t="shared" si="8"/>
        <v>Emmental 2</v>
      </c>
      <c r="BD32" s="13" t="str">
        <f t="shared" si="9"/>
        <v>Torp. Wimmis 2</v>
      </c>
      <c r="BE32" s="23">
        <f>SUM(EL96)</f>
        <v>57</v>
      </c>
      <c r="BF32" s="14"/>
      <c r="BG32" s="12">
        <v>4</v>
      </c>
      <c r="BH32" s="13" t="s">
        <v>66</v>
      </c>
      <c r="BI32" s="23">
        <f t="shared" si="51"/>
        <v>57</v>
      </c>
      <c r="BJ32" s="13" t="str">
        <f t="shared" si="10"/>
        <v>Torp. Wimmis 2</v>
      </c>
      <c r="BK32" s="13" t="str">
        <f t="shared" si="11"/>
        <v>Farmer</v>
      </c>
      <c r="BL32" s="23">
        <f t="shared" si="52"/>
        <v>60</v>
      </c>
      <c r="BM32" s="14"/>
      <c r="BN32" s="12">
        <v>5</v>
      </c>
      <c r="BO32" s="13" t="s">
        <v>66</v>
      </c>
      <c r="BP32" s="23">
        <f t="shared" si="12"/>
        <v>59</v>
      </c>
      <c r="BQ32" s="13" t="str">
        <f t="shared" si="13"/>
        <v>Bern 2</v>
      </c>
      <c r="BR32" s="13" t="str">
        <f t="shared" si="14"/>
        <v>Torp. Wimmis 2</v>
      </c>
      <c r="BS32" s="23">
        <f t="shared" si="15"/>
        <v>57</v>
      </c>
      <c r="BT32" s="14"/>
      <c r="BU32" s="12">
        <v>6</v>
      </c>
      <c r="BV32" s="13" t="s">
        <v>66</v>
      </c>
      <c r="BW32" s="23">
        <f t="shared" si="16"/>
        <v>57</v>
      </c>
      <c r="BX32" s="13" t="str">
        <f t="shared" si="17"/>
        <v>Torp. Wimmis 2</v>
      </c>
      <c r="BY32" s="13" t="str">
        <f t="shared" si="18"/>
        <v>Vikings</v>
      </c>
      <c r="BZ32" s="23">
        <f t="shared" si="19"/>
        <v>61</v>
      </c>
      <c r="CA32" s="14"/>
      <c r="CB32" s="12">
        <v>7</v>
      </c>
      <c r="CC32" s="13" t="s">
        <v>66</v>
      </c>
      <c r="CD32" s="23">
        <f t="shared" si="20"/>
        <v>63</v>
      </c>
      <c r="CE32" s="13" t="str">
        <f t="shared" si="21"/>
        <v>Emmental 4</v>
      </c>
      <c r="CF32" s="13" t="str">
        <f t="shared" si="22"/>
        <v>Torp. Wimmis 2</v>
      </c>
      <c r="CG32" s="23">
        <f t="shared" si="23"/>
        <v>57</v>
      </c>
      <c r="CH32" s="14"/>
      <c r="CI32" s="12">
        <v>8</v>
      </c>
      <c r="CJ32" s="13" t="s">
        <v>66</v>
      </c>
      <c r="CK32" s="23">
        <f t="shared" si="57"/>
        <v>57</v>
      </c>
      <c r="CL32" s="13" t="str">
        <f t="shared" si="24"/>
        <v>Torp. Wimmis 2</v>
      </c>
      <c r="CM32" s="13" t="str">
        <f t="shared" si="25"/>
        <v>Safnern 2</v>
      </c>
      <c r="CN32" s="23">
        <f t="shared" si="58"/>
        <v>58</v>
      </c>
      <c r="CO32" s="14"/>
      <c r="CP32" s="12">
        <v>9</v>
      </c>
      <c r="CQ32" s="13" t="s">
        <v>66</v>
      </c>
      <c r="CR32" s="23">
        <f t="shared" si="60"/>
        <v>64</v>
      </c>
      <c r="CS32" s="13" t="str">
        <f t="shared" si="26"/>
        <v>Sense Steel 2</v>
      </c>
      <c r="CT32" s="13" t="str">
        <f t="shared" si="27"/>
        <v>Torp. Wimmis 2</v>
      </c>
      <c r="CU32" s="23">
        <f t="shared" si="61"/>
        <v>57</v>
      </c>
      <c r="CV32" s="14"/>
      <c r="CW32" s="12">
        <v>10</v>
      </c>
      <c r="CX32" s="13" t="s">
        <v>66</v>
      </c>
      <c r="CY32" s="23">
        <f t="shared" si="63"/>
        <v>57</v>
      </c>
      <c r="CZ32" s="13" t="str">
        <f t="shared" si="28"/>
        <v>Torp. Wimmis 2</v>
      </c>
      <c r="DA32" s="13" t="str">
        <f t="shared" si="29"/>
        <v>Emmental 2</v>
      </c>
      <c r="DB32" s="23">
        <f t="shared" si="64"/>
        <v>62</v>
      </c>
      <c r="DC32" s="14"/>
      <c r="DD32" s="12">
        <v>11</v>
      </c>
      <c r="DE32" s="13" t="s">
        <v>66</v>
      </c>
      <c r="DF32" s="23">
        <f t="shared" si="66"/>
        <v>60</v>
      </c>
      <c r="DG32" s="13" t="str">
        <f t="shared" si="30"/>
        <v>Farmer</v>
      </c>
      <c r="DH32" s="13" t="str">
        <f t="shared" si="31"/>
        <v>Torp. Wimmis 2</v>
      </c>
      <c r="DI32" s="23">
        <f t="shared" si="67"/>
        <v>57</v>
      </c>
      <c r="DJ32" s="14"/>
      <c r="DK32" s="12">
        <v>12</v>
      </c>
      <c r="DL32" s="13" t="s">
        <v>66</v>
      </c>
      <c r="DM32" s="23">
        <f t="shared" si="69"/>
        <v>57</v>
      </c>
      <c r="DN32" s="13" t="str">
        <f t="shared" si="32"/>
        <v>Torp. Wimmis 2</v>
      </c>
      <c r="DO32" s="13" t="str">
        <f t="shared" si="33"/>
        <v>Bern 2</v>
      </c>
      <c r="DP32" s="23">
        <f t="shared" si="70"/>
        <v>59</v>
      </c>
      <c r="DQ32" s="14"/>
      <c r="DR32" s="12">
        <v>13</v>
      </c>
      <c r="DS32" s="13" t="s">
        <v>66</v>
      </c>
      <c r="DT32" s="23">
        <f t="shared" si="72"/>
        <v>61</v>
      </c>
      <c r="DU32" s="13" t="str">
        <f t="shared" si="34"/>
        <v>Vikings</v>
      </c>
      <c r="DV32" s="13" t="str">
        <f t="shared" si="35"/>
        <v>Torp. Wimmis 2</v>
      </c>
      <c r="DW32" s="23">
        <f t="shared" si="73"/>
        <v>57</v>
      </c>
      <c r="DX32" s="14"/>
      <c r="DY32" s="12">
        <v>14</v>
      </c>
      <c r="DZ32" s="13" t="s">
        <v>66</v>
      </c>
      <c r="EA32" s="23">
        <f t="shared" si="75"/>
        <v>57</v>
      </c>
      <c r="EB32" s="13" t="str">
        <f t="shared" si="36"/>
        <v>Torp. Wimmis 2</v>
      </c>
      <c r="EC32" s="13" t="str">
        <f t="shared" si="37"/>
        <v>Emmental 4</v>
      </c>
      <c r="ED32" s="23">
        <f t="shared" si="76"/>
        <v>63</v>
      </c>
      <c r="EE32" s="14"/>
      <c r="EF32" s="1" t="str">
        <f t="shared" si="85"/>
        <v>1LO</v>
      </c>
      <c r="EG32" s="1">
        <v>31</v>
      </c>
      <c r="EH32" s="1" t="str">
        <f t="shared" si="84"/>
        <v>Papillon 1</v>
      </c>
      <c r="EI32" s="1" t="str">
        <f t="shared" si="84"/>
        <v>4300</v>
      </c>
      <c r="EK32" s="1">
        <v>58</v>
      </c>
      <c r="EL32" s="1">
        <v>57</v>
      </c>
      <c r="EN32" s="1" t="s">
        <v>1282</v>
      </c>
    </row>
    <row r="33" spans="1:144" ht="24.95" customHeight="1">
      <c r="A33" s="22">
        <v>20</v>
      </c>
      <c r="B33" s="22">
        <v>2</v>
      </c>
      <c r="C33" s="2">
        <f t="shared" si="83"/>
        <v>21</v>
      </c>
      <c r="E33" s="20"/>
      <c r="L33" t="str">
        <f t="shared" si="1"/>
        <v>2M2 Bern 2</v>
      </c>
      <c r="M33" s="1">
        <v>31</v>
      </c>
      <c r="N33" s="1">
        <v>3</v>
      </c>
      <c r="O33" s="1" t="s">
        <v>839</v>
      </c>
      <c r="Q33" s="10" t="s">
        <v>243</v>
      </c>
      <c r="R33" s="1">
        <f t="shared" si="2"/>
        <v>59</v>
      </c>
      <c r="S33" s="1" t="str">
        <f t="shared" si="40"/>
        <v>Bern 2</v>
      </c>
      <c r="T33" s="1" t="str">
        <f t="shared" si="41"/>
        <v>Sense Steel 2</v>
      </c>
      <c r="U33" s="1">
        <f t="shared" si="3"/>
        <v>64</v>
      </c>
      <c r="AL33" s="15">
        <v>1</v>
      </c>
      <c r="AM33" s="4" t="s">
        <v>243</v>
      </c>
      <c r="AN33" s="24">
        <f>SUM(EK33)</f>
        <v>60</v>
      </c>
      <c r="AO33" s="4" t="str">
        <f t="shared" si="4"/>
        <v>Farmer</v>
      </c>
      <c r="AP33" s="4" t="str">
        <f t="shared" si="5"/>
        <v>Bern 2</v>
      </c>
      <c r="AQ33" s="24">
        <f>SUM(EL33)</f>
        <v>59</v>
      </c>
      <c r="AR33" s="7"/>
      <c r="AS33" s="15">
        <v>2</v>
      </c>
      <c r="AT33" s="4" t="s">
        <v>67</v>
      </c>
      <c r="AU33" s="24">
        <f>SUM(EK65)</f>
        <v>59</v>
      </c>
      <c r="AV33" s="4" t="str">
        <f t="shared" si="6"/>
        <v>Bern 2</v>
      </c>
      <c r="AW33" s="4" t="str">
        <f t="shared" si="7"/>
        <v>Safnern 2</v>
      </c>
      <c r="AX33" s="24">
        <f>SUM(EL65)</f>
        <v>58</v>
      </c>
      <c r="AY33" s="7"/>
      <c r="AZ33" s="15">
        <v>3</v>
      </c>
      <c r="BA33" s="4" t="s">
        <v>67</v>
      </c>
      <c r="BB33" s="24">
        <f>SUM(EK97)</f>
        <v>64</v>
      </c>
      <c r="BC33" s="4" t="str">
        <f t="shared" si="8"/>
        <v>Sense Steel 2</v>
      </c>
      <c r="BD33" s="4" t="str">
        <f t="shared" si="9"/>
        <v>Bern 2</v>
      </c>
      <c r="BE33" s="24">
        <f>SUM(EL97)</f>
        <v>59</v>
      </c>
      <c r="BF33" s="7"/>
      <c r="BG33" s="15">
        <v>4</v>
      </c>
      <c r="BH33" s="4" t="s">
        <v>67</v>
      </c>
      <c r="BI33" s="24">
        <f t="shared" si="51"/>
        <v>59</v>
      </c>
      <c r="BJ33" s="4" t="str">
        <f t="shared" si="10"/>
        <v>Bern 2</v>
      </c>
      <c r="BK33" s="4" t="str">
        <f t="shared" si="11"/>
        <v>Emmental 2</v>
      </c>
      <c r="BL33" s="24">
        <f t="shared" si="52"/>
        <v>62</v>
      </c>
      <c r="BM33" s="7"/>
      <c r="BN33" s="15">
        <v>5</v>
      </c>
      <c r="BO33" s="4" t="s">
        <v>67</v>
      </c>
      <c r="BP33" s="24">
        <f t="shared" si="12"/>
        <v>61</v>
      </c>
      <c r="BQ33" s="4" t="str">
        <f t="shared" si="13"/>
        <v>Vikings</v>
      </c>
      <c r="BR33" s="4" t="str">
        <f t="shared" si="14"/>
        <v>Emmental 4</v>
      </c>
      <c r="BS33" s="24">
        <f t="shared" si="15"/>
        <v>63</v>
      </c>
      <c r="BT33" s="7"/>
      <c r="BU33" s="15">
        <v>6</v>
      </c>
      <c r="BV33" s="4" t="s">
        <v>67</v>
      </c>
      <c r="BW33" s="24">
        <f t="shared" si="16"/>
        <v>59</v>
      </c>
      <c r="BX33" s="4" t="str">
        <f t="shared" si="17"/>
        <v>Bern 2</v>
      </c>
      <c r="BY33" s="4" t="str">
        <f t="shared" si="18"/>
        <v>Emmental 4</v>
      </c>
      <c r="BZ33" s="24">
        <f t="shared" si="19"/>
        <v>63</v>
      </c>
      <c r="CA33" s="7"/>
      <c r="CB33" s="15">
        <v>7</v>
      </c>
      <c r="CC33" s="4" t="s">
        <v>67</v>
      </c>
      <c r="CD33" s="24">
        <f t="shared" si="20"/>
        <v>61</v>
      </c>
      <c r="CE33" s="4" t="str">
        <f t="shared" si="21"/>
        <v>Vikings</v>
      </c>
      <c r="CF33" s="4" t="str">
        <f t="shared" si="22"/>
        <v>Bern 2</v>
      </c>
      <c r="CG33" s="24">
        <f t="shared" si="23"/>
        <v>59</v>
      </c>
      <c r="CH33" s="7"/>
      <c r="CI33" s="15">
        <v>8</v>
      </c>
      <c r="CJ33" s="4" t="s">
        <v>67</v>
      </c>
      <c r="CK33" s="24">
        <f t="shared" si="57"/>
        <v>59</v>
      </c>
      <c r="CL33" s="4" t="str">
        <f t="shared" si="24"/>
        <v>Bern 2</v>
      </c>
      <c r="CM33" s="4" t="str">
        <f t="shared" si="25"/>
        <v>Farmer</v>
      </c>
      <c r="CN33" s="24">
        <f t="shared" si="58"/>
        <v>60</v>
      </c>
      <c r="CO33" s="7"/>
      <c r="CP33" s="15">
        <v>9</v>
      </c>
      <c r="CQ33" s="4" t="s">
        <v>67</v>
      </c>
      <c r="CR33" s="24">
        <f t="shared" si="60"/>
        <v>58</v>
      </c>
      <c r="CS33" s="4" t="str">
        <f t="shared" si="26"/>
        <v>Safnern 2</v>
      </c>
      <c r="CT33" s="4" t="str">
        <f t="shared" si="27"/>
        <v>Bern 2</v>
      </c>
      <c r="CU33" s="24">
        <f t="shared" si="61"/>
        <v>59</v>
      </c>
      <c r="CV33" s="7"/>
      <c r="CW33" s="15">
        <v>10</v>
      </c>
      <c r="CX33" s="4" t="s">
        <v>67</v>
      </c>
      <c r="CY33" s="24">
        <f t="shared" si="63"/>
        <v>59</v>
      </c>
      <c r="CZ33" s="4" t="str">
        <f t="shared" si="28"/>
        <v>Bern 2</v>
      </c>
      <c r="DA33" s="4" t="str">
        <f t="shared" si="29"/>
        <v>Sense Steel 2</v>
      </c>
      <c r="DB33" s="24">
        <f t="shared" si="64"/>
        <v>64</v>
      </c>
      <c r="DC33" s="7"/>
      <c r="DD33" s="15">
        <v>11</v>
      </c>
      <c r="DE33" s="4" t="s">
        <v>67</v>
      </c>
      <c r="DF33" s="24">
        <f t="shared" si="66"/>
        <v>62</v>
      </c>
      <c r="DG33" s="4" t="str">
        <f t="shared" si="30"/>
        <v>Emmental 2</v>
      </c>
      <c r="DH33" s="4" t="str">
        <f t="shared" si="31"/>
        <v>Bern 2</v>
      </c>
      <c r="DI33" s="24">
        <f t="shared" si="67"/>
        <v>59</v>
      </c>
      <c r="DJ33" s="7"/>
      <c r="DK33" s="15">
        <v>12</v>
      </c>
      <c r="DL33" s="4" t="s">
        <v>67</v>
      </c>
      <c r="DM33" s="24">
        <f t="shared" si="69"/>
        <v>63</v>
      </c>
      <c r="DN33" s="4" t="str">
        <f t="shared" si="32"/>
        <v>Emmental 4</v>
      </c>
      <c r="DO33" s="4" t="str">
        <f t="shared" si="33"/>
        <v>Vikings</v>
      </c>
      <c r="DP33" s="24">
        <f t="shared" si="70"/>
        <v>61</v>
      </c>
      <c r="DQ33" s="7"/>
      <c r="DR33" s="15">
        <v>13</v>
      </c>
      <c r="DS33" s="4" t="s">
        <v>67</v>
      </c>
      <c r="DT33" s="24">
        <f t="shared" si="72"/>
        <v>63</v>
      </c>
      <c r="DU33" s="4" t="str">
        <f t="shared" si="34"/>
        <v>Emmental 4</v>
      </c>
      <c r="DV33" s="4" t="str">
        <f t="shared" si="35"/>
        <v>Bern 2</v>
      </c>
      <c r="DW33" s="24">
        <f t="shared" si="73"/>
        <v>59</v>
      </c>
      <c r="DX33" s="7"/>
      <c r="DY33" s="15">
        <v>14</v>
      </c>
      <c r="DZ33" s="4" t="s">
        <v>67</v>
      </c>
      <c r="EA33" s="24">
        <f t="shared" si="75"/>
        <v>59</v>
      </c>
      <c r="EB33" s="4" t="str">
        <f t="shared" si="36"/>
        <v>Bern 2</v>
      </c>
      <c r="EC33" s="4" t="str">
        <f t="shared" si="37"/>
        <v>Vikings</v>
      </c>
      <c r="ED33" s="24">
        <f t="shared" si="76"/>
        <v>61</v>
      </c>
      <c r="EE33" s="7"/>
      <c r="EF33" s="1" t="str">
        <f t="shared" si="85"/>
        <v>1LO</v>
      </c>
      <c r="EG33" s="1">
        <v>32</v>
      </c>
      <c r="EH33" s="1" t="str">
        <f t="shared" si="84"/>
        <v>Gelterkinden 1</v>
      </c>
      <c r="EI33" s="1" t="str">
        <f t="shared" si="84"/>
        <v>400</v>
      </c>
      <c r="EK33" s="1">
        <v>60</v>
      </c>
      <c r="EL33" s="1">
        <v>59</v>
      </c>
      <c r="EN33" s="1" t="s">
        <v>1283</v>
      </c>
    </row>
    <row r="34" spans="1:144" ht="24.95" customHeight="1">
      <c r="A34" s="22">
        <v>21</v>
      </c>
      <c r="B34" s="22">
        <v>3</v>
      </c>
      <c r="C34" s="2">
        <f t="shared" si="83"/>
        <v>22</v>
      </c>
      <c r="E34" s="1" t="s">
        <v>838</v>
      </c>
      <c r="F34" s="1">
        <v>4</v>
      </c>
      <c r="G34" s="1" t="s">
        <v>1974</v>
      </c>
      <c r="L34" t="str">
        <f t="shared" si="1"/>
        <v>2M3 Vikings</v>
      </c>
      <c r="M34" s="1">
        <v>32</v>
      </c>
      <c r="N34" s="1">
        <v>3</v>
      </c>
      <c r="O34" s="1" t="s">
        <v>839</v>
      </c>
      <c r="Q34" s="10" t="s">
        <v>244</v>
      </c>
      <c r="R34" s="1">
        <f t="shared" si="2"/>
        <v>61</v>
      </c>
      <c r="S34" s="1" t="str">
        <f t="shared" si="40"/>
        <v>Vikings</v>
      </c>
      <c r="T34" s="1" t="str">
        <f t="shared" si="41"/>
        <v>Safnern 2</v>
      </c>
      <c r="U34" s="1">
        <f t="shared" si="3"/>
        <v>58</v>
      </c>
      <c r="AL34" s="15">
        <v>1</v>
      </c>
      <c r="AM34" s="4" t="s">
        <v>244</v>
      </c>
      <c r="AN34" s="24">
        <f>SUM(EK34)</f>
        <v>62</v>
      </c>
      <c r="AO34" s="4" t="str">
        <f t="shared" si="4"/>
        <v>Emmental 2</v>
      </c>
      <c r="AP34" s="4" t="str">
        <f t="shared" si="5"/>
        <v>Vikings</v>
      </c>
      <c r="AQ34" s="24">
        <f>SUM(EL34)</f>
        <v>61</v>
      </c>
      <c r="AR34" s="7"/>
      <c r="AS34" s="15">
        <v>2</v>
      </c>
      <c r="AT34" s="4" t="s">
        <v>68</v>
      </c>
      <c r="AU34" s="24">
        <f>SUM(EK66)</f>
        <v>61</v>
      </c>
      <c r="AV34" s="4" t="str">
        <f t="shared" si="6"/>
        <v>Vikings</v>
      </c>
      <c r="AW34" s="4" t="str">
        <f t="shared" si="7"/>
        <v>Farmer</v>
      </c>
      <c r="AX34" s="24">
        <f>SUM(EL66)</f>
        <v>60</v>
      </c>
      <c r="AY34" s="7"/>
      <c r="AZ34" s="15">
        <v>3</v>
      </c>
      <c r="BA34" s="4" t="s">
        <v>68</v>
      </c>
      <c r="BB34" s="24">
        <f>SUM(EK98)</f>
        <v>58</v>
      </c>
      <c r="BC34" s="4" t="str">
        <f t="shared" si="8"/>
        <v>Safnern 2</v>
      </c>
      <c r="BD34" s="4" t="str">
        <f t="shared" si="9"/>
        <v>Vikings</v>
      </c>
      <c r="BE34" s="24">
        <f>SUM(EL98)</f>
        <v>61</v>
      </c>
      <c r="BF34" s="7"/>
      <c r="BG34" s="15">
        <v>4</v>
      </c>
      <c r="BH34" s="4" t="s">
        <v>68</v>
      </c>
      <c r="BI34" s="24">
        <f t="shared" si="51"/>
        <v>61</v>
      </c>
      <c r="BJ34" s="4" t="str">
        <f t="shared" si="10"/>
        <v>Vikings</v>
      </c>
      <c r="BK34" s="4" t="str">
        <f t="shared" si="11"/>
        <v>Sense Steel 2</v>
      </c>
      <c r="BL34" s="24">
        <f t="shared" si="52"/>
        <v>64</v>
      </c>
      <c r="BM34" s="7"/>
      <c r="BN34" s="15">
        <v>5</v>
      </c>
      <c r="BO34" s="4" t="s">
        <v>68</v>
      </c>
      <c r="BP34" s="24">
        <f t="shared" si="12"/>
        <v>60</v>
      </c>
      <c r="BQ34" s="4" t="str">
        <f t="shared" si="13"/>
        <v>Farmer</v>
      </c>
      <c r="BR34" s="4" t="str">
        <f t="shared" si="14"/>
        <v>Safnern 2</v>
      </c>
      <c r="BS34" s="24">
        <f t="shared" si="15"/>
        <v>58</v>
      </c>
      <c r="BT34" s="7"/>
      <c r="BU34" s="15">
        <v>6</v>
      </c>
      <c r="BV34" s="4" t="s">
        <v>68</v>
      </c>
      <c r="BW34" s="24">
        <f t="shared" si="16"/>
        <v>58</v>
      </c>
      <c r="BX34" s="4" t="str">
        <f t="shared" si="17"/>
        <v>Safnern 2</v>
      </c>
      <c r="BY34" s="4" t="str">
        <f t="shared" si="18"/>
        <v>Emmental 2</v>
      </c>
      <c r="BZ34" s="24">
        <f t="shared" si="19"/>
        <v>62</v>
      </c>
      <c r="CA34" s="7"/>
      <c r="CB34" s="15">
        <v>7</v>
      </c>
      <c r="CC34" s="4" t="s">
        <v>68</v>
      </c>
      <c r="CD34" s="24">
        <f t="shared" si="20"/>
        <v>64</v>
      </c>
      <c r="CE34" s="4" t="str">
        <f t="shared" si="21"/>
        <v>Sense Steel 2</v>
      </c>
      <c r="CF34" s="4" t="str">
        <f t="shared" si="22"/>
        <v>Safnern 2</v>
      </c>
      <c r="CG34" s="24">
        <f t="shared" si="23"/>
        <v>58</v>
      </c>
      <c r="CH34" s="7"/>
      <c r="CI34" s="15">
        <v>8</v>
      </c>
      <c r="CJ34" s="4" t="s">
        <v>68</v>
      </c>
      <c r="CK34" s="24">
        <f t="shared" si="57"/>
        <v>61</v>
      </c>
      <c r="CL34" s="4" t="str">
        <f t="shared" si="24"/>
        <v>Vikings</v>
      </c>
      <c r="CM34" s="4" t="str">
        <f t="shared" si="25"/>
        <v>Emmental 2</v>
      </c>
      <c r="CN34" s="24">
        <f t="shared" si="58"/>
        <v>62</v>
      </c>
      <c r="CO34" s="7"/>
      <c r="CP34" s="15">
        <v>9</v>
      </c>
      <c r="CQ34" s="4" t="s">
        <v>68</v>
      </c>
      <c r="CR34" s="24">
        <f t="shared" si="60"/>
        <v>60</v>
      </c>
      <c r="CS34" s="4" t="str">
        <f t="shared" si="26"/>
        <v>Farmer</v>
      </c>
      <c r="CT34" s="4" t="str">
        <f t="shared" si="27"/>
        <v>Vikings</v>
      </c>
      <c r="CU34" s="24">
        <f t="shared" si="61"/>
        <v>61</v>
      </c>
      <c r="CV34" s="7"/>
      <c r="CW34" s="15">
        <v>10</v>
      </c>
      <c r="CX34" s="4" t="s">
        <v>68</v>
      </c>
      <c r="CY34" s="24">
        <f t="shared" si="63"/>
        <v>61</v>
      </c>
      <c r="CZ34" s="4" t="str">
        <f t="shared" si="28"/>
        <v>Vikings</v>
      </c>
      <c r="DA34" s="4" t="str">
        <f t="shared" si="29"/>
        <v>Safnern 2</v>
      </c>
      <c r="DB34" s="24">
        <f t="shared" si="64"/>
        <v>58</v>
      </c>
      <c r="DC34" s="7"/>
      <c r="DD34" s="15">
        <v>11</v>
      </c>
      <c r="DE34" s="4" t="s">
        <v>68</v>
      </c>
      <c r="DF34" s="24">
        <f t="shared" si="66"/>
        <v>64</v>
      </c>
      <c r="DG34" s="4" t="str">
        <f t="shared" si="30"/>
        <v>Sense Steel 2</v>
      </c>
      <c r="DH34" s="4" t="str">
        <f t="shared" si="31"/>
        <v>Vikings</v>
      </c>
      <c r="DI34" s="24">
        <f t="shared" si="67"/>
        <v>61</v>
      </c>
      <c r="DJ34" s="7"/>
      <c r="DK34" s="15">
        <v>12</v>
      </c>
      <c r="DL34" s="4" t="s">
        <v>68</v>
      </c>
      <c r="DM34" s="24">
        <f t="shared" si="69"/>
        <v>58</v>
      </c>
      <c r="DN34" s="4" t="str">
        <f t="shared" si="32"/>
        <v>Safnern 2</v>
      </c>
      <c r="DO34" s="4" t="str">
        <f t="shared" si="33"/>
        <v>Farmer</v>
      </c>
      <c r="DP34" s="24">
        <f t="shared" si="70"/>
        <v>60</v>
      </c>
      <c r="DQ34" s="7"/>
      <c r="DR34" s="15">
        <v>13</v>
      </c>
      <c r="DS34" s="4" t="s">
        <v>68</v>
      </c>
      <c r="DT34" s="24">
        <f t="shared" si="72"/>
        <v>62</v>
      </c>
      <c r="DU34" s="4" t="str">
        <f t="shared" si="34"/>
        <v>Emmental 2</v>
      </c>
      <c r="DV34" s="4" t="str">
        <f t="shared" si="35"/>
        <v>Safnern 2</v>
      </c>
      <c r="DW34" s="24">
        <f t="shared" si="73"/>
        <v>58</v>
      </c>
      <c r="DX34" s="7"/>
      <c r="DY34" s="15">
        <v>14</v>
      </c>
      <c r="DZ34" s="4" t="s">
        <v>68</v>
      </c>
      <c r="EA34" s="24">
        <f t="shared" si="75"/>
        <v>58</v>
      </c>
      <c r="EB34" s="4" t="str">
        <f t="shared" si="36"/>
        <v>Safnern 2</v>
      </c>
      <c r="EC34" s="4" t="str">
        <f t="shared" si="37"/>
        <v>Sense Steel 2</v>
      </c>
      <c r="ED34" s="24">
        <f t="shared" si="76"/>
        <v>64</v>
      </c>
      <c r="EE34" s="7"/>
      <c r="EF34" s="1" t="str">
        <f>LEFT($E$45,50)</f>
        <v>2LW</v>
      </c>
      <c r="EG34" s="1">
        <v>33</v>
      </c>
      <c r="EH34" s="1" t="str">
        <f t="shared" ref="EH34:EI41" si="86">LEFT(F47,50)</f>
        <v>Casa Benfica GE</v>
      </c>
      <c r="EI34" s="1" t="str">
        <f t="shared" si="86"/>
        <v>1900</v>
      </c>
      <c r="EK34" s="1">
        <v>62</v>
      </c>
      <c r="EL34" s="1">
        <v>61</v>
      </c>
      <c r="EN34" s="1" t="s">
        <v>1284</v>
      </c>
    </row>
    <row r="35" spans="1:144" ht="24.95" customHeight="1" thickBot="1">
      <c r="A35" s="22">
        <v>22</v>
      </c>
      <c r="B35" s="22">
        <v>3</v>
      </c>
      <c r="C35" s="2">
        <f t="shared" si="83"/>
        <v>23</v>
      </c>
      <c r="E35" s="1" t="s">
        <v>69</v>
      </c>
      <c r="F35" s="1" t="s">
        <v>13</v>
      </c>
      <c r="G35" s="1" t="s">
        <v>14</v>
      </c>
      <c r="L35" t="str">
        <f t="shared" si="1"/>
        <v>2M4 Emmental 4</v>
      </c>
      <c r="M35" s="1">
        <v>33</v>
      </c>
      <c r="N35" s="1">
        <v>3</v>
      </c>
      <c r="O35" s="1" t="s">
        <v>839</v>
      </c>
      <c r="Q35" s="10" t="s">
        <v>245</v>
      </c>
      <c r="R35" s="1">
        <f t="shared" si="2"/>
        <v>63</v>
      </c>
      <c r="S35" s="1" t="str">
        <f t="shared" si="40"/>
        <v>Emmental 4</v>
      </c>
      <c r="T35" s="1" t="str">
        <f t="shared" si="41"/>
        <v>Farmer</v>
      </c>
      <c r="U35" s="1">
        <f t="shared" si="3"/>
        <v>60</v>
      </c>
      <c r="AL35" s="17">
        <v>1</v>
      </c>
      <c r="AM35" s="18" t="s">
        <v>245</v>
      </c>
      <c r="AN35" s="25">
        <f>SUM(EK35)</f>
        <v>64</v>
      </c>
      <c r="AO35" s="18" t="str">
        <f t="shared" si="4"/>
        <v>Sense Steel 2</v>
      </c>
      <c r="AP35" s="18" t="str">
        <f t="shared" si="5"/>
        <v>Emmental 4</v>
      </c>
      <c r="AQ35" s="25">
        <f>SUM(EL35)</f>
        <v>63</v>
      </c>
      <c r="AR35" s="19"/>
      <c r="AS35" s="17">
        <v>2</v>
      </c>
      <c r="AT35" s="18" t="s">
        <v>70</v>
      </c>
      <c r="AU35" s="25">
        <f>SUM(EK67)</f>
        <v>63</v>
      </c>
      <c r="AV35" s="18" t="str">
        <f t="shared" si="6"/>
        <v>Emmental 4</v>
      </c>
      <c r="AW35" s="18" t="str">
        <f t="shared" si="7"/>
        <v>Emmental 2</v>
      </c>
      <c r="AX35" s="25">
        <f>SUM(EL67)</f>
        <v>62</v>
      </c>
      <c r="AY35" s="19"/>
      <c r="AZ35" s="17">
        <v>3</v>
      </c>
      <c r="BA35" s="18" t="s">
        <v>70</v>
      </c>
      <c r="BB35" s="25">
        <f>SUM(EK99)</f>
        <v>60</v>
      </c>
      <c r="BC35" s="18" t="str">
        <f t="shared" si="8"/>
        <v>Farmer</v>
      </c>
      <c r="BD35" s="18" t="str">
        <f t="shared" si="9"/>
        <v>Emmental 4</v>
      </c>
      <c r="BE35" s="25">
        <f>SUM(EL99)</f>
        <v>63</v>
      </c>
      <c r="BF35" s="19"/>
      <c r="BG35" s="17">
        <v>4</v>
      </c>
      <c r="BH35" s="18" t="s">
        <v>70</v>
      </c>
      <c r="BI35" s="25">
        <f t="shared" si="51"/>
        <v>63</v>
      </c>
      <c r="BJ35" s="18" t="str">
        <f t="shared" si="10"/>
        <v>Emmental 4</v>
      </c>
      <c r="BK35" s="18" t="str">
        <f t="shared" si="11"/>
        <v>Safnern 2</v>
      </c>
      <c r="BL35" s="25">
        <f t="shared" si="52"/>
        <v>58</v>
      </c>
      <c r="BM35" s="19"/>
      <c r="BN35" s="17">
        <v>5</v>
      </c>
      <c r="BO35" s="18" t="s">
        <v>70</v>
      </c>
      <c r="BP35" s="25">
        <f t="shared" si="12"/>
        <v>64</v>
      </c>
      <c r="BQ35" s="18" t="str">
        <f t="shared" si="13"/>
        <v>Sense Steel 2</v>
      </c>
      <c r="BR35" s="18" t="str">
        <f t="shared" si="14"/>
        <v>Emmental 2</v>
      </c>
      <c r="BS35" s="25">
        <f t="shared" si="15"/>
        <v>62</v>
      </c>
      <c r="BT35" s="19"/>
      <c r="BU35" s="17">
        <v>6</v>
      </c>
      <c r="BV35" s="18" t="s">
        <v>70</v>
      </c>
      <c r="BW35" s="25">
        <f t="shared" si="16"/>
        <v>60</v>
      </c>
      <c r="BX35" s="18" t="str">
        <f t="shared" si="17"/>
        <v>Farmer</v>
      </c>
      <c r="BY35" s="18" t="str">
        <f t="shared" si="18"/>
        <v>Sense Steel 2</v>
      </c>
      <c r="BZ35" s="25">
        <f t="shared" si="19"/>
        <v>64</v>
      </c>
      <c r="CA35" s="19"/>
      <c r="CB35" s="17">
        <v>7</v>
      </c>
      <c r="CC35" s="18" t="s">
        <v>70</v>
      </c>
      <c r="CD35" s="25">
        <f t="shared" si="20"/>
        <v>62</v>
      </c>
      <c r="CE35" s="18" t="str">
        <f t="shared" si="21"/>
        <v>Emmental 2</v>
      </c>
      <c r="CF35" s="18" t="str">
        <f t="shared" si="22"/>
        <v>Farmer</v>
      </c>
      <c r="CG35" s="25">
        <f t="shared" si="23"/>
        <v>60</v>
      </c>
      <c r="CH35" s="19"/>
      <c r="CI35" s="17">
        <v>8</v>
      </c>
      <c r="CJ35" s="18" t="s">
        <v>70</v>
      </c>
      <c r="CK35" s="25">
        <f t="shared" si="57"/>
        <v>63</v>
      </c>
      <c r="CL35" s="18" t="str">
        <f t="shared" si="24"/>
        <v>Emmental 4</v>
      </c>
      <c r="CM35" s="18" t="str">
        <f t="shared" si="25"/>
        <v>Sense Steel 2</v>
      </c>
      <c r="CN35" s="25">
        <f t="shared" si="58"/>
        <v>64</v>
      </c>
      <c r="CO35" s="19"/>
      <c r="CP35" s="17">
        <v>9</v>
      </c>
      <c r="CQ35" s="18" t="s">
        <v>70</v>
      </c>
      <c r="CR35" s="25">
        <f t="shared" si="60"/>
        <v>62</v>
      </c>
      <c r="CS35" s="18" t="str">
        <f t="shared" si="26"/>
        <v>Emmental 2</v>
      </c>
      <c r="CT35" s="18" t="str">
        <f t="shared" si="27"/>
        <v>Emmental 4</v>
      </c>
      <c r="CU35" s="25">
        <f t="shared" si="61"/>
        <v>63</v>
      </c>
      <c r="CV35" s="19"/>
      <c r="CW35" s="17">
        <v>10</v>
      </c>
      <c r="CX35" s="18" t="s">
        <v>70</v>
      </c>
      <c r="CY35" s="25">
        <f t="shared" si="63"/>
        <v>63</v>
      </c>
      <c r="CZ35" s="18" t="str">
        <f t="shared" si="28"/>
        <v>Emmental 4</v>
      </c>
      <c r="DA35" s="18" t="str">
        <f t="shared" si="29"/>
        <v>Farmer</v>
      </c>
      <c r="DB35" s="25">
        <f t="shared" si="64"/>
        <v>60</v>
      </c>
      <c r="DC35" s="19"/>
      <c r="DD35" s="17">
        <v>11</v>
      </c>
      <c r="DE35" s="18" t="s">
        <v>70</v>
      </c>
      <c r="DF35" s="25">
        <f t="shared" si="66"/>
        <v>58</v>
      </c>
      <c r="DG35" s="18" t="str">
        <f t="shared" si="30"/>
        <v>Safnern 2</v>
      </c>
      <c r="DH35" s="18" t="str">
        <f t="shared" si="31"/>
        <v>Emmental 4</v>
      </c>
      <c r="DI35" s="25">
        <f t="shared" si="67"/>
        <v>63</v>
      </c>
      <c r="DJ35" s="19"/>
      <c r="DK35" s="17">
        <v>12</v>
      </c>
      <c r="DL35" s="18" t="s">
        <v>70</v>
      </c>
      <c r="DM35" s="25">
        <f t="shared" si="69"/>
        <v>62</v>
      </c>
      <c r="DN35" s="18" t="str">
        <f t="shared" si="32"/>
        <v>Emmental 2</v>
      </c>
      <c r="DO35" s="18" t="str">
        <f t="shared" si="33"/>
        <v>Sense Steel 2</v>
      </c>
      <c r="DP35" s="25">
        <f t="shared" si="70"/>
        <v>64</v>
      </c>
      <c r="DQ35" s="19"/>
      <c r="DR35" s="17">
        <v>13</v>
      </c>
      <c r="DS35" s="18" t="s">
        <v>70</v>
      </c>
      <c r="DT35" s="25">
        <f t="shared" si="72"/>
        <v>64</v>
      </c>
      <c r="DU35" s="18" t="str">
        <f t="shared" si="34"/>
        <v>Sense Steel 2</v>
      </c>
      <c r="DV35" s="18" t="str">
        <f t="shared" si="35"/>
        <v>Farmer</v>
      </c>
      <c r="DW35" s="25">
        <f t="shared" si="73"/>
        <v>60</v>
      </c>
      <c r="DX35" s="19"/>
      <c r="DY35" s="17">
        <v>14</v>
      </c>
      <c r="DZ35" s="18" t="s">
        <v>70</v>
      </c>
      <c r="EA35" s="25">
        <f t="shared" si="75"/>
        <v>60</v>
      </c>
      <c r="EB35" s="18" t="str">
        <f t="shared" si="36"/>
        <v>Farmer</v>
      </c>
      <c r="EC35" s="18" t="str">
        <f t="shared" si="37"/>
        <v>Emmental 2</v>
      </c>
      <c r="ED35" s="25">
        <f t="shared" si="76"/>
        <v>62</v>
      </c>
      <c r="EE35" s="19"/>
      <c r="EF35" s="1" t="str">
        <f t="shared" ref="EF35:EF41" si="87">LEFT($E$45,50)</f>
        <v>2LW</v>
      </c>
      <c r="EG35" s="1">
        <v>34</v>
      </c>
      <c r="EH35" s="1" t="str">
        <f t="shared" si="86"/>
        <v>Geneva DL</v>
      </c>
      <c r="EI35" s="1" t="str">
        <f t="shared" si="86"/>
        <v>800</v>
      </c>
      <c r="EK35" s="1">
        <v>64</v>
      </c>
      <c r="EL35" s="1">
        <v>63</v>
      </c>
      <c r="EN35" s="1" t="s">
        <v>1285</v>
      </c>
    </row>
    <row r="36" spans="1:144" ht="24.95" customHeight="1">
      <c r="A36" s="22">
        <v>23</v>
      </c>
      <c r="B36" s="22">
        <v>4</v>
      </c>
      <c r="C36" s="2">
        <f t="shared" si="83"/>
        <v>24</v>
      </c>
      <c r="D36" s="2">
        <v>1</v>
      </c>
      <c r="E36" s="7">
        <v>25</v>
      </c>
      <c r="F36" s="9" t="s">
        <v>99</v>
      </c>
      <c r="G36" s="155">
        <v>1600</v>
      </c>
      <c r="H36" s="16"/>
      <c r="I36" s="76">
        <f>VLOOKUP(G36,Licenses!B:K,10,FALSE)</f>
        <v>0</v>
      </c>
      <c r="J36" s="16"/>
      <c r="K36" s="16"/>
      <c r="AL36" s="4"/>
      <c r="AM36" s="4"/>
      <c r="AN36" s="4">
        <v>1</v>
      </c>
      <c r="AO36" s="4"/>
      <c r="AP36" s="4"/>
      <c r="AQ36" s="4"/>
      <c r="AR36" s="4"/>
      <c r="AS36" s="4"/>
      <c r="AT36" s="4"/>
      <c r="AU36" s="4">
        <v>2</v>
      </c>
      <c r="AV36" s="4"/>
      <c r="AW36" s="4"/>
      <c r="AX36" s="4"/>
      <c r="AY36" s="4"/>
      <c r="AZ36" s="4"/>
      <c r="BA36" s="4"/>
      <c r="BB36" s="4">
        <v>3</v>
      </c>
      <c r="BC36" s="4"/>
      <c r="BD36" s="4"/>
      <c r="BE36" s="4"/>
      <c r="BF36" s="4"/>
      <c r="BG36" s="4"/>
      <c r="BH36" s="4"/>
      <c r="BI36" s="4">
        <v>4</v>
      </c>
      <c r="BJ36" s="4"/>
      <c r="BK36" s="4"/>
      <c r="BL36" s="4"/>
      <c r="BM36" s="4"/>
      <c r="BN36" s="4"/>
      <c r="BO36" s="4"/>
      <c r="BP36" s="4">
        <v>5</v>
      </c>
      <c r="BQ36" s="4"/>
      <c r="BR36" s="4"/>
      <c r="BS36" s="4"/>
      <c r="BT36" s="4"/>
      <c r="BU36" s="4"/>
      <c r="BV36" s="4"/>
      <c r="BW36" s="4">
        <v>6</v>
      </c>
      <c r="BX36" s="4"/>
      <c r="BY36" s="4"/>
      <c r="BZ36" s="4"/>
      <c r="CA36" s="4"/>
      <c r="CB36" s="4"/>
      <c r="CC36" s="4"/>
      <c r="CD36" s="4">
        <v>7</v>
      </c>
      <c r="CE36" s="4"/>
      <c r="CF36" s="4"/>
      <c r="CG36" s="4"/>
      <c r="CH36" s="4"/>
      <c r="CI36" s="4"/>
      <c r="CJ36" s="4"/>
      <c r="CK36" s="4">
        <v>8</v>
      </c>
      <c r="CL36" s="4"/>
      <c r="CM36" s="4"/>
      <c r="CN36" s="4"/>
      <c r="CO36" s="4"/>
      <c r="CP36" s="4"/>
      <c r="CQ36" s="4"/>
      <c r="CR36" s="4">
        <v>9</v>
      </c>
      <c r="CS36" s="4"/>
      <c r="CT36" s="4"/>
      <c r="CU36" s="4"/>
      <c r="CV36" s="4"/>
      <c r="CW36" s="4"/>
      <c r="CX36" s="4"/>
      <c r="CY36" s="4">
        <v>10</v>
      </c>
      <c r="CZ36" s="4"/>
      <c r="DA36" s="4"/>
      <c r="DB36" s="4"/>
      <c r="DC36" s="4"/>
      <c r="DD36" s="4"/>
      <c r="DE36" s="4"/>
      <c r="DF36" s="4">
        <v>11</v>
      </c>
      <c r="DG36" s="4"/>
      <c r="DH36" s="4"/>
      <c r="DI36" s="4"/>
      <c r="DJ36" s="4"/>
      <c r="DK36" s="4"/>
      <c r="DL36" s="4"/>
      <c r="DM36" s="4">
        <v>12</v>
      </c>
      <c r="DN36" s="4"/>
      <c r="DO36" s="4"/>
      <c r="DP36" s="4"/>
      <c r="DQ36" s="4"/>
      <c r="DR36" s="4"/>
      <c r="DS36" s="4"/>
      <c r="DT36" s="4">
        <v>13</v>
      </c>
      <c r="DU36" s="4"/>
      <c r="DV36" s="4"/>
      <c r="DW36" s="4"/>
      <c r="DX36" s="4"/>
      <c r="DY36" s="4"/>
      <c r="DZ36" s="4"/>
      <c r="EA36" s="4">
        <v>14</v>
      </c>
      <c r="EB36" s="4"/>
      <c r="EC36" s="4"/>
      <c r="ED36" s="4"/>
      <c r="EE36" s="4"/>
      <c r="EF36" s="1" t="str">
        <f t="shared" si="87"/>
        <v>2LW</v>
      </c>
      <c r="EG36" s="1">
        <v>35</v>
      </c>
      <c r="EH36" s="1" t="str">
        <f t="shared" si="86"/>
        <v>La Chaux-de-Fonds</v>
      </c>
      <c r="EI36" s="1" t="str">
        <f t="shared" si="86"/>
        <v>2500</v>
      </c>
      <c r="EK36" s="1">
        <v>1</v>
      </c>
      <c r="EL36" s="1">
        <v>8</v>
      </c>
      <c r="EM36" s="1" t="s">
        <v>72</v>
      </c>
      <c r="EN36" s="1" t="s">
        <v>73</v>
      </c>
    </row>
    <row r="37" spans="1:144" ht="24.95" customHeight="1">
      <c r="D37" s="2">
        <v>2</v>
      </c>
      <c r="E37" s="7">
        <v>26</v>
      </c>
      <c r="F37" s="9" t="s">
        <v>98</v>
      </c>
      <c r="G37" s="155">
        <v>2200</v>
      </c>
      <c r="H37" s="16"/>
      <c r="I37" s="76">
        <f>VLOOKUP(G37,Licenses!B:K,10,FALSE)</f>
        <v>0</v>
      </c>
      <c r="J37" s="16"/>
      <c r="K37" s="16"/>
      <c r="AL37" s="4"/>
      <c r="AM37" s="7"/>
      <c r="AN37" s="4"/>
      <c r="AO37" s="4"/>
      <c r="AP37" s="4"/>
      <c r="AQ37" s="4">
        <v>1</v>
      </c>
      <c r="AR37" s="4"/>
      <c r="AS37" s="4"/>
      <c r="AT37" s="7"/>
      <c r="AU37" s="4"/>
      <c r="AV37" s="4"/>
      <c r="AW37" s="4"/>
      <c r="AX37" s="4">
        <v>2</v>
      </c>
      <c r="AY37" s="4"/>
      <c r="AZ37" s="4"/>
      <c r="BA37" s="7"/>
      <c r="BB37" s="4"/>
      <c r="BC37" s="4"/>
      <c r="BD37" s="4"/>
      <c r="BE37" s="4">
        <v>3</v>
      </c>
      <c r="BF37" s="4"/>
      <c r="BG37" s="4"/>
      <c r="BH37" s="7"/>
      <c r="BI37" s="4"/>
      <c r="BJ37" s="4"/>
      <c r="BK37" s="4"/>
      <c r="BL37" s="4">
        <v>4</v>
      </c>
      <c r="BM37" s="4"/>
      <c r="BN37" s="4"/>
      <c r="BO37" s="7"/>
      <c r="BP37" s="4"/>
      <c r="BQ37" s="4"/>
      <c r="BR37" s="4"/>
      <c r="BS37" s="4">
        <v>5</v>
      </c>
      <c r="BT37" s="4"/>
      <c r="BU37" s="4"/>
      <c r="BV37" s="7"/>
      <c r="BW37" s="4"/>
      <c r="BX37" s="4"/>
      <c r="BY37" s="4"/>
      <c r="BZ37" s="4">
        <v>6</v>
      </c>
      <c r="CA37" s="4"/>
      <c r="CB37" s="4"/>
      <c r="CC37" s="7"/>
      <c r="CD37" s="4"/>
      <c r="CE37" s="4"/>
      <c r="CF37" s="4"/>
      <c r="CG37" s="4">
        <v>7</v>
      </c>
      <c r="CH37" s="4"/>
      <c r="CI37" s="4"/>
      <c r="CJ37" s="7"/>
      <c r="CK37" s="4"/>
      <c r="CL37" s="4"/>
      <c r="CM37" s="4"/>
      <c r="CN37" s="4">
        <v>8</v>
      </c>
      <c r="CO37" s="4"/>
      <c r="CP37" s="4"/>
      <c r="CQ37" s="7"/>
      <c r="CR37" s="4"/>
      <c r="CS37" s="4"/>
      <c r="CT37" s="4"/>
      <c r="CU37" s="4">
        <v>9</v>
      </c>
      <c r="CV37" s="4"/>
      <c r="CW37" s="4"/>
      <c r="CX37" s="7"/>
      <c r="CY37" s="4"/>
      <c r="CZ37" s="4"/>
      <c r="DA37" s="4"/>
      <c r="DB37" s="4">
        <v>10</v>
      </c>
      <c r="DC37" s="4"/>
      <c r="DD37" s="4"/>
      <c r="DE37" s="7"/>
      <c r="DF37" s="4"/>
      <c r="DG37" s="4"/>
      <c r="DH37" s="4"/>
      <c r="DI37" s="4">
        <v>11</v>
      </c>
      <c r="DJ37" s="4"/>
      <c r="DK37" s="4"/>
      <c r="DL37" s="7"/>
      <c r="DM37" s="4"/>
      <c r="DN37" s="4"/>
      <c r="DO37" s="4"/>
      <c r="DP37" s="4">
        <v>12</v>
      </c>
      <c r="DQ37" s="4"/>
      <c r="DR37" s="4"/>
      <c r="DS37" s="7"/>
      <c r="DT37" s="4"/>
      <c r="DU37" s="4"/>
      <c r="DV37" s="4"/>
      <c r="DW37" s="4">
        <v>13</v>
      </c>
      <c r="DX37" s="4"/>
      <c r="DY37" s="4"/>
      <c r="DZ37" s="7"/>
      <c r="EA37" s="4"/>
      <c r="EB37" s="4"/>
      <c r="EC37" s="4"/>
      <c r="ED37" s="4">
        <v>14</v>
      </c>
      <c r="EE37" s="4"/>
      <c r="EF37" s="1" t="str">
        <f t="shared" si="87"/>
        <v>2LW</v>
      </c>
      <c r="EG37" s="1">
        <v>36</v>
      </c>
      <c r="EH37" s="1" t="str">
        <f t="shared" si="86"/>
        <v>Real Caracol</v>
      </c>
      <c r="EI37" s="1" t="str">
        <f t="shared" si="86"/>
        <v>3000</v>
      </c>
      <c r="EK37" s="1">
        <v>2</v>
      </c>
      <c r="EL37" s="1">
        <v>3</v>
      </c>
      <c r="EN37" s="1" t="s">
        <v>74</v>
      </c>
    </row>
    <row r="38" spans="1:144" ht="24.95" customHeight="1">
      <c r="C38" s="2" t="s">
        <v>842</v>
      </c>
      <c r="D38" s="2">
        <v>3</v>
      </c>
      <c r="E38" s="7">
        <v>27</v>
      </c>
      <c r="F38" s="9" t="s">
        <v>87</v>
      </c>
      <c r="G38" s="155">
        <v>1800</v>
      </c>
      <c r="H38" s="16"/>
      <c r="I38" s="76">
        <f>VLOOKUP(G38,Licenses!B:K,10,FALSE)</f>
        <v>0</v>
      </c>
      <c r="J38" s="16"/>
      <c r="K38" s="16"/>
      <c r="AW38" s="2"/>
      <c r="BC38" s="10"/>
      <c r="BD38" s="10"/>
      <c r="BE38" s="10"/>
      <c r="BF38" s="10"/>
      <c r="BG38" s="10"/>
      <c r="BH38" s="10"/>
      <c r="EF38" s="1" t="str">
        <f t="shared" si="87"/>
        <v>2LW</v>
      </c>
      <c r="EG38" s="1">
        <v>37</v>
      </c>
      <c r="EH38" s="1" t="str">
        <f t="shared" si="86"/>
        <v>Martigny Sport</v>
      </c>
      <c r="EI38" s="1" t="str">
        <f t="shared" si="86"/>
        <v>3400</v>
      </c>
      <c r="EK38" s="1">
        <v>5</v>
      </c>
      <c r="EL38" s="1">
        <v>4</v>
      </c>
      <c r="EN38" s="1" t="s">
        <v>76</v>
      </c>
    </row>
    <row r="39" spans="1:144" ht="24.95" customHeight="1">
      <c r="A39" s="2" t="str">
        <f>LEFT(E1,5)</f>
        <v>A</v>
      </c>
      <c r="B39" s="2">
        <v>1</v>
      </c>
      <c r="C39" s="2">
        <v>1</v>
      </c>
      <c r="D39" s="2">
        <v>4</v>
      </c>
      <c r="E39" s="7">
        <v>28</v>
      </c>
      <c r="F39" s="9" t="s">
        <v>53</v>
      </c>
      <c r="G39" s="155">
        <v>300</v>
      </c>
      <c r="H39" s="16"/>
      <c r="I39" s="76">
        <f>VLOOKUP(G39,Licenses!B:K,10,FALSE)</f>
        <v>0</v>
      </c>
      <c r="J39" s="16"/>
      <c r="K39" s="16"/>
      <c r="AW39" s="2"/>
      <c r="BC39" s="10"/>
      <c r="BD39" s="10"/>
      <c r="BE39" s="10"/>
      <c r="BF39" s="10"/>
      <c r="BG39" s="10"/>
      <c r="BH39" s="10"/>
      <c r="EF39" s="1" t="str">
        <f t="shared" si="87"/>
        <v>2LW</v>
      </c>
      <c r="EG39" s="1">
        <v>38</v>
      </c>
      <c r="EH39" s="1" t="str">
        <f t="shared" si="86"/>
        <v>Morges 2</v>
      </c>
      <c r="EI39" s="1" t="str">
        <f t="shared" si="86"/>
        <v>4800</v>
      </c>
      <c r="EK39" s="1">
        <v>7</v>
      </c>
      <c r="EL39" s="1">
        <v>6</v>
      </c>
      <c r="EN39" s="1" t="s">
        <v>77</v>
      </c>
    </row>
    <row r="40" spans="1:144" ht="24.95" customHeight="1">
      <c r="A40" s="2" t="str">
        <f>LEFT(E12,5)</f>
        <v>B</v>
      </c>
      <c r="B40" s="2">
        <v>2</v>
      </c>
      <c r="C40" s="2">
        <v>1</v>
      </c>
      <c r="D40" s="2">
        <v>5</v>
      </c>
      <c r="E40" s="7">
        <v>29</v>
      </c>
      <c r="F40" s="9" t="s">
        <v>63</v>
      </c>
      <c r="G40" s="155">
        <v>2100</v>
      </c>
      <c r="H40" s="16"/>
      <c r="I40" s="76">
        <f>VLOOKUP(G40,Licenses!B:K,10,FALSE)</f>
        <v>0</v>
      </c>
      <c r="J40" s="16"/>
      <c r="K40" s="16"/>
      <c r="AW40" s="2"/>
      <c r="BC40" s="10"/>
      <c r="BD40" s="10"/>
      <c r="BE40" s="10"/>
      <c r="BF40" s="10"/>
      <c r="BG40" s="10"/>
      <c r="BH40" s="10"/>
      <c r="EF40" s="1" t="str">
        <f t="shared" si="87"/>
        <v>2LW</v>
      </c>
      <c r="EG40" s="1">
        <v>39</v>
      </c>
      <c r="EH40" s="1" t="str">
        <f t="shared" si="86"/>
        <v>Freilos 2LW</v>
      </c>
      <c r="EI40" s="1" t="str">
        <f t="shared" si="86"/>
        <v>100</v>
      </c>
      <c r="EK40" s="1">
        <v>9</v>
      </c>
      <c r="EL40" s="1">
        <v>16</v>
      </c>
      <c r="EN40" s="1" t="s">
        <v>1286</v>
      </c>
    </row>
    <row r="41" spans="1:144" ht="24.95" customHeight="1">
      <c r="A41" s="2" t="str">
        <f>LEFT(E23,5)</f>
        <v>1LW</v>
      </c>
      <c r="B41" s="2">
        <v>11</v>
      </c>
      <c r="C41" s="2">
        <v>2</v>
      </c>
      <c r="D41" s="2">
        <v>6</v>
      </c>
      <c r="E41" s="7">
        <v>30</v>
      </c>
      <c r="F41" s="9" t="s">
        <v>84</v>
      </c>
      <c r="G41" s="155">
        <v>3700</v>
      </c>
      <c r="H41" s="16"/>
      <c r="I41" s="76">
        <f>VLOOKUP(G41,Licenses!B:K,10,FALSE)</f>
        <v>0</v>
      </c>
      <c r="J41" s="16"/>
      <c r="K41" s="16"/>
      <c r="AW41" s="2"/>
      <c r="BC41" s="10"/>
      <c r="BD41" s="10"/>
      <c r="BE41" s="10"/>
      <c r="BF41" s="10"/>
      <c r="BG41" s="10"/>
      <c r="BH41" s="10"/>
      <c r="EF41" s="1" t="str">
        <f t="shared" si="87"/>
        <v>2LW</v>
      </c>
      <c r="EG41" s="1">
        <v>40</v>
      </c>
      <c r="EH41" s="1" t="str">
        <f t="shared" si="86"/>
        <v>Emmental 3</v>
      </c>
      <c r="EI41" s="1" t="str">
        <f t="shared" si="86"/>
        <v>3800</v>
      </c>
      <c r="EK41" s="1">
        <v>11</v>
      </c>
      <c r="EL41" s="1">
        <v>10</v>
      </c>
      <c r="EN41" s="1" t="s">
        <v>1287</v>
      </c>
    </row>
    <row r="42" spans="1:144" ht="24.95" customHeight="1">
      <c r="A42" s="2" t="str">
        <f>LEFT(E34,5)</f>
        <v>1LO</v>
      </c>
      <c r="B42" s="2">
        <v>12</v>
      </c>
      <c r="C42" s="2">
        <v>2</v>
      </c>
      <c r="D42" s="2">
        <v>7</v>
      </c>
      <c r="E42" s="7">
        <v>31</v>
      </c>
      <c r="F42" s="9" t="s">
        <v>62</v>
      </c>
      <c r="G42" s="155">
        <v>4300</v>
      </c>
      <c r="H42" s="16"/>
      <c r="I42" s="76">
        <f>VLOOKUP(G42,Licenses!B:K,10,FALSE)</f>
        <v>0</v>
      </c>
      <c r="J42" s="16"/>
      <c r="K42" s="16"/>
      <c r="AW42" s="2"/>
      <c r="BC42" s="10"/>
      <c r="BD42" s="10"/>
      <c r="BE42" s="10"/>
      <c r="BF42" s="10"/>
      <c r="BG42" s="10"/>
      <c r="BH42" s="10"/>
      <c r="EF42" s="1" t="str">
        <f>LEFT($E$56,50)</f>
        <v>2LO</v>
      </c>
      <c r="EG42" s="1">
        <v>41</v>
      </c>
      <c r="EH42" s="1" t="str">
        <f t="shared" ref="EH42:EI49" si="88">LEFT(F58,50)</f>
        <v>Black Jack</v>
      </c>
      <c r="EI42" s="1" t="str">
        <f t="shared" si="88"/>
        <v>3900</v>
      </c>
      <c r="EK42" s="1">
        <v>13</v>
      </c>
      <c r="EL42" s="1">
        <v>12</v>
      </c>
      <c r="EN42" s="1" t="s">
        <v>1288</v>
      </c>
    </row>
    <row r="43" spans="1:144" ht="24.95" customHeight="1">
      <c r="A43" s="2" t="str">
        <f>LEFT(E45,5)</f>
        <v>2LW</v>
      </c>
      <c r="B43" s="2">
        <v>21</v>
      </c>
      <c r="C43" s="2">
        <v>3</v>
      </c>
      <c r="D43" s="2">
        <v>8</v>
      </c>
      <c r="E43" s="7">
        <v>32</v>
      </c>
      <c r="F43" s="9" t="s">
        <v>56</v>
      </c>
      <c r="G43" s="155">
        <v>400</v>
      </c>
      <c r="H43" s="16"/>
      <c r="I43" s="76">
        <f>VLOOKUP(G43,Licenses!B:K,10,FALSE)</f>
        <v>0</v>
      </c>
      <c r="J43" s="16"/>
      <c r="K43" s="16"/>
      <c r="AW43" s="2"/>
      <c r="BC43" s="10"/>
      <c r="BD43" s="10"/>
      <c r="BE43" s="10"/>
      <c r="BF43" s="10"/>
      <c r="BG43" s="10"/>
      <c r="BH43" s="10"/>
      <c r="EF43" s="1" t="str">
        <f t="shared" ref="EF43:EF49" si="89">LEFT($E$56,50)</f>
        <v>2LO</v>
      </c>
      <c r="EG43" s="1">
        <v>42</v>
      </c>
      <c r="EH43" s="1" t="str">
        <f t="shared" si="88"/>
        <v>Chill Out Bull's 2</v>
      </c>
      <c r="EI43" s="1" t="str">
        <f t="shared" si="88"/>
        <v>4700</v>
      </c>
      <c r="EK43" s="1">
        <v>15</v>
      </c>
      <c r="EL43" s="1">
        <v>14</v>
      </c>
      <c r="EN43" s="1" t="s">
        <v>1289</v>
      </c>
    </row>
    <row r="44" spans="1:144" ht="24.95" customHeight="1">
      <c r="A44" s="2" t="str">
        <f>LEFT(E56,5)</f>
        <v>2LO</v>
      </c>
      <c r="B44" s="2">
        <v>22</v>
      </c>
      <c r="C44" s="2">
        <v>3</v>
      </c>
      <c r="E44" s="6"/>
      <c r="AW44" s="2"/>
      <c r="BC44" s="10"/>
      <c r="BD44" s="10"/>
      <c r="BE44" s="10"/>
      <c r="BF44" s="10"/>
      <c r="BG44" s="10"/>
      <c r="BH44" s="10"/>
      <c r="EF44" s="1" t="str">
        <f t="shared" si="89"/>
        <v>2LO</v>
      </c>
      <c r="EG44" s="1">
        <v>43</v>
      </c>
      <c r="EH44" s="1" t="str">
        <f t="shared" si="88"/>
        <v>High 5</v>
      </c>
      <c r="EI44" s="1" t="str">
        <f t="shared" si="88"/>
        <v>4500</v>
      </c>
      <c r="EK44" s="1">
        <v>17</v>
      </c>
      <c r="EL44" s="1">
        <v>24</v>
      </c>
      <c r="EN44" s="1" t="s">
        <v>1290</v>
      </c>
    </row>
    <row r="45" spans="1:144" ht="24.95" customHeight="1">
      <c r="A45" s="2" t="str">
        <f>LEFT(E67,5)</f>
        <v>2LN</v>
      </c>
      <c r="B45" s="2">
        <v>23</v>
      </c>
      <c r="C45" s="2">
        <v>3</v>
      </c>
      <c r="E45" s="1" t="s">
        <v>835</v>
      </c>
      <c r="F45" s="1">
        <v>5</v>
      </c>
      <c r="G45" s="1" t="s">
        <v>1977</v>
      </c>
      <c r="AW45" s="2"/>
      <c r="BC45" s="10"/>
      <c r="BD45" s="10"/>
      <c r="BE45" s="10"/>
      <c r="BF45" s="10"/>
      <c r="BG45" s="10"/>
      <c r="BH45" s="10"/>
      <c r="EF45" s="1" t="str">
        <f t="shared" si="89"/>
        <v>2LO</v>
      </c>
      <c r="EG45" s="1">
        <v>44</v>
      </c>
      <c r="EH45" s="1" t="str">
        <f t="shared" si="88"/>
        <v>Horgen</v>
      </c>
      <c r="EI45" s="1" t="str">
        <f t="shared" si="88"/>
        <v>4900</v>
      </c>
      <c r="EK45" s="1">
        <v>19</v>
      </c>
      <c r="EL45" s="1">
        <v>18</v>
      </c>
      <c r="EN45" s="1" t="s">
        <v>1291</v>
      </c>
    </row>
    <row r="46" spans="1:144" ht="24.95" customHeight="1">
      <c r="A46" s="2" t="str">
        <f>LEFT(E78,5)</f>
        <v>2LM</v>
      </c>
      <c r="B46" s="2">
        <v>24</v>
      </c>
      <c r="C46" s="2">
        <v>3</v>
      </c>
      <c r="E46" s="1" t="s">
        <v>79</v>
      </c>
      <c r="F46" s="1" t="s">
        <v>13</v>
      </c>
      <c r="G46" s="1" t="s">
        <v>14</v>
      </c>
      <c r="AW46" s="2"/>
      <c r="BC46" s="10"/>
      <c r="BD46" s="10"/>
      <c r="BE46" s="10"/>
      <c r="BF46" s="10"/>
      <c r="BG46" s="10"/>
      <c r="BH46" s="10"/>
      <c r="EF46" s="1" t="str">
        <f t="shared" si="89"/>
        <v>2LO</v>
      </c>
      <c r="EG46" s="1">
        <v>45</v>
      </c>
      <c r="EH46" s="1" t="str">
        <f t="shared" si="88"/>
        <v>Züri Otter</v>
      </c>
      <c r="EI46" s="1" t="str">
        <f t="shared" si="88"/>
        <v>4100</v>
      </c>
      <c r="EK46" s="1">
        <v>21</v>
      </c>
      <c r="EL46" s="1">
        <v>20</v>
      </c>
      <c r="EN46" s="1" t="s">
        <v>1292</v>
      </c>
    </row>
    <row r="47" spans="1:144" ht="24.95" customHeight="1">
      <c r="B47" s="2">
        <v>9</v>
      </c>
      <c r="C47" s="2">
        <v>3</v>
      </c>
      <c r="D47" s="2">
        <v>1</v>
      </c>
      <c r="E47" s="7">
        <v>33</v>
      </c>
      <c r="F47" s="9" t="s">
        <v>1223</v>
      </c>
      <c r="G47" s="155">
        <v>1900</v>
      </c>
      <c r="H47" s="16"/>
      <c r="I47" s="76">
        <f>VLOOKUP(G47,Licenses!B:K,10,FALSE)</f>
        <v>0</v>
      </c>
      <c r="J47" s="16"/>
      <c r="K47" s="16"/>
      <c r="AW47" s="2"/>
      <c r="BC47" s="10"/>
      <c r="BD47" s="10"/>
      <c r="BE47" s="10"/>
      <c r="BF47" s="10"/>
      <c r="BG47" s="10"/>
      <c r="BH47" s="10"/>
      <c r="EF47" s="1" t="str">
        <f t="shared" si="89"/>
        <v>2LO</v>
      </c>
      <c r="EG47" s="1">
        <v>46</v>
      </c>
      <c r="EH47" s="1" t="str">
        <f t="shared" si="88"/>
        <v>Brugg 4</v>
      </c>
      <c r="EI47" s="1" t="str">
        <f t="shared" si="88"/>
        <v>1800</v>
      </c>
      <c r="EK47" s="1">
        <v>23</v>
      </c>
      <c r="EL47" s="1">
        <v>22</v>
      </c>
      <c r="EN47" s="1" t="s">
        <v>1293</v>
      </c>
    </row>
    <row r="48" spans="1:144" ht="24.95" customHeight="1">
      <c r="B48" s="2">
        <v>10</v>
      </c>
      <c r="C48" s="2">
        <v>3</v>
      </c>
      <c r="D48" s="2">
        <v>2</v>
      </c>
      <c r="E48" s="7">
        <v>34</v>
      </c>
      <c r="F48" s="9" t="s">
        <v>1224</v>
      </c>
      <c r="G48" s="155">
        <v>800</v>
      </c>
      <c r="H48" s="16"/>
      <c r="I48" s="76">
        <f>VLOOKUP(G48,Licenses!B:K,10,FALSE)</f>
        <v>0</v>
      </c>
      <c r="J48" s="16"/>
      <c r="K48" s="16"/>
      <c r="AW48" s="2"/>
      <c r="BC48" s="10"/>
      <c r="BD48" s="10"/>
      <c r="BE48" s="10"/>
      <c r="BF48" s="10"/>
      <c r="BG48" s="10"/>
      <c r="BH48" s="10"/>
      <c r="EF48" s="1" t="str">
        <f t="shared" si="89"/>
        <v>2LO</v>
      </c>
      <c r="EG48" s="1">
        <v>47</v>
      </c>
      <c r="EH48" s="1" t="str">
        <f t="shared" si="88"/>
        <v>Papillon 2</v>
      </c>
      <c r="EI48" s="1" t="str">
        <f t="shared" si="88"/>
        <v>4300</v>
      </c>
      <c r="EK48" s="1">
        <v>32</v>
      </c>
      <c r="EL48" s="1">
        <v>25</v>
      </c>
      <c r="EN48" s="1" t="s">
        <v>1294</v>
      </c>
    </row>
    <row r="49" spans="1:158" ht="24.95" customHeight="1">
      <c r="B49" s="2">
        <v>11</v>
      </c>
      <c r="C49" s="2">
        <v>3</v>
      </c>
      <c r="D49" s="2">
        <v>3</v>
      </c>
      <c r="E49" s="7">
        <v>35</v>
      </c>
      <c r="F49" s="9" t="s">
        <v>1225</v>
      </c>
      <c r="G49" s="155">
        <v>2500</v>
      </c>
      <c r="H49" s="16"/>
      <c r="I49" s="76">
        <f>VLOOKUP(G49,Licenses!B:K,10,FALSE)</f>
        <v>0</v>
      </c>
      <c r="J49" s="16"/>
      <c r="K49" s="16"/>
      <c r="AW49" s="2"/>
      <c r="BC49" s="10"/>
      <c r="BD49" s="10"/>
      <c r="BE49" s="10"/>
      <c r="BF49" s="10"/>
      <c r="BG49" s="10"/>
      <c r="BH49" s="10"/>
      <c r="EF49" s="1" t="str">
        <f t="shared" si="89"/>
        <v>2LO</v>
      </c>
      <c r="EG49" s="1">
        <v>48</v>
      </c>
      <c r="EH49" s="1" t="str">
        <f t="shared" si="88"/>
        <v>Heroes</v>
      </c>
      <c r="EI49" s="1" t="str">
        <f t="shared" si="88"/>
        <v>3500</v>
      </c>
      <c r="EK49" s="1">
        <v>27</v>
      </c>
      <c r="EL49" s="1">
        <v>26</v>
      </c>
      <c r="EN49" s="1" t="s">
        <v>1295</v>
      </c>
    </row>
    <row r="50" spans="1:158" ht="24.95" customHeight="1">
      <c r="B50" s="2">
        <v>12</v>
      </c>
      <c r="C50" s="2">
        <v>3</v>
      </c>
      <c r="D50" s="2">
        <v>4</v>
      </c>
      <c r="E50" s="7">
        <v>36</v>
      </c>
      <c r="F50" s="9" t="s">
        <v>71</v>
      </c>
      <c r="G50" s="155">
        <v>3000</v>
      </c>
      <c r="H50" s="16"/>
      <c r="I50" s="76">
        <f>VLOOKUP(G50,Licenses!B:K,10,FALSE)</f>
        <v>0</v>
      </c>
      <c r="J50" s="16"/>
      <c r="K50" s="16"/>
      <c r="AW50" s="2"/>
      <c r="BC50" s="10"/>
      <c r="BD50" s="10"/>
      <c r="BE50" s="10"/>
      <c r="BF50" s="10"/>
      <c r="BG50" s="10"/>
      <c r="BH50" s="10"/>
      <c r="EF50" s="1" t="str">
        <f>LEFT($E$67,50)</f>
        <v>2LN</v>
      </c>
      <c r="EG50" s="1">
        <v>49</v>
      </c>
      <c r="EH50" s="1" t="str">
        <f t="shared" ref="EH50:EI57" si="90">LEFT(F69,50)</f>
        <v>Gelterkinden 2</v>
      </c>
      <c r="EI50" s="1" t="str">
        <f t="shared" si="90"/>
        <v>400</v>
      </c>
      <c r="EK50" s="1">
        <v>29</v>
      </c>
      <c r="EL50" s="1">
        <v>28</v>
      </c>
      <c r="EN50" s="1" t="s">
        <v>1296</v>
      </c>
    </row>
    <row r="51" spans="1:158" ht="24.95" customHeight="1">
      <c r="D51" s="2">
        <v>5</v>
      </c>
      <c r="E51" s="7">
        <v>37</v>
      </c>
      <c r="F51" s="9" t="s">
        <v>1226</v>
      </c>
      <c r="G51" s="155">
        <v>3400</v>
      </c>
      <c r="H51" s="16"/>
      <c r="I51" s="76">
        <f>VLOOKUP(G51,Licenses!B:K,10,FALSE)</f>
        <v>0</v>
      </c>
      <c r="J51" s="16"/>
      <c r="K51" s="16"/>
      <c r="AW51" s="2"/>
      <c r="BC51" s="10"/>
      <c r="BD51" s="10"/>
      <c r="BE51" s="10"/>
      <c r="BF51" s="10"/>
      <c r="BG51" s="10"/>
      <c r="BH51" s="10"/>
      <c r="EF51" s="1" t="str">
        <f t="shared" ref="EF51:EF57" si="91">LEFT($E$67,50)</f>
        <v>2LN</v>
      </c>
      <c r="EG51" s="1">
        <v>50</v>
      </c>
      <c r="EH51" s="1" t="str">
        <f t="shared" si="90"/>
        <v>Papillon 3</v>
      </c>
      <c r="EI51" s="1" t="str">
        <f t="shared" si="90"/>
        <v>4300</v>
      </c>
      <c r="EK51" s="1">
        <v>31</v>
      </c>
      <c r="EL51" s="1">
        <v>30</v>
      </c>
      <c r="EN51" s="1" t="s">
        <v>1297</v>
      </c>
    </row>
    <row r="52" spans="1:158" ht="24.95" customHeight="1">
      <c r="D52" s="2">
        <v>6</v>
      </c>
      <c r="E52" s="7">
        <v>38</v>
      </c>
      <c r="F52" s="9" t="s">
        <v>75</v>
      </c>
      <c r="G52" s="155">
        <v>4800</v>
      </c>
      <c r="H52" s="16"/>
      <c r="I52" s="76">
        <f>VLOOKUP(G52,Licenses!B:K,10,FALSE)</f>
        <v>0</v>
      </c>
      <c r="J52" s="16"/>
      <c r="K52" s="16"/>
      <c r="AW52" s="2"/>
      <c r="BC52" s="10"/>
      <c r="BD52" s="10"/>
      <c r="BE52" s="10"/>
      <c r="BF52" s="10"/>
      <c r="BG52" s="10"/>
      <c r="BH52" s="10"/>
      <c r="EF52" s="1" t="str">
        <f t="shared" si="91"/>
        <v>2LN</v>
      </c>
      <c r="EG52" s="1">
        <v>51</v>
      </c>
      <c r="EH52" s="1" t="str">
        <f t="shared" si="90"/>
        <v>Emmental 5</v>
      </c>
      <c r="EI52" s="1" t="str">
        <f t="shared" si="90"/>
        <v>3800</v>
      </c>
      <c r="EK52" s="1">
        <v>33</v>
      </c>
      <c r="EL52" s="1">
        <v>40</v>
      </c>
      <c r="EN52" s="1" t="s">
        <v>1298</v>
      </c>
    </row>
    <row r="53" spans="1:158" ht="24.95" customHeight="1">
      <c r="A53" s="2" t="str">
        <f>LEFT(G1,5)</f>
        <v>A</v>
      </c>
      <c r="B53" s="2">
        <v>1</v>
      </c>
      <c r="D53" s="2">
        <v>7</v>
      </c>
      <c r="E53" s="7">
        <v>39</v>
      </c>
      <c r="F53" s="9" t="s">
        <v>1227</v>
      </c>
      <c r="G53" s="155">
        <v>100</v>
      </c>
      <c r="H53" s="16"/>
      <c r="I53" s="76" t="e">
        <f>VLOOKUP(G53,Licenses!B:K,10,FALSE)</f>
        <v>#N/A</v>
      </c>
      <c r="J53" s="16"/>
      <c r="K53" s="16"/>
      <c r="AW53" s="2"/>
      <c r="BC53" s="10"/>
      <c r="BD53" s="10"/>
      <c r="BE53" s="10"/>
      <c r="BF53" s="10"/>
      <c r="BG53" s="10"/>
      <c r="BH53" s="10"/>
      <c r="EF53" s="1" t="str">
        <f t="shared" si="91"/>
        <v>2LN</v>
      </c>
      <c r="EG53" s="1">
        <v>52</v>
      </c>
      <c r="EH53" s="1" t="str">
        <f t="shared" si="90"/>
        <v>Freilo 2LN</v>
      </c>
      <c r="EI53" s="1" t="str">
        <f t="shared" si="90"/>
        <v>100</v>
      </c>
      <c r="EK53" s="1">
        <v>35</v>
      </c>
      <c r="EL53" s="1">
        <v>34</v>
      </c>
      <c r="EN53" s="1" t="s">
        <v>1299</v>
      </c>
    </row>
    <row r="54" spans="1:158" ht="24.95" customHeight="1">
      <c r="A54" s="2" t="str">
        <f>LEFT(G12,5)</f>
        <v>B</v>
      </c>
      <c r="B54" s="2">
        <v>2</v>
      </c>
      <c r="D54" s="2">
        <v>8</v>
      </c>
      <c r="E54" s="7">
        <v>40</v>
      </c>
      <c r="F54" s="9" t="s">
        <v>86</v>
      </c>
      <c r="G54" s="155">
        <v>3800</v>
      </c>
      <c r="H54" s="16"/>
      <c r="I54" s="76">
        <f>VLOOKUP(G54,Licenses!B:K,10,FALSE)</f>
        <v>0</v>
      </c>
      <c r="J54" s="16"/>
      <c r="K54" s="16"/>
      <c r="AW54" s="2"/>
      <c r="BC54" s="10"/>
      <c r="BD54" s="10"/>
      <c r="BE54" s="10"/>
      <c r="BF54" s="10"/>
      <c r="BG54" s="10"/>
      <c r="BH54" s="10"/>
      <c r="EF54" s="1" t="str">
        <f t="shared" si="91"/>
        <v>2LN</v>
      </c>
      <c r="EG54" s="1">
        <v>53</v>
      </c>
      <c r="EH54" s="1" t="str">
        <f t="shared" si="90"/>
        <v>Lounge 11</v>
      </c>
      <c r="EI54" s="1" t="str">
        <f t="shared" si="90"/>
        <v>4000</v>
      </c>
      <c r="EK54" s="1">
        <v>37</v>
      </c>
      <c r="EL54" s="1">
        <v>36</v>
      </c>
      <c r="EN54" s="1" t="s">
        <v>1300</v>
      </c>
    </row>
    <row r="55" spans="1:158" ht="24.95" customHeight="1">
      <c r="A55" s="2" t="str">
        <f>LEFT(G23,5)</f>
        <v>1W</v>
      </c>
      <c r="B55" s="2">
        <v>11</v>
      </c>
      <c r="E55" s="20"/>
      <c r="AW55" s="2"/>
      <c r="BC55" s="10"/>
      <c r="BD55" s="10"/>
      <c r="BE55" s="10"/>
      <c r="BF55" s="10"/>
      <c r="BG55" s="10"/>
      <c r="BH55" s="10"/>
      <c r="EF55" s="1" t="str">
        <f t="shared" si="91"/>
        <v>2LN</v>
      </c>
      <c r="EG55" s="1">
        <v>54</v>
      </c>
      <c r="EH55" s="1" t="str">
        <f t="shared" si="90"/>
        <v>Joker 2</v>
      </c>
      <c r="EI55" s="1" t="str">
        <f t="shared" si="90"/>
        <v>3200</v>
      </c>
      <c r="EJ55" s="10"/>
      <c r="EK55" s="1">
        <v>39</v>
      </c>
      <c r="EL55" s="1">
        <v>38</v>
      </c>
      <c r="EN55" s="10" t="s">
        <v>1301</v>
      </c>
      <c r="EO55" s="10"/>
      <c r="EP55" s="10"/>
      <c r="EQ55" s="10"/>
      <c r="ER55" s="10"/>
      <c r="ES55" s="10"/>
      <c r="ET55" s="10"/>
      <c r="EU55" s="10"/>
      <c r="EV55" s="10"/>
      <c r="EW55" s="10"/>
      <c r="EX55" s="10"/>
      <c r="EY55" s="10"/>
      <c r="EZ55" s="10"/>
      <c r="FA55" s="10"/>
      <c r="FB55" s="10"/>
    </row>
    <row r="56" spans="1:158" ht="24.95" customHeight="1">
      <c r="A56" s="2" t="str">
        <f>LEFT(G34,5)</f>
        <v>1O</v>
      </c>
      <c r="B56" s="2">
        <v>12</v>
      </c>
      <c r="E56" s="1" t="s">
        <v>836</v>
      </c>
      <c r="F56" s="1">
        <v>6</v>
      </c>
      <c r="G56" s="1" t="s">
        <v>1979</v>
      </c>
      <c r="AW56" s="2"/>
      <c r="BC56" s="10"/>
      <c r="BD56" s="10"/>
      <c r="BE56" s="10"/>
      <c r="BF56" s="10"/>
      <c r="BG56" s="10"/>
      <c r="BH56" s="10"/>
      <c r="EF56" s="1" t="str">
        <f t="shared" si="91"/>
        <v>2LN</v>
      </c>
      <c r="EG56" s="1">
        <v>55</v>
      </c>
      <c r="EH56" s="1" t="str">
        <f t="shared" si="90"/>
        <v>Safnern 3</v>
      </c>
      <c r="EI56" s="1" t="str">
        <f t="shared" si="90"/>
        <v>4600</v>
      </c>
      <c r="EJ56" s="10"/>
      <c r="EK56" s="1">
        <v>41</v>
      </c>
      <c r="EL56" s="1">
        <v>48</v>
      </c>
      <c r="EN56" s="10" t="s">
        <v>1302</v>
      </c>
      <c r="EO56" s="10"/>
      <c r="EP56" s="10"/>
      <c r="EQ56" s="10"/>
      <c r="ER56" s="10"/>
      <c r="ES56" s="10"/>
      <c r="ET56" s="10"/>
      <c r="EU56" s="10"/>
      <c r="EV56" s="10"/>
      <c r="EW56" s="10"/>
      <c r="EX56" s="10"/>
      <c r="EY56" s="10"/>
      <c r="EZ56" s="10"/>
      <c r="FA56" s="10"/>
      <c r="FB56" s="10"/>
    </row>
    <row r="57" spans="1:158" ht="24.95" customHeight="1">
      <c r="A57" s="2" t="str">
        <f>LEFT(G45,5)</f>
        <v>2W</v>
      </c>
      <c r="B57" s="2">
        <v>21</v>
      </c>
      <c r="E57" s="1" t="s">
        <v>82</v>
      </c>
      <c r="F57" s="1" t="s">
        <v>13</v>
      </c>
      <c r="G57" s="1" t="s">
        <v>14</v>
      </c>
      <c r="AW57" s="2"/>
      <c r="BC57" s="10"/>
      <c r="BD57" s="10"/>
      <c r="BE57" s="10"/>
      <c r="BF57" s="10"/>
      <c r="BG57" s="10"/>
      <c r="BH57" s="10"/>
      <c r="EF57" s="1" t="str">
        <f t="shared" si="91"/>
        <v>2LN</v>
      </c>
      <c r="EG57" s="1">
        <v>56</v>
      </c>
      <c r="EH57" s="1" t="str">
        <f t="shared" si="90"/>
        <v>Brugg 3</v>
      </c>
      <c r="EI57" s="1" t="str">
        <f t="shared" si="90"/>
        <v>1800</v>
      </c>
      <c r="EJ57" s="10"/>
      <c r="EK57" s="1">
        <v>43</v>
      </c>
      <c r="EL57" s="1">
        <v>42</v>
      </c>
      <c r="EN57" s="10" t="s">
        <v>1303</v>
      </c>
      <c r="EO57" s="10"/>
      <c r="EP57" s="10"/>
      <c r="EQ57" s="10"/>
      <c r="ER57" s="10"/>
      <c r="ES57" s="10"/>
      <c r="ET57" s="10"/>
      <c r="EU57" s="10"/>
      <c r="EV57" s="10"/>
      <c r="EW57" s="10"/>
      <c r="EX57" s="10"/>
      <c r="EY57" s="10"/>
      <c r="EZ57" s="10"/>
      <c r="FA57" s="10"/>
      <c r="FB57" s="10"/>
    </row>
    <row r="58" spans="1:158" ht="24.95" customHeight="1">
      <c r="A58" s="2" t="str">
        <f>LEFT(G56,5)</f>
        <v>2O</v>
      </c>
      <c r="B58" s="2">
        <v>22</v>
      </c>
      <c r="D58" s="2">
        <v>1</v>
      </c>
      <c r="E58" s="7">
        <v>41</v>
      </c>
      <c r="F58" s="9" t="s">
        <v>93</v>
      </c>
      <c r="G58" s="155">
        <v>3900</v>
      </c>
      <c r="H58" s="16"/>
      <c r="I58" s="76">
        <f>VLOOKUP(G58,Licenses!B:K,10,FALSE)</f>
        <v>0</v>
      </c>
      <c r="J58" s="16"/>
      <c r="K58" s="16"/>
      <c r="AW58" s="2"/>
      <c r="BC58" s="10"/>
      <c r="BD58" s="10"/>
      <c r="BE58" s="10"/>
      <c r="BF58" s="10"/>
      <c r="BG58" s="10"/>
      <c r="BH58" s="10"/>
      <c r="EF58" s="1" t="str">
        <f>LEFT($E$78,50)</f>
        <v>2LM</v>
      </c>
      <c r="EG58" s="1">
        <v>57</v>
      </c>
      <c r="EH58" s="1" t="str">
        <f t="shared" ref="EH58:EI65" si="92">LEFT(F80,50)</f>
        <v>Torp. Wimmis 2</v>
      </c>
      <c r="EI58" s="1" t="str">
        <f t="shared" si="92"/>
        <v>3600</v>
      </c>
      <c r="EJ58" s="10"/>
      <c r="EK58" s="1">
        <v>45</v>
      </c>
      <c r="EL58" s="1">
        <v>44</v>
      </c>
      <c r="EN58" s="10" t="s">
        <v>1304</v>
      </c>
      <c r="EO58" s="10"/>
      <c r="EP58" s="10"/>
      <c r="EQ58" s="10"/>
      <c r="ER58" s="10"/>
      <c r="ES58" s="10"/>
      <c r="ET58" s="10"/>
      <c r="EU58" s="10"/>
      <c r="EV58" s="10"/>
      <c r="EW58" s="10"/>
      <c r="EX58" s="10"/>
      <c r="EY58" s="10"/>
      <c r="EZ58" s="10"/>
      <c r="FA58" s="10"/>
      <c r="FB58" s="10"/>
    </row>
    <row r="59" spans="1:158" ht="24.95" customHeight="1">
      <c r="A59" s="2" t="str">
        <f>LEFT(G67,5)</f>
        <v>2N</v>
      </c>
      <c r="B59" s="2">
        <v>23</v>
      </c>
      <c r="D59" s="2">
        <v>2</v>
      </c>
      <c r="E59" s="7">
        <v>42</v>
      </c>
      <c r="F59" s="9" t="s">
        <v>1228</v>
      </c>
      <c r="G59" s="155">
        <v>4700</v>
      </c>
      <c r="H59" s="16"/>
      <c r="I59" s="76">
        <f>VLOOKUP(G59,Licenses!B:K,10,FALSE)</f>
        <v>0</v>
      </c>
      <c r="J59" s="16"/>
      <c r="K59" s="16"/>
      <c r="BC59" s="10"/>
      <c r="BD59" s="10"/>
      <c r="BE59" s="10"/>
      <c r="BF59" s="10"/>
      <c r="BG59" s="10"/>
      <c r="BH59" s="10"/>
      <c r="EF59" s="1" t="str">
        <f t="shared" ref="EF59:EF65" si="93">LEFT($E$78,50)</f>
        <v>2LM</v>
      </c>
      <c r="EG59" s="1">
        <v>58</v>
      </c>
      <c r="EH59" s="1" t="str">
        <f t="shared" si="92"/>
        <v>Safnern 2</v>
      </c>
      <c r="EI59" s="1" t="str">
        <f t="shared" si="92"/>
        <v>4600</v>
      </c>
      <c r="EJ59" s="10"/>
      <c r="EK59" s="10">
        <v>47</v>
      </c>
      <c r="EL59" s="10">
        <v>46</v>
      </c>
      <c r="EM59" s="10"/>
      <c r="EN59" s="10" t="s">
        <v>1305</v>
      </c>
      <c r="EO59" s="10"/>
      <c r="EP59" s="10"/>
      <c r="EQ59" s="10"/>
      <c r="ER59" s="10"/>
      <c r="ES59" s="10"/>
      <c r="ET59" s="10"/>
      <c r="EU59" s="10"/>
      <c r="EV59" s="10"/>
      <c r="EW59" s="10"/>
      <c r="EX59" s="10"/>
      <c r="EY59" s="10"/>
      <c r="EZ59" s="10"/>
      <c r="FA59" s="10"/>
      <c r="FB59" s="10"/>
    </row>
    <row r="60" spans="1:158" ht="24.95" customHeight="1">
      <c r="A60" s="2" t="str">
        <f>LEFT(G78,5)</f>
        <v>2M</v>
      </c>
      <c r="B60" s="2">
        <v>24</v>
      </c>
      <c r="D60" s="2">
        <v>3</v>
      </c>
      <c r="E60" s="7">
        <v>43</v>
      </c>
      <c r="F60" s="9" t="s">
        <v>91</v>
      </c>
      <c r="G60" s="155">
        <v>4500</v>
      </c>
      <c r="H60" s="16"/>
      <c r="I60" s="76">
        <f>VLOOKUP(G60,Licenses!B:K,10,FALSE)</f>
        <v>0</v>
      </c>
      <c r="J60" s="16"/>
      <c r="K60" s="16"/>
      <c r="BC60" s="10"/>
      <c r="BD60" s="10"/>
      <c r="BE60" s="10"/>
      <c r="BF60" s="10"/>
      <c r="BG60" s="10"/>
      <c r="BH60" s="10"/>
      <c r="EF60" s="1" t="str">
        <f t="shared" si="93"/>
        <v>2LM</v>
      </c>
      <c r="EG60" s="1">
        <v>59</v>
      </c>
      <c r="EH60" s="1" t="str">
        <f t="shared" si="92"/>
        <v>Bern 2</v>
      </c>
      <c r="EI60" s="1" t="str">
        <f t="shared" si="92"/>
        <v>500</v>
      </c>
      <c r="EJ60" s="10"/>
      <c r="EK60" s="10">
        <v>49</v>
      </c>
      <c r="EL60" s="10">
        <v>52</v>
      </c>
      <c r="EM60" s="10"/>
      <c r="EN60" s="10" t="s">
        <v>1306</v>
      </c>
      <c r="EO60" s="10"/>
      <c r="EP60" s="10"/>
      <c r="EQ60" s="10"/>
      <c r="ER60" s="10"/>
      <c r="ES60" s="10"/>
      <c r="ET60" s="10"/>
      <c r="EU60" s="10"/>
      <c r="EV60" s="10"/>
      <c r="EW60" s="10"/>
      <c r="EX60" s="10"/>
      <c r="EY60" s="10"/>
      <c r="EZ60" s="10"/>
      <c r="FA60" s="10"/>
      <c r="FB60" s="10"/>
    </row>
    <row r="61" spans="1:158" ht="24.95" customHeight="1">
      <c r="D61" s="2">
        <v>4</v>
      </c>
      <c r="E61" s="7">
        <v>44</v>
      </c>
      <c r="F61" s="9" t="s">
        <v>96</v>
      </c>
      <c r="G61" s="155">
        <v>4900</v>
      </c>
      <c r="H61" s="16"/>
      <c r="I61" s="76">
        <f>VLOOKUP(G61,Licenses!B:K,10,FALSE)</f>
        <v>0</v>
      </c>
      <c r="J61" s="16"/>
      <c r="K61" s="16"/>
      <c r="EF61" s="1" t="str">
        <f t="shared" si="93"/>
        <v>2LM</v>
      </c>
      <c r="EG61" s="1">
        <v>60</v>
      </c>
      <c r="EH61" s="1" t="str">
        <f t="shared" si="92"/>
        <v>Farmer</v>
      </c>
      <c r="EI61" s="1" t="str">
        <f t="shared" si="92"/>
        <v>900</v>
      </c>
      <c r="EJ61" s="10"/>
      <c r="EK61" s="10">
        <v>51</v>
      </c>
      <c r="EL61" s="10">
        <v>54</v>
      </c>
      <c r="EM61" s="10"/>
      <c r="EN61" s="10" t="s">
        <v>1307</v>
      </c>
      <c r="EO61" s="10"/>
      <c r="EP61" s="10"/>
      <c r="EQ61" s="10"/>
      <c r="ER61" s="10"/>
      <c r="ES61" s="10"/>
      <c r="ET61" s="10"/>
      <c r="EU61" s="10"/>
      <c r="EV61" s="10"/>
      <c r="EW61" s="10"/>
      <c r="EX61" s="10"/>
      <c r="EY61" s="10"/>
      <c r="EZ61" s="10"/>
      <c r="FA61" s="10"/>
      <c r="FB61" s="10"/>
    </row>
    <row r="62" spans="1:158" ht="24.95" customHeight="1">
      <c r="D62" s="2">
        <v>5</v>
      </c>
      <c r="E62" s="7">
        <v>45</v>
      </c>
      <c r="F62" s="9" t="s">
        <v>1229</v>
      </c>
      <c r="G62" s="155">
        <v>4100</v>
      </c>
      <c r="H62" s="16"/>
      <c r="I62" s="76">
        <f>VLOOKUP(G62,Licenses!B:K,10,FALSE)</f>
        <v>0</v>
      </c>
      <c r="J62" s="16"/>
      <c r="K62" s="16"/>
      <c r="BC62" s="10"/>
      <c r="BD62" s="10"/>
      <c r="BE62" s="10"/>
      <c r="BF62" s="10"/>
      <c r="BG62" s="10"/>
      <c r="BH62" s="10"/>
      <c r="EF62" s="1" t="str">
        <f t="shared" si="93"/>
        <v>2LM</v>
      </c>
      <c r="EG62" s="1">
        <v>61</v>
      </c>
      <c r="EH62" s="1" t="str">
        <f t="shared" si="92"/>
        <v>Vikings</v>
      </c>
      <c r="EI62" s="1" t="str">
        <f t="shared" si="92"/>
        <v>2300</v>
      </c>
      <c r="EJ62" s="10"/>
      <c r="EK62" s="10">
        <v>53</v>
      </c>
      <c r="EL62" s="10">
        <v>56</v>
      </c>
      <c r="EM62" s="10"/>
      <c r="EN62" s="10" t="s">
        <v>1308</v>
      </c>
      <c r="EO62" s="10"/>
      <c r="EP62" s="10"/>
      <c r="EQ62" s="10"/>
      <c r="ER62" s="10"/>
      <c r="ES62" s="10"/>
      <c r="ET62" s="10"/>
      <c r="EU62" s="10"/>
      <c r="EV62" s="10"/>
      <c r="EW62" s="10"/>
      <c r="EX62" s="10"/>
      <c r="EY62" s="10"/>
      <c r="EZ62" s="10"/>
      <c r="FA62" s="10"/>
      <c r="FB62" s="10"/>
    </row>
    <row r="63" spans="1:158" ht="24.95" customHeight="1">
      <c r="D63" s="2">
        <v>6</v>
      </c>
      <c r="E63" s="7">
        <v>46</v>
      </c>
      <c r="F63" s="9" t="s">
        <v>1230</v>
      </c>
      <c r="G63" s="155">
        <v>1800</v>
      </c>
      <c r="H63" s="16"/>
      <c r="I63" s="76">
        <f>VLOOKUP(G63,Licenses!B:K,10,FALSE)</f>
        <v>0</v>
      </c>
      <c r="J63" s="16"/>
      <c r="K63" s="16"/>
      <c r="BC63" s="10"/>
      <c r="BD63" s="10"/>
      <c r="BE63" s="10"/>
      <c r="BF63" s="10"/>
      <c r="BG63" s="10"/>
      <c r="BH63" s="10"/>
      <c r="DL63" s="10"/>
      <c r="DM63" s="10"/>
      <c r="DN63" s="10"/>
      <c r="DO63" s="10"/>
      <c r="DP63" s="10"/>
      <c r="DQ63" s="10"/>
      <c r="DR63" s="10"/>
      <c r="DS63" s="10"/>
      <c r="DT63" s="10"/>
      <c r="DU63" s="10"/>
      <c r="DV63" s="10"/>
      <c r="DW63" s="10"/>
      <c r="DX63" s="10"/>
      <c r="DY63" s="10"/>
      <c r="DZ63" s="10"/>
      <c r="EA63" s="10"/>
      <c r="EB63" s="10"/>
      <c r="EC63" s="10"/>
      <c r="ED63" s="10"/>
      <c r="EE63" s="10"/>
      <c r="EF63" s="1" t="str">
        <f t="shared" si="93"/>
        <v>2LM</v>
      </c>
      <c r="EG63" s="1">
        <v>62</v>
      </c>
      <c r="EH63" s="1" t="str">
        <f t="shared" si="92"/>
        <v>Emmental 2</v>
      </c>
      <c r="EI63" s="1" t="str">
        <f t="shared" si="92"/>
        <v>3800</v>
      </c>
      <c r="EJ63" s="10"/>
      <c r="EK63" s="10">
        <v>55</v>
      </c>
      <c r="EL63" s="10">
        <v>50</v>
      </c>
      <c r="EM63" s="10"/>
      <c r="EN63" s="10" t="s">
        <v>1309</v>
      </c>
      <c r="EO63" s="10"/>
      <c r="EP63" s="10"/>
      <c r="EQ63" s="10"/>
      <c r="ER63" s="10"/>
      <c r="ES63" s="10"/>
      <c r="ET63" s="10"/>
      <c r="EU63" s="10"/>
      <c r="EV63" s="10"/>
      <c r="EW63" s="10"/>
      <c r="EX63" s="10"/>
      <c r="EY63" s="10"/>
      <c r="EZ63" s="10"/>
      <c r="FA63" s="10"/>
      <c r="FB63" s="10"/>
    </row>
    <row r="64" spans="1:158" ht="24.95" customHeight="1">
      <c r="D64" s="2">
        <v>7</v>
      </c>
      <c r="E64" s="7">
        <v>47</v>
      </c>
      <c r="F64" s="9" t="s">
        <v>97</v>
      </c>
      <c r="G64" s="155">
        <v>4300</v>
      </c>
      <c r="H64" s="16"/>
      <c r="I64" s="76">
        <f>VLOOKUP(G64,Licenses!B:K,10,FALSE)</f>
        <v>0</v>
      </c>
      <c r="J64" s="16"/>
      <c r="K64" s="16"/>
      <c r="BC64" s="10"/>
      <c r="BD64" s="10"/>
      <c r="BE64" s="10"/>
      <c r="BF64" s="10"/>
      <c r="BG64" s="10"/>
      <c r="BH64" s="10"/>
      <c r="DL64" s="10"/>
      <c r="DM64" s="10"/>
      <c r="DN64" s="10"/>
      <c r="DO64" s="10"/>
      <c r="DP64" s="10"/>
      <c r="DQ64" s="10"/>
      <c r="DR64" s="10"/>
      <c r="DS64" s="10"/>
      <c r="DT64" s="10"/>
      <c r="DU64" s="10"/>
      <c r="DV64" s="10"/>
      <c r="DW64" s="10"/>
      <c r="DX64" s="10"/>
      <c r="DY64" s="10"/>
      <c r="DZ64" s="10"/>
      <c r="EA64" s="10"/>
      <c r="EB64" s="10"/>
      <c r="EC64" s="10"/>
      <c r="ED64" s="10"/>
      <c r="EE64" s="10"/>
      <c r="EF64" s="1" t="str">
        <f t="shared" si="93"/>
        <v>2LM</v>
      </c>
      <c r="EG64" s="1">
        <v>63</v>
      </c>
      <c r="EH64" s="1" t="str">
        <f t="shared" si="92"/>
        <v>Emmental 4</v>
      </c>
      <c r="EI64" s="1" t="str">
        <f t="shared" si="92"/>
        <v>3800</v>
      </c>
      <c r="EJ64" s="10"/>
      <c r="EK64" s="10">
        <v>57</v>
      </c>
      <c r="EL64" s="10">
        <v>64</v>
      </c>
      <c r="EM64" s="10"/>
      <c r="EN64" s="10" t="s">
        <v>1310</v>
      </c>
      <c r="EO64" s="10"/>
      <c r="EP64" s="10"/>
      <c r="EQ64" s="10"/>
      <c r="ER64" s="10"/>
      <c r="ES64" s="10"/>
      <c r="ET64" s="10"/>
      <c r="EU64" s="10"/>
      <c r="EV64" s="10"/>
      <c r="EW64" s="10"/>
      <c r="EX64" s="10"/>
      <c r="EY64" s="10"/>
      <c r="EZ64" s="10"/>
      <c r="FA64" s="10"/>
      <c r="FB64" s="10"/>
    </row>
    <row r="65" spans="4:158" ht="24.95" customHeight="1">
      <c r="D65" s="2">
        <v>8</v>
      </c>
      <c r="E65" s="7">
        <v>48</v>
      </c>
      <c r="F65" s="9" t="s">
        <v>1231</v>
      </c>
      <c r="G65" s="155">
        <v>3500</v>
      </c>
      <c r="H65" s="16"/>
      <c r="I65" s="76">
        <f>VLOOKUP(G65,Licenses!B:K,10,FALSE)</f>
        <v>0</v>
      </c>
      <c r="J65" s="16"/>
      <c r="K65" s="16"/>
      <c r="BC65" s="10"/>
      <c r="BD65" s="10"/>
      <c r="BE65" s="10"/>
      <c r="BF65" s="10"/>
      <c r="BG65" s="10"/>
      <c r="BH65" s="10"/>
      <c r="DL65" s="10"/>
      <c r="DM65" s="10"/>
      <c r="DN65" s="10"/>
      <c r="DO65" s="10"/>
      <c r="DP65" s="10"/>
      <c r="DQ65" s="10"/>
      <c r="DR65" s="10"/>
      <c r="DS65" s="10"/>
      <c r="DT65" s="10"/>
      <c r="DU65" s="10"/>
      <c r="DV65" s="10"/>
      <c r="DW65" s="10"/>
      <c r="DX65" s="10"/>
      <c r="DY65" s="10"/>
      <c r="DZ65" s="10"/>
      <c r="EA65" s="10"/>
      <c r="EB65" s="10"/>
      <c r="EC65" s="10"/>
      <c r="ED65" s="10"/>
      <c r="EE65" s="10"/>
      <c r="EF65" s="1" t="str">
        <f t="shared" si="93"/>
        <v>2LM</v>
      </c>
      <c r="EG65" s="1">
        <v>64</v>
      </c>
      <c r="EH65" s="1" t="str">
        <f t="shared" si="92"/>
        <v>Sense Steel 2</v>
      </c>
      <c r="EI65" s="1" t="str">
        <f t="shared" si="92"/>
        <v>2600</v>
      </c>
      <c r="EJ65" s="10"/>
      <c r="EK65" s="10">
        <v>59</v>
      </c>
      <c r="EL65" s="10">
        <v>58</v>
      </c>
      <c r="EM65" s="10"/>
      <c r="EN65" s="10" t="s">
        <v>1311</v>
      </c>
      <c r="EO65" s="10"/>
      <c r="EP65" s="10"/>
      <c r="EQ65" s="10"/>
      <c r="ER65" s="10"/>
      <c r="ES65" s="10"/>
      <c r="ET65" s="10"/>
      <c r="EU65" s="10"/>
      <c r="EV65" s="10"/>
      <c r="EW65" s="10"/>
      <c r="EX65" s="10"/>
      <c r="EY65" s="10"/>
      <c r="EZ65" s="10"/>
      <c r="FA65" s="10"/>
      <c r="FB65" s="10"/>
    </row>
    <row r="66" spans="4:158" ht="24.95" customHeight="1">
      <c r="E66" s="20"/>
      <c r="BC66" s="10"/>
      <c r="BD66" s="10"/>
      <c r="BE66" s="10"/>
      <c r="BF66" s="10"/>
      <c r="BG66" s="10"/>
      <c r="BH66" s="10"/>
      <c r="DL66" s="10"/>
      <c r="DM66" s="10"/>
      <c r="DN66" s="10"/>
      <c r="DO66" s="10"/>
      <c r="DP66" s="10"/>
      <c r="DQ66" s="10"/>
      <c r="DR66" s="10"/>
      <c r="DS66" s="10"/>
      <c r="DT66" s="10"/>
      <c r="DU66" s="10"/>
      <c r="DV66" s="10"/>
      <c r="DW66" s="10"/>
      <c r="DX66" s="10"/>
      <c r="DY66" s="10"/>
      <c r="DZ66" s="10"/>
      <c r="EA66" s="10"/>
      <c r="EB66" s="10"/>
      <c r="EC66" s="10"/>
      <c r="ED66" s="10"/>
      <c r="EE66" s="10"/>
      <c r="EF66" s="10"/>
      <c r="EG66" s="10"/>
      <c r="EH66" s="10"/>
      <c r="EI66" s="10"/>
      <c r="EJ66" s="10"/>
      <c r="EK66" s="10">
        <v>61</v>
      </c>
      <c r="EL66" s="10">
        <v>60</v>
      </c>
      <c r="EM66" s="10"/>
      <c r="EN66" s="10" t="s">
        <v>1312</v>
      </c>
      <c r="EO66" s="10"/>
      <c r="EP66" s="10"/>
      <c r="EQ66" s="10"/>
      <c r="ER66" s="10"/>
      <c r="ES66" s="10"/>
      <c r="ET66" s="10"/>
      <c r="EU66" s="10"/>
      <c r="EV66" s="10"/>
      <c r="EW66" s="10"/>
      <c r="EX66" s="10"/>
      <c r="EY66" s="10"/>
      <c r="EZ66" s="10"/>
      <c r="FA66" s="10"/>
      <c r="FB66" s="10"/>
    </row>
    <row r="67" spans="4:158" ht="24.95" customHeight="1">
      <c r="E67" s="1" t="s">
        <v>1238</v>
      </c>
      <c r="F67" s="1">
        <v>7</v>
      </c>
      <c r="G67" s="1" t="s">
        <v>1978</v>
      </c>
      <c r="BC67" s="10"/>
      <c r="BD67" s="10"/>
      <c r="BE67" s="10"/>
      <c r="BF67" s="10"/>
      <c r="BG67" s="10"/>
      <c r="BH67" s="10"/>
      <c r="DL67" s="10"/>
      <c r="DM67" s="10"/>
      <c r="DN67" s="10"/>
      <c r="DO67" s="10"/>
      <c r="DP67" s="10"/>
      <c r="DQ67" s="10"/>
      <c r="DR67" s="10"/>
      <c r="DS67" s="10"/>
      <c r="DT67" s="10"/>
      <c r="DU67" s="10"/>
      <c r="DV67" s="10"/>
      <c r="DW67" s="10"/>
      <c r="DX67" s="10"/>
      <c r="DY67" s="10"/>
      <c r="DZ67" s="10"/>
      <c r="EA67" s="10"/>
      <c r="EB67" s="10"/>
      <c r="EC67" s="10"/>
      <c r="ED67" s="10"/>
      <c r="EE67" s="10"/>
      <c r="EF67" s="10"/>
      <c r="EG67" s="10"/>
      <c r="EH67" s="10"/>
      <c r="EI67" s="10"/>
      <c r="EJ67" s="10"/>
      <c r="EK67" s="10">
        <v>63</v>
      </c>
      <c r="EL67" s="10">
        <v>62</v>
      </c>
      <c r="EM67" s="10"/>
      <c r="EN67" s="10" t="s">
        <v>1313</v>
      </c>
      <c r="EO67" s="10"/>
      <c r="EP67" s="10"/>
      <c r="EQ67" s="10"/>
      <c r="ER67" s="10"/>
      <c r="ES67" s="10"/>
      <c r="ET67" s="10"/>
      <c r="EU67" s="10"/>
      <c r="EV67" s="10"/>
      <c r="EW67" s="10"/>
      <c r="EX67" s="10"/>
      <c r="EY67" s="10"/>
      <c r="EZ67" s="10"/>
      <c r="FA67" s="10"/>
      <c r="FB67" s="10"/>
    </row>
    <row r="68" spans="4:158" ht="24.95" customHeight="1">
      <c r="E68" s="1" t="s">
        <v>1237</v>
      </c>
      <c r="F68" s="1" t="s">
        <v>13</v>
      </c>
      <c r="G68" s="1" t="s">
        <v>14</v>
      </c>
      <c r="BC68" s="10"/>
      <c r="BD68" s="10"/>
      <c r="BE68" s="10"/>
      <c r="BF68" s="10"/>
      <c r="BG68" s="10"/>
      <c r="BH68" s="10"/>
      <c r="DL68" s="10"/>
      <c r="DM68" s="10"/>
      <c r="DN68" s="10"/>
      <c r="DO68" s="10"/>
      <c r="DP68" s="10"/>
      <c r="DQ68" s="10"/>
      <c r="DR68" s="10"/>
      <c r="DS68" s="10"/>
      <c r="DT68" s="10"/>
      <c r="DU68" s="10"/>
      <c r="DV68" s="10"/>
      <c r="DW68" s="10"/>
      <c r="DX68" s="10"/>
      <c r="DY68" s="10"/>
      <c r="DZ68" s="10"/>
      <c r="EA68" s="10"/>
      <c r="EB68" s="10"/>
      <c r="EC68" s="10"/>
      <c r="ED68" s="10"/>
      <c r="EE68" s="10"/>
      <c r="EF68" s="10"/>
      <c r="EG68" s="10"/>
      <c r="EH68" s="10"/>
      <c r="EI68" s="10"/>
      <c r="EJ68" s="10"/>
      <c r="EK68" s="10">
        <v>6</v>
      </c>
      <c r="EL68" s="10">
        <v>1</v>
      </c>
      <c r="EM68" s="10" t="s">
        <v>89</v>
      </c>
      <c r="EN68" s="10" t="s">
        <v>90</v>
      </c>
      <c r="EO68" s="10"/>
      <c r="EP68" s="10"/>
      <c r="EQ68" s="10"/>
      <c r="ER68" s="10"/>
      <c r="ES68" s="10"/>
      <c r="ET68" s="10"/>
      <c r="EU68" s="10"/>
      <c r="EV68" s="10"/>
      <c r="EW68" s="10"/>
      <c r="EX68" s="10"/>
      <c r="EY68" s="10"/>
      <c r="EZ68" s="10"/>
      <c r="FA68" s="10"/>
      <c r="FB68" s="10"/>
    </row>
    <row r="69" spans="4:158" ht="24.95" customHeight="1">
      <c r="D69" s="2">
        <v>1</v>
      </c>
      <c r="E69" s="7">
        <v>49</v>
      </c>
      <c r="F69" s="9" t="s">
        <v>85</v>
      </c>
      <c r="G69" s="155">
        <v>400</v>
      </c>
      <c r="H69" s="16"/>
      <c r="I69" s="76">
        <f>VLOOKUP(G69,Licenses!B:K,10,FALSE)</f>
        <v>0</v>
      </c>
      <c r="J69" s="16"/>
      <c r="K69" s="16"/>
      <c r="BC69" s="10"/>
      <c r="BD69" s="10"/>
      <c r="BE69" s="10"/>
      <c r="BF69" s="10"/>
      <c r="BG69" s="10"/>
      <c r="BH69" s="10"/>
      <c r="DL69" s="10"/>
      <c r="DM69" s="10"/>
      <c r="DN69" s="10"/>
      <c r="DO69" s="10"/>
      <c r="DP69" s="10"/>
      <c r="DQ69" s="10"/>
      <c r="DR69" s="10"/>
      <c r="DS69" s="10"/>
      <c r="DT69" s="10"/>
      <c r="DU69" s="10"/>
      <c r="DV69" s="10"/>
      <c r="DW69" s="10"/>
      <c r="DX69" s="10"/>
      <c r="DY69" s="10"/>
      <c r="DZ69" s="10"/>
      <c r="EA69" s="10"/>
      <c r="EB69" s="10"/>
      <c r="EC69" s="10"/>
      <c r="ED69" s="10"/>
      <c r="EE69" s="10"/>
      <c r="EF69" s="10"/>
      <c r="EG69" s="10"/>
      <c r="EH69" s="10"/>
      <c r="EI69" s="10"/>
      <c r="EJ69" s="10"/>
      <c r="EK69" s="10">
        <v>8</v>
      </c>
      <c r="EL69" s="10">
        <v>3</v>
      </c>
      <c r="EM69" s="10"/>
      <c r="EN69" s="10" t="s">
        <v>92</v>
      </c>
      <c r="EO69" s="10"/>
      <c r="EP69" s="10"/>
      <c r="EQ69" s="10"/>
      <c r="ER69" s="10"/>
      <c r="ES69" s="10"/>
      <c r="ET69" s="10"/>
      <c r="EU69" s="10"/>
      <c r="EV69" s="10"/>
      <c r="EW69" s="10"/>
      <c r="EX69" s="10"/>
      <c r="EY69" s="10"/>
      <c r="EZ69" s="10"/>
      <c r="FA69" s="10"/>
      <c r="FB69" s="10"/>
    </row>
    <row r="70" spans="4:158" ht="24.95" customHeight="1">
      <c r="D70" s="2">
        <v>2</v>
      </c>
      <c r="E70" s="7">
        <v>50</v>
      </c>
      <c r="F70" s="9" t="s">
        <v>80</v>
      </c>
      <c r="G70" s="155">
        <v>4300</v>
      </c>
      <c r="H70" s="16"/>
      <c r="I70" s="76">
        <f>VLOOKUP(G70,Licenses!B:K,10,FALSE)</f>
        <v>0</v>
      </c>
      <c r="J70" s="16"/>
      <c r="K70" s="16"/>
      <c r="BC70" s="10"/>
      <c r="BD70" s="10"/>
      <c r="BE70" s="10"/>
      <c r="BF70" s="10"/>
      <c r="BG70" s="10"/>
      <c r="BH70" s="10"/>
      <c r="DL70" s="10"/>
      <c r="DM70" s="10"/>
      <c r="DN70" s="10"/>
      <c r="DO70" s="10"/>
      <c r="DP70" s="10"/>
      <c r="DQ70" s="10"/>
      <c r="DR70" s="10"/>
      <c r="DS70" s="10"/>
      <c r="DT70" s="10"/>
      <c r="DU70" s="10"/>
      <c r="DV70" s="10"/>
      <c r="DW70" s="10"/>
      <c r="DX70" s="10"/>
      <c r="DY70" s="10"/>
      <c r="DZ70" s="10"/>
      <c r="EA70" s="10"/>
      <c r="EB70" s="10"/>
      <c r="EC70" s="10"/>
      <c r="ED70" s="10"/>
      <c r="EE70" s="10"/>
      <c r="EF70" s="10"/>
      <c r="EG70" s="10"/>
      <c r="EH70" s="10"/>
      <c r="EI70" s="10"/>
      <c r="EJ70" s="10"/>
      <c r="EK70" s="10">
        <v>2</v>
      </c>
      <c r="EL70" s="10">
        <v>5</v>
      </c>
      <c r="EM70" s="10"/>
      <c r="EN70" s="10" t="s">
        <v>94</v>
      </c>
      <c r="EO70" s="10"/>
      <c r="EP70" s="10"/>
      <c r="EQ70" s="10"/>
      <c r="ER70" s="10"/>
      <c r="ES70" s="10"/>
      <c r="ET70" s="10"/>
      <c r="EU70" s="10"/>
      <c r="EV70" s="10"/>
      <c r="EW70" s="10"/>
      <c r="EX70" s="10"/>
      <c r="EY70" s="10"/>
      <c r="EZ70" s="10"/>
      <c r="FA70" s="10"/>
      <c r="FB70" s="10"/>
    </row>
    <row r="71" spans="4:158" ht="24.95" customHeight="1">
      <c r="D71" s="2">
        <v>3</v>
      </c>
      <c r="E71" s="7">
        <v>51</v>
      </c>
      <c r="F71" s="9" t="s">
        <v>1232</v>
      </c>
      <c r="G71" s="155">
        <v>3800</v>
      </c>
      <c r="H71" s="16"/>
      <c r="I71" s="76">
        <f>VLOOKUP(G71,Licenses!B:K,10,FALSE)</f>
        <v>0</v>
      </c>
      <c r="J71" s="16"/>
      <c r="K71" s="16"/>
      <c r="BC71" s="10"/>
      <c r="BD71" s="10"/>
      <c r="BE71" s="10"/>
      <c r="BF71" s="10"/>
      <c r="BG71" s="10"/>
      <c r="BH71" s="10"/>
      <c r="DL71" s="10"/>
      <c r="DM71" s="10"/>
      <c r="DN71" s="10"/>
      <c r="DO71" s="10"/>
      <c r="DP71" s="10"/>
      <c r="DQ71" s="10"/>
      <c r="DR71" s="10"/>
      <c r="DS71" s="10"/>
      <c r="DT71" s="10"/>
      <c r="DU71" s="10"/>
      <c r="DV71" s="10"/>
      <c r="DW71" s="10"/>
      <c r="DX71" s="10"/>
      <c r="DY71" s="10"/>
      <c r="DZ71" s="10"/>
      <c r="EA71" s="10"/>
      <c r="EB71" s="10"/>
      <c r="EC71" s="10"/>
      <c r="ED71" s="10"/>
      <c r="EE71" s="10"/>
      <c r="EF71" s="10"/>
      <c r="EG71" s="10"/>
      <c r="EH71" s="10"/>
      <c r="EI71" s="10"/>
      <c r="EJ71" s="10"/>
      <c r="EK71" s="10">
        <v>4</v>
      </c>
      <c r="EL71" s="10">
        <v>7</v>
      </c>
      <c r="EM71" s="10"/>
      <c r="EN71" s="10" t="s">
        <v>95</v>
      </c>
      <c r="EO71" s="10"/>
      <c r="EP71" s="10"/>
      <c r="EQ71" s="10"/>
      <c r="ER71" s="10"/>
      <c r="ES71" s="10"/>
      <c r="ET71" s="10"/>
      <c r="EU71" s="10"/>
      <c r="EV71" s="10"/>
      <c r="EW71" s="10"/>
      <c r="EX71" s="10"/>
      <c r="EY71" s="10"/>
      <c r="EZ71" s="10"/>
      <c r="FA71" s="10"/>
      <c r="FB71" s="10"/>
    </row>
    <row r="72" spans="4:158" ht="24.95" customHeight="1">
      <c r="D72" s="2">
        <v>4</v>
      </c>
      <c r="E72" s="7">
        <v>52</v>
      </c>
      <c r="F72" s="9" t="s">
        <v>1233</v>
      </c>
      <c r="G72" s="155">
        <v>100</v>
      </c>
      <c r="H72" s="16"/>
      <c r="I72" s="76" t="e">
        <f>VLOOKUP(G72,Licenses!B:K,10,FALSE)</f>
        <v>#N/A</v>
      </c>
      <c r="J72" s="16"/>
      <c r="K72" s="16"/>
      <c r="BC72" s="10"/>
      <c r="BD72" s="10"/>
      <c r="BE72" s="10"/>
      <c r="BF72" s="10"/>
      <c r="BG72" s="10"/>
      <c r="BH72" s="10"/>
      <c r="DL72" s="10"/>
      <c r="DM72" s="10"/>
      <c r="DN72" s="10"/>
      <c r="DO72" s="10"/>
      <c r="DP72" s="10"/>
      <c r="DQ72" s="10"/>
      <c r="DR72" s="10"/>
      <c r="DS72" s="10"/>
      <c r="DT72" s="10"/>
      <c r="DU72" s="10"/>
      <c r="DV72" s="10"/>
      <c r="DW72" s="10"/>
      <c r="DX72" s="10"/>
      <c r="DY72" s="10"/>
      <c r="DZ72" s="10"/>
      <c r="EA72" s="10"/>
      <c r="EB72" s="10"/>
      <c r="EC72" s="10"/>
      <c r="ED72" s="10"/>
      <c r="EE72" s="10"/>
      <c r="EF72" s="10"/>
      <c r="EG72" s="10"/>
      <c r="EH72" s="10"/>
      <c r="EI72" s="10"/>
      <c r="EJ72" s="10"/>
      <c r="EK72" s="10">
        <v>14</v>
      </c>
      <c r="EL72" s="10">
        <v>9</v>
      </c>
      <c r="EM72" s="10"/>
      <c r="EN72" s="10" t="s">
        <v>1314</v>
      </c>
      <c r="EO72" s="10"/>
      <c r="EP72" s="10"/>
      <c r="EQ72" s="10"/>
      <c r="ER72" s="10"/>
      <c r="ES72" s="10"/>
      <c r="ET72" s="10"/>
      <c r="EU72" s="10"/>
      <c r="EV72" s="10"/>
      <c r="EW72" s="10"/>
      <c r="EX72" s="10"/>
      <c r="EY72" s="10"/>
      <c r="EZ72" s="10"/>
      <c r="FA72" s="10"/>
      <c r="FB72" s="10"/>
    </row>
    <row r="73" spans="4:158" ht="24.95" customHeight="1">
      <c r="D73" s="2">
        <v>5</v>
      </c>
      <c r="E73" s="7">
        <v>53</v>
      </c>
      <c r="F73" s="9" t="s">
        <v>1234</v>
      </c>
      <c r="G73" s="155">
        <v>4000</v>
      </c>
      <c r="H73" s="16"/>
      <c r="I73" s="76">
        <f>VLOOKUP(G73,Licenses!B:K,10,FALSE)</f>
        <v>0</v>
      </c>
      <c r="J73" s="16"/>
      <c r="K73" s="16"/>
      <c r="BC73" s="10"/>
      <c r="BD73" s="10"/>
      <c r="BE73" s="10"/>
      <c r="BF73" s="10"/>
      <c r="BG73" s="10"/>
      <c r="BH73" s="10"/>
      <c r="DL73" s="10"/>
      <c r="DM73" s="10"/>
      <c r="DN73" s="10"/>
      <c r="DO73" s="10"/>
      <c r="DP73" s="10"/>
      <c r="DQ73" s="10"/>
      <c r="DR73" s="10"/>
      <c r="DS73" s="10"/>
      <c r="DT73" s="10"/>
      <c r="DU73" s="10"/>
      <c r="DV73" s="10"/>
      <c r="DW73" s="10"/>
      <c r="DX73" s="10"/>
      <c r="DY73" s="10"/>
      <c r="DZ73" s="10"/>
      <c r="EA73" s="10"/>
      <c r="EB73" s="10"/>
      <c r="EC73" s="10"/>
      <c r="ED73" s="10"/>
      <c r="EE73" s="10"/>
      <c r="EF73" s="10"/>
      <c r="EG73" s="10"/>
      <c r="EH73" s="10"/>
      <c r="EI73" s="10"/>
      <c r="EJ73" s="10"/>
      <c r="EK73" s="10">
        <v>16</v>
      </c>
      <c r="EL73" s="10">
        <v>11</v>
      </c>
      <c r="EM73" s="10"/>
      <c r="EN73" s="10" t="s">
        <v>1315</v>
      </c>
      <c r="EO73" s="10"/>
      <c r="EP73" s="10"/>
      <c r="EQ73" s="10"/>
      <c r="ER73" s="10"/>
      <c r="ES73" s="10"/>
      <c r="ET73" s="10"/>
      <c r="EU73" s="10"/>
      <c r="EV73" s="10"/>
      <c r="EW73" s="10"/>
      <c r="EX73" s="10"/>
      <c r="EY73" s="10"/>
      <c r="EZ73" s="10"/>
      <c r="FA73" s="10"/>
      <c r="FB73" s="10"/>
    </row>
    <row r="74" spans="4:158" ht="24.95" customHeight="1">
      <c r="D74" s="2">
        <v>6</v>
      </c>
      <c r="E74" s="7">
        <v>54</v>
      </c>
      <c r="F74" s="9" t="s">
        <v>88</v>
      </c>
      <c r="G74" s="155">
        <v>3200</v>
      </c>
      <c r="H74" s="16"/>
      <c r="I74" s="76">
        <f>VLOOKUP(G74,Licenses!B:K,10,FALSE)</f>
        <v>0</v>
      </c>
      <c r="J74" s="16"/>
      <c r="K74" s="16"/>
      <c r="BC74" s="10"/>
      <c r="BD74" s="10"/>
      <c r="BE74" s="10"/>
      <c r="BF74" s="10"/>
      <c r="BG74" s="10"/>
      <c r="BH74" s="10"/>
      <c r="DL74" s="10"/>
      <c r="DM74" s="10"/>
      <c r="DN74" s="10"/>
      <c r="DO74" s="10"/>
      <c r="DP74" s="10"/>
      <c r="DQ74" s="10"/>
      <c r="DR74" s="10"/>
      <c r="DS74" s="10"/>
      <c r="DT74" s="10"/>
      <c r="DU74" s="10"/>
      <c r="DV74" s="10"/>
      <c r="DW74" s="10"/>
      <c r="DX74" s="10"/>
      <c r="DY74" s="10"/>
      <c r="DZ74" s="10"/>
      <c r="EA74" s="10"/>
      <c r="EB74" s="10"/>
      <c r="EC74" s="10"/>
      <c r="ED74" s="10"/>
      <c r="EE74" s="10"/>
      <c r="EF74" s="10"/>
      <c r="EG74" s="10"/>
      <c r="EH74" s="10"/>
      <c r="EI74" s="10"/>
      <c r="EJ74" s="10"/>
      <c r="EK74" s="10">
        <v>10</v>
      </c>
      <c r="EL74" s="10">
        <v>13</v>
      </c>
      <c r="EM74" s="10"/>
      <c r="EN74" s="10" t="s">
        <v>1316</v>
      </c>
      <c r="EO74" s="10"/>
      <c r="EP74" s="10"/>
      <c r="EQ74" s="10"/>
      <c r="ER74" s="10"/>
      <c r="ES74" s="10"/>
      <c r="ET74" s="10"/>
      <c r="EU74" s="10"/>
      <c r="EV74" s="10"/>
      <c r="EW74" s="10"/>
      <c r="EX74" s="10"/>
      <c r="EY74" s="10"/>
      <c r="EZ74" s="10"/>
      <c r="FA74" s="10"/>
      <c r="FB74" s="10"/>
    </row>
    <row r="75" spans="4:158" ht="24.95" customHeight="1">
      <c r="D75" s="2">
        <v>7</v>
      </c>
      <c r="E75" s="7">
        <v>55</v>
      </c>
      <c r="F75" s="9" t="s">
        <v>1235</v>
      </c>
      <c r="G75" s="155">
        <v>4600</v>
      </c>
      <c r="H75" s="16"/>
      <c r="I75" s="76">
        <f>VLOOKUP(G75,Licenses!B:K,10,FALSE)</f>
        <v>0</v>
      </c>
      <c r="J75" s="16"/>
      <c r="K75" s="16"/>
      <c r="BC75" s="10"/>
      <c r="BD75" s="10"/>
      <c r="BE75" s="10"/>
      <c r="BF75" s="10"/>
      <c r="BG75" s="10"/>
      <c r="BH75" s="10"/>
      <c r="DL75" s="10"/>
      <c r="DM75" s="10"/>
      <c r="DN75" s="10"/>
      <c r="DO75" s="10"/>
      <c r="DP75" s="10"/>
      <c r="DQ75" s="10"/>
      <c r="DR75" s="10"/>
      <c r="DS75" s="10"/>
      <c r="DT75" s="10"/>
      <c r="DU75" s="10"/>
      <c r="DV75" s="10"/>
      <c r="DW75" s="10"/>
      <c r="DX75" s="10"/>
      <c r="DY75" s="10"/>
      <c r="DZ75" s="10"/>
      <c r="EA75" s="10"/>
      <c r="EB75" s="10"/>
      <c r="EC75" s="10"/>
      <c r="ED75" s="10"/>
      <c r="EE75" s="10"/>
      <c r="EF75" s="10"/>
      <c r="EG75" s="10"/>
      <c r="EH75" s="10"/>
      <c r="EI75" s="10"/>
      <c r="EJ75" s="10"/>
      <c r="EK75" s="10">
        <v>12</v>
      </c>
      <c r="EL75" s="10">
        <v>15</v>
      </c>
      <c r="EM75" s="10"/>
      <c r="EN75" s="10" t="s">
        <v>1317</v>
      </c>
      <c r="EO75" s="10"/>
      <c r="EP75" s="10"/>
      <c r="EQ75" s="10"/>
      <c r="ER75" s="10"/>
      <c r="ES75" s="10"/>
      <c r="ET75" s="10"/>
      <c r="EU75" s="10"/>
      <c r="EV75" s="10"/>
      <c r="EW75" s="10"/>
      <c r="EX75" s="10"/>
      <c r="EY75" s="10"/>
      <c r="EZ75" s="10"/>
      <c r="FA75" s="10"/>
      <c r="FB75" s="10"/>
    </row>
    <row r="76" spans="4:158" ht="24.95" customHeight="1">
      <c r="D76" s="2">
        <v>8</v>
      </c>
      <c r="E76" s="7">
        <v>56</v>
      </c>
      <c r="F76" s="9" t="s">
        <v>1236</v>
      </c>
      <c r="G76" s="155">
        <v>1800</v>
      </c>
      <c r="H76" s="16"/>
      <c r="I76" s="76">
        <f>VLOOKUP(G76,Licenses!B:K,10,FALSE)</f>
        <v>0</v>
      </c>
      <c r="J76" s="16"/>
      <c r="K76" s="16"/>
      <c r="BC76" s="10"/>
      <c r="BD76" s="10"/>
      <c r="BE76" s="10"/>
      <c r="BF76" s="10"/>
      <c r="BG76" s="10"/>
      <c r="BH76" s="10"/>
      <c r="DL76" s="10"/>
      <c r="DM76" s="10"/>
      <c r="DN76" s="10"/>
      <c r="DO76" s="10"/>
      <c r="DP76" s="10"/>
      <c r="DQ76" s="10"/>
      <c r="DR76" s="10"/>
      <c r="DS76" s="10"/>
      <c r="DT76" s="10"/>
      <c r="DU76" s="10"/>
      <c r="DV76" s="10"/>
      <c r="DW76" s="10"/>
      <c r="DX76" s="10"/>
      <c r="DY76" s="10"/>
      <c r="DZ76" s="10"/>
      <c r="EA76" s="10"/>
      <c r="EB76" s="10"/>
      <c r="EC76" s="10"/>
      <c r="ED76" s="10"/>
      <c r="EE76" s="10"/>
      <c r="EF76" s="10"/>
      <c r="EG76" s="10"/>
      <c r="EH76" s="10"/>
      <c r="EI76" s="10"/>
      <c r="EJ76" s="10"/>
      <c r="EK76" s="10">
        <v>22</v>
      </c>
      <c r="EL76" s="10">
        <v>17</v>
      </c>
      <c r="EM76" s="10"/>
      <c r="EN76" s="10" t="s">
        <v>1318</v>
      </c>
      <c r="EO76" s="10"/>
      <c r="EP76" s="10"/>
      <c r="EQ76" s="10"/>
      <c r="ER76" s="10"/>
      <c r="ES76" s="10"/>
      <c r="ET76" s="10"/>
      <c r="EU76" s="10"/>
      <c r="EV76" s="10"/>
      <c r="EW76" s="10"/>
      <c r="EX76" s="10"/>
      <c r="EY76" s="10"/>
      <c r="EZ76" s="10"/>
      <c r="FA76" s="10"/>
      <c r="FB76" s="10"/>
    </row>
    <row r="77" spans="4:158" ht="24.95" customHeight="1">
      <c r="E77" s="20"/>
      <c r="H77" s="16"/>
      <c r="I77" s="16"/>
      <c r="J77" s="16"/>
      <c r="K77" s="16"/>
      <c r="BC77" s="10"/>
      <c r="BD77" s="10"/>
      <c r="BE77" s="10"/>
      <c r="BF77" s="10"/>
      <c r="BG77" s="10"/>
      <c r="BH77" s="10"/>
      <c r="DL77" s="10"/>
      <c r="DM77" s="10"/>
      <c r="DN77" s="10"/>
      <c r="DO77" s="10"/>
      <c r="DP77" s="10"/>
      <c r="DQ77" s="10"/>
      <c r="DR77" s="10"/>
      <c r="DS77" s="10"/>
      <c r="DT77" s="10"/>
      <c r="DU77" s="10"/>
      <c r="DV77" s="10"/>
      <c r="DW77" s="10"/>
      <c r="DX77" s="10"/>
      <c r="DY77" s="10"/>
      <c r="DZ77" s="10"/>
      <c r="EA77" s="10"/>
      <c r="EB77" s="10"/>
      <c r="EC77" s="10"/>
      <c r="ED77" s="10"/>
      <c r="EE77" s="10"/>
      <c r="EF77" s="10"/>
      <c r="EG77" s="10"/>
      <c r="EH77" s="10"/>
      <c r="EI77" s="10"/>
      <c r="EJ77" s="10"/>
      <c r="EK77" s="10">
        <v>24</v>
      </c>
      <c r="EL77" s="10">
        <v>19</v>
      </c>
      <c r="EM77" s="10"/>
      <c r="EN77" s="10" t="s">
        <v>1319</v>
      </c>
      <c r="EO77" s="10"/>
      <c r="EP77" s="10"/>
      <c r="EQ77" s="10"/>
      <c r="ER77" s="10"/>
      <c r="ES77" s="10"/>
      <c r="ET77" s="10"/>
      <c r="EU77" s="10"/>
      <c r="EV77" s="10"/>
      <c r="EW77" s="10"/>
      <c r="EX77" s="10"/>
      <c r="EY77" s="10"/>
      <c r="EZ77" s="10"/>
      <c r="FA77" s="10"/>
      <c r="FB77" s="10"/>
    </row>
    <row r="78" spans="4:158" ht="24.95" customHeight="1">
      <c r="E78" s="1" t="s">
        <v>839</v>
      </c>
      <c r="F78" s="1">
        <v>8</v>
      </c>
      <c r="G78" s="1" t="s">
        <v>1976</v>
      </c>
      <c r="BC78" s="10"/>
      <c r="BD78" s="10"/>
      <c r="BE78" s="10"/>
      <c r="BF78" s="10"/>
      <c r="BG78" s="10"/>
      <c r="BH78" s="10"/>
      <c r="DL78" s="10"/>
      <c r="DM78" s="10"/>
      <c r="DN78" s="10"/>
      <c r="DO78" s="10"/>
      <c r="DP78" s="10"/>
      <c r="DQ78" s="10"/>
      <c r="DR78" s="10"/>
      <c r="DS78" s="10"/>
      <c r="DT78" s="10"/>
      <c r="DU78" s="10"/>
      <c r="DV78" s="10"/>
      <c r="DW78" s="10"/>
      <c r="DX78" s="10"/>
      <c r="DY78" s="10"/>
      <c r="DZ78" s="10"/>
      <c r="EA78" s="10"/>
      <c r="EB78" s="10"/>
      <c r="EC78" s="10"/>
      <c r="ED78" s="10"/>
      <c r="EE78" s="10"/>
      <c r="EF78" s="10"/>
      <c r="EG78" s="10"/>
      <c r="EH78" s="10"/>
      <c r="EI78" s="10"/>
      <c r="EJ78" s="10"/>
      <c r="EK78" s="10">
        <v>18</v>
      </c>
      <c r="EL78" s="10">
        <v>21</v>
      </c>
      <c r="EM78" s="10"/>
      <c r="EN78" s="10" t="s">
        <v>1320</v>
      </c>
      <c r="EO78" s="10"/>
      <c r="EP78" s="10"/>
      <c r="EQ78" s="10"/>
      <c r="ER78" s="10"/>
      <c r="ES78" s="10"/>
      <c r="ET78" s="10"/>
      <c r="EU78" s="10"/>
      <c r="EV78" s="10"/>
      <c r="EW78" s="10"/>
      <c r="EX78" s="10"/>
      <c r="EY78" s="10"/>
      <c r="EZ78" s="10"/>
      <c r="FA78" s="10"/>
      <c r="FB78" s="10"/>
    </row>
    <row r="79" spans="4:158" ht="24.95" customHeight="1">
      <c r="E79" s="1" t="s">
        <v>833</v>
      </c>
      <c r="F79" s="1" t="s">
        <v>13</v>
      </c>
      <c r="G79" s="1" t="s">
        <v>14</v>
      </c>
      <c r="BC79" s="10"/>
      <c r="BD79" s="10"/>
      <c r="BE79" s="10"/>
      <c r="BF79" s="10"/>
      <c r="BG79" s="10"/>
      <c r="BH79" s="10"/>
      <c r="DL79" s="10"/>
      <c r="DM79" s="10"/>
      <c r="DN79" s="10"/>
      <c r="DO79" s="10"/>
      <c r="DP79" s="10"/>
      <c r="DQ79" s="10"/>
      <c r="DR79" s="10"/>
      <c r="DS79" s="10"/>
      <c r="DT79" s="10"/>
      <c r="DU79" s="10"/>
      <c r="DV79" s="10"/>
      <c r="DW79" s="10"/>
      <c r="DX79" s="10"/>
      <c r="DY79" s="10"/>
      <c r="DZ79" s="10"/>
      <c r="EA79" s="10"/>
      <c r="EB79" s="10"/>
      <c r="EC79" s="10"/>
      <c r="ED79" s="10"/>
      <c r="EE79" s="10"/>
      <c r="EK79" s="10">
        <v>20</v>
      </c>
      <c r="EL79" s="10">
        <v>23</v>
      </c>
      <c r="EM79" s="10"/>
      <c r="EN79" s="1" t="s">
        <v>1321</v>
      </c>
    </row>
    <row r="80" spans="4:158" ht="24.95" customHeight="1">
      <c r="D80" s="2">
        <v>1</v>
      </c>
      <c r="E80" s="7">
        <v>57</v>
      </c>
      <c r="F80" s="9" t="s">
        <v>100</v>
      </c>
      <c r="G80" s="155">
        <v>3600</v>
      </c>
      <c r="H80" s="16"/>
      <c r="I80" s="76">
        <f>VLOOKUP(G80,Licenses!B:K,10,FALSE)</f>
        <v>0</v>
      </c>
      <c r="J80" s="16"/>
      <c r="K80" s="16"/>
      <c r="BC80" s="10"/>
      <c r="BD80" s="10"/>
      <c r="BE80" s="10"/>
      <c r="BF80" s="10"/>
      <c r="BG80" s="10"/>
      <c r="BH80" s="10"/>
      <c r="DL80" s="10"/>
      <c r="DM80" s="10"/>
      <c r="DN80" s="10"/>
      <c r="DO80" s="10"/>
      <c r="DP80" s="10"/>
      <c r="DQ80" s="10"/>
      <c r="DR80" s="10"/>
      <c r="DS80" s="10"/>
      <c r="DT80" s="10"/>
      <c r="DU80" s="10"/>
      <c r="DV80" s="10"/>
      <c r="DW80" s="10"/>
      <c r="DX80" s="10"/>
      <c r="DY80" s="10"/>
      <c r="DZ80" s="10"/>
      <c r="EA80" s="10"/>
      <c r="EB80" s="10"/>
      <c r="EC80" s="10"/>
      <c r="ED80" s="10"/>
      <c r="EE80" s="10"/>
      <c r="EK80" s="10">
        <v>30</v>
      </c>
      <c r="EL80" s="10">
        <v>25</v>
      </c>
      <c r="EM80" s="10"/>
      <c r="EN80" s="1" t="s">
        <v>1322</v>
      </c>
    </row>
    <row r="81" spans="4:144" ht="24.95" customHeight="1">
      <c r="D81" s="2">
        <v>2</v>
      </c>
      <c r="E81" s="7">
        <v>58</v>
      </c>
      <c r="F81" s="9" t="s">
        <v>101</v>
      </c>
      <c r="G81" s="155">
        <v>4600</v>
      </c>
      <c r="H81" s="16"/>
      <c r="I81" s="76">
        <f>VLOOKUP(G81,Licenses!B:K,10,FALSE)</f>
        <v>0</v>
      </c>
      <c r="J81" s="16"/>
      <c r="K81" s="16"/>
      <c r="BC81" s="10"/>
      <c r="BD81" s="10"/>
      <c r="BE81" s="10"/>
      <c r="BF81" s="10"/>
      <c r="BG81" s="10"/>
      <c r="BH81" s="10"/>
      <c r="DL81" s="10"/>
      <c r="DM81" s="10"/>
      <c r="DN81" s="10"/>
      <c r="DO81" s="10"/>
      <c r="DP81" s="10"/>
      <c r="DQ81" s="10"/>
      <c r="DR81" s="10"/>
      <c r="DS81" s="10"/>
      <c r="DT81" s="10"/>
      <c r="DU81" s="10"/>
      <c r="DV81" s="10"/>
      <c r="DW81" s="10"/>
      <c r="DX81" s="10"/>
      <c r="DY81" s="10"/>
      <c r="DZ81" s="10"/>
      <c r="EA81" s="10"/>
      <c r="EB81" s="10"/>
      <c r="EC81" s="10"/>
      <c r="ED81" s="10"/>
      <c r="EE81" s="10"/>
      <c r="EK81" s="10">
        <v>32</v>
      </c>
      <c r="EL81" s="10">
        <v>27</v>
      </c>
      <c r="EM81" s="10"/>
      <c r="EN81" s="1" t="s">
        <v>1323</v>
      </c>
    </row>
    <row r="82" spans="4:144" ht="24.95" customHeight="1">
      <c r="D82" s="2">
        <v>3</v>
      </c>
      <c r="E82" s="7">
        <v>59</v>
      </c>
      <c r="F82" s="9" t="s">
        <v>83</v>
      </c>
      <c r="G82" s="155">
        <v>500</v>
      </c>
      <c r="H82" s="16"/>
      <c r="I82" s="76">
        <f>VLOOKUP(G82,Licenses!B:K,10,FALSE)</f>
        <v>0</v>
      </c>
      <c r="J82" s="16"/>
      <c r="K82" s="16"/>
      <c r="BC82" s="10"/>
      <c r="BD82" s="10"/>
      <c r="BE82" s="10"/>
      <c r="BF82" s="10"/>
      <c r="BG82" s="10"/>
      <c r="BH82" s="10"/>
      <c r="DL82" s="10"/>
      <c r="DM82" s="10"/>
      <c r="DN82" s="10"/>
      <c r="DO82" s="10"/>
      <c r="DP82" s="10"/>
      <c r="DQ82" s="10"/>
      <c r="DR82" s="10"/>
      <c r="DS82" s="10"/>
      <c r="DT82" s="10"/>
      <c r="DU82" s="10"/>
      <c r="DV82" s="10"/>
      <c r="DW82" s="10"/>
      <c r="DX82" s="10"/>
      <c r="DY82" s="10"/>
      <c r="DZ82" s="10"/>
      <c r="EA82" s="10"/>
      <c r="EB82" s="10"/>
      <c r="EC82" s="10"/>
      <c r="ED82" s="10"/>
      <c r="EE82" s="10"/>
      <c r="EK82" s="10">
        <v>26</v>
      </c>
      <c r="EL82" s="10">
        <v>29</v>
      </c>
      <c r="EM82" s="10"/>
      <c r="EN82" s="1" t="s">
        <v>1324</v>
      </c>
    </row>
    <row r="83" spans="4:144" ht="24.95" customHeight="1">
      <c r="D83" s="2">
        <v>4</v>
      </c>
      <c r="E83" s="7">
        <v>60</v>
      </c>
      <c r="F83" s="9" t="s">
        <v>102</v>
      </c>
      <c r="G83" s="155">
        <v>900</v>
      </c>
      <c r="H83" s="16"/>
      <c r="I83" s="76">
        <f>VLOOKUP(G83,Licenses!B:K,10,FALSE)</f>
        <v>0</v>
      </c>
      <c r="J83" s="16"/>
      <c r="K83" s="16"/>
      <c r="BC83" s="10"/>
      <c r="BD83" s="10"/>
      <c r="BE83" s="10"/>
      <c r="BF83" s="10"/>
      <c r="BG83" s="10"/>
      <c r="BH83" s="10"/>
      <c r="DL83" s="10"/>
      <c r="DM83" s="10"/>
      <c r="DN83" s="10"/>
      <c r="DO83" s="10"/>
      <c r="DP83" s="10"/>
      <c r="DQ83" s="10"/>
      <c r="DR83" s="10"/>
      <c r="DS83" s="10"/>
      <c r="DT83" s="10"/>
      <c r="DU83" s="10"/>
      <c r="DV83" s="10"/>
      <c r="DW83" s="10"/>
      <c r="DX83" s="10"/>
      <c r="DY83" s="10"/>
      <c r="DZ83" s="10"/>
      <c r="EA83" s="10"/>
      <c r="EB83" s="10"/>
      <c r="EC83" s="10"/>
      <c r="ED83" s="10"/>
      <c r="EE83" s="10"/>
      <c r="EK83" s="10">
        <v>28</v>
      </c>
      <c r="EL83" s="10">
        <v>31</v>
      </c>
      <c r="EM83" s="10"/>
      <c r="EN83" s="1" t="s">
        <v>1325</v>
      </c>
    </row>
    <row r="84" spans="4:144" ht="24.95" customHeight="1">
      <c r="D84" s="2">
        <v>5</v>
      </c>
      <c r="E84" s="7">
        <v>61</v>
      </c>
      <c r="F84" s="9" t="s">
        <v>1239</v>
      </c>
      <c r="G84" s="155">
        <v>2300</v>
      </c>
      <c r="H84" s="16"/>
      <c r="I84" s="76">
        <f>VLOOKUP(G84,Licenses!B:K,10,FALSE)</f>
        <v>0</v>
      </c>
      <c r="J84" s="16"/>
      <c r="K84" s="16"/>
      <c r="BC84" s="10"/>
      <c r="BD84" s="10"/>
      <c r="BE84" s="10"/>
      <c r="BF84" s="10"/>
      <c r="BG84" s="10"/>
      <c r="BH84" s="10"/>
      <c r="DL84" s="10"/>
      <c r="DM84" s="10"/>
      <c r="DN84" s="10"/>
      <c r="DO84" s="10"/>
      <c r="DP84" s="10"/>
      <c r="DQ84" s="10"/>
      <c r="DR84" s="10"/>
      <c r="DS84" s="10"/>
      <c r="DT84" s="10"/>
      <c r="DU84" s="10"/>
      <c r="DV84" s="10"/>
      <c r="DW84" s="10"/>
      <c r="DX84" s="10"/>
      <c r="DY84" s="10"/>
      <c r="DZ84" s="10"/>
      <c r="EA84" s="10"/>
      <c r="EB84" s="10"/>
      <c r="EC84" s="10"/>
      <c r="ED84" s="10"/>
      <c r="EE84" s="10"/>
      <c r="EK84" s="10">
        <v>38</v>
      </c>
      <c r="EL84" s="10">
        <v>33</v>
      </c>
      <c r="EM84" s="10"/>
      <c r="EN84" s="1" t="s">
        <v>1326</v>
      </c>
    </row>
    <row r="85" spans="4:144" ht="24.95" customHeight="1">
      <c r="D85" s="2">
        <v>6</v>
      </c>
      <c r="E85" s="7">
        <v>62</v>
      </c>
      <c r="F85" s="9" t="s">
        <v>81</v>
      </c>
      <c r="G85" s="155">
        <v>3800</v>
      </c>
      <c r="H85" s="16"/>
      <c r="I85" s="76">
        <f>VLOOKUP(G85,Licenses!B:K,10,FALSE)</f>
        <v>0</v>
      </c>
      <c r="J85" s="16"/>
      <c r="K85" s="16"/>
      <c r="BC85" s="10"/>
      <c r="BD85" s="10"/>
      <c r="BE85" s="10"/>
      <c r="BF85" s="10"/>
      <c r="BG85" s="10"/>
      <c r="BH85" s="10"/>
      <c r="DL85" s="10"/>
      <c r="DM85" s="10"/>
      <c r="DN85" s="10"/>
      <c r="DO85" s="10"/>
      <c r="DP85" s="10"/>
      <c r="DQ85" s="10"/>
      <c r="DR85" s="10"/>
      <c r="DS85" s="10"/>
      <c r="DT85" s="10"/>
      <c r="DU85" s="10"/>
      <c r="DV85" s="10"/>
      <c r="DW85" s="10"/>
      <c r="DX85" s="10"/>
      <c r="DY85" s="10"/>
      <c r="DZ85" s="10"/>
      <c r="EA85" s="10"/>
      <c r="EB85" s="10"/>
      <c r="EC85" s="10"/>
      <c r="ED85" s="10"/>
      <c r="EE85" s="10"/>
      <c r="EK85" s="10">
        <v>40</v>
      </c>
      <c r="EL85" s="10">
        <v>35</v>
      </c>
      <c r="EM85" s="10"/>
      <c r="EN85" s="1" t="s">
        <v>1327</v>
      </c>
    </row>
    <row r="86" spans="4:144" ht="24.95" customHeight="1">
      <c r="D86" s="2">
        <v>7</v>
      </c>
      <c r="E86" s="7">
        <v>63</v>
      </c>
      <c r="F86" s="9" t="s">
        <v>1240</v>
      </c>
      <c r="G86" s="155">
        <v>3800</v>
      </c>
      <c r="H86" s="16"/>
      <c r="I86" s="76">
        <f>VLOOKUP(G86,Licenses!B:K,10,FALSE)</f>
        <v>0</v>
      </c>
      <c r="J86" s="16"/>
      <c r="K86" s="16"/>
      <c r="BC86" s="10"/>
      <c r="BD86" s="10"/>
      <c r="BE86" s="10"/>
      <c r="BF86" s="10"/>
      <c r="BG86" s="10"/>
      <c r="BH86" s="10"/>
      <c r="DL86" s="10"/>
      <c r="DM86" s="10"/>
      <c r="DN86" s="10"/>
      <c r="DO86" s="10"/>
      <c r="DP86" s="10"/>
      <c r="DQ86" s="10"/>
      <c r="DR86" s="10"/>
      <c r="DS86" s="10"/>
      <c r="DT86" s="10"/>
      <c r="DU86" s="10"/>
      <c r="DV86" s="10"/>
      <c r="DW86" s="10"/>
      <c r="DX86" s="10"/>
      <c r="DY86" s="10"/>
      <c r="DZ86" s="10"/>
      <c r="EA86" s="10"/>
      <c r="EB86" s="10"/>
      <c r="EC86" s="10"/>
      <c r="ED86" s="10"/>
      <c r="EE86" s="10"/>
      <c r="EK86" s="10">
        <v>34</v>
      </c>
      <c r="EL86" s="10">
        <v>37</v>
      </c>
      <c r="EM86" s="10"/>
      <c r="EN86" s="1" t="s">
        <v>1328</v>
      </c>
    </row>
    <row r="87" spans="4:144" ht="24.95" customHeight="1">
      <c r="D87" s="2">
        <v>8</v>
      </c>
      <c r="E87" s="7">
        <v>64</v>
      </c>
      <c r="F87" s="9" t="s">
        <v>104</v>
      </c>
      <c r="G87" s="155">
        <v>2600</v>
      </c>
      <c r="H87" s="16"/>
      <c r="I87" s="76">
        <f>VLOOKUP(G87,Licenses!B:K,10,FALSE)</f>
        <v>0</v>
      </c>
      <c r="J87" s="16"/>
      <c r="K87" s="16"/>
      <c r="EK87" s="1">
        <v>36</v>
      </c>
      <c r="EL87" s="1">
        <v>39</v>
      </c>
      <c r="EN87" s="1" t="s">
        <v>1329</v>
      </c>
    </row>
    <row r="88" spans="4:144" ht="24.95" customHeight="1">
      <c r="EK88" s="1">
        <v>46</v>
      </c>
      <c r="EL88" s="1">
        <v>41</v>
      </c>
      <c r="EN88" s="1" t="s">
        <v>1330</v>
      </c>
    </row>
    <row r="89" spans="4:144" ht="24.95" customHeight="1">
      <c r="EK89" s="1">
        <v>48</v>
      </c>
      <c r="EL89" s="1">
        <v>43</v>
      </c>
      <c r="EN89" s="1" t="s">
        <v>1331</v>
      </c>
    </row>
    <row r="90" spans="4:144">
      <c r="EK90" s="1">
        <v>42</v>
      </c>
      <c r="EL90" s="1">
        <v>45</v>
      </c>
      <c r="EN90" s="1" t="s">
        <v>1332</v>
      </c>
    </row>
    <row r="91" spans="4:144">
      <c r="EK91" s="1">
        <v>44</v>
      </c>
      <c r="EL91" s="1">
        <v>47</v>
      </c>
      <c r="EN91" s="1" t="s">
        <v>1333</v>
      </c>
    </row>
    <row r="92" spans="4:144">
      <c r="EK92" s="1">
        <v>54</v>
      </c>
      <c r="EL92" s="1">
        <v>49</v>
      </c>
      <c r="EN92" s="1" t="s">
        <v>1334</v>
      </c>
    </row>
    <row r="93" spans="4:144">
      <c r="EK93" s="1">
        <v>56</v>
      </c>
      <c r="EL93" s="1">
        <v>51</v>
      </c>
      <c r="EN93" s="1" t="s">
        <v>1335</v>
      </c>
    </row>
    <row r="94" spans="4:144">
      <c r="EK94" s="1">
        <v>50</v>
      </c>
      <c r="EL94" s="1">
        <v>53</v>
      </c>
      <c r="EN94" s="1" t="s">
        <v>1336</v>
      </c>
    </row>
    <row r="95" spans="4:144">
      <c r="EK95" s="1">
        <v>52</v>
      </c>
      <c r="EL95" s="1">
        <v>55</v>
      </c>
      <c r="EN95" s="1" t="s">
        <v>1337</v>
      </c>
    </row>
    <row r="96" spans="4:144">
      <c r="EK96" s="1">
        <v>62</v>
      </c>
      <c r="EL96" s="1">
        <v>57</v>
      </c>
      <c r="EN96" s="1" t="s">
        <v>1338</v>
      </c>
    </row>
    <row r="97" spans="141:144">
      <c r="EK97" s="1">
        <v>64</v>
      </c>
      <c r="EL97" s="1">
        <v>59</v>
      </c>
      <c r="EN97" s="1" t="s">
        <v>1339</v>
      </c>
    </row>
    <row r="98" spans="141:144">
      <c r="EK98" s="1">
        <v>58</v>
      </c>
      <c r="EL98" s="1">
        <v>61</v>
      </c>
      <c r="EN98" s="1" t="s">
        <v>1340</v>
      </c>
    </row>
    <row r="99" spans="141:144">
      <c r="EK99" s="1">
        <v>60</v>
      </c>
      <c r="EL99" s="1">
        <v>63</v>
      </c>
      <c r="EN99" s="1" t="s">
        <v>1341</v>
      </c>
    </row>
    <row r="100" spans="141:144">
      <c r="EK100" s="1">
        <v>1</v>
      </c>
      <c r="EL100" s="1">
        <v>4</v>
      </c>
      <c r="EM100" s="1" t="s">
        <v>105</v>
      </c>
      <c r="EN100" s="1" t="s">
        <v>106</v>
      </c>
    </row>
    <row r="101" spans="141:144">
      <c r="EK101" s="1">
        <v>3</v>
      </c>
      <c r="EL101" s="1">
        <v>6</v>
      </c>
      <c r="EN101" s="1" t="s">
        <v>107</v>
      </c>
    </row>
    <row r="102" spans="141:144">
      <c r="EK102" s="1">
        <v>5</v>
      </c>
      <c r="EL102" s="1">
        <v>8</v>
      </c>
      <c r="EN102" s="1" t="s">
        <v>108</v>
      </c>
    </row>
    <row r="103" spans="141:144">
      <c r="EK103" s="1">
        <v>7</v>
      </c>
      <c r="EL103" s="1">
        <v>2</v>
      </c>
      <c r="EN103" s="1" t="s">
        <v>109</v>
      </c>
    </row>
    <row r="104" spans="141:144">
      <c r="EK104" s="1">
        <v>9</v>
      </c>
      <c r="EL104" s="1">
        <v>12</v>
      </c>
      <c r="EN104" s="1" t="s">
        <v>1342</v>
      </c>
    </row>
    <row r="105" spans="141:144">
      <c r="EK105" s="1">
        <v>11</v>
      </c>
      <c r="EL105" s="1">
        <v>14</v>
      </c>
      <c r="EN105" s="1" t="s">
        <v>1343</v>
      </c>
    </row>
    <row r="106" spans="141:144">
      <c r="EK106" s="1">
        <v>13</v>
      </c>
      <c r="EL106" s="1">
        <v>16</v>
      </c>
      <c r="EN106" s="1" t="s">
        <v>1344</v>
      </c>
    </row>
    <row r="107" spans="141:144">
      <c r="EK107" s="1">
        <v>15</v>
      </c>
      <c r="EL107" s="1">
        <v>10</v>
      </c>
      <c r="EN107" s="1" t="s">
        <v>1345</v>
      </c>
    </row>
    <row r="108" spans="141:144">
      <c r="EK108" s="1">
        <v>17</v>
      </c>
      <c r="EL108" s="1">
        <v>20</v>
      </c>
      <c r="EN108" s="1" t="s">
        <v>1346</v>
      </c>
    </row>
    <row r="109" spans="141:144">
      <c r="EK109" s="1">
        <v>19</v>
      </c>
      <c r="EL109" s="1">
        <v>22</v>
      </c>
      <c r="EN109" s="1" t="s">
        <v>1347</v>
      </c>
    </row>
    <row r="110" spans="141:144">
      <c r="EK110" s="1">
        <v>21</v>
      </c>
      <c r="EL110" s="1">
        <v>24</v>
      </c>
      <c r="EN110" s="1" t="s">
        <v>1348</v>
      </c>
    </row>
    <row r="111" spans="141:144">
      <c r="EK111" s="1">
        <v>23</v>
      </c>
      <c r="EL111" s="1">
        <v>18</v>
      </c>
      <c r="EN111" s="1" t="s">
        <v>1349</v>
      </c>
    </row>
    <row r="112" spans="141:144">
      <c r="EK112" s="1">
        <v>25</v>
      </c>
      <c r="EL112" s="1">
        <v>28</v>
      </c>
      <c r="EN112" s="1" t="s">
        <v>1350</v>
      </c>
    </row>
    <row r="113" spans="141:144">
      <c r="EK113" s="1">
        <v>27</v>
      </c>
      <c r="EL113" s="1">
        <v>30</v>
      </c>
      <c r="EN113" s="1" t="s">
        <v>1351</v>
      </c>
    </row>
    <row r="114" spans="141:144">
      <c r="EK114" s="1">
        <v>29</v>
      </c>
      <c r="EL114" s="1">
        <v>32</v>
      </c>
      <c r="EN114" s="1" t="s">
        <v>1352</v>
      </c>
    </row>
    <row r="115" spans="141:144">
      <c r="EK115" s="1">
        <v>31</v>
      </c>
      <c r="EL115" s="1">
        <v>26</v>
      </c>
      <c r="EN115" s="1" t="s">
        <v>1353</v>
      </c>
    </row>
    <row r="116" spans="141:144">
      <c r="EK116" s="1">
        <v>33</v>
      </c>
      <c r="EL116" s="1">
        <v>36</v>
      </c>
      <c r="EN116" s="1" t="s">
        <v>1354</v>
      </c>
    </row>
    <row r="117" spans="141:144">
      <c r="EK117" s="1">
        <v>35</v>
      </c>
      <c r="EL117" s="1">
        <v>38</v>
      </c>
      <c r="EN117" s="1" t="s">
        <v>1355</v>
      </c>
    </row>
    <row r="118" spans="141:144">
      <c r="EK118" s="1">
        <v>37</v>
      </c>
      <c r="EL118" s="1">
        <v>40</v>
      </c>
      <c r="EN118" s="1" t="s">
        <v>1356</v>
      </c>
    </row>
    <row r="119" spans="141:144">
      <c r="EK119" s="1">
        <v>39</v>
      </c>
      <c r="EL119" s="1">
        <v>34</v>
      </c>
      <c r="EN119" s="1" t="s">
        <v>1357</v>
      </c>
    </row>
    <row r="120" spans="141:144">
      <c r="EK120" s="1">
        <v>41</v>
      </c>
      <c r="EL120" s="1">
        <v>44</v>
      </c>
      <c r="EN120" s="1" t="s">
        <v>1358</v>
      </c>
    </row>
    <row r="121" spans="141:144">
      <c r="EK121" s="1">
        <v>43</v>
      </c>
      <c r="EL121" s="1">
        <v>46</v>
      </c>
      <c r="EN121" s="1" t="s">
        <v>1359</v>
      </c>
    </row>
    <row r="122" spans="141:144">
      <c r="EK122" s="1">
        <v>45</v>
      </c>
      <c r="EL122" s="1">
        <v>48</v>
      </c>
      <c r="EN122" s="1" t="s">
        <v>1360</v>
      </c>
    </row>
    <row r="123" spans="141:144">
      <c r="EK123" s="1">
        <v>47</v>
      </c>
      <c r="EL123" s="1">
        <v>42</v>
      </c>
      <c r="EN123" s="1" t="s">
        <v>1361</v>
      </c>
    </row>
    <row r="124" spans="141:144">
      <c r="EK124" s="1">
        <v>49</v>
      </c>
      <c r="EL124" s="1">
        <v>56</v>
      </c>
      <c r="EN124" s="1" t="s">
        <v>1362</v>
      </c>
    </row>
    <row r="125" spans="141:144">
      <c r="EK125" s="1">
        <v>51</v>
      </c>
      <c r="EL125" s="1">
        <v>50</v>
      </c>
      <c r="EN125" s="1" t="s">
        <v>1363</v>
      </c>
    </row>
    <row r="126" spans="141:144">
      <c r="EK126" s="1">
        <v>53</v>
      </c>
      <c r="EL126" s="1">
        <v>52</v>
      </c>
      <c r="EN126" s="1" t="s">
        <v>1364</v>
      </c>
    </row>
    <row r="127" spans="141:144">
      <c r="EK127" s="1">
        <v>55</v>
      </c>
      <c r="EL127" s="1">
        <v>54</v>
      </c>
      <c r="EN127" s="1" t="s">
        <v>1365</v>
      </c>
    </row>
    <row r="128" spans="141:144">
      <c r="EK128" s="1">
        <v>57</v>
      </c>
      <c r="EL128" s="1">
        <v>60</v>
      </c>
      <c r="EN128" s="1" t="s">
        <v>1366</v>
      </c>
    </row>
    <row r="129" spans="141:144">
      <c r="EK129" s="1">
        <v>59</v>
      </c>
      <c r="EL129" s="1">
        <v>62</v>
      </c>
      <c r="EN129" s="1" t="s">
        <v>1367</v>
      </c>
    </row>
    <row r="130" spans="141:144">
      <c r="EK130" s="1">
        <v>61</v>
      </c>
      <c r="EL130" s="1">
        <v>64</v>
      </c>
      <c r="EN130" s="1" t="s">
        <v>1368</v>
      </c>
    </row>
    <row r="131" spans="141:144">
      <c r="EK131" s="1">
        <v>63</v>
      </c>
      <c r="EL131" s="1">
        <v>58</v>
      </c>
      <c r="EN131" s="1" t="s">
        <v>1369</v>
      </c>
    </row>
    <row r="132" spans="141:144">
      <c r="EK132" s="1">
        <v>3</v>
      </c>
      <c r="EL132" s="1">
        <v>1</v>
      </c>
      <c r="EM132" s="1" t="s">
        <v>110</v>
      </c>
      <c r="EN132" s="1" t="s">
        <v>111</v>
      </c>
    </row>
    <row r="133" spans="141:144">
      <c r="EK133" s="1">
        <v>7</v>
      </c>
      <c r="EL133" s="1">
        <v>5</v>
      </c>
      <c r="EN133" s="1" t="s">
        <v>112</v>
      </c>
    </row>
    <row r="134" spans="141:144">
      <c r="EK134" s="1">
        <v>4</v>
      </c>
      <c r="EL134" s="1">
        <v>2</v>
      </c>
      <c r="EN134" s="1" t="s">
        <v>113</v>
      </c>
    </row>
    <row r="135" spans="141:144">
      <c r="EK135" s="1">
        <v>8</v>
      </c>
      <c r="EL135" s="1">
        <v>6</v>
      </c>
      <c r="EN135" s="1" t="s">
        <v>114</v>
      </c>
    </row>
    <row r="136" spans="141:144">
      <c r="EK136" s="1">
        <v>11</v>
      </c>
      <c r="EL136" s="1">
        <v>9</v>
      </c>
      <c r="EN136" s="1" t="s">
        <v>1370</v>
      </c>
    </row>
    <row r="137" spans="141:144">
      <c r="EK137" s="1">
        <v>15</v>
      </c>
      <c r="EL137" s="1">
        <v>13</v>
      </c>
      <c r="EN137" s="1" t="s">
        <v>1371</v>
      </c>
    </row>
    <row r="138" spans="141:144">
      <c r="EK138" s="1">
        <v>12</v>
      </c>
      <c r="EL138" s="1">
        <v>10</v>
      </c>
      <c r="EN138" s="1" t="s">
        <v>1372</v>
      </c>
    </row>
    <row r="139" spans="141:144">
      <c r="EK139" s="1">
        <v>16</v>
      </c>
      <c r="EL139" s="1">
        <v>14</v>
      </c>
      <c r="EN139" s="1" t="s">
        <v>1373</v>
      </c>
    </row>
    <row r="140" spans="141:144">
      <c r="EK140" s="1">
        <v>19</v>
      </c>
      <c r="EL140" s="1">
        <v>17</v>
      </c>
      <c r="EN140" s="1" t="s">
        <v>1374</v>
      </c>
    </row>
    <row r="141" spans="141:144">
      <c r="EK141" s="1">
        <v>23</v>
      </c>
      <c r="EL141" s="1">
        <v>21</v>
      </c>
      <c r="EN141" s="1" t="s">
        <v>1375</v>
      </c>
    </row>
    <row r="142" spans="141:144">
      <c r="EK142" s="1">
        <v>20</v>
      </c>
      <c r="EL142" s="1">
        <v>18</v>
      </c>
      <c r="EN142" s="1" t="s">
        <v>1376</v>
      </c>
    </row>
    <row r="143" spans="141:144">
      <c r="EK143" s="1">
        <v>24</v>
      </c>
      <c r="EL143" s="1">
        <v>22</v>
      </c>
      <c r="EN143" s="1" t="s">
        <v>1377</v>
      </c>
    </row>
    <row r="144" spans="141:144">
      <c r="EK144" s="1">
        <v>27</v>
      </c>
      <c r="EL144" s="1">
        <v>25</v>
      </c>
      <c r="EN144" s="1" t="s">
        <v>1378</v>
      </c>
    </row>
    <row r="145" spans="141:144">
      <c r="EK145" s="1">
        <v>31</v>
      </c>
      <c r="EL145" s="1">
        <v>29</v>
      </c>
      <c r="EN145" s="1" t="s">
        <v>1379</v>
      </c>
    </row>
    <row r="146" spans="141:144">
      <c r="EK146" s="1">
        <v>28</v>
      </c>
      <c r="EL146" s="1">
        <v>26</v>
      </c>
      <c r="EN146" s="1" t="s">
        <v>1380</v>
      </c>
    </row>
    <row r="147" spans="141:144">
      <c r="EK147" s="1">
        <v>32</v>
      </c>
      <c r="EL147" s="1">
        <v>30</v>
      </c>
      <c r="EN147" s="1" t="s">
        <v>1381</v>
      </c>
    </row>
    <row r="148" spans="141:144">
      <c r="EK148" s="1">
        <v>35</v>
      </c>
      <c r="EL148" s="1">
        <v>33</v>
      </c>
      <c r="EN148" s="1" t="s">
        <v>1382</v>
      </c>
    </row>
    <row r="149" spans="141:144">
      <c r="EK149" s="1">
        <v>39</v>
      </c>
      <c r="EL149" s="1">
        <v>37</v>
      </c>
      <c r="EN149" s="1" t="s">
        <v>1383</v>
      </c>
    </row>
    <row r="150" spans="141:144">
      <c r="EK150" s="1">
        <v>36</v>
      </c>
      <c r="EL150" s="1">
        <v>34</v>
      </c>
      <c r="EN150" s="1" t="s">
        <v>1384</v>
      </c>
    </row>
    <row r="151" spans="141:144">
      <c r="EK151" s="1">
        <v>40</v>
      </c>
      <c r="EL151" s="1">
        <v>38</v>
      </c>
      <c r="EN151" s="1" t="s">
        <v>1385</v>
      </c>
    </row>
    <row r="152" spans="141:144">
      <c r="EK152" s="1">
        <v>43</v>
      </c>
      <c r="EL152" s="1">
        <v>41</v>
      </c>
      <c r="EN152" s="1" t="s">
        <v>1386</v>
      </c>
    </row>
    <row r="153" spans="141:144">
      <c r="EK153" s="1">
        <v>47</v>
      </c>
      <c r="EL153" s="1">
        <v>45</v>
      </c>
      <c r="EN153" s="1" t="s">
        <v>1387</v>
      </c>
    </row>
    <row r="154" spans="141:144">
      <c r="EK154" s="1">
        <v>44</v>
      </c>
      <c r="EL154" s="1">
        <v>42</v>
      </c>
      <c r="EN154" s="1" t="s">
        <v>1388</v>
      </c>
    </row>
    <row r="155" spans="141:144">
      <c r="EK155" s="1">
        <v>48</v>
      </c>
      <c r="EL155" s="1">
        <v>46</v>
      </c>
      <c r="EN155" s="1" t="s">
        <v>1389</v>
      </c>
    </row>
    <row r="156" spans="141:144">
      <c r="EK156" s="1">
        <v>51</v>
      </c>
      <c r="EL156" s="1">
        <v>49</v>
      </c>
      <c r="EN156" s="1" t="s">
        <v>1390</v>
      </c>
    </row>
    <row r="157" spans="141:144">
      <c r="EK157" s="1">
        <v>55</v>
      </c>
      <c r="EL157" s="1">
        <v>53</v>
      </c>
      <c r="EN157" s="1" t="s">
        <v>1391</v>
      </c>
    </row>
    <row r="158" spans="141:144">
      <c r="EK158" s="1">
        <v>52</v>
      </c>
      <c r="EL158" s="1">
        <v>50</v>
      </c>
      <c r="EN158" s="1" t="s">
        <v>1392</v>
      </c>
    </row>
    <row r="159" spans="141:144">
      <c r="EK159" s="1">
        <v>56</v>
      </c>
      <c r="EL159" s="1">
        <v>54</v>
      </c>
      <c r="EN159" s="1" t="s">
        <v>1393</v>
      </c>
    </row>
    <row r="160" spans="141:144">
      <c r="EK160" s="1">
        <v>59</v>
      </c>
      <c r="EL160" s="1">
        <v>57</v>
      </c>
      <c r="EN160" s="1" t="s">
        <v>1394</v>
      </c>
    </row>
    <row r="161" spans="141:144">
      <c r="EK161" s="1">
        <v>61</v>
      </c>
      <c r="EL161" s="1">
        <v>63</v>
      </c>
      <c r="EN161" s="1" t="s">
        <v>1395</v>
      </c>
    </row>
    <row r="162" spans="141:144">
      <c r="EK162" s="1">
        <v>60</v>
      </c>
      <c r="EL162" s="1">
        <v>58</v>
      </c>
      <c r="EN162" s="1" t="s">
        <v>1396</v>
      </c>
    </row>
    <row r="163" spans="141:144">
      <c r="EK163" s="1">
        <v>64</v>
      </c>
      <c r="EL163" s="1">
        <v>62</v>
      </c>
      <c r="EN163" s="1" t="s">
        <v>1397</v>
      </c>
    </row>
    <row r="164" spans="141:144">
      <c r="EK164" s="1">
        <v>1</v>
      </c>
      <c r="EL164" s="1">
        <v>5</v>
      </c>
      <c r="EM164" s="1" t="s">
        <v>115</v>
      </c>
      <c r="EN164" s="1" t="s">
        <v>116</v>
      </c>
    </row>
    <row r="165" spans="141:144">
      <c r="EK165" s="1">
        <v>3</v>
      </c>
      <c r="EL165" s="1">
        <v>7</v>
      </c>
      <c r="EN165" s="1" t="s">
        <v>117</v>
      </c>
    </row>
    <row r="166" spans="141:144">
      <c r="EK166" s="1">
        <v>2</v>
      </c>
      <c r="EL166" s="1">
        <v>6</v>
      </c>
      <c r="EN166" s="1" t="s">
        <v>118</v>
      </c>
    </row>
    <row r="167" spans="141:144">
      <c r="EK167" s="1">
        <v>4</v>
      </c>
      <c r="EL167" s="1">
        <v>8</v>
      </c>
      <c r="EN167" s="1" t="s">
        <v>119</v>
      </c>
    </row>
    <row r="168" spans="141:144">
      <c r="EK168" s="1">
        <v>9</v>
      </c>
      <c r="EL168" s="1">
        <v>13</v>
      </c>
      <c r="EN168" s="1" t="s">
        <v>1398</v>
      </c>
    </row>
    <row r="169" spans="141:144">
      <c r="EK169" s="1">
        <v>11</v>
      </c>
      <c r="EL169" s="1">
        <v>15</v>
      </c>
      <c r="EN169" s="1" t="s">
        <v>1399</v>
      </c>
    </row>
    <row r="170" spans="141:144">
      <c r="EK170" s="1">
        <v>10</v>
      </c>
      <c r="EL170" s="1">
        <v>14</v>
      </c>
      <c r="EN170" s="1" t="s">
        <v>1400</v>
      </c>
    </row>
    <row r="171" spans="141:144">
      <c r="EK171" s="1">
        <v>12</v>
      </c>
      <c r="EL171" s="1">
        <v>16</v>
      </c>
      <c r="EN171" s="1" t="s">
        <v>1401</v>
      </c>
    </row>
    <row r="172" spans="141:144">
      <c r="EK172" s="1">
        <v>17</v>
      </c>
      <c r="EL172" s="1">
        <v>21</v>
      </c>
      <c r="EN172" s="1" t="s">
        <v>1402</v>
      </c>
    </row>
    <row r="173" spans="141:144">
      <c r="EK173" s="1">
        <v>19</v>
      </c>
      <c r="EL173" s="1">
        <v>23</v>
      </c>
      <c r="EN173" s="1" t="s">
        <v>1403</v>
      </c>
    </row>
    <row r="174" spans="141:144">
      <c r="EK174" s="1">
        <v>18</v>
      </c>
      <c r="EL174" s="1">
        <v>22</v>
      </c>
      <c r="EN174" s="1" t="s">
        <v>1404</v>
      </c>
    </row>
    <row r="175" spans="141:144">
      <c r="EK175" s="1">
        <v>20</v>
      </c>
      <c r="EL175" s="1">
        <v>24</v>
      </c>
      <c r="EN175" s="1" t="s">
        <v>1405</v>
      </c>
    </row>
    <row r="176" spans="141:144">
      <c r="EK176" s="1">
        <v>25</v>
      </c>
      <c r="EL176" s="1">
        <v>29</v>
      </c>
      <c r="EN176" s="1" t="s">
        <v>1406</v>
      </c>
    </row>
    <row r="177" spans="141:144">
      <c r="EK177" s="1">
        <v>27</v>
      </c>
      <c r="EL177" s="1">
        <v>31</v>
      </c>
      <c r="EN177" s="1" t="s">
        <v>1407</v>
      </c>
    </row>
    <row r="178" spans="141:144">
      <c r="EK178" s="1">
        <v>26</v>
      </c>
      <c r="EL178" s="1">
        <v>30</v>
      </c>
      <c r="EN178" s="1" t="s">
        <v>1408</v>
      </c>
    </row>
    <row r="179" spans="141:144">
      <c r="EK179" s="1">
        <v>28</v>
      </c>
      <c r="EL179" s="1">
        <v>32</v>
      </c>
      <c r="EN179" s="1" t="s">
        <v>1409</v>
      </c>
    </row>
    <row r="180" spans="141:144">
      <c r="EK180" s="1">
        <v>33</v>
      </c>
      <c r="EL180" s="1">
        <v>37</v>
      </c>
      <c r="EN180" s="1" t="s">
        <v>1410</v>
      </c>
    </row>
    <row r="181" spans="141:144">
      <c r="EK181" s="1">
        <v>35</v>
      </c>
      <c r="EL181" s="1">
        <v>39</v>
      </c>
      <c r="EN181" s="1" t="s">
        <v>1411</v>
      </c>
    </row>
    <row r="182" spans="141:144">
      <c r="EK182" s="1">
        <v>34</v>
      </c>
      <c r="EL182" s="1">
        <v>38</v>
      </c>
      <c r="EN182" s="1" t="s">
        <v>1412</v>
      </c>
    </row>
    <row r="183" spans="141:144">
      <c r="EK183" s="1">
        <v>36</v>
      </c>
      <c r="EL183" s="1">
        <v>40</v>
      </c>
      <c r="EN183" s="1" t="s">
        <v>1413</v>
      </c>
    </row>
    <row r="184" spans="141:144">
      <c r="EK184" s="1">
        <v>41</v>
      </c>
      <c r="EL184" s="1">
        <v>45</v>
      </c>
      <c r="EN184" s="1" t="s">
        <v>1414</v>
      </c>
    </row>
    <row r="185" spans="141:144">
      <c r="EK185" s="1">
        <v>43</v>
      </c>
      <c r="EL185" s="1">
        <v>47</v>
      </c>
      <c r="EN185" s="1" t="s">
        <v>1415</v>
      </c>
    </row>
    <row r="186" spans="141:144">
      <c r="EK186" s="1">
        <v>42</v>
      </c>
      <c r="EL186" s="1">
        <v>46</v>
      </c>
      <c r="EN186" s="1" t="s">
        <v>1416</v>
      </c>
    </row>
    <row r="187" spans="141:144">
      <c r="EK187" s="1">
        <v>44</v>
      </c>
      <c r="EL187" s="1">
        <v>48</v>
      </c>
      <c r="EN187" s="1" t="s">
        <v>1417</v>
      </c>
    </row>
    <row r="188" spans="141:144">
      <c r="EK188" s="1">
        <v>49</v>
      </c>
      <c r="EL188" s="1">
        <v>53</v>
      </c>
      <c r="EN188" s="1" t="s">
        <v>1418</v>
      </c>
    </row>
    <row r="189" spans="141:144">
      <c r="EK189" s="1">
        <v>51</v>
      </c>
      <c r="EL189" s="1">
        <v>55</v>
      </c>
      <c r="EN189" s="1" t="s">
        <v>1419</v>
      </c>
    </row>
    <row r="190" spans="141:144">
      <c r="EK190" s="1">
        <v>50</v>
      </c>
      <c r="EL190" s="1">
        <v>54</v>
      </c>
      <c r="EN190" s="1" t="s">
        <v>1420</v>
      </c>
    </row>
    <row r="191" spans="141:144">
      <c r="EK191" s="1">
        <v>52</v>
      </c>
      <c r="EL191" s="1">
        <v>56</v>
      </c>
      <c r="EN191" s="1" t="s">
        <v>1421</v>
      </c>
    </row>
    <row r="192" spans="141:144">
      <c r="EK192" s="1">
        <v>57</v>
      </c>
      <c r="EL192" s="1">
        <v>61</v>
      </c>
      <c r="EN192" s="1" t="s">
        <v>1422</v>
      </c>
    </row>
    <row r="193" spans="141:144">
      <c r="EK193" s="1">
        <v>59</v>
      </c>
      <c r="EL193" s="1">
        <v>63</v>
      </c>
      <c r="EN193" s="1" t="s">
        <v>1423</v>
      </c>
    </row>
    <row r="194" spans="141:144">
      <c r="EK194" s="1">
        <v>58</v>
      </c>
      <c r="EL194" s="1">
        <v>62</v>
      </c>
      <c r="EN194" s="1" t="s">
        <v>1424</v>
      </c>
    </row>
    <row r="195" spans="141:144">
      <c r="EK195" s="1">
        <v>60</v>
      </c>
      <c r="EL195" s="1">
        <v>64</v>
      </c>
      <c r="EN195" s="1" t="s">
        <v>1425</v>
      </c>
    </row>
    <row r="196" spans="141:144">
      <c r="EK196" s="1">
        <v>7</v>
      </c>
      <c r="EL196" s="1">
        <v>1</v>
      </c>
      <c r="EM196" s="1" t="s">
        <v>120</v>
      </c>
      <c r="EN196" s="1" t="s">
        <v>121</v>
      </c>
    </row>
    <row r="197" spans="141:144">
      <c r="EK197" s="1">
        <v>5</v>
      </c>
      <c r="EL197" s="1">
        <v>3</v>
      </c>
      <c r="EN197" s="1" t="s">
        <v>122</v>
      </c>
    </row>
    <row r="198" spans="141:144">
      <c r="EK198" s="1">
        <v>8</v>
      </c>
      <c r="EL198" s="1">
        <v>2</v>
      </c>
      <c r="EN198" s="1" t="s">
        <v>123</v>
      </c>
    </row>
    <row r="199" spans="141:144">
      <c r="EK199" s="1">
        <v>6</v>
      </c>
      <c r="EL199" s="1">
        <v>4</v>
      </c>
      <c r="EN199" s="1" t="s">
        <v>124</v>
      </c>
    </row>
    <row r="200" spans="141:144">
      <c r="EK200" s="1">
        <v>15</v>
      </c>
      <c r="EL200" s="1">
        <v>9</v>
      </c>
      <c r="EN200" s="1" t="s">
        <v>1426</v>
      </c>
    </row>
    <row r="201" spans="141:144">
      <c r="EK201" s="1">
        <v>13</v>
      </c>
      <c r="EL201" s="1">
        <v>11</v>
      </c>
      <c r="EN201" s="1" t="s">
        <v>1427</v>
      </c>
    </row>
    <row r="202" spans="141:144">
      <c r="EK202" s="1">
        <v>16</v>
      </c>
      <c r="EL202" s="1">
        <v>10</v>
      </c>
      <c r="EN202" s="1" t="s">
        <v>1428</v>
      </c>
    </row>
    <row r="203" spans="141:144">
      <c r="EK203" s="1">
        <v>14</v>
      </c>
      <c r="EL203" s="1">
        <v>12</v>
      </c>
      <c r="EN203" s="1" t="s">
        <v>1429</v>
      </c>
    </row>
    <row r="204" spans="141:144">
      <c r="EK204" s="1">
        <v>23</v>
      </c>
      <c r="EL204" s="1">
        <v>17</v>
      </c>
      <c r="EN204" s="1" t="s">
        <v>1430</v>
      </c>
    </row>
    <row r="205" spans="141:144">
      <c r="EK205" s="1">
        <v>21</v>
      </c>
      <c r="EL205" s="1">
        <v>19</v>
      </c>
      <c r="EN205" s="1" t="s">
        <v>1431</v>
      </c>
    </row>
    <row r="206" spans="141:144">
      <c r="EK206" s="1">
        <v>24</v>
      </c>
      <c r="EL206" s="1">
        <v>18</v>
      </c>
      <c r="EN206" s="1" t="s">
        <v>1432</v>
      </c>
    </row>
    <row r="207" spans="141:144">
      <c r="EK207" s="1">
        <v>22</v>
      </c>
      <c r="EL207" s="1">
        <v>20</v>
      </c>
      <c r="EN207" s="1" t="s">
        <v>1433</v>
      </c>
    </row>
    <row r="208" spans="141:144">
      <c r="EK208" s="1">
        <v>31</v>
      </c>
      <c r="EL208" s="1">
        <v>25</v>
      </c>
      <c r="EN208" s="1" t="s">
        <v>1434</v>
      </c>
    </row>
    <row r="209" spans="141:144">
      <c r="EK209" s="1">
        <v>29</v>
      </c>
      <c r="EL209" s="1">
        <v>27</v>
      </c>
      <c r="EN209" s="1" t="s">
        <v>1435</v>
      </c>
    </row>
    <row r="210" spans="141:144">
      <c r="EK210" s="1">
        <v>32</v>
      </c>
      <c r="EL210" s="1">
        <v>26</v>
      </c>
      <c r="EN210" s="1" t="s">
        <v>1436</v>
      </c>
    </row>
    <row r="211" spans="141:144">
      <c r="EK211" s="1">
        <v>30</v>
      </c>
      <c r="EL211" s="1">
        <v>28</v>
      </c>
      <c r="EN211" s="1" t="s">
        <v>1437</v>
      </c>
    </row>
    <row r="212" spans="141:144">
      <c r="EK212" s="1">
        <v>39</v>
      </c>
      <c r="EL212" s="1">
        <v>33</v>
      </c>
      <c r="EN212" s="1" t="s">
        <v>1438</v>
      </c>
    </row>
    <row r="213" spans="141:144">
      <c r="EK213" s="1">
        <v>37</v>
      </c>
      <c r="EL213" s="1">
        <v>35</v>
      </c>
      <c r="EN213" s="1" t="s">
        <v>1439</v>
      </c>
    </row>
    <row r="214" spans="141:144">
      <c r="EK214" s="1">
        <v>40</v>
      </c>
      <c r="EL214" s="1">
        <v>34</v>
      </c>
      <c r="EN214" s="1" t="s">
        <v>1440</v>
      </c>
    </row>
    <row r="215" spans="141:144">
      <c r="EK215" s="1">
        <v>38</v>
      </c>
      <c r="EL215" s="1">
        <v>36</v>
      </c>
      <c r="EN215" s="1" t="s">
        <v>1441</v>
      </c>
    </row>
    <row r="216" spans="141:144">
      <c r="EK216" s="1">
        <v>47</v>
      </c>
      <c r="EL216" s="1">
        <v>41</v>
      </c>
      <c r="EN216" s="1" t="s">
        <v>1442</v>
      </c>
    </row>
    <row r="217" spans="141:144">
      <c r="EK217" s="1">
        <v>45</v>
      </c>
      <c r="EL217" s="1">
        <v>43</v>
      </c>
      <c r="EN217" s="1" t="s">
        <v>1443</v>
      </c>
    </row>
    <row r="218" spans="141:144">
      <c r="EK218" s="1">
        <v>48</v>
      </c>
      <c r="EL218" s="1">
        <v>42</v>
      </c>
      <c r="EN218" s="1" t="s">
        <v>1444</v>
      </c>
    </row>
    <row r="219" spans="141:144">
      <c r="EK219" s="1">
        <v>46</v>
      </c>
      <c r="EL219" s="1">
        <v>44</v>
      </c>
      <c r="EN219" s="1" t="s">
        <v>1445</v>
      </c>
    </row>
    <row r="220" spans="141:144">
      <c r="EK220" s="1">
        <v>55</v>
      </c>
      <c r="EL220" s="1">
        <v>49</v>
      </c>
      <c r="EN220" s="1" t="s">
        <v>1446</v>
      </c>
    </row>
    <row r="221" spans="141:144">
      <c r="EK221" s="1">
        <v>53</v>
      </c>
      <c r="EL221" s="1">
        <v>51</v>
      </c>
      <c r="EN221" s="1" t="s">
        <v>1447</v>
      </c>
    </row>
    <row r="222" spans="141:144">
      <c r="EK222" s="1">
        <v>56</v>
      </c>
      <c r="EL222" s="1">
        <v>50</v>
      </c>
      <c r="EN222" s="1" t="s">
        <v>1448</v>
      </c>
    </row>
    <row r="223" spans="141:144">
      <c r="EK223" s="1">
        <v>54</v>
      </c>
      <c r="EL223" s="1">
        <v>52</v>
      </c>
      <c r="EN223" s="1" t="s">
        <v>1449</v>
      </c>
    </row>
    <row r="224" spans="141:144">
      <c r="EK224" s="1">
        <v>63</v>
      </c>
      <c r="EL224" s="1">
        <v>57</v>
      </c>
      <c r="EN224" s="1" t="s">
        <v>1450</v>
      </c>
    </row>
    <row r="225" spans="141:144">
      <c r="EK225" s="1">
        <v>61</v>
      </c>
      <c r="EL225" s="1">
        <v>59</v>
      </c>
      <c r="EN225" s="1" t="s">
        <v>1451</v>
      </c>
    </row>
    <row r="226" spans="141:144">
      <c r="EK226" s="1">
        <v>64</v>
      </c>
      <c r="EL226" s="1">
        <v>58</v>
      </c>
      <c r="EN226" s="1" t="s">
        <v>1452</v>
      </c>
    </row>
    <row r="227" spans="141:144">
      <c r="EK227" s="1">
        <v>62</v>
      </c>
      <c r="EL227" s="1">
        <v>60</v>
      </c>
      <c r="EN227" s="1" t="s">
        <v>1453</v>
      </c>
    </row>
    <row r="228" spans="141:144">
      <c r="EK228" s="1">
        <v>1</v>
      </c>
      <c r="EL228" s="1">
        <v>2</v>
      </c>
      <c r="EM228" s="1" t="s">
        <v>125</v>
      </c>
      <c r="EN228" s="1" t="s">
        <v>126</v>
      </c>
    </row>
    <row r="229" spans="141:144">
      <c r="EK229" s="1">
        <v>3</v>
      </c>
      <c r="EL229" s="1">
        <v>4</v>
      </c>
      <c r="EN229" s="1" t="s">
        <v>127</v>
      </c>
    </row>
    <row r="230" spans="141:144">
      <c r="EK230" s="1">
        <v>5</v>
      </c>
      <c r="EL230" s="1">
        <v>6</v>
      </c>
      <c r="EN230" s="1" t="s">
        <v>128</v>
      </c>
    </row>
    <row r="231" spans="141:144">
      <c r="EK231" s="1">
        <v>7</v>
      </c>
      <c r="EL231" s="1">
        <v>8</v>
      </c>
      <c r="EN231" s="1" t="s">
        <v>129</v>
      </c>
    </row>
    <row r="232" spans="141:144">
      <c r="EK232" s="1">
        <v>9</v>
      </c>
      <c r="EL232" s="1">
        <v>10</v>
      </c>
      <c r="EN232" s="1" t="s">
        <v>1454</v>
      </c>
    </row>
    <row r="233" spans="141:144">
      <c r="EK233" s="1">
        <v>11</v>
      </c>
      <c r="EL233" s="1">
        <v>12</v>
      </c>
      <c r="EN233" s="1" t="s">
        <v>1455</v>
      </c>
    </row>
    <row r="234" spans="141:144">
      <c r="EK234" s="1">
        <v>13</v>
      </c>
      <c r="EL234" s="1">
        <v>14</v>
      </c>
      <c r="EN234" s="1" t="s">
        <v>1456</v>
      </c>
    </row>
    <row r="235" spans="141:144">
      <c r="EK235" s="1">
        <v>15</v>
      </c>
      <c r="EL235" s="1">
        <v>16</v>
      </c>
      <c r="EN235" s="1" t="s">
        <v>1457</v>
      </c>
    </row>
    <row r="236" spans="141:144">
      <c r="EK236" s="1">
        <v>17</v>
      </c>
      <c r="EL236" s="1">
        <v>18</v>
      </c>
      <c r="EN236" s="1" t="s">
        <v>1458</v>
      </c>
    </row>
    <row r="237" spans="141:144">
      <c r="EK237" s="1">
        <v>19</v>
      </c>
      <c r="EL237" s="1">
        <v>20</v>
      </c>
      <c r="EN237" s="1" t="s">
        <v>1459</v>
      </c>
    </row>
    <row r="238" spans="141:144">
      <c r="EK238" s="1">
        <v>21</v>
      </c>
      <c r="EL238" s="1">
        <v>22</v>
      </c>
      <c r="EN238" s="1" t="s">
        <v>1460</v>
      </c>
    </row>
    <row r="239" spans="141:144">
      <c r="EK239" s="1">
        <v>23</v>
      </c>
      <c r="EL239" s="1">
        <v>24</v>
      </c>
      <c r="EN239" s="1" t="s">
        <v>1461</v>
      </c>
    </row>
    <row r="240" spans="141:144">
      <c r="EK240" s="1">
        <v>25</v>
      </c>
      <c r="EL240" s="1">
        <v>26</v>
      </c>
      <c r="EN240" s="1" t="s">
        <v>1462</v>
      </c>
    </row>
    <row r="241" spans="141:144">
      <c r="EK241" s="1">
        <v>27</v>
      </c>
      <c r="EL241" s="1">
        <v>28</v>
      </c>
      <c r="EN241" s="1" t="s">
        <v>1463</v>
      </c>
    </row>
    <row r="242" spans="141:144">
      <c r="EK242" s="1">
        <v>29</v>
      </c>
      <c r="EL242" s="1">
        <v>30</v>
      </c>
      <c r="EN242" s="1" t="s">
        <v>1464</v>
      </c>
    </row>
    <row r="243" spans="141:144">
      <c r="EK243" s="1">
        <v>31</v>
      </c>
      <c r="EL243" s="1">
        <v>32</v>
      </c>
      <c r="EN243" s="1" t="s">
        <v>1465</v>
      </c>
    </row>
    <row r="244" spans="141:144">
      <c r="EK244" s="1">
        <v>33</v>
      </c>
      <c r="EL244" s="1">
        <v>34</v>
      </c>
      <c r="EN244" s="1" t="s">
        <v>1466</v>
      </c>
    </row>
    <row r="245" spans="141:144">
      <c r="EK245" s="1">
        <v>35</v>
      </c>
      <c r="EL245" s="1">
        <v>36</v>
      </c>
      <c r="EN245" s="1" t="s">
        <v>1467</v>
      </c>
    </row>
    <row r="246" spans="141:144">
      <c r="EK246" s="1">
        <v>37</v>
      </c>
      <c r="EL246" s="1">
        <v>38</v>
      </c>
      <c r="EN246" s="1" t="s">
        <v>1468</v>
      </c>
    </row>
    <row r="247" spans="141:144">
      <c r="EK247" s="1">
        <v>39</v>
      </c>
      <c r="EL247" s="1">
        <v>40</v>
      </c>
      <c r="EN247" s="1" t="s">
        <v>1469</v>
      </c>
    </row>
    <row r="248" spans="141:144">
      <c r="EK248" s="1">
        <v>41</v>
      </c>
      <c r="EL248" s="1">
        <v>42</v>
      </c>
      <c r="EN248" s="1" t="s">
        <v>1470</v>
      </c>
    </row>
    <row r="249" spans="141:144">
      <c r="EK249" s="1">
        <v>43</v>
      </c>
      <c r="EL249" s="1">
        <v>44</v>
      </c>
      <c r="EN249" s="1" t="s">
        <v>1471</v>
      </c>
    </row>
    <row r="250" spans="141:144">
      <c r="EK250" s="1">
        <v>45</v>
      </c>
      <c r="EL250" s="1">
        <v>46</v>
      </c>
      <c r="EN250" s="1" t="s">
        <v>1472</v>
      </c>
    </row>
    <row r="251" spans="141:144">
      <c r="EK251" s="1">
        <v>47</v>
      </c>
      <c r="EL251" s="1">
        <v>48</v>
      </c>
      <c r="EN251" s="1" t="s">
        <v>1473</v>
      </c>
    </row>
    <row r="252" spans="141:144">
      <c r="EK252" s="1">
        <v>49</v>
      </c>
      <c r="EL252" s="1">
        <v>50</v>
      </c>
      <c r="EN252" s="1" t="s">
        <v>1474</v>
      </c>
    </row>
    <row r="253" spans="141:144">
      <c r="EK253" s="1">
        <v>51</v>
      </c>
      <c r="EL253" s="1">
        <v>52</v>
      </c>
      <c r="EN253" s="1" t="s">
        <v>1475</v>
      </c>
    </row>
    <row r="254" spans="141:144">
      <c r="EK254" s="1">
        <v>53</v>
      </c>
      <c r="EL254" s="1">
        <v>54</v>
      </c>
      <c r="EN254" s="1" t="s">
        <v>1476</v>
      </c>
    </row>
    <row r="255" spans="141:144">
      <c r="EK255" s="1">
        <v>55</v>
      </c>
      <c r="EL255" s="1">
        <v>56</v>
      </c>
      <c r="EN255" s="1" t="s">
        <v>1477</v>
      </c>
    </row>
    <row r="256" spans="141:144">
      <c r="EK256" s="1">
        <v>57</v>
      </c>
      <c r="EL256" s="1">
        <v>58</v>
      </c>
      <c r="EN256" s="1" t="s">
        <v>1478</v>
      </c>
    </row>
    <row r="257" spans="141:144">
      <c r="EK257" s="1">
        <v>59</v>
      </c>
      <c r="EL257" s="1">
        <v>60</v>
      </c>
      <c r="EN257" s="1" t="s">
        <v>1479</v>
      </c>
    </row>
    <row r="258" spans="141:144">
      <c r="EK258" s="1">
        <v>61</v>
      </c>
      <c r="EL258" s="1">
        <v>62</v>
      </c>
      <c r="EN258" s="1" t="s">
        <v>1480</v>
      </c>
    </row>
    <row r="259" spans="141:144">
      <c r="EK259" s="1">
        <v>63</v>
      </c>
      <c r="EL259" s="1">
        <v>64</v>
      </c>
      <c r="EN259" s="1" t="s">
        <v>1481</v>
      </c>
    </row>
    <row r="260" spans="141:144">
      <c r="EK260" s="1">
        <v>8</v>
      </c>
      <c r="EL260" s="1">
        <v>1</v>
      </c>
      <c r="EM260" s="1" t="s">
        <v>130</v>
      </c>
      <c r="EN260" s="1" t="s">
        <v>131</v>
      </c>
    </row>
    <row r="261" spans="141:144">
      <c r="EK261" s="1">
        <v>3</v>
      </c>
      <c r="EL261" s="1">
        <v>2</v>
      </c>
      <c r="EN261" s="1" t="s">
        <v>132</v>
      </c>
    </row>
    <row r="262" spans="141:144">
      <c r="EK262" s="1">
        <v>4</v>
      </c>
      <c r="EL262" s="1">
        <v>5</v>
      </c>
      <c r="EN262" s="1" t="s">
        <v>133</v>
      </c>
    </row>
    <row r="263" spans="141:144">
      <c r="EK263" s="1">
        <v>6</v>
      </c>
      <c r="EL263" s="1">
        <v>7</v>
      </c>
      <c r="EN263" s="1" t="s">
        <v>134</v>
      </c>
    </row>
    <row r="264" spans="141:144">
      <c r="EK264" s="1">
        <v>16</v>
      </c>
      <c r="EL264" s="1">
        <v>9</v>
      </c>
      <c r="EN264" s="1" t="s">
        <v>1482</v>
      </c>
    </row>
    <row r="265" spans="141:144">
      <c r="EK265" s="1">
        <v>10</v>
      </c>
      <c r="EL265" s="1">
        <v>11</v>
      </c>
      <c r="EN265" s="1" t="s">
        <v>1483</v>
      </c>
    </row>
    <row r="266" spans="141:144">
      <c r="EK266" s="1">
        <v>12</v>
      </c>
      <c r="EL266" s="1">
        <v>13</v>
      </c>
      <c r="EN266" s="1" t="s">
        <v>1484</v>
      </c>
    </row>
    <row r="267" spans="141:144">
      <c r="EK267" s="1">
        <v>14</v>
      </c>
      <c r="EL267" s="1">
        <v>15</v>
      </c>
      <c r="EN267" s="1" t="s">
        <v>1485</v>
      </c>
    </row>
    <row r="268" spans="141:144">
      <c r="EK268" s="1">
        <v>24</v>
      </c>
      <c r="EL268" s="1">
        <v>17</v>
      </c>
      <c r="EN268" s="1" t="s">
        <v>1486</v>
      </c>
    </row>
    <row r="269" spans="141:144">
      <c r="EK269" s="1">
        <v>18</v>
      </c>
      <c r="EL269" s="1">
        <v>19</v>
      </c>
      <c r="EN269" s="1" t="s">
        <v>1487</v>
      </c>
    </row>
    <row r="270" spans="141:144">
      <c r="EK270" s="1">
        <v>20</v>
      </c>
      <c r="EL270" s="1">
        <v>21</v>
      </c>
      <c r="EN270" s="1" t="s">
        <v>1488</v>
      </c>
    </row>
    <row r="271" spans="141:144">
      <c r="EK271" s="1">
        <v>22</v>
      </c>
      <c r="EL271" s="1">
        <v>23</v>
      </c>
      <c r="EN271" s="1" t="s">
        <v>1489</v>
      </c>
    </row>
    <row r="272" spans="141:144">
      <c r="EK272" s="1">
        <v>25</v>
      </c>
      <c r="EL272" s="1">
        <v>32</v>
      </c>
      <c r="EN272" s="1" t="s">
        <v>1490</v>
      </c>
    </row>
    <row r="273" spans="141:144">
      <c r="EK273" s="1">
        <v>26</v>
      </c>
      <c r="EL273" s="1">
        <v>27</v>
      </c>
      <c r="EN273" s="1" t="s">
        <v>1491</v>
      </c>
    </row>
    <row r="274" spans="141:144">
      <c r="EK274" s="1">
        <v>28</v>
      </c>
      <c r="EL274" s="1">
        <v>29</v>
      </c>
      <c r="EN274" s="1" t="s">
        <v>1492</v>
      </c>
    </row>
    <row r="275" spans="141:144">
      <c r="EK275" s="1">
        <v>30</v>
      </c>
      <c r="EL275" s="1">
        <v>31</v>
      </c>
      <c r="EN275" s="1" t="s">
        <v>1493</v>
      </c>
    </row>
    <row r="276" spans="141:144">
      <c r="EK276" s="1">
        <v>40</v>
      </c>
      <c r="EL276" s="1">
        <v>33</v>
      </c>
      <c r="EN276" s="1" t="s">
        <v>1494</v>
      </c>
    </row>
    <row r="277" spans="141:144">
      <c r="EK277" s="1">
        <v>34</v>
      </c>
      <c r="EL277" s="1">
        <v>35</v>
      </c>
      <c r="EN277" s="1" t="s">
        <v>1495</v>
      </c>
    </row>
    <row r="278" spans="141:144">
      <c r="EK278" s="1">
        <v>36</v>
      </c>
      <c r="EL278" s="1">
        <v>37</v>
      </c>
      <c r="EN278" s="1" t="s">
        <v>1496</v>
      </c>
    </row>
    <row r="279" spans="141:144">
      <c r="EK279" s="1">
        <v>38</v>
      </c>
      <c r="EL279" s="1">
        <v>39</v>
      </c>
      <c r="EN279" s="1" t="s">
        <v>1497</v>
      </c>
    </row>
    <row r="280" spans="141:144">
      <c r="EK280" s="1">
        <v>48</v>
      </c>
      <c r="EL280" s="1">
        <v>41</v>
      </c>
      <c r="EN280" s="1" t="s">
        <v>1498</v>
      </c>
    </row>
    <row r="281" spans="141:144">
      <c r="EK281" s="1">
        <v>42</v>
      </c>
      <c r="EL281" s="1">
        <v>43</v>
      </c>
      <c r="EN281" s="1" t="s">
        <v>1499</v>
      </c>
    </row>
    <row r="282" spans="141:144">
      <c r="EK282" s="1">
        <v>44</v>
      </c>
      <c r="EL282" s="1">
        <v>45</v>
      </c>
      <c r="EN282" s="1" t="s">
        <v>1500</v>
      </c>
    </row>
    <row r="283" spans="141:144">
      <c r="EK283" s="1">
        <v>46</v>
      </c>
      <c r="EL283" s="1">
        <v>47</v>
      </c>
      <c r="EN283" s="1" t="s">
        <v>1501</v>
      </c>
    </row>
    <row r="284" spans="141:144">
      <c r="EK284" s="1">
        <v>56</v>
      </c>
      <c r="EL284" s="1">
        <v>49</v>
      </c>
      <c r="EN284" s="1" t="s">
        <v>1502</v>
      </c>
    </row>
    <row r="285" spans="141:144">
      <c r="EK285" s="1">
        <v>50</v>
      </c>
      <c r="EL285" s="1">
        <v>51</v>
      </c>
      <c r="EN285" s="1" t="s">
        <v>1503</v>
      </c>
    </row>
    <row r="286" spans="141:144">
      <c r="EK286" s="1">
        <v>52</v>
      </c>
      <c r="EL286" s="1">
        <v>53</v>
      </c>
      <c r="EN286" s="1" t="s">
        <v>1504</v>
      </c>
    </row>
    <row r="287" spans="141:144">
      <c r="EK287" s="1">
        <v>54</v>
      </c>
      <c r="EL287" s="1">
        <v>55</v>
      </c>
      <c r="EN287" s="1" t="s">
        <v>1505</v>
      </c>
    </row>
    <row r="288" spans="141:144">
      <c r="EK288" s="1">
        <v>64</v>
      </c>
      <c r="EL288" s="1">
        <v>57</v>
      </c>
      <c r="EN288" s="1" t="s">
        <v>1506</v>
      </c>
    </row>
    <row r="289" spans="141:144">
      <c r="EK289" s="1">
        <v>58</v>
      </c>
      <c r="EL289" s="1">
        <v>59</v>
      </c>
      <c r="EN289" s="1" t="s">
        <v>1507</v>
      </c>
    </row>
    <row r="290" spans="141:144">
      <c r="EK290" s="1">
        <v>60</v>
      </c>
      <c r="EL290" s="1">
        <v>61</v>
      </c>
      <c r="EN290" s="1" t="s">
        <v>1508</v>
      </c>
    </row>
    <row r="291" spans="141:144">
      <c r="EK291" s="1">
        <v>62</v>
      </c>
      <c r="EL291" s="1">
        <v>63</v>
      </c>
      <c r="EN291" s="1" t="s">
        <v>1509</v>
      </c>
    </row>
    <row r="292" spans="141:144">
      <c r="EK292" s="1">
        <v>1</v>
      </c>
      <c r="EL292" s="1">
        <v>6</v>
      </c>
      <c r="EM292" s="1" t="s">
        <v>135</v>
      </c>
      <c r="EN292" s="1" t="s">
        <v>136</v>
      </c>
    </row>
    <row r="293" spans="141:144">
      <c r="EK293" s="1">
        <v>3</v>
      </c>
      <c r="EL293" s="1">
        <v>8</v>
      </c>
      <c r="EN293" s="1" t="s">
        <v>137</v>
      </c>
    </row>
    <row r="294" spans="141:144">
      <c r="EK294" s="1">
        <v>5</v>
      </c>
      <c r="EL294" s="1">
        <v>2</v>
      </c>
      <c r="EN294" s="1" t="s">
        <v>138</v>
      </c>
    </row>
    <row r="295" spans="141:144">
      <c r="EK295" s="1">
        <v>7</v>
      </c>
      <c r="EL295" s="1">
        <v>4</v>
      </c>
      <c r="EN295" s="1" t="s">
        <v>139</v>
      </c>
    </row>
    <row r="296" spans="141:144">
      <c r="EK296" s="1">
        <v>9</v>
      </c>
      <c r="EL296" s="1">
        <v>14</v>
      </c>
      <c r="EN296" s="1" t="s">
        <v>1510</v>
      </c>
    </row>
    <row r="297" spans="141:144">
      <c r="EK297" s="1">
        <v>11</v>
      </c>
      <c r="EL297" s="1">
        <v>16</v>
      </c>
      <c r="EN297" s="1" t="s">
        <v>1511</v>
      </c>
    </row>
    <row r="298" spans="141:144">
      <c r="EK298" s="1">
        <v>13</v>
      </c>
      <c r="EL298" s="1">
        <v>10</v>
      </c>
      <c r="EN298" s="1" t="s">
        <v>1512</v>
      </c>
    </row>
    <row r="299" spans="141:144">
      <c r="EK299" s="1">
        <v>15</v>
      </c>
      <c r="EL299" s="1">
        <v>12</v>
      </c>
      <c r="EN299" s="1" t="s">
        <v>1513</v>
      </c>
    </row>
    <row r="300" spans="141:144">
      <c r="EK300" s="1">
        <v>17</v>
      </c>
      <c r="EL300" s="1">
        <v>22</v>
      </c>
      <c r="EN300" s="1" t="s">
        <v>1514</v>
      </c>
    </row>
    <row r="301" spans="141:144">
      <c r="EK301" s="1">
        <v>19</v>
      </c>
      <c r="EL301" s="1">
        <v>24</v>
      </c>
      <c r="EN301" s="1" t="s">
        <v>1515</v>
      </c>
    </row>
    <row r="302" spans="141:144">
      <c r="EK302" s="1">
        <v>21</v>
      </c>
      <c r="EL302" s="1">
        <v>18</v>
      </c>
      <c r="EN302" s="1" t="s">
        <v>1516</v>
      </c>
    </row>
    <row r="303" spans="141:144">
      <c r="EK303" s="1">
        <v>23</v>
      </c>
      <c r="EL303" s="1">
        <v>20</v>
      </c>
      <c r="EN303" s="1" t="s">
        <v>1517</v>
      </c>
    </row>
    <row r="304" spans="141:144">
      <c r="EK304" s="1">
        <v>25</v>
      </c>
      <c r="EL304" s="1">
        <v>30</v>
      </c>
      <c r="EN304" s="1" t="s">
        <v>1518</v>
      </c>
    </row>
    <row r="305" spans="141:144">
      <c r="EK305" s="1">
        <v>27</v>
      </c>
      <c r="EL305" s="1">
        <v>32</v>
      </c>
      <c r="EN305" s="1" t="s">
        <v>1519</v>
      </c>
    </row>
    <row r="306" spans="141:144">
      <c r="EK306" s="1">
        <v>29</v>
      </c>
      <c r="EL306" s="1">
        <v>26</v>
      </c>
      <c r="EN306" s="1" t="s">
        <v>1520</v>
      </c>
    </row>
    <row r="307" spans="141:144">
      <c r="EK307" s="1">
        <v>31</v>
      </c>
      <c r="EL307" s="1">
        <v>28</v>
      </c>
      <c r="EN307" s="1" t="s">
        <v>1521</v>
      </c>
    </row>
    <row r="308" spans="141:144">
      <c r="EK308" s="1">
        <v>33</v>
      </c>
      <c r="EL308" s="1">
        <v>38</v>
      </c>
      <c r="EN308" s="1" t="s">
        <v>1522</v>
      </c>
    </row>
    <row r="309" spans="141:144">
      <c r="EK309" s="1">
        <v>35</v>
      </c>
      <c r="EL309" s="1">
        <v>40</v>
      </c>
      <c r="EN309" s="1" t="s">
        <v>1523</v>
      </c>
    </row>
    <row r="310" spans="141:144">
      <c r="EK310" s="1">
        <v>37</v>
      </c>
      <c r="EL310" s="1">
        <v>34</v>
      </c>
      <c r="EN310" s="1" t="s">
        <v>1524</v>
      </c>
    </row>
    <row r="311" spans="141:144">
      <c r="EK311" s="1">
        <v>39</v>
      </c>
      <c r="EL311" s="1">
        <v>36</v>
      </c>
      <c r="EN311" s="1" t="s">
        <v>1525</v>
      </c>
    </row>
    <row r="312" spans="141:144">
      <c r="EK312" s="1">
        <v>41</v>
      </c>
      <c r="EL312" s="1">
        <v>46</v>
      </c>
      <c r="EN312" s="1" t="s">
        <v>1526</v>
      </c>
    </row>
    <row r="313" spans="141:144">
      <c r="EK313" s="1">
        <v>43</v>
      </c>
      <c r="EL313" s="1">
        <v>48</v>
      </c>
      <c r="EN313" s="1" t="s">
        <v>1527</v>
      </c>
    </row>
    <row r="314" spans="141:144">
      <c r="EK314" s="1">
        <v>45</v>
      </c>
      <c r="EL314" s="1">
        <v>42</v>
      </c>
      <c r="EN314" s="1" t="s">
        <v>1528</v>
      </c>
    </row>
    <row r="315" spans="141:144">
      <c r="EK315" s="1">
        <v>47</v>
      </c>
      <c r="EL315" s="1">
        <v>44</v>
      </c>
      <c r="EN315" s="1" t="s">
        <v>1529</v>
      </c>
    </row>
    <row r="316" spans="141:144">
      <c r="EK316" s="1">
        <v>49</v>
      </c>
      <c r="EL316" s="1">
        <v>54</v>
      </c>
      <c r="EN316" s="1" t="s">
        <v>1530</v>
      </c>
    </row>
    <row r="317" spans="141:144">
      <c r="EK317" s="1">
        <v>51</v>
      </c>
      <c r="EL317" s="1">
        <v>56</v>
      </c>
      <c r="EN317" s="1" t="s">
        <v>1531</v>
      </c>
    </row>
    <row r="318" spans="141:144">
      <c r="EK318" s="1">
        <v>53</v>
      </c>
      <c r="EL318" s="1">
        <v>50</v>
      </c>
      <c r="EN318" s="1" t="s">
        <v>1532</v>
      </c>
    </row>
    <row r="319" spans="141:144">
      <c r="EK319" s="1">
        <v>55</v>
      </c>
      <c r="EL319" s="1">
        <v>52</v>
      </c>
      <c r="EN319" s="1" t="s">
        <v>1533</v>
      </c>
    </row>
    <row r="320" spans="141:144">
      <c r="EK320" s="1">
        <v>57</v>
      </c>
      <c r="EL320" s="1">
        <v>62</v>
      </c>
      <c r="EN320" s="1" t="s">
        <v>1534</v>
      </c>
    </row>
    <row r="321" spans="141:144">
      <c r="EK321" s="1">
        <v>59</v>
      </c>
      <c r="EL321" s="1">
        <v>64</v>
      </c>
      <c r="EN321" s="1" t="s">
        <v>1535</v>
      </c>
    </row>
    <row r="322" spans="141:144">
      <c r="EK322" s="1">
        <v>61</v>
      </c>
      <c r="EL322" s="1">
        <v>58</v>
      </c>
      <c r="EN322" s="1" t="s">
        <v>1536</v>
      </c>
    </row>
    <row r="323" spans="141:144">
      <c r="EK323" s="1">
        <v>63</v>
      </c>
      <c r="EL323" s="1">
        <v>60</v>
      </c>
      <c r="EN323" s="1" t="s">
        <v>1537</v>
      </c>
    </row>
    <row r="324" spans="141:144">
      <c r="EK324" s="1">
        <v>4</v>
      </c>
      <c r="EL324" s="1">
        <v>1</v>
      </c>
      <c r="EM324" s="1" t="s">
        <v>140</v>
      </c>
      <c r="EN324" s="1" t="s">
        <v>141</v>
      </c>
    </row>
    <row r="325" spans="141:144">
      <c r="EK325" s="1">
        <v>6</v>
      </c>
      <c r="EL325" s="1">
        <v>3</v>
      </c>
      <c r="EN325" s="1" t="s">
        <v>142</v>
      </c>
    </row>
    <row r="326" spans="141:144">
      <c r="EK326" s="1">
        <v>8</v>
      </c>
      <c r="EL326" s="1">
        <v>5</v>
      </c>
      <c r="EN326" s="1" t="s">
        <v>143</v>
      </c>
    </row>
    <row r="327" spans="141:144">
      <c r="EK327" s="1">
        <v>2</v>
      </c>
      <c r="EL327" s="1">
        <v>7</v>
      </c>
      <c r="EN327" s="1" t="s">
        <v>144</v>
      </c>
    </row>
    <row r="328" spans="141:144">
      <c r="EK328" s="1">
        <v>12</v>
      </c>
      <c r="EL328" s="1">
        <v>9</v>
      </c>
      <c r="EN328" s="1" t="s">
        <v>1538</v>
      </c>
    </row>
    <row r="329" spans="141:144">
      <c r="EK329" s="1">
        <v>14</v>
      </c>
      <c r="EL329" s="1">
        <v>11</v>
      </c>
      <c r="EN329" s="1" t="s">
        <v>1539</v>
      </c>
    </row>
    <row r="330" spans="141:144">
      <c r="EK330" s="1">
        <v>16</v>
      </c>
      <c r="EL330" s="1">
        <v>13</v>
      </c>
      <c r="EN330" s="1" t="s">
        <v>1540</v>
      </c>
    </row>
    <row r="331" spans="141:144">
      <c r="EK331" s="1">
        <v>10</v>
      </c>
      <c r="EL331" s="1">
        <v>15</v>
      </c>
      <c r="EN331" s="1" t="s">
        <v>1541</v>
      </c>
    </row>
    <row r="332" spans="141:144">
      <c r="EK332" s="1">
        <v>20</v>
      </c>
      <c r="EL332" s="1">
        <v>17</v>
      </c>
      <c r="EN332" s="1" t="s">
        <v>1542</v>
      </c>
    </row>
    <row r="333" spans="141:144">
      <c r="EK333" s="1">
        <v>22</v>
      </c>
      <c r="EL333" s="1">
        <v>19</v>
      </c>
      <c r="EN333" s="1" t="s">
        <v>1543</v>
      </c>
    </row>
    <row r="334" spans="141:144">
      <c r="EK334" s="1">
        <v>24</v>
      </c>
      <c r="EL334" s="1">
        <v>21</v>
      </c>
      <c r="EN334" s="1" t="s">
        <v>1544</v>
      </c>
    </row>
    <row r="335" spans="141:144">
      <c r="EK335" s="1">
        <v>18</v>
      </c>
      <c r="EL335" s="1">
        <v>23</v>
      </c>
      <c r="EN335" s="1" t="s">
        <v>1545</v>
      </c>
    </row>
    <row r="336" spans="141:144">
      <c r="EK336" s="1">
        <v>28</v>
      </c>
      <c r="EL336" s="1">
        <v>25</v>
      </c>
      <c r="EN336" s="1" t="s">
        <v>1546</v>
      </c>
    </row>
    <row r="337" spans="141:144">
      <c r="EK337" s="1">
        <v>30</v>
      </c>
      <c r="EL337" s="1">
        <v>27</v>
      </c>
      <c r="EN337" s="1" t="s">
        <v>1547</v>
      </c>
    </row>
    <row r="338" spans="141:144">
      <c r="EK338" s="1">
        <v>32</v>
      </c>
      <c r="EL338" s="1">
        <v>29</v>
      </c>
      <c r="EN338" s="1" t="s">
        <v>1548</v>
      </c>
    </row>
    <row r="339" spans="141:144">
      <c r="EK339" s="1">
        <v>26</v>
      </c>
      <c r="EL339" s="1">
        <v>31</v>
      </c>
      <c r="EN339" s="1" t="s">
        <v>1549</v>
      </c>
    </row>
    <row r="340" spans="141:144">
      <c r="EK340" s="1">
        <v>36</v>
      </c>
      <c r="EL340" s="1">
        <v>33</v>
      </c>
      <c r="EN340" s="1" t="s">
        <v>1550</v>
      </c>
    </row>
    <row r="341" spans="141:144">
      <c r="EK341" s="1">
        <v>38</v>
      </c>
      <c r="EL341" s="1">
        <v>35</v>
      </c>
      <c r="EN341" s="1" t="s">
        <v>1551</v>
      </c>
    </row>
    <row r="342" spans="141:144">
      <c r="EK342" s="1">
        <v>40</v>
      </c>
      <c r="EL342" s="1">
        <v>37</v>
      </c>
      <c r="EN342" s="1" t="s">
        <v>1552</v>
      </c>
    </row>
    <row r="343" spans="141:144">
      <c r="EK343" s="1">
        <v>34</v>
      </c>
      <c r="EL343" s="1">
        <v>39</v>
      </c>
      <c r="EN343" s="1" t="s">
        <v>1553</v>
      </c>
    </row>
    <row r="344" spans="141:144">
      <c r="EK344" s="1">
        <v>44</v>
      </c>
      <c r="EL344" s="1">
        <v>41</v>
      </c>
      <c r="EN344" s="1" t="s">
        <v>1554</v>
      </c>
    </row>
    <row r="345" spans="141:144">
      <c r="EK345" s="1">
        <v>46</v>
      </c>
      <c r="EL345" s="1">
        <v>43</v>
      </c>
      <c r="EN345" s="1" t="s">
        <v>1555</v>
      </c>
    </row>
    <row r="346" spans="141:144">
      <c r="EK346" s="1">
        <v>48</v>
      </c>
      <c r="EL346" s="1">
        <v>45</v>
      </c>
      <c r="EN346" s="1" t="s">
        <v>1556</v>
      </c>
    </row>
    <row r="347" spans="141:144">
      <c r="EK347" s="1">
        <v>42</v>
      </c>
      <c r="EL347" s="1">
        <v>47</v>
      </c>
      <c r="EN347" s="1" t="s">
        <v>1557</v>
      </c>
    </row>
    <row r="348" spans="141:144">
      <c r="EK348" s="1">
        <v>52</v>
      </c>
      <c r="EL348" s="1">
        <v>49</v>
      </c>
      <c r="EN348" s="1" t="s">
        <v>1558</v>
      </c>
    </row>
    <row r="349" spans="141:144">
      <c r="EK349" s="1">
        <v>54</v>
      </c>
      <c r="EL349" s="1">
        <v>51</v>
      </c>
      <c r="EN349" s="1" t="s">
        <v>1559</v>
      </c>
    </row>
    <row r="350" spans="141:144">
      <c r="EK350" s="1">
        <v>56</v>
      </c>
      <c r="EL350" s="1">
        <v>53</v>
      </c>
      <c r="EN350" s="1" t="s">
        <v>1560</v>
      </c>
    </row>
    <row r="351" spans="141:144">
      <c r="EK351" s="1">
        <v>50</v>
      </c>
      <c r="EL351" s="1">
        <v>55</v>
      </c>
      <c r="EN351" s="1" t="s">
        <v>1561</v>
      </c>
    </row>
    <row r="352" spans="141:144">
      <c r="EK352" s="1">
        <v>60</v>
      </c>
      <c r="EL352" s="1">
        <v>57</v>
      </c>
      <c r="EN352" s="1" t="s">
        <v>1562</v>
      </c>
    </row>
    <row r="353" spans="141:144">
      <c r="EK353" s="1">
        <v>62</v>
      </c>
      <c r="EL353" s="1">
        <v>59</v>
      </c>
      <c r="EN353" s="1" t="s">
        <v>1563</v>
      </c>
    </row>
    <row r="354" spans="141:144">
      <c r="EK354" s="1">
        <v>64</v>
      </c>
      <c r="EL354" s="1">
        <v>61</v>
      </c>
      <c r="EN354" s="1" t="s">
        <v>1564</v>
      </c>
    </row>
    <row r="355" spans="141:144">
      <c r="EK355" s="1">
        <v>58</v>
      </c>
      <c r="EL355" s="1">
        <v>63</v>
      </c>
      <c r="EN355" s="1" t="s">
        <v>1565</v>
      </c>
    </row>
    <row r="356" spans="141:144">
      <c r="EK356" s="1">
        <v>1</v>
      </c>
      <c r="EL356" s="1">
        <v>3</v>
      </c>
      <c r="EM356" s="1" t="s">
        <v>145</v>
      </c>
      <c r="EN356" s="1" t="s">
        <v>146</v>
      </c>
    </row>
    <row r="357" spans="141:144">
      <c r="EK357" s="1">
        <v>5</v>
      </c>
      <c r="EL357" s="1">
        <v>7</v>
      </c>
      <c r="EN357" s="1" t="s">
        <v>147</v>
      </c>
    </row>
    <row r="358" spans="141:144">
      <c r="EK358" s="1">
        <v>2</v>
      </c>
      <c r="EL358" s="1">
        <v>4</v>
      </c>
      <c r="EN358" s="1" t="s">
        <v>148</v>
      </c>
    </row>
    <row r="359" spans="141:144">
      <c r="EK359" s="1">
        <v>6</v>
      </c>
      <c r="EL359" s="1">
        <v>8</v>
      </c>
      <c r="EN359" s="1" t="s">
        <v>149</v>
      </c>
    </row>
    <row r="360" spans="141:144">
      <c r="EK360" s="1">
        <v>9</v>
      </c>
      <c r="EL360" s="1">
        <v>11</v>
      </c>
      <c r="EN360" s="1" t="s">
        <v>1566</v>
      </c>
    </row>
    <row r="361" spans="141:144">
      <c r="EK361" s="1">
        <v>13</v>
      </c>
      <c r="EL361" s="1">
        <v>15</v>
      </c>
      <c r="EN361" s="1" t="s">
        <v>1567</v>
      </c>
    </row>
    <row r="362" spans="141:144">
      <c r="EK362" s="1">
        <v>10</v>
      </c>
      <c r="EL362" s="1">
        <v>12</v>
      </c>
      <c r="EN362" s="1" t="s">
        <v>1568</v>
      </c>
    </row>
    <row r="363" spans="141:144">
      <c r="EK363" s="1">
        <v>14</v>
      </c>
      <c r="EL363" s="1">
        <v>16</v>
      </c>
      <c r="EN363" s="1" t="s">
        <v>1569</v>
      </c>
    </row>
    <row r="364" spans="141:144">
      <c r="EK364" s="1">
        <v>17</v>
      </c>
      <c r="EL364" s="1">
        <v>19</v>
      </c>
      <c r="EN364" s="1" t="s">
        <v>1570</v>
      </c>
    </row>
    <row r="365" spans="141:144">
      <c r="EK365" s="1">
        <v>21</v>
      </c>
      <c r="EL365" s="1">
        <v>23</v>
      </c>
      <c r="EN365" s="1" t="s">
        <v>1571</v>
      </c>
    </row>
    <row r="366" spans="141:144">
      <c r="EK366" s="1">
        <v>18</v>
      </c>
      <c r="EL366" s="1">
        <v>20</v>
      </c>
      <c r="EN366" s="1" t="s">
        <v>1572</v>
      </c>
    </row>
    <row r="367" spans="141:144">
      <c r="EK367" s="1">
        <v>22</v>
      </c>
      <c r="EL367" s="1">
        <v>24</v>
      </c>
      <c r="EN367" s="1" t="s">
        <v>1573</v>
      </c>
    </row>
    <row r="368" spans="141:144">
      <c r="EK368" s="1">
        <v>25</v>
      </c>
      <c r="EL368" s="1">
        <v>27</v>
      </c>
      <c r="EN368" s="1" t="s">
        <v>1574</v>
      </c>
    </row>
    <row r="369" spans="141:144">
      <c r="EK369" s="1">
        <v>29</v>
      </c>
      <c r="EL369" s="1">
        <v>31</v>
      </c>
      <c r="EN369" s="1" t="s">
        <v>1575</v>
      </c>
    </row>
    <row r="370" spans="141:144">
      <c r="EK370" s="1">
        <v>26</v>
      </c>
      <c r="EL370" s="1">
        <v>28</v>
      </c>
      <c r="EN370" s="1" t="s">
        <v>1576</v>
      </c>
    </row>
    <row r="371" spans="141:144">
      <c r="EK371" s="1">
        <v>30</v>
      </c>
      <c r="EL371" s="1">
        <v>32</v>
      </c>
      <c r="EN371" s="1" t="s">
        <v>1577</v>
      </c>
    </row>
    <row r="372" spans="141:144">
      <c r="EK372" s="1">
        <v>33</v>
      </c>
      <c r="EL372" s="1">
        <v>35</v>
      </c>
      <c r="EN372" s="1" t="s">
        <v>1578</v>
      </c>
    </row>
    <row r="373" spans="141:144">
      <c r="EK373" s="1">
        <v>37</v>
      </c>
      <c r="EL373" s="1">
        <v>39</v>
      </c>
      <c r="EN373" s="1" t="s">
        <v>1579</v>
      </c>
    </row>
    <row r="374" spans="141:144">
      <c r="EK374" s="1">
        <v>34</v>
      </c>
      <c r="EL374" s="1">
        <v>36</v>
      </c>
      <c r="EN374" s="1" t="s">
        <v>1580</v>
      </c>
    </row>
    <row r="375" spans="141:144">
      <c r="EK375" s="1">
        <v>38</v>
      </c>
      <c r="EL375" s="1">
        <v>40</v>
      </c>
      <c r="EN375" s="1" t="s">
        <v>1581</v>
      </c>
    </row>
    <row r="376" spans="141:144">
      <c r="EK376" s="1">
        <v>41</v>
      </c>
      <c r="EL376" s="1">
        <v>43</v>
      </c>
      <c r="EN376" s="1" t="s">
        <v>1582</v>
      </c>
    </row>
    <row r="377" spans="141:144">
      <c r="EK377" s="1">
        <v>45</v>
      </c>
      <c r="EL377" s="1">
        <v>47</v>
      </c>
      <c r="EN377" s="1" t="s">
        <v>1583</v>
      </c>
    </row>
    <row r="378" spans="141:144">
      <c r="EK378" s="1">
        <v>42</v>
      </c>
      <c r="EL378" s="1">
        <v>44</v>
      </c>
      <c r="EN378" s="1" t="s">
        <v>1584</v>
      </c>
    </row>
    <row r="379" spans="141:144">
      <c r="EK379" s="1">
        <v>46</v>
      </c>
      <c r="EL379" s="1">
        <v>48</v>
      </c>
      <c r="EN379" s="1" t="s">
        <v>1585</v>
      </c>
    </row>
    <row r="380" spans="141:144">
      <c r="EK380" s="1">
        <v>49</v>
      </c>
      <c r="EL380" s="1">
        <v>51</v>
      </c>
      <c r="EN380" s="1" t="s">
        <v>1586</v>
      </c>
    </row>
    <row r="381" spans="141:144">
      <c r="EK381" s="1">
        <v>53</v>
      </c>
      <c r="EL381" s="1">
        <v>55</v>
      </c>
      <c r="EN381" s="1" t="s">
        <v>1587</v>
      </c>
    </row>
    <row r="382" spans="141:144">
      <c r="EK382" s="1">
        <v>50</v>
      </c>
      <c r="EL382" s="1">
        <v>56</v>
      </c>
      <c r="EN382" s="1" t="s">
        <v>1588</v>
      </c>
    </row>
    <row r="383" spans="141:144">
      <c r="EK383" s="1">
        <v>52</v>
      </c>
      <c r="EL383" s="1">
        <v>54</v>
      </c>
      <c r="EN383" s="1" t="s">
        <v>1589</v>
      </c>
    </row>
    <row r="384" spans="141:144">
      <c r="EK384" s="1">
        <v>57</v>
      </c>
      <c r="EL384" s="1">
        <v>59</v>
      </c>
      <c r="EN384" s="1" t="s">
        <v>1590</v>
      </c>
    </row>
    <row r="385" spans="141:144">
      <c r="EK385" s="1">
        <v>63</v>
      </c>
      <c r="EL385" s="1">
        <v>61</v>
      </c>
      <c r="EN385" s="1" t="s">
        <v>1591</v>
      </c>
    </row>
    <row r="386" spans="141:144">
      <c r="EK386" s="1">
        <v>58</v>
      </c>
      <c r="EL386" s="1">
        <v>60</v>
      </c>
      <c r="EN386" s="1" t="s">
        <v>1592</v>
      </c>
    </row>
    <row r="387" spans="141:144">
      <c r="EK387" s="1">
        <v>62</v>
      </c>
      <c r="EL387" s="1">
        <v>64</v>
      </c>
      <c r="EN387" s="1" t="s">
        <v>1593</v>
      </c>
    </row>
    <row r="388" spans="141:144">
      <c r="EK388" s="1">
        <v>5</v>
      </c>
      <c r="EL388" s="1">
        <v>1</v>
      </c>
      <c r="EM388" s="1" t="s">
        <v>150</v>
      </c>
      <c r="EN388" s="1" t="s">
        <v>151</v>
      </c>
    </row>
    <row r="389" spans="141:144">
      <c r="EK389" s="1">
        <v>7</v>
      </c>
      <c r="EL389" s="1">
        <v>3</v>
      </c>
      <c r="EN389" s="1" t="s">
        <v>152</v>
      </c>
    </row>
    <row r="390" spans="141:144">
      <c r="EK390" s="1">
        <v>6</v>
      </c>
      <c r="EL390" s="1">
        <v>2</v>
      </c>
      <c r="EN390" s="1" t="s">
        <v>153</v>
      </c>
    </row>
    <row r="391" spans="141:144">
      <c r="EK391" s="1">
        <v>8</v>
      </c>
      <c r="EL391" s="1">
        <v>4</v>
      </c>
      <c r="EN391" s="1" t="s">
        <v>154</v>
      </c>
    </row>
    <row r="392" spans="141:144">
      <c r="EK392" s="1">
        <v>13</v>
      </c>
      <c r="EL392" s="1">
        <v>9</v>
      </c>
      <c r="EN392" s="1" t="s">
        <v>1594</v>
      </c>
    </row>
    <row r="393" spans="141:144">
      <c r="EK393" s="1">
        <v>15</v>
      </c>
      <c r="EL393" s="1">
        <v>11</v>
      </c>
      <c r="EN393" s="1" t="s">
        <v>1595</v>
      </c>
    </row>
    <row r="394" spans="141:144">
      <c r="EK394" s="1">
        <v>14</v>
      </c>
      <c r="EL394" s="1">
        <v>10</v>
      </c>
      <c r="EN394" s="1" t="s">
        <v>1596</v>
      </c>
    </row>
    <row r="395" spans="141:144">
      <c r="EK395" s="1">
        <v>16</v>
      </c>
      <c r="EL395" s="1">
        <v>12</v>
      </c>
      <c r="EN395" s="1" t="s">
        <v>1597</v>
      </c>
    </row>
    <row r="396" spans="141:144">
      <c r="EK396" s="1">
        <v>21</v>
      </c>
      <c r="EL396" s="1">
        <v>17</v>
      </c>
      <c r="EN396" s="1" t="s">
        <v>1598</v>
      </c>
    </row>
    <row r="397" spans="141:144">
      <c r="EK397" s="1">
        <v>23</v>
      </c>
      <c r="EL397" s="1">
        <v>19</v>
      </c>
      <c r="EN397" s="1" t="s">
        <v>1599</v>
      </c>
    </row>
    <row r="398" spans="141:144">
      <c r="EK398" s="1">
        <v>22</v>
      </c>
      <c r="EL398" s="1">
        <v>18</v>
      </c>
      <c r="EN398" s="1" t="s">
        <v>1600</v>
      </c>
    </row>
    <row r="399" spans="141:144">
      <c r="EK399" s="1">
        <v>24</v>
      </c>
      <c r="EL399" s="1">
        <v>20</v>
      </c>
      <c r="EN399" s="1" t="s">
        <v>1601</v>
      </c>
    </row>
    <row r="400" spans="141:144">
      <c r="EK400" s="1">
        <v>29</v>
      </c>
      <c r="EL400" s="1">
        <v>25</v>
      </c>
      <c r="EN400" s="1" t="s">
        <v>1602</v>
      </c>
    </row>
    <row r="401" spans="141:144">
      <c r="EK401" s="1">
        <v>31</v>
      </c>
      <c r="EL401" s="1">
        <v>27</v>
      </c>
      <c r="EN401" s="1" t="s">
        <v>1603</v>
      </c>
    </row>
    <row r="402" spans="141:144">
      <c r="EK402" s="1">
        <v>30</v>
      </c>
      <c r="EL402" s="1">
        <v>26</v>
      </c>
      <c r="EN402" s="1" t="s">
        <v>1604</v>
      </c>
    </row>
    <row r="403" spans="141:144">
      <c r="EK403" s="1">
        <v>32</v>
      </c>
      <c r="EL403" s="1">
        <v>28</v>
      </c>
      <c r="EN403" s="1" t="s">
        <v>1605</v>
      </c>
    </row>
    <row r="404" spans="141:144">
      <c r="EK404" s="1">
        <v>37</v>
      </c>
      <c r="EL404" s="1">
        <v>33</v>
      </c>
      <c r="EN404" s="1" t="s">
        <v>1606</v>
      </c>
    </row>
    <row r="405" spans="141:144">
      <c r="EK405" s="1">
        <v>39</v>
      </c>
      <c r="EL405" s="1">
        <v>35</v>
      </c>
      <c r="EN405" s="1" t="s">
        <v>1607</v>
      </c>
    </row>
    <row r="406" spans="141:144">
      <c r="EK406" s="1">
        <v>38</v>
      </c>
      <c r="EL406" s="1">
        <v>34</v>
      </c>
      <c r="EN406" s="1" t="s">
        <v>1608</v>
      </c>
    </row>
    <row r="407" spans="141:144">
      <c r="EK407" s="1">
        <v>40</v>
      </c>
      <c r="EL407" s="1">
        <v>36</v>
      </c>
      <c r="EN407" s="1" t="s">
        <v>1609</v>
      </c>
    </row>
    <row r="408" spans="141:144">
      <c r="EK408" s="1">
        <v>45</v>
      </c>
      <c r="EL408" s="1">
        <v>41</v>
      </c>
      <c r="EN408" s="1" t="s">
        <v>1610</v>
      </c>
    </row>
    <row r="409" spans="141:144">
      <c r="EK409" s="1">
        <v>47</v>
      </c>
      <c r="EL409" s="1">
        <v>43</v>
      </c>
      <c r="EN409" s="1" t="s">
        <v>1611</v>
      </c>
    </row>
    <row r="410" spans="141:144">
      <c r="EK410" s="1">
        <v>46</v>
      </c>
      <c r="EL410" s="1">
        <v>42</v>
      </c>
      <c r="EN410" s="1" t="s">
        <v>1612</v>
      </c>
    </row>
    <row r="411" spans="141:144">
      <c r="EK411" s="1">
        <v>48</v>
      </c>
      <c r="EL411" s="1">
        <v>44</v>
      </c>
      <c r="EN411" s="1" t="s">
        <v>1613</v>
      </c>
    </row>
    <row r="412" spans="141:144">
      <c r="EK412" s="1">
        <v>53</v>
      </c>
      <c r="EL412" s="1">
        <v>49</v>
      </c>
      <c r="EN412" s="1" t="s">
        <v>1614</v>
      </c>
    </row>
    <row r="413" spans="141:144">
      <c r="EK413" s="1">
        <v>55</v>
      </c>
      <c r="EL413" s="1">
        <v>51</v>
      </c>
      <c r="EN413" s="1" t="s">
        <v>1615</v>
      </c>
    </row>
    <row r="414" spans="141:144">
      <c r="EK414" s="1">
        <v>54</v>
      </c>
      <c r="EL414" s="1">
        <v>50</v>
      </c>
      <c r="EN414" s="1" t="s">
        <v>1616</v>
      </c>
    </row>
    <row r="415" spans="141:144">
      <c r="EK415" s="1">
        <v>56</v>
      </c>
      <c r="EL415" s="1">
        <v>52</v>
      </c>
      <c r="EN415" s="1" t="s">
        <v>1617</v>
      </c>
    </row>
    <row r="416" spans="141:144">
      <c r="EK416" s="1">
        <v>61</v>
      </c>
      <c r="EL416" s="1">
        <v>57</v>
      </c>
      <c r="EN416" s="1" t="s">
        <v>1618</v>
      </c>
    </row>
    <row r="417" spans="141:144">
      <c r="EK417" s="1">
        <v>63</v>
      </c>
      <c r="EL417" s="1">
        <v>59</v>
      </c>
      <c r="EN417" s="1" t="s">
        <v>1619</v>
      </c>
    </row>
    <row r="418" spans="141:144">
      <c r="EK418" s="1">
        <v>62</v>
      </c>
      <c r="EL418" s="1">
        <v>58</v>
      </c>
      <c r="EN418" s="1" t="s">
        <v>1620</v>
      </c>
    </row>
    <row r="419" spans="141:144">
      <c r="EK419" s="1">
        <v>64</v>
      </c>
      <c r="EL419" s="1">
        <v>60</v>
      </c>
      <c r="EN419" s="1" t="s">
        <v>1621</v>
      </c>
    </row>
    <row r="420" spans="141:144">
      <c r="EK420" s="1">
        <v>1</v>
      </c>
      <c r="EL420" s="1">
        <v>7</v>
      </c>
      <c r="EM420" s="1" t="s">
        <v>155</v>
      </c>
      <c r="EN420" s="1" t="s">
        <v>156</v>
      </c>
    </row>
    <row r="421" spans="141:144">
      <c r="EK421" s="1">
        <v>3</v>
      </c>
      <c r="EL421" s="1">
        <v>5</v>
      </c>
      <c r="EN421" s="1" t="s">
        <v>157</v>
      </c>
    </row>
    <row r="422" spans="141:144">
      <c r="EK422" s="1">
        <v>2</v>
      </c>
      <c r="EL422" s="1">
        <v>8</v>
      </c>
      <c r="EN422" s="1" t="s">
        <v>158</v>
      </c>
    </row>
    <row r="423" spans="141:144">
      <c r="EK423" s="1">
        <v>4</v>
      </c>
      <c r="EL423" s="1">
        <v>6</v>
      </c>
      <c r="EN423" s="1" t="s">
        <v>159</v>
      </c>
    </row>
    <row r="424" spans="141:144">
      <c r="EK424" s="1">
        <v>9</v>
      </c>
      <c r="EL424" s="1">
        <v>15</v>
      </c>
      <c r="EN424" s="1" t="s">
        <v>1622</v>
      </c>
    </row>
    <row r="425" spans="141:144">
      <c r="EK425" s="1">
        <v>11</v>
      </c>
      <c r="EL425" s="1">
        <v>13</v>
      </c>
      <c r="EN425" s="1" t="s">
        <v>1623</v>
      </c>
    </row>
    <row r="426" spans="141:144">
      <c r="EK426" s="1">
        <v>10</v>
      </c>
      <c r="EL426" s="1">
        <v>16</v>
      </c>
      <c r="EN426" s="1" t="s">
        <v>1624</v>
      </c>
    </row>
    <row r="427" spans="141:144">
      <c r="EK427" s="1">
        <v>12</v>
      </c>
      <c r="EL427" s="1">
        <v>14</v>
      </c>
      <c r="EN427" s="1" t="s">
        <v>1625</v>
      </c>
    </row>
    <row r="428" spans="141:144">
      <c r="EK428" s="1">
        <v>17</v>
      </c>
      <c r="EL428" s="1">
        <v>23</v>
      </c>
      <c r="EN428" s="1" t="s">
        <v>1626</v>
      </c>
    </row>
    <row r="429" spans="141:144">
      <c r="EK429" s="1">
        <v>19</v>
      </c>
      <c r="EL429" s="1">
        <v>21</v>
      </c>
      <c r="EN429" s="1" t="s">
        <v>1627</v>
      </c>
    </row>
    <row r="430" spans="141:144">
      <c r="EK430" s="1">
        <v>18</v>
      </c>
      <c r="EL430" s="1">
        <v>24</v>
      </c>
      <c r="EN430" s="1" t="s">
        <v>1628</v>
      </c>
    </row>
    <row r="431" spans="141:144">
      <c r="EK431" s="1">
        <v>20</v>
      </c>
      <c r="EL431" s="1">
        <v>22</v>
      </c>
      <c r="EN431" s="1" t="s">
        <v>1629</v>
      </c>
    </row>
    <row r="432" spans="141:144">
      <c r="EK432" s="1">
        <v>25</v>
      </c>
      <c r="EL432" s="1">
        <v>31</v>
      </c>
      <c r="EN432" s="1" t="s">
        <v>1630</v>
      </c>
    </row>
    <row r="433" spans="141:144">
      <c r="EK433" s="1">
        <v>27</v>
      </c>
      <c r="EL433" s="1">
        <v>29</v>
      </c>
      <c r="EN433" s="1" t="s">
        <v>1631</v>
      </c>
    </row>
    <row r="434" spans="141:144">
      <c r="EK434" s="1">
        <v>26</v>
      </c>
      <c r="EL434" s="1">
        <v>32</v>
      </c>
      <c r="EN434" s="1" t="s">
        <v>1632</v>
      </c>
    </row>
    <row r="435" spans="141:144">
      <c r="EK435" s="1">
        <v>28</v>
      </c>
      <c r="EL435" s="1">
        <v>30</v>
      </c>
      <c r="EN435" s="1" t="s">
        <v>1633</v>
      </c>
    </row>
    <row r="436" spans="141:144">
      <c r="EK436" s="1">
        <v>33</v>
      </c>
      <c r="EL436" s="1">
        <v>39</v>
      </c>
      <c r="EN436" s="1" t="s">
        <v>1634</v>
      </c>
    </row>
    <row r="437" spans="141:144">
      <c r="EK437" s="1">
        <v>35</v>
      </c>
      <c r="EL437" s="1">
        <v>37</v>
      </c>
      <c r="EN437" s="1" t="s">
        <v>1635</v>
      </c>
    </row>
    <row r="438" spans="141:144">
      <c r="EK438" s="1">
        <v>34</v>
      </c>
      <c r="EL438" s="1">
        <v>40</v>
      </c>
      <c r="EN438" s="1" t="s">
        <v>1636</v>
      </c>
    </row>
    <row r="439" spans="141:144">
      <c r="EK439" s="1">
        <v>36</v>
      </c>
      <c r="EL439" s="1">
        <v>38</v>
      </c>
      <c r="EN439" s="1" t="s">
        <v>1637</v>
      </c>
    </row>
    <row r="440" spans="141:144">
      <c r="EK440" s="1">
        <v>41</v>
      </c>
      <c r="EL440" s="1">
        <v>47</v>
      </c>
      <c r="EN440" s="1" t="s">
        <v>1638</v>
      </c>
    </row>
    <row r="441" spans="141:144">
      <c r="EK441" s="1">
        <v>43</v>
      </c>
      <c r="EL441" s="1">
        <v>45</v>
      </c>
      <c r="EN441" s="1" t="s">
        <v>1639</v>
      </c>
    </row>
    <row r="442" spans="141:144">
      <c r="EK442" s="1">
        <v>42</v>
      </c>
      <c r="EL442" s="1">
        <v>48</v>
      </c>
      <c r="EN442" s="1" t="s">
        <v>1640</v>
      </c>
    </row>
    <row r="443" spans="141:144">
      <c r="EK443" s="1">
        <v>44</v>
      </c>
      <c r="EL443" s="1">
        <v>46</v>
      </c>
      <c r="EN443" s="1" t="s">
        <v>1641</v>
      </c>
    </row>
    <row r="444" spans="141:144">
      <c r="EK444" s="1">
        <v>49</v>
      </c>
      <c r="EL444" s="1">
        <v>55</v>
      </c>
      <c r="EN444" s="1" t="s">
        <v>1642</v>
      </c>
    </row>
    <row r="445" spans="141:144">
      <c r="EK445" s="1">
        <v>51</v>
      </c>
      <c r="EL445" s="1">
        <v>53</v>
      </c>
      <c r="EN445" s="1" t="s">
        <v>1643</v>
      </c>
    </row>
    <row r="446" spans="141:144">
      <c r="EK446" s="1">
        <v>50</v>
      </c>
      <c r="EL446" s="1">
        <v>52</v>
      </c>
      <c r="EN446" s="1" t="s">
        <v>1644</v>
      </c>
    </row>
    <row r="447" spans="141:144">
      <c r="EK447" s="1">
        <v>54</v>
      </c>
      <c r="EL447" s="1">
        <v>56</v>
      </c>
      <c r="EN447" s="1" t="s">
        <v>1645</v>
      </c>
    </row>
    <row r="448" spans="141:144">
      <c r="EK448" s="1">
        <v>57</v>
      </c>
      <c r="EL448" s="1">
        <v>63</v>
      </c>
      <c r="EN448" s="1" t="s">
        <v>1646</v>
      </c>
    </row>
    <row r="449" spans="141:144">
      <c r="EK449" s="1">
        <v>59</v>
      </c>
      <c r="EL449" s="1">
        <v>61</v>
      </c>
      <c r="EN449" s="1" t="s">
        <v>1647</v>
      </c>
    </row>
    <row r="450" spans="141:144">
      <c r="EK450" s="1">
        <v>58</v>
      </c>
      <c r="EL450" s="1">
        <v>64</v>
      </c>
      <c r="EN450" s="1" t="s">
        <v>1648</v>
      </c>
    </row>
    <row r="451" spans="141:144">
      <c r="EK451" s="1">
        <v>60</v>
      </c>
      <c r="EL451" s="1">
        <v>62</v>
      </c>
      <c r="EN451" s="1" t="s">
        <v>1649</v>
      </c>
    </row>
  </sheetData>
  <sheetProtection algorithmName="SHA-512" hashValue="fzGKVUeuoEx5JnfeQ/rZZaN0TzvvAtUCJYKHEmkrQKCnTdUcpcSLln7GmaoAYn7EqK9amD54nz8d5N1hG/4uHg==" saltValue="M7AFVD3Aod80U1Md1PGuCw==" spinCount="100000" sheet="1" objects="1" scenarios="1" selectLockedCells="1" selectUnlockedCells="1"/>
  <phoneticPr fontId="8" type="noConversion"/>
  <pageMargins left="0.7" right="0.7" top="0.78740157499999996" bottom="0.78740157499999996"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40F6B7-3AD2-442B-BB64-4E8BE1FD365C}">
  <sheetPr>
    <tabColor theme="0" tint="-0.14999847407452621"/>
  </sheetPr>
  <dimension ref="A1:CA224"/>
  <sheetViews>
    <sheetView showGridLines="0" zoomScale="70" zoomScaleNormal="70" workbookViewId="0">
      <selection activeCell="H13" sqref="H13"/>
    </sheetView>
  </sheetViews>
  <sheetFormatPr baseColWidth="10" defaultColWidth="11.42578125" defaultRowHeight="14.25"/>
  <cols>
    <col min="1" max="1" width="11.42578125" style="29"/>
    <col min="2" max="2" width="69.7109375" style="29" customWidth="1"/>
    <col min="3" max="3" width="11.42578125" style="29" customWidth="1"/>
    <col min="4" max="5" width="6.7109375" style="29" customWidth="1"/>
    <col min="6" max="6" width="1.85546875" style="29" customWidth="1"/>
    <col min="7" max="8" width="6.7109375" style="29" customWidth="1"/>
    <col min="9" max="9" width="55.7109375" style="29" customWidth="1"/>
    <col min="10" max="10" width="2.85546875" style="29" customWidth="1"/>
    <col min="11" max="11" width="11.42578125" style="29"/>
    <col min="12" max="12" width="3.7109375" style="29" customWidth="1"/>
    <col min="13" max="13" width="11.42578125" style="29"/>
    <col min="14" max="14" width="4" style="29" customWidth="1"/>
    <col min="15" max="15" width="21.85546875" style="29" customWidth="1"/>
    <col min="16" max="16" width="2" style="29" customWidth="1"/>
    <col min="17" max="18" width="6.7109375" style="29" customWidth="1"/>
    <col min="19" max="21" width="6.7109375" style="29" hidden="1" customWidth="1"/>
    <col min="22" max="28" width="11.42578125" style="29" hidden="1" customWidth="1"/>
    <col min="29" max="29" width="6.28515625" style="29" hidden="1" customWidth="1"/>
    <col min="30" max="30" width="5.85546875" style="29" hidden="1" customWidth="1"/>
    <col min="31" max="32" width="5.28515625" style="29" hidden="1" customWidth="1"/>
    <col min="33" max="33" width="6.28515625" style="29" hidden="1" customWidth="1"/>
    <col min="34" max="36" width="6.42578125" style="29" hidden="1" customWidth="1"/>
    <col min="37" max="38" width="6.140625" style="29" hidden="1" customWidth="1"/>
    <col min="39" max="39" width="5.42578125" style="29" hidden="1" customWidth="1"/>
    <col min="40" max="41" width="11.42578125" style="29" hidden="1" customWidth="1"/>
    <col min="42" max="42" width="2.85546875" style="29" hidden="1" customWidth="1"/>
    <col min="43" max="43" width="2.7109375" style="29" hidden="1" customWidth="1"/>
    <col min="44" max="44" width="3" style="29" hidden="1" customWidth="1"/>
    <col min="45" max="45" width="2.7109375" style="29" hidden="1" customWidth="1"/>
    <col min="46" max="48" width="2.42578125" style="29" hidden="1" customWidth="1"/>
    <col min="49" max="49" width="3.140625" style="29" hidden="1" customWidth="1"/>
    <col min="50" max="50" width="7.7109375" style="29" hidden="1" customWidth="1"/>
    <col min="51" max="51" width="6" style="29" hidden="1" customWidth="1"/>
    <col min="52" max="52" width="4.140625" style="29" hidden="1" customWidth="1"/>
    <col min="53" max="53" width="3.85546875" style="29" hidden="1" customWidth="1"/>
    <col min="54" max="54" width="20.28515625" style="29" hidden="1" customWidth="1"/>
    <col min="55" max="55" width="4.42578125" style="29" hidden="1" customWidth="1"/>
    <col min="56" max="58" width="11.42578125" style="29" hidden="1" customWidth="1"/>
    <col min="59" max="59" width="5.42578125" style="29" hidden="1" customWidth="1"/>
    <col min="60" max="60" width="5.28515625" style="29" hidden="1" customWidth="1"/>
    <col min="61" max="61" width="6.42578125" style="29" hidden="1" customWidth="1"/>
    <col min="62" max="64" width="11.42578125" style="29" hidden="1" customWidth="1"/>
    <col min="65" max="65" width="13.28515625" style="29" hidden="1" customWidth="1"/>
    <col min="66" max="66" width="6" style="29" hidden="1" customWidth="1"/>
    <col min="67" max="67" width="5.140625" style="29" hidden="1" customWidth="1"/>
    <col min="68" max="68" width="4.85546875" style="29" hidden="1" customWidth="1"/>
    <col min="69" max="69" width="6" style="29" hidden="1" customWidth="1"/>
    <col min="70" max="70" width="4.7109375" style="29" hidden="1" customWidth="1"/>
    <col min="71" max="71" width="5" style="29" hidden="1" customWidth="1"/>
    <col min="72" max="72" width="5.140625" style="29" hidden="1" customWidth="1"/>
    <col min="73" max="73" width="5.28515625" style="29" hidden="1" customWidth="1"/>
    <col min="74" max="78" width="11.42578125" style="29" hidden="1" customWidth="1"/>
    <col min="79" max="104" width="11.42578125" style="29" customWidth="1"/>
    <col min="105" max="16384" width="11.42578125" style="29"/>
  </cols>
  <sheetData>
    <row r="1" spans="1:75">
      <c r="A1" s="156">
        <f>SUM(Steuerung!X2)</f>
        <v>1</v>
      </c>
    </row>
    <row r="2" spans="1:75">
      <c r="G2" s="86" t="str">
        <f>REPT(Sprache!K34,1)</f>
        <v>Heimmannschaft</v>
      </c>
      <c r="H2" s="87"/>
      <c r="I2" s="88"/>
    </row>
    <row r="3" spans="1:75" ht="19.5">
      <c r="G3" s="92">
        <f>SUM(AC3*1)</f>
        <v>0</v>
      </c>
      <c r="H3" s="93"/>
      <c r="I3" s="94" t="str">
        <f>REPT(Steuerung!AC2,1)</f>
        <v>select Heim - Team</v>
      </c>
      <c r="AC3" s="29" t="str">
        <f>REPT(Steuerung!AC1,1)</f>
        <v>0</v>
      </c>
    </row>
    <row r="5" spans="1:75" ht="15.75" thickBot="1">
      <c r="B5" s="85" t="str">
        <f>REPT(Sprache!K51,1)</f>
        <v>Fehlereingabe</v>
      </c>
      <c r="G5" s="83"/>
      <c r="H5" s="89"/>
      <c r="I5" s="84" t="str">
        <f>REPT(Sprache!K30,1)</f>
        <v>Wenn komplett Forfait, hier "X"</v>
      </c>
      <c r="J5" s="89"/>
      <c r="K5" s="104" t="s">
        <v>280</v>
      </c>
      <c r="L5" s="104"/>
      <c r="M5" s="104"/>
      <c r="N5" s="105"/>
      <c r="O5" s="105"/>
    </row>
    <row r="6" spans="1:75" ht="19.5">
      <c r="B6" s="148">
        <f>SUM(BZ119)</f>
        <v>0</v>
      </c>
      <c r="G6" s="95"/>
      <c r="H6" s="89"/>
      <c r="I6" s="96"/>
      <c r="J6" s="89"/>
      <c r="K6" s="104"/>
      <c r="L6" s="104"/>
      <c r="M6" s="104"/>
      <c r="N6" s="105"/>
      <c r="O6" s="105"/>
    </row>
    <row r="7" spans="1:75" ht="15.75" thickBot="1">
      <c r="G7" s="83"/>
      <c r="H7" s="89"/>
      <c r="I7" s="84" t="str">
        <f>IF(A1=3,REPT(Sprache!K24,1),IF(A1=2,REPT(Sprache!K25,1),IF(A1=1,REPT(Sprache!K25,1),"")))</f>
        <v>Wenn unkomplett ( min. 7 Spieler ), hier "X"</v>
      </c>
      <c r="J7" s="89"/>
      <c r="K7" s="603" t="str">
        <f>REPT(Sprache!K46,1)</f>
        <v>Liga=Qualifiziert für diese Liga ab 3. Spiel</v>
      </c>
      <c r="L7" s="604"/>
      <c r="M7" s="605"/>
      <c r="N7" s="90"/>
      <c r="O7" s="612" t="str">
        <f>REPT(Sprache!K47,1)</f>
        <v>Der Spieler darf nur für die angegebene Mannschaft eingesetzt werden oder in einer höheren Liga</v>
      </c>
    </row>
    <row r="8" spans="1:75">
      <c r="G8" s="91"/>
      <c r="H8" s="89"/>
      <c r="I8" s="89"/>
      <c r="J8" s="89"/>
      <c r="K8" s="606"/>
      <c r="L8" s="607"/>
      <c r="M8" s="608"/>
      <c r="N8" s="90"/>
      <c r="O8" s="613"/>
      <c r="AE8" s="110"/>
      <c r="AF8" s="110" t="s">
        <v>832</v>
      </c>
      <c r="AG8" s="110"/>
      <c r="AH8" s="110"/>
      <c r="AI8" s="110"/>
      <c r="AJ8" s="110"/>
      <c r="AK8" s="112"/>
      <c r="AL8" s="112"/>
      <c r="AM8" s="112"/>
      <c r="AN8" s="29" t="s">
        <v>822</v>
      </c>
    </row>
    <row r="9" spans="1:75">
      <c r="G9" s="97" t="s">
        <v>812</v>
      </c>
      <c r="H9" s="98"/>
      <c r="I9" s="99" t="str">
        <f>REPT(Sprache!K33,1)</f>
        <v>Name / Vorname</v>
      </c>
      <c r="J9" s="91"/>
      <c r="K9" s="609"/>
      <c r="L9" s="610"/>
      <c r="M9" s="611"/>
      <c r="N9" s="100"/>
      <c r="O9" s="614"/>
      <c r="AE9" s="110"/>
      <c r="AF9" s="110"/>
      <c r="AG9" s="110"/>
      <c r="AH9" s="110"/>
      <c r="AI9" s="110"/>
      <c r="AJ9" s="110"/>
      <c r="AK9" s="112"/>
      <c r="AL9" s="112"/>
      <c r="AM9" s="112"/>
    </row>
    <row r="10" spans="1:75">
      <c r="AE10" s="110"/>
      <c r="AF10" s="110">
        <v>1</v>
      </c>
      <c r="AG10" s="110"/>
      <c r="AH10" s="110"/>
      <c r="AI10" s="110">
        <v>2</v>
      </c>
      <c r="AJ10" s="110"/>
      <c r="AK10" s="112"/>
      <c r="AL10" s="112">
        <v>3</v>
      </c>
      <c r="AM10" s="112"/>
    </row>
    <row r="11" spans="1:75">
      <c r="I11" s="102" t="str">
        <f>IF($A$1=3,Sprache!K32,IF($A$1=2,Sprache!K32,IF($A$1=1,Sprache!K37,"")))</f>
        <v>Erste Runde Einzel</v>
      </c>
      <c r="J11" s="91"/>
      <c r="K11" s="85" t="str">
        <f>REPT(Sprache!$K$44,1)</f>
        <v>Spieler-Nr.</v>
      </c>
      <c r="L11" s="82"/>
      <c r="M11" s="85" t="str">
        <f>REPT(Sprache!$K$15,1)</f>
        <v>Liga</v>
      </c>
      <c r="N11" s="100"/>
      <c r="O11" s="85" t="str">
        <f>REPT(Sprache!$K$45,1)</f>
        <v>Qualifiziert für:</v>
      </c>
      <c r="AE11" s="106"/>
      <c r="AF11" s="106" t="s">
        <v>821</v>
      </c>
      <c r="AG11" s="106"/>
      <c r="AH11" s="101"/>
      <c r="AI11" s="101" t="s">
        <v>820</v>
      </c>
      <c r="AJ11" s="101"/>
      <c r="AK11" s="108"/>
      <c r="AL11" s="108" t="s">
        <v>819</v>
      </c>
      <c r="AM11" s="108"/>
      <c r="BN11" s="29" t="s">
        <v>843</v>
      </c>
    </row>
    <row r="12" spans="1:75">
      <c r="AE12" s="106"/>
      <c r="AF12" s="106"/>
      <c r="AG12" s="106"/>
      <c r="AH12" s="101"/>
      <c r="AI12" s="101"/>
      <c r="AJ12" s="101"/>
      <c r="AK12" s="108"/>
      <c r="AL12" s="108"/>
      <c r="AM12" s="108"/>
      <c r="AX12" s="115" t="str">
        <f>REPT(Sprache!K48,1)</f>
        <v>***!!!!!!!!!!Doppelter Eintrag!!!!!!!!!!***</v>
      </c>
      <c r="AY12" s="115" t="str">
        <f>REPT(Sprache!K35,1)</f>
        <v>** A C H T U N G - D O P P E L T E  L I Z E N Z - N U M M E R !!! **</v>
      </c>
      <c r="AZ12" s="29">
        <f>IF($A$1=3,6,8)</f>
        <v>8</v>
      </c>
      <c r="BA12" s="29">
        <f>SUM(AZ13:AZ27)</f>
        <v>8</v>
      </c>
      <c r="BB12" s="29" t="str">
        <f>IF(AY13=0,"",Sprache!$K$29)</f>
        <v/>
      </c>
      <c r="BE12" s="29" t="s">
        <v>827</v>
      </c>
      <c r="BF12" s="29" t="s">
        <v>834</v>
      </c>
      <c r="BJ12" s="29" t="s">
        <v>840</v>
      </c>
      <c r="BL12" s="29" t="s">
        <v>841</v>
      </c>
      <c r="BN12" s="29" t="s">
        <v>772</v>
      </c>
      <c r="BO12" s="29" t="s">
        <v>820</v>
      </c>
      <c r="BP12" s="29" t="s">
        <v>819</v>
      </c>
      <c r="BQ12" s="29" t="s">
        <v>772</v>
      </c>
      <c r="BR12" s="29" t="s">
        <v>820</v>
      </c>
      <c r="BS12" s="29" t="s">
        <v>819</v>
      </c>
    </row>
    <row r="13" spans="1:75">
      <c r="B13" s="119" t="str">
        <f>CONCATENATE(BB13,BD13,AX13,BM13)</f>
        <v/>
      </c>
      <c r="D13" s="120" t="str">
        <f>IF(AC13=0,"",AC13)</f>
        <v>HS</v>
      </c>
      <c r="E13" s="121">
        <f>IF(AD13=0,"",AD13)</f>
        <v>1.1000000000000001</v>
      </c>
      <c r="F13" s="118"/>
      <c r="G13" s="122">
        <f>SUM($G$3/100)</f>
        <v>0</v>
      </c>
      <c r="H13" s="150"/>
      <c r="I13" s="125" t="str">
        <f>IF($G$5="x",VLOOKUP(AO13,Licenses!B:C,2,FALSE),IF(BL13=0,IF(H13="","",VLOOKUP(AO13,Licenses!B:C,2,FALSE)),BM13))</f>
        <v/>
      </c>
      <c r="J13" s="118"/>
      <c r="K13" s="124" t="str">
        <f>IF(H13="","",VLOOKUP(AO13,Licenses!B:D,3,FALSE))</f>
        <v/>
      </c>
      <c r="L13" s="118"/>
      <c r="M13" s="124" t="str">
        <f>REPT(T13,1)</f>
        <v/>
      </c>
      <c r="N13" s="118"/>
      <c r="O13" s="124" t="str">
        <f>IF(M13="","",IF(H13="","",VLOOKUP(AO13,Licenses!B:I,8,FALSE)))</f>
        <v/>
      </c>
      <c r="T13" s="29" t="str">
        <f>IF(U13=0,"",IF(U13="","",U13))</f>
        <v/>
      </c>
      <c r="U13" s="29" t="str">
        <f>IF(H13="","",VLOOKUP(AO13,Licenses!B:H,7,FALSE))</f>
        <v/>
      </c>
      <c r="AB13" s="29">
        <f>IF($A$1=3,AK13,IF($A$1=2,AH13,IF($A$1=1,AE13,0)))</f>
        <v>1</v>
      </c>
      <c r="AC13" s="29" t="str">
        <f>IF($A$1=1,AF13,AI13)</f>
        <v>HS</v>
      </c>
      <c r="AD13" s="29">
        <f>IF($A$1=1,AG13,AJ13)</f>
        <v>1.1000000000000001</v>
      </c>
      <c r="AE13" s="106">
        <v>1</v>
      </c>
      <c r="AF13" s="106" t="s">
        <v>779</v>
      </c>
      <c r="AG13" s="106">
        <v>1.1000000000000001</v>
      </c>
      <c r="AH13" s="101">
        <v>1</v>
      </c>
      <c r="AI13" s="101" t="s">
        <v>778</v>
      </c>
      <c r="AJ13" s="101">
        <v>1.1000000000000001</v>
      </c>
      <c r="AK13" s="108">
        <v>1</v>
      </c>
      <c r="AL13" s="108" t="s">
        <v>778</v>
      </c>
      <c r="AM13" s="108">
        <v>1.1000000000000001</v>
      </c>
      <c r="AO13" s="114" t="str">
        <f>IF($G$5="X",$G$3,IF(H13="","",SUM(H13*1,$G$3)))</f>
        <v/>
      </c>
      <c r="AX13" s="115"/>
      <c r="AY13" s="115">
        <f>IF($G$5="X",0,IF(AZ12=BA12,0,1))</f>
        <v>0</v>
      </c>
      <c r="AZ13" s="116">
        <f>IF(H13="",1,0)</f>
        <v>1</v>
      </c>
      <c r="BA13" s="29">
        <f>IF(H13="",1,0)</f>
        <v>1</v>
      </c>
      <c r="BB13" s="29" t="str">
        <f>IF(AZ13=1,$BB$12,"")</f>
        <v/>
      </c>
      <c r="BC13" s="116">
        <f>IF(I13="n / a",1,0)</f>
        <v>0</v>
      </c>
      <c r="BD13" s="29" t="str">
        <f>IF(BC13=1,REPT(Sprache!$K$27,1),"")</f>
        <v/>
      </c>
      <c r="BE13" s="29">
        <f>SUM(Steuerung!$Y$3)</f>
        <v>1</v>
      </c>
      <c r="BF13" s="29">
        <f>IF(M13="",100,VLOOKUP(M13,Steuerung!$A$39:$B$60,2,FALSE))</f>
        <v>100</v>
      </c>
      <c r="BG13" s="29">
        <f>IF(BE13=BF13,0,IF(BE13&lt;BF13,0,1))</f>
        <v>0</v>
      </c>
      <c r="BH13" s="29" t="str">
        <f>IF(BE13&gt;20,LEFT(M13,1),"")</f>
        <v/>
      </c>
      <c r="BI13" s="29">
        <f>IF(BH13="2",BE13-BF13,0)</f>
        <v>0</v>
      </c>
      <c r="BJ13" s="29">
        <f>IF(BI13=0,0,1)</f>
        <v>0</v>
      </c>
      <c r="BK13" s="29">
        <f>IF(BL13&gt;0,1,0)</f>
        <v>0</v>
      </c>
      <c r="BL13" s="116">
        <f>SUM(BG13,BJ13)</f>
        <v>0</v>
      </c>
      <c r="BM13" s="29" t="str">
        <f>IF(BL13=0,"",Sprache!$K$49)</f>
        <v/>
      </c>
      <c r="BN13" s="29">
        <v>0</v>
      </c>
      <c r="BO13" s="29">
        <v>1</v>
      </c>
      <c r="BP13" s="29">
        <v>1</v>
      </c>
      <c r="BQ13" s="29">
        <f>IF($A$1=1,BN13,0)</f>
        <v>0</v>
      </c>
      <c r="BR13" s="29">
        <f>IF($A$1=2,BO13,0)</f>
        <v>0</v>
      </c>
      <c r="BS13" s="29">
        <f>IF($A$1=3,BP13,0)</f>
        <v>0</v>
      </c>
      <c r="BU13" s="127" t="str">
        <f>IF(BW13=1,H13,"")</f>
        <v/>
      </c>
      <c r="BV13" s="127" t="str">
        <f>CONCATENATE(BU13,BU15)</f>
        <v/>
      </c>
      <c r="BW13" s="29">
        <f>SUM(BQ13:BS13)</f>
        <v>0</v>
      </c>
    </row>
    <row r="14" spans="1:75" ht="6" customHeight="1">
      <c r="D14" s="113"/>
      <c r="E14" s="113"/>
      <c r="I14" s="126"/>
      <c r="AE14" s="107"/>
      <c r="AF14" s="107"/>
      <c r="AG14" s="107"/>
      <c r="AH14" s="103"/>
      <c r="AI14" s="103"/>
      <c r="AJ14" s="103"/>
      <c r="AK14" s="109"/>
      <c r="AL14" s="109"/>
      <c r="AM14" s="109"/>
      <c r="AX14" s="115"/>
      <c r="AY14" s="115"/>
    </row>
    <row r="15" spans="1:75">
      <c r="B15" s="119" t="str">
        <f>CONCATENATE(BB15,BD15,AX15,BM15)</f>
        <v/>
      </c>
      <c r="D15" s="120" t="str">
        <f>IF(AC15=0,"",AC15)</f>
        <v>HS</v>
      </c>
      <c r="E15" s="121">
        <f>IF(AD15=0,"",AD15)</f>
        <v>1.2</v>
      </c>
      <c r="F15" s="118"/>
      <c r="G15" s="122">
        <f>SUM($G$3/100)</f>
        <v>0</v>
      </c>
      <c r="H15" s="150"/>
      <c r="I15" s="125" t="str">
        <f>IF($G$5="x",VLOOKUP(AO15,Licenses!B:C,2,FALSE),IF(BL15=0,IF(H15="","",VLOOKUP(AO15,Licenses!B:C,2,FALSE)),BM15))</f>
        <v/>
      </c>
      <c r="J15" s="118"/>
      <c r="K15" s="124" t="str">
        <f>IF(H15="","",VLOOKUP(AO15,Licenses!B:D,3,FALSE))</f>
        <v/>
      </c>
      <c r="L15" s="118"/>
      <c r="M15" s="124" t="str">
        <f>REPT(T15,1)</f>
        <v/>
      </c>
      <c r="N15" s="118"/>
      <c r="O15" s="124" t="str">
        <f>IF(M15="","",IF(H15="","",VLOOKUP(AO15,Licenses!B:I,8,FALSE)))</f>
        <v/>
      </c>
      <c r="T15" s="29" t="str">
        <f>IF(U15=0,"",IF(U15="","",U15))</f>
        <v/>
      </c>
      <c r="U15" s="29" t="str">
        <f>IF(H15="","",VLOOKUP(AO15,Licenses!B:H,7,FALSE))</f>
        <v/>
      </c>
      <c r="AB15" s="29">
        <f>IF($A$1=3,AK15,IF($A$1=2,AH15,IF($A$1=1,AE15,0)))</f>
        <v>2</v>
      </c>
      <c r="AC15" s="29" t="str">
        <f>IF($A$1=1,AF15,AI15)</f>
        <v>HS</v>
      </c>
      <c r="AD15" s="29">
        <f>IF($A$1=1,AG15,AJ15)</f>
        <v>1.2</v>
      </c>
      <c r="AE15" s="106">
        <v>2</v>
      </c>
      <c r="AF15" s="106" t="s">
        <v>779</v>
      </c>
      <c r="AG15" s="106">
        <v>1.2</v>
      </c>
      <c r="AH15" s="101">
        <v>2</v>
      </c>
      <c r="AI15" s="101"/>
      <c r="AJ15" s="101"/>
      <c r="AK15" s="108">
        <v>2</v>
      </c>
      <c r="AL15" s="108"/>
      <c r="AM15" s="108"/>
      <c r="AO15" s="114" t="str">
        <f>IF($G$5="X",$G$3,IF(H15="","",SUM(H15*1,$G$3)))</f>
        <v/>
      </c>
      <c r="AP15" s="29">
        <f>IF(AO15=AO13,1,0)</f>
        <v>1</v>
      </c>
      <c r="AW15" s="29" t="str">
        <f>IF($G$5="X",0,IF(AO15="","",SUM(AP15:AV15)))</f>
        <v/>
      </c>
      <c r="AX15" s="117" t="str">
        <f>IF(AW15=1,AX12,"")</f>
        <v/>
      </c>
      <c r="AY15" s="117" t="str">
        <f>IF(AW15=1,$AY$12,"")</f>
        <v/>
      </c>
      <c r="AZ15" s="116">
        <f>IF(H15="",1,0)</f>
        <v>1</v>
      </c>
      <c r="BA15" s="29">
        <f>IF(H15="",1,0)</f>
        <v>1</v>
      </c>
      <c r="BB15" s="29" t="str">
        <f>IF(AZ15=1,$BB$12,"")</f>
        <v/>
      </c>
      <c r="BC15" s="116">
        <f>IF(I15="n / a",1,0)</f>
        <v>0</v>
      </c>
      <c r="BD15" s="29" t="str">
        <f>IF(BC15=1,REPT(Sprache!$K$27,1),"")</f>
        <v/>
      </c>
      <c r="BE15" s="29">
        <f>SUM(Steuerung!$Y$3)</f>
        <v>1</v>
      </c>
      <c r="BF15" s="29">
        <f>IF(M15="",100,VLOOKUP(M15,Steuerung!$A$39:$B$60,2,FALSE))</f>
        <v>100</v>
      </c>
      <c r="BG15" s="29">
        <f>IF(BE15=BF15,0,IF(BE15&lt;BF15,0,1))</f>
        <v>0</v>
      </c>
      <c r="BH15" s="29" t="str">
        <f>IF(BE15&gt;20,LEFT(M15,1),"")</f>
        <v/>
      </c>
      <c r="BI15" s="29">
        <f>IF(BH15="2",BE15-BF15,0)</f>
        <v>0</v>
      </c>
      <c r="BJ15" s="29">
        <f>IF(BI15=0,0,1)</f>
        <v>0</v>
      </c>
      <c r="BK15" s="29">
        <f>IF(BL15&gt;0,1,0)</f>
        <v>0</v>
      </c>
      <c r="BL15" s="116">
        <f>SUM(BG15,BJ15)</f>
        <v>0</v>
      </c>
      <c r="BM15" s="29" t="str">
        <f>IF(BL15=0,"",Sprache!$K$49)</f>
        <v/>
      </c>
      <c r="BN15" s="29">
        <v>0</v>
      </c>
      <c r="BO15" s="29">
        <v>1</v>
      </c>
      <c r="BP15" s="29">
        <v>1</v>
      </c>
      <c r="BQ15" s="29">
        <f>IF($A$1=1,BN15,0)</f>
        <v>0</v>
      </c>
      <c r="BR15" s="29">
        <f>IF($A$1=2,BO15,0)</f>
        <v>0</v>
      </c>
      <c r="BS15" s="29">
        <f>IF($A$1=3,BP15,0)</f>
        <v>0</v>
      </c>
      <c r="BU15" s="127" t="str">
        <f>IF(BW15=1,H15,"")</f>
        <v/>
      </c>
      <c r="BV15" s="127" t="str">
        <f>CONCATENATE(BU15,BU13)</f>
        <v/>
      </c>
      <c r="BW15" s="29">
        <f>SUM(BQ15:BS15)</f>
        <v>0</v>
      </c>
    </row>
    <row r="16" spans="1:75" ht="6" customHeight="1">
      <c r="D16" s="113"/>
      <c r="E16" s="113"/>
      <c r="I16" s="126"/>
      <c r="AE16" s="107"/>
      <c r="AF16" s="107"/>
      <c r="AG16" s="107"/>
      <c r="AH16" s="103"/>
      <c r="AI16" s="103"/>
      <c r="AJ16" s="103"/>
      <c r="AK16" s="109"/>
      <c r="AL16" s="109"/>
      <c r="AM16" s="109"/>
      <c r="AX16" s="115"/>
      <c r="AY16" s="115"/>
    </row>
    <row r="17" spans="2:75">
      <c r="B17" s="119" t="str">
        <f>CONCATENATE(BB17,BD17,AX17,BM17)</f>
        <v/>
      </c>
      <c r="D17" s="120" t="str">
        <f>IF(AC17=0,"",AC17)</f>
        <v>HS</v>
      </c>
      <c r="E17" s="121">
        <f>IF(AD17=0,"",AD17)</f>
        <v>1.3</v>
      </c>
      <c r="F17" s="118"/>
      <c r="G17" s="122">
        <f>SUM($G$3/100)</f>
        <v>0</v>
      </c>
      <c r="H17" s="150"/>
      <c r="I17" s="125" t="str">
        <f>IF($G$5="x",VLOOKUP(AO17,Licenses!B:C,2,FALSE),IF(BL17=0,IF(H17="","",VLOOKUP(AO17,Licenses!B:C,2,FALSE)),BM17))</f>
        <v/>
      </c>
      <c r="J17" s="118"/>
      <c r="K17" s="124" t="str">
        <f>IF(H17="","",VLOOKUP(AO17,Licenses!B:D,3,FALSE))</f>
        <v/>
      </c>
      <c r="L17" s="118"/>
      <c r="M17" s="124" t="str">
        <f>REPT(T17,1)</f>
        <v/>
      </c>
      <c r="N17" s="118"/>
      <c r="O17" s="124" t="str">
        <f>IF(M17="","",IF(H17="","",VLOOKUP(AO17,Licenses!B:I,8,FALSE)))</f>
        <v/>
      </c>
      <c r="T17" s="29" t="str">
        <f>IF(U17=0,"",IF(U17="","",U17))</f>
        <v/>
      </c>
      <c r="U17" s="29" t="str">
        <f>IF(H17="","",VLOOKUP(AO17,Licenses!B:H,7,FALSE))</f>
        <v/>
      </c>
      <c r="AB17" s="29">
        <f>IF($A$1=3,AK17,IF($A$1=2,AH17,IF($A$1=1,AE17,0)))</f>
        <v>3</v>
      </c>
      <c r="AC17" s="29" t="str">
        <f>IF($A$1=1,AF17,AI17)</f>
        <v>HS</v>
      </c>
      <c r="AD17" s="29">
        <f>IF($A$1=1,AG17,AJ17)</f>
        <v>1.3</v>
      </c>
      <c r="AE17" s="106">
        <v>3</v>
      </c>
      <c r="AF17" s="106" t="s">
        <v>779</v>
      </c>
      <c r="AG17" s="106">
        <v>1.3</v>
      </c>
      <c r="AH17" s="101">
        <v>3</v>
      </c>
      <c r="AI17" s="101" t="s">
        <v>778</v>
      </c>
      <c r="AJ17" s="101">
        <v>1.2</v>
      </c>
      <c r="AK17" s="108">
        <v>3</v>
      </c>
      <c r="AL17" s="108" t="s">
        <v>778</v>
      </c>
      <c r="AM17" s="108">
        <v>1.2</v>
      </c>
      <c r="AO17" s="114" t="str">
        <f>IF($G$5="X",$G$3,IF(H17="","",SUM(H17*1,$G$3)))</f>
        <v/>
      </c>
      <c r="AP17" s="29">
        <f>IF(AO17=AO13,1,0)</f>
        <v>1</v>
      </c>
      <c r="AQ17" s="29">
        <f>IF(AO17=AO15,1,0)</f>
        <v>1</v>
      </c>
      <c r="AW17" s="29" t="str">
        <f>IF($G$5="X",0,IF(AO17="","",SUM(AP17:AV17)))</f>
        <v/>
      </c>
      <c r="AX17" s="117" t="str">
        <f>IF(AW17=1,AX12,"")</f>
        <v/>
      </c>
      <c r="AY17" s="117" t="str">
        <f>IF(AW17=1,$AY$12,"")</f>
        <v/>
      </c>
      <c r="AZ17" s="116">
        <f>IF(H17="",1,0)</f>
        <v>1</v>
      </c>
      <c r="BA17" s="29">
        <f>IF(H17="",1,0)</f>
        <v>1</v>
      </c>
      <c r="BB17" s="29" t="str">
        <f>IF(AZ17=1,$BB$12,"")</f>
        <v/>
      </c>
      <c r="BC17" s="116">
        <f>IF(I17="n / a",1,0)</f>
        <v>0</v>
      </c>
      <c r="BD17" s="29" t="str">
        <f>IF(BC17=1,REPT(Sprache!$K$27,1),"")</f>
        <v/>
      </c>
      <c r="BE17" s="29">
        <f>SUM(Steuerung!$Y$3)</f>
        <v>1</v>
      </c>
      <c r="BF17" s="29">
        <f>IF(M17="",100,VLOOKUP(M17,Steuerung!$A$39:$B$60,2,FALSE))</f>
        <v>100</v>
      </c>
      <c r="BG17" s="29">
        <f>IF(BE17=BF17,0,IF(BE17&lt;BF17,0,1))</f>
        <v>0</v>
      </c>
      <c r="BH17" s="29" t="str">
        <f>IF(BE17&gt;20,LEFT(M17,1),"")</f>
        <v/>
      </c>
      <c r="BI17" s="29">
        <f>IF(BH17="2",BE17-BF17,0)</f>
        <v>0</v>
      </c>
      <c r="BJ17" s="29">
        <f>IF(BI17=0,0,1)</f>
        <v>0</v>
      </c>
      <c r="BK17" s="29">
        <f>IF(BL17&gt;0,1,0)</f>
        <v>0</v>
      </c>
      <c r="BL17" s="116">
        <f>SUM(BG17,BJ17)</f>
        <v>0</v>
      </c>
      <c r="BM17" s="29" t="str">
        <f>IF(BL17=0,"",Sprache!$K$49)</f>
        <v/>
      </c>
      <c r="BN17" s="29">
        <v>0</v>
      </c>
      <c r="BO17" s="29">
        <v>1</v>
      </c>
      <c r="BP17" s="29">
        <v>1</v>
      </c>
      <c r="BQ17" s="29">
        <f>IF($A$1=1,BN17,0)</f>
        <v>0</v>
      </c>
      <c r="BR17" s="29">
        <f>IF($A$1=2,BO17,0)</f>
        <v>0</v>
      </c>
      <c r="BS17" s="29">
        <f>IF($A$1=3,BP17,0)</f>
        <v>0</v>
      </c>
      <c r="BU17" s="127" t="str">
        <f>IF(BW17=1,H17,"")</f>
        <v/>
      </c>
      <c r="BV17" s="127" t="str">
        <f>CONCATENATE(BU17,BU19)</f>
        <v/>
      </c>
      <c r="BW17" s="29">
        <f>SUM(BQ17:BS17)</f>
        <v>0</v>
      </c>
    </row>
    <row r="18" spans="2:75" ht="6" customHeight="1">
      <c r="D18" s="113"/>
      <c r="E18" s="113"/>
      <c r="I18" s="126"/>
      <c r="AE18" s="107"/>
      <c r="AF18" s="107"/>
      <c r="AG18" s="107"/>
      <c r="AH18" s="103"/>
      <c r="AI18" s="103"/>
      <c r="AJ18" s="103"/>
      <c r="AK18" s="109"/>
      <c r="AL18" s="109"/>
      <c r="AM18" s="109"/>
      <c r="AX18" s="115"/>
      <c r="AY18" s="115"/>
    </row>
    <row r="19" spans="2:75">
      <c r="B19" s="119" t="str">
        <f>CONCATENATE(BB19,BD19,AX19,BM19)</f>
        <v/>
      </c>
      <c r="D19" s="120" t="str">
        <f>IF(AC19=0,"",AC19)</f>
        <v>HS</v>
      </c>
      <c r="E19" s="121">
        <f>IF(AD19=0,"",AD19)</f>
        <v>1.4</v>
      </c>
      <c r="F19" s="118"/>
      <c r="G19" s="122">
        <f>SUM($G$3/100)</f>
        <v>0</v>
      </c>
      <c r="H19" s="150"/>
      <c r="I19" s="125" t="str">
        <f>IF($G$5="x",VLOOKUP(AO19,Licenses!B:C,2,FALSE),IF(BL19=0,IF(H19="","",VLOOKUP(AO19,Licenses!B:C,2,FALSE)),BM19))</f>
        <v/>
      </c>
      <c r="J19" s="118"/>
      <c r="K19" s="124" t="str">
        <f>IF(H19="","",VLOOKUP(AO19,Licenses!B:D,3,FALSE))</f>
        <v/>
      </c>
      <c r="L19" s="118"/>
      <c r="M19" s="124" t="str">
        <f>REPT(T19,1)</f>
        <v/>
      </c>
      <c r="N19" s="118"/>
      <c r="O19" s="124" t="str">
        <f>IF(M19="","",IF(H19="","",VLOOKUP(AO19,Licenses!B:I,8,FALSE)))</f>
        <v/>
      </c>
      <c r="T19" s="29" t="str">
        <f>IF(U19=0,"",IF(U19="","",U19))</f>
        <v/>
      </c>
      <c r="U19" s="29" t="str">
        <f>IF(H19="","",VLOOKUP(AO19,Licenses!B:H,7,FALSE))</f>
        <v/>
      </c>
      <c r="AB19" s="29">
        <f>IF($A$1=3,AK19,IF($A$1=2,AH19,IF($A$1=1,AE19,0)))</f>
        <v>4</v>
      </c>
      <c r="AC19" s="29" t="str">
        <f>IF($A$1=1,AF19,AI19)</f>
        <v>HS</v>
      </c>
      <c r="AD19" s="29">
        <f>IF($A$1=1,AG19,AJ19)</f>
        <v>1.4</v>
      </c>
      <c r="AE19" s="106">
        <v>4</v>
      </c>
      <c r="AF19" s="106" t="s">
        <v>779</v>
      </c>
      <c r="AG19" s="106">
        <v>1.4</v>
      </c>
      <c r="AH19" s="101">
        <v>4</v>
      </c>
      <c r="AI19" s="101"/>
      <c r="AJ19" s="101"/>
      <c r="AK19" s="108">
        <v>4</v>
      </c>
      <c r="AL19" s="108"/>
      <c r="AM19" s="108"/>
      <c r="AO19" s="114" t="str">
        <f>IF($G$5="X",$G$3,IF(H19="","",SUM(H19*1,$G$3)))</f>
        <v/>
      </c>
      <c r="AP19" s="29">
        <f>IF(AO19=AO13,1,0)</f>
        <v>1</v>
      </c>
      <c r="AQ19" s="29">
        <f>IF(AO19=AO15,1,0)</f>
        <v>1</v>
      </c>
      <c r="AR19" s="29">
        <f>IF(AO19=AO17,1,0)</f>
        <v>1</v>
      </c>
      <c r="AW19" s="29" t="str">
        <f>IF($G$5="X",0,IF(AO19="","",SUM(AP19:AV19)))</f>
        <v/>
      </c>
      <c r="AX19" s="117" t="str">
        <f>IF(AW19=1,AX12,"")</f>
        <v/>
      </c>
      <c r="AY19" s="117" t="str">
        <f>IF(AW19=1,$AY$12,"")</f>
        <v/>
      </c>
      <c r="AZ19" s="116">
        <f>IF(H19="",1,0)</f>
        <v>1</v>
      </c>
      <c r="BA19" s="29">
        <f>IF(H19="",1,0)</f>
        <v>1</v>
      </c>
      <c r="BB19" s="29" t="str">
        <f>IF(AZ19=1,$BB$12,"")</f>
        <v/>
      </c>
      <c r="BC19" s="116">
        <f>IF(I19="n / a",1,0)</f>
        <v>0</v>
      </c>
      <c r="BD19" s="29" t="str">
        <f>IF(BC19=1,REPT(Sprache!$K$27,1),"")</f>
        <v/>
      </c>
      <c r="BE19" s="29">
        <f>SUM(Steuerung!$Y$3)</f>
        <v>1</v>
      </c>
      <c r="BF19" s="29">
        <f>IF(M19="",100,VLOOKUP(M19,Steuerung!$A$39:$B$60,2,FALSE))</f>
        <v>100</v>
      </c>
      <c r="BG19" s="29">
        <f>IF(BE19=BF19,0,IF(BE19&lt;BF19,0,1))</f>
        <v>0</v>
      </c>
      <c r="BH19" s="29" t="str">
        <f>IF(BE19&gt;20,LEFT(M19,1),"")</f>
        <v/>
      </c>
      <c r="BI19" s="29">
        <f>IF(BH19="2",BE19-BF19,0)</f>
        <v>0</v>
      </c>
      <c r="BJ19" s="29">
        <f>IF(BI19=0,0,1)</f>
        <v>0</v>
      </c>
      <c r="BK19" s="29">
        <f>IF(BL19&gt;0,1,0)</f>
        <v>0</v>
      </c>
      <c r="BL19" s="116">
        <f>SUM(BG19,BJ19)</f>
        <v>0</v>
      </c>
      <c r="BM19" s="29" t="str">
        <f>IF(BL19=0,"",Sprache!$K$49)</f>
        <v/>
      </c>
      <c r="BN19" s="29">
        <v>0</v>
      </c>
      <c r="BO19" s="29">
        <v>1</v>
      </c>
      <c r="BP19" s="29">
        <v>1</v>
      </c>
      <c r="BQ19" s="29">
        <f>IF($A$1=1,BN19,0)</f>
        <v>0</v>
      </c>
      <c r="BR19" s="29">
        <f>IF($A$1=2,BO19,0)</f>
        <v>0</v>
      </c>
      <c r="BS19" s="29">
        <f>IF($A$1=3,BP19,0)</f>
        <v>0</v>
      </c>
      <c r="BU19" s="127" t="str">
        <f>IF(BW19=1,H19,"")</f>
        <v/>
      </c>
      <c r="BV19" s="127" t="str">
        <f>CONCATENATE(BU19,BU17)</f>
        <v/>
      </c>
      <c r="BW19" s="29">
        <f>SUM(BQ19:BS19)</f>
        <v>0</v>
      </c>
    </row>
    <row r="20" spans="2:75" ht="6" customHeight="1">
      <c r="D20" s="113"/>
      <c r="E20" s="113"/>
      <c r="I20" s="126"/>
      <c r="AE20" s="107"/>
      <c r="AF20" s="107"/>
      <c r="AG20" s="107"/>
      <c r="AH20" s="103"/>
      <c r="AI20" s="103"/>
      <c r="AJ20" s="103"/>
      <c r="AK20" s="109"/>
      <c r="AL20" s="109"/>
      <c r="AM20" s="109"/>
      <c r="AX20" s="115"/>
      <c r="AY20" s="115"/>
    </row>
    <row r="21" spans="2:75">
      <c r="B21" s="119" t="str">
        <f>IF(AN21=1,"",CONCATENATE(BB21,BD21,AX21,BM21))</f>
        <v/>
      </c>
      <c r="D21" s="120" t="str">
        <f>IF(AC21=0,"",AC21)</f>
        <v>HS</v>
      </c>
      <c r="E21" s="121">
        <f>IF(AD21=0,"",AD21)</f>
        <v>1.5</v>
      </c>
      <c r="F21" s="118"/>
      <c r="G21" s="122">
        <f>SUM($G$3/100)</f>
        <v>0</v>
      </c>
      <c r="H21" s="150"/>
      <c r="I21" s="125" t="str">
        <f>IF(AN21=1,VLOOKUP(AO21,Licenses!B:C,2,FALSE),IF($G$5="x",VLOOKUP(AO21,Licenses!B:C,2,FALSE),IF(BL21=0,IF(H21="","",VLOOKUP(AO21,Licenses!B:C,2,FALSE)),BM21)))</f>
        <v/>
      </c>
      <c r="J21" s="118"/>
      <c r="K21" s="124" t="str">
        <f>IF(H21="","",VLOOKUP(AO21,Licenses!B:D,3,FALSE))</f>
        <v/>
      </c>
      <c r="L21" s="118"/>
      <c r="M21" s="124" t="str">
        <f>REPT(T21,1)</f>
        <v/>
      </c>
      <c r="N21" s="118"/>
      <c r="O21" s="124" t="str">
        <f>IF(M21="","",IF(H21="","",VLOOKUP(AO21,Licenses!B:I,8,FALSE)))</f>
        <v/>
      </c>
      <c r="T21" s="29" t="str">
        <f>IF(U21=0,"",IF(U21="","",U21))</f>
        <v/>
      </c>
      <c r="U21" s="29" t="str">
        <f>IF(H21="","",VLOOKUP(AO21,Licenses!B:H,7,FALSE))</f>
        <v/>
      </c>
      <c r="AB21" s="29">
        <f>IF($A$1=3,AK21,IF($A$1=2,AH21,IF($A$1=1,AE21,0)))</f>
        <v>5</v>
      </c>
      <c r="AC21" s="29" t="str">
        <f>IF($A$1=1,AF21,AI21)</f>
        <v>HS</v>
      </c>
      <c r="AD21" s="29">
        <f>IF($A$1=1,AG21,AJ21)</f>
        <v>1.5</v>
      </c>
      <c r="AE21" s="106">
        <v>5</v>
      </c>
      <c r="AF21" s="106" t="s">
        <v>779</v>
      </c>
      <c r="AG21" s="106">
        <v>1.5</v>
      </c>
      <c r="AH21" s="101">
        <v>5</v>
      </c>
      <c r="AI21" s="101" t="s">
        <v>778</v>
      </c>
      <c r="AJ21" s="101">
        <v>1.3</v>
      </c>
      <c r="AK21" s="108">
        <v>5</v>
      </c>
      <c r="AL21" s="108" t="s">
        <v>778</v>
      </c>
      <c r="AM21" s="108">
        <v>1.3</v>
      </c>
      <c r="AN21" s="29">
        <f>IF($A$1=3,IF($G$7="X",1,0),0)</f>
        <v>0</v>
      </c>
      <c r="AO21" s="114" t="str">
        <f>IF(AN21=1,$G$3,IF($G$5="X",$G$3,IF(H21="","",SUM(H21*1,$G$3))))</f>
        <v/>
      </c>
      <c r="AP21" s="29">
        <f>IF(AO21=AO13,1,0)</f>
        <v>1</v>
      </c>
      <c r="AQ21" s="29">
        <f>IF(AO21=AO15,1,0)</f>
        <v>1</v>
      </c>
      <c r="AR21" s="29">
        <f>IF(AO21=AO17,1,0)</f>
        <v>1</v>
      </c>
      <c r="AS21" s="29">
        <f>IF(AO21=AO19,1,0)</f>
        <v>1</v>
      </c>
      <c r="AW21" s="29" t="str">
        <f>IF(AN21=1,0,IF($G$5="X",0,IF(AO21="","",SUM(AP21:AV21))))</f>
        <v/>
      </c>
      <c r="AX21" s="117" t="str">
        <f>IF(AW21=1,AX12,"")</f>
        <v/>
      </c>
      <c r="AY21" s="117" t="str">
        <f>IF(AW21=1,$AY$12,"")</f>
        <v/>
      </c>
      <c r="AZ21" s="116">
        <f>IF(H21="",1,0)</f>
        <v>1</v>
      </c>
      <c r="BA21" s="29">
        <f>IF(H21="",1,0)</f>
        <v>1</v>
      </c>
      <c r="BB21" s="29" t="str">
        <f>IF(AZ21=1,$BB$12,"")</f>
        <v/>
      </c>
      <c r="BC21" s="116">
        <f>IF(I21="n / a",1,0)</f>
        <v>0</v>
      </c>
      <c r="BD21" s="29" t="str">
        <f>IF(BC21=1,REPT(Sprache!$K$27,1),"")</f>
        <v/>
      </c>
      <c r="BE21" s="29">
        <f>SUM(Steuerung!$Y$3)</f>
        <v>1</v>
      </c>
      <c r="BF21" s="29">
        <f>IF(M21="",100,VLOOKUP(M21,Steuerung!$A$39:$B$60,2,FALSE))</f>
        <v>100</v>
      </c>
      <c r="BG21" s="29">
        <f>IF(BE21=BF21,0,IF(BE21&lt;BF21,0,1))</f>
        <v>0</v>
      </c>
      <c r="BH21" s="29" t="str">
        <f>IF(BE21&gt;20,LEFT(M21,1),"")</f>
        <v/>
      </c>
      <c r="BI21" s="29">
        <f>IF(BH21="2",BE21-BF21,0)</f>
        <v>0</v>
      </c>
      <c r="BJ21" s="29">
        <f>IF(BI21=0,0,1)</f>
        <v>0</v>
      </c>
      <c r="BK21" s="29">
        <f>IF(BL21&gt;0,1,0)</f>
        <v>0</v>
      </c>
      <c r="BL21" s="116">
        <f>SUM(BG21,BJ21)</f>
        <v>0</v>
      </c>
      <c r="BM21" s="29" t="str">
        <f>IF(BL21=0,"",Sprache!$K$49)</f>
        <v/>
      </c>
      <c r="BN21" s="29">
        <v>0</v>
      </c>
      <c r="BO21" s="29">
        <v>1</v>
      </c>
      <c r="BP21" s="29">
        <v>1</v>
      </c>
      <c r="BQ21" s="29">
        <f>IF($A$1=1,BN21,0)</f>
        <v>0</v>
      </c>
      <c r="BR21" s="29">
        <f>IF($A$1=2,BO21,0)</f>
        <v>0</v>
      </c>
      <c r="BS21" s="29">
        <f>IF($A$1=3,BP21,0)</f>
        <v>0</v>
      </c>
      <c r="BU21" s="127" t="str">
        <f>IF(BW21=1,H21,"")</f>
        <v/>
      </c>
      <c r="BV21" s="127" t="str">
        <f>CONCATENATE(BU21,BU23)</f>
        <v/>
      </c>
      <c r="BW21" s="29">
        <f>SUM(BQ21:BS21)</f>
        <v>0</v>
      </c>
    </row>
    <row r="22" spans="2:75" ht="6" customHeight="1">
      <c r="D22" s="113"/>
      <c r="E22" s="113"/>
      <c r="I22" s="126"/>
      <c r="AE22" s="107"/>
      <c r="AF22" s="107"/>
      <c r="AG22" s="107"/>
      <c r="AH22" s="103"/>
      <c r="AI22" s="103"/>
      <c r="AJ22" s="103"/>
      <c r="AK22" s="109"/>
      <c r="AL22" s="109"/>
      <c r="AM22" s="109"/>
      <c r="AX22" s="115"/>
      <c r="AY22" s="115"/>
    </row>
    <row r="23" spans="2:75">
      <c r="B23" s="119" t="str">
        <f>IF(AN23=1,"",CONCATENATE(BB23,BD23,AX23,BM23))</f>
        <v/>
      </c>
      <c r="D23" s="120" t="str">
        <f>IF(AC23=0,"",AC23)</f>
        <v>HS</v>
      </c>
      <c r="E23" s="121">
        <f>IF(AD23=0,"",AD23)</f>
        <v>1.6</v>
      </c>
      <c r="F23" s="118"/>
      <c r="G23" s="122">
        <f>SUM($G$3/100)</f>
        <v>0</v>
      </c>
      <c r="H23" s="150"/>
      <c r="I23" s="125" t="str">
        <f>IF(AN23=1,VLOOKUP(AO23,Licenses!B:C,2,FALSE),IF($G$5="x",VLOOKUP(AO23,Licenses!B:C,2,FALSE),IF(BL23=0,IF(H23="","",VLOOKUP(AO23,Licenses!B:C,2,FALSE)),BM23)))</f>
        <v/>
      </c>
      <c r="J23" s="118"/>
      <c r="K23" s="124" t="str">
        <f>IF(H23="","",VLOOKUP(AO23,Licenses!B:D,3,FALSE))</f>
        <v/>
      </c>
      <c r="L23" s="118"/>
      <c r="M23" s="124" t="str">
        <f>REPT(T23,1)</f>
        <v/>
      </c>
      <c r="N23" s="118"/>
      <c r="O23" s="124" t="str">
        <f>IF(M23="","",IF(H23="","",VLOOKUP(AO23,Licenses!B:I,8,FALSE)))</f>
        <v/>
      </c>
      <c r="T23" s="29" t="str">
        <f>IF(U23=0,"",IF(U23="","",U23))</f>
        <v/>
      </c>
      <c r="U23" s="29" t="str">
        <f>IF(H23="","",VLOOKUP(AO23,Licenses!B:H,7,FALSE))</f>
        <v/>
      </c>
      <c r="AB23" s="29">
        <f>IF($A$1=3,AK23,IF($A$1=2,AH23,IF($A$1=1,AE23,0)))</f>
        <v>6</v>
      </c>
      <c r="AC23" s="29" t="str">
        <f>IF($A$1=1,AF23,AI23)</f>
        <v>HS</v>
      </c>
      <c r="AD23" s="29">
        <f>IF($A$1=1,AG23,AJ23)</f>
        <v>1.6</v>
      </c>
      <c r="AE23" s="106">
        <v>6</v>
      </c>
      <c r="AF23" s="106" t="s">
        <v>779</v>
      </c>
      <c r="AG23" s="106">
        <v>1.6</v>
      </c>
      <c r="AH23" s="101">
        <v>6</v>
      </c>
      <c r="AI23" s="101"/>
      <c r="AJ23" s="101"/>
      <c r="AK23" s="108">
        <v>6</v>
      </c>
      <c r="AL23" s="108"/>
      <c r="AM23" s="108"/>
      <c r="AN23" s="29">
        <f>IF($A$1=3,IF($G$7="X",1,0),0)</f>
        <v>0</v>
      </c>
      <c r="AO23" s="114" t="str">
        <f>IF(AN23=1,$G$3,IF($G$5="X",$G$3,IF(H23="","",SUM(H23*1,$G$3))))</f>
        <v/>
      </c>
      <c r="AP23" s="29">
        <f>IF(AO23=AO13,1,0)</f>
        <v>1</v>
      </c>
      <c r="AQ23" s="29">
        <f>IF(AO23=AO15,1,0)</f>
        <v>1</v>
      </c>
      <c r="AR23" s="29">
        <f>IF(AO23=AO17,1,0)</f>
        <v>1</v>
      </c>
      <c r="AS23" s="29">
        <f>IF(AO23=AO19,1,0)</f>
        <v>1</v>
      </c>
      <c r="AT23" s="29">
        <f>IF(AO23=AO21,1,0)</f>
        <v>1</v>
      </c>
      <c r="AW23" s="29" t="str">
        <f>IF(AN23=1,0,IF($G$5="X",0,IF(AO23="","",SUM(AP23:AV23))))</f>
        <v/>
      </c>
      <c r="AX23" s="117" t="str">
        <f>IF(AW23=1,AX12,"")</f>
        <v/>
      </c>
      <c r="AY23" s="117" t="str">
        <f>IF(AW23=1,$AY$12,"")</f>
        <v/>
      </c>
      <c r="AZ23" s="116">
        <f>IF(H23="",1,0)</f>
        <v>1</v>
      </c>
      <c r="BA23" s="29">
        <f>IF(H23="",1,0)</f>
        <v>1</v>
      </c>
      <c r="BB23" s="29" t="str">
        <f>IF(AZ23=1,$BB$12,"")</f>
        <v/>
      </c>
      <c r="BC23" s="116">
        <f>IF(I23="n / a",1,0)</f>
        <v>0</v>
      </c>
      <c r="BD23" s="29" t="str">
        <f>IF(BC23=1,REPT(Sprache!$K$27,1),"")</f>
        <v/>
      </c>
      <c r="BE23" s="29">
        <f>SUM(Steuerung!$Y$3)</f>
        <v>1</v>
      </c>
      <c r="BF23" s="29">
        <f>IF(M23="",100,VLOOKUP(M23,Steuerung!$A$39:$B$60,2,FALSE))</f>
        <v>100</v>
      </c>
      <c r="BG23" s="29">
        <f>IF(BE23=BF23,0,IF(BE23&lt;BF23,0,1))</f>
        <v>0</v>
      </c>
      <c r="BH23" s="29" t="str">
        <f>IF(BE23&gt;20,LEFT(M23,1),"")</f>
        <v/>
      </c>
      <c r="BI23" s="29">
        <f>IF(BH23="2",BE23-BF23,0)</f>
        <v>0</v>
      </c>
      <c r="BJ23" s="29">
        <f>IF(BI23=0,0,1)</f>
        <v>0</v>
      </c>
      <c r="BK23" s="29">
        <f>IF(BL23&gt;0,1,0)</f>
        <v>0</v>
      </c>
      <c r="BL23" s="116">
        <f>SUM(BG23,BJ23)</f>
        <v>0</v>
      </c>
      <c r="BM23" s="29" t="str">
        <f>IF(BL23=0,"",Sprache!$K$49)</f>
        <v/>
      </c>
      <c r="BN23" s="29">
        <v>0</v>
      </c>
      <c r="BO23" s="29">
        <v>1</v>
      </c>
      <c r="BP23" s="29">
        <v>1</v>
      </c>
      <c r="BQ23" s="29">
        <f>IF($A$1=1,BN23,0)</f>
        <v>0</v>
      </c>
      <c r="BR23" s="29">
        <f>IF($A$1=2,BO23,0)</f>
        <v>0</v>
      </c>
      <c r="BS23" s="29">
        <f>IF($A$1=3,BP23,0)</f>
        <v>0</v>
      </c>
      <c r="BU23" s="127" t="str">
        <f>IF(BW23=1,H23,"")</f>
        <v/>
      </c>
      <c r="BV23" s="127" t="str">
        <f>CONCATENATE(BU23,BU21)</f>
        <v/>
      </c>
      <c r="BW23" s="29">
        <f>SUM(BQ23:BS23)</f>
        <v>0</v>
      </c>
    </row>
    <row r="24" spans="2:75" ht="6" customHeight="1">
      <c r="D24" s="113"/>
      <c r="E24" s="113"/>
      <c r="I24" s="126"/>
      <c r="AE24" s="107"/>
      <c r="AF24" s="107"/>
      <c r="AG24" s="107"/>
      <c r="AH24" s="103"/>
      <c r="AI24" s="103"/>
      <c r="AJ24" s="103"/>
      <c r="AK24" s="111"/>
      <c r="AL24" s="111"/>
      <c r="AM24" s="111"/>
      <c r="AX24" s="115"/>
      <c r="AY24" s="115"/>
    </row>
    <row r="25" spans="2:75">
      <c r="B25" s="119" t="str">
        <f>IF(AN25=1,"",CONCATENATE(BB25,BD25,AX25,BM25))</f>
        <v/>
      </c>
      <c r="D25" s="120" t="str">
        <f>IF(AC25=0,"",AC25)</f>
        <v>HS</v>
      </c>
      <c r="E25" s="121">
        <f>IF(AD25=0,"",AD25)</f>
        <v>1.7</v>
      </c>
      <c r="F25" s="118"/>
      <c r="G25" s="122">
        <f>IF($A$1=3,"",SUM($G$3/100))</f>
        <v>0</v>
      </c>
      <c r="H25" s="150"/>
      <c r="I25" s="125" t="str">
        <f>IF($A$1=3,"",IF(AN25=1,VLOOKUP(AO25,Licenses!B:C,2,FALSE),IF($G$5="x",VLOOKUP(AO25,Licenses!B:C,2,FALSE),IF(BL25=0,IF(H25="","",VLOOKUP(AO25,Licenses!B:C,2,FALSE)),BM25))))</f>
        <v/>
      </c>
      <c r="J25" s="118"/>
      <c r="K25" s="124" t="str">
        <f>IF($A$1=3,"",IF(H25="","",VLOOKUP(AO25,Licenses!B:D,3,FALSE)))</f>
        <v/>
      </c>
      <c r="L25" s="118"/>
      <c r="M25" s="124" t="str">
        <f>REPT(T25,1)</f>
        <v/>
      </c>
      <c r="N25" s="118"/>
      <c r="O25" s="124" t="str">
        <f>IF(M25="","",IF($A$1=3,"",IF(H25="","",VLOOKUP(AO25,Licenses!B:I,8,FALSE))))</f>
        <v/>
      </c>
      <c r="T25" s="29" t="str">
        <f>IF($A$1=3,"",IF(U25=0,"",IF(U25="","",U25)))</f>
        <v/>
      </c>
      <c r="U25" s="29" t="str">
        <f>IF($A$1=3,"",IF(H25="","",VLOOKUP(AO25,Licenses!B:H,7,FALSE)))</f>
        <v/>
      </c>
      <c r="AB25" s="29">
        <f>IF($A$1=3,"",IF($A$1=2,AH25,IF($A$1=1,AE25,0)))</f>
        <v>7</v>
      </c>
      <c r="AC25" s="29" t="str">
        <f>IF($A$1=3,0,IF($A$1=1,AF25,AI25))</f>
        <v>HS</v>
      </c>
      <c r="AD25" s="29">
        <f>IF($A$1=3,0,IF($A$1=1,AG25,AJ25))</f>
        <v>1.7</v>
      </c>
      <c r="AE25" s="106">
        <v>7</v>
      </c>
      <c r="AF25" s="106" t="s">
        <v>779</v>
      </c>
      <c r="AG25" s="106">
        <v>1.7</v>
      </c>
      <c r="AH25" s="101">
        <v>7</v>
      </c>
      <c r="AI25" s="101" t="s">
        <v>778</v>
      </c>
      <c r="AJ25" s="101">
        <v>1.4</v>
      </c>
      <c r="AK25" s="110"/>
      <c r="AL25" s="110"/>
      <c r="AM25" s="110"/>
      <c r="AN25" s="29">
        <f>IF($A$1=1,0,IF($A$1=3,0,IF($G$7="X",1,0)))</f>
        <v>0</v>
      </c>
      <c r="AO25" s="114" t="str">
        <f>IF(AN25=1,$G$3,IF($A$1=3,"",IF($G$5="X",$G$3,IF(H25="","",SUM(H25*1,$G$3)))))</f>
        <v/>
      </c>
      <c r="AP25" s="29">
        <f>IF(AO25=AO13,1,0)</f>
        <v>1</v>
      </c>
      <c r="AQ25" s="29">
        <f>IF(AO25=AO15,1,0)</f>
        <v>1</v>
      </c>
      <c r="AR25" s="29">
        <f>IF(AO25=AO17,1,0)</f>
        <v>1</v>
      </c>
      <c r="AS25" s="29">
        <f>IF(AO25=AO19,1,0)</f>
        <v>1</v>
      </c>
      <c r="AT25" s="29">
        <f>IF(AO25=AO21,1,0)</f>
        <v>1</v>
      </c>
      <c r="AU25" s="29">
        <f>IF(AO25=AO23,1,0)</f>
        <v>1</v>
      </c>
      <c r="AW25" s="29" t="str">
        <f>IF($G$5="X",0,IF(AO25="","",SUM(AP25:AV25)))</f>
        <v/>
      </c>
      <c r="AX25" s="117" t="str">
        <f>IF(AW25=1,AX12,"")</f>
        <v/>
      </c>
      <c r="AY25" s="117" t="str">
        <f>IF(AW25=1,$AY$12,"")</f>
        <v/>
      </c>
      <c r="AZ25" s="116">
        <f>IF(AN25=1,0,IF($A$1=3,"",IF(H25="",1,0)))</f>
        <v>1</v>
      </c>
      <c r="BA25" s="29">
        <f>IF($A$1=3,0,IF(H25="",1,0))</f>
        <v>1</v>
      </c>
      <c r="BB25" s="29" t="str">
        <f>IF(AZ25=1,$BB$12,"")</f>
        <v/>
      </c>
      <c r="BC25" s="116">
        <f>IF($A$1=3,"",IF(I25="n / a",1,0))</f>
        <v>0</v>
      </c>
      <c r="BD25" s="29" t="str">
        <f>IF(BC25=1,REPT(Sprache!$K$27,1),"")</f>
        <v/>
      </c>
      <c r="BE25" s="29">
        <f>SUM(Steuerung!$Y$3)</f>
        <v>1</v>
      </c>
      <c r="BF25" s="29">
        <f>IF(M25="",100,VLOOKUP(M25,Steuerung!$A$39:$B$60,2,FALSE))</f>
        <v>100</v>
      </c>
      <c r="BG25" s="29">
        <f>IF(BE25=BF25,0,IF(BE25&lt;BF25,0,1))</f>
        <v>0</v>
      </c>
      <c r="BH25" s="29" t="str">
        <f>IF(BE25&gt;20,LEFT(M25,1),"")</f>
        <v/>
      </c>
      <c r="BI25" s="29">
        <f>IF(BH25="2",BE25-BF25,0)</f>
        <v>0</v>
      </c>
      <c r="BJ25" s="29">
        <f>IF(BI25=0,0,1)</f>
        <v>0</v>
      </c>
      <c r="BK25" s="29">
        <f>IF(BL25&gt;0,1,0)</f>
        <v>0</v>
      </c>
      <c r="BL25" s="116">
        <f>SUM(BG25,BJ25)</f>
        <v>0</v>
      </c>
      <c r="BM25" s="29" t="str">
        <f>IF(BL25=0,"",Sprache!$K$49)</f>
        <v/>
      </c>
      <c r="BN25" s="29">
        <v>0</v>
      </c>
      <c r="BO25" s="29">
        <v>1</v>
      </c>
      <c r="BQ25" s="29">
        <f>IF($A$1=1,BN25,0)</f>
        <v>0</v>
      </c>
      <c r="BR25" s="29">
        <f>IF($A$1=2,BO25,0)</f>
        <v>0</v>
      </c>
      <c r="BU25" s="127" t="str">
        <f>IF(BW25=1,H25,"")</f>
        <v/>
      </c>
      <c r="BV25" s="127" t="str">
        <f>CONCATENATE(BU25,BU27)</f>
        <v/>
      </c>
      <c r="BW25" s="29">
        <f>SUM(BQ25:BS25)</f>
        <v>0</v>
      </c>
    </row>
    <row r="26" spans="2:75" ht="6" customHeight="1">
      <c r="D26" s="113"/>
      <c r="E26" s="113"/>
      <c r="I26" s="126"/>
      <c r="AE26" s="107"/>
      <c r="AF26" s="107"/>
      <c r="AG26" s="107"/>
      <c r="AH26" s="103"/>
      <c r="AI26" s="103"/>
      <c r="AJ26" s="103"/>
      <c r="AK26" s="111"/>
      <c r="AL26" s="111"/>
      <c r="AM26" s="111"/>
      <c r="AX26" s="115"/>
      <c r="AY26" s="115"/>
    </row>
    <row r="27" spans="2:75">
      <c r="B27" s="119" t="str">
        <f>IF(AN27=1,"",CONCATENATE(BB27,BD27,AX27,BM27))</f>
        <v/>
      </c>
      <c r="D27" s="120" t="str">
        <f>IF(AC27=0,"",AC27)</f>
        <v>HS</v>
      </c>
      <c r="E27" s="121">
        <f>IF(AD27=0,"",AD27)</f>
        <v>1.8</v>
      </c>
      <c r="F27" s="118"/>
      <c r="G27" s="122">
        <f>IF($A$1=3,"",SUM($G$3/100))</f>
        <v>0</v>
      </c>
      <c r="H27" s="150"/>
      <c r="I27" s="125" t="str">
        <f>IF($A$1=3,"",IF(AN27=1,VLOOKUP(AO27,Licenses!B:C,2,FALSE),IF($G$5="x",VLOOKUP(AO27,Licenses!B:C,2,FALSE),IF(BL27=0,IF(H27="","",VLOOKUP(AO27,Licenses!B:C,2,FALSE)),BM27))))</f>
        <v/>
      </c>
      <c r="J27" s="118"/>
      <c r="K27" s="124" t="str">
        <f>IF($A$1=3,"",IF(H27="","",VLOOKUP(AO27,Licenses!B:D,3,FALSE)))</f>
        <v/>
      </c>
      <c r="L27" s="118"/>
      <c r="M27" s="124" t="str">
        <f>REPT(T27,1)</f>
        <v/>
      </c>
      <c r="N27" s="118"/>
      <c r="O27" s="124" t="str">
        <f>IF(M27="","",IF($A$1=3,"",IF(H27="","",VLOOKUP(AO27,Licenses!B:I,8,FALSE))))</f>
        <v/>
      </c>
      <c r="T27" s="29" t="str">
        <f>IF($A$1=3,"",IF(U27=0,"",IF(U27="","",U27)))</f>
        <v/>
      </c>
      <c r="U27" s="29" t="str">
        <f>IF($A$1=3,"",IF(H27="","",VLOOKUP(AO27,Licenses!B:H,7,FALSE)))</f>
        <v/>
      </c>
      <c r="AB27" s="29">
        <f>IF($A$1=3,"",IF($A$1=2,AH27,IF($A$1=1,AE27,0)))</f>
        <v>8</v>
      </c>
      <c r="AC27" s="29" t="str">
        <f>IF($A$1=3,0,IF($A$1=1,AF27,AI27))</f>
        <v>HS</v>
      </c>
      <c r="AD27" s="29">
        <f>IF($A$1=3,0,IF($A$1=1,AG27,AJ27))</f>
        <v>1.8</v>
      </c>
      <c r="AE27" s="106">
        <v>8</v>
      </c>
      <c r="AF27" s="106" t="s">
        <v>779</v>
      </c>
      <c r="AG27" s="106">
        <v>1.8</v>
      </c>
      <c r="AH27" s="101">
        <v>8</v>
      </c>
      <c r="AI27" s="101"/>
      <c r="AJ27" s="101"/>
      <c r="AK27" s="110"/>
      <c r="AL27" s="110"/>
      <c r="AM27" s="110"/>
      <c r="AN27" s="29">
        <f>IF($A$1=3,0,IF($G$7="X",1,0))</f>
        <v>0</v>
      </c>
      <c r="AO27" s="114" t="str">
        <f>IF(AN27=1,$G$3,IF($A$1=3,"",IF($G$5="X",$G$3,IF(H27="","",SUM(H27*1,$G$3)))))</f>
        <v/>
      </c>
      <c r="AP27" s="29">
        <f>IF(AO27=AO13,1,0)</f>
        <v>1</v>
      </c>
      <c r="AQ27" s="29">
        <f>IF(AO27=AO15,1,0)</f>
        <v>1</v>
      </c>
      <c r="AR27" s="29">
        <f>IF(AO27=AO17,1,0)</f>
        <v>1</v>
      </c>
      <c r="AS27" s="29">
        <f>IF(AO27=AO19,1,0)</f>
        <v>1</v>
      </c>
      <c r="AT27" s="29">
        <f>IF(AO27=AO21,1,0)</f>
        <v>1</v>
      </c>
      <c r="AU27" s="29">
        <f>IF(AO27=AO23,1,0)</f>
        <v>1</v>
      </c>
      <c r="AV27" s="29">
        <f>IF(AO27=AO25,1,0)</f>
        <v>1</v>
      </c>
      <c r="AW27" s="29" t="str">
        <f>IF(AN27=1,0,IF($G$5="X",0,IF(AO27="","",SUM(AP27:AV27))))</f>
        <v/>
      </c>
      <c r="AX27" s="117" t="str">
        <f>IF(AW27=1,AX12,"")</f>
        <v/>
      </c>
      <c r="AY27" s="117" t="str">
        <f>IF(AW27=1,$AY$12,"")</f>
        <v/>
      </c>
      <c r="AZ27" s="116">
        <f>IF(AN27=1,0,IF($A$1=3,"",IF(H27="",1,0)))</f>
        <v>1</v>
      </c>
      <c r="BA27" s="29">
        <f>IF($A$1=3,0,IF(H27="",1,0))</f>
        <v>1</v>
      </c>
      <c r="BB27" s="29" t="str">
        <f>IF(AZ27=1,$BB$12,"")</f>
        <v/>
      </c>
      <c r="BC27" s="116">
        <f>IF($A$1=3,"",IF(I27="n / a",1,0))</f>
        <v>0</v>
      </c>
      <c r="BD27" s="29" t="str">
        <f>IF(BC27=1,REPT(Sprache!$K$27,1),"")</f>
        <v/>
      </c>
      <c r="BE27" s="29">
        <f>SUM(Steuerung!$Y$3)</f>
        <v>1</v>
      </c>
      <c r="BF27" s="29">
        <f>IF(M27="",100,VLOOKUP(M27,Steuerung!$A$39:$B$60,2,FALSE))</f>
        <v>100</v>
      </c>
      <c r="BG27" s="29">
        <f>IF(BE27=BF27,0,IF(BE27&lt;BF27,0,1))</f>
        <v>0</v>
      </c>
      <c r="BH27" s="29" t="str">
        <f>IF(BE27&gt;20,LEFT(M27,1),"")</f>
        <v/>
      </c>
      <c r="BI27" s="29">
        <f>IF(BH27="2",BE27-BF27,0)</f>
        <v>0</v>
      </c>
      <c r="BJ27" s="29">
        <f>IF(BI27=0,0,1)</f>
        <v>0</v>
      </c>
      <c r="BK27" s="29">
        <f>IF(BL27&gt;0,1,0)</f>
        <v>0</v>
      </c>
      <c r="BL27" s="116">
        <f>SUM(BG27,BJ27)</f>
        <v>0</v>
      </c>
      <c r="BM27" s="29" t="str">
        <f>IF(BL27=0,"",Sprache!$K$49)</f>
        <v/>
      </c>
      <c r="BN27" s="29">
        <v>0</v>
      </c>
      <c r="BO27" s="29">
        <v>1</v>
      </c>
      <c r="BQ27" s="29">
        <f>IF($A$1=1,BN27,0)</f>
        <v>0</v>
      </c>
      <c r="BR27" s="29">
        <f>IF($A$1=2,BO27,0)</f>
        <v>0</v>
      </c>
      <c r="BU27" s="127" t="str">
        <f>IF(BW27=1,H27,"")</f>
        <v/>
      </c>
      <c r="BV27" s="127" t="str">
        <f>CONCATENATE(BU27,BU25)</f>
        <v/>
      </c>
      <c r="BW27" s="29">
        <f>SUM(BQ27:BS27)</f>
        <v>0</v>
      </c>
    </row>
    <row r="29" spans="2:75">
      <c r="AW29" s="131">
        <f>SUM(AW13:AW27)</f>
        <v>0</v>
      </c>
      <c r="AZ29" s="131">
        <f>IF(AY13=0,0,SUM(AZ13:AZ27))</f>
        <v>0</v>
      </c>
      <c r="BC29" s="131">
        <f>SUM(BC13:BC27)</f>
        <v>0</v>
      </c>
      <c r="BK29" s="131">
        <f>SUM(BK13:BK27)</f>
        <v>0</v>
      </c>
      <c r="BL29" s="131">
        <f>SUM(BK29)</f>
        <v>0</v>
      </c>
    </row>
    <row r="31" spans="2:75">
      <c r="I31" s="102" t="str">
        <f>IF($A$1=3,Sprache!K37,IF($A$1=2,Sprache!K37,IF($A$1=1,Sprache!K32,"")))</f>
        <v>Erste Runde Doppel</v>
      </c>
      <c r="J31" s="91"/>
      <c r="K31" s="85" t="str">
        <f>REPT(Sprache!$K$44,1)</f>
        <v>Spieler-Nr.</v>
      </c>
      <c r="L31" s="82"/>
      <c r="M31" s="85" t="str">
        <f>REPT(Sprache!$K$15,1)</f>
        <v>Liga</v>
      </c>
      <c r="N31" s="100"/>
      <c r="O31" s="85" t="str">
        <f>REPT(Sprache!$K$45,1)</f>
        <v>Qualifiziert für:</v>
      </c>
      <c r="AE31" s="106"/>
      <c r="AF31" s="106" t="s">
        <v>821</v>
      </c>
      <c r="AG31" s="106"/>
      <c r="AH31" s="101"/>
      <c r="AI31" s="101" t="s">
        <v>820</v>
      </c>
      <c r="AJ31" s="101"/>
      <c r="AK31" s="108"/>
      <c r="AL31" s="108" t="s">
        <v>819</v>
      </c>
      <c r="AM31" s="108"/>
    </row>
    <row r="32" spans="2:75">
      <c r="AE32" s="106"/>
      <c r="AF32" s="106"/>
      <c r="AG32" s="106"/>
      <c r="AH32" s="101"/>
      <c r="AI32" s="101"/>
      <c r="AJ32" s="101"/>
      <c r="AK32" s="108"/>
      <c r="AL32" s="108"/>
      <c r="AM32" s="108"/>
      <c r="AX32" s="115" t="str">
        <f>REPT(Sprache!K48,1)</f>
        <v>***!!!!!!!!!!Doppelter Eintrag!!!!!!!!!!***</v>
      </c>
      <c r="AY32" s="115" t="str">
        <f>REPT(Sprache!K35,1)</f>
        <v>** A C H T U N G - D O P P E L T E  L I Z E N Z - N U M M E R !!! **</v>
      </c>
      <c r="AZ32" s="29">
        <f>IF($A$1=3,6,8)</f>
        <v>8</v>
      </c>
      <c r="BA32" s="29">
        <f>SUM(AZ33:AZ47)</f>
        <v>8</v>
      </c>
      <c r="BB32" s="29" t="str">
        <f>IF(AY33=0,"",Sprache!$K$29)</f>
        <v/>
      </c>
      <c r="BE32" s="29" t="s">
        <v>827</v>
      </c>
      <c r="BF32" s="29" t="s">
        <v>834</v>
      </c>
      <c r="BJ32" s="29" t="s">
        <v>840</v>
      </c>
      <c r="BL32" s="29" t="s">
        <v>841</v>
      </c>
    </row>
    <row r="33" spans="2:75">
      <c r="B33" s="119" t="str">
        <f>CONCATENATE(BB33,BD33,,BM33)</f>
        <v/>
      </c>
      <c r="D33" s="120" t="str">
        <f>IF(AC33=0,"",AC33)</f>
        <v>HD</v>
      </c>
      <c r="E33" s="121">
        <f>IF(AD33=0,"",AD33)</f>
        <v>1.1000000000000001</v>
      </c>
      <c r="F33" s="118"/>
      <c r="G33" s="122">
        <f>SUM($G$3/100)</f>
        <v>0</v>
      </c>
      <c r="H33" s="150"/>
      <c r="I33" s="125" t="str">
        <f>IF($G$5="x",VLOOKUP(AO33,Licenses!B:C,2,FALSE),IF(BL33=0,IF(H33="","",VLOOKUP(AO33,Licenses!B:C,2,FALSE)),BM33))</f>
        <v/>
      </c>
      <c r="J33" s="118"/>
      <c r="K33" s="124" t="str">
        <f>IF(H33="","",VLOOKUP(AO33,Licenses!B:D,3,FALSE))</f>
        <v/>
      </c>
      <c r="L33" s="118"/>
      <c r="M33" s="124" t="str">
        <f>REPT(T33,1)</f>
        <v/>
      </c>
      <c r="N33" s="118"/>
      <c r="O33" s="124" t="str">
        <f>IF(M33="","",IF(H33="","",VLOOKUP(AO33,Licenses!B:I,8,FALSE)))</f>
        <v/>
      </c>
      <c r="T33" s="29" t="str">
        <f>IF(U33=0,"",IF(U33="","",U33))</f>
        <v/>
      </c>
      <c r="U33" s="29" t="str">
        <f>IF(H33="","",VLOOKUP(AO33,Licenses!B:H,7,FALSE))</f>
        <v/>
      </c>
      <c r="AB33" s="29">
        <f>IF($A$1=3,AK33,IF($A$1=2,AH33,IF($A$1=1,AE33,0)))</f>
        <v>9</v>
      </c>
      <c r="AC33" s="29" t="str">
        <f>IF($A$1=1,AF33,AI33)</f>
        <v>HD</v>
      </c>
      <c r="AD33" s="29">
        <f>IF($A$1=1,AG33,AJ33)</f>
        <v>1.1000000000000001</v>
      </c>
      <c r="AE33" s="106">
        <v>9</v>
      </c>
      <c r="AF33" s="106" t="s">
        <v>778</v>
      </c>
      <c r="AG33" s="106">
        <v>1.1000000000000001</v>
      </c>
      <c r="AH33" s="101">
        <v>9</v>
      </c>
      <c r="AI33" s="101" t="s">
        <v>779</v>
      </c>
      <c r="AJ33" s="101">
        <v>1.1000000000000001</v>
      </c>
      <c r="AK33" s="108">
        <v>7</v>
      </c>
      <c r="AL33" s="108" t="s">
        <v>779</v>
      </c>
      <c r="AM33" s="108">
        <v>1.1000000000000001</v>
      </c>
      <c r="AO33" s="114" t="str">
        <f>IF($G$5="X",$G$3,IF(H33="","",SUM(H33*1,$G$3)))</f>
        <v/>
      </c>
      <c r="AX33" s="115"/>
      <c r="AY33" s="115">
        <f>IF($G$5="X",0,IF(AZ32=BA32,0,1))</f>
        <v>0</v>
      </c>
      <c r="AZ33" s="116">
        <f>IF(H33="",1,0)</f>
        <v>1</v>
      </c>
      <c r="BA33" s="29">
        <f>IF(H33="",1,0)</f>
        <v>1</v>
      </c>
      <c r="BB33" s="29" t="str">
        <f>IF(AZ33=1,$BB$32,"")</f>
        <v/>
      </c>
      <c r="BC33" s="116">
        <f>IF(I33="n / a",1,0)</f>
        <v>0</v>
      </c>
      <c r="BD33" s="29" t="str">
        <f>IF(BC33=1,REPT(Sprache!$K$27,1),"")</f>
        <v/>
      </c>
      <c r="BE33" s="29">
        <f>SUM(Steuerung!$Y$3)</f>
        <v>1</v>
      </c>
      <c r="BF33" s="29">
        <f>IF(M33="",100,VLOOKUP(M33,Steuerung!$A$39:$B$60,2,FALSE))</f>
        <v>100</v>
      </c>
      <c r="BG33" s="29">
        <f>IF(BE33=BF33,0,IF(BE33&lt;BF33,0,1))</f>
        <v>0</v>
      </c>
      <c r="BH33" s="29" t="str">
        <f>IF(BE33&gt;20,LEFT(M33,1),"")</f>
        <v/>
      </c>
      <c r="BI33" s="29">
        <f>IF(BH33="2",BE33-BF33,0)</f>
        <v>0</v>
      </c>
      <c r="BJ33" s="29">
        <f>IF(BI33=0,0,1)</f>
        <v>0</v>
      </c>
      <c r="BK33" s="29">
        <f>IF(BL33&gt;0,1,0)</f>
        <v>0</v>
      </c>
      <c r="BL33" s="116">
        <f>SUM(BG33,BJ33)</f>
        <v>0</v>
      </c>
      <c r="BM33" s="29" t="str">
        <f>IF(BL33=0,"",Sprache!$K$49)</f>
        <v/>
      </c>
      <c r="BN33" s="29">
        <v>1</v>
      </c>
      <c r="BQ33" s="29">
        <f>IF($A$1=1,BN33,0)</f>
        <v>1</v>
      </c>
      <c r="BR33" s="29">
        <f>IF($A$1=2,BO33,0)</f>
        <v>0</v>
      </c>
      <c r="BS33" s="29">
        <f>IF($A$1=3,BP33,0)</f>
        <v>0</v>
      </c>
      <c r="BU33" s="127">
        <f>IF(BW33=1,H33,"")</f>
        <v>0</v>
      </c>
      <c r="BV33" s="127" t="str">
        <f>CONCATENATE(BU33,BU35)</f>
        <v>00</v>
      </c>
      <c r="BW33" s="29">
        <f>SUM(BQ33:BS33)</f>
        <v>1</v>
      </c>
    </row>
    <row r="34" spans="2:75" ht="6" customHeight="1">
      <c r="D34" s="113"/>
      <c r="E34" s="113"/>
      <c r="I34" s="126"/>
      <c r="AE34" s="107"/>
      <c r="AF34" s="107"/>
      <c r="AG34" s="107"/>
      <c r="AH34" s="103"/>
      <c r="AI34" s="103"/>
      <c r="AJ34" s="103"/>
      <c r="AK34" s="109"/>
      <c r="AL34" s="109"/>
      <c r="AM34" s="109"/>
      <c r="AX34" s="115"/>
      <c r="AY34" s="115"/>
    </row>
    <row r="35" spans="2:75">
      <c r="B35" s="119" t="str">
        <f>CONCATENATE(BB35,BD35,AY35,BM35)</f>
        <v/>
      </c>
      <c r="D35" s="120" t="str">
        <f>IF(AC35=0,"",AC35)</f>
        <v/>
      </c>
      <c r="E35" s="121" t="str">
        <f>IF(AD35=0,"",AD35)</f>
        <v/>
      </c>
      <c r="F35" s="118"/>
      <c r="G35" s="122">
        <f>SUM($G$3/100)</f>
        <v>0</v>
      </c>
      <c r="H35" s="150"/>
      <c r="I35" s="125" t="str">
        <f>IF($G$5="x",VLOOKUP(AO35,Licenses!B:C,2,FALSE),IF(BL35=0,IF(H35="","",VLOOKUP(AO35,Licenses!B:C,2,FALSE)),BM35))</f>
        <v/>
      </c>
      <c r="J35" s="118"/>
      <c r="K35" s="124" t="str">
        <f>IF(H35="","",VLOOKUP(AO35,Licenses!B:D,3,FALSE))</f>
        <v/>
      </c>
      <c r="L35" s="118"/>
      <c r="M35" s="124" t="str">
        <f>REPT(T35,1)</f>
        <v/>
      </c>
      <c r="N35" s="118"/>
      <c r="O35" s="124" t="str">
        <f>IF(M35="","",IF(H35="","",VLOOKUP(AO35,Licenses!B:I,8,FALSE)))</f>
        <v/>
      </c>
      <c r="T35" s="29" t="str">
        <f>IF(U35=0,"",IF(U35="","",U35))</f>
        <v/>
      </c>
      <c r="U35" s="29" t="str">
        <f>IF(H35="","",VLOOKUP(AO35,Licenses!B:H,7,FALSE))</f>
        <v/>
      </c>
      <c r="AB35" s="29">
        <f>IF($A$1=3,AK35,IF($A$1=2,AH35,IF($A$1=1,AE35,0)))</f>
        <v>10</v>
      </c>
      <c r="AC35" s="29">
        <f>IF($A$1=1,AF35,AI35)</f>
        <v>0</v>
      </c>
      <c r="AD35" s="29">
        <f>IF($A$1=1,AG35,AJ35)</f>
        <v>0</v>
      </c>
      <c r="AE35" s="106">
        <v>10</v>
      </c>
      <c r="AF35" s="106"/>
      <c r="AG35" s="106"/>
      <c r="AH35" s="101">
        <v>10</v>
      </c>
      <c r="AI35" s="101" t="s">
        <v>779</v>
      </c>
      <c r="AJ35" s="101">
        <v>1.2</v>
      </c>
      <c r="AK35" s="108">
        <v>8</v>
      </c>
      <c r="AL35" s="108" t="s">
        <v>779</v>
      </c>
      <c r="AM35" s="108">
        <v>1.2</v>
      </c>
      <c r="AO35" s="114" t="str">
        <f>IF($G$5="X",$G$3,IF(H35="","",SUM(H35*1,$G$3)))</f>
        <v/>
      </c>
      <c r="AP35" s="29">
        <f>IF(AO35=AO33,1,0)</f>
        <v>1</v>
      </c>
      <c r="AW35" s="29" t="str">
        <f>IF($G$5="X",0,IF(AO35="","",SUM(AP35:AV35)))</f>
        <v/>
      </c>
      <c r="AX35" s="117" t="str">
        <f>IF(AW35=1,AX32,"")</f>
        <v/>
      </c>
      <c r="AY35" s="117" t="str">
        <f>IF(AW35=1,$AY$12,"")</f>
        <v/>
      </c>
      <c r="AZ35" s="116">
        <f>IF(H35="",1,0)</f>
        <v>1</v>
      </c>
      <c r="BA35" s="29">
        <f>IF(H35="",1,0)</f>
        <v>1</v>
      </c>
      <c r="BB35" s="29" t="str">
        <f>IF(AZ35=1,$BB$32,"")</f>
        <v/>
      </c>
      <c r="BC35" s="116">
        <f>IF(I35="n / a",1,0)</f>
        <v>0</v>
      </c>
      <c r="BD35" s="29" t="str">
        <f>IF(BC35=1,REPT(Sprache!$K$27,1),"")</f>
        <v/>
      </c>
      <c r="BE35" s="29">
        <f>SUM(Steuerung!$Y$3)</f>
        <v>1</v>
      </c>
      <c r="BF35" s="29">
        <f>IF(M35="",100,VLOOKUP(M35,Steuerung!$A$39:$B$60,2,FALSE))</f>
        <v>100</v>
      </c>
      <c r="BG35" s="29">
        <f>IF(BE35=BF35,0,IF(BE35&lt;BF35,0,1))</f>
        <v>0</v>
      </c>
      <c r="BH35" s="29" t="str">
        <f>IF(BE35&gt;20,LEFT(M35,1),"")</f>
        <v/>
      </c>
      <c r="BI35" s="29">
        <f>IF(BH35="2",BE35-BF35,0)</f>
        <v>0</v>
      </c>
      <c r="BJ35" s="29">
        <f>IF(BI35=0,0,1)</f>
        <v>0</v>
      </c>
      <c r="BK35" s="29">
        <f>IF(BL35&gt;0,1,0)</f>
        <v>0</v>
      </c>
      <c r="BL35" s="116">
        <f>SUM(BG35,BJ35)</f>
        <v>0</v>
      </c>
      <c r="BM35" s="29" t="str">
        <f>IF(BL35=0,"",Sprache!$K$49)</f>
        <v/>
      </c>
      <c r="BN35" s="29">
        <v>1</v>
      </c>
      <c r="BQ35" s="29">
        <f>IF($A$1=1,BN35,0)</f>
        <v>1</v>
      </c>
      <c r="BR35" s="29">
        <f>IF($A$1=2,BO35,0)</f>
        <v>0</v>
      </c>
      <c r="BS35" s="29">
        <f>IF($A$1=3,BP35,0)</f>
        <v>0</v>
      </c>
      <c r="BU35" s="127">
        <f>IF(BW35=1,H35,"")</f>
        <v>0</v>
      </c>
      <c r="BV35" s="127" t="str">
        <f>CONCATENATE(BU35,BU33)</f>
        <v>00</v>
      </c>
      <c r="BW35" s="29">
        <f>SUM(BQ35:BS35)</f>
        <v>1</v>
      </c>
    </row>
    <row r="36" spans="2:75" ht="6" customHeight="1">
      <c r="D36" s="113"/>
      <c r="E36" s="113"/>
      <c r="I36" s="126"/>
      <c r="AE36" s="107"/>
      <c r="AF36" s="107"/>
      <c r="AG36" s="107"/>
      <c r="AH36" s="103"/>
      <c r="AI36" s="103"/>
      <c r="AJ36" s="103"/>
      <c r="AK36" s="109"/>
      <c r="AL36" s="109"/>
      <c r="AM36" s="109"/>
      <c r="AX36" s="115"/>
      <c r="AY36" s="115"/>
    </row>
    <row r="37" spans="2:75">
      <c r="B37" s="119" t="str">
        <f>CONCATENATE(BB37,BD37,AY37,BM37)</f>
        <v/>
      </c>
      <c r="D37" s="120" t="str">
        <f>IF(AC37=0,"",AC37)</f>
        <v>HD</v>
      </c>
      <c r="E37" s="121">
        <f>IF(AD37=0,"",AD37)</f>
        <v>1.2</v>
      </c>
      <c r="F37" s="118"/>
      <c r="G37" s="122">
        <f>SUM($G$3/100)</f>
        <v>0</v>
      </c>
      <c r="H37" s="150"/>
      <c r="I37" s="125" t="str">
        <f>IF($G$5="x",VLOOKUP(AO37,Licenses!B:C,2,FALSE),IF(BL37=0,IF(H37="","",VLOOKUP(AO37,Licenses!B:C,2,FALSE)),BM37))</f>
        <v/>
      </c>
      <c r="J37" s="118"/>
      <c r="K37" s="124" t="str">
        <f>IF(H37="","",VLOOKUP(AO37,Licenses!B:D,3,FALSE))</f>
        <v/>
      </c>
      <c r="L37" s="118"/>
      <c r="M37" s="124" t="str">
        <f>REPT(T37,1)</f>
        <v/>
      </c>
      <c r="N37" s="118"/>
      <c r="O37" s="124" t="str">
        <f>IF(M37="","",IF(H37="","",VLOOKUP(AO37,Licenses!B:I,8,FALSE)))</f>
        <v/>
      </c>
      <c r="T37" s="29" t="str">
        <f>IF(U37=0,"",IF(U37="","",U37))</f>
        <v/>
      </c>
      <c r="U37" s="29" t="str">
        <f>IF(H37="","",VLOOKUP(AO37,Licenses!B:H,7,FALSE))</f>
        <v/>
      </c>
      <c r="AB37" s="29">
        <f>IF($A$1=3,AK37,IF($A$1=2,AH37,IF($A$1=1,AE37,0)))</f>
        <v>11</v>
      </c>
      <c r="AC37" s="29" t="str">
        <f>IF($A$1=1,AF37,AI37)</f>
        <v>HD</v>
      </c>
      <c r="AD37" s="29">
        <f>IF($A$1=1,AG37,AJ37)</f>
        <v>1.2</v>
      </c>
      <c r="AE37" s="106">
        <v>11</v>
      </c>
      <c r="AF37" s="106" t="s">
        <v>778</v>
      </c>
      <c r="AG37" s="106">
        <v>1.2</v>
      </c>
      <c r="AH37" s="101">
        <v>11</v>
      </c>
      <c r="AI37" s="101" t="s">
        <v>779</v>
      </c>
      <c r="AJ37" s="101">
        <v>1.3</v>
      </c>
      <c r="AK37" s="108">
        <v>9</v>
      </c>
      <c r="AL37" s="108" t="s">
        <v>779</v>
      </c>
      <c r="AM37" s="108">
        <v>1.3</v>
      </c>
      <c r="AO37" s="114" t="str">
        <f>IF($G$5="X",$G$3,IF(H37="","",SUM(H37*1,$G$3)))</f>
        <v/>
      </c>
      <c r="AP37" s="29">
        <f>IF(AO37=AO33,1,0)</f>
        <v>1</v>
      </c>
      <c r="AQ37" s="29">
        <f>IF(AO37=AO35,1,0)</f>
        <v>1</v>
      </c>
      <c r="AW37" s="29" t="str">
        <f>IF($G$5="X",0,IF(AO37="","",SUM(AP37:AV37)))</f>
        <v/>
      </c>
      <c r="AX37" s="117" t="str">
        <f>IF(AW37=1,AX32,"")</f>
        <v/>
      </c>
      <c r="AY37" s="117" t="str">
        <f>IF(AW37=1,$AY$12,"")</f>
        <v/>
      </c>
      <c r="AZ37" s="116">
        <f>IF(H37="",1,0)</f>
        <v>1</v>
      </c>
      <c r="BA37" s="29">
        <f>IF(H37="",1,0)</f>
        <v>1</v>
      </c>
      <c r="BB37" s="29" t="str">
        <f>IF(AZ37=1,$BB$32,"")</f>
        <v/>
      </c>
      <c r="BC37" s="116">
        <f>IF(I37="n / a",1,0)</f>
        <v>0</v>
      </c>
      <c r="BD37" s="29" t="str">
        <f>IF(BC37=1,REPT(Sprache!$K$27,1),"")</f>
        <v/>
      </c>
      <c r="BE37" s="29">
        <f>SUM(Steuerung!$Y$3)</f>
        <v>1</v>
      </c>
      <c r="BF37" s="29">
        <f>IF(M37="",100,VLOOKUP(M37,Steuerung!$A$39:$B$60,2,FALSE))</f>
        <v>100</v>
      </c>
      <c r="BG37" s="29">
        <f>IF(BE37=BF37,0,IF(BE37&lt;BF37,0,1))</f>
        <v>0</v>
      </c>
      <c r="BH37" s="29" t="str">
        <f>IF(BE37&gt;20,LEFT(M37,1),"")</f>
        <v/>
      </c>
      <c r="BI37" s="29">
        <f>IF(BH37="2",BE37-BF37,0)</f>
        <v>0</v>
      </c>
      <c r="BJ37" s="29">
        <f>IF(BI37=0,0,1)</f>
        <v>0</v>
      </c>
      <c r="BK37" s="29">
        <f>IF(BL37&gt;0,1,0)</f>
        <v>0</v>
      </c>
      <c r="BL37" s="116">
        <f>SUM(BG37,BJ37)</f>
        <v>0</v>
      </c>
      <c r="BM37" s="29" t="str">
        <f>IF(BL37=0,"",Sprache!$K$49)</f>
        <v/>
      </c>
      <c r="BN37" s="29">
        <v>1</v>
      </c>
      <c r="BQ37" s="29">
        <f>IF($A$1=1,BN37,0)</f>
        <v>1</v>
      </c>
      <c r="BR37" s="29">
        <f>IF($A$1=2,BO37,0)</f>
        <v>0</v>
      </c>
      <c r="BS37" s="29">
        <f>IF($A$1=3,BP37,0)</f>
        <v>0</v>
      </c>
      <c r="BU37" s="127">
        <f>IF(BW37=1,H37,"")</f>
        <v>0</v>
      </c>
      <c r="BV37" s="127" t="str">
        <f>CONCATENATE(BU37,BU39)</f>
        <v>00</v>
      </c>
      <c r="BW37" s="29">
        <f>SUM(BQ37:BS37)</f>
        <v>1</v>
      </c>
    </row>
    <row r="38" spans="2:75" ht="6" customHeight="1">
      <c r="D38" s="113"/>
      <c r="E38" s="113"/>
      <c r="I38" s="126"/>
      <c r="AE38" s="107"/>
      <c r="AF38" s="107"/>
      <c r="AG38" s="107"/>
      <c r="AH38" s="103"/>
      <c r="AI38" s="103"/>
      <c r="AJ38" s="103"/>
      <c r="AK38" s="109"/>
      <c r="AL38" s="109"/>
      <c r="AM38" s="109"/>
      <c r="AX38" s="115"/>
      <c r="AY38" s="115"/>
    </row>
    <row r="39" spans="2:75">
      <c r="B39" s="119" t="str">
        <f>CONCATENATE(BB39,BD39,AY39,BM39)</f>
        <v/>
      </c>
      <c r="D39" s="120" t="str">
        <f>IF(AC39=0,"",AC39)</f>
        <v/>
      </c>
      <c r="E39" s="121" t="str">
        <f>IF(AD39=0,"",AD39)</f>
        <v/>
      </c>
      <c r="F39" s="118"/>
      <c r="G39" s="122">
        <f>SUM($G$3/100)</f>
        <v>0</v>
      </c>
      <c r="H39" s="150"/>
      <c r="I39" s="125" t="str">
        <f>IF($G$5="x",VLOOKUP(AO39,Licenses!B:C,2,FALSE),IF(BL39=0,IF(H39="","",VLOOKUP(AO39,Licenses!B:C,2,FALSE)),BM39))</f>
        <v/>
      </c>
      <c r="J39" s="118"/>
      <c r="K39" s="124" t="str">
        <f>IF(H39="","",VLOOKUP(AO39,Licenses!B:D,3,FALSE))</f>
        <v/>
      </c>
      <c r="L39" s="118"/>
      <c r="M39" s="124" t="str">
        <f>REPT(T39,1)</f>
        <v/>
      </c>
      <c r="N39" s="118"/>
      <c r="O39" s="124" t="str">
        <f>IF(M39="","",IF(H39="","",VLOOKUP(AO39,Licenses!B:I,8,FALSE)))</f>
        <v/>
      </c>
      <c r="T39" s="29" t="str">
        <f>IF(U39=0,"",IF(U39="","",U39))</f>
        <v/>
      </c>
      <c r="U39" s="29" t="str">
        <f>IF(H39="","",VLOOKUP(AO39,Licenses!B:H,7,FALSE))</f>
        <v/>
      </c>
      <c r="AB39" s="29">
        <f>IF($A$1=3,AK39,IF($A$1=2,AH39,IF($A$1=1,AE39,0)))</f>
        <v>12</v>
      </c>
      <c r="AC39" s="29">
        <f>IF($A$1=1,AF39,AI39)</f>
        <v>0</v>
      </c>
      <c r="AD39" s="29">
        <f>IF($A$1=1,AG39,AJ39)</f>
        <v>0</v>
      </c>
      <c r="AE39" s="106">
        <v>12</v>
      </c>
      <c r="AF39" s="106"/>
      <c r="AG39" s="106"/>
      <c r="AH39" s="101">
        <v>12</v>
      </c>
      <c r="AI39" s="101" t="s">
        <v>779</v>
      </c>
      <c r="AJ39" s="101">
        <v>1.4</v>
      </c>
      <c r="AK39" s="108">
        <v>10</v>
      </c>
      <c r="AL39" s="108" t="s">
        <v>779</v>
      </c>
      <c r="AM39" s="108">
        <v>1.4</v>
      </c>
      <c r="AO39" s="114" t="str">
        <f>IF($G$5="X",$G$3,IF(H39="","",SUM(H39*1,$G$3)))</f>
        <v/>
      </c>
      <c r="AP39" s="29">
        <f>IF(AO39=AO33,1,0)</f>
        <v>1</v>
      </c>
      <c r="AQ39" s="29">
        <f>IF(AO39=AO35,1,0)</f>
        <v>1</v>
      </c>
      <c r="AR39" s="29">
        <f>IF(AO39=AO37,1,0)</f>
        <v>1</v>
      </c>
      <c r="AW39" s="29" t="str">
        <f>IF($G$5="X",0,IF(AO39="","",SUM(AP39:AV39)))</f>
        <v/>
      </c>
      <c r="AX39" s="117" t="str">
        <f>IF(AW39=1,AX32,"")</f>
        <v/>
      </c>
      <c r="AY39" s="117" t="str">
        <f>IF(AW39=1,$AY$12,"")</f>
        <v/>
      </c>
      <c r="AZ39" s="116">
        <f>IF(H39="",1,0)</f>
        <v>1</v>
      </c>
      <c r="BA39" s="29">
        <f>IF(H39="",1,0)</f>
        <v>1</v>
      </c>
      <c r="BB39" s="29" t="str">
        <f>IF(AZ39=1,$BB$32,"")</f>
        <v/>
      </c>
      <c r="BC39" s="116">
        <f>IF(I39="n / a",1,0)</f>
        <v>0</v>
      </c>
      <c r="BD39" s="29" t="str">
        <f>IF(BC39=1,REPT(Sprache!$K$27,1),"")</f>
        <v/>
      </c>
      <c r="BE39" s="29">
        <f>SUM(Steuerung!$Y$3)</f>
        <v>1</v>
      </c>
      <c r="BF39" s="29">
        <f>IF(M39="",100,VLOOKUP(M39,Steuerung!$A$39:$B$60,2,FALSE))</f>
        <v>100</v>
      </c>
      <c r="BG39" s="29">
        <f>IF(BE39=BF39,0,IF(BE39&lt;BF39,0,1))</f>
        <v>0</v>
      </c>
      <c r="BH39" s="29" t="str">
        <f>IF(BE39&gt;20,LEFT(M39,1),"")</f>
        <v/>
      </c>
      <c r="BI39" s="29">
        <f>IF(BH39="2",BE39-BF39,0)</f>
        <v>0</v>
      </c>
      <c r="BJ39" s="29">
        <f>IF(BI39=0,0,1)</f>
        <v>0</v>
      </c>
      <c r="BK39" s="29">
        <f>IF(BL39&gt;0,1,0)</f>
        <v>0</v>
      </c>
      <c r="BL39" s="116">
        <f>SUM(BG39,BJ39)</f>
        <v>0</v>
      </c>
      <c r="BM39" s="29" t="str">
        <f>IF(BL39=0,"",Sprache!$K$49)</f>
        <v/>
      </c>
      <c r="BN39" s="29">
        <v>1</v>
      </c>
      <c r="BQ39" s="29">
        <f>IF($A$1=1,BN39,0)</f>
        <v>1</v>
      </c>
      <c r="BR39" s="29">
        <f>IF($A$1=2,BO39,0)</f>
        <v>0</v>
      </c>
      <c r="BS39" s="29">
        <f>IF($A$1=3,BP39,0)</f>
        <v>0</v>
      </c>
      <c r="BU39" s="127">
        <f>IF(BW39=1,H39,"")</f>
        <v>0</v>
      </c>
      <c r="BV39" s="127" t="str">
        <f>CONCATENATE(BU39,BU37)</f>
        <v>00</v>
      </c>
      <c r="BW39" s="29">
        <f>SUM(BQ39:BS39)</f>
        <v>1</v>
      </c>
    </row>
    <row r="40" spans="2:75" ht="6" customHeight="1">
      <c r="D40" s="113"/>
      <c r="E40" s="113"/>
      <c r="I40" s="126"/>
      <c r="AE40" s="107"/>
      <c r="AF40" s="107"/>
      <c r="AG40" s="107"/>
      <c r="AH40" s="103"/>
      <c r="AI40" s="103"/>
      <c r="AJ40" s="103"/>
      <c r="AK40" s="109"/>
      <c r="AL40" s="109"/>
      <c r="AM40" s="109"/>
      <c r="AX40" s="115"/>
      <c r="AY40" s="115"/>
    </row>
    <row r="41" spans="2:75">
      <c r="B41" s="119" t="str">
        <f>CONCATENATE(BB41,BD41,AY41,BM41)</f>
        <v/>
      </c>
      <c r="D41" s="120" t="str">
        <f>IF(AC41=0,"",AC41)</f>
        <v>HD</v>
      </c>
      <c r="E41" s="121">
        <f>IF(AD41=0,"",AD41)</f>
        <v>1.3</v>
      </c>
      <c r="F41" s="118"/>
      <c r="G41" s="122">
        <f>SUM($G$3/100)</f>
        <v>0</v>
      </c>
      <c r="H41" s="150"/>
      <c r="I41" s="125" t="str">
        <f>IF(AN41=1,VLOOKUP(AO41,Licenses!B:C,2,FALSE),IF($G$5="x",VLOOKUP(AO41,Licenses!B:C,2,FALSE),IF(BL41=0,IF(H41="","",VLOOKUP(AO41,Licenses!B:C,2,FALSE)),BM41)))</f>
        <v/>
      </c>
      <c r="J41" s="118"/>
      <c r="K41" s="124" t="str">
        <f>IF(H41="","",VLOOKUP(AO41,Licenses!B:D,3,FALSE))</f>
        <v/>
      </c>
      <c r="L41" s="118"/>
      <c r="M41" s="124" t="str">
        <f>REPT(T41,1)</f>
        <v/>
      </c>
      <c r="N41" s="118"/>
      <c r="O41" s="124" t="str">
        <f>IF(M41="","",IF(H41="","",VLOOKUP(AO41,Licenses!B:I,8,FALSE)))</f>
        <v/>
      </c>
      <c r="T41" s="29" t="str">
        <f>IF(U41=0,"",IF(U41="","",U41))</f>
        <v/>
      </c>
      <c r="U41" s="29" t="str">
        <f>IF(H41="","",VLOOKUP(AO41,Licenses!B:H,7,FALSE))</f>
        <v/>
      </c>
      <c r="AB41" s="29">
        <f>IF($A$1=3,AK41,IF($A$1=2,AH41,IF($A$1=1,AE41,0)))</f>
        <v>13</v>
      </c>
      <c r="AC41" s="29" t="str">
        <f>IF($A$1=1,AF41,AI41)</f>
        <v>HD</v>
      </c>
      <c r="AD41" s="29">
        <f>IF($A$1=1,AG41,AJ41)</f>
        <v>1.3</v>
      </c>
      <c r="AE41" s="106">
        <v>13</v>
      </c>
      <c r="AF41" s="106" t="s">
        <v>778</v>
      </c>
      <c r="AG41" s="106">
        <v>1.3</v>
      </c>
      <c r="AH41" s="101">
        <v>13</v>
      </c>
      <c r="AI41" s="101" t="s">
        <v>779</v>
      </c>
      <c r="AJ41" s="101">
        <v>1.5</v>
      </c>
      <c r="AK41" s="108">
        <v>11</v>
      </c>
      <c r="AL41" s="108" t="s">
        <v>779</v>
      </c>
      <c r="AM41" s="108">
        <v>1.5</v>
      </c>
      <c r="AO41" s="114" t="str">
        <f>IF(AN41=1,$G$3,IF($G$5="X",$G$3,IF(H41="","",SUM(H41*1,$G$3))))</f>
        <v/>
      </c>
      <c r="AP41" s="29">
        <f>IF(AO41=AO33,1,0)</f>
        <v>1</v>
      </c>
      <c r="AQ41" s="29">
        <f>IF(AO41=AO35,1,0)</f>
        <v>1</v>
      </c>
      <c r="AR41" s="29">
        <f>IF(AO41=AO37,1,0)</f>
        <v>1</v>
      </c>
      <c r="AS41" s="29">
        <f>IF(AO41=AO39,1,0)</f>
        <v>1</v>
      </c>
      <c r="AW41" s="29" t="str">
        <f>IF(AN41=1,0,IF($G$5="X",0,IF(AO41="","",SUM(AP41:AV41))))</f>
        <v/>
      </c>
      <c r="AX41" s="117" t="str">
        <f>IF(AW41=1,AX32,"")</f>
        <v/>
      </c>
      <c r="AY41" s="117" t="str">
        <f>IF(AW41=1,$AY$12,"")</f>
        <v/>
      </c>
      <c r="AZ41" s="116">
        <f>IF(H41="",1,0)</f>
        <v>1</v>
      </c>
      <c r="BA41" s="29">
        <f>IF(H41="",1,0)</f>
        <v>1</v>
      </c>
      <c r="BB41" s="29" t="str">
        <f>IF(AZ41=1,$BB$32,"")</f>
        <v/>
      </c>
      <c r="BC41" s="116">
        <f>IF(I41="n / a",1,0)</f>
        <v>0</v>
      </c>
      <c r="BD41" s="29" t="str">
        <f>IF(BC41=1,REPT(Sprache!$K$27,1),"")</f>
        <v/>
      </c>
      <c r="BE41" s="29">
        <f>SUM(Steuerung!$Y$3)</f>
        <v>1</v>
      </c>
      <c r="BF41" s="29">
        <f>IF(M41="",100,VLOOKUP(M41,Steuerung!$A$39:$B$60,2,FALSE))</f>
        <v>100</v>
      </c>
      <c r="BG41" s="29">
        <f>IF(BE41=BF41,0,IF(BE41&lt;BF41,0,1))</f>
        <v>0</v>
      </c>
      <c r="BH41" s="29" t="str">
        <f>IF(BE41&gt;20,LEFT(M41,1),"")</f>
        <v/>
      </c>
      <c r="BI41" s="29">
        <f>IF(BH41="2",BE41-BF41,0)</f>
        <v>0</v>
      </c>
      <c r="BJ41" s="29">
        <f>IF(BI41=0,0,1)</f>
        <v>0</v>
      </c>
      <c r="BK41" s="29">
        <f>IF(BL41&gt;0,1,0)</f>
        <v>0</v>
      </c>
      <c r="BL41" s="116">
        <f>SUM(BG41,BJ41)</f>
        <v>0</v>
      </c>
      <c r="BM41" s="29" t="str">
        <f>IF(BL41=0,"",Sprache!$K$49)</f>
        <v/>
      </c>
      <c r="BN41" s="29">
        <v>1</v>
      </c>
      <c r="BQ41" s="29">
        <f>IF($A$1=1,BN41,0)</f>
        <v>1</v>
      </c>
      <c r="BR41" s="29">
        <f>IF($A$1=2,BO41,0)</f>
        <v>0</v>
      </c>
      <c r="BS41" s="29">
        <f>IF($A$1=3,BP41,0)</f>
        <v>0</v>
      </c>
      <c r="BU41" s="127">
        <f>IF(BW41=1,H41,"")</f>
        <v>0</v>
      </c>
      <c r="BV41" s="127" t="str">
        <f>CONCATENATE(BU41,BU43)</f>
        <v>00</v>
      </c>
      <c r="BW41" s="29">
        <f>SUM(BQ41:BS41)</f>
        <v>1</v>
      </c>
    </row>
    <row r="42" spans="2:75" ht="6" customHeight="1">
      <c r="D42" s="113"/>
      <c r="E42" s="113"/>
      <c r="I42" s="126"/>
      <c r="AE42" s="107"/>
      <c r="AF42" s="107"/>
      <c r="AG42" s="107"/>
      <c r="AH42" s="103"/>
      <c r="AI42" s="103"/>
      <c r="AJ42" s="103"/>
      <c r="AK42" s="109"/>
      <c r="AL42" s="109"/>
      <c r="AM42" s="109"/>
      <c r="AX42" s="115"/>
      <c r="AY42" s="115"/>
    </row>
    <row r="43" spans="2:75">
      <c r="B43" s="119" t="str">
        <f>IF(AN43=1,"",CONCATENATE(BB43,BD43,AX43,BM43))</f>
        <v/>
      </c>
      <c r="D43" s="120" t="str">
        <f>IF(AC43=0,"",AC43)</f>
        <v/>
      </c>
      <c r="E43" s="121" t="str">
        <f>IF(AD43=0,"",AD43)</f>
        <v/>
      </c>
      <c r="F43" s="118"/>
      <c r="G43" s="122">
        <f>SUM($G$3/100)</f>
        <v>0</v>
      </c>
      <c r="H43" s="150"/>
      <c r="I43" s="125" t="str">
        <f>IF(AN43=1,VLOOKUP(AO43,Licenses!B:C,2,FALSE),IF($G$5="x",VLOOKUP(AO43,Licenses!B:C,2,FALSE),IF(BL43=0,IF(H43="","",VLOOKUP(AO43,Licenses!B:C,2,FALSE)),BM43)))</f>
        <v/>
      </c>
      <c r="J43" s="118"/>
      <c r="K43" s="124" t="str">
        <f>IF(H43="","",VLOOKUP(AO43,Licenses!B:D,3,FALSE))</f>
        <v/>
      </c>
      <c r="L43" s="118"/>
      <c r="M43" s="124" t="str">
        <f>REPT(T43,1)</f>
        <v/>
      </c>
      <c r="N43" s="118"/>
      <c r="O43" s="124" t="str">
        <f>IF(M43="","",IF(H43="","",VLOOKUP(AO43,Licenses!B:I,8,FALSE)))</f>
        <v/>
      </c>
      <c r="T43" s="29" t="str">
        <f>IF(U43=0,"",IF(U43="","",U43))</f>
        <v/>
      </c>
      <c r="U43" s="29" t="str">
        <f>IF(H43="","",VLOOKUP(AO43,Licenses!B:H,7,FALSE))</f>
        <v/>
      </c>
      <c r="AB43" s="29">
        <f>IF($A$1=3,AK43,IF($A$1=2,AH43,IF($A$1=1,AE43,0)))</f>
        <v>14</v>
      </c>
      <c r="AC43" s="29">
        <f>IF($A$1=1,AF43,AI43)</f>
        <v>0</v>
      </c>
      <c r="AD43" s="29">
        <f>IF($A$1=1,AG43,AJ43)</f>
        <v>0</v>
      </c>
      <c r="AE43" s="106">
        <v>14</v>
      </c>
      <c r="AF43" s="106"/>
      <c r="AG43" s="106"/>
      <c r="AH43" s="101">
        <v>14</v>
      </c>
      <c r="AI43" s="101" t="s">
        <v>779</v>
      </c>
      <c r="AJ43" s="101">
        <v>1.6</v>
      </c>
      <c r="AK43" s="108">
        <v>12</v>
      </c>
      <c r="AL43" s="108" t="s">
        <v>779</v>
      </c>
      <c r="AM43" s="108">
        <v>1.6</v>
      </c>
      <c r="AN43" s="29">
        <f>IF($A$1=3,IF($G$7="X",1,0),0)</f>
        <v>0</v>
      </c>
      <c r="AO43" s="114" t="str">
        <f>IF(AN43=1,$G$3,IF($G$5="X",$G$3,IF(H43="","",SUM(H43*1,$G$3))))</f>
        <v/>
      </c>
      <c r="AP43" s="29">
        <f>IF(AO43=AO33,1,0)</f>
        <v>1</v>
      </c>
      <c r="AQ43" s="29">
        <f>IF(AO43=AO35,1,0)</f>
        <v>1</v>
      </c>
      <c r="AR43" s="29">
        <f>IF(AO43=AO37,1,0)</f>
        <v>1</v>
      </c>
      <c r="AS43" s="29">
        <f>IF(AO43=AO39,1,0)</f>
        <v>1</v>
      </c>
      <c r="AT43" s="29">
        <f>IF(AO43=AO41,1,0)</f>
        <v>1</v>
      </c>
      <c r="AW43" s="29" t="str">
        <f>IF(AN43=1,0,IF($G$5="X",0,IF(AO43="","",SUM(AP43:AV43))))</f>
        <v/>
      </c>
      <c r="AX43" s="117" t="str">
        <f>IF(AW43=1,AX32,"")</f>
        <v/>
      </c>
      <c r="AY43" s="117" t="str">
        <f>IF(AW43=1,$AY$12,"")</f>
        <v/>
      </c>
      <c r="AZ43" s="116">
        <f>IF(H43="",1,0)</f>
        <v>1</v>
      </c>
      <c r="BA43" s="29">
        <f>IF(H43="",1,0)</f>
        <v>1</v>
      </c>
      <c r="BB43" s="29" t="str">
        <f>IF(AZ43=1,$BB$32,"")</f>
        <v/>
      </c>
      <c r="BC43" s="116">
        <f>IF(I43="n / a",1,0)</f>
        <v>0</v>
      </c>
      <c r="BD43" s="29" t="str">
        <f>IF(BC43=1,REPT(Sprache!$K$27,1),"")</f>
        <v/>
      </c>
      <c r="BE43" s="29">
        <f>SUM(Steuerung!$Y$3)</f>
        <v>1</v>
      </c>
      <c r="BF43" s="29">
        <f>IF(M43="",100,VLOOKUP(M43,Steuerung!$A$39:$B$60,2,FALSE))</f>
        <v>100</v>
      </c>
      <c r="BG43" s="29">
        <f>IF(BE43=BF43,0,IF(BE43&lt;BF43,0,1))</f>
        <v>0</v>
      </c>
      <c r="BH43" s="29" t="str">
        <f>IF(BE43&gt;20,LEFT(M43,1),"")</f>
        <v/>
      </c>
      <c r="BI43" s="29">
        <f>IF(BH43="2",BE43-BF43,0)</f>
        <v>0</v>
      </c>
      <c r="BJ43" s="29">
        <f>IF(BI43=0,0,1)</f>
        <v>0</v>
      </c>
      <c r="BK43" s="29">
        <f>IF(BL43&gt;0,1,0)</f>
        <v>0</v>
      </c>
      <c r="BL43" s="116">
        <f>SUM(BG43,BJ43)</f>
        <v>0</v>
      </c>
      <c r="BM43" s="29" t="str">
        <f>IF(BL43=0,"",Sprache!$K$49)</f>
        <v/>
      </c>
      <c r="BN43" s="29">
        <v>1</v>
      </c>
      <c r="BQ43" s="29">
        <f>IF($A$1=1,BN43,0)</f>
        <v>1</v>
      </c>
      <c r="BR43" s="29">
        <f>IF($A$1=2,BO43,0)</f>
        <v>0</v>
      </c>
      <c r="BS43" s="29">
        <f>IF($A$1=3,BP43,0)</f>
        <v>0</v>
      </c>
      <c r="BU43" s="127">
        <f>IF(BW43=1,H43,"")</f>
        <v>0</v>
      </c>
      <c r="BV43" s="127" t="str">
        <f>CONCATENATE(BU43,BU41)</f>
        <v>00</v>
      </c>
      <c r="BW43" s="29">
        <f>SUM(BQ43:BS43)</f>
        <v>1</v>
      </c>
    </row>
    <row r="44" spans="2:75" ht="6" customHeight="1">
      <c r="D44" s="113"/>
      <c r="E44" s="113"/>
      <c r="I44" s="126"/>
      <c r="AE44" s="107"/>
      <c r="AF44" s="107"/>
      <c r="AG44" s="107"/>
      <c r="AH44" s="103"/>
      <c r="AI44" s="103"/>
      <c r="AJ44" s="103"/>
      <c r="AK44" s="111"/>
      <c r="AL44" s="111"/>
      <c r="AM44" s="111"/>
      <c r="AX44" s="115"/>
      <c r="AY44" s="115"/>
    </row>
    <row r="45" spans="2:75">
      <c r="B45" s="119" t="str">
        <f>IF(AN45=1,"",CONCATENATE(BB45,BD45,AX45,BM45))</f>
        <v/>
      </c>
      <c r="D45" s="120" t="str">
        <f>IF(AC45=0,"",AC45)</f>
        <v>HD</v>
      </c>
      <c r="E45" s="121">
        <f>IF(AD45=0,"",AD45)</f>
        <v>1.4</v>
      </c>
      <c r="F45" s="118"/>
      <c r="G45" s="122">
        <f>IF($A$1=3,"",SUM($G$3/100))</f>
        <v>0</v>
      </c>
      <c r="H45" s="150"/>
      <c r="I45" s="125" t="str">
        <f>IF($A$1=3,"",IF(AN45=1,VLOOKUP(AO45,Licenses!B:C,2,FALSE),IF($G$5="x",VLOOKUP(AO45,Licenses!B:C,2,FALSE),IF(BL45=0,IF(H45="","",VLOOKUP(AO45,Licenses!B:C,2,FALSE)),BM45))))</f>
        <v/>
      </c>
      <c r="J45" s="118"/>
      <c r="K45" s="124" t="str">
        <f>IF($A$1=3,"",IF(H45="","",VLOOKUP(AO45,Licenses!B:D,3,FALSE)))</f>
        <v/>
      </c>
      <c r="L45" s="118"/>
      <c r="M45" s="124" t="str">
        <f>REPT(T45,1)</f>
        <v/>
      </c>
      <c r="N45" s="118"/>
      <c r="O45" s="124" t="str">
        <f>IF(M45="","",IF($A$1=3,"",IF(H45="","",VLOOKUP(AO45,Licenses!B:I,8,FALSE))))</f>
        <v/>
      </c>
      <c r="T45" s="29" t="str">
        <f>IF($A$1=3,"",IF(U45=0,"",IF(U45="","",U45)))</f>
        <v/>
      </c>
      <c r="U45" s="29" t="str">
        <f>IF($A$1=3,"",IF(H45="","",VLOOKUP(AO45,Licenses!B:H,7,FALSE)))</f>
        <v/>
      </c>
      <c r="AB45" s="29">
        <f>IF($A$1=3,AK45,IF($A$1=2,AH45,IF($A$1=1,AE45,0)))</f>
        <v>15</v>
      </c>
      <c r="AC45" s="29" t="str">
        <f>IF($A$1=3,0,IF($A$1=1,AF45,AI45))</f>
        <v>HD</v>
      </c>
      <c r="AD45" s="29">
        <f>IF($A$1=3,0,IF($A$1=1,AG45,AJ45))</f>
        <v>1.4</v>
      </c>
      <c r="AE45" s="106">
        <v>15</v>
      </c>
      <c r="AF45" s="106" t="s">
        <v>778</v>
      </c>
      <c r="AG45" s="106">
        <v>1.4</v>
      </c>
      <c r="AH45" s="101">
        <v>15</v>
      </c>
      <c r="AI45" s="101" t="s">
        <v>779</v>
      </c>
      <c r="AJ45" s="101">
        <v>1.7</v>
      </c>
      <c r="AK45" s="110"/>
      <c r="AL45" s="110"/>
      <c r="AM45" s="110"/>
      <c r="AN45" s="29">
        <f>IF($A$1=1,IF($A$1=3,0,IF($G$7="X",1,0)),0)</f>
        <v>0</v>
      </c>
      <c r="AO45" s="114" t="str">
        <f>IF(AN45=1,$G$3,IF($A$1=3,"",IF($G$5="X",$G$3,IF(H45="","",SUM(H45*1,$G$3)))))</f>
        <v/>
      </c>
      <c r="AP45" s="29">
        <f>IF(AO45=AO33,1,0)</f>
        <v>1</v>
      </c>
      <c r="AQ45" s="29">
        <f>IF(AO45=AO35,1,0)</f>
        <v>1</v>
      </c>
      <c r="AR45" s="29">
        <f>IF(AO45=AO37,1,0)</f>
        <v>1</v>
      </c>
      <c r="AS45" s="29">
        <f>IF(AO45=AO39,1,0)</f>
        <v>1</v>
      </c>
      <c r="AT45" s="29">
        <f>IF(AO45=AO41,1,0)</f>
        <v>1</v>
      </c>
      <c r="AU45" s="29">
        <f>IF(AO45=AO43,1,0)</f>
        <v>1</v>
      </c>
      <c r="AW45" s="29" t="str">
        <f>IF($G$5="X",0,IF(AO45="","",SUM(AP45:AV45)))</f>
        <v/>
      </c>
      <c r="AX45" s="117" t="str">
        <f>IF(AW45=1,AX32,"")</f>
        <v/>
      </c>
      <c r="AY45" s="117" t="str">
        <f>IF(AW45=1,$AY$12,"")</f>
        <v/>
      </c>
      <c r="AZ45" s="116">
        <f>IF($A$1=3,"",IF(H45="",1,0))</f>
        <v>1</v>
      </c>
      <c r="BA45" s="29">
        <f>IF($A$1=3,0,IF(H45="",1,0))</f>
        <v>1</v>
      </c>
      <c r="BB45" s="29" t="str">
        <f>IF(AZ45=1,$BB$32,"")</f>
        <v/>
      </c>
      <c r="BC45" s="116">
        <f>IF($A$1=3,"",IF(I45="n / a",1,0))</f>
        <v>0</v>
      </c>
      <c r="BD45" s="29" t="str">
        <f>IF(BC45=1,REPT(Sprache!$K$27,1),"")</f>
        <v/>
      </c>
      <c r="BE45" s="29">
        <f>SUM(Steuerung!$Y$3)</f>
        <v>1</v>
      </c>
      <c r="BF45" s="29">
        <f>IF(M45="",100,VLOOKUP(M45,Steuerung!$A$39:$B$60,2,FALSE))</f>
        <v>100</v>
      </c>
      <c r="BG45" s="29">
        <f>IF(BE45=BF45,0,IF(BE45&lt;BF45,0,1))</f>
        <v>0</v>
      </c>
      <c r="BH45" s="29" t="str">
        <f>IF(BE45&gt;20,LEFT(M45,1),"")</f>
        <v/>
      </c>
      <c r="BI45" s="29">
        <f>IF(BH45="2",BE45-BF45,0)</f>
        <v>0</v>
      </c>
      <c r="BJ45" s="29">
        <f>IF(BI45=0,0,1)</f>
        <v>0</v>
      </c>
      <c r="BK45" s="29">
        <f>IF(BL45&gt;0,1,0)</f>
        <v>0</v>
      </c>
      <c r="BL45" s="116">
        <f>SUM(BG45,BJ45)</f>
        <v>0</v>
      </c>
      <c r="BM45" s="29" t="str">
        <f>IF(BL45=0,"",Sprache!$K$49)</f>
        <v/>
      </c>
      <c r="BN45" s="29">
        <v>1</v>
      </c>
      <c r="BQ45" s="29">
        <f>IF($A$1=1,BN45,0)</f>
        <v>1</v>
      </c>
      <c r="BR45" s="29">
        <f>IF($A$1=2,BO45,0)</f>
        <v>0</v>
      </c>
      <c r="BU45" s="127">
        <f>IF(BW45=1,H45,"")</f>
        <v>0</v>
      </c>
      <c r="BV45" s="127" t="str">
        <f>CONCATENATE(BU45,BU47)</f>
        <v>00</v>
      </c>
      <c r="BW45" s="29">
        <f>SUM(BQ45:BS45)</f>
        <v>1</v>
      </c>
    </row>
    <row r="46" spans="2:75" ht="6" customHeight="1">
      <c r="D46" s="113"/>
      <c r="E46" s="113"/>
      <c r="I46" s="126"/>
      <c r="AE46" s="107"/>
      <c r="AF46" s="107"/>
      <c r="AG46" s="107"/>
      <c r="AH46" s="103"/>
      <c r="AI46" s="103"/>
      <c r="AJ46" s="103"/>
      <c r="AK46" s="111"/>
      <c r="AL46" s="111"/>
      <c r="AM46" s="111"/>
      <c r="AX46" s="115"/>
      <c r="AY46" s="115"/>
    </row>
    <row r="47" spans="2:75">
      <c r="B47" s="119" t="str">
        <f>IF(AN47=1,"",CONCATENATE(BB47,BD47,AX47,BM47))</f>
        <v/>
      </c>
      <c r="D47" s="120" t="str">
        <f>IF(AC47=0,"",AC47)</f>
        <v/>
      </c>
      <c r="E47" s="121" t="str">
        <f>IF(AD47=0,"",AD47)</f>
        <v/>
      </c>
      <c r="F47" s="118"/>
      <c r="G47" s="122">
        <f>IF($A$1=3,"",SUM($G$3/100))</f>
        <v>0</v>
      </c>
      <c r="H47" s="150"/>
      <c r="I47" s="125" t="str">
        <f>IF($A$1=3,"",IF(AN47=1,VLOOKUP(AO47,Licenses!B:C,2,FALSE),IF($G$5="x",VLOOKUP(AO47,Licenses!B:C,2,FALSE),IF(BL47=0,IF(H47="","",VLOOKUP(AO47,Licenses!B:C,2,FALSE)),BM47))))</f>
        <v/>
      </c>
      <c r="J47" s="118"/>
      <c r="K47" s="124" t="str">
        <f>IF($A$1=3,"",IF(H47="","",VLOOKUP(AO47,Licenses!B:D,3,FALSE)))</f>
        <v/>
      </c>
      <c r="L47" s="118"/>
      <c r="M47" s="124" t="str">
        <f>REPT(T47,1)</f>
        <v/>
      </c>
      <c r="N47" s="118"/>
      <c r="O47" s="124" t="str">
        <f>IF(M47="","",IF($A$1=3,"",IF(H47="","",VLOOKUP(AO47,Licenses!B:I,8,FALSE))))</f>
        <v/>
      </c>
      <c r="T47" s="29" t="str">
        <f>IF($A$1=3,"",IF(U47=0,"",IF(U47="","",U47)))</f>
        <v/>
      </c>
      <c r="U47" s="29" t="str">
        <f>IF($A$1=3,"",IF(H47="","",VLOOKUP(AO47,Licenses!B:H,7,FALSE)))</f>
        <v/>
      </c>
      <c r="AB47" s="29">
        <f>IF($A$1=3,AK47,IF($A$1=2,AH47,IF($A$1=1,AE47,0)))</f>
        <v>16</v>
      </c>
      <c r="AC47" s="29">
        <f>IF($A$1=3,0,IF($A$1=1,AF47,AI47))</f>
        <v>0</v>
      </c>
      <c r="AD47" s="29">
        <f>IF($A$1=3,0,IF($A$1=1,AG47,AJ47))</f>
        <v>0</v>
      </c>
      <c r="AE47" s="106">
        <v>16</v>
      </c>
      <c r="AF47" s="106"/>
      <c r="AG47" s="106"/>
      <c r="AH47" s="101">
        <v>16</v>
      </c>
      <c r="AI47" s="101" t="s">
        <v>779</v>
      </c>
      <c r="AJ47" s="101">
        <v>1.8</v>
      </c>
      <c r="AK47" s="110"/>
      <c r="AL47" s="110"/>
      <c r="AM47" s="110"/>
      <c r="AN47" s="29">
        <f>IF($A$1=3,0,IF($G$7="X",1,0))</f>
        <v>0</v>
      </c>
      <c r="AO47" s="114" t="str">
        <f>IF(AN47=1,$G$3,IF($A$1=3,"",IF($G$5="X",$G$3,IF(H47="","",SUM(H47*1,$G$3)))))</f>
        <v/>
      </c>
      <c r="AP47" s="29">
        <f>IF(AO47=AO33,1,0)</f>
        <v>1</v>
      </c>
      <c r="AQ47" s="29">
        <f>IF(AO47=AO35,1,0)</f>
        <v>1</v>
      </c>
      <c r="AR47" s="29">
        <f>IF(AO47=AO37,1,0)</f>
        <v>1</v>
      </c>
      <c r="AS47" s="29">
        <f>IF(AO47=AO39,1,0)</f>
        <v>1</v>
      </c>
      <c r="AT47" s="29">
        <f>IF(AO47=AO41,1,0)</f>
        <v>1</v>
      </c>
      <c r="AU47" s="29">
        <f>IF(AO47=AO43,1,0)</f>
        <v>1</v>
      </c>
      <c r="AV47" s="29">
        <f>IF(AO47=AO45,1,0)</f>
        <v>1</v>
      </c>
      <c r="AW47" s="29" t="str">
        <f>IF(AN47=1,0,IF($G$5="X",0,IF(AO47="","",SUM(AP47:AV47))))</f>
        <v/>
      </c>
      <c r="AX47" s="117" t="str">
        <f>IF(AW47=1,AX32,"")</f>
        <v/>
      </c>
      <c r="AY47" s="117" t="str">
        <f>IF(AW47=1,$AY$12,"")</f>
        <v/>
      </c>
      <c r="AZ47" s="116">
        <f>IF(AN47=1,0,IF($A$1=3,"",IF(H47="",1,0)))</f>
        <v>1</v>
      </c>
      <c r="BA47" s="29">
        <f>IF($A$1=3,0,IF(H47="",1,0))</f>
        <v>1</v>
      </c>
      <c r="BB47" s="29" t="str">
        <f>IF(AZ47=1,$BB$32,"")</f>
        <v/>
      </c>
      <c r="BC47" s="116">
        <f>IF($A$1=3,"",IF(I47="n / a",1,0))</f>
        <v>0</v>
      </c>
      <c r="BD47" s="29" t="str">
        <f>IF(BC47=1,REPT(Sprache!$K$27,1),"")</f>
        <v/>
      </c>
      <c r="BE47" s="29">
        <f>SUM(Steuerung!$Y$3)</f>
        <v>1</v>
      </c>
      <c r="BF47" s="29">
        <f>IF(M47="",100,VLOOKUP(M47,Steuerung!$A$39:$B$60,2,FALSE))</f>
        <v>100</v>
      </c>
      <c r="BG47" s="29">
        <f>IF(BE47=BF47,0,IF(BE47&lt;BF47,0,1))</f>
        <v>0</v>
      </c>
      <c r="BH47" s="29" t="str">
        <f>IF(BE47&gt;20,LEFT(M47,1),"")</f>
        <v/>
      </c>
      <c r="BI47" s="29">
        <f>IF(BH47="2",BE47-BF47,0)</f>
        <v>0</v>
      </c>
      <c r="BJ47" s="29">
        <f>IF(BI47=0,0,1)</f>
        <v>0</v>
      </c>
      <c r="BK47" s="29">
        <f>IF(BL47&gt;0,1,0)</f>
        <v>0</v>
      </c>
      <c r="BL47" s="116">
        <f>SUM(BG47,BJ47)</f>
        <v>0</v>
      </c>
      <c r="BM47" s="29" t="str">
        <f>IF(BL47=0,"",Sprache!$K$49)</f>
        <v/>
      </c>
      <c r="BN47" s="29">
        <v>1</v>
      </c>
      <c r="BQ47" s="29">
        <f>IF($A$1=1,BN47,0)</f>
        <v>1</v>
      </c>
      <c r="BR47" s="29">
        <f>IF($A$1=2,BO47,0)</f>
        <v>0</v>
      </c>
      <c r="BU47" s="127">
        <f>IF(BW47=1,H47,"")</f>
        <v>0</v>
      </c>
      <c r="BV47" s="127" t="str">
        <f>CONCATENATE(BU47,BU45)</f>
        <v>00</v>
      </c>
      <c r="BW47" s="29">
        <f>SUM(BQ47:BS47)</f>
        <v>1</v>
      </c>
    </row>
    <row r="49" spans="2:75">
      <c r="AW49" s="131">
        <f>SUM(AW33:AW47)</f>
        <v>0</v>
      </c>
      <c r="AZ49" s="131">
        <f>IF(AY33=0,0,SUM(AZ33:AZ47))</f>
        <v>0</v>
      </c>
      <c r="BC49" s="131">
        <f>SUM(BC33:BC47)</f>
        <v>0</v>
      </c>
      <c r="BK49" s="131">
        <f>SUM(BK33:BK47)</f>
        <v>0</v>
      </c>
      <c r="BL49" s="131">
        <f>SUM(BK49)</f>
        <v>0</v>
      </c>
    </row>
    <row r="51" spans="2:75">
      <c r="I51" s="102" t="str">
        <f>IF($A$1=3,Sprache!K38,IF($A$1=2,Sprache!K38,IF($A$1=1,Sprache!K39,"")))</f>
        <v>Zweite Runde Einzel</v>
      </c>
      <c r="J51" s="91"/>
      <c r="K51" s="85" t="str">
        <f>REPT(Sprache!$K$44,1)</f>
        <v>Spieler-Nr.</v>
      </c>
      <c r="L51" s="82"/>
      <c r="M51" s="85" t="str">
        <f>REPT(Sprache!$K$15,1)</f>
        <v>Liga</v>
      </c>
      <c r="N51" s="100"/>
      <c r="O51" s="85" t="str">
        <f>REPT(Sprache!$K$45,1)</f>
        <v>Qualifiziert für:</v>
      </c>
      <c r="AE51" s="106"/>
      <c r="AF51" s="106" t="s">
        <v>821</v>
      </c>
      <c r="AG51" s="106"/>
      <c r="AH51" s="101"/>
      <c r="AI51" s="101" t="s">
        <v>820</v>
      </c>
      <c r="AJ51" s="101"/>
      <c r="AK51" s="108"/>
      <c r="AL51" s="108" t="s">
        <v>819</v>
      </c>
      <c r="AM51" s="108"/>
    </row>
    <row r="52" spans="2:75">
      <c r="AE52" s="106"/>
      <c r="AF52" s="106"/>
      <c r="AG52" s="106"/>
      <c r="AH52" s="101"/>
      <c r="AI52" s="101"/>
      <c r="AJ52" s="101"/>
      <c r="AK52" s="108"/>
      <c r="AL52" s="108"/>
      <c r="AM52" s="108"/>
      <c r="AX52" s="115" t="str">
        <f>REPT(Sprache!K48,1)</f>
        <v>***!!!!!!!!!!Doppelter Eintrag!!!!!!!!!!***</v>
      </c>
      <c r="AY52" s="115" t="str">
        <f>REPT(Sprache!K35,1)</f>
        <v>** A C H T U N G - D O P P E L T E  L I Z E N Z - N U M M E R !!! **</v>
      </c>
      <c r="AZ52" s="29">
        <f>IF($A$1=3,6,8)</f>
        <v>8</v>
      </c>
      <c r="BA52" s="29">
        <f>SUM(AZ53:AZ67)</f>
        <v>8</v>
      </c>
      <c r="BB52" s="29" t="str">
        <f>IF(AY53=0,"",Sprache!$K$29)</f>
        <v/>
      </c>
      <c r="BE52" s="29" t="s">
        <v>827</v>
      </c>
      <c r="BF52" s="29" t="s">
        <v>834</v>
      </c>
      <c r="BJ52" s="29" t="s">
        <v>840</v>
      </c>
      <c r="BL52" s="29" t="s">
        <v>841</v>
      </c>
    </row>
    <row r="53" spans="2:75">
      <c r="B53" s="119" t="str">
        <f>CONCATENATE(BB53,BD53,,BM53)</f>
        <v/>
      </c>
      <c r="D53" s="120" t="str">
        <f>IF(AC53=0,"",AC53)</f>
        <v>HS</v>
      </c>
      <c r="E53" s="121">
        <f>IF(AD53=0,"",AD53)</f>
        <v>2.1</v>
      </c>
      <c r="F53" s="118"/>
      <c r="G53" s="122">
        <f>SUM($G$3/100)</f>
        <v>0</v>
      </c>
      <c r="H53" s="150"/>
      <c r="I53" s="125" t="str">
        <f>IF($G$5="x",VLOOKUP(AO53,Licenses!B:C,2,FALSE),IF(BL53=0,IF(H53="","",VLOOKUP(AO53,Licenses!B:C,2,FALSE)),BM53))</f>
        <v/>
      </c>
      <c r="J53" s="118"/>
      <c r="K53" s="124" t="str">
        <f>IF(H53="","",VLOOKUP(AO53,Licenses!B:D,3,FALSE))</f>
        <v/>
      </c>
      <c r="L53" s="118"/>
      <c r="M53" s="124" t="str">
        <f>REPT(T53,1)</f>
        <v/>
      </c>
      <c r="N53" s="118"/>
      <c r="O53" s="124" t="str">
        <f>IF(M53="","",IF(H53="","",VLOOKUP(AO53,Licenses!B:I,8,FALSE)))</f>
        <v/>
      </c>
      <c r="T53" s="29" t="str">
        <f>IF(U53=0,"",IF(U53="","",U53))</f>
        <v/>
      </c>
      <c r="U53" s="29" t="str">
        <f>IF(H53="","",VLOOKUP(AO53,Licenses!B:H,7,FALSE))</f>
        <v/>
      </c>
      <c r="AB53" s="29">
        <f>IF($A$1=3,AK53,IF($A$1=2,AH53,IF($A$1=1,AE53,0)))</f>
        <v>17</v>
      </c>
      <c r="AC53" s="29" t="str">
        <f>IF($A$1=1,AF53,AI53)</f>
        <v>HS</v>
      </c>
      <c r="AD53" s="29">
        <f>IF($A$1=1,AG53,AJ53)</f>
        <v>2.1</v>
      </c>
      <c r="AE53" s="106">
        <v>17</v>
      </c>
      <c r="AF53" s="106" t="s">
        <v>779</v>
      </c>
      <c r="AG53" s="106">
        <v>2.1</v>
      </c>
      <c r="AH53" s="101">
        <v>17</v>
      </c>
      <c r="AI53" s="101" t="s">
        <v>778</v>
      </c>
      <c r="AJ53" s="101">
        <v>2.1</v>
      </c>
      <c r="AK53" s="108">
        <v>13</v>
      </c>
      <c r="AL53" s="108" t="s">
        <v>778</v>
      </c>
      <c r="AM53" s="108">
        <v>2.1</v>
      </c>
      <c r="AO53" s="114" t="str">
        <f>IF($G$5="X",$G$3,IF(H53="","",SUM(H53*1,$G$3)))</f>
        <v/>
      </c>
      <c r="AX53" s="115"/>
      <c r="AY53" s="115">
        <f>IF($G$5="X",0,IF(AZ52=BA52,0,1))</f>
        <v>0</v>
      </c>
      <c r="AZ53" s="116">
        <f>IF(H53="",1,0)</f>
        <v>1</v>
      </c>
      <c r="BA53" s="29">
        <f>IF(H53="",1,0)</f>
        <v>1</v>
      </c>
      <c r="BB53" s="29" t="str">
        <f>IF(AZ53=1,$BB$52,"")</f>
        <v/>
      </c>
      <c r="BC53" s="116">
        <f>IF(I53="n / a",1,0)</f>
        <v>0</v>
      </c>
      <c r="BD53" s="29" t="str">
        <f>IF(BC53=1,REPT(Sprache!$K$27,1),"")</f>
        <v/>
      </c>
      <c r="BE53" s="29">
        <f>SUM(Steuerung!$Y$3)</f>
        <v>1</v>
      </c>
      <c r="BF53" s="29">
        <f>IF(M53="",100,VLOOKUP(M53,Steuerung!$A$39:$B$60,2,FALSE))</f>
        <v>100</v>
      </c>
      <c r="BG53" s="29">
        <f>IF(BE53=BF53,0,IF(BE53&lt;BF53,0,1))</f>
        <v>0</v>
      </c>
      <c r="BH53" s="29" t="str">
        <f>IF(BE53&gt;20,LEFT(M53,1),"")</f>
        <v/>
      </c>
      <c r="BI53" s="29">
        <f>IF(BH53="2",BE53-BF53,0)</f>
        <v>0</v>
      </c>
      <c r="BJ53" s="29">
        <f>IF(BI53=0,0,1)</f>
        <v>0</v>
      </c>
      <c r="BK53" s="29">
        <f>IF(BL53&gt;0,1,0)</f>
        <v>0</v>
      </c>
      <c r="BL53" s="116">
        <f>SUM(BG53,BJ53)</f>
        <v>0</v>
      </c>
      <c r="BM53" s="29" t="str">
        <f>IF(BL53=0,"",Sprache!$K$49)</f>
        <v/>
      </c>
      <c r="BN53" s="29">
        <v>0</v>
      </c>
      <c r="BO53" s="29">
        <v>1</v>
      </c>
      <c r="BP53" s="29">
        <v>1</v>
      </c>
      <c r="BQ53" s="29">
        <f>IF($A$1=1,BN53,0)</f>
        <v>0</v>
      </c>
      <c r="BR53" s="29">
        <f>IF($A$1=2,BO53,0)</f>
        <v>0</v>
      </c>
      <c r="BS53" s="29">
        <f>IF($A$1=3,BP53,0)</f>
        <v>0</v>
      </c>
      <c r="BU53" s="127" t="str">
        <f>IF(BW53=1,H53,"")</f>
        <v/>
      </c>
      <c r="BV53" s="127" t="str">
        <f>CONCATENATE(BU53,BU55)</f>
        <v/>
      </c>
      <c r="BW53" s="29">
        <f>SUM(BQ53:BS53)</f>
        <v>0</v>
      </c>
    </row>
    <row r="54" spans="2:75" ht="6" customHeight="1">
      <c r="D54" s="113"/>
      <c r="E54" s="113"/>
      <c r="I54" s="126"/>
      <c r="AE54" s="107"/>
      <c r="AF54" s="107"/>
      <c r="AG54" s="107"/>
      <c r="AH54" s="103"/>
      <c r="AI54" s="103"/>
      <c r="AJ54" s="103"/>
      <c r="AK54" s="109"/>
      <c r="AL54" s="109"/>
      <c r="AM54" s="109"/>
      <c r="AX54" s="115"/>
      <c r="AY54" s="115"/>
    </row>
    <row r="55" spans="2:75">
      <c r="B55" s="119" t="str">
        <f>CONCATENATE(BB55,BD55,AY55,BM55)</f>
        <v/>
      </c>
      <c r="D55" s="120" t="str">
        <f>IF(AC55=0,"",AC55)</f>
        <v>HS</v>
      </c>
      <c r="E55" s="121">
        <f>IF(AD55=0,"",AD55)</f>
        <v>2.2000000000000002</v>
      </c>
      <c r="F55" s="118"/>
      <c r="G55" s="122">
        <f>SUM($G$3/100)</f>
        <v>0</v>
      </c>
      <c r="H55" s="150"/>
      <c r="I55" s="125" t="str">
        <f>IF($G$5="x",VLOOKUP(AO55,Licenses!B:C,2,FALSE),IF(BL55=0,IF(H55="","",VLOOKUP(AO55,Licenses!B:C,2,FALSE)),BM55))</f>
        <v/>
      </c>
      <c r="J55" s="118"/>
      <c r="K55" s="124" t="str">
        <f>IF(H55="","",VLOOKUP(AO55,Licenses!B:D,3,FALSE))</f>
        <v/>
      </c>
      <c r="L55" s="118"/>
      <c r="M55" s="124" t="str">
        <f>REPT(T55,1)</f>
        <v/>
      </c>
      <c r="N55" s="118"/>
      <c r="O55" s="124" t="str">
        <f>IF(M55="","",IF(H55="","",VLOOKUP(AO55,Licenses!B:I,8,FALSE)))</f>
        <v/>
      </c>
      <c r="T55" s="29" t="str">
        <f>IF(U55=0,"",IF(U55="","",U55))</f>
        <v/>
      </c>
      <c r="U55" s="29" t="str">
        <f>IF(H55="","",VLOOKUP(AO55,Licenses!B:H,7,FALSE))</f>
        <v/>
      </c>
      <c r="AB55" s="29">
        <f>IF($A$1=3,AK55,IF($A$1=2,AH55,IF($A$1=1,AE55,0)))</f>
        <v>18</v>
      </c>
      <c r="AC55" s="29" t="str">
        <f>IF($A$1=1,AF55,AI55)</f>
        <v>HS</v>
      </c>
      <c r="AD55" s="29">
        <f>IF($A$1=1,AG55,AJ55)</f>
        <v>2.2000000000000002</v>
      </c>
      <c r="AE55" s="106">
        <v>18</v>
      </c>
      <c r="AF55" s="106" t="s">
        <v>779</v>
      </c>
      <c r="AG55" s="106">
        <v>2.2000000000000002</v>
      </c>
      <c r="AH55" s="101">
        <v>18</v>
      </c>
      <c r="AI55" s="101"/>
      <c r="AJ55" s="101"/>
      <c r="AK55" s="108">
        <v>14</v>
      </c>
      <c r="AL55" s="108"/>
      <c r="AM55" s="108"/>
      <c r="AO55" s="114" t="str">
        <f>IF($G$5="X",$G$3,IF(H55="","",SUM(H55*1,$G$3)))</f>
        <v/>
      </c>
      <c r="AP55" s="29">
        <f>IF(AO55=AO53,1,0)</f>
        <v>1</v>
      </c>
      <c r="AW55" s="29" t="str">
        <f>IF($G$5="X",0,IF(AO55="","",SUM(AP55:AV55)))</f>
        <v/>
      </c>
      <c r="AX55" s="117" t="str">
        <f>IF(AW55=1,AX52,"")</f>
        <v/>
      </c>
      <c r="AY55" s="117" t="str">
        <f>IF(AW55=1,$AY$12,"")</f>
        <v/>
      </c>
      <c r="AZ55" s="116">
        <f>IF(H55="",1,0)</f>
        <v>1</v>
      </c>
      <c r="BA55" s="29">
        <f>IF(H55="",1,0)</f>
        <v>1</v>
      </c>
      <c r="BB55" s="29" t="str">
        <f>IF(AZ55=1,$BB$52,"")</f>
        <v/>
      </c>
      <c r="BC55" s="116">
        <f>IF(I55="n / a",1,0)</f>
        <v>0</v>
      </c>
      <c r="BD55" s="29" t="str">
        <f>IF(BC55=1,REPT(Sprache!$K$27,1),"")</f>
        <v/>
      </c>
      <c r="BE55" s="29">
        <f>SUM(Steuerung!$Y$3)</f>
        <v>1</v>
      </c>
      <c r="BF55" s="29">
        <f>IF(M55="",100,VLOOKUP(M55,Steuerung!$A$39:$B$60,2,FALSE))</f>
        <v>100</v>
      </c>
      <c r="BG55" s="29">
        <f>IF(BE55=BF55,0,IF(BE55&lt;BF55,0,1))</f>
        <v>0</v>
      </c>
      <c r="BH55" s="29" t="str">
        <f>IF(BE55&gt;20,LEFT(M55,1),"")</f>
        <v/>
      </c>
      <c r="BI55" s="29">
        <f>IF(BH55="2",BE55-BF55,0)</f>
        <v>0</v>
      </c>
      <c r="BJ55" s="29">
        <f>IF(BI55=0,0,1)</f>
        <v>0</v>
      </c>
      <c r="BK55" s="29">
        <f>IF(BL55&gt;0,1,0)</f>
        <v>0</v>
      </c>
      <c r="BL55" s="116">
        <f>SUM(BG55,BJ55)</f>
        <v>0</v>
      </c>
      <c r="BM55" s="29" t="str">
        <f>IF(BL55=0,"",Sprache!$K$49)</f>
        <v/>
      </c>
      <c r="BN55" s="29">
        <v>0</v>
      </c>
      <c r="BO55" s="29">
        <v>1</v>
      </c>
      <c r="BP55" s="29">
        <v>1</v>
      </c>
      <c r="BQ55" s="29">
        <f>IF($A$1=1,BN55,0)</f>
        <v>0</v>
      </c>
      <c r="BR55" s="29">
        <f>IF($A$1=2,BO55,0)</f>
        <v>0</v>
      </c>
      <c r="BS55" s="29">
        <f>IF($A$1=3,BP55,0)</f>
        <v>0</v>
      </c>
      <c r="BU55" s="127" t="str">
        <f>IF(BW55=1,H55,"")</f>
        <v/>
      </c>
      <c r="BV55" s="127" t="str">
        <f>CONCATENATE(BU55,BU53)</f>
        <v/>
      </c>
      <c r="BW55" s="29">
        <f>SUM(BQ55:BS55)</f>
        <v>0</v>
      </c>
    </row>
    <row r="56" spans="2:75" ht="6" customHeight="1">
      <c r="D56" s="113"/>
      <c r="E56" s="113"/>
      <c r="I56" s="126"/>
      <c r="AE56" s="107"/>
      <c r="AF56" s="107"/>
      <c r="AG56" s="107"/>
      <c r="AH56" s="103"/>
      <c r="AI56" s="103"/>
      <c r="AJ56" s="103"/>
      <c r="AK56" s="109"/>
      <c r="AL56" s="109"/>
      <c r="AM56" s="109"/>
      <c r="AX56" s="115"/>
      <c r="AY56" s="115"/>
    </row>
    <row r="57" spans="2:75">
      <c r="B57" s="119" t="str">
        <f>CONCATENATE(BB57,BD57,AY57,BM57)</f>
        <v/>
      </c>
      <c r="D57" s="120" t="str">
        <f>IF(AC57=0,"",AC57)</f>
        <v>HS</v>
      </c>
      <c r="E57" s="121">
        <f>IF(AD57=0,"",AD57)</f>
        <v>2.2999999999999998</v>
      </c>
      <c r="F57" s="118"/>
      <c r="G57" s="122">
        <f>SUM($G$3/100)</f>
        <v>0</v>
      </c>
      <c r="H57" s="150"/>
      <c r="I57" s="125" t="str">
        <f>IF($G$5="x",VLOOKUP(AO57,Licenses!B:C,2,FALSE),IF(BL57=0,IF(H57="","",VLOOKUP(AO57,Licenses!B:C,2,FALSE)),BM57))</f>
        <v/>
      </c>
      <c r="J57" s="118"/>
      <c r="K57" s="124" t="str">
        <f>IF(H57="","",VLOOKUP(AO57,Licenses!B:D,3,FALSE))</f>
        <v/>
      </c>
      <c r="L57" s="118"/>
      <c r="M57" s="124" t="str">
        <f>REPT(T57,1)</f>
        <v/>
      </c>
      <c r="N57" s="118"/>
      <c r="O57" s="124" t="str">
        <f>IF(M57="","",IF(H57="","",VLOOKUP(AO57,Licenses!B:I,8,FALSE)))</f>
        <v/>
      </c>
      <c r="T57" s="29" t="str">
        <f>IF(U57=0,"",IF(U57="","",U57))</f>
        <v/>
      </c>
      <c r="U57" s="29" t="str">
        <f>IF(H57="","",VLOOKUP(AO57,Licenses!B:H,7,FALSE))</f>
        <v/>
      </c>
      <c r="AB57" s="29">
        <f>IF($A$1=3,AK57,IF($A$1=2,AH57,IF($A$1=1,AE57,0)))</f>
        <v>19</v>
      </c>
      <c r="AC57" s="29" t="str">
        <f>IF($A$1=1,AF57,AI57)</f>
        <v>HS</v>
      </c>
      <c r="AD57" s="29">
        <f>IF($A$1=1,AG57,AJ57)</f>
        <v>2.2999999999999998</v>
      </c>
      <c r="AE57" s="106">
        <v>19</v>
      </c>
      <c r="AF57" s="106" t="s">
        <v>779</v>
      </c>
      <c r="AG57" s="106">
        <v>2.2999999999999998</v>
      </c>
      <c r="AH57" s="101">
        <v>19</v>
      </c>
      <c r="AI57" s="101" t="s">
        <v>778</v>
      </c>
      <c r="AJ57" s="101">
        <v>2.2000000000000002</v>
      </c>
      <c r="AK57" s="108">
        <v>15</v>
      </c>
      <c r="AL57" s="108" t="s">
        <v>778</v>
      </c>
      <c r="AM57" s="108">
        <v>2.2000000000000002</v>
      </c>
      <c r="AO57" s="114" t="str">
        <f>IF($G$5="X",$G$3,IF(H57="","",SUM(H57*1,$G$3)))</f>
        <v/>
      </c>
      <c r="AP57" s="29">
        <f>IF(AO57=AO53,1,0)</f>
        <v>1</v>
      </c>
      <c r="AQ57" s="29">
        <f>IF(AO57=AO55,1,0)</f>
        <v>1</v>
      </c>
      <c r="AW57" s="29" t="str">
        <f>IF($G$5="X",0,IF(AO57="","",SUM(AP57:AV57)))</f>
        <v/>
      </c>
      <c r="AX57" s="117" t="str">
        <f>IF(AW57=1,AX52,"")</f>
        <v/>
      </c>
      <c r="AY57" s="117" t="str">
        <f>IF(AW57=1,$AY$12,"")</f>
        <v/>
      </c>
      <c r="AZ57" s="116">
        <f>IF(H57="",1,0)</f>
        <v>1</v>
      </c>
      <c r="BA57" s="29">
        <f>IF(H57="",1,0)</f>
        <v>1</v>
      </c>
      <c r="BB57" s="29" t="str">
        <f>IF(AZ57=1,$BB$52,"")</f>
        <v/>
      </c>
      <c r="BC57" s="116">
        <f>IF(I57="n / a",1,0)</f>
        <v>0</v>
      </c>
      <c r="BD57" s="29" t="str">
        <f>IF(BC57=1,REPT(Sprache!$K$27,1),"")</f>
        <v/>
      </c>
      <c r="BE57" s="29">
        <f>SUM(Steuerung!$Y$3)</f>
        <v>1</v>
      </c>
      <c r="BF57" s="29">
        <f>IF(M57="",100,VLOOKUP(M57,Steuerung!$A$39:$B$60,2,FALSE))</f>
        <v>100</v>
      </c>
      <c r="BG57" s="29">
        <f>IF(BE57=BF57,0,IF(BE57&lt;BF57,0,1))</f>
        <v>0</v>
      </c>
      <c r="BH57" s="29" t="str">
        <f>IF(BE57&gt;20,LEFT(M57,1),"")</f>
        <v/>
      </c>
      <c r="BI57" s="29">
        <f>IF(BH57="2",BE57-BF57,0)</f>
        <v>0</v>
      </c>
      <c r="BJ57" s="29">
        <f>IF(BI57=0,0,1)</f>
        <v>0</v>
      </c>
      <c r="BK57" s="29">
        <f>IF(BL57&gt;0,1,0)</f>
        <v>0</v>
      </c>
      <c r="BL57" s="116">
        <f>SUM(BG57,BJ57)</f>
        <v>0</v>
      </c>
      <c r="BM57" s="29" t="str">
        <f>IF(BL57=0,"",Sprache!$K$49)</f>
        <v/>
      </c>
      <c r="BN57" s="29">
        <v>0</v>
      </c>
      <c r="BO57" s="29">
        <v>1</v>
      </c>
      <c r="BP57" s="29">
        <v>1</v>
      </c>
      <c r="BQ57" s="29">
        <f>IF($A$1=1,BN57,0)</f>
        <v>0</v>
      </c>
      <c r="BR57" s="29">
        <f>IF($A$1=2,BO57,0)</f>
        <v>0</v>
      </c>
      <c r="BS57" s="29">
        <f>IF($A$1=3,BP57,0)</f>
        <v>0</v>
      </c>
      <c r="BU57" s="127" t="str">
        <f>IF(BW57=1,H57,"")</f>
        <v/>
      </c>
      <c r="BV57" s="127" t="str">
        <f>CONCATENATE(BU57,BU59)</f>
        <v/>
      </c>
      <c r="BW57" s="29">
        <f>SUM(BQ57:BS57)</f>
        <v>0</v>
      </c>
    </row>
    <row r="58" spans="2:75" ht="6" customHeight="1">
      <c r="D58" s="113"/>
      <c r="E58" s="113"/>
      <c r="I58" s="126"/>
      <c r="AE58" s="107"/>
      <c r="AF58" s="107"/>
      <c r="AG58" s="107"/>
      <c r="AH58" s="103"/>
      <c r="AI58" s="103"/>
      <c r="AJ58" s="103"/>
      <c r="AK58" s="109"/>
      <c r="AL58" s="109"/>
      <c r="AM58" s="109"/>
      <c r="AX58" s="115"/>
      <c r="AY58" s="115"/>
    </row>
    <row r="59" spans="2:75">
      <c r="B59" s="119" t="str">
        <f>CONCATENATE(BB59,BD59,AY59,BM59)</f>
        <v/>
      </c>
      <c r="D59" s="120" t="str">
        <f>IF(AC59=0,"",AC59)</f>
        <v>HS</v>
      </c>
      <c r="E59" s="121">
        <f>IF(AD59=0,"",AD59)</f>
        <v>2.4</v>
      </c>
      <c r="F59" s="118"/>
      <c r="G59" s="122">
        <f>SUM($G$3/100)</f>
        <v>0</v>
      </c>
      <c r="H59" s="150"/>
      <c r="I59" s="125" t="str">
        <f>IF($G$5="x",VLOOKUP(AO59,Licenses!B:C,2,FALSE),IF(BL59=0,IF(H59="","",VLOOKUP(AO59,Licenses!B:C,2,FALSE)),BM59))</f>
        <v/>
      </c>
      <c r="J59" s="118"/>
      <c r="K59" s="124" t="str">
        <f>IF(H59="","",VLOOKUP(AO59,Licenses!B:D,3,FALSE))</f>
        <v/>
      </c>
      <c r="L59" s="118"/>
      <c r="M59" s="124" t="str">
        <f>REPT(T59,1)</f>
        <v/>
      </c>
      <c r="N59" s="118"/>
      <c r="O59" s="124" t="str">
        <f>IF(M59="","",IF(H59="","",VLOOKUP(AO59,Licenses!B:I,8,FALSE)))</f>
        <v/>
      </c>
      <c r="T59" s="29" t="str">
        <f>IF(U59=0,"",IF(U59="","",U59))</f>
        <v/>
      </c>
      <c r="U59" s="29" t="str">
        <f>IF(H59="","",VLOOKUP(AO59,Licenses!B:H,7,FALSE))</f>
        <v/>
      </c>
      <c r="AB59" s="29">
        <f>IF($A$1=3,AK59,IF($A$1=2,AH59,IF($A$1=1,AE59,0)))</f>
        <v>20</v>
      </c>
      <c r="AC59" s="29" t="str">
        <f>IF($A$1=1,AF59,AI59)</f>
        <v>HS</v>
      </c>
      <c r="AD59" s="29">
        <f>IF($A$1=1,AG59,AJ59)</f>
        <v>2.4</v>
      </c>
      <c r="AE59" s="106">
        <v>20</v>
      </c>
      <c r="AF59" s="106" t="s">
        <v>779</v>
      </c>
      <c r="AG59" s="106">
        <v>2.4</v>
      </c>
      <c r="AH59" s="101">
        <v>20</v>
      </c>
      <c r="AI59" s="101"/>
      <c r="AJ59" s="101"/>
      <c r="AK59" s="108">
        <v>16</v>
      </c>
      <c r="AL59" s="108"/>
      <c r="AM59" s="108"/>
      <c r="AO59" s="114" t="str">
        <f>IF($G$5="X",$G$3,IF(H59="","",SUM(H59*1,$G$3)))</f>
        <v/>
      </c>
      <c r="AP59" s="29">
        <f>IF(AO59=AO53,1,0)</f>
        <v>1</v>
      </c>
      <c r="AQ59" s="29">
        <f>IF(AO59=AO55,1,0)</f>
        <v>1</v>
      </c>
      <c r="AR59" s="29">
        <f>IF(AO59=AO57,1,0)</f>
        <v>1</v>
      </c>
      <c r="AW59" s="29" t="str">
        <f>IF($G$5="X",0,IF(AO59="","",SUM(AP59:AV59)))</f>
        <v/>
      </c>
      <c r="AX59" s="117" t="str">
        <f>IF(AW59=1,AX52,"")</f>
        <v/>
      </c>
      <c r="AY59" s="117" t="str">
        <f>IF(AW59=1,$AY$12,"")</f>
        <v/>
      </c>
      <c r="AZ59" s="116">
        <f>IF(H59="",1,0)</f>
        <v>1</v>
      </c>
      <c r="BA59" s="29">
        <f>IF(H59="",1,0)</f>
        <v>1</v>
      </c>
      <c r="BB59" s="29" t="str">
        <f>IF(AZ59=1,$BB$52,"")</f>
        <v/>
      </c>
      <c r="BC59" s="116">
        <f>IF(I59="n / a",1,0)</f>
        <v>0</v>
      </c>
      <c r="BD59" s="29" t="str">
        <f>IF(BC59=1,REPT(Sprache!$K$27,1),"")</f>
        <v/>
      </c>
      <c r="BE59" s="29">
        <f>SUM(Steuerung!$Y$3)</f>
        <v>1</v>
      </c>
      <c r="BF59" s="29">
        <f>IF(M59="",100,VLOOKUP(M59,Steuerung!$A$39:$B$60,2,FALSE))</f>
        <v>100</v>
      </c>
      <c r="BG59" s="29">
        <f>IF(BE59=BF59,0,IF(BE59&lt;BF59,0,1))</f>
        <v>0</v>
      </c>
      <c r="BH59" s="29" t="str">
        <f>IF(BE59&gt;20,LEFT(M59,1),"")</f>
        <v/>
      </c>
      <c r="BI59" s="29">
        <f>IF(BH59="2",BE59-BF59,0)</f>
        <v>0</v>
      </c>
      <c r="BJ59" s="29">
        <f>IF(BI59=0,0,1)</f>
        <v>0</v>
      </c>
      <c r="BK59" s="29">
        <f>IF(BL59&gt;0,1,0)</f>
        <v>0</v>
      </c>
      <c r="BL59" s="116">
        <f>SUM(BG59,BJ59)</f>
        <v>0</v>
      </c>
      <c r="BM59" s="29" t="str">
        <f>IF(BL59=0,"",Sprache!$K$49)</f>
        <v/>
      </c>
      <c r="BN59" s="29">
        <v>0</v>
      </c>
      <c r="BO59" s="29">
        <v>1</v>
      </c>
      <c r="BP59" s="29">
        <v>1</v>
      </c>
      <c r="BQ59" s="29">
        <f>IF($A$1=1,BN59,0)</f>
        <v>0</v>
      </c>
      <c r="BR59" s="29">
        <f>IF($A$1=2,BO59,0)</f>
        <v>0</v>
      </c>
      <c r="BS59" s="29">
        <f>IF($A$1=3,BP59,0)</f>
        <v>0</v>
      </c>
      <c r="BU59" s="127" t="str">
        <f>IF(BW59=1,H59,"")</f>
        <v/>
      </c>
      <c r="BV59" s="127" t="str">
        <f>CONCATENATE(BU59,BU57)</f>
        <v/>
      </c>
      <c r="BW59" s="29">
        <f>SUM(BQ59:BS59)</f>
        <v>0</v>
      </c>
    </row>
    <row r="60" spans="2:75" ht="6" customHeight="1">
      <c r="D60" s="113"/>
      <c r="E60" s="113"/>
      <c r="I60" s="126"/>
      <c r="AE60" s="107"/>
      <c r="AF60" s="107"/>
      <c r="AG60" s="107"/>
      <c r="AH60" s="103"/>
      <c r="AI60" s="103"/>
      <c r="AJ60" s="103"/>
      <c r="AK60" s="109"/>
      <c r="AL60" s="109"/>
      <c r="AM60" s="109"/>
      <c r="AX60" s="115"/>
      <c r="AY60" s="115"/>
    </row>
    <row r="61" spans="2:75">
      <c r="B61" s="119" t="str">
        <f>IF(AN61=1,"",CONCATENATE(BB61,BD61,AX61,BM61))</f>
        <v/>
      </c>
      <c r="D61" s="120" t="str">
        <f>IF(AC61=0,"",AC61)</f>
        <v>HS</v>
      </c>
      <c r="E61" s="121">
        <f>IF(AD61=0,"",AD61)</f>
        <v>2.5</v>
      </c>
      <c r="F61" s="118"/>
      <c r="G61" s="122">
        <f>SUM($G$3/100)</f>
        <v>0</v>
      </c>
      <c r="H61" s="150"/>
      <c r="I61" s="125" t="str">
        <f>IF(AN61=1,VLOOKUP(AO61,Licenses!B:C,2,FALSE),IF($G$5="x",VLOOKUP(AO61,Licenses!B:C,2,FALSE),IF(BL61=0,IF(H61="","",VLOOKUP(AO61,Licenses!B:C,2,FALSE)),BM61)))</f>
        <v/>
      </c>
      <c r="J61" s="118"/>
      <c r="K61" s="124" t="str">
        <f>IF(H61="","",VLOOKUP(AO61,Licenses!B:D,3,FALSE))</f>
        <v/>
      </c>
      <c r="L61" s="118"/>
      <c r="M61" s="124" t="str">
        <f>REPT(T61,1)</f>
        <v/>
      </c>
      <c r="N61" s="118"/>
      <c r="O61" s="124" t="str">
        <f>IF(M61="","",IF(H61="","",VLOOKUP(AO61,Licenses!B:I,8,FALSE)))</f>
        <v/>
      </c>
      <c r="T61" s="29" t="str">
        <f>IF(U61=0,"",IF(U61="","",U61))</f>
        <v/>
      </c>
      <c r="U61" s="29" t="str">
        <f>IF(H61="","",VLOOKUP(AO61,Licenses!B:H,7,FALSE))</f>
        <v/>
      </c>
      <c r="AB61" s="29">
        <f>IF($A$1=3,AK61,IF($A$1=2,AH61,IF($A$1=1,AE61,0)))</f>
        <v>21</v>
      </c>
      <c r="AC61" s="29" t="str">
        <f>IF($A$1=1,AF61,AI61)</f>
        <v>HS</v>
      </c>
      <c r="AD61" s="29">
        <f>IF($A$1=1,AG61,AJ61)</f>
        <v>2.5</v>
      </c>
      <c r="AE61" s="106">
        <v>21</v>
      </c>
      <c r="AF61" s="106" t="s">
        <v>779</v>
      </c>
      <c r="AG61" s="106">
        <v>2.5</v>
      </c>
      <c r="AH61" s="101">
        <v>21</v>
      </c>
      <c r="AI61" s="101" t="s">
        <v>778</v>
      </c>
      <c r="AJ61" s="101">
        <v>2.2999999999999998</v>
      </c>
      <c r="AK61" s="108">
        <v>17</v>
      </c>
      <c r="AL61" s="108" t="s">
        <v>778</v>
      </c>
      <c r="AM61" s="108">
        <v>2.2999999999999998</v>
      </c>
      <c r="AN61" s="29">
        <f>IF($A$1=3,IF($G$7="X",1,0),0)</f>
        <v>0</v>
      </c>
      <c r="AO61" s="114" t="str">
        <f>IF(AN61=1,$G$3,IF($G$5="X",$G$3,IF(H61="","",SUM(H61*1,$G$3))))</f>
        <v/>
      </c>
      <c r="AP61" s="29">
        <f>IF(AO61=AO53,1,0)</f>
        <v>1</v>
      </c>
      <c r="AQ61" s="29">
        <f>IF(AO61=AO55,1,0)</f>
        <v>1</v>
      </c>
      <c r="AR61" s="29">
        <f>IF(AO61=AO57,1,0)</f>
        <v>1</v>
      </c>
      <c r="AS61" s="29">
        <f>IF(AO61=AO59,1,0)</f>
        <v>1</v>
      </c>
      <c r="AW61" s="29" t="str">
        <f>IF(AN61=1,0,IF($G$5="X",0,IF(AO61="","",SUM(AP61:AV61))))</f>
        <v/>
      </c>
      <c r="AX61" s="117" t="str">
        <f>IF(AW61=1,AX52,"")</f>
        <v/>
      </c>
      <c r="AY61" s="117" t="str">
        <f>IF(AW61=1,$AY$12,"")</f>
        <v/>
      </c>
      <c r="AZ61" s="116">
        <f>IF(H61="",1,0)</f>
        <v>1</v>
      </c>
      <c r="BA61" s="29">
        <f>IF(H61="",1,0)</f>
        <v>1</v>
      </c>
      <c r="BB61" s="29" t="str">
        <f>IF(AZ61=1,$BB$52,"")</f>
        <v/>
      </c>
      <c r="BC61" s="116">
        <f>IF(I61="n / a",1,0)</f>
        <v>0</v>
      </c>
      <c r="BD61" s="29" t="str">
        <f>IF(BC61=1,REPT(Sprache!$K$27,1),"")</f>
        <v/>
      </c>
      <c r="BE61" s="29">
        <f>SUM(Steuerung!$Y$3)</f>
        <v>1</v>
      </c>
      <c r="BF61" s="29">
        <f>IF(M61="",100,VLOOKUP(M61,Steuerung!$A$39:$B$60,2,FALSE))</f>
        <v>100</v>
      </c>
      <c r="BG61" s="29">
        <f>IF(BE61=BF61,0,IF(BE61&lt;BF61,0,1))</f>
        <v>0</v>
      </c>
      <c r="BH61" s="29" t="str">
        <f>IF(BE61&gt;20,LEFT(M61,1),"")</f>
        <v/>
      </c>
      <c r="BI61" s="29">
        <f>IF(BH61="2",BE61-BF61,0)</f>
        <v>0</v>
      </c>
      <c r="BJ61" s="29">
        <f>IF(BI61=0,0,1)</f>
        <v>0</v>
      </c>
      <c r="BK61" s="29">
        <f>IF(BL61&gt;0,1,0)</f>
        <v>0</v>
      </c>
      <c r="BL61" s="116">
        <f>SUM(BG61,BJ61)</f>
        <v>0</v>
      </c>
      <c r="BM61" s="29" t="str">
        <f>IF(BL61=0,"",Sprache!$K$49)</f>
        <v/>
      </c>
      <c r="BN61" s="29">
        <v>0</v>
      </c>
      <c r="BO61" s="29">
        <v>1</v>
      </c>
      <c r="BP61" s="29">
        <v>1</v>
      </c>
      <c r="BQ61" s="29">
        <f>IF($A$1=1,BN61,0)</f>
        <v>0</v>
      </c>
      <c r="BR61" s="29">
        <f>IF($A$1=2,BO61,0)</f>
        <v>0</v>
      </c>
      <c r="BS61" s="29">
        <f>IF($A$1=3,BP61,0)</f>
        <v>0</v>
      </c>
      <c r="BU61" s="127" t="str">
        <f>IF(BW61=1,H61,"")</f>
        <v/>
      </c>
      <c r="BV61" s="127" t="str">
        <f>CONCATENATE(BU61,BU63)</f>
        <v/>
      </c>
      <c r="BW61" s="29">
        <f>SUM(BQ61:BS61)</f>
        <v>0</v>
      </c>
    </row>
    <row r="62" spans="2:75" ht="6" customHeight="1">
      <c r="D62" s="113"/>
      <c r="E62" s="113"/>
      <c r="I62" s="126"/>
      <c r="AE62" s="107"/>
      <c r="AF62" s="107"/>
      <c r="AG62" s="107"/>
      <c r="AH62" s="103"/>
      <c r="AI62" s="103"/>
      <c r="AJ62" s="103"/>
      <c r="AK62" s="109"/>
      <c r="AL62" s="109"/>
      <c r="AM62" s="109"/>
      <c r="AX62" s="115"/>
      <c r="AY62" s="115"/>
    </row>
    <row r="63" spans="2:75">
      <c r="B63" s="119" t="str">
        <f>IF(AN63=1,"",CONCATENATE(BB63,BD63,AX63,BM63))</f>
        <v/>
      </c>
      <c r="D63" s="120" t="str">
        <f>IF(AC63=0,"",AC63)</f>
        <v>HS</v>
      </c>
      <c r="E63" s="121">
        <f>IF(AD63=0,"",AD63)</f>
        <v>2.6</v>
      </c>
      <c r="F63" s="118"/>
      <c r="G63" s="122">
        <f>SUM($G$3/100)</f>
        <v>0</v>
      </c>
      <c r="H63" s="150"/>
      <c r="I63" s="125" t="str">
        <f>IF(AN63=1,VLOOKUP(AO63,Licenses!B:C,2,FALSE),IF($G$5="x",VLOOKUP(AO63,Licenses!B:C,2,FALSE),IF(BL63=0,IF(H63="","",VLOOKUP(AO63,Licenses!B:C,2,FALSE)),BM63)))</f>
        <v/>
      </c>
      <c r="J63" s="118"/>
      <c r="K63" s="124" t="str">
        <f>IF(H63="","",VLOOKUP(AO63,Licenses!B:D,3,FALSE))</f>
        <v/>
      </c>
      <c r="L63" s="118"/>
      <c r="M63" s="124" t="str">
        <f>REPT(T63,1)</f>
        <v/>
      </c>
      <c r="N63" s="118"/>
      <c r="O63" s="124" t="str">
        <f>IF(M63="","",IF(H63="","",VLOOKUP(AO63,Licenses!B:I,8,FALSE)))</f>
        <v/>
      </c>
      <c r="T63" s="29" t="str">
        <f>IF(U63=0,"",IF(U63="","",U63))</f>
        <v/>
      </c>
      <c r="U63" s="29" t="str">
        <f>IF(H63="","",VLOOKUP(AO63,Licenses!B:H,7,FALSE))</f>
        <v/>
      </c>
      <c r="AB63" s="29">
        <f>IF($A$1=3,AK63,IF($A$1=2,AH63,IF($A$1=1,AE63,0)))</f>
        <v>22</v>
      </c>
      <c r="AC63" s="29" t="str">
        <f>IF($A$1=1,AF63,AI63)</f>
        <v>HS</v>
      </c>
      <c r="AD63" s="29">
        <f>IF($A$1=1,AG63,AJ63)</f>
        <v>2.6</v>
      </c>
      <c r="AE63" s="106">
        <v>22</v>
      </c>
      <c r="AF63" s="106" t="s">
        <v>779</v>
      </c>
      <c r="AG63" s="106">
        <v>2.6</v>
      </c>
      <c r="AH63" s="101">
        <v>22</v>
      </c>
      <c r="AI63" s="101"/>
      <c r="AJ63" s="101"/>
      <c r="AK63" s="108">
        <v>18</v>
      </c>
      <c r="AL63" s="108"/>
      <c r="AM63" s="108"/>
      <c r="AN63" s="29">
        <f>IF($A$1=3,IF($G$7="X",1,0),0)</f>
        <v>0</v>
      </c>
      <c r="AO63" s="114" t="str">
        <f>IF(AN63=1,$G$3,IF($G$5="X",$G$3,IF(H63="","",SUM(H63*1,$G$3))))</f>
        <v/>
      </c>
      <c r="AP63" s="29">
        <f>IF(AO63=AO53,1,0)</f>
        <v>1</v>
      </c>
      <c r="AQ63" s="29">
        <f>IF(AO63=AO55,1,0)</f>
        <v>1</v>
      </c>
      <c r="AR63" s="29">
        <f>IF(AO63=AO57,1,0)</f>
        <v>1</v>
      </c>
      <c r="AS63" s="29">
        <f>IF(AO63=AO59,1,0)</f>
        <v>1</v>
      </c>
      <c r="AT63" s="29">
        <f>IF(AO63=AO61,1,0)</f>
        <v>1</v>
      </c>
      <c r="AW63" s="29" t="str">
        <f>IF(AN63=1,0,IF($G$5="X",0,IF(AO63="","",SUM(AP63:AV63))))</f>
        <v/>
      </c>
      <c r="AX63" s="117" t="str">
        <f>IF(AW63=1,AX52,"")</f>
        <v/>
      </c>
      <c r="AY63" s="117" t="str">
        <f>IF(AW63=1,$AY$12,"")</f>
        <v/>
      </c>
      <c r="AZ63" s="116">
        <f>IF(H63="",1,0)</f>
        <v>1</v>
      </c>
      <c r="BA63" s="29">
        <f>IF(H63="",1,0)</f>
        <v>1</v>
      </c>
      <c r="BB63" s="29" t="str">
        <f>IF(AZ63=1,$BB$52,"")</f>
        <v/>
      </c>
      <c r="BC63" s="116">
        <f>IF(I63="n / a",1,0)</f>
        <v>0</v>
      </c>
      <c r="BD63" s="29" t="str">
        <f>IF(BC63=1,REPT(Sprache!$K$27,1),"")</f>
        <v/>
      </c>
      <c r="BE63" s="29">
        <f>SUM(Steuerung!$Y$3)</f>
        <v>1</v>
      </c>
      <c r="BF63" s="29">
        <f>IF(M63="",100,VLOOKUP(M63,Steuerung!$A$39:$B$60,2,FALSE))</f>
        <v>100</v>
      </c>
      <c r="BG63" s="29">
        <f>IF(BE63=BF63,0,IF(BE63&lt;BF63,0,1))</f>
        <v>0</v>
      </c>
      <c r="BH63" s="29" t="str">
        <f>IF(BE63&gt;20,LEFT(M63,1),"")</f>
        <v/>
      </c>
      <c r="BI63" s="29">
        <f>IF(BH63="2",BE63-BF63,0)</f>
        <v>0</v>
      </c>
      <c r="BJ63" s="29">
        <f>IF(BI63=0,0,1)</f>
        <v>0</v>
      </c>
      <c r="BK63" s="29">
        <f>IF(BL63&gt;0,1,0)</f>
        <v>0</v>
      </c>
      <c r="BL63" s="116">
        <f>SUM(BG63,BJ63)</f>
        <v>0</v>
      </c>
      <c r="BM63" s="29" t="str">
        <f>IF(BL63=0,"",Sprache!$K$49)</f>
        <v/>
      </c>
      <c r="BN63" s="29">
        <v>0</v>
      </c>
      <c r="BO63" s="29">
        <v>1</v>
      </c>
      <c r="BP63" s="29">
        <v>1</v>
      </c>
      <c r="BQ63" s="29">
        <f>IF($A$1=1,BN63,0)</f>
        <v>0</v>
      </c>
      <c r="BR63" s="29">
        <f>IF($A$1=2,BO63,0)</f>
        <v>0</v>
      </c>
      <c r="BS63" s="29">
        <f>IF($A$1=3,BP63,0)</f>
        <v>0</v>
      </c>
      <c r="BU63" s="127" t="str">
        <f>IF(BW63=1,H63,"")</f>
        <v/>
      </c>
      <c r="BV63" s="127" t="str">
        <f>CONCATENATE(BU63,BU61)</f>
        <v/>
      </c>
      <c r="BW63" s="29">
        <f>SUM(BQ63:BS63)</f>
        <v>0</v>
      </c>
    </row>
    <row r="64" spans="2:75" ht="6" customHeight="1">
      <c r="D64" s="113"/>
      <c r="E64" s="113"/>
      <c r="I64" s="126"/>
      <c r="AE64" s="107"/>
      <c r="AF64" s="107"/>
      <c r="AG64" s="107"/>
      <c r="AH64" s="103"/>
      <c r="AI64" s="103"/>
      <c r="AJ64" s="103"/>
      <c r="AK64" s="111"/>
      <c r="AL64" s="111"/>
      <c r="AM64" s="111"/>
      <c r="AX64" s="115"/>
      <c r="AY64" s="115"/>
    </row>
    <row r="65" spans="2:75">
      <c r="B65" s="119" t="str">
        <f>IF(AN65=1,"",CONCATENATE(BB65,BD65,AX65,BM65))</f>
        <v/>
      </c>
      <c r="D65" s="120" t="str">
        <f>IF(AC65=0,"",AC65)</f>
        <v>HS</v>
      </c>
      <c r="E65" s="121">
        <f>IF(AD65=0,"",AD65)</f>
        <v>2.7</v>
      </c>
      <c r="F65" s="118"/>
      <c r="G65" s="122">
        <f>IF($A$1=3,"",SUM($G$3/100))</f>
        <v>0</v>
      </c>
      <c r="H65" s="150"/>
      <c r="I65" s="125" t="str">
        <f>IF($A$1=3,"",IF(AN65=1,VLOOKUP(AO65,Licenses!B:C,2,FALSE),IF($G$5="x",VLOOKUP(AO65,Licenses!B:C,2,FALSE),IF(BL65=0,IF(H65="","",VLOOKUP(AO65,Licenses!B:C,2,FALSE)),BM65))))</f>
        <v/>
      </c>
      <c r="J65" s="118"/>
      <c r="K65" s="124" t="str">
        <f>IF($A$1=3,"",IF(H65="","",VLOOKUP(AO65,Licenses!B:D,3,FALSE)))</f>
        <v/>
      </c>
      <c r="L65" s="118"/>
      <c r="M65" s="124" t="str">
        <f>REPT(T65,1)</f>
        <v/>
      </c>
      <c r="N65" s="118"/>
      <c r="O65" s="124" t="str">
        <f>IF(M65="","",IF($A$1=3,"",IF(H65="","",VLOOKUP(AO65,Licenses!B:I,8,FALSE))))</f>
        <v/>
      </c>
      <c r="T65" s="29" t="str">
        <f>IF($A$1=3,"",IF(U65=0,"",IF(U65="","",U65)))</f>
        <v/>
      </c>
      <c r="U65" s="29" t="str">
        <f>IF($A$1=3,"",IF(H65="","",VLOOKUP(AO65,Licenses!B:H,7,FALSE)))</f>
        <v/>
      </c>
      <c r="AB65" s="29">
        <f>IF($A$1=3,AK65,IF($A$1=2,AH65,IF($A$1=1,AE65,0)))</f>
        <v>23</v>
      </c>
      <c r="AC65" s="29" t="str">
        <f>IF($A$1=3,0,IF($A$1=1,AF65,AI65))</f>
        <v>HS</v>
      </c>
      <c r="AD65" s="29">
        <f>IF($A$1=3,0,IF($A$1=1,AG65,AJ65))</f>
        <v>2.7</v>
      </c>
      <c r="AE65" s="106">
        <v>23</v>
      </c>
      <c r="AF65" s="106" t="s">
        <v>779</v>
      </c>
      <c r="AG65" s="106">
        <v>2.7</v>
      </c>
      <c r="AH65" s="101">
        <v>23</v>
      </c>
      <c r="AI65" s="101" t="s">
        <v>778</v>
      </c>
      <c r="AJ65" s="101">
        <v>2.4</v>
      </c>
      <c r="AK65" s="110"/>
      <c r="AL65" s="110"/>
      <c r="AM65" s="110"/>
      <c r="AN65" s="29">
        <f>IF($A$1=1,0,IF($A$1=3,0,IF($G$7="X",1,0)))</f>
        <v>0</v>
      </c>
      <c r="AO65" s="114" t="str">
        <f>IF(AN65=1,$G$3,IF($A$1=3,"",IF($G$5="X",$G$3,IF(H65="","",SUM(H65*1,$G$3)))))</f>
        <v/>
      </c>
      <c r="AP65" s="29">
        <f>IF(AO65=AO53,1,0)</f>
        <v>1</v>
      </c>
      <c r="AQ65" s="29">
        <f>IF(AO65=AO55,1,0)</f>
        <v>1</v>
      </c>
      <c r="AR65" s="29">
        <f>IF(AO65=AO57,1,0)</f>
        <v>1</v>
      </c>
      <c r="AS65" s="29">
        <f>IF(AO65=AO59,1,0)</f>
        <v>1</v>
      </c>
      <c r="AT65" s="29">
        <f>IF(AO65=AO61,1,0)</f>
        <v>1</v>
      </c>
      <c r="AU65" s="29">
        <f>IF(AO65=AO63,1,0)</f>
        <v>1</v>
      </c>
      <c r="AW65" s="29" t="str">
        <f>IF($G$5="X",0,IF(AO65="","",SUM(AP65:AV65)))</f>
        <v/>
      </c>
      <c r="AX65" s="117" t="str">
        <f>IF(AW65=1,AX52,"")</f>
        <v/>
      </c>
      <c r="AY65" s="117" t="str">
        <f>IF(AW65=1,$AY$12,"")</f>
        <v/>
      </c>
      <c r="AZ65" s="116">
        <f>IF(AN65=1,0,IF($A$1=3,"",IF(H65="",1,0)))</f>
        <v>1</v>
      </c>
      <c r="BA65" s="29">
        <f>IF($A$1=3,0,IF(H65="",1,0))</f>
        <v>1</v>
      </c>
      <c r="BB65" s="29" t="str">
        <f>IF(AZ65=1,$BB$52,"")</f>
        <v/>
      </c>
      <c r="BC65" s="116">
        <f>IF($A$1=3,"",IF(I65="n / a",1,0))</f>
        <v>0</v>
      </c>
      <c r="BD65" s="29" t="str">
        <f>IF(BC65=1,REPT(Sprache!$K$27,1),"")</f>
        <v/>
      </c>
      <c r="BE65" s="29">
        <f>SUM(Steuerung!$Y$3)</f>
        <v>1</v>
      </c>
      <c r="BF65" s="29">
        <f>IF(M65="",100,VLOOKUP(M65,Steuerung!$A$39:$B$60,2,FALSE))</f>
        <v>100</v>
      </c>
      <c r="BG65" s="29">
        <f>IF(BE65=BF65,0,IF(BE65&lt;BF65,0,1))</f>
        <v>0</v>
      </c>
      <c r="BH65" s="29" t="str">
        <f>IF(BE65&gt;20,LEFT(M65,1),"")</f>
        <v/>
      </c>
      <c r="BI65" s="29">
        <f>IF(BH65="2",BE65-BF65,0)</f>
        <v>0</v>
      </c>
      <c r="BJ65" s="29">
        <f>IF(BI65=0,0,1)</f>
        <v>0</v>
      </c>
      <c r="BK65" s="29">
        <f>IF(BL65&gt;0,1,0)</f>
        <v>0</v>
      </c>
      <c r="BL65" s="116">
        <f>SUM(BG65,BJ65)</f>
        <v>0</v>
      </c>
      <c r="BM65" s="29" t="str">
        <f>IF(BL65=0,"",Sprache!$K$49)</f>
        <v/>
      </c>
      <c r="BN65" s="29">
        <v>0</v>
      </c>
      <c r="BO65" s="29">
        <v>1</v>
      </c>
      <c r="BQ65" s="29">
        <f>IF($A$1=1,BN65,0)</f>
        <v>0</v>
      </c>
      <c r="BR65" s="29">
        <f>IF($A$1=2,BO65,0)</f>
        <v>0</v>
      </c>
      <c r="BU65" s="127" t="str">
        <f>IF(BW65=1,H65,"")</f>
        <v/>
      </c>
      <c r="BV65" s="127" t="str">
        <f>CONCATENATE(BU65,BU67)</f>
        <v/>
      </c>
      <c r="BW65" s="29">
        <f>SUM(BQ65:BS65)</f>
        <v>0</v>
      </c>
    </row>
    <row r="66" spans="2:75" ht="6" customHeight="1">
      <c r="D66" s="113"/>
      <c r="E66" s="113"/>
      <c r="I66" s="126"/>
      <c r="AE66" s="107"/>
      <c r="AF66" s="107"/>
      <c r="AG66" s="107"/>
      <c r="AH66" s="103"/>
      <c r="AI66" s="103"/>
      <c r="AJ66" s="103"/>
      <c r="AK66" s="111"/>
      <c r="AL66" s="111"/>
      <c r="AM66" s="111"/>
      <c r="AX66" s="115"/>
      <c r="AY66" s="115"/>
    </row>
    <row r="67" spans="2:75">
      <c r="B67" s="119" t="str">
        <f>IF(AN67=1,"",CONCATENATE(BB67,BD67,AX67,BM67))</f>
        <v/>
      </c>
      <c r="D67" s="120" t="str">
        <f>IF(AC67=0,"",AC67)</f>
        <v>HS</v>
      </c>
      <c r="E67" s="121">
        <f>IF(AD67=0,"",AD67)</f>
        <v>2.8</v>
      </c>
      <c r="F67" s="118"/>
      <c r="G67" s="122">
        <f>IF($A$1=3,"",SUM($G$3/100))</f>
        <v>0</v>
      </c>
      <c r="H67" s="150"/>
      <c r="I67" s="125" t="str">
        <f>IF($A$1=3,"",IF(AN67=1,VLOOKUP(AO67,Licenses!B:C,2,FALSE),IF($G$5="x",VLOOKUP(AO67,Licenses!B:C,2,FALSE),IF(BL67=0,IF(H67="","",VLOOKUP(AO67,Licenses!B:C,2,FALSE)),BM67))))</f>
        <v/>
      </c>
      <c r="J67" s="118"/>
      <c r="K67" s="124" t="str">
        <f>IF($A$1=3,"",IF(H67="","",VLOOKUP(AO67,Licenses!B:D,3,FALSE)))</f>
        <v/>
      </c>
      <c r="L67" s="118"/>
      <c r="M67" s="124" t="str">
        <f>REPT(T67,1)</f>
        <v/>
      </c>
      <c r="N67" s="118"/>
      <c r="O67" s="124" t="str">
        <f>IF(M67="","",IF($A$1=3,"",IF(H67="","",VLOOKUP(AO67,Licenses!B:I,8,FALSE))))</f>
        <v/>
      </c>
      <c r="T67" s="29" t="str">
        <f>IF($A$1=3,"",IF(U67=0,"",IF(U67="","",U67)))</f>
        <v/>
      </c>
      <c r="U67" s="29" t="str">
        <f>IF($A$1=3,"",IF(H67="","",VLOOKUP(AO67,Licenses!B:H,7,FALSE)))</f>
        <v/>
      </c>
      <c r="AB67" s="29">
        <f>IF($A$1=3,AK67,IF($A$1=2,AH67,IF($A$1=1,AE67,0)))</f>
        <v>24</v>
      </c>
      <c r="AC67" s="29" t="str">
        <f>IF($A$1=3,0,IF($A$1=1,AF67,AI67))</f>
        <v>HS</v>
      </c>
      <c r="AD67" s="29">
        <f>IF($A$1=3,0,IF($A$1=1,AG67,AJ67))</f>
        <v>2.8</v>
      </c>
      <c r="AE67" s="106">
        <v>24</v>
      </c>
      <c r="AF67" s="106" t="s">
        <v>779</v>
      </c>
      <c r="AG67" s="106">
        <v>2.8</v>
      </c>
      <c r="AH67" s="101">
        <v>24</v>
      </c>
      <c r="AI67" s="101"/>
      <c r="AJ67" s="101"/>
      <c r="AK67" s="110"/>
      <c r="AL67" s="110"/>
      <c r="AM67" s="110"/>
      <c r="AN67" s="29">
        <f>IF($A$1=3,0,IF($G$7="X",1,0))</f>
        <v>0</v>
      </c>
      <c r="AO67" s="114" t="str">
        <f>IF(AN67=1,$G$3,IF($A$1=3,"",IF($G$5="X",$G$3,IF(H67="","",SUM(H67*1,$G$3)))))</f>
        <v/>
      </c>
      <c r="AP67" s="29">
        <f>IF(AO67=AO53,1,0)</f>
        <v>1</v>
      </c>
      <c r="AQ67" s="29">
        <f>IF(AO67=AO55,1,0)</f>
        <v>1</v>
      </c>
      <c r="AR67" s="29">
        <f>IF(AO67=AO57,1,0)</f>
        <v>1</v>
      </c>
      <c r="AS67" s="29">
        <f>IF(AO67=AO59,1,0)</f>
        <v>1</v>
      </c>
      <c r="AT67" s="29">
        <f>IF(AO67=AO61,1,0)</f>
        <v>1</v>
      </c>
      <c r="AU67" s="29">
        <f>IF(AO67=AO63,1,0)</f>
        <v>1</v>
      </c>
      <c r="AV67" s="29">
        <f>IF(AO67=AO65,1,0)</f>
        <v>1</v>
      </c>
      <c r="AW67" s="29" t="str">
        <f>IF(AN67=1,0,IF($G$5="X",0,IF(AO67="","",SUM(AP67:AV67))))</f>
        <v/>
      </c>
      <c r="AX67" s="117" t="str">
        <f>IF(AW67=1,AX52,"")</f>
        <v/>
      </c>
      <c r="AY67" s="117" t="str">
        <f>IF(AW67=1,$AY$12,"")</f>
        <v/>
      </c>
      <c r="AZ67" s="116">
        <f>IF(AN67=1,0,IF($A$1=3,"",IF(H67="",1,0)))</f>
        <v>1</v>
      </c>
      <c r="BA67" s="29">
        <f>IF($A$1=3,0,IF(H67="",1,0))</f>
        <v>1</v>
      </c>
      <c r="BB67" s="29" t="str">
        <f>IF(AZ67=1,$BB$52,"")</f>
        <v/>
      </c>
      <c r="BC67" s="116">
        <f>IF($A$1=3,"",IF(I67="n / a",1,0))</f>
        <v>0</v>
      </c>
      <c r="BD67" s="29" t="str">
        <f>IF(BC67=1,REPT(Sprache!$K$27,1),"")</f>
        <v/>
      </c>
      <c r="BE67" s="29">
        <f>SUM(Steuerung!$Y$3)</f>
        <v>1</v>
      </c>
      <c r="BF67" s="29">
        <f>IF(M67="",100,VLOOKUP(M67,Steuerung!$A$39:$B$60,2,FALSE))</f>
        <v>100</v>
      </c>
      <c r="BG67" s="29">
        <f>IF(BE67=BF67,0,IF(BE67&lt;BF67,0,1))</f>
        <v>0</v>
      </c>
      <c r="BH67" s="29" t="str">
        <f>IF(BE67&gt;20,LEFT(M67,1),"")</f>
        <v/>
      </c>
      <c r="BI67" s="29">
        <f>IF(BH67="2",BE67-BF67,0)</f>
        <v>0</v>
      </c>
      <c r="BJ67" s="29">
        <f>IF(BI67=0,0,1)</f>
        <v>0</v>
      </c>
      <c r="BK67" s="29">
        <f>IF(BL67&gt;0,1,0)</f>
        <v>0</v>
      </c>
      <c r="BL67" s="116">
        <f>SUM(BG67,BJ67)</f>
        <v>0</v>
      </c>
      <c r="BM67" s="29" t="str">
        <f>IF(BL67=0,"",Sprache!$K$49)</f>
        <v/>
      </c>
      <c r="BN67" s="29">
        <v>0</v>
      </c>
      <c r="BO67" s="29">
        <v>1</v>
      </c>
      <c r="BQ67" s="29">
        <f>IF($A$1=1,BN67,0)</f>
        <v>0</v>
      </c>
      <c r="BR67" s="29">
        <f>IF($A$1=2,BO67,0)</f>
        <v>0</v>
      </c>
      <c r="BU67" s="127" t="str">
        <f>IF(BW67=1,H67,"")</f>
        <v/>
      </c>
      <c r="BV67" s="127" t="str">
        <f>CONCATENATE(BU67,BU65)</f>
        <v/>
      </c>
      <c r="BW67" s="29">
        <f>SUM(BQ67:BS67)</f>
        <v>0</v>
      </c>
    </row>
    <row r="69" spans="2:75">
      <c r="AW69" s="131">
        <f>SUM(AW53:AW67)</f>
        <v>0</v>
      </c>
      <c r="AZ69" s="131">
        <f>IF(AY53=0,0,SUM(AZ53:AZ67))</f>
        <v>0</v>
      </c>
      <c r="BC69" s="131">
        <f>SUM(BC53:BC67)</f>
        <v>0</v>
      </c>
      <c r="BK69" s="131">
        <f>SUM(BK53:BK67)</f>
        <v>0</v>
      </c>
      <c r="BL69" s="131">
        <f>SUM(BK69)</f>
        <v>0</v>
      </c>
    </row>
    <row r="71" spans="2:75">
      <c r="I71" s="102" t="str">
        <f>IF($A$1=3,Sprache!K39,IF($A$1=2,Sprache!K39,IF($A$1=1,Sprache!K40,"")))</f>
        <v>Dritte Runde Einzel ( gesetzt )</v>
      </c>
      <c r="J71" s="91"/>
      <c r="K71" s="85" t="str">
        <f>REPT(Sprache!$K$44,1)</f>
        <v>Spieler-Nr.</v>
      </c>
      <c r="L71" s="82"/>
      <c r="M71" s="85" t="str">
        <f>REPT(Sprache!$K$15,1)</f>
        <v>Liga</v>
      </c>
      <c r="N71" s="100"/>
      <c r="O71" s="85" t="str">
        <f>REPT(Sprache!$K$45,1)</f>
        <v>Qualifiziert für:</v>
      </c>
      <c r="AE71" s="106"/>
      <c r="AF71" s="106" t="s">
        <v>821</v>
      </c>
      <c r="AG71" s="106"/>
      <c r="AH71" s="101"/>
      <c r="AI71" s="101" t="s">
        <v>820</v>
      </c>
      <c r="AJ71" s="101"/>
      <c r="AK71" s="108"/>
      <c r="AL71" s="108" t="s">
        <v>819</v>
      </c>
      <c r="AM71" s="108"/>
    </row>
    <row r="72" spans="2:75">
      <c r="AE72" s="106"/>
      <c r="AF72" s="106"/>
      <c r="AG72" s="106"/>
      <c r="AH72" s="101"/>
      <c r="AI72" s="101"/>
      <c r="AJ72" s="101"/>
      <c r="AK72" s="108"/>
      <c r="AL72" s="108"/>
      <c r="AM72" s="108"/>
      <c r="AX72" s="115" t="str">
        <f>REPT(Sprache!K48,1)</f>
        <v>***!!!!!!!!!!Doppelter Eintrag!!!!!!!!!!***</v>
      </c>
      <c r="AY72" s="115" t="str">
        <f>REPT(Sprache!K35,1)</f>
        <v>** A C H T U N G - D O P P E L T E  L I Z E N Z - N U M M E R !!! **</v>
      </c>
      <c r="AZ72" s="29">
        <f>IF($A$1=3,6,8)</f>
        <v>8</v>
      </c>
      <c r="BA72" s="29">
        <f>SUM(AZ73:AZ87)</f>
        <v>8</v>
      </c>
      <c r="BB72" s="29" t="str">
        <f>IF(A1=1,"",IF(AY73=0,"",Sprache!$K$29))</f>
        <v/>
      </c>
      <c r="BE72" s="29" t="s">
        <v>827</v>
      </c>
      <c r="BF72" s="29" t="s">
        <v>834</v>
      </c>
      <c r="BJ72" s="29" t="s">
        <v>840</v>
      </c>
      <c r="BL72" s="29" t="s">
        <v>841</v>
      </c>
    </row>
    <row r="73" spans="2:75">
      <c r="B73" s="119" t="str">
        <f>CONCATENATE(BB73,BD73,,BM73)</f>
        <v/>
      </c>
      <c r="D73" s="120" t="str">
        <f>IF(AC73=0,"",AC73)</f>
        <v>HS</v>
      </c>
      <c r="E73" s="121">
        <f>IF(AD73=0,"",AD73)</f>
        <v>3.1</v>
      </c>
      <c r="F73" s="118"/>
      <c r="G73" s="122" t="str">
        <f>IF($A$1=1,AO73,SUM($G$3/100))</f>
        <v/>
      </c>
      <c r="H73" s="150"/>
      <c r="I73" s="125" t="str">
        <f>IF($G$5="x",VLOOKUP(AO73,Licenses!B:C,2,FALSE),IF(BL73=0,IF(AA73="","",VLOOKUP(AO73,Licenses!B:C,2,FALSE)),BM73))</f>
        <v/>
      </c>
      <c r="J73" s="118"/>
      <c r="K73" s="124" t="str">
        <f>IF(I73="","",VLOOKUP(AO73,Licenses!B:D,3,FALSE))</f>
        <v/>
      </c>
      <c r="L73" s="118"/>
      <c r="M73" s="124" t="str">
        <f>REPT(T73,1)</f>
        <v/>
      </c>
      <c r="N73" s="118"/>
      <c r="O73" s="124" t="str">
        <f>IF(M73="","",IF(AO73="","",VLOOKUP(AO73,Licenses!B:I,8,FALSE)))</f>
        <v/>
      </c>
      <c r="Q73" s="120" t="s">
        <v>779</v>
      </c>
      <c r="R73" s="149">
        <v>2.2000000000000002</v>
      </c>
      <c r="S73" s="157"/>
      <c r="T73" s="29" t="str">
        <f>IF(G73="","",IF(U73=0,"",IF(U73="","",U73)))</f>
        <v/>
      </c>
      <c r="U73" s="29" t="str">
        <f>IF(H73="","",VLOOKUP(AO73,Licenses!B:H,7,FALSE))</f>
        <v/>
      </c>
      <c r="Y73" s="29">
        <f>IF($A$1=1,VLOOKUP(R73,$E$53:$H$67,4,FALSE),H73)</f>
        <v>0</v>
      </c>
      <c r="Z73" s="29">
        <f>SUM($G$3/100)</f>
        <v>0</v>
      </c>
      <c r="AA73" s="29" t="str">
        <f>IF(Y73=0,"",Y73)</f>
        <v/>
      </c>
      <c r="AB73" s="29">
        <f>IF($A$1=3,AK73,IF($A$1=2,AH73,IF($A$1=1,AE73,0)))</f>
        <v>25</v>
      </c>
      <c r="AC73" s="29" t="str">
        <f>IF($A$1=1,AF73,AI73)</f>
        <v>HS</v>
      </c>
      <c r="AD73" s="29">
        <f>IF($A$1=1,AG73,AJ73)</f>
        <v>3.1</v>
      </c>
      <c r="AE73" s="106">
        <v>25</v>
      </c>
      <c r="AF73" s="106" t="s">
        <v>779</v>
      </c>
      <c r="AG73" s="106">
        <v>3.1</v>
      </c>
      <c r="AH73" s="101">
        <v>25</v>
      </c>
      <c r="AI73" s="101" t="s">
        <v>779</v>
      </c>
      <c r="AJ73" s="101">
        <v>2.1</v>
      </c>
      <c r="AK73" s="108">
        <v>19</v>
      </c>
      <c r="AL73" s="108" t="s">
        <v>779</v>
      </c>
      <c r="AM73" s="108">
        <v>2.1</v>
      </c>
      <c r="AO73" s="114" t="str">
        <f>IF($G$5="X",$G$3,IF(AA73="","",SUM(AA73*1,$G$3)))</f>
        <v/>
      </c>
      <c r="AX73" s="115"/>
      <c r="AY73" s="115">
        <f>IF($G$5="X",0,IF(AZ72=BA72,0,1))</f>
        <v>0</v>
      </c>
      <c r="AZ73" s="116">
        <f>IF(H73="",1,0)</f>
        <v>1</v>
      </c>
      <c r="BA73" s="29">
        <f>IF(H73="",1,0)</f>
        <v>1</v>
      </c>
      <c r="BB73" s="29" t="str">
        <f>IF(AZ73=1,$BB$72,"")</f>
        <v/>
      </c>
      <c r="BC73" s="116">
        <f>IF(I73="n / a",1,0)</f>
        <v>0</v>
      </c>
      <c r="BD73" s="29" t="str">
        <f>IF(BC73=1,REPT(Sprache!$K$27,1),"")</f>
        <v/>
      </c>
      <c r="BE73" s="29">
        <f>SUM(Steuerung!$Y$3)</f>
        <v>1</v>
      </c>
      <c r="BF73" s="29">
        <f>IF(M73="",100,VLOOKUP(M73,Steuerung!$A$39:$B$60,2,FALSE))</f>
        <v>100</v>
      </c>
      <c r="BG73" s="29">
        <f>IF(BE73=BF73,0,IF(BE73&lt;BF73,0,1))</f>
        <v>0</v>
      </c>
      <c r="BH73" s="29" t="str">
        <f>IF(BE73&gt;20,LEFT(M73,1),"")</f>
        <v/>
      </c>
      <c r="BI73" s="29">
        <f>IF(BH73="2",BE73-BF73,0)</f>
        <v>0</v>
      </c>
      <c r="BJ73" s="29">
        <f>IF(BI73=0,0,1)</f>
        <v>0</v>
      </c>
      <c r="BK73" s="29">
        <f>IF(BL73&gt;0,1,0)</f>
        <v>0</v>
      </c>
      <c r="BL73" s="116">
        <f>SUM(BG73,BJ73)</f>
        <v>0</v>
      </c>
      <c r="BM73" s="29" t="str">
        <f>IF(BL73=0,"",Sprache!$K$49)</f>
        <v/>
      </c>
    </row>
    <row r="74" spans="2:75" ht="6" customHeight="1">
      <c r="D74" s="113"/>
      <c r="E74" s="113"/>
      <c r="I74" s="126"/>
      <c r="Q74" s="113"/>
      <c r="R74" s="113"/>
      <c r="S74" s="158"/>
      <c r="AE74" s="107"/>
      <c r="AF74" s="107"/>
      <c r="AG74" s="107"/>
      <c r="AH74" s="103"/>
      <c r="AI74" s="103"/>
      <c r="AJ74" s="103"/>
      <c r="AK74" s="109"/>
      <c r="AL74" s="109"/>
      <c r="AM74" s="109"/>
      <c r="AX74" s="115"/>
      <c r="AY74" s="115"/>
    </row>
    <row r="75" spans="2:75">
      <c r="B75" s="119" t="str">
        <f>CONCATENATE(BB75,BD75,AY75,BM75)</f>
        <v/>
      </c>
      <c r="D75" s="120" t="str">
        <f>IF(AC75=0,"",AC75)</f>
        <v>HS</v>
      </c>
      <c r="E75" s="121">
        <f>IF(AD75=0,"",AD75)</f>
        <v>3.2</v>
      </c>
      <c r="F75" s="118"/>
      <c r="G75" s="122" t="str">
        <f>IF($A$1=1,AO75,SUM($G$3/100))</f>
        <v/>
      </c>
      <c r="H75" s="150"/>
      <c r="I75" s="125" t="str">
        <f>IF($G$5="x",VLOOKUP(AO75,Licenses!B:C,2,FALSE),IF(BL75=0,IF(AA75="","",VLOOKUP(AO75,Licenses!B:C,2,FALSE)),BM75))</f>
        <v/>
      </c>
      <c r="J75" s="118"/>
      <c r="K75" s="124" t="str">
        <f>IF(I75="","",VLOOKUP(AO75,Licenses!B:D,3,FALSE))</f>
        <v/>
      </c>
      <c r="L75" s="118"/>
      <c r="M75" s="124" t="str">
        <f>REPT(T75,1)</f>
        <v/>
      </c>
      <c r="N75" s="118"/>
      <c r="O75" s="124" t="str">
        <f>IF(M75="","",IF(AO75="","",VLOOKUP(AO75,Licenses!B:I,8,FALSE)))</f>
        <v/>
      </c>
      <c r="Q75" s="120" t="s">
        <v>779</v>
      </c>
      <c r="R75" s="149">
        <v>2.2999999999999998</v>
      </c>
      <c r="S75" s="157"/>
      <c r="T75" s="29" t="str">
        <f>IF(G75="","",IF(U75=0,"",IF(U75="","",U75)))</f>
        <v/>
      </c>
      <c r="U75" s="29" t="str">
        <f>IF(H75="","",VLOOKUP(AO75,Licenses!B:H,7,FALSE))</f>
        <v/>
      </c>
      <c r="Y75" s="29">
        <f>IF($A$1=1,VLOOKUP(R75,$E$53:$H$67,4,FALSE),H75)</f>
        <v>0</v>
      </c>
      <c r="Z75" s="29">
        <f>SUM($G$3/100)</f>
        <v>0</v>
      </c>
      <c r="AA75" s="29" t="str">
        <f>IF(Y75=0,"",Y75)</f>
        <v/>
      </c>
      <c r="AB75" s="29">
        <f>IF($A$1=3,AK75,IF($A$1=2,AH75,IF($A$1=1,AE75,0)))</f>
        <v>26</v>
      </c>
      <c r="AC75" s="29" t="str">
        <f>IF($A$1=1,AF75,AI75)</f>
        <v>HS</v>
      </c>
      <c r="AD75" s="29">
        <f>IF($A$1=1,AG75,AJ75)</f>
        <v>3.2</v>
      </c>
      <c r="AE75" s="106">
        <v>26</v>
      </c>
      <c r="AF75" s="106" t="s">
        <v>779</v>
      </c>
      <c r="AG75" s="106">
        <v>3.2</v>
      </c>
      <c r="AH75" s="101">
        <v>26</v>
      </c>
      <c r="AI75" s="101" t="s">
        <v>779</v>
      </c>
      <c r="AJ75" s="101">
        <v>2.2000000000000002</v>
      </c>
      <c r="AK75" s="108">
        <v>20</v>
      </c>
      <c r="AL75" s="108" t="s">
        <v>779</v>
      </c>
      <c r="AM75" s="108">
        <v>2.2000000000000002</v>
      </c>
      <c r="AO75" s="114" t="str">
        <f>IF($G$5="X",$G$3,IF(AA75="","",SUM(AA75*1,$G$3)))</f>
        <v/>
      </c>
      <c r="AP75" s="29">
        <f>IF(AO75=AO73,1,0)</f>
        <v>1</v>
      </c>
      <c r="AW75" s="29" t="str">
        <f>IF($G$5="X",0,IF(AO75="","",SUM(AP75:AV75)))</f>
        <v/>
      </c>
      <c r="AX75" s="117" t="str">
        <f>IF(AW75=1,AX72,"")</f>
        <v/>
      </c>
      <c r="AY75" s="117" t="str">
        <f>IF(AW75=1,$AY$12,"")</f>
        <v/>
      </c>
      <c r="AZ75" s="116">
        <f>IF(H75="",1,0)</f>
        <v>1</v>
      </c>
      <c r="BA75" s="29">
        <f>IF(H75="",1,0)</f>
        <v>1</v>
      </c>
      <c r="BB75" s="29" t="str">
        <f>IF(AZ75=1,$BB$72,"")</f>
        <v/>
      </c>
      <c r="BC75" s="116">
        <f>IF(I75="n / a",1,0)</f>
        <v>0</v>
      </c>
      <c r="BD75" s="29" t="str">
        <f>IF(BC75=1,REPT(Sprache!$K$27,1),"")</f>
        <v/>
      </c>
      <c r="BE75" s="29">
        <f>SUM(Steuerung!$Y$3)</f>
        <v>1</v>
      </c>
      <c r="BF75" s="29">
        <f>IF(M75="",100,VLOOKUP(M75,Steuerung!$A$39:$B$60,2,FALSE))</f>
        <v>100</v>
      </c>
      <c r="BG75" s="29">
        <f>IF(BE75=BF75,0,IF(BE75&lt;BF75,0,1))</f>
        <v>0</v>
      </c>
      <c r="BH75" s="29" t="str">
        <f>IF(BE75&gt;20,LEFT(M75,1),"")</f>
        <v/>
      </c>
      <c r="BI75" s="29">
        <f>IF(BH75="2",BE75-BF75,0)</f>
        <v>0</v>
      </c>
      <c r="BJ75" s="29">
        <f>IF(BI75=0,0,1)</f>
        <v>0</v>
      </c>
      <c r="BK75" s="29">
        <f>IF(BL75&gt;0,1,0)</f>
        <v>0</v>
      </c>
      <c r="BL75" s="116">
        <f>SUM(BG75,BJ75)</f>
        <v>0</v>
      </c>
      <c r="BM75" s="29" t="str">
        <f>IF(BL75=0,"",Sprache!$K$49)</f>
        <v/>
      </c>
    </row>
    <row r="76" spans="2:75" ht="6" customHeight="1">
      <c r="D76" s="113"/>
      <c r="E76" s="113"/>
      <c r="I76" s="126"/>
      <c r="Q76" s="113"/>
      <c r="R76" s="113"/>
      <c r="S76" s="158"/>
      <c r="AE76" s="107"/>
      <c r="AF76" s="107"/>
      <c r="AG76" s="107"/>
      <c r="AH76" s="103"/>
      <c r="AI76" s="103"/>
      <c r="AJ76" s="103"/>
      <c r="AK76" s="109"/>
      <c r="AL76" s="109"/>
      <c r="AM76" s="109"/>
      <c r="AX76" s="115"/>
      <c r="AY76" s="115"/>
    </row>
    <row r="77" spans="2:75">
      <c r="B77" s="119" t="str">
        <f>CONCATENATE(BB77,BD77,AY77,BM77)</f>
        <v/>
      </c>
      <c r="D77" s="120" t="str">
        <f>IF(AC77=0,"",AC77)</f>
        <v>HS</v>
      </c>
      <c r="E77" s="121">
        <f>IF(AD77=0,"",AD77)</f>
        <v>3.3</v>
      </c>
      <c r="F77" s="118"/>
      <c r="G77" s="122" t="str">
        <f>IF($A$1=1,AO77,SUM($G$3/100))</f>
        <v/>
      </c>
      <c r="H77" s="150"/>
      <c r="I77" s="125" t="str">
        <f>IF($G$5="x",VLOOKUP(AO77,Licenses!B:C,2,FALSE),IF(BL77=0,IF(AA77="","",VLOOKUP(AO77,Licenses!B:C,2,FALSE)),BM77))</f>
        <v/>
      </c>
      <c r="J77" s="118"/>
      <c r="K77" s="124" t="str">
        <f>IF(I77="","",VLOOKUP(AO77,Licenses!B:D,3,FALSE))</f>
        <v/>
      </c>
      <c r="L77" s="118"/>
      <c r="M77" s="124" t="str">
        <f>REPT(T77,1)</f>
        <v/>
      </c>
      <c r="N77" s="118"/>
      <c r="O77" s="124" t="str">
        <f>IF(M77="","",IF(AO77="","",VLOOKUP(AO77,Licenses!B:I,8,FALSE)))</f>
        <v/>
      </c>
      <c r="Q77" s="120" t="s">
        <v>779</v>
      </c>
      <c r="R77" s="149">
        <v>2.1</v>
      </c>
      <c r="S77" s="157"/>
      <c r="T77" s="29" t="str">
        <f>IF(G77="","",IF(U77=0,"",IF(U77="","",U77)))</f>
        <v/>
      </c>
      <c r="U77" s="29" t="str">
        <f>IF(H77="","",VLOOKUP(AO77,Licenses!B:H,7,FALSE))</f>
        <v/>
      </c>
      <c r="Y77" s="29">
        <f>IF($A$1=1,VLOOKUP(R77,$E$53:$H$67,4,FALSE),H77)</f>
        <v>0</v>
      </c>
      <c r="Z77" s="29">
        <f>SUM($G$3/100)</f>
        <v>0</v>
      </c>
      <c r="AA77" s="29" t="str">
        <f>IF(Y77=0,"",Y77)</f>
        <v/>
      </c>
      <c r="AB77" s="29">
        <f>IF($A$1=3,AK77,IF($A$1=2,AH77,IF($A$1=1,AE77,0)))</f>
        <v>27</v>
      </c>
      <c r="AC77" s="29" t="str">
        <f>IF($A$1=1,AF77,AI77)</f>
        <v>HS</v>
      </c>
      <c r="AD77" s="29">
        <f>IF($A$1=1,AG77,AJ77)</f>
        <v>3.3</v>
      </c>
      <c r="AE77" s="106">
        <v>27</v>
      </c>
      <c r="AF77" s="106" t="s">
        <v>779</v>
      </c>
      <c r="AG77" s="106">
        <v>3.3</v>
      </c>
      <c r="AH77" s="101">
        <v>27</v>
      </c>
      <c r="AI77" s="101" t="s">
        <v>779</v>
      </c>
      <c r="AJ77" s="101">
        <v>2.2999999999999998</v>
      </c>
      <c r="AK77" s="108">
        <v>21</v>
      </c>
      <c r="AL77" s="108" t="s">
        <v>779</v>
      </c>
      <c r="AM77" s="108">
        <v>2.2999999999999998</v>
      </c>
      <c r="AO77" s="114" t="str">
        <f>IF($G$5="X",$G$3,IF(AA77="","",SUM(AA77*1,$G$3)))</f>
        <v/>
      </c>
      <c r="AP77" s="29">
        <f>IF(AO77=AO73,1,0)</f>
        <v>1</v>
      </c>
      <c r="AQ77" s="29">
        <f>IF(AO77=AO75,1,0)</f>
        <v>1</v>
      </c>
      <c r="AW77" s="29" t="str">
        <f>IF($G$5="X",0,IF(AO77="","",SUM(AP77:AV77)))</f>
        <v/>
      </c>
      <c r="AX77" s="117" t="str">
        <f>IF(AW77=1,AX72,"")</f>
        <v/>
      </c>
      <c r="AY77" s="117" t="str">
        <f>IF(AW77=1,$AY$12,"")</f>
        <v/>
      </c>
      <c r="AZ77" s="116">
        <f>IF(H77="",1,0)</f>
        <v>1</v>
      </c>
      <c r="BA77" s="29">
        <f>IF(H77="",1,0)</f>
        <v>1</v>
      </c>
      <c r="BB77" s="29" t="str">
        <f>IF(AZ77=1,$BB$72,"")</f>
        <v/>
      </c>
      <c r="BC77" s="116">
        <f>IF(I77="n / a",1,0)</f>
        <v>0</v>
      </c>
      <c r="BD77" s="29" t="str">
        <f>IF(BC77=1,REPT(Sprache!$K$27,1),"")</f>
        <v/>
      </c>
      <c r="BE77" s="29">
        <f>SUM(Steuerung!$Y$3)</f>
        <v>1</v>
      </c>
      <c r="BF77" s="29">
        <f>IF(M77="",100,VLOOKUP(M77,Steuerung!$A$39:$B$60,2,FALSE))</f>
        <v>100</v>
      </c>
      <c r="BG77" s="29">
        <f>IF(BE77=BF77,0,IF(BE77&lt;BF77,0,1))</f>
        <v>0</v>
      </c>
      <c r="BH77" s="29" t="str">
        <f>IF(BE77&gt;20,LEFT(M77,1),"")</f>
        <v/>
      </c>
      <c r="BI77" s="29">
        <f>IF(BH77="2",BE77-BF77,0)</f>
        <v>0</v>
      </c>
      <c r="BJ77" s="29">
        <f>IF(BI77=0,0,1)</f>
        <v>0</v>
      </c>
      <c r="BK77" s="29">
        <f>IF(BL77&gt;0,1,0)</f>
        <v>0</v>
      </c>
      <c r="BL77" s="116">
        <f>SUM(BG77,BJ77)</f>
        <v>0</v>
      </c>
      <c r="BM77" s="29" t="str">
        <f>IF(BL77=0,"",Sprache!$K$49)</f>
        <v/>
      </c>
    </row>
    <row r="78" spans="2:75" ht="6" customHeight="1">
      <c r="D78" s="113"/>
      <c r="E78" s="113"/>
      <c r="I78" s="126"/>
      <c r="Q78" s="113"/>
      <c r="R78" s="113"/>
      <c r="S78" s="158"/>
      <c r="AE78" s="107"/>
      <c r="AF78" s="107"/>
      <c r="AG78" s="107"/>
      <c r="AH78" s="103"/>
      <c r="AI78" s="103"/>
      <c r="AJ78" s="103"/>
      <c r="AK78" s="109"/>
      <c r="AL78" s="109"/>
      <c r="AM78" s="109"/>
      <c r="AX78" s="115"/>
      <c r="AY78" s="115"/>
    </row>
    <row r="79" spans="2:75">
      <c r="B79" s="119" t="str">
        <f>CONCATENATE(BB79,BD79,AY79,BM79)</f>
        <v/>
      </c>
      <c r="D79" s="120" t="str">
        <f>IF(AC79=0,"",AC79)</f>
        <v>HS</v>
      </c>
      <c r="E79" s="121">
        <f>IF(AD79=0,"",AD79)</f>
        <v>3.4</v>
      </c>
      <c r="F79" s="118"/>
      <c r="G79" s="122" t="str">
        <f>IF($A$1=1,AO79,SUM($G$3/100))</f>
        <v/>
      </c>
      <c r="H79" s="150"/>
      <c r="I79" s="125" t="str">
        <f>IF(AN79=1,VLOOKUP(AO79,Licenses!B:C,2,FALSE),IF($G$5="x",VLOOKUP(AO79,Licenses!B:C,2,FALSE),IF(BL79=0,IF(AA79="","",VLOOKUP(AO79,Licenses!B:C,2,FALSE)),BM79)))</f>
        <v/>
      </c>
      <c r="J79" s="118"/>
      <c r="K79" s="124" t="str">
        <f>IF(I79="","",VLOOKUP(AO79,Licenses!B:D,3,FALSE))</f>
        <v/>
      </c>
      <c r="L79" s="118"/>
      <c r="M79" s="124" t="str">
        <f>REPT(T79,1)</f>
        <v/>
      </c>
      <c r="N79" s="118"/>
      <c r="O79" s="124" t="str">
        <f>IF(M79="","",IF(AO79="","",VLOOKUP(AO79,Licenses!B:I,8,FALSE)))</f>
        <v/>
      </c>
      <c r="Q79" s="120" t="s">
        <v>779</v>
      </c>
      <c r="R79" s="149">
        <v>2.8</v>
      </c>
      <c r="S79" s="157"/>
      <c r="T79" s="29" t="str">
        <f>IF(G79="","",IF(U79=0,"",IF(U79="","",U79)))</f>
        <v/>
      </c>
      <c r="U79" s="29" t="str">
        <f>IF(H79="","",VLOOKUP(AO79,Licenses!B:H,7,FALSE))</f>
        <v/>
      </c>
      <c r="Y79" s="29">
        <f>IF($A$1=1,VLOOKUP(R79,$E$53:$H$67,4,FALSE),H79)</f>
        <v>0</v>
      </c>
      <c r="Z79" s="29">
        <f>SUM($G$3/100)</f>
        <v>0</v>
      </c>
      <c r="AA79" s="29" t="str">
        <f>IF(Y79=0,"",Y79)</f>
        <v/>
      </c>
      <c r="AB79" s="29">
        <f>IF($A$1=3,AK79,IF($A$1=2,AH79,IF($A$1=1,AE79,0)))</f>
        <v>28</v>
      </c>
      <c r="AC79" s="29" t="str">
        <f>IF($A$1=1,AF79,AI79)</f>
        <v>HS</v>
      </c>
      <c r="AD79" s="29">
        <f>IF($A$1=1,AG79,AJ79)</f>
        <v>3.4</v>
      </c>
      <c r="AE79" s="106">
        <v>28</v>
      </c>
      <c r="AF79" s="106" t="s">
        <v>779</v>
      </c>
      <c r="AG79" s="106">
        <v>3.4</v>
      </c>
      <c r="AH79" s="101">
        <v>28</v>
      </c>
      <c r="AI79" s="101" t="s">
        <v>779</v>
      </c>
      <c r="AJ79" s="101">
        <v>2.4</v>
      </c>
      <c r="AK79" s="108">
        <v>22</v>
      </c>
      <c r="AL79" s="108" t="s">
        <v>779</v>
      </c>
      <c r="AM79" s="108">
        <v>2.4</v>
      </c>
      <c r="AN79" s="29" t="str">
        <f>IF(G7="x",IF($A$1=1,1,""),"")</f>
        <v/>
      </c>
      <c r="AO79" s="114" t="str">
        <f>IF(AN79=1,G3,IF($G$5="X",$G$3,IF(AA79="","",SUM(AA79*1,$G$3))))</f>
        <v/>
      </c>
      <c r="AP79" s="29">
        <f>IF(AO79=AO73,1,0)</f>
        <v>1</v>
      </c>
      <c r="AQ79" s="29">
        <f>IF(AO79=AO75,1,0)</f>
        <v>1</v>
      </c>
      <c r="AR79" s="29">
        <f>IF(AO79=AO77,1,0)</f>
        <v>1</v>
      </c>
      <c r="AW79" s="29" t="str">
        <f>IF($G$5="X",0,IF(AO79="","",SUM(AP79:AV79)))</f>
        <v/>
      </c>
      <c r="AX79" s="117" t="str">
        <f>IF(AW79=1,AX72,"")</f>
        <v/>
      </c>
      <c r="AY79" s="117" t="str">
        <f>IF(AW79=1,$AY$12,"")</f>
        <v/>
      </c>
      <c r="AZ79" s="116">
        <f>IF(H79="",1,0)</f>
        <v>1</v>
      </c>
      <c r="BA79" s="29">
        <f>IF(H79="",1,0)</f>
        <v>1</v>
      </c>
      <c r="BB79" s="29" t="str">
        <f>IF(AZ79=1,$BB$72,"")</f>
        <v/>
      </c>
      <c r="BC79" s="116">
        <f>IF(I79="n / a",1,0)</f>
        <v>0</v>
      </c>
      <c r="BD79" s="29" t="str">
        <f>IF(BC79=1,REPT(Sprache!$K$27,1),"")</f>
        <v/>
      </c>
      <c r="BE79" s="29">
        <f>SUM(Steuerung!$Y$3)</f>
        <v>1</v>
      </c>
      <c r="BF79" s="29">
        <f>IF(M79="",100,VLOOKUP(M79,Steuerung!$A$39:$B$60,2,FALSE))</f>
        <v>100</v>
      </c>
      <c r="BG79" s="29">
        <f>IF(BE79=BF79,0,IF(BE79&lt;BF79,0,1))</f>
        <v>0</v>
      </c>
      <c r="BH79" s="29" t="str">
        <f>IF(BE79&gt;20,LEFT(M79,1),"")</f>
        <v/>
      </c>
      <c r="BI79" s="29">
        <f>IF(BH79="2",BE79-BF79,0)</f>
        <v>0</v>
      </c>
      <c r="BJ79" s="29">
        <f>IF(BI79=0,0,1)</f>
        <v>0</v>
      </c>
      <c r="BK79" s="29">
        <f>IF(BL79&gt;0,1,0)</f>
        <v>0</v>
      </c>
      <c r="BL79" s="116">
        <f>SUM(BG79,BJ79)</f>
        <v>0</v>
      </c>
      <c r="BM79" s="29" t="str">
        <f>IF(BL79=0,"",Sprache!$K$49)</f>
        <v/>
      </c>
    </row>
    <row r="80" spans="2:75" ht="6" customHeight="1">
      <c r="D80" s="113"/>
      <c r="E80" s="113"/>
      <c r="I80" s="126"/>
      <c r="Q80" s="113"/>
      <c r="R80" s="113"/>
      <c r="S80" s="158"/>
      <c r="AE80" s="107"/>
      <c r="AF80" s="107"/>
      <c r="AG80" s="107"/>
      <c r="AH80" s="103"/>
      <c r="AI80" s="103"/>
      <c r="AJ80" s="103"/>
      <c r="AK80" s="109"/>
      <c r="AL80" s="109"/>
      <c r="AM80" s="109"/>
      <c r="AX80" s="115"/>
      <c r="AY80" s="115"/>
    </row>
    <row r="81" spans="2:79">
      <c r="B81" s="119" t="str">
        <f>CONCATENATE(BB81,BD81,AY81,BM81)</f>
        <v/>
      </c>
      <c r="D81" s="120" t="str">
        <f>IF(AC81=0,"",AC81)</f>
        <v>HS</v>
      </c>
      <c r="E81" s="121">
        <f>IF(AD81=0,"",AD81)</f>
        <v>3.5</v>
      </c>
      <c r="F81" s="118"/>
      <c r="G81" s="122" t="str">
        <f>IF($A$1=1,AO81,SUM($G$3/100))</f>
        <v/>
      </c>
      <c r="H81" s="150"/>
      <c r="I81" s="125" t="str">
        <f>IF(AN81=1,VLOOKUP(AO81,Licenses!B:C,2,FALSE),IF($G$5="x",VLOOKUP(AO81,Licenses!B:C,2,FALSE),IF(BL81=0,IF(AA81="","",VLOOKUP(AO81,Licenses!B:C,2,FALSE)),BM81)))</f>
        <v/>
      </c>
      <c r="J81" s="118"/>
      <c r="K81" s="124" t="str">
        <f>IF(I81="","",VLOOKUP(AO81,Licenses!B:D,3,FALSE))</f>
        <v/>
      </c>
      <c r="L81" s="118"/>
      <c r="M81" s="124" t="str">
        <f>REPT(T81,1)</f>
        <v/>
      </c>
      <c r="N81" s="118"/>
      <c r="O81" s="124" t="str">
        <f>IF(M81="","",IF(AO81="","",VLOOKUP(AO81,Licenses!B:I,8,FALSE)))</f>
        <v/>
      </c>
      <c r="Q81" s="120" t="s">
        <v>779</v>
      </c>
      <c r="R81" s="149">
        <v>2.7</v>
      </c>
      <c r="S81" s="157"/>
      <c r="T81" s="29" t="str">
        <f>IF(G81="","",IF(U81=0,"",IF(U81="","",U81)))</f>
        <v/>
      </c>
      <c r="U81" s="29" t="str">
        <f>IF(H81="","",VLOOKUP(AO81,Licenses!B:H,7,FALSE))</f>
        <v/>
      </c>
      <c r="Y81" s="29">
        <f>IF($A$1=1,VLOOKUP(R81,$E$53:$H$67,4,FALSE),H81)</f>
        <v>0</v>
      </c>
      <c r="Z81" s="29">
        <f>SUM($G$3/100)</f>
        <v>0</v>
      </c>
      <c r="AA81" s="29" t="str">
        <f>IF(Y81=0,"",Y81)</f>
        <v/>
      </c>
      <c r="AB81" s="29">
        <f>IF($A$1=3,AK81,IF($A$1=2,AH81,IF($A$1=1,AE81,0)))</f>
        <v>29</v>
      </c>
      <c r="AC81" s="29" t="str">
        <f>IF($A$1=1,AF81,AI81)</f>
        <v>HS</v>
      </c>
      <c r="AD81" s="29">
        <f>IF($A$1=1,AG81,AJ81)</f>
        <v>3.5</v>
      </c>
      <c r="AE81" s="106">
        <v>29</v>
      </c>
      <c r="AF81" s="106" t="s">
        <v>779</v>
      </c>
      <c r="AG81" s="106">
        <v>3.5</v>
      </c>
      <c r="AH81" s="101">
        <v>29</v>
      </c>
      <c r="AI81" s="101" t="s">
        <v>779</v>
      </c>
      <c r="AJ81" s="101">
        <v>2.5</v>
      </c>
      <c r="AK81" s="108">
        <v>23</v>
      </c>
      <c r="AL81" s="108" t="s">
        <v>779</v>
      </c>
      <c r="AM81" s="108">
        <v>2.5</v>
      </c>
      <c r="AO81" s="114" t="str">
        <f>IF(AN81=1,$G$3,IF($G$5="X",$G$3,IF(AA81="","",SUM(AA81*1,$G$3))))</f>
        <v/>
      </c>
      <c r="AP81" s="29">
        <f>IF(AO81=AO73,1,0)</f>
        <v>1</v>
      </c>
      <c r="AQ81" s="29">
        <f>IF(AO81=AO75,1,0)</f>
        <v>1</v>
      </c>
      <c r="AR81" s="29">
        <f>IF(AO81=AO77,1,0)</f>
        <v>1</v>
      </c>
      <c r="AS81" s="29">
        <f>IF(AO81=AO79,1,0)</f>
        <v>1</v>
      </c>
      <c r="AW81" s="29" t="str">
        <f>IF(AN81=1,0,IF($G$5="X",0,IF(AO81="","",SUM(AP81:AV81))))</f>
        <v/>
      </c>
      <c r="AX81" s="117" t="str">
        <f>IF(AW81=1,AX72,"")</f>
        <v/>
      </c>
      <c r="AY81" s="117" t="str">
        <f>IF(AW81=1,$AY$12,"")</f>
        <v/>
      </c>
      <c r="AZ81" s="116">
        <f>IF(H81="",1,0)</f>
        <v>1</v>
      </c>
      <c r="BA81" s="29">
        <f>IF(H81="",1,0)</f>
        <v>1</v>
      </c>
      <c r="BB81" s="29" t="str">
        <f>IF(AZ81=1,$BB$72,"")</f>
        <v/>
      </c>
      <c r="BC81" s="116">
        <f>IF(I81="n / a",1,0)</f>
        <v>0</v>
      </c>
      <c r="BD81" s="29" t="str">
        <f>IF(BC81=1,REPT(Sprache!$K$27,1),"")</f>
        <v/>
      </c>
      <c r="BE81" s="29">
        <f>SUM(Steuerung!$Y$3)</f>
        <v>1</v>
      </c>
      <c r="BF81" s="29">
        <f>IF(M81="",100,VLOOKUP(M81,Steuerung!$A$39:$B$60,2,FALSE))</f>
        <v>100</v>
      </c>
      <c r="BG81" s="29">
        <f>IF(BE81=BF81,0,IF(BE81&lt;BF81,0,1))</f>
        <v>0</v>
      </c>
      <c r="BH81" s="29" t="str">
        <f>IF(BE81&gt;20,LEFT(M81,1),"")</f>
        <v/>
      </c>
      <c r="BI81" s="29">
        <f>IF(BH81="2",BE81-BF81,0)</f>
        <v>0</v>
      </c>
      <c r="BJ81" s="29">
        <f>IF(BI81=0,0,1)</f>
        <v>0</v>
      </c>
      <c r="BK81" s="29">
        <f>IF(BL81&gt;0,1,0)</f>
        <v>0</v>
      </c>
      <c r="BL81" s="116">
        <f>SUM(BG81,BJ81)</f>
        <v>0</v>
      </c>
      <c r="BM81" s="29" t="str">
        <f>IF(BL81=0,"",Sprache!$K$49)</f>
        <v/>
      </c>
    </row>
    <row r="82" spans="2:79" ht="6" customHeight="1">
      <c r="D82" s="113"/>
      <c r="E82" s="113"/>
      <c r="I82" s="126"/>
      <c r="Q82" s="113"/>
      <c r="R82" s="113"/>
      <c r="S82" s="158"/>
      <c r="AE82" s="107"/>
      <c r="AF82" s="107"/>
      <c r="AG82" s="107"/>
      <c r="AH82" s="103"/>
      <c r="AI82" s="103"/>
      <c r="AJ82" s="103"/>
      <c r="AK82" s="109"/>
      <c r="AL82" s="109"/>
      <c r="AM82" s="109"/>
      <c r="AX82" s="115"/>
      <c r="AY82" s="115"/>
    </row>
    <row r="83" spans="2:79">
      <c r="B83" s="119" t="str">
        <f>IF(AN83=1,"",CONCATENATE(BB83,BD83,AX83,BM83))</f>
        <v/>
      </c>
      <c r="D83" s="120" t="str">
        <f>IF(AC83=0,"",AC83)</f>
        <v>HS</v>
      </c>
      <c r="E83" s="121">
        <f>IF(AD83=0,"",AD83)</f>
        <v>3.6</v>
      </c>
      <c r="F83" s="118"/>
      <c r="G83" s="122" t="str">
        <f>IF($A$1=1,AO83,SUM($G$3/100))</f>
        <v/>
      </c>
      <c r="H83" s="150"/>
      <c r="I83" s="125" t="str">
        <f>IF(AN83=1,VLOOKUP(AO83,Licenses!B:C,2,FALSE),IF($G$5="x",VLOOKUP(AO83,Licenses!B:C,2,FALSE),IF(BL83=0,IF(AA83="","",VLOOKUP(AO83,Licenses!B:C,2,FALSE)),BM83)))</f>
        <v/>
      </c>
      <c r="J83" s="118"/>
      <c r="K83" s="124" t="str">
        <f>IF(I83="","",VLOOKUP(AO83,Licenses!B:D,3,FALSE))</f>
        <v/>
      </c>
      <c r="L83" s="118"/>
      <c r="M83" s="124" t="str">
        <f>REPT(T83,1)</f>
        <v/>
      </c>
      <c r="N83" s="118"/>
      <c r="O83" s="124" t="str">
        <f>IF(M83="","",IF(AO83="","",VLOOKUP(AO83,Licenses!B:I,8,FALSE)))</f>
        <v/>
      </c>
      <c r="Q83" s="120" t="s">
        <v>779</v>
      </c>
      <c r="R83" s="149">
        <v>2.5</v>
      </c>
      <c r="S83" s="157"/>
      <c r="T83" s="29" t="str">
        <f>IF(G83="","",IF(U83=0,"",IF(U83="","",U83)))</f>
        <v/>
      </c>
      <c r="U83" s="29" t="str">
        <f>IF(H83="","",VLOOKUP(AO83,Licenses!B:H,7,FALSE))</f>
        <v/>
      </c>
      <c r="Y83" s="29">
        <f>IF($A$1=1,VLOOKUP(R83,$E$53:$H$67,4,FALSE),H83)</f>
        <v>0</v>
      </c>
      <c r="Z83" s="29">
        <f>SUM($G$3/100)</f>
        <v>0</v>
      </c>
      <c r="AA83" s="29" t="str">
        <f>IF(Y83=0,"",Y83)</f>
        <v/>
      </c>
      <c r="AB83" s="29">
        <f>IF($A$1=3,AK83,IF($A$1=2,AH83,IF($A$1=1,AE83,0)))</f>
        <v>30</v>
      </c>
      <c r="AC83" s="29" t="str">
        <f>IF($A$1=1,AF83,AI83)</f>
        <v>HS</v>
      </c>
      <c r="AD83" s="29">
        <f>IF($A$1=1,AG83,AJ83)</f>
        <v>3.6</v>
      </c>
      <c r="AE83" s="106">
        <v>30</v>
      </c>
      <c r="AF83" s="106" t="s">
        <v>779</v>
      </c>
      <c r="AG83" s="106">
        <v>3.6</v>
      </c>
      <c r="AH83" s="101">
        <v>30</v>
      </c>
      <c r="AI83" s="101" t="s">
        <v>779</v>
      </c>
      <c r="AJ83" s="101">
        <v>2.6</v>
      </c>
      <c r="AK83" s="108">
        <v>24</v>
      </c>
      <c r="AL83" s="108" t="s">
        <v>779</v>
      </c>
      <c r="AM83" s="108">
        <v>2.6</v>
      </c>
      <c r="AN83" s="29">
        <f>IF($A$1=3,IF($G$7="X",1,0),0)</f>
        <v>0</v>
      </c>
      <c r="AO83" s="114" t="str">
        <f>IF(AN83=1,$G$3,IF($G$5="X",$G$3,IF(AA83="","",SUM(AA83*1,$G$3))))</f>
        <v/>
      </c>
      <c r="AP83" s="29">
        <f>IF(AO83=AO73,1,0)</f>
        <v>1</v>
      </c>
      <c r="AQ83" s="29">
        <f>IF(AO83=AO75,1,0)</f>
        <v>1</v>
      </c>
      <c r="AR83" s="29">
        <f>IF(AO83=AO77,1,0)</f>
        <v>1</v>
      </c>
      <c r="AS83" s="29">
        <f>IF(AO83=AO79,1,0)</f>
        <v>1</v>
      </c>
      <c r="AT83" s="29">
        <f>IF(AO83=AO81,1,0)</f>
        <v>1</v>
      </c>
      <c r="AW83" s="29" t="str">
        <f>IF(AN83=1,0,IF($G$5="X",0,IF(AO83="","",SUM(AP83:AV83))))</f>
        <v/>
      </c>
      <c r="AX83" s="117" t="str">
        <f>IF(AW83=1,AX72,"")</f>
        <v/>
      </c>
      <c r="AY83" s="117" t="str">
        <f>IF(AW83=1,$AY$12,"")</f>
        <v/>
      </c>
      <c r="AZ83" s="116">
        <f>IF(H83="",1,0)</f>
        <v>1</v>
      </c>
      <c r="BA83" s="29">
        <f>IF(H83="",1,0)</f>
        <v>1</v>
      </c>
      <c r="BB83" s="29" t="str">
        <f>IF(AZ83=1,$BB$72,"")</f>
        <v/>
      </c>
      <c r="BC83" s="116">
        <f>IF(I83="n / a",1,0)</f>
        <v>0</v>
      </c>
      <c r="BD83" s="29" t="str">
        <f>IF(BC83=1,REPT(Sprache!$K$27,1),"")</f>
        <v/>
      </c>
      <c r="BE83" s="29">
        <f>SUM(Steuerung!$Y$3)</f>
        <v>1</v>
      </c>
      <c r="BF83" s="29">
        <f>IF(M83="",100,VLOOKUP(M83,Steuerung!$A$39:$B$60,2,FALSE))</f>
        <v>100</v>
      </c>
      <c r="BG83" s="29">
        <f>IF(BE83=BF83,0,IF(BE83&lt;BF83,0,1))</f>
        <v>0</v>
      </c>
      <c r="BH83" s="29" t="str">
        <f>IF(BE83&gt;20,LEFT(M83,1),"")</f>
        <v/>
      </c>
      <c r="BI83" s="29">
        <f>IF(BH83="2",BE83-BF83,0)</f>
        <v>0</v>
      </c>
      <c r="BJ83" s="29">
        <f>IF(BI83=0,0,1)</f>
        <v>0</v>
      </c>
      <c r="BK83" s="29">
        <f>IF(BL83&gt;0,1,0)</f>
        <v>0</v>
      </c>
      <c r="BL83" s="116">
        <f>SUM(BG83,BJ83)</f>
        <v>0</v>
      </c>
      <c r="BM83" s="29" t="str">
        <f>IF(BL83=0,"",Sprache!$K$49)</f>
        <v/>
      </c>
    </row>
    <row r="84" spans="2:79" ht="6" customHeight="1">
      <c r="D84" s="113"/>
      <c r="E84" s="113"/>
      <c r="I84" s="126"/>
      <c r="Q84" s="113"/>
      <c r="R84" s="113"/>
      <c r="S84" s="158"/>
      <c r="AE84" s="107"/>
      <c r="AF84" s="107"/>
      <c r="AG84" s="107"/>
      <c r="AH84" s="103"/>
      <c r="AI84" s="103"/>
      <c r="AJ84" s="103"/>
      <c r="AK84" s="111"/>
      <c r="AL84" s="111"/>
      <c r="AM84" s="111"/>
      <c r="AX84" s="115"/>
      <c r="AY84" s="115"/>
    </row>
    <row r="85" spans="2:79">
      <c r="B85" s="119" t="str">
        <f>CONCATENATE(BB85,BD85,AY85,BM85)</f>
        <v/>
      </c>
      <c r="D85" s="120" t="str">
        <f>IF(AC85=0,"",AC85)</f>
        <v>HS</v>
      </c>
      <c r="E85" s="121">
        <f>IF(AD85=0,"",AD85)</f>
        <v>3.7</v>
      </c>
      <c r="F85" s="118"/>
      <c r="G85" s="122" t="str">
        <f>IF($A$1=3,"",IF($A$1=1,AO85,SUM($G$3/100)))</f>
        <v/>
      </c>
      <c r="H85" s="150"/>
      <c r="I85" s="125" t="str">
        <f>IF($A$1=3,"",IF(AN85=1,VLOOKUP(AO85,Licenses!B:C,2,FALSE),IF($G$5="x",VLOOKUP(AO85,Licenses!B:C,2,FALSE),IF(BL85=0,IF(AA85="","",VLOOKUP(AO85,Licenses!B:C,2,FALSE)),BM85))))</f>
        <v/>
      </c>
      <c r="J85" s="118"/>
      <c r="K85" s="124" t="str">
        <f>IF(I85="","",VLOOKUP(AO85,Licenses!B:D,3,FALSE))</f>
        <v/>
      </c>
      <c r="L85" s="118"/>
      <c r="M85" s="124" t="str">
        <f>REPT(T85,1)</f>
        <v/>
      </c>
      <c r="N85" s="118"/>
      <c r="O85" s="124" t="str">
        <f>IF(M85="","",IF(AO85="","",VLOOKUP(AO85,Licenses!B:I,8,FALSE)))</f>
        <v/>
      </c>
      <c r="Q85" s="120" t="s">
        <v>779</v>
      </c>
      <c r="R85" s="149">
        <v>2.4</v>
      </c>
      <c r="S85" s="157"/>
      <c r="T85" s="29" t="str">
        <f>IF($A$1=3,"",IF(U85=0,"",IF(U85="","",U85)))</f>
        <v/>
      </c>
      <c r="U85" s="29" t="str">
        <f>IF($A$1=3,"",IF(H85="","",VLOOKUP(AO85,Licenses!B:H,7,FALSE)))</f>
        <v/>
      </c>
      <c r="Y85" s="29">
        <f>IF($A$1=1,VLOOKUP(R85,$E$53:$H$67,4,FALSE),H85)</f>
        <v>0</v>
      </c>
      <c r="Z85" s="29">
        <f>SUM($G$3/100)</f>
        <v>0</v>
      </c>
      <c r="AA85" s="29" t="str">
        <f>IF(Y85=0,"",Y85)</f>
        <v/>
      </c>
      <c r="AB85" s="29">
        <f>IF($A$1=3,AK85,IF($A$1=2,AH85,IF($A$1=1,AE85,0)))</f>
        <v>31</v>
      </c>
      <c r="AC85" s="29" t="str">
        <f>IF($A$1=3,0,IF($A$1=1,AF85,AI85))</f>
        <v>HS</v>
      </c>
      <c r="AD85" s="29">
        <f>IF($A$1=3,0,IF($A$1=1,AG85,AJ85))</f>
        <v>3.7</v>
      </c>
      <c r="AE85" s="106">
        <v>31</v>
      </c>
      <c r="AF85" s="106" t="s">
        <v>779</v>
      </c>
      <c r="AG85" s="106">
        <v>3.7</v>
      </c>
      <c r="AH85" s="101">
        <v>31</v>
      </c>
      <c r="AI85" s="101" t="s">
        <v>779</v>
      </c>
      <c r="AJ85" s="101">
        <v>2.7</v>
      </c>
      <c r="AK85" s="110"/>
      <c r="AL85" s="110"/>
      <c r="AM85" s="110"/>
      <c r="AO85" s="114" t="str">
        <f>IF(AN85=1,$G$3,IF($A$1=3,"",IF($G$5="X",$G$3,IF(AA85="","",SUM(AA85*1,$G$3)))))</f>
        <v/>
      </c>
      <c r="AP85" s="29">
        <f>IF(AO85=AO73,1,0)</f>
        <v>1</v>
      </c>
      <c r="AQ85" s="29">
        <f>IF(AO85=AO75,1,0)</f>
        <v>1</v>
      </c>
      <c r="AR85" s="29">
        <f>IF(AO85=AO77,1,0)</f>
        <v>1</v>
      </c>
      <c r="AS85" s="29">
        <f>IF(AO85=AO79,1,0)</f>
        <v>1</v>
      </c>
      <c r="AT85" s="29">
        <f>IF(AO85=AO81,1,0)</f>
        <v>1</v>
      </c>
      <c r="AU85" s="29">
        <f>IF(AO85=AO83,1,0)</f>
        <v>1</v>
      </c>
      <c r="AW85" s="29" t="str">
        <f>IF($G$5="X",0,IF(AO85="","",SUM(AP85:AV85)))</f>
        <v/>
      </c>
      <c r="AX85" s="117" t="str">
        <f>IF(AW85=1,AX72,"")</f>
        <v/>
      </c>
      <c r="AY85" s="117" t="str">
        <f>IF(AW85=1,$AY$12,"")</f>
        <v/>
      </c>
      <c r="AZ85" s="116">
        <f>IF($A$1=3,"",IF(H85="",1,0))</f>
        <v>1</v>
      </c>
      <c r="BA85" s="29">
        <f>IF($A$1=3,0,IF(H85="",1,0))</f>
        <v>1</v>
      </c>
      <c r="BB85" s="29" t="str">
        <f>IF(AZ85=1,$BB$72,"")</f>
        <v/>
      </c>
      <c r="BC85" s="116">
        <f>IF($A$1=3,"",IF(I85="n / a",1,0))</f>
        <v>0</v>
      </c>
      <c r="BD85" s="29" t="str">
        <f>IF(BC85=1,REPT(Sprache!$K$27,1),"")</f>
        <v/>
      </c>
      <c r="BE85" s="29">
        <f>SUM(Steuerung!$Y$3)</f>
        <v>1</v>
      </c>
      <c r="BF85" s="29">
        <f>IF(M85="",100,VLOOKUP(M85,Steuerung!$A$39:$B$60,2,FALSE))</f>
        <v>100</v>
      </c>
      <c r="BG85" s="29">
        <f>IF(BE85=BF85,0,IF(BE85&lt;BF85,0,1))</f>
        <v>0</v>
      </c>
      <c r="BH85" s="29" t="str">
        <f>IF(BE85&gt;20,LEFT(M85,1),"")</f>
        <v/>
      </c>
      <c r="BI85" s="29">
        <f>IF(BH85="2",BE85-BF85,0)</f>
        <v>0</v>
      </c>
      <c r="BJ85" s="29">
        <f>IF(BI85=0,0,1)</f>
        <v>0</v>
      </c>
      <c r="BK85" s="29">
        <f>IF(BL85&gt;0,1,0)</f>
        <v>0</v>
      </c>
      <c r="BL85" s="116">
        <f>SUM(BG85,BJ85)</f>
        <v>0</v>
      </c>
      <c r="BM85" s="29" t="str">
        <f>IF(BL85=0,"",Sprache!$K$49)</f>
        <v/>
      </c>
    </row>
    <row r="86" spans="2:79" ht="6" customHeight="1">
      <c r="D86" s="113"/>
      <c r="E86" s="113"/>
      <c r="I86" s="126"/>
      <c r="Q86" s="113"/>
      <c r="R86" s="113"/>
      <c r="S86" s="158"/>
      <c r="AE86" s="107"/>
      <c r="AF86" s="107"/>
      <c r="AG86" s="107"/>
      <c r="AH86" s="103"/>
      <c r="AI86" s="103"/>
      <c r="AJ86" s="103"/>
      <c r="AK86" s="111"/>
      <c r="AL86" s="111"/>
      <c r="AM86" s="111"/>
      <c r="AX86" s="115"/>
      <c r="AY86" s="115"/>
    </row>
    <row r="87" spans="2:79">
      <c r="B87" s="119" t="str">
        <f>IF(AN87=1,"",CONCATENATE(BB87,BD87,AX87,BM87))</f>
        <v/>
      </c>
      <c r="D87" s="120" t="str">
        <f>IF(AC87=0,"",AC87)</f>
        <v>HS</v>
      </c>
      <c r="E87" s="121">
        <f>IF(AD87=0,"",AD87)</f>
        <v>3.8</v>
      </c>
      <c r="F87" s="118"/>
      <c r="G87" s="122" t="str">
        <f>IF($A$1=3,"",IF($A$1=1,AO87,SUM($G$3/100)))</f>
        <v/>
      </c>
      <c r="H87" s="150"/>
      <c r="I87" s="125" t="str">
        <f>IF($A$1=3,"",IF(AN87=1,VLOOKUP(AO87,Licenses!B:C,2,FALSE),IF($G$5="x",VLOOKUP(AO87,Licenses!B:C,2,FALSE),IF(BL87=0,IF(AA87="","",VLOOKUP(AO87,Licenses!B:C,2,FALSE)),BM87))))</f>
        <v/>
      </c>
      <c r="J87" s="118"/>
      <c r="K87" s="124" t="str">
        <f>IF(I87="","",VLOOKUP(AO87,Licenses!B:D,3,FALSE))</f>
        <v/>
      </c>
      <c r="L87" s="118"/>
      <c r="M87" s="124" t="str">
        <f>REPT(T87,1)</f>
        <v/>
      </c>
      <c r="N87" s="118"/>
      <c r="O87" s="124" t="str">
        <f>IF(M87="","",IF(AO87="","",VLOOKUP(AO87,Licenses!B:I,8,FALSE)))</f>
        <v/>
      </c>
      <c r="Q87" s="120" t="s">
        <v>779</v>
      </c>
      <c r="R87" s="149">
        <v>2.6</v>
      </c>
      <c r="S87" s="157"/>
      <c r="T87" s="29" t="str">
        <f>IF($A$1=3,"",IF(U87=0,"",IF(U87="","",U87)))</f>
        <v/>
      </c>
      <c r="U87" s="29" t="str">
        <f>IF($A$1=3,"",IF(H87="","",VLOOKUP(AO87,Licenses!B:H,7,FALSE)))</f>
        <v/>
      </c>
      <c r="Y87" s="29">
        <f>IF($A$1=1,VLOOKUP(R87,$E$53:$H$67,4,FALSE),H87)</f>
        <v>0</v>
      </c>
      <c r="Z87" s="29">
        <f>SUM($G$3/100)</f>
        <v>0</v>
      </c>
      <c r="AA87" s="29" t="str">
        <f>IF(Y87=0,"",Y87)</f>
        <v/>
      </c>
      <c r="AB87" s="29">
        <f>IF($A$1=3,AK87,IF($A$1=2,AH87,IF($A$1=1,AE87,0)))</f>
        <v>32</v>
      </c>
      <c r="AC87" s="29" t="str">
        <f>IF($A$1=3,0,IF($A$1=1,AF87,AI87))</f>
        <v>HS</v>
      </c>
      <c r="AD87" s="29">
        <f>IF($A$1=3,0,IF($A$1=1,AG87,AJ87))</f>
        <v>3.8</v>
      </c>
      <c r="AE87" s="106">
        <v>32</v>
      </c>
      <c r="AF87" s="106" t="s">
        <v>779</v>
      </c>
      <c r="AG87" s="106">
        <v>3.8</v>
      </c>
      <c r="AH87" s="101">
        <v>32</v>
      </c>
      <c r="AI87" s="101" t="s">
        <v>779</v>
      </c>
      <c r="AJ87" s="101">
        <v>2.8</v>
      </c>
      <c r="AK87" s="110"/>
      <c r="AL87" s="110"/>
      <c r="AM87" s="110"/>
      <c r="AN87" s="29" t="str">
        <f>IF($A$1=1,"",IF($A$1=3,0,IF($G$7="X",1,0)))</f>
        <v/>
      </c>
      <c r="AO87" s="114" t="str">
        <f>IF(AN87=1,$G$3,IF($A$1=3,"",IF($G$5="X",$G$3,IF(AA87="","",SUM(AA87*1,$G$3)))))</f>
        <v/>
      </c>
      <c r="AP87" s="29">
        <f>IF(AO87=AO73,1,0)</f>
        <v>1</v>
      </c>
      <c r="AQ87" s="29">
        <f>IF(AO87=AO75,1,0)</f>
        <v>1</v>
      </c>
      <c r="AR87" s="29">
        <f>IF(AO87=AO77,1,0)</f>
        <v>1</v>
      </c>
      <c r="AS87" s="29">
        <f>IF(AO87=AO79,1,0)</f>
        <v>1</v>
      </c>
      <c r="AT87" s="29">
        <f>IF(AO87=AO81,1,0)</f>
        <v>1</v>
      </c>
      <c r="AU87" s="29">
        <f>IF(AO87=AO83,1,0)</f>
        <v>1</v>
      </c>
      <c r="AV87" s="29">
        <f>IF(AO87=AO85,1,0)</f>
        <v>1</v>
      </c>
      <c r="AW87" s="29" t="str">
        <f>IF(AN87=1,0,IF($G$5="X",0,IF(AO87="","",SUM(AP87:AV87))))</f>
        <v/>
      </c>
      <c r="AX87" s="117" t="str">
        <f>IF(AW87=1,AX72,"")</f>
        <v/>
      </c>
      <c r="AY87" s="117" t="str">
        <f>IF(AW87=1,$AY$12,"")</f>
        <v/>
      </c>
      <c r="AZ87" s="116">
        <f>IF(AN87=1,0,IF($A$1=3,"",IF(H87="",1,0)))</f>
        <v>1</v>
      </c>
      <c r="BA87" s="29">
        <f>IF($A$1=3,0,IF(H87="",1,0))</f>
        <v>1</v>
      </c>
      <c r="BB87" s="29" t="str">
        <f>IF(AZ87=1,$BB$72,"")</f>
        <v/>
      </c>
      <c r="BC87" s="116">
        <f>IF($A$1=3,"",IF(I87="n / a",1,0))</f>
        <v>0</v>
      </c>
      <c r="BD87" s="29" t="str">
        <f>IF(BC87=1,REPT(Sprache!$K$27,1),"")</f>
        <v/>
      </c>
      <c r="BE87" s="29">
        <f>SUM(Steuerung!$Y$3)</f>
        <v>1</v>
      </c>
      <c r="BF87" s="29">
        <f>IF(M87="",100,VLOOKUP(M87,Steuerung!$A$39:$B$60,2,FALSE))</f>
        <v>100</v>
      </c>
      <c r="BG87" s="29">
        <f>IF(BE87=BF87,0,IF(BE87&lt;BF87,0,1))</f>
        <v>0</v>
      </c>
      <c r="BH87" s="29" t="str">
        <f>IF(BE87&gt;20,LEFT(M87,1),"")</f>
        <v/>
      </c>
      <c r="BI87" s="29">
        <f>IF(BH87="2",BE87-BF87,0)</f>
        <v>0</v>
      </c>
      <c r="BJ87" s="29">
        <f>IF(BI87=0,0,1)</f>
        <v>0</v>
      </c>
      <c r="BK87" s="29">
        <f>IF(BL87&gt;0,1,0)</f>
        <v>0</v>
      </c>
      <c r="BL87" s="116">
        <f>SUM(BG87,BJ87)</f>
        <v>0</v>
      </c>
      <c r="BM87" s="29" t="str">
        <f>IF(BL87=0,"",Sprache!$K$49)</f>
        <v/>
      </c>
    </row>
    <row r="89" spans="2:79">
      <c r="AW89" s="131">
        <f>SUM(AW73:AW87)</f>
        <v>0</v>
      </c>
      <c r="AZ89" s="131">
        <f>IF(AY73=0,0,SUM(AZ73:AZ87))</f>
        <v>0</v>
      </c>
      <c r="BC89" s="131">
        <f>SUM(BC73:BC87)</f>
        <v>0</v>
      </c>
      <c r="BK89" s="131">
        <f>SUM(BK73:BK87)</f>
        <v>0</v>
      </c>
      <c r="BL89" s="131">
        <f>SUM(BK89)</f>
        <v>0</v>
      </c>
    </row>
    <row r="91" spans="2:79">
      <c r="I91" s="102" t="str">
        <f>IF($A$1=3,Sprache!K40,IF($A$1=2,Sprache!K40,IF($A$1=1,Sprache!K43,"")))</f>
        <v>Entscheidungsspiel</v>
      </c>
      <c r="J91" s="91"/>
      <c r="K91" s="85" t="str">
        <f>REPT(Sprache!$K$44,1)</f>
        <v>Spieler-Nr.</v>
      </c>
      <c r="L91" s="82"/>
      <c r="M91" s="85" t="str">
        <f>REPT(Sprache!$K$15,1)</f>
        <v>Liga</v>
      </c>
      <c r="N91" s="100"/>
      <c r="O91" s="85" t="str">
        <f>REPT(Sprache!$K$45,1)</f>
        <v>Qualifiziert für:</v>
      </c>
      <c r="V91" s="29" t="s">
        <v>772</v>
      </c>
      <c r="W91" s="29" t="s">
        <v>820</v>
      </c>
      <c r="X91" s="29" t="s">
        <v>819</v>
      </c>
      <c r="AE91" s="106"/>
      <c r="AF91" s="106" t="s">
        <v>821</v>
      </c>
      <c r="AG91" s="106"/>
      <c r="AH91" s="101"/>
      <c r="AI91" s="101" t="s">
        <v>820</v>
      </c>
      <c r="AJ91" s="101"/>
      <c r="AK91" s="108"/>
      <c r="AL91" s="108" t="s">
        <v>819</v>
      </c>
      <c r="AM91" s="108"/>
      <c r="AO91" s="29" t="str">
        <f>IF(A1=1,"",G3)</f>
        <v/>
      </c>
    </row>
    <row r="92" spans="2:79">
      <c r="AE92" s="106"/>
      <c r="AF92" s="106"/>
      <c r="AG92" s="106"/>
      <c r="AH92" s="101"/>
      <c r="AI92" s="101"/>
      <c r="AJ92" s="101"/>
      <c r="AK92" s="108"/>
      <c r="AL92" s="108"/>
      <c r="AM92" s="108"/>
      <c r="AX92" s="115" t="str">
        <f>REPT(Sprache!K48,1)</f>
        <v>***!!!!!!!!!!Doppelter Eintrag!!!!!!!!!!***</v>
      </c>
      <c r="AY92" s="115" t="str">
        <f>REPT(Sprache!K35,1)</f>
        <v>** A C H T U N G - D O P P E L T E  L I Z E N Z - N U M M E R !!! **</v>
      </c>
      <c r="AZ92" s="29">
        <f>IF($A$1=1,2,IF($A$1=3,6,8))</f>
        <v>2</v>
      </c>
      <c r="BA92" s="29">
        <f>SUM(AZ93:AZ107)</f>
        <v>0</v>
      </c>
      <c r="BB92" s="29" t="str">
        <f>IF(A1&gt;1,"",IF(Y113=1,Sprache!K29,IF(AY93=0,"",Sprache!$K$29)))</f>
        <v>**EINTRAG NOTWENDIG**</v>
      </c>
      <c r="BE92" s="29" t="s">
        <v>827</v>
      </c>
      <c r="BF92" s="29" t="s">
        <v>834</v>
      </c>
      <c r="BJ92" s="29" t="s">
        <v>840</v>
      </c>
      <c r="BL92" s="29" t="s">
        <v>841</v>
      </c>
    </row>
    <row r="93" spans="2:79">
      <c r="B93" s="119" t="str">
        <f>CONCATENATE(BB93,BD93,CA93,BM93)</f>
        <v/>
      </c>
      <c r="D93" s="120" t="str">
        <f>IF(AC93=0,"",AC93)</f>
        <v/>
      </c>
      <c r="E93" s="121" t="str">
        <f>IF(AD93=0,"",AD93)</f>
        <v/>
      </c>
      <c r="F93" s="118"/>
      <c r="G93" s="122" t="str">
        <f>IF($A$1=3,AO93,IF($A$1=2,AO93,IF(V93=1,"",SUM($G$3/100))))</f>
        <v/>
      </c>
      <c r="H93" s="150"/>
      <c r="I93" s="125" t="str">
        <f>IF(BZ93=1,CA93,IF(V93=1,"",IF($G$5="x",VLOOKUP(AO93,Licenses!B:C,2,FALSE),IF(BL93=0,IF(AA93="","",VLOOKUP(AO93,Licenses!B:C,2,FALSE)),BM93))))</f>
        <v/>
      </c>
      <c r="J93" s="118"/>
      <c r="K93" s="124" t="str">
        <f>IF(AA93="","",VLOOKUP(AO93,Licenses!B:D,3,FALSE))</f>
        <v/>
      </c>
      <c r="L93" s="118"/>
      <c r="M93" s="124" t="str">
        <f>REPT(T93,1)</f>
        <v/>
      </c>
      <c r="N93" s="118"/>
      <c r="O93" s="124" t="str">
        <f>IF(M93="","",IF(AA93="","",VLOOKUP(AO93,Licenses!B:I,8,FALSE)))</f>
        <v/>
      </c>
      <c r="Q93" s="120" t="s">
        <v>779</v>
      </c>
      <c r="R93" s="149">
        <f>IF($A$1=2,W93,X93)</f>
        <v>2.2999999999999998</v>
      </c>
      <c r="S93" s="157"/>
      <c r="T93" s="29" t="str">
        <f>IF(G93="","",IF(U93=0,"",IF(U93="","",U93)))</f>
        <v/>
      </c>
      <c r="U93" s="29" t="str">
        <f>IFERROR(IF(H93="","",VLOOKUP(AO93,Licenses!B:H,7,FALSE)),"")</f>
        <v/>
      </c>
      <c r="V93" s="29">
        <f>IF(A1=1,IF(Y113=0,1,IF($G$5="X",1,0)),0)</f>
        <v>1</v>
      </c>
      <c r="W93" s="29">
        <v>2.2000000000000002</v>
      </c>
      <c r="X93" s="29">
        <v>2.2999999999999998</v>
      </c>
      <c r="Y93" s="29" t="str">
        <f>IF(Y113=1,H93,IF($A$1=3,VLOOKUP(X93,$E$73:$H$87,4,FALSE),IF($A$1=2,VLOOKUP(W93,$E$73:$H$87,4,FALSE),"")))</f>
        <v/>
      </c>
      <c r="Z93" s="29">
        <f>SUM($G$3/100)</f>
        <v>0</v>
      </c>
      <c r="AA93" s="29" t="str">
        <f>IF(Y93=0,"",Y93)</f>
        <v/>
      </c>
      <c r="AB93" s="29">
        <f>IF($A$1=3,AK93,IF($A$1=2,AH93,IF($A$1=1,AE93,0)))</f>
        <v>33</v>
      </c>
      <c r="AC93" s="29" t="str">
        <f>IF(Y113=0,"",IF($A$1=1,AF93,AI93))</f>
        <v/>
      </c>
      <c r="AD93" s="29" t="str">
        <f>IF(Y113=0,"",IF($A$1=1,AG93,AJ93))</f>
        <v/>
      </c>
      <c r="AE93" s="106">
        <v>33</v>
      </c>
      <c r="AF93" s="106" t="s">
        <v>778</v>
      </c>
      <c r="AG93" s="106">
        <v>4.0999999999999996</v>
      </c>
      <c r="AH93" s="101">
        <v>33</v>
      </c>
      <c r="AI93" s="101" t="s">
        <v>779</v>
      </c>
      <c r="AJ93" s="101">
        <v>3.1</v>
      </c>
      <c r="AK93" s="108">
        <v>25</v>
      </c>
      <c r="AL93" s="108" t="s">
        <v>779</v>
      </c>
      <c r="AM93" s="108">
        <v>3.1</v>
      </c>
      <c r="AO93" s="114" t="str">
        <f>IF($G$5="X",IF(A1=1,"",G3),IF(AA93="","",SUM(AA93*1,$G$3)))</f>
        <v/>
      </c>
      <c r="AX93" s="115"/>
      <c r="AY93" s="115">
        <f>IF($G$5="X",0,IF(AZ92=BA92,0,1))</f>
        <v>1</v>
      </c>
      <c r="AZ93" s="116">
        <f>IF(G93="",0,IF(H93="",1,0))</f>
        <v>0</v>
      </c>
      <c r="BA93" s="29">
        <f>IF(G93="",0,IF(H93="",1,0))</f>
        <v>0</v>
      </c>
      <c r="BB93" s="29" t="str">
        <f>IF(AZ93=1,$BB$92,"")</f>
        <v/>
      </c>
      <c r="BC93" s="116">
        <f>IF(I93="n / a",1,0)</f>
        <v>0</v>
      </c>
      <c r="BD93" s="29" t="str">
        <f>IF(BC93=1,REPT(Sprache!$K$27,1),"")</f>
        <v/>
      </c>
      <c r="BE93" s="29">
        <f>SUM(Steuerung!$Y$3)</f>
        <v>1</v>
      </c>
      <c r="BF93" s="29">
        <f>IF(M93="",100,VLOOKUP(M93,Steuerung!$A$39:$B$60,2,FALSE))</f>
        <v>100</v>
      </c>
      <c r="BG93" s="29">
        <f>IF(BE93=BF93,0,IF(BE93&lt;BF93,0,1))</f>
        <v>0</v>
      </c>
      <c r="BH93" s="29" t="str">
        <f>IF(BE93&gt;20,LEFT(M93,1),"")</f>
        <v/>
      </c>
      <c r="BI93" s="29">
        <f>IF(BH93="2",BE93-BF93,0)</f>
        <v>0</v>
      </c>
      <c r="BJ93" s="29">
        <f>IF(BI93=0,0,1)</f>
        <v>0</v>
      </c>
      <c r="BK93" s="29">
        <f>IF(BL93&gt;0,1,0)</f>
        <v>0</v>
      </c>
      <c r="BL93" s="116">
        <f>SUM(BG93,BJ93)</f>
        <v>0</v>
      </c>
      <c r="BM93" s="29" t="str">
        <f>IF(BL93=0,"",Sprache!$K$49)</f>
        <v/>
      </c>
      <c r="BN93" s="29">
        <v>1</v>
      </c>
      <c r="BO93" s="29">
        <v>1</v>
      </c>
      <c r="BP93" s="29">
        <v>1</v>
      </c>
      <c r="BQ93" s="29">
        <f>IF($A$1=1,BN93,0)</f>
        <v>1</v>
      </c>
      <c r="BR93" s="29">
        <f>IF($A$1=2,BO93,0)</f>
        <v>0</v>
      </c>
      <c r="BS93" s="29">
        <f>IF($A$1=3,BP93,0)</f>
        <v>0</v>
      </c>
      <c r="BU93" s="127">
        <f>IF(BW93=1,H93,"")</f>
        <v>0</v>
      </c>
      <c r="BV93" s="127" t="str">
        <f>CONCATENATE(BU93,BU95)</f>
        <v>00</v>
      </c>
      <c r="BW93" s="29">
        <f>SUM(BQ93:BS93)</f>
        <v>1</v>
      </c>
      <c r="BX93" s="29">
        <f>VLOOKUP(BV93,$BV$13:$BW$67,2,FALSE)</f>
        <v>1</v>
      </c>
      <c r="BY93" s="29" t="b">
        <f>ISERROR(BX93)</f>
        <v>0</v>
      </c>
      <c r="BZ93" s="116" t="str">
        <f>IF(H93="","",IF($Y$113=1,IF(BY93=FALSE,1,0),0))</f>
        <v/>
      </c>
      <c r="CA93" s="29" t="str">
        <f>IF(BZ93=1,Sprache!K28,"")</f>
        <v/>
      </c>
    </row>
    <row r="94" spans="2:79" ht="6" customHeight="1">
      <c r="D94" s="113"/>
      <c r="E94" s="113"/>
      <c r="I94" s="126"/>
      <c r="Q94" s="113"/>
      <c r="R94" s="113"/>
      <c r="S94" s="158"/>
      <c r="AE94" s="107"/>
      <c r="AF94" s="107"/>
      <c r="AG94" s="107"/>
      <c r="AH94" s="103"/>
      <c r="AI94" s="103"/>
      <c r="AJ94" s="103"/>
      <c r="AK94" s="109"/>
      <c r="AL94" s="109"/>
      <c r="AM94" s="109"/>
      <c r="AX94" s="115"/>
      <c r="AY94" s="115"/>
    </row>
    <row r="95" spans="2:79">
      <c r="B95" s="119" t="str">
        <f>CONCATENATE(BB95,BD95,AY95,BM95,CA95)</f>
        <v/>
      </c>
      <c r="D95" s="120" t="str">
        <f>IF(AC95=0,"",AC95)</f>
        <v/>
      </c>
      <c r="E95" s="121" t="str">
        <f>IF(AD95=0,"",AD95)</f>
        <v/>
      </c>
      <c r="F95" s="118"/>
      <c r="G95" s="122" t="str">
        <f>IF(A1=3,AO95,IF(A1=2,AO95,IF(V95=1,"",SUM($G$3/100))))</f>
        <v/>
      </c>
      <c r="H95" s="150"/>
      <c r="I95" s="125" t="str">
        <f>IF(BZ95=1,CA95,IF(V95=1,"",IF($G$5="x",VLOOKUP(AO95,Licenses!B:C,2,FALSE),IF(BL95=0,IF(AA95="","",VLOOKUP(AO95,Licenses!B:C,2,FALSE)),BM95))))</f>
        <v/>
      </c>
      <c r="J95" s="118"/>
      <c r="K95" s="124" t="str">
        <f>IF(AA95="","",VLOOKUP(AO95,Licenses!B:D,3,FALSE))</f>
        <v/>
      </c>
      <c r="L95" s="118"/>
      <c r="M95" s="124" t="str">
        <f>REPT(T95,1)</f>
        <v/>
      </c>
      <c r="N95" s="118"/>
      <c r="O95" s="124" t="str">
        <f>IF(M95="","",IF(AA95="","",VLOOKUP(AO95,Licenses!B:I,8,FALSE)))</f>
        <v/>
      </c>
      <c r="Q95" s="120" t="s">
        <v>779</v>
      </c>
      <c r="R95" s="149">
        <f>IF($A$1=2,W95,X95)</f>
        <v>2.1</v>
      </c>
      <c r="S95" s="157"/>
      <c r="T95" s="29" t="str">
        <f>IF(G95="","",IF(U95=0,"",IF(U95="","",U95)))</f>
        <v/>
      </c>
      <c r="U95" s="29" t="str">
        <f>IFERROR(IF(H95="","",VLOOKUP(AO95,Licenses!B:H,7,FALSE)),"")</f>
        <v/>
      </c>
      <c r="V95" s="29">
        <f>IF(A1=1,IF(Y113=0,1,IF($G$5="X",1,0)),0)</f>
        <v>1</v>
      </c>
      <c r="W95" s="29">
        <v>2.2999999999999998</v>
      </c>
      <c r="X95" s="29">
        <v>2.1</v>
      </c>
      <c r="Y95" s="29" t="str">
        <f>IF(Y113=1,H95,IF($A$1=3,VLOOKUP(X95,$E$73:$H$87,4,FALSE),IF($A$1=2,VLOOKUP(W95,$E$73:$H$87,4,FALSE),"")))</f>
        <v/>
      </c>
      <c r="Z95" s="29">
        <f>SUM($G$3/100)</f>
        <v>0</v>
      </c>
      <c r="AA95" s="29" t="str">
        <f>IF(Y95=0,"",Y95)</f>
        <v/>
      </c>
      <c r="AB95" s="29">
        <f>IF($A$1=3,AK95,IF($A$1=2,AH95,IF($A$1=1,AE95,0)))</f>
        <v>34</v>
      </c>
      <c r="AC95" s="29">
        <f>IF($A$1=1,AF95,AI95)</f>
        <v>0</v>
      </c>
      <c r="AD95" s="29">
        <f>IF($A$1=1,AG95,AJ95)</f>
        <v>0</v>
      </c>
      <c r="AE95" s="106">
        <v>34</v>
      </c>
      <c r="AF95" s="106"/>
      <c r="AG95" s="106"/>
      <c r="AH95" s="101">
        <v>34</v>
      </c>
      <c r="AI95" s="101" t="s">
        <v>779</v>
      </c>
      <c r="AJ95" s="101">
        <v>3.2</v>
      </c>
      <c r="AK95" s="108">
        <v>26</v>
      </c>
      <c r="AL95" s="108" t="s">
        <v>779</v>
      </c>
      <c r="AM95" s="108">
        <v>3.2</v>
      </c>
      <c r="AO95" s="114" t="str">
        <f>IF($G$5="X",IF(A1=1,"",G3),IF(AA95="","",SUM(AA95*1,$G$3)))</f>
        <v/>
      </c>
      <c r="AP95" s="29">
        <f>IF(AO95=AO93,1,0)</f>
        <v>1</v>
      </c>
      <c r="AV95" s="29">
        <f>IF(AO93=AO95,1,0)</f>
        <v>1</v>
      </c>
      <c r="AW95" s="29">
        <f>IF(A1=1,IF(AO95="",0,AV95),0)</f>
        <v>0</v>
      </c>
      <c r="AX95" s="117" t="str">
        <f>IF(AW95=1,AX92,"")</f>
        <v/>
      </c>
      <c r="AY95" s="117" t="str">
        <f>IF(AW95=1,$AY$12,"")</f>
        <v/>
      </c>
      <c r="AZ95" s="116">
        <f>IF(G95="",0,IF(H95="",1,0))</f>
        <v>0</v>
      </c>
      <c r="BA95" s="29">
        <f>IF(G95="",0,IF(H95="",1,0))</f>
        <v>0</v>
      </c>
      <c r="BB95" s="29" t="str">
        <f>IF(AZ95=1,$BB$92,"")</f>
        <v/>
      </c>
      <c r="BC95" s="116">
        <f>IF(I95="n / a",1,0)</f>
        <v>0</v>
      </c>
      <c r="BD95" s="29" t="str">
        <f>IF(BC95=1,REPT(Sprache!$K$27,1),"")</f>
        <v/>
      </c>
      <c r="BE95" s="29">
        <f>SUM(Steuerung!$Y$3)</f>
        <v>1</v>
      </c>
      <c r="BF95" s="29">
        <f>IF(M95="",100,VLOOKUP(M95,Steuerung!$A$39:$B$60,2,FALSE))</f>
        <v>100</v>
      </c>
      <c r="BG95" s="29">
        <f>IF(BE95=BF95,0,IF(BE95&lt;BF95,0,1))</f>
        <v>0</v>
      </c>
      <c r="BH95" s="29" t="str">
        <f>IF(BE95&gt;20,LEFT(M95,1),"")</f>
        <v/>
      </c>
      <c r="BI95" s="29">
        <f>IF(BH95="2",BE95-BF95,0)</f>
        <v>0</v>
      </c>
      <c r="BJ95" s="29">
        <f>IF(BI95=0,0,1)</f>
        <v>0</v>
      </c>
      <c r="BK95" s="29">
        <f>IF(BL95&gt;0,1,0)</f>
        <v>0</v>
      </c>
      <c r="BL95" s="116">
        <f>SUM(BG95,BJ95)</f>
        <v>0</v>
      </c>
      <c r="BM95" s="29" t="str">
        <f>IF(BL95=0,"",Sprache!$K$49)</f>
        <v/>
      </c>
      <c r="BN95" s="29">
        <v>1</v>
      </c>
      <c r="BO95" s="29">
        <v>1</v>
      </c>
      <c r="BP95" s="29">
        <v>1</v>
      </c>
      <c r="BQ95" s="29">
        <f>IF($A$1=1,BN95,0)</f>
        <v>1</v>
      </c>
      <c r="BR95" s="29">
        <f>IF($A$1=2,BO95,0)</f>
        <v>0</v>
      </c>
      <c r="BS95" s="29">
        <f>IF($A$1=3,BP95,0)</f>
        <v>0</v>
      </c>
      <c r="BU95" s="127">
        <f>IF(BW95=1,H95,"")</f>
        <v>0</v>
      </c>
      <c r="BV95" s="127" t="str">
        <f>CONCATENATE(BU95,BU93)</f>
        <v>00</v>
      </c>
      <c r="BW95" s="29">
        <f t="shared" ref="BW95" si="0">SUM(BQ95:BS95)</f>
        <v>1</v>
      </c>
      <c r="BX95" s="29">
        <f t="shared" ref="BX95" si="1">VLOOKUP(BV95,$BV$13:$BW$67,2,FALSE)</f>
        <v>1</v>
      </c>
      <c r="BY95" s="29" t="b">
        <f t="shared" ref="BY95" si="2">ISERROR(BX95)</f>
        <v>0</v>
      </c>
      <c r="BZ95" s="116" t="str">
        <f>IF(H95="","",IF($Y$113=1,IF(BY95=FALSE,1,0),0))</f>
        <v/>
      </c>
      <c r="CA95" s="29" t="str">
        <f>IF(BZ95=1,Sprache!K28,"")</f>
        <v/>
      </c>
    </row>
    <row r="96" spans="2:79" ht="6" customHeight="1">
      <c r="D96" s="113"/>
      <c r="E96" s="113"/>
      <c r="I96" s="126"/>
      <c r="Q96" s="113"/>
      <c r="R96" s="113"/>
      <c r="S96" s="158"/>
      <c r="AE96" s="111"/>
      <c r="AF96" s="111"/>
      <c r="AG96" s="111"/>
      <c r="AH96" s="103"/>
      <c r="AI96" s="103"/>
      <c r="AJ96" s="103"/>
      <c r="AK96" s="109"/>
      <c r="AL96" s="109"/>
      <c r="AM96" s="109"/>
      <c r="AX96" s="115"/>
      <c r="AY96" s="115"/>
    </row>
    <row r="97" spans="2:78">
      <c r="B97" s="119" t="str">
        <f>IF($A$1=1,"",CONCATENATE(BB97,BD97,AY97,BM97))</f>
        <v/>
      </c>
      <c r="D97" s="120" t="str">
        <f>IF(AC97=0,"",AC97)</f>
        <v/>
      </c>
      <c r="E97" s="121" t="str">
        <f>IF(AD97=0,"",AD97)</f>
        <v/>
      </c>
      <c r="F97" s="118"/>
      <c r="G97" s="122" t="str">
        <f>IF($A$1=3,AO97,IF($A$1=2,AO97,IF($A$1=1,"",SUM($G$3/100))))</f>
        <v/>
      </c>
      <c r="H97" s="123"/>
      <c r="I97" s="125" t="str">
        <f>IF(A1=1,"",IF(AN97=1,VLOOKUP(AO97,Licenses!B:C,2,FALSE),IF($G$5="x",VLOOKUP(AO97,Licenses!B:C,2,FALSE),IF(BL97=0,IF(AA97="","",VLOOKUP(AO97,Licenses!B:C,2,FALSE)),BM97))))</f>
        <v/>
      </c>
      <c r="J97" s="118"/>
      <c r="K97" s="124" t="str">
        <f>IF(AA97="","",VLOOKUP(AO97,Licenses!B:D,3,FALSE))</f>
        <v/>
      </c>
      <c r="L97" s="118"/>
      <c r="M97" s="124" t="str">
        <f>REPT(T97,1)</f>
        <v/>
      </c>
      <c r="N97" s="118"/>
      <c r="O97" s="124" t="str">
        <f>IF(M97="","",IF(AA97="","",VLOOKUP(AO97,Licenses!B:I,8,FALSE)))</f>
        <v/>
      </c>
      <c r="Q97" s="120" t="s">
        <v>779</v>
      </c>
      <c r="R97" s="149">
        <f>IF($A$1=2,W97,X97)</f>
        <v>2.6</v>
      </c>
      <c r="S97" s="157"/>
      <c r="T97" s="29" t="str">
        <f>IF(G97="","",IF(U97=0,"",IF(U97="","",U97)))</f>
        <v/>
      </c>
      <c r="U97" s="29" t="str">
        <f>IF(H97="","",VLOOKUP(AO97,Licenses!B:H,7,FALSE))</f>
        <v/>
      </c>
      <c r="V97" s="29" t="str">
        <f>IF(AA97="","",VLOOKUP(AO97,Licenses!B:H,7,FALSE))</f>
        <v/>
      </c>
      <c r="W97" s="29">
        <v>2.1</v>
      </c>
      <c r="X97" s="29">
        <v>2.6</v>
      </c>
      <c r="Y97" s="29" t="str">
        <f>IF($A$1=3,VLOOKUP(X97,$E$73:$H$87,4,FALSE),IF($A$1=2,VLOOKUP(W97,$E$73:$H$87,4,FALSE),""))</f>
        <v/>
      </c>
      <c r="Z97" s="29">
        <f>SUM($G$3/100)</f>
        <v>0</v>
      </c>
      <c r="AA97" s="29" t="str">
        <f>IF(Y97=0,"",Y97)</f>
        <v/>
      </c>
      <c r="AB97" s="29">
        <f>IF($A$1=3,AK97,IF($A$1=2,AH97,IF($A$1=1,AE97,0)))</f>
        <v>0</v>
      </c>
      <c r="AC97" s="29">
        <f>IF($A$1=1,AF97,AI97)</f>
        <v>0</v>
      </c>
      <c r="AD97" s="29">
        <f>IF($A$1=1,AG97,AJ97)</f>
        <v>0</v>
      </c>
      <c r="AE97" s="110"/>
      <c r="AF97" s="110"/>
      <c r="AG97" s="110"/>
      <c r="AH97" s="101">
        <v>35</v>
      </c>
      <c r="AI97" s="101" t="s">
        <v>779</v>
      </c>
      <c r="AJ97" s="101">
        <v>3.3</v>
      </c>
      <c r="AK97" s="108">
        <v>27</v>
      </c>
      <c r="AL97" s="108" t="s">
        <v>779</v>
      </c>
      <c r="AM97" s="108">
        <v>3.3</v>
      </c>
      <c r="AN97" s="29">
        <f>IF($A$1=1,0,IF($A$1=3,IF($G$7="X",1,0),0))</f>
        <v>0</v>
      </c>
      <c r="AO97" s="114" t="str">
        <f>IF(AN97=1,$G$3,IF($A$1=1,"",IF($G$5="X",$G$3,IF(AA97="","",SUM(AA97*1,$G$3)))))</f>
        <v/>
      </c>
      <c r="AP97" s="29">
        <f>IF(AO97=AO93,1,0)</f>
        <v>1</v>
      </c>
      <c r="AQ97" s="29">
        <f>IF(AO97=AO95,1,0)</f>
        <v>1</v>
      </c>
      <c r="AW97" s="29" t="str">
        <f>IF($G$5="X",0,IF(AO97="","",SUM(AP97:AV97)))</f>
        <v/>
      </c>
      <c r="AX97" s="117" t="str">
        <f>IF(AW97=1,AX92,"")</f>
        <v/>
      </c>
      <c r="AY97" s="117" t="str">
        <f>IF(AW97=1,$AY$12,"")</f>
        <v/>
      </c>
      <c r="AZ97" s="116" t="str">
        <f>IF($A$1=1,"",IF(H97="",1,0))</f>
        <v/>
      </c>
      <c r="BA97" s="29" t="str">
        <f>IF($A$1=1,"",IF(H97="",1,0))</f>
        <v/>
      </c>
      <c r="BB97" s="29" t="str">
        <f>IF(AZ97=1,$BB$92,"")</f>
        <v/>
      </c>
      <c r="BC97" s="116">
        <f>IF(I97="n / a",1,0)</f>
        <v>0</v>
      </c>
      <c r="BD97" s="29" t="str">
        <f>IF(BC97=1,REPT(Sprache!$K$27,1),"")</f>
        <v/>
      </c>
      <c r="BE97" s="29">
        <f>SUM(Steuerung!$Y$3)</f>
        <v>1</v>
      </c>
      <c r="BF97" s="29">
        <f>IF(M97="",100,VLOOKUP(M97,Steuerung!$A$39:$B$60,2,FALSE))</f>
        <v>100</v>
      </c>
      <c r="BG97" s="29">
        <f>IF(BE97=BF97,0,IF(BE97&lt;BF97,0,1))</f>
        <v>0</v>
      </c>
      <c r="BH97" s="29" t="str">
        <f>IF(BE97&gt;20,LEFT(M97,1),"")</f>
        <v/>
      </c>
      <c r="BI97" s="29">
        <f>IF(BH97="2",BE97-BF97,0)</f>
        <v>0</v>
      </c>
      <c r="BJ97" s="29">
        <f>IF(BI97=0,0,1)</f>
        <v>0</v>
      </c>
      <c r="BK97" s="29">
        <f>IF(BL97&gt;0,1,0)</f>
        <v>0</v>
      </c>
      <c r="BL97" s="116">
        <f>SUM(BG97,BJ97)</f>
        <v>0</v>
      </c>
      <c r="BM97" s="29" t="str">
        <f>IF(BL97=0,"",Sprache!$K$49)</f>
        <v/>
      </c>
      <c r="BZ97" s="131">
        <f>SUM(BZ93:BZ95)</f>
        <v>0</v>
      </c>
    </row>
    <row r="98" spans="2:78" ht="6" customHeight="1">
      <c r="D98" s="113"/>
      <c r="E98" s="113"/>
      <c r="I98" s="126"/>
      <c r="Q98" s="113"/>
      <c r="R98" s="113"/>
      <c r="S98" s="158"/>
      <c r="AE98" s="111"/>
      <c r="AF98" s="111"/>
      <c r="AG98" s="111"/>
      <c r="AH98" s="103"/>
      <c r="AI98" s="103"/>
      <c r="AJ98" s="103"/>
      <c r="AK98" s="109"/>
      <c r="AL98" s="109"/>
      <c r="AM98" s="109"/>
      <c r="AX98" s="115"/>
      <c r="AY98" s="115"/>
    </row>
    <row r="99" spans="2:78">
      <c r="B99" s="119" t="str">
        <f>IF($A$1=1,"",CONCATENATE(BB99,BD99,AY99,BM99))</f>
        <v/>
      </c>
      <c r="D99" s="120" t="str">
        <f>IF(AC99=0,"",AC99)</f>
        <v/>
      </c>
      <c r="E99" s="121" t="str">
        <f>IF(AD99=0,"",AD99)</f>
        <v/>
      </c>
      <c r="F99" s="118"/>
      <c r="G99" s="122" t="str">
        <f>IF($A$1=3,AO99,IF($A$1=2,AO99,IF($A$1=1,"",SUM($G$3/100))))</f>
        <v/>
      </c>
      <c r="H99" s="123"/>
      <c r="I99" s="125" t="str">
        <f>IF(A1=1,"",IF(AN99=1,VLOOKUP(AO99,Licenses!B:C,2,FALSE),IF($G$5="x",VLOOKUP(AO99,Licenses!B:C,2,FALSE),IF(BL99=0,IF(AA99="","",VLOOKUP(AO99,Licenses!B:C,2,FALSE)),BM99))))</f>
        <v/>
      </c>
      <c r="J99" s="118"/>
      <c r="K99" s="124" t="str">
        <f>IF(AA99="","",VLOOKUP(AO99,Licenses!B:D,3,FALSE))</f>
        <v/>
      </c>
      <c r="L99" s="118"/>
      <c r="M99" s="124" t="str">
        <f>REPT(T99,1)</f>
        <v/>
      </c>
      <c r="N99" s="118"/>
      <c r="O99" s="124" t="str">
        <f>IF(M99="","",IF(AA99="","",VLOOKUP(AO99,Licenses!B:I,8,FALSE)))</f>
        <v/>
      </c>
      <c r="Q99" s="120" t="s">
        <v>779</v>
      </c>
      <c r="R99" s="149">
        <f>IF($A$1=2,W99,X99)</f>
        <v>2.5</v>
      </c>
      <c r="S99" s="157"/>
      <c r="T99" s="29" t="str">
        <f>IF(G99="","",IF(U99=0,"",IF(U99="","",U99)))</f>
        <v/>
      </c>
      <c r="U99" s="29" t="str">
        <f>IF(H99="","",VLOOKUP(AO99,Licenses!B:H,7,FALSE))</f>
        <v/>
      </c>
      <c r="V99" s="29" t="str">
        <f>IF(AA99="","",VLOOKUP(AO99,Licenses!B:H,7,FALSE))</f>
        <v/>
      </c>
      <c r="W99" s="29">
        <v>2.8</v>
      </c>
      <c r="X99" s="29">
        <v>2.5</v>
      </c>
      <c r="Y99" s="29" t="str">
        <f>IF($A$1=3,VLOOKUP(X99,$E$73:$H$87,4,FALSE),IF($A$1=2,VLOOKUP(W99,$E$73:$H$87,4,FALSE),""))</f>
        <v/>
      </c>
      <c r="Z99" s="29">
        <f>SUM($G$3/100)</f>
        <v>0</v>
      </c>
      <c r="AA99" s="29" t="str">
        <f>IF(Y99=0,"",Y99)</f>
        <v/>
      </c>
      <c r="AB99" s="29">
        <f>IF($A$1=3,AK99,IF($A$1=2,AH99,IF($A$1=1,AE99,0)))</f>
        <v>0</v>
      </c>
      <c r="AC99" s="29">
        <f>IF($A$1=1,AF99,AI99)</f>
        <v>0</v>
      </c>
      <c r="AD99" s="29">
        <f>IF($A$1=1,AG99,AJ99)</f>
        <v>0</v>
      </c>
      <c r="AE99" s="110"/>
      <c r="AF99" s="110"/>
      <c r="AG99" s="110"/>
      <c r="AH99" s="101">
        <v>36</v>
      </c>
      <c r="AI99" s="101" t="s">
        <v>779</v>
      </c>
      <c r="AJ99" s="101">
        <v>3.4</v>
      </c>
      <c r="AK99" s="108">
        <v>28</v>
      </c>
      <c r="AL99" s="108" t="s">
        <v>779</v>
      </c>
      <c r="AM99" s="108">
        <v>3.4</v>
      </c>
      <c r="AN99" s="29">
        <f>IF($A$1=1,0,IF($A$1=3,0,IF($G$7="X",1,0)))</f>
        <v>0</v>
      </c>
      <c r="AO99" s="114" t="str">
        <f>IF(AN99=1,$G$3,IF($A$1=1,"",IF($G$5="X",$G$3,IF(AA99="","",SUM(AA99*1,$G$3)))))</f>
        <v/>
      </c>
      <c r="AP99" s="29">
        <f>IF(AO99=AO93,1,0)</f>
        <v>1</v>
      </c>
      <c r="AQ99" s="29">
        <f>IF(AO99=AO95,1,0)</f>
        <v>1</v>
      </c>
      <c r="AR99" s="29">
        <f>IF(AO99=AO97,1,0)</f>
        <v>1</v>
      </c>
      <c r="AW99" s="29" t="str">
        <f>IF($G$5="X",0,IF(AO99="","",SUM(AP99:AV99)))</f>
        <v/>
      </c>
      <c r="AX99" s="117" t="str">
        <f>IF(AW99=1,AX92,"")</f>
        <v/>
      </c>
      <c r="AY99" s="117" t="str">
        <f>IF(AW99=1,$AY$12,"")</f>
        <v/>
      </c>
      <c r="AZ99" s="116" t="str">
        <f>IF($A$1=1,"",IF(H99="",1,0))</f>
        <v/>
      </c>
      <c r="BA99" s="29" t="str">
        <f>IF($A$1=1,"",IF(H99="",1,0))</f>
        <v/>
      </c>
      <c r="BB99" s="29" t="str">
        <f>IF(AZ99=1,$BB$92,"")</f>
        <v/>
      </c>
      <c r="BC99" s="116">
        <f>IF(I99="n / a",1,0)</f>
        <v>0</v>
      </c>
      <c r="BD99" s="29" t="str">
        <f>IF(BC99=1,REPT(Sprache!$K$27,1),"")</f>
        <v/>
      </c>
      <c r="BE99" s="29">
        <f>SUM(Steuerung!$Y$3)</f>
        <v>1</v>
      </c>
      <c r="BF99" s="29">
        <f>IF(M99="",100,VLOOKUP(M99,Steuerung!$A$39:$B$60,2,FALSE))</f>
        <v>100</v>
      </c>
      <c r="BG99" s="29">
        <f>IF(BE99=BF99,0,IF(BE99&lt;BF99,0,1))</f>
        <v>0</v>
      </c>
      <c r="BH99" s="29" t="str">
        <f>IF(BE99&gt;20,LEFT(M99,1),"")</f>
        <v/>
      </c>
      <c r="BI99" s="29">
        <f>IF(BH99="2",BE99-BF99,0)</f>
        <v>0</v>
      </c>
      <c r="BJ99" s="29">
        <f>IF(BI99=0,0,1)</f>
        <v>0</v>
      </c>
      <c r="BK99" s="29">
        <f>IF(BL99&gt;0,1,0)</f>
        <v>0</v>
      </c>
      <c r="BL99" s="116">
        <f>SUM(BG99,BJ99)</f>
        <v>0</v>
      </c>
      <c r="BM99" s="29" t="str">
        <f>IF(BL99=0,"",Sprache!$K$49)</f>
        <v/>
      </c>
    </row>
    <row r="100" spans="2:78" ht="6" customHeight="1">
      <c r="D100" s="113"/>
      <c r="E100" s="113"/>
      <c r="I100" s="126"/>
      <c r="Q100" s="113"/>
      <c r="R100" s="113"/>
      <c r="S100" s="158"/>
      <c r="AE100" s="111"/>
      <c r="AF100" s="111"/>
      <c r="AG100" s="111"/>
      <c r="AH100" s="103"/>
      <c r="AI100" s="103"/>
      <c r="AJ100" s="103"/>
      <c r="AK100" s="109"/>
      <c r="AL100" s="109"/>
      <c r="AM100" s="109"/>
      <c r="AX100" s="115"/>
      <c r="AY100" s="115"/>
    </row>
    <row r="101" spans="2:78">
      <c r="B101" s="119" t="str">
        <f>IF($A$1=1,"",CONCATENATE(BB101,BD101,AY101,BM101))</f>
        <v/>
      </c>
      <c r="D101" s="120" t="str">
        <f>IF(AC101=0,"",AC101)</f>
        <v/>
      </c>
      <c r="E101" s="121" t="str">
        <f>IF(AD101=0,"",AD101)</f>
        <v/>
      </c>
      <c r="F101" s="118"/>
      <c r="G101" s="122" t="str">
        <f>IF($A$1=3,AO101,IF($A$1=2,AO101,IF($A$1=1,"",SUM($G$3/100))))</f>
        <v/>
      </c>
      <c r="H101" s="123"/>
      <c r="I101" s="125" t="str">
        <f>IF($A$1=1,"",IF(AN101=1,VLOOKUP(AO101,Licenses!B:C,2,FALSE),IF($G$5="x",VLOOKUP(AO101,Licenses!B:C,2,FALSE),IF(BL101=0,IF(AA101="","",VLOOKUP(AO101,Licenses!B:C,2,FALSE)),BM101))))</f>
        <v/>
      </c>
      <c r="J101" s="118"/>
      <c r="K101" s="124" t="str">
        <f>IF(AA101="","",VLOOKUP(AO101,Licenses!B:D,3,FALSE))</f>
        <v/>
      </c>
      <c r="L101" s="118"/>
      <c r="M101" s="124" t="str">
        <f>REPT(T101,1)</f>
        <v/>
      </c>
      <c r="N101" s="118"/>
      <c r="O101" s="124" t="str">
        <f>IF(M101="","",IF(AA101="","",VLOOKUP(AO101,Licenses!B:I,8,FALSE)))</f>
        <v/>
      </c>
      <c r="Q101" s="120" t="s">
        <v>779</v>
      </c>
      <c r="R101" s="149">
        <f>IF($A$1=2,W101,X101)</f>
        <v>2.2000000000000002</v>
      </c>
      <c r="S101" s="157"/>
      <c r="T101" s="29" t="str">
        <f>IF(G101="","",IF(U101=0,"",IF(U101="","",U101)))</f>
        <v/>
      </c>
      <c r="U101" s="29" t="str">
        <f>IF(H101="","",VLOOKUP(AO101,Licenses!B:H,7,FALSE))</f>
        <v/>
      </c>
      <c r="V101" s="29" t="str">
        <f>IF(AA101="","",VLOOKUP(AO101,Licenses!B:H,7,FALSE))</f>
        <v/>
      </c>
      <c r="W101" s="29">
        <v>2.7</v>
      </c>
      <c r="X101" s="29">
        <v>2.2000000000000002</v>
      </c>
      <c r="Y101" s="29" t="str">
        <f>IF($A$1=3,VLOOKUP(X101,$E$73:$H$87,4,FALSE),IF($A$1=2,VLOOKUP(W101,$E$73:$H$87,4,FALSE),""))</f>
        <v/>
      </c>
      <c r="Z101" s="29">
        <f>SUM($G$3/100)</f>
        <v>0</v>
      </c>
      <c r="AA101" s="29" t="str">
        <f>IF(Y101=0,"",Y101)</f>
        <v/>
      </c>
      <c r="AB101" s="29">
        <f>IF($A$1=3,AK101,IF($A$1=2,AH101,IF($A$1=1,AE101,0)))</f>
        <v>0</v>
      </c>
      <c r="AC101" s="29">
        <f>IF($A$1=1,AF101,AI101)</f>
        <v>0</v>
      </c>
      <c r="AD101" s="29">
        <f>IF($A$1=1,AG101,AJ101)</f>
        <v>0</v>
      </c>
      <c r="AE101" s="110"/>
      <c r="AF101" s="110"/>
      <c r="AG101" s="110"/>
      <c r="AH101" s="101">
        <v>37</v>
      </c>
      <c r="AI101" s="101" t="s">
        <v>779</v>
      </c>
      <c r="AJ101" s="101">
        <v>3.5</v>
      </c>
      <c r="AK101" s="108">
        <v>29</v>
      </c>
      <c r="AL101" s="108" t="s">
        <v>779</v>
      </c>
      <c r="AM101" s="108">
        <v>3.5</v>
      </c>
      <c r="AO101" s="114" t="str">
        <f>IF($A$1=1,"",IF($G$5="X",$G$3,IF(AA101="","",SUM(AA101*1,$G$3))))</f>
        <v/>
      </c>
      <c r="AP101" s="29">
        <f>IF(AO101=AO93,1,0)</f>
        <v>1</v>
      </c>
      <c r="AQ101" s="29">
        <f>IF(AO101=AO95,1,0)</f>
        <v>1</v>
      </c>
      <c r="AR101" s="29">
        <f>IF(AO101=AO97,1,0)</f>
        <v>1</v>
      </c>
      <c r="AS101" s="29">
        <f>IF(AO101=AO99,1,0)</f>
        <v>1</v>
      </c>
      <c r="AW101" s="29" t="str">
        <f>IF(AN101=1,0,IF($G$5="X",0,IF(AO101="","",SUM(AP101:AV101))))</f>
        <v/>
      </c>
      <c r="AX101" s="117" t="str">
        <f>IF(AW101=1,AX92,"")</f>
        <v/>
      </c>
      <c r="AY101" s="117" t="str">
        <f>IF(AW101=1,$AY$12,"")</f>
        <v/>
      </c>
      <c r="AZ101" s="116" t="str">
        <f>IF($A$1=1,"",IF(H101="",1,0))</f>
        <v/>
      </c>
      <c r="BA101" s="29" t="str">
        <f>IF($A$1=1,"",IF(H101="",1,0))</f>
        <v/>
      </c>
      <c r="BB101" s="29" t="str">
        <f>IF(AZ101=1,$BB$92,"")</f>
        <v/>
      </c>
      <c r="BC101" s="116">
        <f>IF(I101="n / a",1,0)</f>
        <v>0</v>
      </c>
      <c r="BD101" s="29" t="str">
        <f>IF(BC101=1,REPT(Sprache!$K$27,1),"")</f>
        <v/>
      </c>
      <c r="BE101" s="29">
        <f>SUM(Steuerung!$Y$3)</f>
        <v>1</v>
      </c>
      <c r="BF101" s="29">
        <f>IF(M101="",100,VLOOKUP(M101,Steuerung!$A$39:$B$60,2,FALSE))</f>
        <v>100</v>
      </c>
      <c r="BG101" s="29">
        <f>IF(BE101=BF101,0,IF(BE101&lt;BF101,0,1))</f>
        <v>0</v>
      </c>
      <c r="BH101" s="29" t="str">
        <f>IF(BE101&gt;20,LEFT(M101,1),"")</f>
        <v/>
      </c>
      <c r="BI101" s="29">
        <f>IF(BH101="2",BE101-BF101,0)</f>
        <v>0</v>
      </c>
      <c r="BJ101" s="29">
        <f>IF(BI101=0,0,1)</f>
        <v>0</v>
      </c>
      <c r="BK101" s="29">
        <f>IF(BL101&gt;0,1,0)</f>
        <v>0</v>
      </c>
      <c r="BL101" s="116">
        <f>SUM(BG101,BJ101)</f>
        <v>0</v>
      </c>
      <c r="BM101" s="29" t="str">
        <f>IF(BL101=0,"",Sprache!$K$49)</f>
        <v/>
      </c>
    </row>
    <row r="102" spans="2:78" ht="6" customHeight="1">
      <c r="D102" s="113"/>
      <c r="E102" s="113"/>
      <c r="I102" s="126"/>
      <c r="Q102" s="113"/>
      <c r="R102" s="113"/>
      <c r="S102" s="158"/>
      <c r="AE102" s="111"/>
      <c r="AF102" s="111"/>
      <c r="AG102" s="111"/>
      <c r="AH102" s="103"/>
      <c r="AI102" s="103"/>
      <c r="AJ102" s="103"/>
      <c r="AK102" s="109"/>
      <c r="AL102" s="109"/>
      <c r="AM102" s="109"/>
      <c r="AX102" s="115"/>
      <c r="AY102" s="115"/>
    </row>
    <row r="103" spans="2:78">
      <c r="B103" s="119" t="str">
        <f>IF($A$1=1,"",CONCATENATE(BB103,BD103,AY103,BM103))</f>
        <v/>
      </c>
      <c r="D103" s="120" t="str">
        <f>IF(AC103=0,"",AC103)</f>
        <v/>
      </c>
      <c r="E103" s="121" t="str">
        <f>IF(AD103=0,"",AD103)</f>
        <v/>
      </c>
      <c r="F103" s="118"/>
      <c r="G103" s="122" t="str">
        <f>IF($A$1=3,AO103,IF($A$1=2,AO103,IF($A$1=1,"",SUM($G$3/100))))</f>
        <v/>
      </c>
      <c r="H103" s="123"/>
      <c r="I103" s="125" t="str">
        <f>IF($A$1=1,"",IF(AN103=1,VLOOKUP(AO103,Licenses!B:C,2,FALSE),IF($G$5="x",VLOOKUP(AO103,Licenses!B:C,2,FALSE),IF(BL103=0,IF(AA103="","",VLOOKUP(AO103,Licenses!B:C,2,FALSE)),BM103))))</f>
        <v/>
      </c>
      <c r="J103" s="118"/>
      <c r="K103" s="124" t="str">
        <f>IF(AA103="","",VLOOKUP(AO103,Licenses!B:D,3,FALSE))</f>
        <v/>
      </c>
      <c r="L103" s="118"/>
      <c r="M103" s="124" t="str">
        <f>REPT(T103,1)</f>
        <v/>
      </c>
      <c r="N103" s="118"/>
      <c r="O103" s="124" t="str">
        <f>IF(M103="","",IF(AA103="","",VLOOKUP(AO103,Licenses!B:I,8,FALSE)))</f>
        <v/>
      </c>
      <c r="Q103" s="120" t="s">
        <v>779</v>
      </c>
      <c r="R103" s="149">
        <f>IF($A$1=2,W103,X103)</f>
        <v>2.4</v>
      </c>
      <c r="S103" s="157"/>
      <c r="T103" s="29" t="str">
        <f>IF(G103="","",IF(U103=0,"",IF(U103="","",U103)))</f>
        <v/>
      </c>
      <c r="U103" s="29" t="str">
        <f>IF(H103="","",VLOOKUP(AO103,Licenses!B:H,7,FALSE))</f>
        <v/>
      </c>
      <c r="V103" s="29" t="str">
        <f>IF(AA103="","",VLOOKUP(AO103,Licenses!B:H,7,FALSE))</f>
        <v/>
      </c>
      <c r="W103" s="29">
        <v>2.5</v>
      </c>
      <c r="X103" s="29">
        <v>2.4</v>
      </c>
      <c r="Y103" s="29" t="str">
        <f>IF($A$1=3,VLOOKUP(X103,$E$73:$H$87,4,FALSE),IF($A$1=2,VLOOKUP(W103,$E$73:$H$87,4,FALSE),""))</f>
        <v/>
      </c>
      <c r="Z103" s="29">
        <f>SUM($G$3/100)</f>
        <v>0</v>
      </c>
      <c r="AA103" s="29" t="str">
        <f>IF(Y103=0,"",Y103)</f>
        <v/>
      </c>
      <c r="AB103" s="29">
        <f>IF($A$1=3,AK103,IF($A$1=2,AH103,IF($A$1=1,AE103,0)))</f>
        <v>0</v>
      </c>
      <c r="AC103" s="29">
        <f>IF($A$1=1,AF103,AI103)</f>
        <v>0</v>
      </c>
      <c r="AD103" s="29">
        <f>IF($A$1=1,AG103,AJ103)</f>
        <v>0</v>
      </c>
      <c r="AE103" s="110"/>
      <c r="AF103" s="110"/>
      <c r="AG103" s="110"/>
      <c r="AH103" s="101">
        <v>38</v>
      </c>
      <c r="AI103" s="101" t="s">
        <v>779</v>
      </c>
      <c r="AJ103" s="101">
        <v>3.6</v>
      </c>
      <c r="AK103" s="108">
        <v>30</v>
      </c>
      <c r="AL103" s="108" t="s">
        <v>779</v>
      </c>
      <c r="AM103" s="108">
        <v>3.6</v>
      </c>
      <c r="AO103" s="114" t="str">
        <f>IF($A$1=1,"",IF($G$5="X",$G$3,IF(AA103="","",SUM(AA103*1,$G$3))))</f>
        <v/>
      </c>
      <c r="AP103" s="29">
        <f>IF(AO103=AO93,1,0)</f>
        <v>1</v>
      </c>
      <c r="AQ103" s="29">
        <f>IF(AO103=AO95,1,0)</f>
        <v>1</v>
      </c>
      <c r="AR103" s="29">
        <f>IF(AO103=AO97,1,0)</f>
        <v>1</v>
      </c>
      <c r="AS103" s="29">
        <f>IF(AO103=AO99,1,0)</f>
        <v>1</v>
      </c>
      <c r="AT103" s="29">
        <f>IF(AO103=AO101,1,0)</f>
        <v>1</v>
      </c>
      <c r="AW103" s="29" t="str">
        <f>IF(AN103=1,0,IF($G$5="X",0,IF(AO103="","",SUM(AP103:AV103))))</f>
        <v/>
      </c>
      <c r="AX103" s="117" t="str">
        <f>IF(AW103=1,AX92,"")</f>
        <v/>
      </c>
      <c r="AY103" s="117" t="str">
        <f>IF(AW103=1,$AY$12,"")</f>
        <v/>
      </c>
      <c r="AZ103" s="116" t="str">
        <f>IF($A$1=1,"",IF(H103="",1,0))</f>
        <v/>
      </c>
      <c r="BA103" s="29" t="str">
        <f>IF($A$1=1,"",IF(H103="",1,0))</f>
        <v/>
      </c>
      <c r="BB103" s="29" t="str">
        <f>IF(AZ103=1,$BB$92,"")</f>
        <v/>
      </c>
      <c r="BC103" s="116">
        <f>IF(I103="n / a",1,0)</f>
        <v>0</v>
      </c>
      <c r="BD103" s="29" t="str">
        <f>IF(BC103=1,REPT(Sprache!$K$27,1),"")</f>
        <v/>
      </c>
      <c r="BE103" s="29">
        <f>SUM(Steuerung!$Y$3)</f>
        <v>1</v>
      </c>
      <c r="BF103" s="29">
        <f>IF(M103="",100,VLOOKUP(M103,Steuerung!$A$39:$B$60,2,FALSE))</f>
        <v>100</v>
      </c>
      <c r="BG103" s="29">
        <f>IF(BE103=BF103,0,IF(BE103&lt;BF103,0,1))</f>
        <v>0</v>
      </c>
      <c r="BH103" s="29" t="str">
        <f>IF(BE103&gt;20,LEFT(M103,1),"")</f>
        <v/>
      </c>
      <c r="BI103" s="29">
        <f>IF(BH103="2",BE103-BF103,0)</f>
        <v>0</v>
      </c>
      <c r="BJ103" s="29">
        <f>IF(BI103=0,0,1)</f>
        <v>0</v>
      </c>
      <c r="BK103" s="29">
        <f>IF(BL103&gt;0,1,0)</f>
        <v>0</v>
      </c>
      <c r="BL103" s="116">
        <f>SUM(BG103,BJ103)</f>
        <v>0</v>
      </c>
      <c r="BM103" s="29" t="str">
        <f>IF(BL103=0,"",Sprache!$K$49)</f>
        <v/>
      </c>
    </row>
    <row r="104" spans="2:78" ht="6" customHeight="1">
      <c r="D104" s="113"/>
      <c r="E104" s="113"/>
      <c r="I104" s="126"/>
      <c r="Q104" s="113"/>
      <c r="R104" s="113"/>
      <c r="S104" s="158"/>
      <c r="AE104" s="111"/>
      <c r="AF104" s="111"/>
      <c r="AG104" s="111"/>
      <c r="AH104" s="103"/>
      <c r="AI104" s="103"/>
      <c r="AJ104" s="103"/>
      <c r="AK104" s="111"/>
      <c r="AL104" s="111"/>
      <c r="AM104" s="111"/>
      <c r="AX104" s="115"/>
      <c r="AY104" s="115"/>
    </row>
    <row r="105" spans="2:78">
      <c r="B105" s="119" t="str">
        <f>IF($A$1=1,"",CONCATENATE(BB105,BD105,AY105,BM105))</f>
        <v/>
      </c>
      <c r="D105" s="120" t="str">
        <f>IF(AC105=0,"",AC105)</f>
        <v/>
      </c>
      <c r="E105" s="121" t="str">
        <f>IF(AD105=0,"",AD105)</f>
        <v/>
      </c>
      <c r="F105" s="118"/>
      <c r="G105" s="122" t="str">
        <f>IF($A$1=2,AO105,IF($A$1=1,"",IF($A$1=3,"",SUM($G$3/100))))</f>
        <v/>
      </c>
      <c r="H105" s="123"/>
      <c r="I105" s="125" t="str">
        <f>IF($A$1=1,"",IF($A$1=3,"",IF(AN105=1,VLOOKUP(AO105,Licenses!B:C,2,FALSE),IF($G$5="x",VLOOKUP(AO105,Licenses!B:C,2,FALSE),IF(BL105=0,IF(AA105="","",VLOOKUP(AO105,Licenses!B:C,2,FALSE)),BM105)))))</f>
        <v/>
      </c>
      <c r="J105" s="118"/>
      <c r="K105" s="124" t="str">
        <f>IF(AA105="","",VLOOKUP(AO105,Licenses!B:D,3,FALSE))</f>
        <v/>
      </c>
      <c r="L105" s="118"/>
      <c r="M105" s="124" t="str">
        <f>REPT(T105,1)</f>
        <v/>
      </c>
      <c r="N105" s="118"/>
      <c r="O105" s="124" t="str">
        <f>IF(M105="","",IF(AA105="","",VLOOKUP(AO105,Licenses!B:I,8,FALSE)))</f>
        <v/>
      </c>
      <c r="Q105" s="120" t="s">
        <v>779</v>
      </c>
      <c r="R105" s="149" t="str">
        <f>IF($A$1=2,W105,"")</f>
        <v/>
      </c>
      <c r="S105" s="157"/>
      <c r="T105" s="29" t="str">
        <f>IF($A$1=3,"",IF(U105=0,"",IF(U105="","",U105)))</f>
        <v/>
      </c>
      <c r="U105" s="29" t="str">
        <f>IF($A$1=3,"",IF(H105="","",VLOOKUP(AO105,Licenses!B:H,7,FALSE)))</f>
        <v/>
      </c>
      <c r="V105" s="29" t="str">
        <f>IF(AA105="","",VLOOKUP(AO105,Licenses!B:H,7,FALSE))</f>
        <v/>
      </c>
      <c r="W105" s="29">
        <v>2.4</v>
      </c>
      <c r="Y105" s="29" t="str">
        <f>IF($A$1=2,VLOOKUP(W105,$E$73:$H$87,4,FALSE),"")</f>
        <v/>
      </c>
      <c r="Z105" s="29">
        <f>SUM($G$3/100)</f>
        <v>0</v>
      </c>
      <c r="AA105" s="29" t="str">
        <f>IF(Y105=0,"",Y105)</f>
        <v/>
      </c>
      <c r="AB105" s="29">
        <f>IF($A$1=3,AK105,IF($A$1=2,AH105,IF($A$1=1,AE105,0)))</f>
        <v>0</v>
      </c>
      <c r="AC105" s="29">
        <f>IF($A$1=3,0,IF($A$1=1,AF105,AI105))</f>
        <v>0</v>
      </c>
      <c r="AD105" s="29">
        <f>IF($A$1=3,0,IF($A$1=1,AG105,AJ105))</f>
        <v>0</v>
      </c>
      <c r="AE105" s="110"/>
      <c r="AF105" s="110"/>
      <c r="AG105" s="110"/>
      <c r="AH105" s="101">
        <v>39</v>
      </c>
      <c r="AI105" s="101" t="s">
        <v>779</v>
      </c>
      <c r="AJ105" s="101">
        <v>3.7</v>
      </c>
      <c r="AK105" s="110"/>
      <c r="AL105" s="110"/>
      <c r="AM105" s="110"/>
      <c r="AO105" s="114" t="str">
        <f>IF($A$1=3,"",IF($A$1=1,"",IF($G$5="X",$G$3,IF(AA105="","",SUM(AA105*1,$G$3)))))</f>
        <v/>
      </c>
      <c r="AP105" s="29">
        <f>IF(AO105=AO93,1,0)</f>
        <v>1</v>
      </c>
      <c r="AQ105" s="29">
        <f>IF(AO105=AO95,1,0)</f>
        <v>1</v>
      </c>
      <c r="AR105" s="29">
        <f>IF(AO105=AO97,1,0)</f>
        <v>1</v>
      </c>
      <c r="AS105" s="29">
        <f>IF(AO105=AO99,1,0)</f>
        <v>1</v>
      </c>
      <c r="AT105" s="29">
        <f>IF(AO105=AO101,1,0)</f>
        <v>1</v>
      </c>
      <c r="AU105" s="29">
        <f>IF(AO105=AO103,1,0)</f>
        <v>1</v>
      </c>
      <c r="AW105" s="29" t="str">
        <f>IF($G$5="X",0,IF(AO105="","",SUM(AP105:AV105)))</f>
        <v/>
      </c>
      <c r="AX105" s="117" t="str">
        <f>IF(AW105=1,AX92,"")</f>
        <v/>
      </c>
      <c r="AY105" s="117" t="str">
        <f>IF(AW105=1,$AY$12,"")</f>
        <v/>
      </c>
      <c r="AZ105" s="116" t="str">
        <f>IF($A$1=1,"",IF($A$1=3,"",IF(H105="",1,0)))</f>
        <v/>
      </c>
      <c r="BA105" s="29" t="str">
        <f>IF($A$1=1,"",IF($A$1=3,"",IF(H105="",1,0)))</f>
        <v/>
      </c>
      <c r="BB105" s="29" t="str">
        <f>IF(AZ105=1,$BB$92,"")</f>
        <v/>
      </c>
      <c r="BC105" s="116">
        <f>IF($A$1=3,"",IF(I105="n / a",1,0))</f>
        <v>0</v>
      </c>
      <c r="BD105" s="29" t="str">
        <f>IF(BC105=1,REPT(Sprache!$K$27,1),"")</f>
        <v/>
      </c>
      <c r="BE105" s="29">
        <f>SUM(Steuerung!$Y$3)</f>
        <v>1</v>
      </c>
      <c r="BF105" s="29">
        <f>IF(M105="",100,VLOOKUP(M105,Steuerung!$A$39:$B$60,2,FALSE))</f>
        <v>100</v>
      </c>
      <c r="BG105" s="29">
        <f>IF(BE105=BF105,0,IF(BE105&lt;BF105,0,1))</f>
        <v>0</v>
      </c>
      <c r="BH105" s="29" t="str">
        <f>IF(BE105&gt;20,LEFT(M105,1),"")</f>
        <v/>
      </c>
      <c r="BI105" s="29">
        <f>IF(BH105="2",BE105-BF105,0)</f>
        <v>0</v>
      </c>
      <c r="BJ105" s="29">
        <f>IF(BI105=0,0,1)</f>
        <v>0</v>
      </c>
      <c r="BK105" s="29">
        <f>IF(BL105&gt;0,1,0)</f>
        <v>0</v>
      </c>
      <c r="BL105" s="116">
        <f>SUM(BG105,BJ105)</f>
        <v>0</v>
      </c>
      <c r="BM105" s="29" t="str">
        <f>IF(BL105=0,"",Sprache!$K$49)</f>
        <v/>
      </c>
    </row>
    <row r="106" spans="2:78" ht="6" customHeight="1">
      <c r="D106" s="113"/>
      <c r="E106" s="113"/>
      <c r="I106" s="126"/>
      <c r="Q106" s="113"/>
      <c r="R106" s="113"/>
      <c r="S106" s="158"/>
      <c r="AE106" s="111"/>
      <c r="AF106" s="111"/>
      <c r="AG106" s="111"/>
      <c r="AH106" s="103"/>
      <c r="AI106" s="103"/>
      <c r="AJ106" s="103"/>
      <c r="AK106" s="111"/>
      <c r="AL106" s="111"/>
      <c r="AM106" s="111"/>
      <c r="AX106" s="115"/>
      <c r="AY106" s="115"/>
    </row>
    <row r="107" spans="2:78">
      <c r="B107" s="119" t="str">
        <f>IF($A$1=1,"",CONCATENATE(BB107,BD107,AY107,BM107))</f>
        <v/>
      </c>
      <c r="D107" s="120" t="str">
        <f>IF(AC107=0,"",AC107)</f>
        <v/>
      </c>
      <c r="E107" s="121" t="str">
        <f>IF(AD107=0,"",AD107)</f>
        <v/>
      </c>
      <c r="F107" s="118"/>
      <c r="G107" s="122" t="str">
        <f>IF($A$1=2,AO107,IF($A$1=1,"",IF($A$1=3,"",SUM($G$3/100))))</f>
        <v/>
      </c>
      <c r="H107" s="123"/>
      <c r="I107" s="125" t="str">
        <f>IF($A$1=1,"",IF($A$1=3,"",IF(AN107=1,VLOOKUP(AO107,Licenses!B:C,2,FALSE),IF($G$5="x",VLOOKUP(AO107,Licenses!B:C,2,FALSE),IF(BL107=0,IF(AA107="","",VLOOKUP(AO107,Licenses!B:C,2,FALSE)),BM107)))))</f>
        <v/>
      </c>
      <c r="J107" s="118"/>
      <c r="K107" s="124" t="str">
        <f>IF(AA107="","",VLOOKUP(AO107,Licenses!B:D,3,FALSE))</f>
        <v/>
      </c>
      <c r="L107" s="118"/>
      <c r="M107" s="124" t="str">
        <f>REPT(T107,1)</f>
        <v/>
      </c>
      <c r="N107" s="118"/>
      <c r="O107" s="124" t="str">
        <f>IF(M107="","",IF(AA107="","",VLOOKUP(AO107,Licenses!B:I,8,FALSE)))</f>
        <v/>
      </c>
      <c r="Q107" s="120" t="s">
        <v>779</v>
      </c>
      <c r="R107" s="149" t="str">
        <f>IF($A$1=2,W107,"")</f>
        <v/>
      </c>
      <c r="S107" s="157"/>
      <c r="T107" s="29" t="str">
        <f>IF($A$1=3,"",IF(U107=0,"",IF(U107="","",U107)))</f>
        <v/>
      </c>
      <c r="U107" s="29" t="str">
        <f>IF($A$1=3,"",IF(H107="","",VLOOKUP(AO107,Licenses!B:H,7,FALSE)))</f>
        <v/>
      </c>
      <c r="V107" s="29" t="str">
        <f>IF(AA107="","",VLOOKUP(AO107,Licenses!B:H,7,FALSE))</f>
        <v/>
      </c>
      <c r="W107" s="29">
        <v>2.6</v>
      </c>
      <c r="Y107" s="29" t="str">
        <f>IF($A$1=2,VLOOKUP(W107,$E$73:$H$87,4,FALSE),"")</f>
        <v/>
      </c>
      <c r="Z107" s="29">
        <f>SUM($G$3/100)</f>
        <v>0</v>
      </c>
      <c r="AA107" s="29" t="str">
        <f>IF(Y107=0,"",Y107)</f>
        <v/>
      </c>
      <c r="AB107" s="29">
        <f>IF($A$1=3,AK107,IF($A$1=2,AH107,IF($A$1=1,AE107,0)))</f>
        <v>0</v>
      </c>
      <c r="AC107" s="29">
        <f>IF($A$1=3,0,IF($A$1=1,AF107,AI107))</f>
        <v>0</v>
      </c>
      <c r="AD107" s="29">
        <f>IF($A$1=3,0,IF($A$1=1,AG107,AJ107))</f>
        <v>0</v>
      </c>
      <c r="AE107" s="110"/>
      <c r="AF107" s="110"/>
      <c r="AG107" s="110"/>
      <c r="AH107" s="101">
        <v>40</v>
      </c>
      <c r="AI107" s="101" t="s">
        <v>779</v>
      </c>
      <c r="AJ107" s="101">
        <v>3.8</v>
      </c>
      <c r="AK107" s="110"/>
      <c r="AL107" s="110"/>
      <c r="AM107" s="110"/>
      <c r="AO107" s="114" t="str">
        <f>IF($A$1=3,"",IF($A$1=1,"",IF($G$5="X",$G$3,IF(AA107="","",SUM(AA107*1,$G$3)))))</f>
        <v/>
      </c>
      <c r="AP107" s="29">
        <f>IF(AO107=AO93,1,0)</f>
        <v>1</v>
      </c>
      <c r="AQ107" s="29">
        <f>IF(AO107=AO95,1,0)</f>
        <v>1</v>
      </c>
      <c r="AR107" s="29">
        <f>IF(AO107=AO97,1,0)</f>
        <v>1</v>
      </c>
      <c r="AS107" s="29">
        <f>IF(AO107=AO99,1,0)</f>
        <v>1</v>
      </c>
      <c r="AT107" s="29">
        <f>IF(AO107=AO101,1,0)</f>
        <v>1</v>
      </c>
      <c r="AU107" s="29">
        <f>IF(AO107=AO103,1,0)</f>
        <v>1</v>
      </c>
      <c r="AV107" s="29">
        <f>IF(AO107=AO105,1,0)</f>
        <v>1</v>
      </c>
      <c r="AW107" s="29" t="str">
        <f>IF(AN107=1,0,IF($G$5="X",0,IF(AO107="","",SUM(AP107:AV107))))</f>
        <v/>
      </c>
      <c r="AX107" s="117" t="str">
        <f>IF(AW107=1,AX92,"")</f>
        <v/>
      </c>
      <c r="AY107" s="117" t="str">
        <f>IF(AW107=1,$AY$12,"")</f>
        <v/>
      </c>
      <c r="AZ107" s="116" t="str">
        <f>IF($A$1=1,"",IF($A$1=3,"",IF(H107="",1,0)))</f>
        <v/>
      </c>
      <c r="BA107" s="29" t="str">
        <f>IF($A$1=1,"",IF($A$1=3,"",IF(H107="",1,0)))</f>
        <v/>
      </c>
      <c r="BB107" s="29" t="str">
        <f>IF(AZ107=1,$BB$92,"")</f>
        <v/>
      </c>
      <c r="BC107" s="116">
        <f>IF($A$1=3,"",IF(I107="n / a",1,0))</f>
        <v>0</v>
      </c>
      <c r="BD107" s="29" t="str">
        <f>IF(BC107=1,REPT(Sprache!$K$27,1),"")</f>
        <v/>
      </c>
      <c r="BE107" s="29">
        <f>SUM(Steuerung!$Y$3)</f>
        <v>1</v>
      </c>
      <c r="BF107" s="29">
        <f>IF(M107="",100,VLOOKUP(M107,Steuerung!$A$39:$B$60,2,FALSE))</f>
        <v>100</v>
      </c>
      <c r="BG107" s="29">
        <f>IF(BE107=BF107,0,IF(BE107&lt;BF107,0,1))</f>
        <v>0</v>
      </c>
      <c r="BH107" s="29" t="str">
        <f>IF(BE107&gt;20,LEFT(M107,1),"")</f>
        <v/>
      </c>
      <c r="BI107" s="29">
        <f>IF(BH107="2",BE107-BF107,0)</f>
        <v>0</v>
      </c>
      <c r="BJ107" s="29">
        <f>IF(BI107=0,0,1)</f>
        <v>0</v>
      </c>
      <c r="BK107" s="29">
        <f>IF(BL107&gt;0,1,0)</f>
        <v>0</v>
      </c>
      <c r="BL107" s="116">
        <f>SUM(BG107,BJ107)</f>
        <v>0</v>
      </c>
      <c r="BM107" s="29" t="str">
        <f>IF(BL107=0,"",Sprache!$K$49)</f>
        <v/>
      </c>
    </row>
    <row r="108" spans="2:78">
      <c r="V108" s="29">
        <f>SUM('Matchblatt  FEUILLE DE MATCH'!BR16)</f>
        <v>0</v>
      </c>
    </row>
    <row r="109" spans="2:78">
      <c r="V109" s="29">
        <v>28</v>
      </c>
      <c r="W109" s="29">
        <v>32</v>
      </c>
      <c r="X109" s="29">
        <v>24</v>
      </c>
      <c r="AW109" s="131">
        <f>SUM(AW93:AW107)</f>
        <v>0</v>
      </c>
      <c r="AZ109" s="131">
        <f>IF(A1=1,IF(Y113=1,BA93+BA95,IF(AY93=0,0,SUM(AZ93:AZ107))),0)</f>
        <v>0</v>
      </c>
      <c r="BC109" s="131">
        <f>SUM(BC93:BC107)</f>
        <v>0</v>
      </c>
      <c r="BK109" s="131">
        <f>SUM(BK93:BK107)</f>
        <v>0</v>
      </c>
      <c r="BL109" s="131">
        <f>SUM(BK109)</f>
        <v>0</v>
      </c>
    </row>
    <row r="110" spans="2:78">
      <c r="V110" s="29">
        <v>14</v>
      </c>
      <c r="W110" s="29">
        <v>16</v>
      </c>
      <c r="X110" s="29">
        <v>12</v>
      </c>
    </row>
    <row r="111" spans="2:78">
      <c r="I111" s="102" t="str">
        <f>IF($A$1=3,Sprache!K43,IF($A$1=2,Sprache!K43,IF($A$1=1,"","")))</f>
        <v/>
      </c>
      <c r="J111" s="91"/>
      <c r="K111" s="85" t="str">
        <f>REPT(Sprache!$K$44,1)</f>
        <v>Spieler-Nr.</v>
      </c>
      <c r="L111" s="82"/>
      <c r="M111" s="85" t="str">
        <f>REPT(Sprache!$K$15,1)</f>
        <v>Liga</v>
      </c>
      <c r="N111" s="100"/>
      <c r="O111" s="85" t="str">
        <f>REPT(Sprache!$K$45,1)</f>
        <v>Qualifiziert für:</v>
      </c>
      <c r="V111" s="29" t="s">
        <v>7</v>
      </c>
      <c r="W111" s="29" t="s">
        <v>12</v>
      </c>
      <c r="X111" s="29">
        <f>IF($A$1=3,X110,IF($A$1=2,W110,IF($A$1=1,V110,0)))</f>
        <v>14</v>
      </c>
      <c r="AE111" s="110"/>
      <c r="AF111" s="110"/>
      <c r="AG111" s="110"/>
      <c r="AH111" s="101"/>
      <c r="AI111" s="101" t="s">
        <v>820</v>
      </c>
      <c r="AJ111" s="101"/>
      <c r="AK111" s="108"/>
      <c r="AL111" s="108" t="s">
        <v>819</v>
      </c>
      <c r="AM111" s="108"/>
    </row>
    <row r="112" spans="2:78">
      <c r="V112" s="129">
        <f>SUM('Matchblatt  FEUILLE DE MATCH'!N116)</f>
        <v>0</v>
      </c>
      <c r="W112" s="129">
        <f>SUM('Matchblatt  FEUILLE DE MATCH'!O116)</f>
        <v>0</v>
      </c>
      <c r="X112" s="29" t="s">
        <v>844</v>
      </c>
      <c r="Y112" s="29" t="s">
        <v>845</v>
      </c>
      <c r="AE112" s="110"/>
      <c r="AF112" s="110"/>
      <c r="AG112" s="110"/>
      <c r="AH112" s="101"/>
      <c r="AI112" s="101"/>
      <c r="AJ112" s="101"/>
      <c r="AK112" s="108"/>
      <c r="AL112" s="108"/>
      <c r="AM112" s="108"/>
      <c r="AX112" s="115" t="str">
        <f>REPT(Sprache!K48,1)</f>
        <v>***!!!!!!!!!!Doppelter Eintrag!!!!!!!!!!***</v>
      </c>
      <c r="AY112" s="115" t="str">
        <f>REPT(Sprache!K35,1)</f>
        <v>** A C H T U N G - D O P P E L T E  L I Z E N Z - N U M M E R !!! **</v>
      </c>
      <c r="AZ112" s="29">
        <v>2</v>
      </c>
      <c r="BA112" s="29">
        <f>SUM(AZ113:AZ115)</f>
        <v>0</v>
      </c>
      <c r="BB112" s="29" t="str">
        <f>IF(Y113=1,"",IF(X113=1,Sprache!$K$29,""))</f>
        <v/>
      </c>
      <c r="BE112" s="29" t="s">
        <v>827</v>
      </c>
      <c r="BF112" s="29" t="s">
        <v>834</v>
      </c>
      <c r="BJ112" s="29" t="s">
        <v>840</v>
      </c>
      <c r="BL112" s="29" t="s">
        <v>841</v>
      </c>
    </row>
    <row r="113" spans="2:79">
      <c r="B113" s="119" t="str">
        <f>CONCATENATE(BB113,BD113,CA113,BM113)</f>
        <v/>
      </c>
      <c r="D113" s="120" t="str">
        <f>IF(AC113=0,"",AC113)</f>
        <v/>
      </c>
      <c r="E113" s="121" t="str">
        <f>IF(AD113=0,"",AD113)</f>
        <v/>
      </c>
      <c r="F113" s="118"/>
      <c r="G113" s="122" t="str">
        <f>IF(X113=1,IF($A$1=1,"",SUM($G$3/100)),"")</f>
        <v/>
      </c>
      <c r="H113" s="150"/>
      <c r="I113" s="125" t="str">
        <f>IF(X113=0,"",IF(BZ113=1,CA113,IF($A$1=1,"",IF($G$5="x",VLOOKUP(AO113,Licenses!B:C,2,FALSE),IF(BL113=0,IF(H113="","",VLOOKUP(AO113,Licenses!B:C,2,FALSE)),BM113)))))</f>
        <v/>
      </c>
      <c r="J113" s="118"/>
      <c r="K113" s="124" t="str">
        <f>IF(X113=0,"",IF(H113="","",VLOOKUP(AO113,Licenses!B:D,3,FALSE)))</f>
        <v/>
      </c>
      <c r="L113" s="118"/>
      <c r="M113" s="124" t="str">
        <f>REPT(T113,1)</f>
        <v/>
      </c>
      <c r="N113" s="118"/>
      <c r="O113" s="124" t="str">
        <f>IF(M113="","",IF(X113=0,"",IF(H113="","",VLOOKUP(AO113,Licenses!B:I,8,FALSE))))</f>
        <v/>
      </c>
      <c r="T113" s="29" t="str">
        <f>IF(G113="","",IF(U113=0,"",IF(U113="","",U113)))</f>
        <v/>
      </c>
      <c r="U113" s="29" t="str">
        <f>IF(H113="","",VLOOKUP(AO113,Licenses!B:H,7,FALSE))</f>
        <v/>
      </c>
      <c r="V113" s="29">
        <f>IF(V112=X111,1,0)</f>
        <v>0</v>
      </c>
      <c r="W113" s="29">
        <f>IF(W112=X111,1,0)</f>
        <v>0</v>
      </c>
      <c r="X113" s="128">
        <f>IF(A1=1,0,IF(V113+W113=2,1,0))</f>
        <v>0</v>
      </c>
      <c r="Y113" s="130">
        <f>IF(A1=1,IF(V113+W113=2,1,0),"")</f>
        <v>0</v>
      </c>
      <c r="AB113" s="29">
        <f>IF($A$1=3,AK113,IF($A$1=2,AH113,IF($A$1=1,AE113,0)))</f>
        <v>0</v>
      </c>
      <c r="AC113" s="29" t="str">
        <f>IF(X113=0,"",IF($A$1=1,AF113,AI113))</f>
        <v/>
      </c>
      <c r="AD113" s="29" t="str">
        <f>IF(X113=0,"",IF($A$1=1,AG113,AJ113))</f>
        <v/>
      </c>
      <c r="AE113" s="110"/>
      <c r="AF113" s="110"/>
      <c r="AG113" s="110"/>
      <c r="AH113" s="101">
        <v>41</v>
      </c>
      <c r="AI113" s="101" t="s">
        <v>778</v>
      </c>
      <c r="AJ113" s="101">
        <v>4.0999999999999996</v>
      </c>
      <c r="AK113" s="108">
        <v>31</v>
      </c>
      <c r="AL113" s="108" t="s">
        <v>778</v>
      </c>
      <c r="AM113" s="108">
        <v>4.0999999999999996</v>
      </c>
      <c r="AO113" s="114" t="str">
        <f>IF(X113=0,"",IF(A1=1,AO93,IF(H113="","",SUM(H113*1,$G$3))))</f>
        <v/>
      </c>
      <c r="AX113" s="115"/>
      <c r="AY113" s="115">
        <f>IF($G$5="X",0,IF(AZ112=BA112,0,1))</f>
        <v>1</v>
      </c>
      <c r="AZ113" s="116">
        <f>IF(X113=0,0,IF(H113="",1,0))</f>
        <v>0</v>
      </c>
      <c r="BA113" s="29">
        <f>IF(H113="",1,0)</f>
        <v>1</v>
      </c>
      <c r="BB113" s="29" t="str">
        <f>IF(AZ113=1,$BB$112,"")</f>
        <v/>
      </c>
      <c r="BC113" s="116">
        <f>IF(I113="n / a",1,0)</f>
        <v>0</v>
      </c>
      <c r="BD113" s="29" t="str">
        <f>IF(BC113=1,REPT(Sprache!$K$27,1),"")</f>
        <v/>
      </c>
      <c r="BE113" s="29">
        <f>SUM(Steuerung!$Y$3)</f>
        <v>1</v>
      </c>
      <c r="BF113" s="29">
        <f>IF(M113="",100,VLOOKUP(M113,Steuerung!$A$39:$B$60,2,FALSE))</f>
        <v>100</v>
      </c>
      <c r="BG113" s="29">
        <f>IF(BE113=BF113,0,IF(BE113&lt;BF113,0,1))</f>
        <v>0</v>
      </c>
      <c r="BH113" s="29" t="str">
        <f>IF(BE113&gt;20,LEFT(M113,1),"")</f>
        <v/>
      </c>
      <c r="BI113" s="29">
        <f>IF(BH113="2",BE113-BF113,0)</f>
        <v>0</v>
      </c>
      <c r="BJ113" s="29">
        <f>IF(BI113=0,0,1)</f>
        <v>0</v>
      </c>
      <c r="BK113" s="29">
        <f>IF(BL113&gt;0,1,0)</f>
        <v>0</v>
      </c>
      <c r="BL113" s="116">
        <f>SUM(BG113,BJ113)</f>
        <v>0</v>
      </c>
      <c r="BM113" s="29" t="str">
        <f>IF(BL113=0,"",Sprache!$K$49)</f>
        <v/>
      </c>
      <c r="BN113" s="29">
        <v>1</v>
      </c>
      <c r="BO113" s="29">
        <v>1</v>
      </c>
      <c r="BP113" s="29">
        <v>1</v>
      </c>
      <c r="BQ113" s="29">
        <f>IF($A$1=1,BN113,0)</f>
        <v>1</v>
      </c>
      <c r="BR113" s="29">
        <f>IF($A$1=2,BO113,0)</f>
        <v>0</v>
      </c>
      <c r="BS113" s="29">
        <f>IF($A$1=3,BP113,0)</f>
        <v>0</v>
      </c>
      <c r="BU113" s="127">
        <f>IF(BW113=1,H113,"")</f>
        <v>0</v>
      </c>
      <c r="BV113" s="127" t="str">
        <f>CONCATENATE(BU113,BU115)</f>
        <v>00</v>
      </c>
      <c r="BW113" s="29">
        <f>SUM(BQ113:BS113)</f>
        <v>1</v>
      </c>
      <c r="BX113" s="29">
        <f>VLOOKUP(BV113,$BV$13:$BW$67,2,FALSE)</f>
        <v>1</v>
      </c>
      <c r="BY113" s="29" t="b">
        <f>ISERROR(BX113)</f>
        <v>0</v>
      </c>
      <c r="BZ113" s="116" t="str">
        <f>IF(H113="","",IF(Y113=1,"",IF(X113=1,IF(BY113=FALSE,1,0),0)))</f>
        <v/>
      </c>
      <c r="CA113" s="29" t="str">
        <f>IF(BZ113=1,Sprache!K28,"")</f>
        <v/>
      </c>
    </row>
    <row r="114" spans="2:79" ht="6" customHeight="1">
      <c r="D114" s="113"/>
      <c r="E114" s="113"/>
      <c r="I114" s="126"/>
      <c r="AE114" s="111"/>
      <c r="AF114" s="111"/>
      <c r="AG114" s="111"/>
      <c r="AH114" s="103"/>
      <c r="AI114" s="103"/>
      <c r="AJ114" s="103"/>
      <c r="AK114" s="109"/>
      <c r="AL114" s="109"/>
      <c r="AM114" s="109"/>
      <c r="AX114" s="115"/>
      <c r="AY114" s="115"/>
    </row>
    <row r="115" spans="2:79">
      <c r="B115" s="119" t="str">
        <f>CONCATENATE(BB115,BD115,AY115,BM115,CA115)</f>
        <v/>
      </c>
      <c r="D115" s="29" t="str">
        <f>IF(AC115=0,"",AC115)</f>
        <v/>
      </c>
      <c r="E115" s="29" t="str">
        <f>IF(AD115=0,"",AD115)</f>
        <v/>
      </c>
      <c r="F115" s="118"/>
      <c r="G115" s="122" t="str">
        <f>IF(X113=1,IF($A$1=1,"",SUM($G$3/100)),"")</f>
        <v/>
      </c>
      <c r="H115" s="150"/>
      <c r="I115" s="125" t="str">
        <f>IF(X113=0,"",IF(BZ115=1,CA115,IF($A$1=1,"",IF($G$5="x",VLOOKUP(AO115,Licenses!B:C,2,FALSE),IF(BL115=0,IF(H115="","",VLOOKUP(AO115,Licenses!B:C,2,FALSE)),BM115)))))</f>
        <v/>
      </c>
      <c r="J115" s="118"/>
      <c r="K115" s="124" t="str">
        <f>IF(X113=0,"",IF(H115="","",VLOOKUP(AO115,Licenses!B:D,3,FALSE)))</f>
        <v/>
      </c>
      <c r="L115" s="118"/>
      <c r="M115" s="124" t="str">
        <f>REPT(T115,1)</f>
        <v/>
      </c>
      <c r="N115" s="118"/>
      <c r="O115" s="124" t="str">
        <f>IF(M113="","",IF(X113=0,"",IF(H115="","",VLOOKUP(AO115,Licenses!B:I,8,FALSE))))</f>
        <v/>
      </c>
      <c r="T115" s="29" t="str">
        <f>IF(G115="","",IF(U115=0,"",IF(U115="","",U115)))</f>
        <v/>
      </c>
      <c r="U115" s="29" t="str">
        <f>IF(H115="","",VLOOKUP(AO115,Licenses!B:H,7,FALSE))</f>
        <v/>
      </c>
      <c r="AB115" s="29">
        <f>IF($A$1=3,AK115,IF($A$1=2,AH115,IF($A$1=1,AE115,0)))</f>
        <v>0</v>
      </c>
      <c r="AE115" s="110"/>
      <c r="AF115" s="110"/>
      <c r="AG115" s="110"/>
      <c r="AH115" s="101">
        <v>42</v>
      </c>
      <c r="AI115" s="101"/>
      <c r="AJ115" s="101"/>
      <c r="AK115" s="108">
        <v>32</v>
      </c>
      <c r="AL115" s="108"/>
      <c r="AM115" s="108"/>
      <c r="AO115" s="114" t="str">
        <f>IF(X113=0,"",IF(A1=1,AO95,IF(H115="","",SUM(H115*1,$G$3))))</f>
        <v/>
      </c>
      <c r="AP115" s="29">
        <f>IF(AO113="",0,IF(X113=0,"",IF(AO115=AO113,1,0)))</f>
        <v>0</v>
      </c>
      <c r="AW115" s="29" t="str">
        <f>IF($G$5="X",0,IF(AO115="","",SUM(AP115:AV115)))</f>
        <v/>
      </c>
      <c r="AX115" s="117" t="str">
        <f>IF(AW115=1,AX112,"")</f>
        <v/>
      </c>
      <c r="AY115" s="117" t="str">
        <f>IF(AW115=1,$AY$12,"")</f>
        <v/>
      </c>
      <c r="AZ115" s="116">
        <f>IF(X113=0,0,IF(H115="",1,0))</f>
        <v>0</v>
      </c>
      <c r="BA115" s="29">
        <f>IF(H115="",1,0)</f>
        <v>1</v>
      </c>
      <c r="BB115" s="29" t="str">
        <f>IF(AZ115=1,$BB$112,"")</f>
        <v/>
      </c>
      <c r="BC115" s="116">
        <f>IF(I115="n / a",1,0)</f>
        <v>0</v>
      </c>
      <c r="BD115" s="29" t="str">
        <f>IF(BC115=1,REPT(Sprache!$K$27,1),"")</f>
        <v/>
      </c>
      <c r="BE115" s="29">
        <f>SUM(Steuerung!$Y$3)</f>
        <v>1</v>
      </c>
      <c r="BF115" s="29">
        <f>IF(M115="",100,VLOOKUP(M115,Steuerung!$A$39:$B$60,2,FALSE))</f>
        <v>100</v>
      </c>
      <c r="BG115" s="29">
        <f>IF(BE115=BF115,0,IF(BE115&lt;BF115,0,1))</f>
        <v>0</v>
      </c>
      <c r="BH115" s="29" t="str">
        <f>IF(BE115&gt;20,LEFT(M115,1),"")</f>
        <v/>
      </c>
      <c r="BI115" s="29">
        <f>IF(BH115="2",BE115-BF115,0)</f>
        <v>0</v>
      </c>
      <c r="BJ115" s="29">
        <f>IF(BI115=0,0,1)</f>
        <v>0</v>
      </c>
      <c r="BK115" s="29">
        <f>IF(BL115&gt;0,1,0)</f>
        <v>0</v>
      </c>
      <c r="BL115" s="116">
        <f>SUM(BG115,BJ115)</f>
        <v>0</v>
      </c>
      <c r="BM115" s="29" t="str">
        <f>IF(BL115=0,"",Sprache!$K$49)</f>
        <v/>
      </c>
      <c r="BN115" s="29">
        <v>1</v>
      </c>
      <c r="BO115" s="29">
        <v>1</v>
      </c>
      <c r="BP115" s="29">
        <v>1</v>
      </c>
      <c r="BQ115" s="29">
        <f>IF($A$1=1,BN115,0)</f>
        <v>1</v>
      </c>
      <c r="BR115" s="29">
        <f>IF($A$1=2,BO115,0)</f>
        <v>0</v>
      </c>
      <c r="BS115" s="29">
        <f>IF($A$1=3,BP115,0)</f>
        <v>0</v>
      </c>
      <c r="BU115" s="127">
        <f>IF(BW115=1,H115,"")</f>
        <v>0</v>
      </c>
      <c r="BV115" s="127" t="str">
        <f>CONCATENATE(BU115,BU113)</f>
        <v>00</v>
      </c>
      <c r="BW115" s="29">
        <f t="shared" ref="BW115" si="3">SUM(BQ115:BS115)</f>
        <v>1</v>
      </c>
      <c r="BX115" s="29">
        <f t="shared" ref="BX115" si="4">VLOOKUP(BV115,$BV$13:$BW$67,2,FALSE)</f>
        <v>1</v>
      </c>
      <c r="BY115" s="29" t="b">
        <f t="shared" ref="BY115" si="5">ISERROR(BX115)</f>
        <v>0</v>
      </c>
      <c r="BZ115" s="116" t="str">
        <f>IF(H115="","",IF(Y113=1,"",IF(X113=1,IF(BY115=FALSE,1,0),0)))</f>
        <v/>
      </c>
      <c r="CA115" s="29" t="str">
        <f>IF(BZ115=1,Sprache!K28,"")</f>
        <v/>
      </c>
    </row>
    <row r="117" spans="2:79">
      <c r="AW117" s="131">
        <f>SUM(AW115)</f>
        <v>0</v>
      </c>
      <c r="AZ117" s="131">
        <f>IF(X113=1,BA113+BA115,IF(AY113=0,0,SUM(AZ113:AZ115)))</f>
        <v>0</v>
      </c>
      <c r="BC117" s="131">
        <f>SUM(BC113:BC115)</f>
        <v>0</v>
      </c>
      <c r="BK117" s="131">
        <f>SUM(BK113:BK115)</f>
        <v>0</v>
      </c>
      <c r="BL117" s="131">
        <f>SUM(BK117)</f>
        <v>0</v>
      </c>
      <c r="BZ117" s="131">
        <f>SUM(BZ113:BZ115)</f>
        <v>0</v>
      </c>
    </row>
    <row r="119" spans="2:79">
      <c r="BX119" s="29" t="s">
        <v>847</v>
      </c>
      <c r="BZ119" s="131">
        <f>SUM(AZ29,BC29,BL29,AZ49,BC49,BL49,AZ69,BC69,BL69,AZ89,BC89,BL89,AZ109,BC109,BL109,AZ117,BC117,BL117,BZ97,BZ117,AW29,AW49,AW69,AW89,AW109,AW117)</f>
        <v>0</v>
      </c>
    </row>
    <row r="121" spans="2:79">
      <c r="D121" s="132"/>
      <c r="E121" s="132"/>
      <c r="G121" s="133"/>
      <c r="H121" s="82"/>
      <c r="I121" s="134" t="str">
        <f>REPT(Sprache!K50,1)</f>
        <v>Verfügbare Lizenzen</v>
      </c>
      <c r="J121" s="82"/>
      <c r="K121" s="135"/>
      <c r="L121" s="82"/>
    </row>
    <row r="122" spans="2:79">
      <c r="D122" s="132"/>
      <c r="E122" s="132"/>
      <c r="F122" s="132"/>
      <c r="G122" s="133"/>
      <c r="H122" s="82"/>
      <c r="I122" s="82"/>
      <c r="J122" s="82"/>
      <c r="K122" s="135"/>
      <c r="L122" s="82"/>
    </row>
    <row r="123" spans="2:79">
      <c r="G123" s="136" t="s">
        <v>812</v>
      </c>
      <c r="H123" s="137"/>
      <c r="I123" s="138" t="str">
        <f>REPT(Sprache!K33,1)</f>
        <v>Name / Vorname</v>
      </c>
      <c r="J123" s="133"/>
      <c r="K123" s="85" t="str">
        <f>REPT(Sprache!$K$44,1)</f>
        <v>Spieler-Nr.</v>
      </c>
      <c r="L123" s="82"/>
      <c r="M123" s="85" t="str">
        <f>REPT(Sprache!$K$15,1)</f>
        <v>Liga</v>
      </c>
      <c r="N123" s="100"/>
      <c r="O123" s="85" t="str">
        <f>REPT(Sprache!$K$45,1)</f>
        <v>Qualifiziert für:</v>
      </c>
    </row>
    <row r="124" spans="2:79">
      <c r="D124" s="132"/>
      <c r="E124" s="132"/>
      <c r="F124" s="132"/>
      <c r="G124" s="133"/>
      <c r="H124" s="82"/>
      <c r="I124" s="82"/>
      <c r="J124" s="82"/>
      <c r="K124" s="135"/>
      <c r="L124" s="82"/>
    </row>
    <row r="125" spans="2:79">
      <c r="G125" s="139">
        <f>SUM(G3)</f>
        <v>0</v>
      </c>
      <c r="H125" s="140"/>
      <c r="I125" s="141" t="e">
        <f>VLOOKUP(G125,Licenses!B:C,2,FALSE)</f>
        <v>#N/A</v>
      </c>
      <c r="J125" s="142"/>
      <c r="K125" s="143" t="e">
        <f>VLOOKUP(G125,Licenses!B:D,3,FALSE)</f>
        <v>#N/A</v>
      </c>
      <c r="L125" s="144"/>
      <c r="M125" s="143" t="e">
        <f>VLOOKUP(G125,Licenses!B:H,7,FALSE)</f>
        <v>#N/A</v>
      </c>
      <c r="N125" s="142" t="s">
        <v>280</v>
      </c>
      <c r="O125" s="143" t="e">
        <f>VLOOKUP(G125,Licenses!B:I,8,FALSE)</f>
        <v>#N/A</v>
      </c>
    </row>
    <row r="126" spans="2:79">
      <c r="G126" s="145">
        <f>SUM(G125,1)</f>
        <v>1</v>
      </c>
      <c r="H126" s="146"/>
      <c r="I126" s="141" t="e">
        <f>VLOOKUP(G126,Licenses!B:C,2,FALSE)</f>
        <v>#N/A</v>
      </c>
      <c r="J126" s="147"/>
      <c r="K126" s="143" t="e">
        <f>VLOOKUP(G126,Licenses!B:D,3,FALSE)</f>
        <v>#N/A</v>
      </c>
      <c r="L126" s="144"/>
      <c r="M126" s="143" t="e">
        <f>VLOOKUP(G126,Licenses!B:H,7,FALSE)</f>
        <v>#N/A</v>
      </c>
      <c r="N126" s="142" t="s">
        <v>280</v>
      </c>
      <c r="O126" s="143" t="e">
        <f>VLOOKUP(G126,Licenses!B:I,8,FALSE)</f>
        <v>#N/A</v>
      </c>
    </row>
    <row r="127" spans="2:79">
      <c r="G127" s="145">
        <f>SUM(G126,1)</f>
        <v>2</v>
      </c>
      <c r="H127" s="146"/>
      <c r="I127" s="141" t="e">
        <f>VLOOKUP(G127,Licenses!B:C,2,FALSE)</f>
        <v>#N/A</v>
      </c>
      <c r="J127" s="147"/>
      <c r="K127" s="143" t="e">
        <f>VLOOKUP(G127,Licenses!B:D,3,FALSE)</f>
        <v>#N/A</v>
      </c>
      <c r="L127" s="144"/>
      <c r="M127" s="143" t="e">
        <f>VLOOKUP(G127,Licenses!B:H,7,FALSE)</f>
        <v>#N/A</v>
      </c>
      <c r="N127" s="142" t="s">
        <v>280</v>
      </c>
      <c r="O127" s="143" t="e">
        <f>VLOOKUP(G127,Licenses!B:I,8,FALSE)</f>
        <v>#N/A</v>
      </c>
    </row>
    <row r="128" spans="2:79">
      <c r="G128" s="145">
        <f t="shared" ref="G128:G191" si="6">SUM(G127,1)</f>
        <v>3</v>
      </c>
      <c r="H128" s="146"/>
      <c r="I128" s="141" t="e">
        <f>VLOOKUP(G128,Licenses!B:C,2,FALSE)</f>
        <v>#N/A</v>
      </c>
      <c r="J128" s="147"/>
      <c r="K128" s="143" t="e">
        <f>VLOOKUP(G128,Licenses!B:D,3,FALSE)</f>
        <v>#N/A</v>
      </c>
      <c r="L128" s="144"/>
      <c r="M128" s="143" t="e">
        <f>VLOOKUP(G128,Licenses!B:H,7,FALSE)</f>
        <v>#N/A</v>
      </c>
      <c r="N128" s="142" t="s">
        <v>280</v>
      </c>
      <c r="O128" s="143" t="e">
        <f>VLOOKUP(G128,Licenses!B:I,8,FALSE)</f>
        <v>#N/A</v>
      </c>
    </row>
    <row r="129" spans="7:15">
      <c r="G129" s="145">
        <f t="shared" si="6"/>
        <v>4</v>
      </c>
      <c r="H129" s="146"/>
      <c r="I129" s="141" t="e">
        <f>VLOOKUP(G129,Licenses!B:C,2,FALSE)</f>
        <v>#N/A</v>
      </c>
      <c r="J129" s="147"/>
      <c r="K129" s="143" t="e">
        <f>VLOOKUP(G129,Licenses!B:D,3,FALSE)</f>
        <v>#N/A</v>
      </c>
      <c r="L129" s="144"/>
      <c r="M129" s="143" t="e">
        <f>VLOOKUP(G129,Licenses!B:H,7,FALSE)</f>
        <v>#N/A</v>
      </c>
      <c r="N129" s="142" t="s">
        <v>280</v>
      </c>
      <c r="O129" s="143" t="e">
        <f>VLOOKUP(G129,Licenses!B:I,8,FALSE)</f>
        <v>#N/A</v>
      </c>
    </row>
    <row r="130" spans="7:15">
      <c r="G130" s="145">
        <f t="shared" si="6"/>
        <v>5</v>
      </c>
      <c r="H130" s="146"/>
      <c r="I130" s="141" t="e">
        <f>VLOOKUP(G130,Licenses!B:C,2,FALSE)</f>
        <v>#N/A</v>
      </c>
      <c r="J130" s="147"/>
      <c r="K130" s="143" t="e">
        <f>VLOOKUP(G130,Licenses!B:D,3,FALSE)</f>
        <v>#N/A</v>
      </c>
      <c r="L130" s="144"/>
      <c r="M130" s="143" t="e">
        <f>VLOOKUP(G130,Licenses!B:H,7,FALSE)</f>
        <v>#N/A</v>
      </c>
      <c r="N130" s="142" t="s">
        <v>280</v>
      </c>
      <c r="O130" s="143" t="e">
        <f>VLOOKUP(G130,Licenses!B:I,8,FALSE)</f>
        <v>#N/A</v>
      </c>
    </row>
    <row r="131" spans="7:15">
      <c r="G131" s="145">
        <f t="shared" si="6"/>
        <v>6</v>
      </c>
      <c r="H131" s="146"/>
      <c r="I131" s="141" t="e">
        <f>VLOOKUP(G131,Licenses!B:C,2,FALSE)</f>
        <v>#N/A</v>
      </c>
      <c r="J131" s="147"/>
      <c r="K131" s="143" t="e">
        <f>VLOOKUP(G131,Licenses!B:D,3,FALSE)</f>
        <v>#N/A</v>
      </c>
      <c r="L131" s="144"/>
      <c r="M131" s="143" t="e">
        <f>VLOOKUP(G131,Licenses!B:H,7,FALSE)</f>
        <v>#N/A</v>
      </c>
      <c r="N131" s="142" t="s">
        <v>280</v>
      </c>
      <c r="O131" s="143" t="e">
        <f>VLOOKUP(G131,Licenses!B:I,8,FALSE)</f>
        <v>#N/A</v>
      </c>
    </row>
    <row r="132" spans="7:15">
      <c r="G132" s="145">
        <f t="shared" si="6"/>
        <v>7</v>
      </c>
      <c r="H132" s="146"/>
      <c r="I132" s="141" t="e">
        <f>VLOOKUP(G132,Licenses!B:C,2,FALSE)</f>
        <v>#N/A</v>
      </c>
      <c r="J132" s="147"/>
      <c r="K132" s="143" t="e">
        <f>VLOOKUP(G132,Licenses!B:D,3,FALSE)</f>
        <v>#N/A</v>
      </c>
      <c r="L132" s="144"/>
      <c r="M132" s="143" t="e">
        <f>VLOOKUP(G132,Licenses!B:H,7,FALSE)</f>
        <v>#N/A</v>
      </c>
      <c r="N132" s="142" t="s">
        <v>280</v>
      </c>
      <c r="O132" s="143" t="e">
        <f>VLOOKUP(G132,Licenses!B:I,8,FALSE)</f>
        <v>#N/A</v>
      </c>
    </row>
    <row r="133" spans="7:15">
      <c r="G133" s="145">
        <f t="shared" si="6"/>
        <v>8</v>
      </c>
      <c r="H133" s="146"/>
      <c r="I133" s="141" t="e">
        <f>VLOOKUP(G133,Licenses!B:C,2,FALSE)</f>
        <v>#N/A</v>
      </c>
      <c r="J133" s="147"/>
      <c r="K133" s="143" t="e">
        <f>VLOOKUP(G133,Licenses!B:D,3,FALSE)</f>
        <v>#N/A</v>
      </c>
      <c r="L133" s="144"/>
      <c r="M133" s="143" t="e">
        <f>VLOOKUP(G133,Licenses!B:H,7,FALSE)</f>
        <v>#N/A</v>
      </c>
      <c r="N133" s="142" t="s">
        <v>280</v>
      </c>
      <c r="O133" s="143" t="e">
        <f>VLOOKUP(G133,Licenses!B:I,8,FALSE)</f>
        <v>#N/A</v>
      </c>
    </row>
    <row r="134" spans="7:15">
      <c r="G134" s="145">
        <f t="shared" si="6"/>
        <v>9</v>
      </c>
      <c r="H134" s="146"/>
      <c r="I134" s="141" t="e">
        <f>VLOOKUP(G134,Licenses!B:C,2,FALSE)</f>
        <v>#N/A</v>
      </c>
      <c r="J134" s="147"/>
      <c r="K134" s="143" t="e">
        <f>VLOOKUP(G134,Licenses!B:D,3,FALSE)</f>
        <v>#N/A</v>
      </c>
      <c r="L134" s="144"/>
      <c r="M134" s="143" t="e">
        <f>VLOOKUP(G134,Licenses!B:H,7,FALSE)</f>
        <v>#N/A</v>
      </c>
      <c r="N134" s="142" t="s">
        <v>280</v>
      </c>
      <c r="O134" s="143" t="e">
        <f>VLOOKUP(G134,Licenses!B:I,8,FALSE)</f>
        <v>#N/A</v>
      </c>
    </row>
    <row r="135" spans="7:15">
      <c r="G135" s="145">
        <f t="shared" si="6"/>
        <v>10</v>
      </c>
      <c r="H135" s="146"/>
      <c r="I135" s="141" t="e">
        <f>VLOOKUP(G135,Licenses!B:C,2,FALSE)</f>
        <v>#N/A</v>
      </c>
      <c r="J135" s="147"/>
      <c r="K135" s="143" t="e">
        <f>VLOOKUP(G135,Licenses!B:D,3,FALSE)</f>
        <v>#N/A</v>
      </c>
      <c r="L135" s="144"/>
      <c r="M135" s="143" t="e">
        <f>VLOOKUP(G135,Licenses!B:H,7,FALSE)</f>
        <v>#N/A</v>
      </c>
      <c r="N135" s="142" t="s">
        <v>280</v>
      </c>
      <c r="O135" s="143" t="e">
        <f>VLOOKUP(G135,Licenses!B:I,8,FALSE)</f>
        <v>#N/A</v>
      </c>
    </row>
    <row r="136" spans="7:15">
      <c r="G136" s="145">
        <f t="shared" si="6"/>
        <v>11</v>
      </c>
      <c r="H136" s="146"/>
      <c r="I136" s="141" t="e">
        <f>VLOOKUP(G136,Licenses!B:C,2,FALSE)</f>
        <v>#N/A</v>
      </c>
      <c r="J136" s="147"/>
      <c r="K136" s="143" t="e">
        <f>VLOOKUP(G136,Licenses!B:D,3,FALSE)</f>
        <v>#N/A</v>
      </c>
      <c r="L136" s="144"/>
      <c r="M136" s="143" t="e">
        <f>VLOOKUP(G136,Licenses!B:H,7,FALSE)</f>
        <v>#N/A</v>
      </c>
      <c r="N136" s="142" t="s">
        <v>280</v>
      </c>
      <c r="O136" s="143" t="e">
        <f>VLOOKUP(G136,Licenses!B:I,8,FALSE)</f>
        <v>#N/A</v>
      </c>
    </row>
    <row r="137" spans="7:15">
      <c r="G137" s="145">
        <f t="shared" si="6"/>
        <v>12</v>
      </c>
      <c r="H137" s="146"/>
      <c r="I137" s="141" t="e">
        <f>VLOOKUP(G137,Licenses!B:C,2,FALSE)</f>
        <v>#N/A</v>
      </c>
      <c r="J137" s="147"/>
      <c r="K137" s="143" t="e">
        <f>VLOOKUP(G137,Licenses!B:D,3,FALSE)</f>
        <v>#N/A</v>
      </c>
      <c r="L137" s="144"/>
      <c r="M137" s="143" t="e">
        <f>VLOOKUP(G137,Licenses!B:H,7,FALSE)</f>
        <v>#N/A</v>
      </c>
      <c r="N137" s="142" t="s">
        <v>280</v>
      </c>
      <c r="O137" s="143" t="e">
        <f>VLOOKUP(G137,Licenses!B:I,8,FALSE)</f>
        <v>#N/A</v>
      </c>
    </row>
    <row r="138" spans="7:15">
      <c r="G138" s="145">
        <f t="shared" si="6"/>
        <v>13</v>
      </c>
      <c r="H138" s="146"/>
      <c r="I138" s="141" t="e">
        <f>VLOOKUP(G138,Licenses!B:C,2,FALSE)</f>
        <v>#N/A</v>
      </c>
      <c r="J138" s="147"/>
      <c r="K138" s="143" t="e">
        <f>VLOOKUP(G138,Licenses!B:D,3,FALSE)</f>
        <v>#N/A</v>
      </c>
      <c r="L138" s="144"/>
      <c r="M138" s="143" t="e">
        <f>VLOOKUP(G138,Licenses!B:H,7,FALSE)</f>
        <v>#N/A</v>
      </c>
      <c r="N138" s="142" t="s">
        <v>280</v>
      </c>
      <c r="O138" s="143" t="e">
        <f>VLOOKUP(G138,Licenses!B:I,8,FALSE)</f>
        <v>#N/A</v>
      </c>
    </row>
    <row r="139" spans="7:15">
      <c r="G139" s="145">
        <f t="shared" si="6"/>
        <v>14</v>
      </c>
      <c r="H139" s="146"/>
      <c r="I139" s="141" t="e">
        <f>VLOOKUP(G139,Licenses!B:C,2,FALSE)</f>
        <v>#N/A</v>
      </c>
      <c r="J139" s="147"/>
      <c r="K139" s="143" t="e">
        <f>VLOOKUP(G139,Licenses!B:D,3,FALSE)</f>
        <v>#N/A</v>
      </c>
      <c r="L139" s="144"/>
      <c r="M139" s="143" t="e">
        <f>VLOOKUP(G139,Licenses!B:H,7,FALSE)</f>
        <v>#N/A</v>
      </c>
      <c r="N139" s="142" t="s">
        <v>280</v>
      </c>
      <c r="O139" s="143" t="e">
        <f>VLOOKUP(G139,Licenses!B:I,8,FALSE)</f>
        <v>#N/A</v>
      </c>
    </row>
    <row r="140" spans="7:15">
      <c r="G140" s="145">
        <f t="shared" si="6"/>
        <v>15</v>
      </c>
      <c r="H140" s="146"/>
      <c r="I140" s="141" t="e">
        <f>VLOOKUP(G140,Licenses!B:C,2,FALSE)</f>
        <v>#N/A</v>
      </c>
      <c r="J140" s="147"/>
      <c r="K140" s="143" t="e">
        <f>VLOOKUP(G140,Licenses!B:D,3,FALSE)</f>
        <v>#N/A</v>
      </c>
      <c r="L140" s="144"/>
      <c r="M140" s="143" t="e">
        <f>VLOOKUP(G140,Licenses!B:H,7,FALSE)</f>
        <v>#N/A</v>
      </c>
      <c r="N140" s="142" t="s">
        <v>280</v>
      </c>
      <c r="O140" s="143" t="e">
        <f>VLOOKUP(G140,Licenses!B:I,8,FALSE)</f>
        <v>#N/A</v>
      </c>
    </row>
    <row r="141" spans="7:15">
      <c r="G141" s="145">
        <f t="shared" si="6"/>
        <v>16</v>
      </c>
      <c r="H141" s="146"/>
      <c r="I141" s="141" t="e">
        <f>VLOOKUP(G141,Licenses!B:C,2,FALSE)</f>
        <v>#N/A</v>
      </c>
      <c r="J141" s="147"/>
      <c r="K141" s="143" t="e">
        <f>VLOOKUP(G141,Licenses!B:D,3,FALSE)</f>
        <v>#N/A</v>
      </c>
      <c r="L141" s="144"/>
      <c r="M141" s="143" t="e">
        <f>VLOOKUP(G141,Licenses!B:H,7,FALSE)</f>
        <v>#N/A</v>
      </c>
      <c r="N141" s="142" t="s">
        <v>280</v>
      </c>
      <c r="O141" s="143" t="e">
        <f>VLOOKUP(G141,Licenses!B:I,8,FALSE)</f>
        <v>#N/A</v>
      </c>
    </row>
    <row r="142" spans="7:15">
      <c r="G142" s="145">
        <f t="shared" si="6"/>
        <v>17</v>
      </c>
      <c r="H142" s="146"/>
      <c r="I142" s="141" t="e">
        <f>VLOOKUP(G142,Licenses!B:C,2,FALSE)</f>
        <v>#N/A</v>
      </c>
      <c r="J142" s="147"/>
      <c r="K142" s="143" t="e">
        <f>VLOOKUP(G142,Licenses!B:D,3,FALSE)</f>
        <v>#N/A</v>
      </c>
      <c r="L142" s="144"/>
      <c r="M142" s="143" t="e">
        <f>VLOOKUP(G142,Licenses!B:H,7,FALSE)</f>
        <v>#N/A</v>
      </c>
      <c r="N142" s="142" t="s">
        <v>280</v>
      </c>
      <c r="O142" s="143" t="e">
        <f>VLOOKUP(G142,Licenses!B:I,8,FALSE)</f>
        <v>#N/A</v>
      </c>
    </row>
    <row r="143" spans="7:15">
      <c r="G143" s="145">
        <f t="shared" si="6"/>
        <v>18</v>
      </c>
      <c r="H143" s="146"/>
      <c r="I143" s="141" t="e">
        <f>VLOOKUP(G143,Licenses!B:C,2,FALSE)</f>
        <v>#N/A</v>
      </c>
      <c r="J143" s="147"/>
      <c r="K143" s="143" t="e">
        <f>VLOOKUP(G143,Licenses!B:D,3,FALSE)</f>
        <v>#N/A</v>
      </c>
      <c r="L143" s="144"/>
      <c r="M143" s="143" t="e">
        <f>VLOOKUP(G143,Licenses!B:H,7,FALSE)</f>
        <v>#N/A</v>
      </c>
      <c r="N143" s="142" t="s">
        <v>280</v>
      </c>
      <c r="O143" s="143" t="e">
        <f>VLOOKUP(G143,Licenses!B:I,8,FALSE)</f>
        <v>#N/A</v>
      </c>
    </row>
    <row r="144" spans="7:15">
      <c r="G144" s="145">
        <f t="shared" si="6"/>
        <v>19</v>
      </c>
      <c r="H144" s="146"/>
      <c r="I144" s="141" t="e">
        <f>VLOOKUP(G144,Licenses!B:C,2,FALSE)</f>
        <v>#N/A</v>
      </c>
      <c r="J144" s="147"/>
      <c r="K144" s="143" t="e">
        <f>VLOOKUP(G144,Licenses!B:D,3,FALSE)</f>
        <v>#N/A</v>
      </c>
      <c r="L144" s="144"/>
      <c r="M144" s="143" t="e">
        <f>VLOOKUP(G144,Licenses!B:H,7,FALSE)</f>
        <v>#N/A</v>
      </c>
      <c r="N144" s="142" t="s">
        <v>280</v>
      </c>
      <c r="O144" s="143" t="e">
        <f>VLOOKUP(G144,Licenses!B:I,8,FALSE)</f>
        <v>#N/A</v>
      </c>
    </row>
    <row r="145" spans="7:15">
      <c r="G145" s="145">
        <f t="shared" si="6"/>
        <v>20</v>
      </c>
      <c r="H145" s="146"/>
      <c r="I145" s="141" t="e">
        <f>VLOOKUP(G145,Licenses!B:C,2,FALSE)</f>
        <v>#N/A</v>
      </c>
      <c r="J145" s="147"/>
      <c r="K145" s="143" t="e">
        <f>VLOOKUP(G145,Licenses!B:D,3,FALSE)</f>
        <v>#N/A</v>
      </c>
      <c r="L145" s="144"/>
      <c r="M145" s="143" t="e">
        <f>VLOOKUP(G145,Licenses!B:H,7,FALSE)</f>
        <v>#N/A</v>
      </c>
      <c r="N145" s="142" t="s">
        <v>280</v>
      </c>
      <c r="O145" s="143" t="e">
        <f>VLOOKUP(G145,Licenses!B:I,8,FALSE)</f>
        <v>#N/A</v>
      </c>
    </row>
    <row r="146" spans="7:15">
      <c r="G146" s="145">
        <f t="shared" si="6"/>
        <v>21</v>
      </c>
      <c r="H146" s="146"/>
      <c r="I146" s="141" t="e">
        <f>VLOOKUP(G146,Licenses!B:C,2,FALSE)</f>
        <v>#N/A</v>
      </c>
      <c r="J146" s="147"/>
      <c r="K146" s="143" t="e">
        <f>VLOOKUP(G146,Licenses!B:D,3,FALSE)</f>
        <v>#N/A</v>
      </c>
      <c r="L146" s="144"/>
      <c r="M146" s="143" t="e">
        <f>VLOOKUP(G146,Licenses!B:H,7,FALSE)</f>
        <v>#N/A</v>
      </c>
      <c r="N146" s="142" t="s">
        <v>280</v>
      </c>
      <c r="O146" s="143" t="e">
        <f>VLOOKUP(G146,Licenses!B:I,8,FALSE)</f>
        <v>#N/A</v>
      </c>
    </row>
    <row r="147" spans="7:15">
      <c r="G147" s="145">
        <f t="shared" si="6"/>
        <v>22</v>
      </c>
      <c r="H147" s="146"/>
      <c r="I147" s="141" t="e">
        <f>VLOOKUP(G147,Licenses!B:C,2,FALSE)</f>
        <v>#N/A</v>
      </c>
      <c r="J147" s="147"/>
      <c r="K147" s="143" t="e">
        <f>VLOOKUP(G147,Licenses!B:D,3,FALSE)</f>
        <v>#N/A</v>
      </c>
      <c r="L147" s="144"/>
      <c r="M147" s="143" t="e">
        <f>VLOOKUP(G147,Licenses!B:H,7,FALSE)</f>
        <v>#N/A</v>
      </c>
      <c r="N147" s="142" t="s">
        <v>280</v>
      </c>
      <c r="O147" s="143" t="e">
        <f>VLOOKUP(G147,Licenses!B:I,8,FALSE)</f>
        <v>#N/A</v>
      </c>
    </row>
    <row r="148" spans="7:15">
      <c r="G148" s="145">
        <f t="shared" si="6"/>
        <v>23</v>
      </c>
      <c r="H148" s="146"/>
      <c r="I148" s="141" t="e">
        <f>VLOOKUP(G148,Licenses!B:C,2,FALSE)</f>
        <v>#N/A</v>
      </c>
      <c r="J148" s="147"/>
      <c r="K148" s="143" t="e">
        <f>VLOOKUP(G148,Licenses!B:D,3,FALSE)</f>
        <v>#N/A</v>
      </c>
      <c r="L148" s="144"/>
      <c r="M148" s="143" t="e">
        <f>VLOOKUP(G148,Licenses!B:H,7,FALSE)</f>
        <v>#N/A</v>
      </c>
      <c r="N148" s="142" t="s">
        <v>280</v>
      </c>
      <c r="O148" s="143" t="e">
        <f>VLOOKUP(G148,Licenses!B:I,8,FALSE)</f>
        <v>#N/A</v>
      </c>
    </row>
    <row r="149" spans="7:15">
      <c r="G149" s="145">
        <f t="shared" si="6"/>
        <v>24</v>
      </c>
      <c r="H149" s="146"/>
      <c r="I149" s="141" t="e">
        <f>VLOOKUP(G149,Licenses!B:C,2,FALSE)</f>
        <v>#N/A</v>
      </c>
      <c r="J149" s="147"/>
      <c r="K149" s="143" t="e">
        <f>VLOOKUP(G149,Licenses!B:D,3,FALSE)</f>
        <v>#N/A</v>
      </c>
      <c r="L149" s="144"/>
      <c r="M149" s="143" t="e">
        <f>VLOOKUP(G149,Licenses!B:H,7,FALSE)</f>
        <v>#N/A</v>
      </c>
      <c r="N149" s="142" t="s">
        <v>280</v>
      </c>
      <c r="O149" s="143" t="e">
        <f>VLOOKUP(G149,Licenses!B:I,8,FALSE)</f>
        <v>#N/A</v>
      </c>
    </row>
    <row r="150" spans="7:15">
      <c r="G150" s="145">
        <f t="shared" si="6"/>
        <v>25</v>
      </c>
      <c r="H150" s="146"/>
      <c r="I150" s="141" t="e">
        <f>VLOOKUP(G150,Licenses!B:C,2,FALSE)</f>
        <v>#N/A</v>
      </c>
      <c r="J150" s="147"/>
      <c r="K150" s="143" t="e">
        <f>VLOOKUP(G150,Licenses!B:D,3,FALSE)</f>
        <v>#N/A</v>
      </c>
      <c r="L150" s="144"/>
      <c r="M150" s="143" t="e">
        <f>VLOOKUP(G150,Licenses!B:H,7,FALSE)</f>
        <v>#N/A</v>
      </c>
      <c r="N150" s="142" t="s">
        <v>280</v>
      </c>
      <c r="O150" s="143" t="e">
        <f>VLOOKUP(G150,Licenses!B:I,8,FALSE)</f>
        <v>#N/A</v>
      </c>
    </row>
    <row r="151" spans="7:15">
      <c r="G151" s="145">
        <f t="shared" si="6"/>
        <v>26</v>
      </c>
      <c r="H151" s="146"/>
      <c r="I151" s="141" t="e">
        <f>VLOOKUP(G151,Licenses!B:C,2,FALSE)</f>
        <v>#N/A</v>
      </c>
      <c r="J151" s="147"/>
      <c r="K151" s="143" t="e">
        <f>VLOOKUP(G151,Licenses!B:D,3,FALSE)</f>
        <v>#N/A</v>
      </c>
      <c r="L151" s="144"/>
      <c r="M151" s="143" t="e">
        <f>VLOOKUP(G151,Licenses!B:H,7,FALSE)</f>
        <v>#N/A</v>
      </c>
      <c r="N151" s="142" t="s">
        <v>280</v>
      </c>
      <c r="O151" s="143" t="e">
        <f>VLOOKUP(G151,Licenses!B:I,8,FALSE)</f>
        <v>#N/A</v>
      </c>
    </row>
    <row r="152" spans="7:15">
      <c r="G152" s="145">
        <f t="shared" si="6"/>
        <v>27</v>
      </c>
      <c r="H152" s="146"/>
      <c r="I152" s="141" t="e">
        <f>VLOOKUP(G152,Licenses!B:C,2,FALSE)</f>
        <v>#N/A</v>
      </c>
      <c r="J152" s="147"/>
      <c r="K152" s="143" t="e">
        <f>VLOOKUP(G152,Licenses!B:D,3,FALSE)</f>
        <v>#N/A</v>
      </c>
      <c r="L152" s="144"/>
      <c r="M152" s="143" t="e">
        <f>VLOOKUP(G152,Licenses!B:H,7,FALSE)</f>
        <v>#N/A</v>
      </c>
      <c r="N152" s="142" t="s">
        <v>280</v>
      </c>
      <c r="O152" s="143" t="e">
        <f>VLOOKUP(G152,Licenses!B:I,8,FALSE)</f>
        <v>#N/A</v>
      </c>
    </row>
    <row r="153" spans="7:15">
      <c r="G153" s="145">
        <f t="shared" si="6"/>
        <v>28</v>
      </c>
      <c r="H153" s="146"/>
      <c r="I153" s="141" t="e">
        <f>VLOOKUP(G153,Licenses!B:C,2,FALSE)</f>
        <v>#N/A</v>
      </c>
      <c r="J153" s="147"/>
      <c r="K153" s="143" t="e">
        <f>VLOOKUP(G153,Licenses!B:D,3,FALSE)</f>
        <v>#N/A</v>
      </c>
      <c r="L153" s="144"/>
      <c r="M153" s="143" t="e">
        <f>VLOOKUP(G153,Licenses!B:H,7,FALSE)</f>
        <v>#N/A</v>
      </c>
      <c r="N153" s="142" t="s">
        <v>280</v>
      </c>
      <c r="O153" s="143" t="e">
        <f>VLOOKUP(G153,Licenses!B:I,8,FALSE)</f>
        <v>#N/A</v>
      </c>
    </row>
    <row r="154" spans="7:15">
      <c r="G154" s="145">
        <f t="shared" si="6"/>
        <v>29</v>
      </c>
      <c r="H154" s="146"/>
      <c r="I154" s="141" t="e">
        <f>VLOOKUP(G154,Licenses!B:C,2,FALSE)</f>
        <v>#N/A</v>
      </c>
      <c r="J154" s="147"/>
      <c r="K154" s="143" t="e">
        <f>VLOOKUP(G154,Licenses!B:D,3,FALSE)</f>
        <v>#N/A</v>
      </c>
      <c r="L154" s="144"/>
      <c r="M154" s="143" t="e">
        <f>VLOOKUP(G154,Licenses!B:H,7,FALSE)</f>
        <v>#N/A</v>
      </c>
      <c r="N154" s="142" t="s">
        <v>280</v>
      </c>
      <c r="O154" s="143" t="e">
        <f>VLOOKUP(G154,Licenses!B:I,8,FALSE)</f>
        <v>#N/A</v>
      </c>
    </row>
    <row r="155" spans="7:15">
      <c r="G155" s="145">
        <f t="shared" si="6"/>
        <v>30</v>
      </c>
      <c r="H155" s="146"/>
      <c r="I155" s="141" t="e">
        <f>VLOOKUP(G155,Licenses!B:C,2,FALSE)</f>
        <v>#N/A</v>
      </c>
      <c r="J155" s="147"/>
      <c r="K155" s="143" t="e">
        <f>VLOOKUP(G155,Licenses!B:D,3,FALSE)</f>
        <v>#N/A</v>
      </c>
      <c r="L155" s="144"/>
      <c r="M155" s="143" t="e">
        <f>VLOOKUP(G155,Licenses!B:H,7,FALSE)</f>
        <v>#N/A</v>
      </c>
      <c r="N155" s="142" t="s">
        <v>280</v>
      </c>
      <c r="O155" s="143" t="e">
        <f>VLOOKUP(G155,Licenses!B:I,8,FALSE)</f>
        <v>#N/A</v>
      </c>
    </row>
    <row r="156" spans="7:15">
      <c r="G156" s="145">
        <f t="shared" si="6"/>
        <v>31</v>
      </c>
      <c r="H156" s="146"/>
      <c r="I156" s="141" t="e">
        <f>VLOOKUP(G156,Licenses!B:C,2,FALSE)</f>
        <v>#N/A</v>
      </c>
      <c r="J156" s="147"/>
      <c r="K156" s="143" t="e">
        <f>VLOOKUP(G156,Licenses!B:D,3,FALSE)</f>
        <v>#N/A</v>
      </c>
      <c r="L156" s="144"/>
      <c r="M156" s="143" t="e">
        <f>VLOOKUP(G156,Licenses!B:H,7,FALSE)</f>
        <v>#N/A</v>
      </c>
      <c r="N156" s="142" t="s">
        <v>280</v>
      </c>
      <c r="O156" s="143" t="e">
        <f>VLOOKUP(G156,Licenses!B:I,8,FALSE)</f>
        <v>#N/A</v>
      </c>
    </row>
    <row r="157" spans="7:15">
      <c r="G157" s="145">
        <f t="shared" si="6"/>
        <v>32</v>
      </c>
      <c r="H157" s="146"/>
      <c r="I157" s="141" t="e">
        <f>VLOOKUP(G157,Licenses!B:C,2,FALSE)</f>
        <v>#N/A</v>
      </c>
      <c r="J157" s="147"/>
      <c r="K157" s="143" t="e">
        <f>VLOOKUP(G157,Licenses!B:D,3,FALSE)</f>
        <v>#N/A</v>
      </c>
      <c r="L157" s="144"/>
      <c r="M157" s="143" t="e">
        <f>VLOOKUP(G157,Licenses!B:H,7,FALSE)</f>
        <v>#N/A</v>
      </c>
      <c r="N157" s="142" t="s">
        <v>280</v>
      </c>
      <c r="O157" s="143" t="e">
        <f>VLOOKUP(G157,Licenses!B:I,8,FALSE)</f>
        <v>#N/A</v>
      </c>
    </row>
    <row r="158" spans="7:15">
      <c r="G158" s="145">
        <f t="shared" si="6"/>
        <v>33</v>
      </c>
      <c r="H158" s="146"/>
      <c r="I158" s="141" t="e">
        <f>VLOOKUP(G158,Licenses!B:C,2,FALSE)</f>
        <v>#N/A</v>
      </c>
      <c r="J158" s="147"/>
      <c r="K158" s="143" t="e">
        <f>VLOOKUP(G158,Licenses!B:D,3,FALSE)</f>
        <v>#N/A</v>
      </c>
      <c r="L158" s="144"/>
      <c r="M158" s="143" t="e">
        <f>VLOOKUP(G158,Licenses!B:H,7,FALSE)</f>
        <v>#N/A</v>
      </c>
      <c r="N158" s="142" t="s">
        <v>280</v>
      </c>
      <c r="O158" s="143" t="e">
        <f>VLOOKUP(G158,Licenses!B:I,8,FALSE)</f>
        <v>#N/A</v>
      </c>
    </row>
    <row r="159" spans="7:15">
      <c r="G159" s="145">
        <f t="shared" si="6"/>
        <v>34</v>
      </c>
      <c r="H159" s="146"/>
      <c r="I159" s="141" t="e">
        <f>VLOOKUP(G159,Licenses!B:C,2,FALSE)</f>
        <v>#N/A</v>
      </c>
      <c r="J159" s="147"/>
      <c r="K159" s="143" t="e">
        <f>VLOOKUP(G159,Licenses!B:D,3,FALSE)</f>
        <v>#N/A</v>
      </c>
      <c r="L159" s="144"/>
      <c r="M159" s="143" t="e">
        <f>VLOOKUP(G159,Licenses!B:H,7,FALSE)</f>
        <v>#N/A</v>
      </c>
      <c r="N159" s="142" t="s">
        <v>280</v>
      </c>
      <c r="O159" s="143" t="e">
        <f>VLOOKUP(G159,Licenses!B:I,8,FALSE)</f>
        <v>#N/A</v>
      </c>
    </row>
    <row r="160" spans="7:15">
      <c r="G160" s="145">
        <f t="shared" si="6"/>
        <v>35</v>
      </c>
      <c r="H160" s="146"/>
      <c r="I160" s="141" t="e">
        <f>VLOOKUP(G160,Licenses!B:C,2,FALSE)</f>
        <v>#N/A</v>
      </c>
      <c r="J160" s="147"/>
      <c r="K160" s="143" t="e">
        <f>VLOOKUP(G160,Licenses!B:D,3,FALSE)</f>
        <v>#N/A</v>
      </c>
      <c r="L160" s="144"/>
      <c r="M160" s="143" t="e">
        <f>VLOOKUP(G160,Licenses!B:H,7,FALSE)</f>
        <v>#N/A</v>
      </c>
      <c r="N160" s="142" t="s">
        <v>280</v>
      </c>
      <c r="O160" s="143" t="e">
        <f>VLOOKUP(G160,Licenses!B:I,8,FALSE)</f>
        <v>#N/A</v>
      </c>
    </row>
    <row r="161" spans="7:15">
      <c r="G161" s="145">
        <f t="shared" si="6"/>
        <v>36</v>
      </c>
      <c r="H161" s="146"/>
      <c r="I161" s="141" t="e">
        <f>VLOOKUP(G161,Licenses!B:C,2,FALSE)</f>
        <v>#N/A</v>
      </c>
      <c r="J161" s="147"/>
      <c r="K161" s="143" t="e">
        <f>VLOOKUP(G161,Licenses!B:D,3,FALSE)</f>
        <v>#N/A</v>
      </c>
      <c r="L161" s="144"/>
      <c r="M161" s="143" t="e">
        <f>VLOOKUP(G161,Licenses!B:H,7,FALSE)</f>
        <v>#N/A</v>
      </c>
      <c r="N161" s="142" t="s">
        <v>280</v>
      </c>
      <c r="O161" s="143" t="e">
        <f>VLOOKUP(G161,Licenses!B:I,8,FALSE)</f>
        <v>#N/A</v>
      </c>
    </row>
    <row r="162" spans="7:15">
      <c r="G162" s="145">
        <f t="shared" si="6"/>
        <v>37</v>
      </c>
      <c r="H162" s="146"/>
      <c r="I162" s="141" t="e">
        <f>VLOOKUP(G162,Licenses!B:C,2,FALSE)</f>
        <v>#N/A</v>
      </c>
      <c r="J162" s="147"/>
      <c r="K162" s="143" t="e">
        <f>VLOOKUP(G162,Licenses!B:D,3,FALSE)</f>
        <v>#N/A</v>
      </c>
      <c r="L162" s="144"/>
      <c r="M162" s="143" t="e">
        <f>VLOOKUP(G162,Licenses!B:H,7,FALSE)</f>
        <v>#N/A</v>
      </c>
      <c r="N162" s="142" t="s">
        <v>280</v>
      </c>
      <c r="O162" s="143" t="e">
        <f>VLOOKUP(G162,Licenses!B:I,8,FALSE)</f>
        <v>#N/A</v>
      </c>
    </row>
    <row r="163" spans="7:15">
      <c r="G163" s="145">
        <f t="shared" si="6"/>
        <v>38</v>
      </c>
      <c r="H163" s="146"/>
      <c r="I163" s="141" t="e">
        <f>VLOOKUP(G163,Licenses!B:C,2,FALSE)</f>
        <v>#N/A</v>
      </c>
      <c r="J163" s="147"/>
      <c r="K163" s="143" t="e">
        <f>VLOOKUP(G163,Licenses!B:D,3,FALSE)</f>
        <v>#N/A</v>
      </c>
      <c r="L163" s="144"/>
      <c r="M163" s="143" t="e">
        <f>VLOOKUP(G163,Licenses!B:H,7,FALSE)</f>
        <v>#N/A</v>
      </c>
      <c r="N163" s="142" t="s">
        <v>280</v>
      </c>
      <c r="O163" s="143" t="e">
        <f>VLOOKUP(G163,Licenses!B:I,8,FALSE)</f>
        <v>#N/A</v>
      </c>
    </row>
    <row r="164" spans="7:15">
      <c r="G164" s="145">
        <f t="shared" si="6"/>
        <v>39</v>
      </c>
      <c r="H164" s="146"/>
      <c r="I164" s="141" t="e">
        <f>VLOOKUP(G164,Licenses!B:C,2,FALSE)</f>
        <v>#N/A</v>
      </c>
      <c r="J164" s="147"/>
      <c r="K164" s="143" t="e">
        <f>VLOOKUP(G164,Licenses!B:D,3,FALSE)</f>
        <v>#N/A</v>
      </c>
      <c r="L164" s="144"/>
      <c r="M164" s="143" t="e">
        <f>VLOOKUP(G164,Licenses!B:H,7,FALSE)</f>
        <v>#N/A</v>
      </c>
      <c r="N164" s="142" t="s">
        <v>280</v>
      </c>
      <c r="O164" s="143" t="e">
        <f>VLOOKUP(G164,Licenses!B:I,8,FALSE)</f>
        <v>#N/A</v>
      </c>
    </row>
    <row r="165" spans="7:15">
      <c r="G165" s="145">
        <f t="shared" si="6"/>
        <v>40</v>
      </c>
      <c r="H165" s="146"/>
      <c r="I165" s="141" t="e">
        <f>VLOOKUP(G165,Licenses!B:C,2,FALSE)</f>
        <v>#N/A</v>
      </c>
      <c r="J165" s="147"/>
      <c r="K165" s="143" t="e">
        <f>VLOOKUP(G165,Licenses!B:D,3,FALSE)</f>
        <v>#N/A</v>
      </c>
      <c r="L165" s="144"/>
      <c r="M165" s="143" t="e">
        <f>VLOOKUP(G165,Licenses!B:H,7,FALSE)</f>
        <v>#N/A</v>
      </c>
      <c r="N165" s="142" t="s">
        <v>280</v>
      </c>
      <c r="O165" s="143" t="e">
        <f>VLOOKUP(G165,Licenses!B:I,8,FALSE)</f>
        <v>#N/A</v>
      </c>
    </row>
    <row r="166" spans="7:15">
      <c r="G166" s="145">
        <f t="shared" si="6"/>
        <v>41</v>
      </c>
      <c r="H166" s="146"/>
      <c r="I166" s="141" t="e">
        <f>VLOOKUP(G166,Licenses!B:C,2,FALSE)</f>
        <v>#N/A</v>
      </c>
      <c r="J166" s="147"/>
      <c r="K166" s="143" t="e">
        <f>VLOOKUP(G166,Licenses!B:D,3,FALSE)</f>
        <v>#N/A</v>
      </c>
      <c r="L166" s="144"/>
      <c r="M166" s="143" t="e">
        <f>VLOOKUP(G166,Licenses!B:H,7,FALSE)</f>
        <v>#N/A</v>
      </c>
      <c r="N166" s="142" t="s">
        <v>280</v>
      </c>
      <c r="O166" s="143" t="e">
        <f>VLOOKUP(G166,Licenses!B:I,8,FALSE)</f>
        <v>#N/A</v>
      </c>
    </row>
    <row r="167" spans="7:15">
      <c r="G167" s="145">
        <f t="shared" si="6"/>
        <v>42</v>
      </c>
      <c r="H167" s="146"/>
      <c r="I167" s="141" t="e">
        <f>VLOOKUP(G167,Licenses!B:C,2,FALSE)</f>
        <v>#N/A</v>
      </c>
      <c r="J167" s="147"/>
      <c r="K167" s="143" t="e">
        <f>VLOOKUP(G167,Licenses!B:D,3,FALSE)</f>
        <v>#N/A</v>
      </c>
      <c r="L167" s="144"/>
      <c r="M167" s="143" t="e">
        <f>VLOOKUP(G167,Licenses!B:H,7,FALSE)</f>
        <v>#N/A</v>
      </c>
      <c r="N167" s="142" t="s">
        <v>280</v>
      </c>
      <c r="O167" s="143" t="e">
        <f>VLOOKUP(G167,Licenses!B:I,8,FALSE)</f>
        <v>#N/A</v>
      </c>
    </row>
    <row r="168" spans="7:15">
      <c r="G168" s="145">
        <f t="shared" si="6"/>
        <v>43</v>
      </c>
      <c r="H168" s="146"/>
      <c r="I168" s="141" t="e">
        <f>VLOOKUP(G168,Licenses!B:C,2,FALSE)</f>
        <v>#N/A</v>
      </c>
      <c r="J168" s="147"/>
      <c r="K168" s="143" t="e">
        <f>VLOOKUP(G168,Licenses!B:D,3,FALSE)</f>
        <v>#N/A</v>
      </c>
      <c r="L168" s="144"/>
      <c r="M168" s="143" t="e">
        <f>VLOOKUP(G168,Licenses!B:H,7,FALSE)</f>
        <v>#N/A</v>
      </c>
      <c r="N168" s="142" t="s">
        <v>280</v>
      </c>
      <c r="O168" s="143" t="e">
        <f>VLOOKUP(G168,Licenses!B:I,8,FALSE)</f>
        <v>#N/A</v>
      </c>
    </row>
    <row r="169" spans="7:15">
      <c r="G169" s="145">
        <f t="shared" si="6"/>
        <v>44</v>
      </c>
      <c r="H169" s="146"/>
      <c r="I169" s="141" t="e">
        <f>VLOOKUP(G169,Licenses!B:C,2,FALSE)</f>
        <v>#N/A</v>
      </c>
      <c r="J169" s="147"/>
      <c r="K169" s="143" t="e">
        <f>VLOOKUP(G169,Licenses!B:D,3,FALSE)</f>
        <v>#N/A</v>
      </c>
      <c r="L169" s="144"/>
      <c r="M169" s="143" t="e">
        <f>VLOOKUP(G169,Licenses!B:H,7,FALSE)</f>
        <v>#N/A</v>
      </c>
      <c r="N169" s="142" t="s">
        <v>280</v>
      </c>
      <c r="O169" s="143" t="e">
        <f>VLOOKUP(G169,Licenses!B:I,8,FALSE)</f>
        <v>#N/A</v>
      </c>
    </row>
    <row r="170" spans="7:15">
      <c r="G170" s="145">
        <f t="shared" si="6"/>
        <v>45</v>
      </c>
      <c r="H170" s="146"/>
      <c r="I170" s="141" t="e">
        <f>VLOOKUP(G170,Licenses!B:C,2,FALSE)</f>
        <v>#N/A</v>
      </c>
      <c r="J170" s="147"/>
      <c r="K170" s="143" t="e">
        <f>VLOOKUP(G170,Licenses!B:D,3,FALSE)</f>
        <v>#N/A</v>
      </c>
      <c r="L170" s="144"/>
      <c r="M170" s="143" t="e">
        <f>VLOOKUP(G170,Licenses!B:H,7,FALSE)</f>
        <v>#N/A</v>
      </c>
      <c r="N170" s="142" t="s">
        <v>280</v>
      </c>
      <c r="O170" s="143" t="e">
        <f>VLOOKUP(G170,Licenses!B:I,8,FALSE)</f>
        <v>#N/A</v>
      </c>
    </row>
    <row r="171" spans="7:15">
      <c r="G171" s="145">
        <f t="shared" si="6"/>
        <v>46</v>
      </c>
      <c r="H171" s="146"/>
      <c r="I171" s="141" t="e">
        <f>VLOOKUP(G171,Licenses!B:C,2,FALSE)</f>
        <v>#N/A</v>
      </c>
      <c r="J171" s="147"/>
      <c r="K171" s="143" t="e">
        <f>VLOOKUP(G171,Licenses!B:D,3,FALSE)</f>
        <v>#N/A</v>
      </c>
      <c r="L171" s="144"/>
      <c r="M171" s="143" t="e">
        <f>VLOOKUP(G171,Licenses!B:H,7,FALSE)</f>
        <v>#N/A</v>
      </c>
      <c r="N171" s="142" t="s">
        <v>280</v>
      </c>
      <c r="O171" s="143" t="e">
        <f>VLOOKUP(G171,Licenses!B:I,8,FALSE)</f>
        <v>#N/A</v>
      </c>
    </row>
    <row r="172" spans="7:15">
      <c r="G172" s="145">
        <f t="shared" si="6"/>
        <v>47</v>
      </c>
      <c r="H172" s="146"/>
      <c r="I172" s="141" t="e">
        <f>VLOOKUP(G172,Licenses!B:C,2,FALSE)</f>
        <v>#N/A</v>
      </c>
      <c r="J172" s="147"/>
      <c r="K172" s="143" t="e">
        <f>VLOOKUP(G172,Licenses!B:D,3,FALSE)</f>
        <v>#N/A</v>
      </c>
      <c r="L172" s="144"/>
      <c r="M172" s="143" t="e">
        <f>VLOOKUP(G172,Licenses!B:H,7,FALSE)</f>
        <v>#N/A</v>
      </c>
      <c r="N172" s="142" t="s">
        <v>280</v>
      </c>
      <c r="O172" s="143" t="e">
        <f>VLOOKUP(G172,Licenses!B:I,8,FALSE)</f>
        <v>#N/A</v>
      </c>
    </row>
    <row r="173" spans="7:15">
      <c r="G173" s="145">
        <f t="shared" si="6"/>
        <v>48</v>
      </c>
      <c r="H173" s="146"/>
      <c r="I173" s="141" t="e">
        <f>VLOOKUP(G173,Licenses!B:C,2,FALSE)</f>
        <v>#N/A</v>
      </c>
      <c r="J173" s="147"/>
      <c r="K173" s="143" t="e">
        <f>VLOOKUP(G173,Licenses!B:D,3,FALSE)</f>
        <v>#N/A</v>
      </c>
      <c r="L173" s="144"/>
      <c r="M173" s="143" t="e">
        <f>VLOOKUP(G173,Licenses!B:H,7,FALSE)</f>
        <v>#N/A</v>
      </c>
      <c r="N173" s="142" t="s">
        <v>280</v>
      </c>
      <c r="O173" s="143" t="e">
        <f>VLOOKUP(G173,Licenses!B:I,8,FALSE)</f>
        <v>#N/A</v>
      </c>
    </row>
    <row r="174" spans="7:15">
      <c r="G174" s="145">
        <f t="shared" si="6"/>
        <v>49</v>
      </c>
      <c r="H174" s="146"/>
      <c r="I174" s="141" t="e">
        <f>VLOOKUP(G174,Licenses!B:C,2,FALSE)</f>
        <v>#N/A</v>
      </c>
      <c r="J174" s="147"/>
      <c r="K174" s="143" t="e">
        <f>VLOOKUP(G174,Licenses!B:D,3,FALSE)</f>
        <v>#N/A</v>
      </c>
      <c r="L174" s="144"/>
      <c r="M174" s="143" t="e">
        <f>VLOOKUP(G174,Licenses!B:H,7,FALSE)</f>
        <v>#N/A</v>
      </c>
      <c r="N174" s="142" t="s">
        <v>280</v>
      </c>
      <c r="O174" s="143" t="e">
        <f>VLOOKUP(G174,Licenses!B:I,8,FALSE)</f>
        <v>#N/A</v>
      </c>
    </row>
    <row r="175" spans="7:15">
      <c r="G175" s="145">
        <f t="shared" si="6"/>
        <v>50</v>
      </c>
      <c r="H175" s="146"/>
      <c r="I175" s="141" t="e">
        <f>VLOOKUP(G175,Licenses!B:C,2,FALSE)</f>
        <v>#N/A</v>
      </c>
      <c r="J175" s="147"/>
      <c r="K175" s="143" t="e">
        <f>VLOOKUP(G175,Licenses!B:D,3,FALSE)</f>
        <v>#N/A</v>
      </c>
      <c r="L175" s="144"/>
      <c r="M175" s="143" t="e">
        <f>VLOOKUP(G175,Licenses!B:H,7,FALSE)</f>
        <v>#N/A</v>
      </c>
      <c r="N175" s="142" t="s">
        <v>280</v>
      </c>
      <c r="O175" s="143" t="e">
        <f>VLOOKUP(G175,Licenses!B:I,8,FALSE)</f>
        <v>#N/A</v>
      </c>
    </row>
    <row r="176" spans="7:15">
      <c r="G176" s="145">
        <f t="shared" si="6"/>
        <v>51</v>
      </c>
      <c r="H176" s="146"/>
      <c r="I176" s="141" t="e">
        <f>VLOOKUP(G176,Licenses!B:C,2,FALSE)</f>
        <v>#N/A</v>
      </c>
      <c r="J176" s="147"/>
      <c r="K176" s="143" t="e">
        <f>VLOOKUP(G176,Licenses!B:D,3,FALSE)</f>
        <v>#N/A</v>
      </c>
      <c r="L176" s="144"/>
      <c r="M176" s="143" t="e">
        <f>VLOOKUP(G176,Licenses!B:H,7,FALSE)</f>
        <v>#N/A</v>
      </c>
      <c r="N176" s="142" t="s">
        <v>280</v>
      </c>
      <c r="O176" s="143" t="e">
        <f>VLOOKUP(G176,Licenses!B:I,8,FALSE)</f>
        <v>#N/A</v>
      </c>
    </row>
    <row r="177" spans="7:15">
      <c r="G177" s="145">
        <f t="shared" si="6"/>
        <v>52</v>
      </c>
      <c r="H177" s="146"/>
      <c r="I177" s="141" t="e">
        <f>VLOOKUP(G177,Licenses!B:C,2,FALSE)</f>
        <v>#N/A</v>
      </c>
      <c r="J177" s="147"/>
      <c r="K177" s="143" t="e">
        <f>VLOOKUP(G177,Licenses!B:D,3,FALSE)</f>
        <v>#N/A</v>
      </c>
      <c r="L177" s="144"/>
      <c r="M177" s="143" t="e">
        <f>VLOOKUP(G177,Licenses!B:H,7,FALSE)</f>
        <v>#N/A</v>
      </c>
      <c r="N177" s="142" t="s">
        <v>280</v>
      </c>
      <c r="O177" s="143" t="e">
        <f>VLOOKUP(G177,Licenses!B:I,8,FALSE)</f>
        <v>#N/A</v>
      </c>
    </row>
    <row r="178" spans="7:15">
      <c r="G178" s="145">
        <f t="shared" si="6"/>
        <v>53</v>
      </c>
      <c r="H178" s="146"/>
      <c r="I178" s="141" t="e">
        <f>VLOOKUP(G178,Licenses!B:C,2,FALSE)</f>
        <v>#N/A</v>
      </c>
      <c r="J178" s="147"/>
      <c r="K178" s="143" t="e">
        <f>VLOOKUP(G178,Licenses!B:D,3,FALSE)</f>
        <v>#N/A</v>
      </c>
      <c r="L178" s="144"/>
      <c r="M178" s="143" t="e">
        <f>VLOOKUP(G178,Licenses!B:H,7,FALSE)</f>
        <v>#N/A</v>
      </c>
      <c r="N178" s="142" t="s">
        <v>280</v>
      </c>
      <c r="O178" s="143" t="e">
        <f>VLOOKUP(G178,Licenses!B:I,8,FALSE)</f>
        <v>#N/A</v>
      </c>
    </row>
    <row r="179" spans="7:15">
      <c r="G179" s="145">
        <f t="shared" si="6"/>
        <v>54</v>
      </c>
      <c r="H179" s="146"/>
      <c r="I179" s="141" t="e">
        <f>VLOOKUP(G179,Licenses!B:C,2,FALSE)</f>
        <v>#N/A</v>
      </c>
      <c r="J179" s="147"/>
      <c r="K179" s="143" t="e">
        <f>VLOOKUP(G179,Licenses!B:D,3,FALSE)</f>
        <v>#N/A</v>
      </c>
      <c r="L179" s="144"/>
      <c r="M179" s="143" t="e">
        <f>VLOOKUP(G179,Licenses!B:H,7,FALSE)</f>
        <v>#N/A</v>
      </c>
      <c r="N179" s="142" t="s">
        <v>280</v>
      </c>
      <c r="O179" s="143" t="e">
        <f>VLOOKUP(G179,Licenses!B:I,8,FALSE)</f>
        <v>#N/A</v>
      </c>
    </row>
    <row r="180" spans="7:15">
      <c r="G180" s="145">
        <f t="shared" si="6"/>
        <v>55</v>
      </c>
      <c r="H180" s="146"/>
      <c r="I180" s="141" t="e">
        <f>VLOOKUP(G180,Licenses!B:C,2,FALSE)</f>
        <v>#N/A</v>
      </c>
      <c r="J180" s="147"/>
      <c r="K180" s="143" t="e">
        <f>VLOOKUP(G180,Licenses!B:D,3,FALSE)</f>
        <v>#N/A</v>
      </c>
      <c r="L180" s="144"/>
      <c r="M180" s="143" t="e">
        <f>VLOOKUP(G180,Licenses!B:H,7,FALSE)</f>
        <v>#N/A</v>
      </c>
      <c r="N180" s="142" t="s">
        <v>280</v>
      </c>
      <c r="O180" s="143" t="e">
        <f>VLOOKUP(G180,Licenses!B:I,8,FALSE)</f>
        <v>#N/A</v>
      </c>
    </row>
    <row r="181" spans="7:15">
      <c r="G181" s="145">
        <f t="shared" si="6"/>
        <v>56</v>
      </c>
      <c r="H181" s="146"/>
      <c r="I181" s="141" t="e">
        <f>VLOOKUP(G181,Licenses!B:C,2,FALSE)</f>
        <v>#N/A</v>
      </c>
      <c r="J181" s="147"/>
      <c r="K181" s="143" t="e">
        <f>VLOOKUP(G181,Licenses!B:D,3,FALSE)</f>
        <v>#N/A</v>
      </c>
      <c r="L181" s="144"/>
      <c r="M181" s="143" t="e">
        <f>VLOOKUP(G181,Licenses!B:H,7,FALSE)</f>
        <v>#N/A</v>
      </c>
      <c r="N181" s="142" t="s">
        <v>280</v>
      </c>
      <c r="O181" s="143" t="e">
        <f>VLOOKUP(G181,Licenses!B:I,8,FALSE)</f>
        <v>#N/A</v>
      </c>
    </row>
    <row r="182" spans="7:15">
      <c r="G182" s="145">
        <f t="shared" si="6"/>
        <v>57</v>
      </c>
      <c r="H182" s="146"/>
      <c r="I182" s="141" t="e">
        <f>VLOOKUP(G182,Licenses!B:C,2,FALSE)</f>
        <v>#N/A</v>
      </c>
      <c r="J182" s="147"/>
      <c r="K182" s="143" t="e">
        <f>VLOOKUP(G182,Licenses!B:D,3,FALSE)</f>
        <v>#N/A</v>
      </c>
      <c r="L182" s="144"/>
      <c r="M182" s="143" t="e">
        <f>VLOOKUP(G182,Licenses!B:H,7,FALSE)</f>
        <v>#N/A</v>
      </c>
      <c r="N182" s="142" t="s">
        <v>280</v>
      </c>
      <c r="O182" s="143" t="e">
        <f>VLOOKUP(G182,Licenses!B:I,8,FALSE)</f>
        <v>#N/A</v>
      </c>
    </row>
    <row r="183" spans="7:15">
      <c r="G183" s="145">
        <f t="shared" si="6"/>
        <v>58</v>
      </c>
      <c r="H183" s="146"/>
      <c r="I183" s="141" t="e">
        <f>VLOOKUP(G183,Licenses!B:C,2,FALSE)</f>
        <v>#N/A</v>
      </c>
      <c r="J183" s="147"/>
      <c r="K183" s="143" t="e">
        <f>VLOOKUP(G183,Licenses!B:D,3,FALSE)</f>
        <v>#N/A</v>
      </c>
      <c r="L183" s="144"/>
      <c r="M183" s="143" t="e">
        <f>VLOOKUP(G183,Licenses!B:H,7,FALSE)</f>
        <v>#N/A</v>
      </c>
      <c r="N183" s="142" t="s">
        <v>280</v>
      </c>
      <c r="O183" s="143" t="e">
        <f>VLOOKUP(G183,Licenses!B:I,8,FALSE)</f>
        <v>#N/A</v>
      </c>
    </row>
    <row r="184" spans="7:15">
      <c r="G184" s="145">
        <f t="shared" si="6"/>
        <v>59</v>
      </c>
      <c r="H184" s="146"/>
      <c r="I184" s="141" t="e">
        <f>VLOOKUP(G184,Licenses!B:C,2,FALSE)</f>
        <v>#N/A</v>
      </c>
      <c r="J184" s="147"/>
      <c r="K184" s="143" t="e">
        <f>VLOOKUP(G184,Licenses!B:D,3,FALSE)</f>
        <v>#N/A</v>
      </c>
      <c r="L184" s="144"/>
      <c r="M184" s="143" t="e">
        <f>VLOOKUP(G184,Licenses!B:H,7,FALSE)</f>
        <v>#N/A</v>
      </c>
      <c r="N184" s="142" t="s">
        <v>280</v>
      </c>
      <c r="O184" s="143" t="e">
        <f>VLOOKUP(G184,Licenses!B:I,8,FALSE)</f>
        <v>#N/A</v>
      </c>
    </row>
    <row r="185" spans="7:15">
      <c r="G185" s="145">
        <f t="shared" si="6"/>
        <v>60</v>
      </c>
      <c r="H185" s="146"/>
      <c r="I185" s="141" t="e">
        <f>VLOOKUP(G185,Licenses!B:C,2,FALSE)</f>
        <v>#N/A</v>
      </c>
      <c r="J185" s="147"/>
      <c r="K185" s="143" t="e">
        <f>VLOOKUP(G185,Licenses!B:D,3,FALSE)</f>
        <v>#N/A</v>
      </c>
      <c r="L185" s="144"/>
      <c r="M185" s="143" t="e">
        <f>VLOOKUP(G185,Licenses!B:H,7,FALSE)</f>
        <v>#N/A</v>
      </c>
      <c r="N185" s="142" t="s">
        <v>280</v>
      </c>
      <c r="O185" s="143" t="e">
        <f>VLOOKUP(G185,Licenses!B:I,8,FALSE)</f>
        <v>#N/A</v>
      </c>
    </row>
    <row r="186" spans="7:15">
      <c r="G186" s="145">
        <f t="shared" si="6"/>
        <v>61</v>
      </c>
      <c r="H186" s="146"/>
      <c r="I186" s="141" t="e">
        <f>VLOOKUP(G186,Licenses!B:C,2,FALSE)</f>
        <v>#N/A</v>
      </c>
      <c r="J186" s="147"/>
      <c r="K186" s="143" t="e">
        <f>VLOOKUP(G186,Licenses!B:D,3,FALSE)</f>
        <v>#N/A</v>
      </c>
      <c r="L186" s="144"/>
      <c r="M186" s="143" t="e">
        <f>VLOOKUP(G186,Licenses!B:H,7,FALSE)</f>
        <v>#N/A</v>
      </c>
      <c r="N186" s="142" t="s">
        <v>280</v>
      </c>
      <c r="O186" s="143" t="e">
        <f>VLOOKUP(G186,Licenses!B:I,8,FALSE)</f>
        <v>#N/A</v>
      </c>
    </row>
    <row r="187" spans="7:15">
      <c r="G187" s="145">
        <f t="shared" si="6"/>
        <v>62</v>
      </c>
      <c r="H187" s="146"/>
      <c r="I187" s="141" t="e">
        <f>VLOOKUP(G187,Licenses!B:C,2,FALSE)</f>
        <v>#N/A</v>
      </c>
      <c r="J187" s="147"/>
      <c r="K187" s="143" t="e">
        <f>VLOOKUP(G187,Licenses!B:D,3,FALSE)</f>
        <v>#N/A</v>
      </c>
      <c r="L187" s="144"/>
      <c r="M187" s="143" t="e">
        <f>VLOOKUP(G187,Licenses!B:H,7,FALSE)</f>
        <v>#N/A</v>
      </c>
      <c r="N187" s="142" t="s">
        <v>280</v>
      </c>
      <c r="O187" s="143" t="e">
        <f>VLOOKUP(G187,Licenses!B:I,8,FALSE)</f>
        <v>#N/A</v>
      </c>
    </row>
    <row r="188" spans="7:15">
      <c r="G188" s="145">
        <f t="shared" si="6"/>
        <v>63</v>
      </c>
      <c r="H188" s="146"/>
      <c r="I188" s="141" t="e">
        <f>VLOOKUP(G188,Licenses!B:C,2,FALSE)</f>
        <v>#N/A</v>
      </c>
      <c r="J188" s="147"/>
      <c r="K188" s="143" t="e">
        <f>VLOOKUP(G188,Licenses!B:D,3,FALSE)</f>
        <v>#N/A</v>
      </c>
      <c r="L188" s="144"/>
      <c r="M188" s="143" t="e">
        <f>VLOOKUP(G188,Licenses!B:H,7,FALSE)</f>
        <v>#N/A</v>
      </c>
      <c r="N188" s="142" t="s">
        <v>280</v>
      </c>
      <c r="O188" s="143" t="e">
        <f>VLOOKUP(G188,Licenses!B:I,8,FALSE)</f>
        <v>#N/A</v>
      </c>
    </row>
    <row r="189" spans="7:15">
      <c r="G189" s="145">
        <f t="shared" si="6"/>
        <v>64</v>
      </c>
      <c r="H189" s="146"/>
      <c r="I189" s="141" t="e">
        <f>VLOOKUP(G189,Licenses!B:C,2,FALSE)</f>
        <v>#N/A</v>
      </c>
      <c r="J189" s="147"/>
      <c r="K189" s="143" t="e">
        <f>VLOOKUP(G189,Licenses!B:D,3,FALSE)</f>
        <v>#N/A</v>
      </c>
      <c r="L189" s="144"/>
      <c r="M189" s="143" t="e">
        <f>VLOOKUP(G189,Licenses!B:H,7,FALSE)</f>
        <v>#N/A</v>
      </c>
      <c r="N189" s="142" t="s">
        <v>280</v>
      </c>
      <c r="O189" s="143" t="e">
        <f>VLOOKUP(G189,Licenses!B:I,8,FALSE)</f>
        <v>#N/A</v>
      </c>
    </row>
    <row r="190" spans="7:15">
      <c r="G190" s="145">
        <f t="shared" si="6"/>
        <v>65</v>
      </c>
      <c r="H190" s="146"/>
      <c r="I190" s="141" t="e">
        <f>VLOOKUP(G190,Licenses!B:C,2,FALSE)</f>
        <v>#N/A</v>
      </c>
      <c r="J190" s="147"/>
      <c r="K190" s="143" t="e">
        <f>VLOOKUP(G190,Licenses!B:D,3,FALSE)</f>
        <v>#N/A</v>
      </c>
      <c r="L190" s="144"/>
      <c r="M190" s="143" t="e">
        <f>VLOOKUP(G190,Licenses!B:H,7,FALSE)</f>
        <v>#N/A</v>
      </c>
      <c r="N190" s="142" t="s">
        <v>280</v>
      </c>
      <c r="O190" s="143" t="e">
        <f>VLOOKUP(G190,Licenses!B:I,8,FALSE)</f>
        <v>#N/A</v>
      </c>
    </row>
    <row r="191" spans="7:15">
      <c r="G191" s="145">
        <f t="shared" si="6"/>
        <v>66</v>
      </c>
      <c r="H191" s="146"/>
      <c r="I191" s="141" t="e">
        <f>VLOOKUP(G191,Licenses!B:C,2,FALSE)</f>
        <v>#N/A</v>
      </c>
      <c r="J191" s="147"/>
      <c r="K191" s="143" t="e">
        <f>VLOOKUP(G191,Licenses!B:D,3,FALSE)</f>
        <v>#N/A</v>
      </c>
      <c r="L191" s="144"/>
      <c r="M191" s="143" t="e">
        <f>VLOOKUP(G191,Licenses!B:H,7,FALSE)</f>
        <v>#N/A</v>
      </c>
      <c r="N191" s="142" t="s">
        <v>280</v>
      </c>
      <c r="O191" s="143" t="e">
        <f>VLOOKUP(G191,Licenses!B:I,8,FALSE)</f>
        <v>#N/A</v>
      </c>
    </row>
    <row r="192" spans="7:15">
      <c r="G192" s="145">
        <f t="shared" ref="G192:G224" si="7">SUM(G191,1)</f>
        <v>67</v>
      </c>
      <c r="H192" s="146"/>
      <c r="I192" s="141" t="e">
        <f>VLOOKUP(G192,Licenses!B:C,2,FALSE)</f>
        <v>#N/A</v>
      </c>
      <c r="J192" s="147"/>
      <c r="K192" s="143" t="e">
        <f>VLOOKUP(G192,Licenses!B:D,3,FALSE)</f>
        <v>#N/A</v>
      </c>
      <c r="L192" s="144"/>
      <c r="M192" s="143" t="e">
        <f>VLOOKUP(G192,Licenses!B:H,7,FALSE)</f>
        <v>#N/A</v>
      </c>
      <c r="N192" s="142" t="s">
        <v>280</v>
      </c>
      <c r="O192" s="143" t="e">
        <f>VLOOKUP(G192,Licenses!B:I,8,FALSE)</f>
        <v>#N/A</v>
      </c>
    </row>
    <row r="193" spans="7:15">
      <c r="G193" s="145">
        <f t="shared" si="7"/>
        <v>68</v>
      </c>
      <c r="H193" s="146"/>
      <c r="I193" s="141" t="e">
        <f>VLOOKUP(G193,Licenses!B:C,2,FALSE)</f>
        <v>#N/A</v>
      </c>
      <c r="J193" s="147"/>
      <c r="K193" s="143" t="e">
        <f>VLOOKUP(G193,Licenses!B:D,3,FALSE)</f>
        <v>#N/A</v>
      </c>
      <c r="L193" s="144"/>
      <c r="M193" s="143" t="e">
        <f>VLOOKUP(G193,Licenses!B:H,7,FALSE)</f>
        <v>#N/A</v>
      </c>
      <c r="N193" s="142" t="s">
        <v>280</v>
      </c>
      <c r="O193" s="143" t="e">
        <f>VLOOKUP(G193,Licenses!B:I,8,FALSE)</f>
        <v>#N/A</v>
      </c>
    </row>
    <row r="194" spans="7:15">
      <c r="G194" s="145">
        <f t="shared" si="7"/>
        <v>69</v>
      </c>
      <c r="H194" s="146"/>
      <c r="I194" s="141" t="e">
        <f>VLOOKUP(G194,Licenses!B:C,2,FALSE)</f>
        <v>#N/A</v>
      </c>
      <c r="J194" s="147"/>
      <c r="K194" s="143" t="e">
        <f>VLOOKUP(G194,Licenses!B:D,3,FALSE)</f>
        <v>#N/A</v>
      </c>
      <c r="L194" s="144"/>
      <c r="M194" s="143" t="e">
        <f>VLOOKUP(G194,Licenses!B:H,7,FALSE)</f>
        <v>#N/A</v>
      </c>
      <c r="N194" s="142" t="s">
        <v>280</v>
      </c>
      <c r="O194" s="143" t="e">
        <f>VLOOKUP(G194,Licenses!B:I,8,FALSE)</f>
        <v>#N/A</v>
      </c>
    </row>
    <row r="195" spans="7:15">
      <c r="G195" s="145">
        <f t="shared" si="7"/>
        <v>70</v>
      </c>
      <c r="H195" s="146"/>
      <c r="I195" s="141" t="e">
        <f>VLOOKUP(G195,Licenses!B:C,2,FALSE)</f>
        <v>#N/A</v>
      </c>
      <c r="J195" s="147"/>
      <c r="K195" s="143" t="e">
        <f>VLOOKUP(G195,Licenses!B:D,3,FALSE)</f>
        <v>#N/A</v>
      </c>
      <c r="L195" s="144"/>
      <c r="M195" s="143" t="e">
        <f>VLOOKUP(G195,Licenses!B:H,7,FALSE)</f>
        <v>#N/A</v>
      </c>
      <c r="N195" s="142" t="s">
        <v>280</v>
      </c>
      <c r="O195" s="143" t="e">
        <f>VLOOKUP(G195,Licenses!B:I,8,FALSE)</f>
        <v>#N/A</v>
      </c>
    </row>
    <row r="196" spans="7:15">
      <c r="G196" s="145">
        <f t="shared" si="7"/>
        <v>71</v>
      </c>
      <c r="H196" s="146"/>
      <c r="I196" s="141" t="e">
        <f>VLOOKUP(G196,Licenses!B:C,2,FALSE)</f>
        <v>#N/A</v>
      </c>
      <c r="J196" s="147"/>
      <c r="K196" s="143" t="e">
        <f>VLOOKUP(G196,Licenses!B:D,3,FALSE)</f>
        <v>#N/A</v>
      </c>
      <c r="L196" s="144"/>
      <c r="M196" s="143" t="e">
        <f>VLOOKUP(G196,Licenses!B:H,7,FALSE)</f>
        <v>#N/A</v>
      </c>
      <c r="N196" s="142" t="s">
        <v>280</v>
      </c>
      <c r="O196" s="143" t="e">
        <f>VLOOKUP(G196,Licenses!B:I,8,FALSE)</f>
        <v>#N/A</v>
      </c>
    </row>
    <row r="197" spans="7:15">
      <c r="G197" s="145">
        <f t="shared" si="7"/>
        <v>72</v>
      </c>
      <c r="H197" s="146"/>
      <c r="I197" s="141" t="e">
        <f>VLOOKUP(G197,Licenses!B:C,2,FALSE)</f>
        <v>#N/A</v>
      </c>
      <c r="J197" s="147"/>
      <c r="K197" s="143" t="e">
        <f>VLOOKUP(G197,Licenses!B:D,3,FALSE)</f>
        <v>#N/A</v>
      </c>
      <c r="L197" s="144"/>
      <c r="M197" s="143" t="e">
        <f>VLOOKUP(G197,Licenses!B:H,7,FALSE)</f>
        <v>#N/A</v>
      </c>
      <c r="N197" s="142" t="s">
        <v>280</v>
      </c>
      <c r="O197" s="143" t="e">
        <f>VLOOKUP(G197,Licenses!B:I,8,FALSE)</f>
        <v>#N/A</v>
      </c>
    </row>
    <row r="198" spans="7:15">
      <c r="G198" s="145">
        <f t="shared" si="7"/>
        <v>73</v>
      </c>
      <c r="H198" s="146"/>
      <c r="I198" s="141" t="e">
        <f>VLOOKUP(G198,Licenses!B:C,2,FALSE)</f>
        <v>#N/A</v>
      </c>
      <c r="J198" s="147"/>
      <c r="K198" s="143" t="e">
        <f>VLOOKUP(G198,Licenses!B:D,3,FALSE)</f>
        <v>#N/A</v>
      </c>
      <c r="L198" s="144"/>
      <c r="M198" s="143" t="e">
        <f>VLOOKUP(G198,Licenses!B:H,7,FALSE)</f>
        <v>#N/A</v>
      </c>
      <c r="N198" s="142" t="s">
        <v>280</v>
      </c>
      <c r="O198" s="143" t="e">
        <f>VLOOKUP(G198,Licenses!B:I,8,FALSE)</f>
        <v>#N/A</v>
      </c>
    </row>
    <row r="199" spans="7:15">
      <c r="G199" s="145">
        <f t="shared" si="7"/>
        <v>74</v>
      </c>
      <c r="H199" s="146"/>
      <c r="I199" s="141" t="e">
        <f>VLOOKUP(G199,Licenses!B:C,2,FALSE)</f>
        <v>#N/A</v>
      </c>
      <c r="J199" s="147"/>
      <c r="K199" s="143" t="e">
        <f>VLOOKUP(G199,Licenses!B:D,3,FALSE)</f>
        <v>#N/A</v>
      </c>
      <c r="L199" s="144"/>
      <c r="M199" s="143" t="e">
        <f>VLOOKUP(G199,Licenses!B:H,7,FALSE)</f>
        <v>#N/A</v>
      </c>
      <c r="N199" s="142" t="s">
        <v>280</v>
      </c>
      <c r="O199" s="143" t="e">
        <f>VLOOKUP(G199,Licenses!B:I,8,FALSE)</f>
        <v>#N/A</v>
      </c>
    </row>
    <row r="200" spans="7:15">
      <c r="G200" s="145">
        <f t="shared" si="7"/>
        <v>75</v>
      </c>
      <c r="H200" s="146"/>
      <c r="I200" s="141" t="e">
        <f>VLOOKUP(G200,Licenses!B:C,2,FALSE)</f>
        <v>#N/A</v>
      </c>
      <c r="J200" s="147"/>
      <c r="K200" s="143" t="e">
        <f>VLOOKUP(G200,Licenses!B:D,3,FALSE)</f>
        <v>#N/A</v>
      </c>
      <c r="L200" s="144"/>
      <c r="M200" s="143" t="e">
        <f>VLOOKUP(G200,Licenses!B:H,7,FALSE)</f>
        <v>#N/A</v>
      </c>
      <c r="N200" s="142" t="s">
        <v>280</v>
      </c>
      <c r="O200" s="143" t="e">
        <f>VLOOKUP(G200,Licenses!B:I,8,FALSE)</f>
        <v>#N/A</v>
      </c>
    </row>
    <row r="201" spans="7:15">
      <c r="G201" s="145">
        <f t="shared" si="7"/>
        <v>76</v>
      </c>
      <c r="H201" s="146"/>
      <c r="I201" s="141" t="e">
        <f>VLOOKUP(G201,Licenses!B:C,2,FALSE)</f>
        <v>#N/A</v>
      </c>
      <c r="J201" s="147"/>
      <c r="K201" s="143" t="e">
        <f>VLOOKUP(G201,Licenses!B:D,3,FALSE)</f>
        <v>#N/A</v>
      </c>
      <c r="L201" s="144"/>
      <c r="M201" s="143" t="e">
        <f>VLOOKUP(G201,Licenses!B:H,7,FALSE)</f>
        <v>#N/A</v>
      </c>
      <c r="N201" s="142" t="s">
        <v>280</v>
      </c>
      <c r="O201" s="143" t="e">
        <f>VLOOKUP(G201,Licenses!B:I,8,FALSE)</f>
        <v>#N/A</v>
      </c>
    </row>
    <row r="202" spans="7:15">
      <c r="G202" s="145">
        <f t="shared" si="7"/>
        <v>77</v>
      </c>
      <c r="H202" s="146"/>
      <c r="I202" s="141" t="e">
        <f>VLOOKUP(G202,Licenses!B:C,2,FALSE)</f>
        <v>#N/A</v>
      </c>
      <c r="J202" s="147"/>
      <c r="K202" s="143" t="e">
        <f>VLOOKUP(G202,Licenses!B:D,3,FALSE)</f>
        <v>#N/A</v>
      </c>
      <c r="L202" s="144"/>
      <c r="M202" s="143" t="e">
        <f>VLOOKUP(G202,Licenses!B:H,7,FALSE)</f>
        <v>#N/A</v>
      </c>
      <c r="N202" s="142" t="s">
        <v>280</v>
      </c>
      <c r="O202" s="143" t="e">
        <f>VLOOKUP(G202,Licenses!B:I,8,FALSE)</f>
        <v>#N/A</v>
      </c>
    </row>
    <row r="203" spans="7:15">
      <c r="G203" s="145">
        <f t="shared" si="7"/>
        <v>78</v>
      </c>
      <c r="H203" s="146"/>
      <c r="I203" s="141" t="e">
        <f>VLOOKUP(G203,Licenses!B:C,2,FALSE)</f>
        <v>#N/A</v>
      </c>
      <c r="J203" s="147"/>
      <c r="K203" s="143" t="e">
        <f>VLOOKUP(G203,Licenses!B:D,3,FALSE)</f>
        <v>#N/A</v>
      </c>
      <c r="L203" s="144"/>
      <c r="M203" s="143" t="e">
        <f>VLOOKUP(G203,Licenses!B:H,7,FALSE)</f>
        <v>#N/A</v>
      </c>
      <c r="N203" s="142" t="s">
        <v>280</v>
      </c>
      <c r="O203" s="143" t="e">
        <f>VLOOKUP(G203,Licenses!B:I,8,FALSE)</f>
        <v>#N/A</v>
      </c>
    </row>
    <row r="204" spans="7:15">
      <c r="G204" s="145">
        <f t="shared" si="7"/>
        <v>79</v>
      </c>
      <c r="H204" s="146"/>
      <c r="I204" s="141" t="e">
        <f>VLOOKUP(G204,Licenses!B:C,2,FALSE)</f>
        <v>#N/A</v>
      </c>
      <c r="J204" s="147"/>
      <c r="K204" s="143" t="e">
        <f>VLOOKUP(G204,Licenses!B:D,3,FALSE)</f>
        <v>#N/A</v>
      </c>
      <c r="L204" s="144"/>
      <c r="M204" s="143" t="e">
        <f>VLOOKUP(G204,Licenses!B:H,7,FALSE)</f>
        <v>#N/A</v>
      </c>
      <c r="N204" s="142" t="s">
        <v>280</v>
      </c>
      <c r="O204" s="143" t="e">
        <f>VLOOKUP(G204,Licenses!B:I,8,FALSE)</f>
        <v>#N/A</v>
      </c>
    </row>
    <row r="205" spans="7:15">
      <c r="G205" s="145">
        <f t="shared" si="7"/>
        <v>80</v>
      </c>
      <c r="H205" s="146"/>
      <c r="I205" s="141" t="e">
        <f>VLOOKUP(G205,Licenses!B:C,2,FALSE)</f>
        <v>#N/A</v>
      </c>
      <c r="J205" s="147"/>
      <c r="K205" s="143" t="e">
        <f>VLOOKUP(G205,Licenses!B:D,3,FALSE)</f>
        <v>#N/A</v>
      </c>
      <c r="L205" s="144"/>
      <c r="M205" s="143" t="e">
        <f>VLOOKUP(G205,Licenses!B:H,7,FALSE)</f>
        <v>#N/A</v>
      </c>
      <c r="N205" s="142" t="s">
        <v>280</v>
      </c>
      <c r="O205" s="143" t="e">
        <f>VLOOKUP(G205,Licenses!B:I,8,FALSE)</f>
        <v>#N/A</v>
      </c>
    </row>
    <row r="206" spans="7:15">
      <c r="G206" s="145">
        <f t="shared" si="7"/>
        <v>81</v>
      </c>
      <c r="H206" s="146"/>
      <c r="I206" s="141" t="e">
        <f>VLOOKUP(G206,Licenses!B:C,2,FALSE)</f>
        <v>#N/A</v>
      </c>
      <c r="J206" s="147"/>
      <c r="K206" s="143" t="e">
        <f>VLOOKUP(G206,Licenses!B:D,3,FALSE)</f>
        <v>#N/A</v>
      </c>
      <c r="L206" s="144"/>
      <c r="M206" s="143" t="e">
        <f>VLOOKUP(G206,Licenses!B:H,7,FALSE)</f>
        <v>#N/A</v>
      </c>
      <c r="N206" s="142" t="s">
        <v>280</v>
      </c>
      <c r="O206" s="143" t="e">
        <f>VLOOKUP(G206,Licenses!B:I,8,FALSE)</f>
        <v>#N/A</v>
      </c>
    </row>
    <row r="207" spans="7:15">
      <c r="G207" s="145">
        <f t="shared" si="7"/>
        <v>82</v>
      </c>
      <c r="H207" s="146"/>
      <c r="I207" s="141" t="e">
        <f>VLOOKUP(G207,Licenses!B:C,2,FALSE)</f>
        <v>#N/A</v>
      </c>
      <c r="J207" s="147"/>
      <c r="K207" s="143" t="e">
        <f>VLOOKUP(G207,Licenses!B:D,3,FALSE)</f>
        <v>#N/A</v>
      </c>
      <c r="L207" s="144"/>
      <c r="M207" s="143" t="e">
        <f>VLOOKUP(G207,Licenses!B:H,7,FALSE)</f>
        <v>#N/A</v>
      </c>
      <c r="N207" s="142" t="s">
        <v>280</v>
      </c>
      <c r="O207" s="143" t="e">
        <f>VLOOKUP(G207,Licenses!B:I,8,FALSE)</f>
        <v>#N/A</v>
      </c>
    </row>
    <row r="208" spans="7:15">
      <c r="G208" s="145">
        <f t="shared" si="7"/>
        <v>83</v>
      </c>
      <c r="H208" s="146"/>
      <c r="I208" s="141" t="e">
        <f>VLOOKUP(G208,Licenses!B:C,2,FALSE)</f>
        <v>#N/A</v>
      </c>
      <c r="J208" s="147"/>
      <c r="K208" s="143" t="e">
        <f>VLOOKUP(G208,Licenses!B:D,3,FALSE)</f>
        <v>#N/A</v>
      </c>
      <c r="L208" s="144"/>
      <c r="M208" s="143" t="e">
        <f>VLOOKUP(G208,Licenses!B:H,7,FALSE)</f>
        <v>#N/A</v>
      </c>
      <c r="N208" s="142" t="s">
        <v>280</v>
      </c>
      <c r="O208" s="143" t="e">
        <f>VLOOKUP(G208,Licenses!B:I,8,FALSE)</f>
        <v>#N/A</v>
      </c>
    </row>
    <row r="209" spans="7:15">
      <c r="G209" s="145">
        <f t="shared" si="7"/>
        <v>84</v>
      </c>
      <c r="H209" s="146"/>
      <c r="I209" s="141" t="e">
        <f>VLOOKUP(G209,Licenses!B:C,2,FALSE)</f>
        <v>#N/A</v>
      </c>
      <c r="J209" s="147"/>
      <c r="K209" s="143" t="e">
        <f>VLOOKUP(G209,Licenses!B:D,3,FALSE)</f>
        <v>#N/A</v>
      </c>
      <c r="L209" s="144"/>
      <c r="M209" s="143" t="e">
        <f>VLOOKUP(G209,Licenses!B:H,7,FALSE)</f>
        <v>#N/A</v>
      </c>
      <c r="N209" s="142" t="s">
        <v>280</v>
      </c>
      <c r="O209" s="143" t="e">
        <f>VLOOKUP(G209,Licenses!B:I,8,FALSE)</f>
        <v>#N/A</v>
      </c>
    </row>
    <row r="210" spans="7:15">
      <c r="G210" s="145">
        <f t="shared" si="7"/>
        <v>85</v>
      </c>
      <c r="H210" s="146"/>
      <c r="I210" s="141" t="e">
        <f>VLOOKUP(G210,Licenses!B:C,2,FALSE)</f>
        <v>#N/A</v>
      </c>
      <c r="J210" s="147"/>
      <c r="K210" s="143" t="e">
        <f>VLOOKUP(G210,Licenses!B:D,3,FALSE)</f>
        <v>#N/A</v>
      </c>
      <c r="L210" s="144"/>
      <c r="M210" s="143" t="e">
        <f>VLOOKUP(G210,Licenses!B:H,7,FALSE)</f>
        <v>#N/A</v>
      </c>
      <c r="N210" s="142" t="s">
        <v>280</v>
      </c>
      <c r="O210" s="143" t="e">
        <f>VLOOKUP(G210,Licenses!B:I,8,FALSE)</f>
        <v>#N/A</v>
      </c>
    </row>
    <row r="211" spans="7:15">
      <c r="G211" s="145">
        <f t="shared" si="7"/>
        <v>86</v>
      </c>
      <c r="H211" s="146"/>
      <c r="I211" s="141" t="e">
        <f>VLOOKUP(G211,Licenses!B:C,2,FALSE)</f>
        <v>#N/A</v>
      </c>
      <c r="J211" s="147"/>
      <c r="K211" s="143" t="e">
        <f>VLOOKUP(G211,Licenses!B:D,3,FALSE)</f>
        <v>#N/A</v>
      </c>
      <c r="L211" s="144"/>
      <c r="M211" s="143" t="e">
        <f>VLOOKUP(G211,Licenses!B:H,7,FALSE)</f>
        <v>#N/A</v>
      </c>
      <c r="N211" s="142" t="s">
        <v>280</v>
      </c>
      <c r="O211" s="143" t="e">
        <f>VLOOKUP(G211,Licenses!B:I,8,FALSE)</f>
        <v>#N/A</v>
      </c>
    </row>
    <row r="212" spans="7:15">
      <c r="G212" s="145">
        <f t="shared" si="7"/>
        <v>87</v>
      </c>
      <c r="H212" s="146"/>
      <c r="I212" s="141" t="e">
        <f>VLOOKUP(G212,Licenses!B:C,2,FALSE)</f>
        <v>#N/A</v>
      </c>
      <c r="J212" s="147"/>
      <c r="K212" s="143" t="e">
        <f>VLOOKUP(G212,Licenses!B:D,3,FALSE)</f>
        <v>#N/A</v>
      </c>
      <c r="L212" s="144"/>
      <c r="M212" s="143" t="e">
        <f>VLOOKUP(G212,Licenses!B:H,7,FALSE)</f>
        <v>#N/A</v>
      </c>
      <c r="N212" s="142" t="s">
        <v>280</v>
      </c>
      <c r="O212" s="143" t="e">
        <f>VLOOKUP(G212,Licenses!B:I,8,FALSE)</f>
        <v>#N/A</v>
      </c>
    </row>
    <row r="213" spans="7:15">
      <c r="G213" s="145">
        <f t="shared" si="7"/>
        <v>88</v>
      </c>
      <c r="H213" s="146"/>
      <c r="I213" s="141" t="e">
        <f>VLOOKUP(G213,Licenses!B:C,2,FALSE)</f>
        <v>#N/A</v>
      </c>
      <c r="J213" s="147"/>
      <c r="K213" s="143" t="e">
        <f>VLOOKUP(G213,Licenses!B:D,3,FALSE)</f>
        <v>#N/A</v>
      </c>
      <c r="L213" s="144"/>
      <c r="M213" s="143" t="e">
        <f>VLOOKUP(G213,Licenses!B:H,7,FALSE)</f>
        <v>#N/A</v>
      </c>
      <c r="N213" s="142" t="s">
        <v>280</v>
      </c>
      <c r="O213" s="143" t="e">
        <f>VLOOKUP(G213,Licenses!B:I,8,FALSE)</f>
        <v>#N/A</v>
      </c>
    </row>
    <row r="214" spans="7:15">
      <c r="G214" s="145">
        <f t="shared" si="7"/>
        <v>89</v>
      </c>
      <c r="H214" s="146"/>
      <c r="I214" s="141" t="e">
        <f>VLOOKUP(G214,Licenses!B:C,2,FALSE)</f>
        <v>#N/A</v>
      </c>
      <c r="J214" s="147"/>
      <c r="K214" s="143" t="e">
        <f>VLOOKUP(G214,Licenses!B:D,3,FALSE)</f>
        <v>#N/A</v>
      </c>
      <c r="L214" s="144"/>
      <c r="M214" s="143" t="e">
        <f>VLOOKUP(G214,Licenses!B:H,7,FALSE)</f>
        <v>#N/A</v>
      </c>
      <c r="N214" s="142" t="s">
        <v>280</v>
      </c>
      <c r="O214" s="143" t="e">
        <f>VLOOKUP(G214,Licenses!B:I,8,FALSE)</f>
        <v>#N/A</v>
      </c>
    </row>
    <row r="215" spans="7:15">
      <c r="G215" s="145">
        <f t="shared" si="7"/>
        <v>90</v>
      </c>
      <c r="H215" s="146"/>
      <c r="I215" s="141" t="e">
        <f>VLOOKUP(G215,Licenses!B:C,2,FALSE)</f>
        <v>#N/A</v>
      </c>
      <c r="J215" s="147"/>
      <c r="K215" s="143" t="e">
        <f>VLOOKUP(G215,Licenses!B:D,3,FALSE)</f>
        <v>#N/A</v>
      </c>
      <c r="L215" s="144"/>
      <c r="M215" s="143" t="e">
        <f>VLOOKUP(G215,Licenses!B:H,7,FALSE)</f>
        <v>#N/A</v>
      </c>
      <c r="N215" s="142" t="s">
        <v>280</v>
      </c>
      <c r="O215" s="143" t="e">
        <f>VLOOKUP(G215,Licenses!B:I,8,FALSE)</f>
        <v>#N/A</v>
      </c>
    </row>
    <row r="216" spans="7:15">
      <c r="G216" s="145">
        <f t="shared" si="7"/>
        <v>91</v>
      </c>
      <c r="H216" s="146"/>
      <c r="I216" s="141" t="e">
        <f>VLOOKUP(G216,Licenses!B:C,2,FALSE)</f>
        <v>#N/A</v>
      </c>
      <c r="J216" s="147"/>
      <c r="K216" s="143" t="e">
        <f>VLOOKUP(G216,Licenses!B:D,3,FALSE)</f>
        <v>#N/A</v>
      </c>
      <c r="L216" s="144"/>
      <c r="M216" s="143" t="e">
        <f>VLOOKUP(G216,Licenses!B:H,7,FALSE)</f>
        <v>#N/A</v>
      </c>
      <c r="N216" s="142" t="s">
        <v>280</v>
      </c>
      <c r="O216" s="143" t="e">
        <f>VLOOKUP(G216,Licenses!B:I,8,FALSE)</f>
        <v>#N/A</v>
      </c>
    </row>
    <row r="217" spans="7:15">
      <c r="G217" s="145">
        <f t="shared" si="7"/>
        <v>92</v>
      </c>
      <c r="H217" s="146"/>
      <c r="I217" s="141" t="e">
        <f>VLOOKUP(G217,Licenses!B:C,2,FALSE)</f>
        <v>#N/A</v>
      </c>
      <c r="J217" s="147"/>
      <c r="K217" s="143" t="e">
        <f>VLOOKUP(G217,Licenses!B:D,3,FALSE)</f>
        <v>#N/A</v>
      </c>
      <c r="L217" s="144"/>
      <c r="M217" s="143" t="e">
        <f>VLOOKUP(G217,Licenses!B:H,7,FALSE)</f>
        <v>#N/A</v>
      </c>
      <c r="N217" s="142" t="s">
        <v>280</v>
      </c>
      <c r="O217" s="143" t="e">
        <f>VLOOKUP(G217,Licenses!B:I,8,FALSE)</f>
        <v>#N/A</v>
      </c>
    </row>
    <row r="218" spans="7:15">
      <c r="G218" s="145">
        <f t="shared" si="7"/>
        <v>93</v>
      </c>
      <c r="H218" s="146"/>
      <c r="I218" s="141" t="e">
        <f>VLOOKUP(G218,Licenses!B:C,2,FALSE)</f>
        <v>#N/A</v>
      </c>
      <c r="J218" s="147"/>
      <c r="K218" s="143" t="e">
        <f>VLOOKUP(G218,Licenses!B:D,3,FALSE)</f>
        <v>#N/A</v>
      </c>
      <c r="L218" s="144"/>
      <c r="M218" s="143" t="e">
        <f>VLOOKUP(G218,Licenses!B:H,7,FALSE)</f>
        <v>#N/A</v>
      </c>
      <c r="N218" s="142" t="s">
        <v>280</v>
      </c>
      <c r="O218" s="143" t="e">
        <f>VLOOKUP(G218,Licenses!B:I,8,FALSE)</f>
        <v>#N/A</v>
      </c>
    </row>
    <row r="219" spans="7:15">
      <c r="G219" s="145">
        <f t="shared" si="7"/>
        <v>94</v>
      </c>
      <c r="H219" s="146"/>
      <c r="I219" s="141" t="e">
        <f>VLOOKUP(G219,Licenses!B:C,2,FALSE)</f>
        <v>#N/A</v>
      </c>
      <c r="J219" s="147"/>
      <c r="K219" s="143" t="e">
        <f>VLOOKUP(G219,Licenses!B:D,3,FALSE)</f>
        <v>#N/A</v>
      </c>
      <c r="L219" s="144"/>
      <c r="M219" s="143" t="e">
        <f>VLOOKUP(G219,Licenses!B:H,7,FALSE)</f>
        <v>#N/A</v>
      </c>
      <c r="N219" s="142" t="s">
        <v>280</v>
      </c>
      <c r="O219" s="143" t="e">
        <f>VLOOKUP(G219,Licenses!B:I,8,FALSE)</f>
        <v>#N/A</v>
      </c>
    </row>
    <row r="220" spans="7:15">
      <c r="G220" s="145">
        <f t="shared" si="7"/>
        <v>95</v>
      </c>
      <c r="H220" s="146"/>
      <c r="I220" s="141" t="e">
        <f>VLOOKUP(G220,Licenses!B:C,2,FALSE)</f>
        <v>#N/A</v>
      </c>
      <c r="J220" s="147"/>
      <c r="K220" s="143" t="e">
        <f>VLOOKUP(G220,Licenses!B:D,3,FALSE)</f>
        <v>#N/A</v>
      </c>
      <c r="L220" s="144"/>
      <c r="M220" s="143" t="e">
        <f>VLOOKUP(G220,Licenses!B:H,7,FALSE)</f>
        <v>#N/A</v>
      </c>
      <c r="N220" s="142" t="s">
        <v>280</v>
      </c>
      <c r="O220" s="143" t="e">
        <f>VLOOKUP(G220,Licenses!B:I,8,FALSE)</f>
        <v>#N/A</v>
      </c>
    </row>
    <row r="221" spans="7:15">
      <c r="G221" s="145">
        <f t="shared" si="7"/>
        <v>96</v>
      </c>
      <c r="H221" s="146"/>
      <c r="I221" s="141" t="e">
        <f>VLOOKUP(G221,Licenses!B:C,2,FALSE)</f>
        <v>#N/A</v>
      </c>
      <c r="J221" s="147"/>
      <c r="K221" s="143" t="e">
        <f>VLOOKUP(G221,Licenses!B:D,3,FALSE)</f>
        <v>#N/A</v>
      </c>
      <c r="L221" s="144"/>
      <c r="M221" s="143" t="e">
        <f>VLOOKUP(G221,Licenses!B:H,7,FALSE)</f>
        <v>#N/A</v>
      </c>
      <c r="N221" s="142" t="s">
        <v>280</v>
      </c>
      <c r="O221" s="143" t="e">
        <f>VLOOKUP(G221,Licenses!B:I,8,FALSE)</f>
        <v>#N/A</v>
      </c>
    </row>
    <row r="222" spans="7:15">
      <c r="G222" s="145">
        <f t="shared" si="7"/>
        <v>97</v>
      </c>
      <c r="H222" s="146"/>
      <c r="I222" s="141" t="e">
        <f>VLOOKUP(G222,Licenses!B:C,2,FALSE)</f>
        <v>#N/A</v>
      </c>
      <c r="J222" s="147"/>
      <c r="K222" s="143" t="e">
        <f>VLOOKUP(G222,Licenses!B:D,3,FALSE)</f>
        <v>#N/A</v>
      </c>
      <c r="L222" s="144"/>
      <c r="M222" s="143" t="e">
        <f>VLOOKUP(G222,Licenses!B:H,7,FALSE)</f>
        <v>#N/A</v>
      </c>
      <c r="N222" s="142" t="s">
        <v>280</v>
      </c>
      <c r="O222" s="143" t="e">
        <f>VLOOKUP(G222,Licenses!B:I,8,FALSE)</f>
        <v>#N/A</v>
      </c>
    </row>
    <row r="223" spans="7:15">
      <c r="G223" s="145">
        <f t="shared" si="7"/>
        <v>98</v>
      </c>
      <c r="H223" s="146"/>
      <c r="I223" s="141" t="e">
        <f>VLOOKUP(G223,Licenses!B:C,2,FALSE)</f>
        <v>#N/A</v>
      </c>
      <c r="J223" s="147"/>
      <c r="K223" s="143" t="e">
        <f>VLOOKUP(G223,Licenses!B:D,3,FALSE)</f>
        <v>#N/A</v>
      </c>
      <c r="L223" s="144"/>
      <c r="M223" s="143" t="e">
        <f>VLOOKUP(G223,Licenses!B:H,7,FALSE)</f>
        <v>#N/A</v>
      </c>
      <c r="N223" s="142" t="s">
        <v>280</v>
      </c>
      <c r="O223" s="143" t="e">
        <f>VLOOKUP(G223,Licenses!B:I,8,FALSE)</f>
        <v>#N/A</v>
      </c>
    </row>
    <row r="224" spans="7:15">
      <c r="G224" s="145">
        <f t="shared" si="7"/>
        <v>99</v>
      </c>
      <c r="H224" s="146"/>
      <c r="I224" s="141" t="e">
        <f>VLOOKUP(G224,Licenses!B:C,2,FALSE)</f>
        <v>#N/A</v>
      </c>
      <c r="J224" s="147"/>
      <c r="K224" s="143" t="e">
        <f>VLOOKUP(G224,Licenses!B:D,3,FALSE)</f>
        <v>#N/A</v>
      </c>
      <c r="L224" s="144"/>
      <c r="M224" s="143" t="e">
        <f>VLOOKUP(G224,Licenses!B:H,7,FALSE)</f>
        <v>#N/A</v>
      </c>
      <c r="N224" s="142" t="s">
        <v>280</v>
      </c>
      <c r="O224" s="143" t="e">
        <f>VLOOKUP(G224,Licenses!B:I,8,FALSE)</f>
        <v>#N/A</v>
      </c>
    </row>
  </sheetData>
  <sheetProtection algorithmName="SHA-512" hashValue="VLlRYfMKmLuXreaCwLyn7a4AaTss/ADwv6J5nabMJXm/tSUOLNxYBCY7AR+bemsxCQ1RhQU7lCK0mFPSrmia6g==" saltValue="8iaC3p4XSGPgn8rzIA39+w==" spinCount="100000" sheet="1" selectLockedCells="1"/>
  <mergeCells count="2">
    <mergeCell ref="K7:M9"/>
    <mergeCell ref="O7:O9"/>
  </mergeCells>
  <conditionalFormatting sqref="D15:E15 D19:E19 D23:E23 D27:E27 D55:E55 D59:E59 D63:E63 D67:E67">
    <cfRule type="expression" dxfId="187" priority="10">
      <formula>$A$1=2</formula>
    </cfRule>
  </conditionalFormatting>
  <conditionalFormatting sqref="D15:E15 D19:E19 D23:E27 G25:O27 D45:O47 D55:E55 D59:E59 D63:E63 D65:O67 Q73:S87 D85:O87 D105:O107 Q105:S107">
    <cfRule type="expression" dxfId="186" priority="6">
      <formula>$A$1=3</formula>
    </cfRule>
  </conditionalFormatting>
  <conditionalFormatting sqref="D35:E35 D39:E39 D43:E43 D47:E47">
    <cfRule type="expression" dxfId="185" priority="16">
      <formula>$A$1=1</formula>
    </cfRule>
  </conditionalFormatting>
  <conditionalFormatting sqref="D95:E95">
    <cfRule type="expression" dxfId="184" priority="1">
      <formula>$A$1=1</formula>
    </cfRule>
  </conditionalFormatting>
  <conditionalFormatting sqref="D97:S107 D108:U112 D113:S113 D114:U114 D115:S115">
    <cfRule type="expression" dxfId="183" priority="13">
      <formula>$A$1=1</formula>
    </cfRule>
  </conditionalFormatting>
  <conditionalFormatting sqref="G16:O16 G20:O20 G24:O24 G56:O56 G60:O60 G64:O64">
    <cfRule type="expression" dxfId="182" priority="9">
      <formula>$A$1=2</formula>
    </cfRule>
  </conditionalFormatting>
  <conditionalFormatting sqref="G16:O16 G20:O20 G56:O56 G60:O60">
    <cfRule type="expression" dxfId="181" priority="5">
      <formula>$A$1=3</formula>
    </cfRule>
  </conditionalFormatting>
  <conditionalFormatting sqref="G36:O36 G40:O40 G44:O44">
    <cfRule type="expression" dxfId="180" priority="15">
      <formula>$A$1=1</formula>
    </cfRule>
  </conditionalFormatting>
  <conditionalFormatting sqref="H85 H87 H73 H75 H77 H79 H81 H83">
    <cfRule type="expression" dxfId="179" priority="14">
      <formula>$A$1=1</formula>
    </cfRule>
  </conditionalFormatting>
  <conditionalFormatting sqref="H93 H95 H97 H99 H101 H103">
    <cfRule type="expression" dxfId="178" priority="4">
      <formula>$A$1=3</formula>
    </cfRule>
  </conditionalFormatting>
  <conditionalFormatting sqref="H105 H107 H93 H95 H97 H99 H101 H103">
    <cfRule type="expression" dxfId="177" priority="8">
      <formula>$A$1=2</formula>
    </cfRule>
  </conditionalFormatting>
  <conditionalFormatting sqref="I85 K85 M85 O85 I87 K87 M87 O87 I73 K73 M73 O73 I75 K75 M75 O75 I77 K77 M77 O77 I79 K79 M79 O79 I81 K81 M81 O81 I83 K83 M83 O83">
    <cfRule type="expression" dxfId="176" priority="11">
      <formula>$A$1=1</formula>
    </cfRule>
  </conditionalFormatting>
  <conditionalFormatting sqref="I93 K93 M93 O93 I95 K95 M95 O95 I97 K97 M97 O97 I99 K99 M99 O99 I101 K101 M101 O101 I103 K103 M103 O103">
    <cfRule type="expression" dxfId="175" priority="3">
      <formula>$A$1=3</formula>
    </cfRule>
  </conditionalFormatting>
  <conditionalFormatting sqref="I105 K105 M105 O105 I107 K107 M107 O107 I93 K93 M93 O93 I95 K95 M95 O95 I97 K97 M97 O97 I99 K99 M99 O99 I101 K101 M101 O101 I103 K103 M103 O103">
    <cfRule type="expression" dxfId="174" priority="7">
      <formula>$A$1=2</formula>
    </cfRule>
  </conditionalFormatting>
  <conditionalFormatting sqref="Q73:S87">
    <cfRule type="expression" dxfId="173" priority="2">
      <formula>$A$1=2</formula>
    </cfRule>
  </conditionalFormatting>
  <conditionalFormatting sqref="Q93:S95">
    <cfRule type="expression" dxfId="172" priority="12">
      <formula>$A$1=1</formula>
    </cfRule>
  </conditionalFormatting>
  <pageMargins left="0.7" right="0.7" top="0.78740157499999996" bottom="0.78740157499999996"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391EAA-F190-4ADC-807D-758AFBE23464}">
  <sheetPr>
    <tabColor theme="5" tint="0.39997558519241921"/>
  </sheetPr>
  <dimension ref="A1:CA224"/>
  <sheetViews>
    <sheetView showGridLines="0" zoomScale="70" zoomScaleNormal="70" workbookViewId="0">
      <selection activeCell="H13" sqref="H13"/>
    </sheetView>
  </sheetViews>
  <sheetFormatPr baseColWidth="10" defaultColWidth="11.42578125" defaultRowHeight="14.25"/>
  <cols>
    <col min="1" max="1" width="11.42578125" style="29"/>
    <col min="2" max="2" width="69.7109375" style="29" customWidth="1"/>
    <col min="3" max="3" width="11.42578125" style="29" customWidth="1"/>
    <col min="4" max="5" width="6.7109375" style="29" customWidth="1"/>
    <col min="6" max="6" width="1.85546875" style="29" customWidth="1"/>
    <col min="7" max="8" width="6.7109375" style="29" customWidth="1"/>
    <col min="9" max="9" width="55.7109375" style="29" customWidth="1"/>
    <col min="10" max="10" width="2.85546875" style="29" customWidth="1"/>
    <col min="11" max="11" width="11.42578125" style="29"/>
    <col min="12" max="12" width="3.7109375" style="29" customWidth="1"/>
    <col min="13" max="13" width="11.42578125" style="29"/>
    <col min="14" max="14" width="4" style="29" customWidth="1"/>
    <col min="15" max="15" width="21.85546875" style="29" customWidth="1"/>
    <col min="16" max="16" width="2" style="29" customWidth="1"/>
    <col min="17" max="18" width="6.7109375" style="29" customWidth="1"/>
    <col min="19" max="21" width="6.7109375" style="29" hidden="1" customWidth="1"/>
    <col min="22" max="28" width="11.42578125" style="29" hidden="1" customWidth="1"/>
    <col min="29" max="29" width="6.28515625" style="29" hidden="1" customWidth="1"/>
    <col min="30" max="30" width="5.85546875" style="29" hidden="1" customWidth="1"/>
    <col min="31" max="32" width="5.28515625" style="29" hidden="1" customWidth="1"/>
    <col min="33" max="33" width="6.28515625" style="29" hidden="1" customWidth="1"/>
    <col min="34" max="36" width="6.42578125" style="29" hidden="1" customWidth="1"/>
    <col min="37" max="38" width="6.140625" style="29" hidden="1" customWidth="1"/>
    <col min="39" max="39" width="5.42578125" style="29" hidden="1" customWidth="1"/>
    <col min="40" max="41" width="11.42578125" style="29" hidden="1" customWidth="1"/>
    <col min="42" max="42" width="2.85546875" style="29" hidden="1" customWidth="1"/>
    <col min="43" max="43" width="2.7109375" style="29" hidden="1" customWidth="1"/>
    <col min="44" max="44" width="3" style="29" hidden="1" customWidth="1"/>
    <col min="45" max="45" width="2.7109375" style="29" hidden="1" customWidth="1"/>
    <col min="46" max="48" width="2.42578125" style="29" hidden="1" customWidth="1"/>
    <col min="49" max="49" width="3.140625" style="29" hidden="1" customWidth="1"/>
    <col min="50" max="50" width="7.7109375" style="29" hidden="1" customWidth="1"/>
    <col min="51" max="51" width="6" style="29" hidden="1" customWidth="1"/>
    <col min="52" max="52" width="4.140625" style="29" hidden="1" customWidth="1"/>
    <col min="53" max="53" width="3.85546875" style="29" hidden="1" customWidth="1"/>
    <col min="54" max="54" width="20.28515625" style="29" hidden="1" customWidth="1"/>
    <col min="55" max="55" width="4.42578125" style="29" hidden="1" customWidth="1"/>
    <col min="56" max="58" width="11.42578125" style="29" hidden="1" customWidth="1"/>
    <col min="59" max="59" width="5.42578125" style="29" hidden="1" customWidth="1"/>
    <col min="60" max="60" width="5.28515625" style="29" hidden="1" customWidth="1"/>
    <col min="61" max="61" width="6.42578125" style="29" hidden="1" customWidth="1"/>
    <col min="62" max="64" width="11.42578125" style="29" hidden="1" customWidth="1"/>
    <col min="65" max="65" width="13.28515625" style="29" hidden="1" customWidth="1"/>
    <col min="66" max="66" width="6" style="29" hidden="1" customWidth="1"/>
    <col min="67" max="67" width="5.140625" style="29" hidden="1" customWidth="1"/>
    <col min="68" max="68" width="4.85546875" style="29" hidden="1" customWidth="1"/>
    <col min="69" max="69" width="6" style="29" hidden="1" customWidth="1"/>
    <col min="70" max="70" width="4.7109375" style="29" hidden="1" customWidth="1"/>
    <col min="71" max="71" width="5" style="29" hidden="1" customWidth="1"/>
    <col min="72" max="72" width="5.140625" style="29" hidden="1" customWidth="1"/>
    <col min="73" max="73" width="5.28515625" style="29" hidden="1" customWidth="1"/>
    <col min="74" max="78" width="11.42578125" style="29" hidden="1" customWidth="1"/>
    <col min="79" max="16384" width="11.42578125" style="29"/>
  </cols>
  <sheetData>
    <row r="1" spans="1:75">
      <c r="A1" s="156">
        <f>SUM(Steuerung!X2)</f>
        <v>1</v>
      </c>
    </row>
    <row r="2" spans="1:75">
      <c r="G2" s="86" t="str">
        <f>REPT(Sprache!K42,1)</f>
        <v>Gastmannschaft</v>
      </c>
      <c r="H2" s="87"/>
      <c r="I2" s="88"/>
    </row>
    <row r="3" spans="1:75" ht="19.5">
      <c r="G3" s="153">
        <f>SUM(AC3*1)</f>
        <v>0</v>
      </c>
      <c r="H3" s="154"/>
      <c r="I3" s="94" t="str">
        <f>REPT(Steuerung!AD2,1)</f>
        <v>Gast</v>
      </c>
      <c r="AC3" s="29" t="str">
        <f>REPT(Steuerung!AD1,1)</f>
        <v>0</v>
      </c>
    </row>
    <row r="5" spans="1:75" ht="15.75" thickBot="1">
      <c r="B5" s="85" t="str">
        <f>REPT(Sprache!K51,1)</f>
        <v>Fehlereingabe</v>
      </c>
      <c r="G5" s="83"/>
      <c r="H5" s="89"/>
      <c r="I5" s="84" t="str">
        <f>REPT(Sprache!K30,1)</f>
        <v>Wenn komplett Forfait, hier "X"</v>
      </c>
      <c r="J5" s="89"/>
      <c r="K5" s="104" t="s">
        <v>280</v>
      </c>
      <c r="L5" s="104"/>
      <c r="M5" s="104"/>
      <c r="N5" s="105"/>
      <c r="O5" s="105"/>
    </row>
    <row r="6" spans="1:75" ht="19.5">
      <c r="B6" s="148">
        <f>SUM(BZ119)</f>
        <v>0</v>
      </c>
      <c r="G6" s="95"/>
      <c r="H6" s="89"/>
      <c r="I6" s="96"/>
      <c r="J6" s="89"/>
      <c r="K6" s="104"/>
      <c r="L6" s="104"/>
      <c r="M6" s="104"/>
      <c r="N6" s="105"/>
      <c r="O6" s="105"/>
    </row>
    <row r="7" spans="1:75" ht="15.75" thickBot="1">
      <c r="G7" s="83"/>
      <c r="H7" s="89"/>
      <c r="I7" s="84" t="str">
        <f>IF(A1=3,REPT(Sprache!K24,1),IF(A1=2,REPT(Sprache!K25,1),IF(A1=1,REPT(Sprache!K25,1),"")))</f>
        <v>Wenn unkomplett ( min. 7 Spieler ), hier "X"</v>
      </c>
      <c r="J7" s="89"/>
      <c r="K7" s="603" t="str">
        <f>REPT(Sprache!K46,1)</f>
        <v>Liga=Qualifiziert für diese Liga ab 3. Spiel</v>
      </c>
      <c r="L7" s="604"/>
      <c r="M7" s="605"/>
      <c r="N7" s="90"/>
      <c r="O7" s="612" t="str">
        <f>REPT(Sprache!K47,1)</f>
        <v>Der Spieler darf nur für die angegebene Mannschaft eingesetzt werden oder in einer höheren Liga</v>
      </c>
    </row>
    <row r="8" spans="1:75">
      <c r="G8" s="91"/>
      <c r="H8" s="89"/>
      <c r="I8" s="89"/>
      <c r="J8" s="89"/>
      <c r="K8" s="606"/>
      <c r="L8" s="607"/>
      <c r="M8" s="608"/>
      <c r="N8" s="90"/>
      <c r="O8" s="613"/>
      <c r="AE8" s="110"/>
      <c r="AF8" s="110" t="s">
        <v>832</v>
      </c>
      <c r="AG8" s="110"/>
      <c r="AH8" s="110"/>
      <c r="AI8" s="110"/>
      <c r="AJ8" s="110"/>
      <c r="AK8" s="112"/>
      <c r="AL8" s="112"/>
      <c r="AM8" s="112"/>
      <c r="AN8" s="29" t="s">
        <v>822</v>
      </c>
    </row>
    <row r="9" spans="1:75">
      <c r="G9" s="97" t="s">
        <v>812</v>
      </c>
      <c r="H9" s="98"/>
      <c r="I9" s="99" t="str">
        <f>REPT(Sprache!K33,1)</f>
        <v>Name / Vorname</v>
      </c>
      <c r="J9" s="91"/>
      <c r="K9" s="609"/>
      <c r="L9" s="610"/>
      <c r="M9" s="611"/>
      <c r="N9" s="100"/>
      <c r="O9" s="614"/>
      <c r="AE9" s="110"/>
      <c r="AF9" s="110"/>
      <c r="AG9" s="110"/>
      <c r="AH9" s="110"/>
      <c r="AI9" s="110"/>
      <c r="AJ9" s="110"/>
      <c r="AK9" s="112"/>
      <c r="AL9" s="112"/>
      <c r="AM9" s="112"/>
    </row>
    <row r="10" spans="1:75">
      <c r="AE10" s="110"/>
      <c r="AF10" s="110">
        <v>1</v>
      </c>
      <c r="AG10" s="110"/>
      <c r="AH10" s="110"/>
      <c r="AI10" s="110">
        <v>2</v>
      </c>
      <c r="AJ10" s="110"/>
      <c r="AK10" s="112"/>
      <c r="AL10" s="112">
        <v>3</v>
      </c>
      <c r="AM10" s="112"/>
    </row>
    <row r="11" spans="1:75">
      <c r="I11" s="102" t="str">
        <f>IF($A$1=3,Sprache!K32,IF($A$1=2,Sprache!K32,IF($A$1=1,Sprache!K37,"")))</f>
        <v>Erste Runde Einzel</v>
      </c>
      <c r="J11" s="91"/>
      <c r="K11" s="85" t="str">
        <f>REPT(Sprache!$K$44,1)</f>
        <v>Spieler-Nr.</v>
      </c>
      <c r="L11" s="82"/>
      <c r="M11" s="85" t="str">
        <f>REPT(Sprache!$K$15,1)</f>
        <v>Liga</v>
      </c>
      <c r="N11" s="100"/>
      <c r="O11" s="85" t="str">
        <f>REPT(Sprache!$K$45,1)</f>
        <v>Qualifiziert für:</v>
      </c>
      <c r="AE11" s="106"/>
      <c r="AF11" s="106" t="s">
        <v>821</v>
      </c>
      <c r="AG11" s="106"/>
      <c r="AH11" s="101"/>
      <c r="AI11" s="101" t="s">
        <v>820</v>
      </c>
      <c r="AJ11" s="101"/>
      <c r="AK11" s="108"/>
      <c r="AL11" s="108" t="s">
        <v>819</v>
      </c>
      <c r="AM11" s="108"/>
      <c r="BN11" s="29" t="s">
        <v>843</v>
      </c>
    </row>
    <row r="12" spans="1:75">
      <c r="AE12" s="106"/>
      <c r="AF12" s="106"/>
      <c r="AG12" s="106"/>
      <c r="AH12" s="101"/>
      <c r="AI12" s="101"/>
      <c r="AJ12" s="101"/>
      <c r="AK12" s="108"/>
      <c r="AL12" s="108"/>
      <c r="AM12" s="108"/>
      <c r="AX12" s="115" t="str">
        <f>REPT(Sprache!K48,1)</f>
        <v>***!!!!!!!!!!Doppelter Eintrag!!!!!!!!!!***</v>
      </c>
      <c r="AY12" s="115" t="str">
        <f>REPT(Sprache!K35,1)</f>
        <v>** A C H T U N G - D O P P E L T E  L I Z E N Z - N U M M E R !!! **</v>
      </c>
      <c r="AZ12" s="29">
        <f>IF($A$1=3,6,8)</f>
        <v>8</v>
      </c>
      <c r="BA12" s="29">
        <f>SUM(AZ13:AZ27)</f>
        <v>8</v>
      </c>
      <c r="BB12" s="29" t="str">
        <f>IF(AY13=0,"",Sprache!$K$29)</f>
        <v/>
      </c>
      <c r="BE12" s="29" t="s">
        <v>827</v>
      </c>
      <c r="BF12" s="29" t="s">
        <v>834</v>
      </c>
      <c r="BJ12" s="29" t="s">
        <v>840</v>
      </c>
      <c r="BL12" s="29" t="s">
        <v>841</v>
      </c>
      <c r="BN12" s="29" t="s">
        <v>772</v>
      </c>
      <c r="BO12" s="29" t="s">
        <v>820</v>
      </c>
      <c r="BP12" s="29" t="s">
        <v>819</v>
      </c>
      <c r="BQ12" s="29" t="s">
        <v>772</v>
      </c>
      <c r="BR12" s="29" t="s">
        <v>820</v>
      </c>
      <c r="BS12" s="29" t="s">
        <v>819</v>
      </c>
    </row>
    <row r="13" spans="1:75">
      <c r="B13" s="119" t="str">
        <f>CONCATENATE(BB13,BD13,AX13,BM13)</f>
        <v/>
      </c>
      <c r="D13" s="120" t="str">
        <f>IF(AC13=0,"",AC13)</f>
        <v>GS</v>
      </c>
      <c r="E13" s="121">
        <f>IF(AD13=0,"",AD13)</f>
        <v>1.1000000000000001</v>
      </c>
      <c r="F13" s="118"/>
      <c r="G13" s="152">
        <f>SUM($G$3/100)</f>
        <v>0</v>
      </c>
      <c r="H13" s="150"/>
      <c r="I13" s="125" t="str">
        <f>IF($G$5="x",VLOOKUP(AO13,Licenses!B:C,2,FALSE),IF(BL13=0,IF(H13="","",VLOOKUP(AO13,Licenses!B:C,2,FALSE)),BM13))</f>
        <v/>
      </c>
      <c r="J13" s="118"/>
      <c r="K13" s="124" t="str">
        <f>IF(H13="","",VLOOKUP(AO13,Licenses!B:D,3,FALSE))</f>
        <v/>
      </c>
      <c r="L13" s="118"/>
      <c r="M13" s="124" t="str">
        <f>REPT(T13,1)</f>
        <v/>
      </c>
      <c r="N13" s="118"/>
      <c r="O13" s="124" t="str">
        <f>IF(M13="","",IF(H13="","",VLOOKUP(AO13,Licenses!B:I,8,FALSE)))</f>
        <v/>
      </c>
      <c r="T13" s="29" t="str">
        <f>IF(U13=0,"",IF(U13="","",U13))</f>
        <v/>
      </c>
      <c r="U13" s="29" t="str">
        <f>IF(H13="","",VLOOKUP(AO13,Licenses!B:H,7,FALSE))</f>
        <v/>
      </c>
      <c r="AB13" s="29">
        <f>IF($A$1=1,AE13,AH13)</f>
        <v>1</v>
      </c>
      <c r="AC13" s="29" t="str">
        <f>IF($A$1=1,AF13,AI13)</f>
        <v>GS</v>
      </c>
      <c r="AD13" s="29">
        <f>IF($A$1=1,AG13,AJ13)</f>
        <v>1.1000000000000001</v>
      </c>
      <c r="AE13" s="106">
        <v>1</v>
      </c>
      <c r="AF13" s="106" t="s">
        <v>848</v>
      </c>
      <c r="AG13" s="106">
        <v>1.1000000000000001</v>
      </c>
      <c r="AH13" s="101">
        <v>1</v>
      </c>
      <c r="AI13" s="101" t="s">
        <v>849</v>
      </c>
      <c r="AJ13" s="101">
        <v>1.1000000000000001</v>
      </c>
      <c r="AK13" s="108">
        <v>1</v>
      </c>
      <c r="AL13" s="108" t="s">
        <v>849</v>
      </c>
      <c r="AM13" s="108">
        <v>1.1000000000000001</v>
      </c>
      <c r="AO13" s="114" t="str">
        <f>IF($G$5="X",$G$3,IF(H13="","",SUM(H13*1,$G$3)))</f>
        <v/>
      </c>
      <c r="AX13" s="115"/>
      <c r="AY13" s="115">
        <f>IF($G$5="X",0,IF(AZ12=BA12,0,1))</f>
        <v>0</v>
      </c>
      <c r="AZ13" s="116">
        <f>IF(H13="",1,0)</f>
        <v>1</v>
      </c>
      <c r="BA13" s="29">
        <f>IF(H13="",1,0)</f>
        <v>1</v>
      </c>
      <c r="BB13" s="29" t="str">
        <f>IF(AZ13=1,$BB$12,"")</f>
        <v/>
      </c>
      <c r="BC13" s="116">
        <f>IF(I13="n / a",1,0)</f>
        <v>0</v>
      </c>
      <c r="BD13" s="29" t="str">
        <f>IF(BC13=1,REPT(Sprache!$K$27,1),"")</f>
        <v/>
      </c>
      <c r="BE13" s="29">
        <f>SUM(Steuerung!$Y$3)</f>
        <v>1</v>
      </c>
      <c r="BF13" s="29">
        <f>IF(M13="",100,VLOOKUP(M13,Steuerung!$A$39:$B$60,2,FALSE))</f>
        <v>100</v>
      </c>
      <c r="BG13" s="29">
        <f>IF(BE13=BF13,0,IF(BE13&lt;BF13,0,1))</f>
        <v>0</v>
      </c>
      <c r="BH13" s="29" t="str">
        <f>IF(BE13&gt;20,LEFT(M13,1),"")</f>
        <v/>
      </c>
      <c r="BI13" s="29">
        <f>IF(BH13="2",BE13-BF13,0)</f>
        <v>0</v>
      </c>
      <c r="BJ13" s="29">
        <f>IF(BI13=0,0,1)</f>
        <v>0</v>
      </c>
      <c r="BK13" s="29">
        <f>IF(BL13&gt;0,1,0)</f>
        <v>0</v>
      </c>
      <c r="BL13" s="116">
        <f>SUM(BG13,BJ13)</f>
        <v>0</v>
      </c>
      <c r="BM13" s="29" t="str">
        <f>IF(BL13=0,"",Sprache!$K$49)</f>
        <v/>
      </c>
      <c r="BN13" s="29">
        <v>0</v>
      </c>
      <c r="BO13" s="29">
        <v>1</v>
      </c>
      <c r="BP13" s="29">
        <v>1</v>
      </c>
      <c r="BQ13" s="29">
        <f>IF($A$1=1,BN13,0)</f>
        <v>0</v>
      </c>
      <c r="BR13" s="29">
        <f>IF($A$1=2,BO13,0)</f>
        <v>0</v>
      </c>
      <c r="BS13" s="29">
        <f>IF($A$1=3,BP13,0)</f>
        <v>0</v>
      </c>
      <c r="BU13" s="127" t="str">
        <f>IF(BW13=1,H13,"")</f>
        <v/>
      </c>
      <c r="BV13" s="127" t="str">
        <f>CONCATENATE(BU13,BU15)</f>
        <v/>
      </c>
      <c r="BW13" s="29">
        <f>SUM(BQ13:BS13)</f>
        <v>0</v>
      </c>
    </row>
    <row r="14" spans="1:75" ht="6" customHeight="1">
      <c r="D14" s="113"/>
      <c r="E14" s="113"/>
      <c r="I14" s="126"/>
      <c r="AE14" s="107"/>
      <c r="AF14" s="107"/>
      <c r="AG14" s="107"/>
      <c r="AH14" s="103"/>
      <c r="AI14" s="103"/>
      <c r="AJ14" s="103"/>
      <c r="AK14" s="109"/>
      <c r="AL14" s="109"/>
      <c r="AM14" s="109"/>
      <c r="AX14" s="115"/>
      <c r="AY14" s="115"/>
    </row>
    <row r="15" spans="1:75">
      <c r="B15" s="119" t="str">
        <f>CONCATENATE(BB15,BD15,AX15,BM15)</f>
        <v/>
      </c>
      <c r="D15" s="120" t="str">
        <f>IF(AC15=0,"",AC15)</f>
        <v>GS</v>
      </c>
      <c r="E15" s="121">
        <f>IF(AD15=0,"",AD15)</f>
        <v>1.2</v>
      </c>
      <c r="F15" s="118"/>
      <c r="G15" s="152">
        <f>SUM($G$3/100)</f>
        <v>0</v>
      </c>
      <c r="H15" s="150"/>
      <c r="I15" s="125" t="str">
        <f>IF($G$5="x",VLOOKUP(AO15,Licenses!B:C,2,FALSE),IF(BL15=0,IF(H15="","",VLOOKUP(AO15,Licenses!B:C,2,FALSE)),BM15))</f>
        <v/>
      </c>
      <c r="J15" s="118"/>
      <c r="K15" s="124" t="str">
        <f>IF(H15="","",VLOOKUP(AO15,Licenses!B:D,3,FALSE))</f>
        <v/>
      </c>
      <c r="L15" s="118"/>
      <c r="M15" s="124" t="str">
        <f>REPT(T15,1)</f>
        <v/>
      </c>
      <c r="N15" s="118"/>
      <c r="O15" s="124" t="str">
        <f>IF(M15="","",IF(H15="","",VLOOKUP(AO15,Licenses!B:I,8,FALSE)))</f>
        <v/>
      </c>
      <c r="T15" s="29" t="str">
        <f>IF(U15=0,"",IF(U15="","",U15))</f>
        <v/>
      </c>
      <c r="U15" s="29" t="str">
        <f>IF(H15="","",VLOOKUP(AO15,Licenses!B:H,7,FALSE))</f>
        <v/>
      </c>
      <c r="AB15" s="29">
        <f>IF($A$1=1,AE15,AH15)</f>
        <v>2</v>
      </c>
      <c r="AC15" s="29" t="str">
        <f>IF($A$1=1,AF15,AI15)</f>
        <v>GS</v>
      </c>
      <c r="AD15" s="29">
        <f>IF($A$1=1,AG15,AJ15)</f>
        <v>1.2</v>
      </c>
      <c r="AE15" s="106">
        <v>2</v>
      </c>
      <c r="AF15" s="106" t="s">
        <v>848</v>
      </c>
      <c r="AG15" s="106">
        <v>1.2</v>
      </c>
      <c r="AH15" s="101">
        <v>2</v>
      </c>
      <c r="AI15" s="101"/>
      <c r="AJ15" s="101"/>
      <c r="AK15" s="108">
        <v>2</v>
      </c>
      <c r="AL15" s="108"/>
      <c r="AM15" s="108"/>
      <c r="AO15" s="114" t="str">
        <f>IF($G$5="X",$G$3,IF(H15="","",SUM(H15*1,$G$3)))</f>
        <v/>
      </c>
      <c r="AP15" s="29">
        <f>IF(AO15=AO13,1,0)</f>
        <v>1</v>
      </c>
      <c r="AW15" s="29" t="str">
        <f>IF($G$5="X",0,IF(AO15="","",SUM(AP15:AV15)))</f>
        <v/>
      </c>
      <c r="AX15" s="117" t="str">
        <f>IF(AW15=1,AX12,"")</f>
        <v/>
      </c>
      <c r="AY15" s="117" t="str">
        <f>IF(AW15=1,$AY$12,"")</f>
        <v/>
      </c>
      <c r="AZ15" s="116">
        <f>IF(H15="",1,0)</f>
        <v>1</v>
      </c>
      <c r="BA15" s="29">
        <f>IF(H15="",1,0)</f>
        <v>1</v>
      </c>
      <c r="BB15" s="29" t="str">
        <f>IF(AZ15=1,$BB$12,"")</f>
        <v/>
      </c>
      <c r="BC15" s="116">
        <f>IF(I15="n / a",1,0)</f>
        <v>0</v>
      </c>
      <c r="BD15" s="29" t="str">
        <f>IF(BC15=1,REPT(Sprache!$K$27,1),"")</f>
        <v/>
      </c>
      <c r="BE15" s="29">
        <f>SUM(Steuerung!$Y$3)</f>
        <v>1</v>
      </c>
      <c r="BF15" s="29">
        <f>IF(M15="",100,VLOOKUP(M15,Steuerung!$A$39:$B$60,2,FALSE))</f>
        <v>100</v>
      </c>
      <c r="BG15" s="29">
        <f>IF(BE15=BF15,0,IF(BE15&lt;BF15,0,1))</f>
        <v>0</v>
      </c>
      <c r="BH15" s="29" t="str">
        <f>IF(BE15&gt;20,LEFT(M15,1),"")</f>
        <v/>
      </c>
      <c r="BI15" s="29">
        <f>IF(BH15="2",BE15-BF15,0)</f>
        <v>0</v>
      </c>
      <c r="BJ15" s="29">
        <f>IF(BI15=0,0,1)</f>
        <v>0</v>
      </c>
      <c r="BK15" s="29">
        <f>IF(BL15&gt;0,1,0)</f>
        <v>0</v>
      </c>
      <c r="BL15" s="116">
        <f>SUM(BG15,BJ15)</f>
        <v>0</v>
      </c>
      <c r="BM15" s="29" t="str">
        <f>IF(BL15=0,"",Sprache!$K$49)</f>
        <v/>
      </c>
      <c r="BN15" s="29">
        <v>0</v>
      </c>
      <c r="BO15" s="29">
        <v>1</v>
      </c>
      <c r="BP15" s="29">
        <v>1</v>
      </c>
      <c r="BQ15" s="29">
        <f>IF($A$1=1,BN15,0)</f>
        <v>0</v>
      </c>
      <c r="BR15" s="29">
        <f>IF($A$1=2,BO15,0)</f>
        <v>0</v>
      </c>
      <c r="BS15" s="29">
        <f>IF($A$1=3,BP15,0)</f>
        <v>0</v>
      </c>
      <c r="BU15" s="127" t="str">
        <f>IF(BW15=1,H15,"")</f>
        <v/>
      </c>
      <c r="BV15" s="127" t="str">
        <f>CONCATENATE(BU15,BU13)</f>
        <v/>
      </c>
      <c r="BW15" s="29">
        <f>SUM(BQ15:BS15)</f>
        <v>0</v>
      </c>
    </row>
    <row r="16" spans="1:75" ht="6" customHeight="1">
      <c r="D16" s="113"/>
      <c r="E16" s="113"/>
      <c r="I16" s="126"/>
      <c r="AE16" s="107"/>
      <c r="AF16" s="107"/>
      <c r="AG16" s="107"/>
      <c r="AH16" s="103"/>
      <c r="AI16" s="103"/>
      <c r="AJ16" s="103"/>
      <c r="AK16" s="109"/>
      <c r="AL16" s="109"/>
      <c r="AM16" s="109"/>
      <c r="AX16" s="115"/>
      <c r="AY16" s="115"/>
    </row>
    <row r="17" spans="2:75">
      <c r="B17" s="119" t="str">
        <f>CONCATENATE(BB17,BD17,AX17,BM17)</f>
        <v/>
      </c>
      <c r="D17" s="120" t="str">
        <f>IF(AC17=0,"",AC17)</f>
        <v>GS</v>
      </c>
      <c r="E17" s="121">
        <f>IF(AD17=0,"",AD17)</f>
        <v>1.3</v>
      </c>
      <c r="F17" s="118"/>
      <c r="G17" s="152">
        <f>SUM($G$3/100)</f>
        <v>0</v>
      </c>
      <c r="H17" s="150"/>
      <c r="I17" s="125" t="str">
        <f>IF($G$5="x",VLOOKUP(AO17,Licenses!B:C,2,FALSE),IF(BL17=0,IF(H17="","",VLOOKUP(AO17,Licenses!B:C,2,FALSE)),BM17))</f>
        <v/>
      </c>
      <c r="J17" s="118"/>
      <c r="K17" s="124" t="str">
        <f>IF(H17="","",VLOOKUP(AO17,Licenses!B:D,3,FALSE))</f>
        <v/>
      </c>
      <c r="L17" s="118"/>
      <c r="M17" s="124" t="str">
        <f>REPT(T17,1)</f>
        <v/>
      </c>
      <c r="N17" s="118"/>
      <c r="O17" s="124" t="str">
        <f>IF(M17="","",IF(H17="","",VLOOKUP(AO17,Licenses!B:I,8,FALSE)))</f>
        <v/>
      </c>
      <c r="T17" s="29" t="str">
        <f>IF(U17=0,"",IF(U17="","",U17))</f>
        <v/>
      </c>
      <c r="U17" s="29" t="str">
        <f>IF(H17="","",VLOOKUP(AO17,Licenses!B:H,7,FALSE))</f>
        <v/>
      </c>
      <c r="AB17" s="29">
        <f>IF($A$1=1,AE17,AH17)</f>
        <v>3</v>
      </c>
      <c r="AC17" s="29" t="str">
        <f>IF($A$1=1,AF17,AI17)</f>
        <v>GS</v>
      </c>
      <c r="AD17" s="29">
        <f>IF($A$1=1,AG17,AJ17)</f>
        <v>1.3</v>
      </c>
      <c r="AE17" s="106">
        <v>3</v>
      </c>
      <c r="AF17" s="106" t="s">
        <v>848</v>
      </c>
      <c r="AG17" s="106">
        <v>1.3</v>
      </c>
      <c r="AH17" s="101">
        <v>3</v>
      </c>
      <c r="AI17" s="101" t="s">
        <v>778</v>
      </c>
      <c r="AJ17" s="101">
        <v>1.2</v>
      </c>
      <c r="AK17" s="108">
        <v>3</v>
      </c>
      <c r="AL17" s="108" t="s">
        <v>849</v>
      </c>
      <c r="AM17" s="108">
        <v>1.2</v>
      </c>
      <c r="AO17" s="114" t="str">
        <f>IF($G$5="X",$G$3,IF(H17="","",SUM(H17*1,$G$3)))</f>
        <v/>
      </c>
      <c r="AP17" s="29">
        <f>IF(AO17=AO13,1,0)</f>
        <v>1</v>
      </c>
      <c r="AQ17" s="29">
        <f>IF(AO17=AO15,1,0)</f>
        <v>1</v>
      </c>
      <c r="AW17" s="29" t="str">
        <f>IF($G$5="X",0,IF(AO17="","",SUM(AP17:AV17)))</f>
        <v/>
      </c>
      <c r="AX17" s="117" t="str">
        <f>IF(AW17=1,AX12,"")</f>
        <v/>
      </c>
      <c r="AY17" s="117" t="str">
        <f>IF(AW17=1,$AY$12,"")</f>
        <v/>
      </c>
      <c r="AZ17" s="116">
        <f>IF(H17="",1,0)</f>
        <v>1</v>
      </c>
      <c r="BA17" s="29">
        <f>IF(H17="",1,0)</f>
        <v>1</v>
      </c>
      <c r="BB17" s="29" t="str">
        <f>IF(AZ17=1,$BB$12,"")</f>
        <v/>
      </c>
      <c r="BC17" s="116">
        <f>IF(I17="n / a",1,0)</f>
        <v>0</v>
      </c>
      <c r="BD17" s="29" t="str">
        <f>IF(BC17=1,REPT(Sprache!$K$27,1),"")</f>
        <v/>
      </c>
      <c r="BE17" s="29">
        <f>SUM(Steuerung!$Y$3)</f>
        <v>1</v>
      </c>
      <c r="BF17" s="29">
        <f>IF(M17="",100,VLOOKUP(M17,Steuerung!$A$39:$B$60,2,FALSE))</f>
        <v>100</v>
      </c>
      <c r="BG17" s="29">
        <f>IF(BE17=BF17,0,IF(BE17&lt;BF17,0,1))</f>
        <v>0</v>
      </c>
      <c r="BH17" s="29" t="str">
        <f>IF(BE17&gt;20,LEFT(M17,1),"")</f>
        <v/>
      </c>
      <c r="BI17" s="29">
        <f>IF(BH17="2",BE17-BF17,0)</f>
        <v>0</v>
      </c>
      <c r="BJ17" s="29">
        <f>IF(BI17=0,0,1)</f>
        <v>0</v>
      </c>
      <c r="BK17" s="29">
        <f>IF(BL17&gt;0,1,0)</f>
        <v>0</v>
      </c>
      <c r="BL17" s="116">
        <f>SUM(BG17,BJ17)</f>
        <v>0</v>
      </c>
      <c r="BM17" s="29" t="str">
        <f>IF(BL17=0,"",Sprache!$K$49)</f>
        <v/>
      </c>
      <c r="BN17" s="29">
        <v>0</v>
      </c>
      <c r="BO17" s="29">
        <v>1</v>
      </c>
      <c r="BP17" s="29">
        <v>1</v>
      </c>
      <c r="BQ17" s="29">
        <f>IF($A$1=1,BN17,0)</f>
        <v>0</v>
      </c>
      <c r="BR17" s="29">
        <f>IF($A$1=2,BO17,0)</f>
        <v>0</v>
      </c>
      <c r="BS17" s="29">
        <f>IF($A$1=3,BP17,0)</f>
        <v>0</v>
      </c>
      <c r="BU17" s="127" t="str">
        <f>IF(BW17=1,H17,"")</f>
        <v/>
      </c>
      <c r="BV17" s="127" t="str">
        <f>CONCATENATE(BU17,BU19)</f>
        <v/>
      </c>
      <c r="BW17" s="29">
        <f>SUM(BQ17:BS17)</f>
        <v>0</v>
      </c>
    </row>
    <row r="18" spans="2:75" ht="6" customHeight="1">
      <c r="D18" s="113"/>
      <c r="E18" s="113"/>
      <c r="I18" s="126"/>
      <c r="AE18" s="107"/>
      <c r="AF18" s="107"/>
      <c r="AG18" s="107"/>
      <c r="AH18" s="103"/>
      <c r="AI18" s="103"/>
      <c r="AJ18" s="103"/>
      <c r="AK18" s="109"/>
      <c r="AL18" s="109"/>
      <c r="AM18" s="109"/>
      <c r="AX18" s="115"/>
      <c r="AY18" s="115"/>
    </row>
    <row r="19" spans="2:75">
      <c r="B19" s="119" t="str">
        <f>CONCATENATE(BB19,BD19,AX19,BM19)</f>
        <v/>
      </c>
      <c r="D19" s="120" t="str">
        <f>IF(AC19=0,"",AC19)</f>
        <v>GS</v>
      </c>
      <c r="E19" s="121">
        <f>IF(AD19=0,"",AD19)</f>
        <v>1.4</v>
      </c>
      <c r="F19" s="118"/>
      <c r="G19" s="152">
        <f>SUM($G$3/100)</f>
        <v>0</v>
      </c>
      <c r="H19" s="150"/>
      <c r="I19" s="125" t="str">
        <f>IF($G$5="x",VLOOKUP(AO19,Licenses!B:C,2,FALSE),IF(BL19=0,IF(H19="","",VLOOKUP(AO19,Licenses!B:C,2,FALSE)),BM19))</f>
        <v/>
      </c>
      <c r="J19" s="118"/>
      <c r="K19" s="124" t="str">
        <f>IF(H19="","",VLOOKUP(AO19,Licenses!B:D,3,FALSE))</f>
        <v/>
      </c>
      <c r="L19" s="118"/>
      <c r="M19" s="124" t="str">
        <f>REPT(T19,1)</f>
        <v/>
      </c>
      <c r="N19" s="118"/>
      <c r="O19" s="124" t="str">
        <f>IF(M19="","",IF(H19="","",VLOOKUP(AO19,Licenses!B:I,8,FALSE)))</f>
        <v/>
      </c>
      <c r="T19" s="29" t="str">
        <f>IF(U19=0,"",IF(U19="","",U19))</f>
        <v/>
      </c>
      <c r="U19" s="29" t="str">
        <f>IF(H19="","",VLOOKUP(AO19,Licenses!B:H,7,FALSE))</f>
        <v/>
      </c>
      <c r="AB19" s="29">
        <f>IF($A$1=1,AE19,AH19)</f>
        <v>4</v>
      </c>
      <c r="AC19" s="29" t="str">
        <f>IF($A$1=1,AF19,AI19)</f>
        <v>GS</v>
      </c>
      <c r="AD19" s="29">
        <f>IF($A$1=1,AG19,AJ19)</f>
        <v>1.4</v>
      </c>
      <c r="AE19" s="106">
        <v>4</v>
      </c>
      <c r="AF19" s="106" t="s">
        <v>848</v>
      </c>
      <c r="AG19" s="106">
        <v>1.4</v>
      </c>
      <c r="AH19" s="101">
        <v>4</v>
      </c>
      <c r="AI19" s="101"/>
      <c r="AJ19" s="101"/>
      <c r="AK19" s="108">
        <v>4</v>
      </c>
      <c r="AL19" s="108"/>
      <c r="AM19" s="108"/>
      <c r="AO19" s="114" t="str">
        <f>IF($G$5="X",$G$3,IF(H19="","",SUM(H19*1,$G$3)))</f>
        <v/>
      </c>
      <c r="AP19" s="29">
        <f>IF(AO19=AO13,1,0)</f>
        <v>1</v>
      </c>
      <c r="AQ19" s="29">
        <f>IF(AO19=AO15,1,0)</f>
        <v>1</v>
      </c>
      <c r="AR19" s="29">
        <f>IF(AO19=AO17,1,0)</f>
        <v>1</v>
      </c>
      <c r="AW19" s="29" t="str">
        <f>IF($G$5="X",0,IF(AO19="","",SUM(AP19:AV19)))</f>
        <v/>
      </c>
      <c r="AX19" s="117" t="str">
        <f>IF(AW19=1,AX12,"")</f>
        <v/>
      </c>
      <c r="AY19" s="117" t="str">
        <f>IF(AW19=1,$AY$12,"")</f>
        <v/>
      </c>
      <c r="AZ19" s="116">
        <f>IF(H19="",1,0)</f>
        <v>1</v>
      </c>
      <c r="BA19" s="29">
        <f>IF(H19="",1,0)</f>
        <v>1</v>
      </c>
      <c r="BB19" s="29" t="str">
        <f>IF(AZ19=1,$BB$12,"")</f>
        <v/>
      </c>
      <c r="BC19" s="116">
        <f>IF(I19="n / a",1,0)</f>
        <v>0</v>
      </c>
      <c r="BD19" s="29" t="str">
        <f>IF(BC19=1,REPT(Sprache!$K$27,1),"")</f>
        <v/>
      </c>
      <c r="BE19" s="29">
        <f>SUM(Steuerung!$Y$3)</f>
        <v>1</v>
      </c>
      <c r="BF19" s="29">
        <f>IF(M19="",100,VLOOKUP(M19,Steuerung!$A$39:$B$60,2,FALSE))</f>
        <v>100</v>
      </c>
      <c r="BG19" s="29">
        <f>IF(BE19=BF19,0,IF(BE19&lt;BF19,0,1))</f>
        <v>0</v>
      </c>
      <c r="BH19" s="29" t="str">
        <f>IF(BE19&gt;20,LEFT(M19,1),"")</f>
        <v/>
      </c>
      <c r="BI19" s="29">
        <f>IF(BH19="2",BE19-BF19,0)</f>
        <v>0</v>
      </c>
      <c r="BJ19" s="29">
        <f>IF(BI19=0,0,1)</f>
        <v>0</v>
      </c>
      <c r="BK19" s="29">
        <f>IF(BL19&gt;0,1,0)</f>
        <v>0</v>
      </c>
      <c r="BL19" s="116">
        <f>SUM(BG19,BJ19)</f>
        <v>0</v>
      </c>
      <c r="BM19" s="29" t="str">
        <f>IF(BL19=0,"",Sprache!$K$49)</f>
        <v/>
      </c>
      <c r="BN19" s="29">
        <v>0</v>
      </c>
      <c r="BO19" s="29">
        <v>1</v>
      </c>
      <c r="BP19" s="29">
        <v>1</v>
      </c>
      <c r="BQ19" s="29">
        <f>IF($A$1=1,BN19,0)</f>
        <v>0</v>
      </c>
      <c r="BR19" s="29">
        <f>IF($A$1=2,BO19,0)</f>
        <v>0</v>
      </c>
      <c r="BS19" s="29">
        <f>IF($A$1=3,BP19,0)</f>
        <v>0</v>
      </c>
      <c r="BU19" s="127" t="str">
        <f>IF(BW19=1,H19,"")</f>
        <v/>
      </c>
      <c r="BV19" s="127" t="str">
        <f>CONCATENATE(BU19,BU17)</f>
        <v/>
      </c>
      <c r="BW19" s="29">
        <f>SUM(BQ19:BS19)</f>
        <v>0</v>
      </c>
    </row>
    <row r="20" spans="2:75" ht="6" customHeight="1">
      <c r="D20" s="113"/>
      <c r="E20" s="113"/>
      <c r="I20" s="126"/>
      <c r="AE20" s="107"/>
      <c r="AF20" s="107"/>
      <c r="AG20" s="107"/>
      <c r="AH20" s="103"/>
      <c r="AI20" s="103"/>
      <c r="AJ20" s="103"/>
      <c r="AK20" s="109"/>
      <c r="AL20" s="109"/>
      <c r="AM20" s="109"/>
      <c r="AX20" s="115"/>
      <c r="AY20" s="115"/>
    </row>
    <row r="21" spans="2:75">
      <c r="B21" s="119" t="str">
        <f>IF(AN21=1,"",CONCATENATE(BB21,BD21,AX21,BM21))</f>
        <v/>
      </c>
      <c r="D21" s="120" t="str">
        <f>IF(AC21=0,"",AC21)</f>
        <v>GS</v>
      </c>
      <c r="E21" s="121">
        <f>IF(AD21=0,"",AD21)</f>
        <v>1.5</v>
      </c>
      <c r="F21" s="118"/>
      <c r="G21" s="152">
        <f>SUM($G$3/100)</f>
        <v>0</v>
      </c>
      <c r="H21" s="150"/>
      <c r="I21" s="125" t="str">
        <f>IF(AN21=1,VLOOKUP(AO21,Licenses!B:C,2,FALSE),IF($G$5="x",VLOOKUP(AO21,Licenses!B:C,2,FALSE),IF(BL21=0,IF(H21="","",VLOOKUP(AO21,Licenses!B:C,2,FALSE)),BM21)))</f>
        <v/>
      </c>
      <c r="J21" s="118"/>
      <c r="K21" s="124" t="str">
        <f>IF(H21="","",VLOOKUP(AO21,Licenses!B:D,3,FALSE))</f>
        <v/>
      </c>
      <c r="L21" s="118"/>
      <c r="M21" s="124" t="str">
        <f>REPT(T21,1)</f>
        <v/>
      </c>
      <c r="N21" s="118"/>
      <c r="O21" s="124" t="str">
        <f>IF(M21="","",IF(H21="","",VLOOKUP(AO21,Licenses!B:I,8,FALSE)))</f>
        <v/>
      </c>
      <c r="T21" s="29" t="str">
        <f>IF(U21=0,"",IF(U21="","",U21))</f>
        <v/>
      </c>
      <c r="U21" s="29" t="str">
        <f>IF(H21="","",VLOOKUP(AO21,Licenses!B:H,7,FALSE))</f>
        <v/>
      </c>
      <c r="AB21" s="29">
        <f>IF($A$1=1,AE21,AH21)</f>
        <v>5</v>
      </c>
      <c r="AC21" s="29" t="str">
        <f>IF($A$1=1,AF21,AI21)</f>
        <v>GS</v>
      </c>
      <c r="AD21" s="29">
        <f>IF($A$1=1,AG21,AJ21)</f>
        <v>1.5</v>
      </c>
      <c r="AE21" s="106">
        <v>5</v>
      </c>
      <c r="AF21" s="106" t="s">
        <v>848</v>
      </c>
      <c r="AG21" s="106">
        <v>1.5</v>
      </c>
      <c r="AH21" s="101">
        <v>5</v>
      </c>
      <c r="AI21" s="101" t="s">
        <v>778</v>
      </c>
      <c r="AJ21" s="101">
        <v>1.3</v>
      </c>
      <c r="AK21" s="108">
        <v>5</v>
      </c>
      <c r="AL21" s="108" t="s">
        <v>849</v>
      </c>
      <c r="AM21" s="108">
        <v>1.3</v>
      </c>
      <c r="AN21" s="29">
        <f>IF($A$1=3,IF($G$7="X",1,0),0)</f>
        <v>0</v>
      </c>
      <c r="AO21" s="114" t="str">
        <f>IF(AN21=1,$G$3,IF($G$5="X",$G$3,IF(H21="","",SUM(H21*1,$G$3))))</f>
        <v/>
      </c>
      <c r="AP21" s="29">
        <f>IF(AO21=AO13,1,0)</f>
        <v>1</v>
      </c>
      <c r="AQ21" s="29">
        <f>IF(AO21=AO15,1,0)</f>
        <v>1</v>
      </c>
      <c r="AR21" s="29">
        <f>IF(AO21=AO17,1,0)</f>
        <v>1</v>
      </c>
      <c r="AS21" s="29">
        <f>IF(AO21=AO19,1,0)</f>
        <v>1</v>
      </c>
      <c r="AW21" s="29" t="str">
        <f>IF(AN21=1,0,IF($G$5="X",0,IF(AO21="","",SUM(AP21:AV21))))</f>
        <v/>
      </c>
      <c r="AX21" s="117" t="str">
        <f>IF(AW21=1,AX12,"")</f>
        <v/>
      </c>
      <c r="AY21" s="117" t="str">
        <f>IF(AW21=1,$AY$12,"")</f>
        <v/>
      </c>
      <c r="AZ21" s="116">
        <f>IF(H21="",1,0)</f>
        <v>1</v>
      </c>
      <c r="BA21" s="29">
        <f>IF(H21="",1,0)</f>
        <v>1</v>
      </c>
      <c r="BB21" s="29" t="str">
        <f>IF(AZ21=1,$BB$12,"")</f>
        <v/>
      </c>
      <c r="BC21" s="116">
        <f>IF(I21="n / a",1,0)</f>
        <v>0</v>
      </c>
      <c r="BD21" s="29" t="str">
        <f>IF(BC21=1,REPT(Sprache!$K$27,1),"")</f>
        <v/>
      </c>
      <c r="BE21" s="29">
        <f>SUM(Steuerung!$Y$3)</f>
        <v>1</v>
      </c>
      <c r="BF21" s="29">
        <f>IF(M21="",100,VLOOKUP(M21,Steuerung!$A$39:$B$60,2,FALSE))</f>
        <v>100</v>
      </c>
      <c r="BG21" s="29">
        <f>IF(BE21=BF21,0,IF(BE21&lt;BF21,0,1))</f>
        <v>0</v>
      </c>
      <c r="BH21" s="29" t="str">
        <f>IF(BE21&gt;20,LEFT(M21,1),"")</f>
        <v/>
      </c>
      <c r="BI21" s="29">
        <f>IF(BH21="2",BE21-BF21,0)</f>
        <v>0</v>
      </c>
      <c r="BJ21" s="29">
        <f>IF(BI21=0,0,1)</f>
        <v>0</v>
      </c>
      <c r="BK21" s="29">
        <f>IF(BL21&gt;0,1,0)</f>
        <v>0</v>
      </c>
      <c r="BL21" s="116">
        <f>SUM(BG21,BJ21)</f>
        <v>0</v>
      </c>
      <c r="BM21" s="29" t="str">
        <f>IF(BL21=0,"",Sprache!$K$49)</f>
        <v/>
      </c>
      <c r="BN21" s="29">
        <v>0</v>
      </c>
      <c r="BO21" s="29">
        <v>1</v>
      </c>
      <c r="BP21" s="29">
        <v>1</v>
      </c>
      <c r="BQ21" s="29">
        <f>IF($A$1=1,BN21,0)</f>
        <v>0</v>
      </c>
      <c r="BR21" s="29">
        <f>IF($A$1=2,BO21,0)</f>
        <v>0</v>
      </c>
      <c r="BS21" s="29">
        <f>IF($A$1=3,BP21,0)</f>
        <v>0</v>
      </c>
      <c r="BU21" s="127" t="str">
        <f>IF(BW21=1,H21,"")</f>
        <v/>
      </c>
      <c r="BV21" s="127" t="str">
        <f>CONCATENATE(BU21,BU23)</f>
        <v/>
      </c>
      <c r="BW21" s="29">
        <f>SUM(BQ21:BS21)</f>
        <v>0</v>
      </c>
    </row>
    <row r="22" spans="2:75" ht="6" customHeight="1">
      <c r="D22" s="113"/>
      <c r="E22" s="113"/>
      <c r="I22" s="126"/>
      <c r="AE22" s="107"/>
      <c r="AF22" s="107"/>
      <c r="AG22" s="107"/>
      <c r="AH22" s="103"/>
      <c r="AI22" s="103"/>
      <c r="AJ22" s="103"/>
      <c r="AK22" s="109"/>
      <c r="AL22" s="109"/>
      <c r="AM22" s="109"/>
      <c r="AX22" s="115"/>
      <c r="AY22" s="115"/>
    </row>
    <row r="23" spans="2:75">
      <c r="B23" s="119" t="str">
        <f>IF(AN23=1,"",CONCATENATE(BB23,BD23,AX23,BM23))</f>
        <v/>
      </c>
      <c r="D23" s="120" t="str">
        <f>IF(AC23=0,"",AC23)</f>
        <v>GS</v>
      </c>
      <c r="E23" s="121">
        <f>IF(AD23=0,"",AD23)</f>
        <v>1.6</v>
      </c>
      <c r="F23" s="118"/>
      <c r="G23" s="152">
        <f>SUM($G$3/100)</f>
        <v>0</v>
      </c>
      <c r="H23" s="150"/>
      <c r="I23" s="125" t="str">
        <f>IF(AN23=1,VLOOKUP(AO23,Licenses!B:C,2,FALSE),IF($G$5="x",VLOOKUP(AO23,Licenses!B:C,2,FALSE),IF(BL23=0,IF(H23="","",VLOOKUP(AO23,Licenses!B:C,2,FALSE)),BM23)))</f>
        <v/>
      </c>
      <c r="J23" s="118"/>
      <c r="K23" s="124" t="str">
        <f>IF(H23="","",VLOOKUP(AO23,Licenses!B:D,3,FALSE))</f>
        <v/>
      </c>
      <c r="L23" s="118"/>
      <c r="M23" s="124" t="str">
        <f>REPT(T23,1)</f>
        <v/>
      </c>
      <c r="N23" s="118"/>
      <c r="O23" s="124" t="str">
        <f>IF(M23="","",IF(H23="","",VLOOKUP(AO23,Licenses!B:I,8,FALSE)))</f>
        <v/>
      </c>
      <c r="T23" s="29" t="str">
        <f>IF(U23=0,"",IF(U23="","",U23))</f>
        <v/>
      </c>
      <c r="U23" s="29" t="str">
        <f>IF(H23="","",VLOOKUP(AO23,Licenses!B:H,7,FALSE))</f>
        <v/>
      </c>
      <c r="AB23" s="29">
        <f>IF($A$1=1,AE23,AH23)</f>
        <v>6</v>
      </c>
      <c r="AC23" s="29" t="str">
        <f>IF($A$1=1,AF23,AI23)</f>
        <v>GS</v>
      </c>
      <c r="AD23" s="29">
        <f>IF($A$1=1,AG23,AJ23)</f>
        <v>1.6</v>
      </c>
      <c r="AE23" s="106">
        <v>6</v>
      </c>
      <c r="AF23" s="106" t="s">
        <v>848</v>
      </c>
      <c r="AG23" s="106">
        <v>1.6</v>
      </c>
      <c r="AH23" s="101">
        <v>6</v>
      </c>
      <c r="AI23" s="101"/>
      <c r="AJ23" s="101"/>
      <c r="AK23" s="108">
        <v>6</v>
      </c>
      <c r="AL23" s="108"/>
      <c r="AM23" s="108"/>
      <c r="AN23" s="29">
        <f>IF($A$1=3,IF($G$7="X",1,0),0)</f>
        <v>0</v>
      </c>
      <c r="AO23" s="114" t="str">
        <f>IF(AN23=1,$G$3,IF($G$5="X",$G$3,IF(H23="","",SUM(H23*1,$G$3))))</f>
        <v/>
      </c>
      <c r="AP23" s="29">
        <f>IF(AO23=AO13,1,0)</f>
        <v>1</v>
      </c>
      <c r="AQ23" s="29">
        <f>IF(AO23=AO15,1,0)</f>
        <v>1</v>
      </c>
      <c r="AR23" s="29">
        <f>IF(AO23=AO17,1,0)</f>
        <v>1</v>
      </c>
      <c r="AS23" s="29">
        <f>IF(AO23=AO19,1,0)</f>
        <v>1</v>
      </c>
      <c r="AT23" s="29">
        <f>IF(AO23=AO21,1,0)</f>
        <v>1</v>
      </c>
      <c r="AW23" s="29" t="str">
        <f>IF(AN23=1,0,IF($G$5="X",0,IF(AO23="","",SUM(AP23:AV23))))</f>
        <v/>
      </c>
      <c r="AX23" s="117" t="str">
        <f>IF(AW23=1,AX12,"")</f>
        <v/>
      </c>
      <c r="AY23" s="117" t="str">
        <f>IF(AW23=1,$AY$12,"")</f>
        <v/>
      </c>
      <c r="AZ23" s="116">
        <f>IF(H23="",1,0)</f>
        <v>1</v>
      </c>
      <c r="BA23" s="29">
        <f>IF(H23="",1,0)</f>
        <v>1</v>
      </c>
      <c r="BB23" s="29" t="str">
        <f>IF(AZ23=1,$BB$12,"")</f>
        <v/>
      </c>
      <c r="BC23" s="116">
        <f>IF(I23="n / a",1,0)</f>
        <v>0</v>
      </c>
      <c r="BD23" s="29" t="str">
        <f>IF(BC23=1,REPT(Sprache!$K$27,1),"")</f>
        <v/>
      </c>
      <c r="BE23" s="29">
        <f>SUM(Steuerung!$Y$3)</f>
        <v>1</v>
      </c>
      <c r="BF23" s="29">
        <f>IF(M23="",100,VLOOKUP(M23,Steuerung!$A$39:$B$60,2,FALSE))</f>
        <v>100</v>
      </c>
      <c r="BG23" s="29">
        <f>IF(BE23=BF23,0,IF(BE23&lt;BF23,0,1))</f>
        <v>0</v>
      </c>
      <c r="BH23" s="29" t="str">
        <f>IF(BE23&gt;20,LEFT(M23,1),"")</f>
        <v/>
      </c>
      <c r="BI23" s="29">
        <f>IF(BH23="2",BE23-BF23,0)</f>
        <v>0</v>
      </c>
      <c r="BJ23" s="29">
        <f>IF(BI23=0,0,1)</f>
        <v>0</v>
      </c>
      <c r="BK23" s="29">
        <f>IF(BL23&gt;0,1,0)</f>
        <v>0</v>
      </c>
      <c r="BL23" s="116">
        <f>SUM(BG23,BJ23)</f>
        <v>0</v>
      </c>
      <c r="BM23" s="29" t="str">
        <f>IF(BL23=0,"",Sprache!$K$49)</f>
        <v/>
      </c>
      <c r="BN23" s="29">
        <v>0</v>
      </c>
      <c r="BO23" s="29">
        <v>1</v>
      </c>
      <c r="BP23" s="29">
        <v>1</v>
      </c>
      <c r="BQ23" s="29">
        <f>IF($A$1=1,BN23,0)</f>
        <v>0</v>
      </c>
      <c r="BR23" s="29">
        <f>IF($A$1=2,BO23,0)</f>
        <v>0</v>
      </c>
      <c r="BS23" s="29">
        <f>IF($A$1=3,BP23,0)</f>
        <v>0</v>
      </c>
      <c r="BU23" s="127" t="str">
        <f>IF(BW23=1,H23,"")</f>
        <v/>
      </c>
      <c r="BV23" s="127" t="str">
        <f>CONCATENATE(BU23,BU21)</f>
        <v/>
      </c>
      <c r="BW23" s="29">
        <f>SUM(BQ23:BS23)</f>
        <v>0</v>
      </c>
    </row>
    <row r="24" spans="2:75" ht="6" customHeight="1">
      <c r="D24" s="113"/>
      <c r="E24" s="113"/>
      <c r="I24" s="126"/>
      <c r="AE24" s="107"/>
      <c r="AF24" s="107"/>
      <c r="AG24" s="107"/>
      <c r="AH24" s="103"/>
      <c r="AI24" s="103"/>
      <c r="AJ24" s="103"/>
      <c r="AK24" s="111"/>
      <c r="AL24" s="111"/>
      <c r="AM24" s="111"/>
      <c r="AX24" s="115"/>
      <c r="AY24" s="115"/>
    </row>
    <row r="25" spans="2:75">
      <c r="B25" s="119" t="str">
        <f>IF(AN25=1,"",CONCATENATE(BB25,BD25,AX25,BM25))</f>
        <v/>
      </c>
      <c r="D25" s="120" t="str">
        <f>IF(AC25=0,"",AC25)</f>
        <v>GS</v>
      </c>
      <c r="E25" s="121">
        <f>IF(AD25=0,"",AD25)</f>
        <v>1.7</v>
      </c>
      <c r="F25" s="118"/>
      <c r="G25" s="152">
        <f>IF($A$1=3,"",SUM($G$3/100))</f>
        <v>0</v>
      </c>
      <c r="H25" s="150"/>
      <c r="I25" s="125" t="str">
        <f>IF($A$1=3,"",IF(AN25=1,VLOOKUP(AO25,Licenses!B:C,2,FALSE),IF($G$5="x",VLOOKUP(AO25,Licenses!B:C,2,FALSE),IF(BL25=0,IF(H25="","",VLOOKUP(AO25,Licenses!B:C,2,FALSE)),BM25))))</f>
        <v/>
      </c>
      <c r="J25" s="118"/>
      <c r="K25" s="124" t="str">
        <f>IF($A$1=3,"",IF(H25="","",VLOOKUP(AO25,Licenses!B:D,3,FALSE)))</f>
        <v/>
      </c>
      <c r="L25" s="118"/>
      <c r="M25" s="124" t="str">
        <f>REPT(T25,1)</f>
        <v/>
      </c>
      <c r="N25" s="118"/>
      <c r="O25" s="124" t="str">
        <f>IF(M25="","",IF($A$1=3,"",IF(H25="","",VLOOKUP(AO25,Licenses!B:I,8,FALSE))))</f>
        <v/>
      </c>
      <c r="T25" s="29" t="str">
        <f>IF($A$1=3,"",IF(U25=0,"",IF(U25="","",U25)))</f>
        <v/>
      </c>
      <c r="U25" s="29" t="str">
        <f>IF($A$1=3,"",IF(H25="","",VLOOKUP(AO25,Licenses!B:H,7,FALSE)))</f>
        <v/>
      </c>
      <c r="AB25" s="29">
        <f>IF($A$1=3,"",IF($A$1=2,AH25,IF($A$1=1,AE25,0)))</f>
        <v>7</v>
      </c>
      <c r="AC25" s="29" t="str">
        <f>IF($A$1=3,0,IF($A$1=1,AF25,AI25))</f>
        <v>GS</v>
      </c>
      <c r="AD25" s="29">
        <f>IF($A$1=3,0,IF($A$1=1,AG25,AJ25))</f>
        <v>1.7</v>
      </c>
      <c r="AE25" s="106">
        <v>7</v>
      </c>
      <c r="AF25" s="106" t="s">
        <v>848</v>
      </c>
      <c r="AG25" s="106">
        <v>1.7</v>
      </c>
      <c r="AH25" s="101">
        <v>7</v>
      </c>
      <c r="AI25" s="101" t="s">
        <v>778</v>
      </c>
      <c r="AJ25" s="101">
        <v>1.4</v>
      </c>
      <c r="AK25" s="110"/>
      <c r="AL25" s="110"/>
      <c r="AM25" s="110"/>
      <c r="AN25" s="29">
        <f>IF($A$1=1,0,IF($A$1=3,0,IF($G$7="X",1,0)))</f>
        <v>0</v>
      </c>
      <c r="AO25" s="114" t="str">
        <f>IF(AN25=1,$G$3,IF($A$1=3,"",IF($G$5="X",$G$3,IF(H25="","",SUM(H25*1,$G$3)))))</f>
        <v/>
      </c>
      <c r="AP25" s="29">
        <f>IF(AO25=AO13,1,0)</f>
        <v>1</v>
      </c>
      <c r="AQ25" s="29">
        <f>IF(AO25=AO15,1,0)</f>
        <v>1</v>
      </c>
      <c r="AR25" s="29">
        <f>IF(AO25=AO17,1,0)</f>
        <v>1</v>
      </c>
      <c r="AS25" s="29">
        <f>IF(AO25=AO19,1,0)</f>
        <v>1</v>
      </c>
      <c r="AT25" s="29">
        <f>IF(AO25=AO21,1,0)</f>
        <v>1</v>
      </c>
      <c r="AU25" s="29">
        <f>IF(AO25=AO23,1,0)</f>
        <v>1</v>
      </c>
      <c r="AW25" s="29" t="str">
        <f>IF($G$5="X",0,IF(AO25="","",SUM(AP25:AV25)))</f>
        <v/>
      </c>
      <c r="AX25" s="117" t="str">
        <f>IF(AW25=1,AX12,"")</f>
        <v/>
      </c>
      <c r="AY25" s="117" t="str">
        <f>IF(AW25=1,$AY$12,"")</f>
        <v/>
      </c>
      <c r="AZ25" s="116">
        <f>IF(AN25=1,0,IF($A$1=3,"",IF(H25="",1,0)))</f>
        <v>1</v>
      </c>
      <c r="BA25" s="29">
        <f>IF($A$1=3,0,IF(H25="",1,0))</f>
        <v>1</v>
      </c>
      <c r="BB25" s="29" t="str">
        <f>IF(AZ25=1,$BB$12,"")</f>
        <v/>
      </c>
      <c r="BC25" s="116">
        <f>IF($A$1=3,"",IF(I25="n / a",1,0))</f>
        <v>0</v>
      </c>
      <c r="BD25" s="29" t="str">
        <f>IF(BC25=1,REPT(Sprache!$K$27,1),"")</f>
        <v/>
      </c>
      <c r="BE25" s="29">
        <f>SUM(Steuerung!$Y$3)</f>
        <v>1</v>
      </c>
      <c r="BF25" s="29">
        <f>IF(M25="",100,VLOOKUP(M25,Steuerung!$A$39:$B$60,2,FALSE))</f>
        <v>100</v>
      </c>
      <c r="BG25" s="29">
        <f>IF(BE25=BF25,0,IF(BE25&lt;BF25,0,1))</f>
        <v>0</v>
      </c>
      <c r="BH25" s="29" t="str">
        <f>IF(BE25&gt;20,LEFT(M25,1),"")</f>
        <v/>
      </c>
      <c r="BI25" s="29">
        <f>IF(BH25="2",BE25-BF25,0)</f>
        <v>0</v>
      </c>
      <c r="BJ25" s="29">
        <f>IF(BI25=0,0,1)</f>
        <v>0</v>
      </c>
      <c r="BK25" s="29">
        <f>IF(BL25&gt;0,1,0)</f>
        <v>0</v>
      </c>
      <c r="BL25" s="116">
        <f>SUM(BG25,BJ25)</f>
        <v>0</v>
      </c>
      <c r="BM25" s="29" t="str">
        <f>IF(BL25=0,"",Sprache!$K$49)</f>
        <v/>
      </c>
      <c r="BN25" s="29">
        <v>0</v>
      </c>
      <c r="BO25" s="29">
        <v>1</v>
      </c>
      <c r="BQ25" s="29">
        <f>IF($A$1=1,BN25,0)</f>
        <v>0</v>
      </c>
      <c r="BR25" s="29">
        <f>IF($A$1=2,BO25,0)</f>
        <v>0</v>
      </c>
      <c r="BU25" s="127" t="str">
        <f>IF(BW25=1,H25,"")</f>
        <v/>
      </c>
      <c r="BV25" s="127" t="str">
        <f>CONCATENATE(BU25,BU27)</f>
        <v/>
      </c>
      <c r="BW25" s="29">
        <f>SUM(BQ25:BS25)</f>
        <v>0</v>
      </c>
    </row>
    <row r="26" spans="2:75" ht="6" customHeight="1">
      <c r="D26" s="113"/>
      <c r="E26" s="113"/>
      <c r="I26" s="126"/>
      <c r="AE26" s="107"/>
      <c r="AF26" s="107"/>
      <c r="AG26" s="107"/>
      <c r="AH26" s="103"/>
      <c r="AI26" s="103"/>
      <c r="AJ26" s="103"/>
      <c r="AK26" s="111"/>
      <c r="AL26" s="111"/>
      <c r="AM26" s="111"/>
      <c r="AX26" s="115"/>
      <c r="AY26" s="115"/>
    </row>
    <row r="27" spans="2:75">
      <c r="B27" s="119" t="str">
        <f>IF(AN27=1,"",CONCATENATE(BB27,BD27,AX27,BM27))</f>
        <v/>
      </c>
      <c r="D27" s="120" t="str">
        <f>IF(AC27=0,"",AC27)</f>
        <v>GS</v>
      </c>
      <c r="E27" s="121">
        <f>IF(AD27=0,"",AD27)</f>
        <v>1.8</v>
      </c>
      <c r="F27" s="118"/>
      <c r="G27" s="152">
        <f>IF($A$1=3,"",SUM($G$3/100))</f>
        <v>0</v>
      </c>
      <c r="H27" s="150"/>
      <c r="I27" s="125" t="str">
        <f>IF($A$1=3,"",IF(AN27=1,VLOOKUP(AO27,Licenses!B:C,2,FALSE),IF($G$5="x",VLOOKUP(AO27,Licenses!B:C,2,FALSE),IF(BL27=0,IF(H27="","",VLOOKUP(AO27,Licenses!B:C,2,FALSE)),BM27))))</f>
        <v/>
      </c>
      <c r="J27" s="118"/>
      <c r="K27" s="124" t="str">
        <f>IF($A$1=3,"",IF(H27="","",VLOOKUP(AO27,Licenses!B:D,3,FALSE)))</f>
        <v/>
      </c>
      <c r="L27" s="118"/>
      <c r="M27" s="124" t="str">
        <f>REPT(T27,1)</f>
        <v/>
      </c>
      <c r="N27" s="118"/>
      <c r="O27" s="124" t="str">
        <f>IF(M27="","",IF($A$1=3,"",IF(H27="","",VLOOKUP(AO27,Licenses!B:I,8,FALSE))))</f>
        <v/>
      </c>
      <c r="T27" s="29" t="str">
        <f>IF($A$1=3,"",IF(U27=0,"",IF(U27="","",U27)))</f>
        <v/>
      </c>
      <c r="U27" s="29" t="str">
        <f>IF($A$1=3,"",IF(H27="","",VLOOKUP(AO27,Licenses!B:H,7,FALSE)))</f>
        <v/>
      </c>
      <c r="AB27" s="29">
        <f>IF($A$1=3,"",IF($A$1=2,AH27,IF($A$1=1,AE27,0)))</f>
        <v>8</v>
      </c>
      <c r="AC27" s="29" t="str">
        <f>IF($A$1=3,0,IF($A$1=1,AF27,AI27))</f>
        <v>GS</v>
      </c>
      <c r="AD27" s="29">
        <f>IF($A$1=3,0,IF($A$1=1,AG27,AJ27))</f>
        <v>1.8</v>
      </c>
      <c r="AE27" s="106">
        <v>8</v>
      </c>
      <c r="AF27" s="106" t="s">
        <v>848</v>
      </c>
      <c r="AG27" s="106">
        <v>1.8</v>
      </c>
      <c r="AH27" s="101">
        <v>8</v>
      </c>
      <c r="AI27" s="101"/>
      <c r="AJ27" s="101"/>
      <c r="AK27" s="110"/>
      <c r="AL27" s="110"/>
      <c r="AM27" s="110"/>
      <c r="AN27" s="29">
        <f>IF($A$1=3,0,IF($G$7="X",1,0))</f>
        <v>0</v>
      </c>
      <c r="AO27" s="114" t="str">
        <f>IF(AN27=1,$G$3,IF($A$1=3,"",IF($G$5="X",$G$3,IF(H27="","",SUM(H27*1,$G$3)))))</f>
        <v/>
      </c>
      <c r="AP27" s="29">
        <f>IF(AO27=AO13,1,0)</f>
        <v>1</v>
      </c>
      <c r="AQ27" s="29">
        <f>IF(AO27=AO15,1,0)</f>
        <v>1</v>
      </c>
      <c r="AR27" s="29">
        <f>IF(AO27=AO17,1,0)</f>
        <v>1</v>
      </c>
      <c r="AS27" s="29">
        <f>IF(AO27=AO19,1,0)</f>
        <v>1</v>
      </c>
      <c r="AT27" s="29">
        <f>IF(AO27=AO21,1,0)</f>
        <v>1</v>
      </c>
      <c r="AU27" s="29">
        <f>IF(AO27=AO23,1,0)</f>
        <v>1</v>
      </c>
      <c r="AV27" s="29">
        <f>IF(AO27=AO25,1,0)</f>
        <v>1</v>
      </c>
      <c r="AW27" s="29" t="str">
        <f>IF(AN27=1,0,IF($G$5="X",0,IF(AO27="","",SUM(AP27:AV27))))</f>
        <v/>
      </c>
      <c r="AX27" s="117" t="str">
        <f>IF(AW27=1,AX12,"")</f>
        <v/>
      </c>
      <c r="AY27" s="117" t="str">
        <f>IF(AW27=1,$AY$12,"")</f>
        <v/>
      </c>
      <c r="AZ27" s="116">
        <f>IF(AN27=1,0,IF($A$1=3,"",IF(H27="",1,0)))</f>
        <v>1</v>
      </c>
      <c r="BA27" s="29">
        <f>IF($A$1=3,0,IF(H27="",1,0))</f>
        <v>1</v>
      </c>
      <c r="BB27" s="29" t="str">
        <f>IF(AZ27=1,$BB$12,"")</f>
        <v/>
      </c>
      <c r="BC27" s="116">
        <f>IF($A$1=3,"",IF(I27="n / a",1,0))</f>
        <v>0</v>
      </c>
      <c r="BD27" s="29" t="str">
        <f>IF(BC27=1,REPT(Sprache!$K$27,1),"")</f>
        <v/>
      </c>
      <c r="BE27" s="29">
        <f>SUM(Steuerung!$Y$3)</f>
        <v>1</v>
      </c>
      <c r="BF27" s="29">
        <f>IF(M27="",100,VLOOKUP(M27,Steuerung!$A$39:$B$60,2,FALSE))</f>
        <v>100</v>
      </c>
      <c r="BG27" s="29">
        <f>IF(BE27=BF27,0,IF(BE27&lt;BF27,0,1))</f>
        <v>0</v>
      </c>
      <c r="BH27" s="29" t="str">
        <f>IF(BE27&gt;20,LEFT(M27,1),"")</f>
        <v/>
      </c>
      <c r="BI27" s="29">
        <f>IF(BH27="2",BE27-BF27,0)</f>
        <v>0</v>
      </c>
      <c r="BJ27" s="29">
        <f>IF(BI27=0,0,1)</f>
        <v>0</v>
      </c>
      <c r="BK27" s="29">
        <f>IF(BL27&gt;0,1,0)</f>
        <v>0</v>
      </c>
      <c r="BL27" s="116">
        <f>SUM(BG27,BJ27)</f>
        <v>0</v>
      </c>
      <c r="BM27" s="29" t="str">
        <f>IF(BL27=0,"",Sprache!$K$49)</f>
        <v/>
      </c>
      <c r="BN27" s="29">
        <v>0</v>
      </c>
      <c r="BO27" s="29">
        <v>1</v>
      </c>
      <c r="BQ27" s="29">
        <f>IF($A$1=1,BN27,0)</f>
        <v>0</v>
      </c>
      <c r="BR27" s="29">
        <f>IF($A$1=2,BO27,0)</f>
        <v>0</v>
      </c>
      <c r="BU27" s="127" t="str">
        <f>IF(BW27=1,H27,"")</f>
        <v/>
      </c>
      <c r="BV27" s="127" t="str">
        <f>CONCATENATE(BU27,BU25)</f>
        <v/>
      </c>
      <c r="BW27" s="29">
        <f>SUM(BQ27:BS27)</f>
        <v>0</v>
      </c>
    </row>
    <row r="29" spans="2:75">
      <c r="AW29" s="131">
        <f>SUM(AW13:AW27)</f>
        <v>0</v>
      </c>
      <c r="AZ29" s="131">
        <f>IF(AY13=0,0,SUM(AZ13:AZ27))</f>
        <v>0</v>
      </c>
      <c r="BC29" s="131">
        <f>SUM(BC13:BC27)</f>
        <v>0</v>
      </c>
      <c r="BK29" s="131">
        <f>SUM(BK13:BK27)</f>
        <v>0</v>
      </c>
      <c r="BL29" s="131">
        <f>SUM(BK29)</f>
        <v>0</v>
      </c>
    </row>
    <row r="31" spans="2:75">
      <c r="I31" s="102" t="str">
        <f>IF($A$1=3,Sprache!K37,IF($A$1=2,Sprache!K37,IF($A$1=1,Sprache!K32,"")))</f>
        <v>Erste Runde Doppel</v>
      </c>
      <c r="J31" s="91"/>
      <c r="K31" s="85" t="str">
        <f>REPT(Sprache!$K$44,1)</f>
        <v>Spieler-Nr.</v>
      </c>
      <c r="L31" s="82"/>
      <c r="M31" s="85" t="str">
        <f>REPT(Sprache!$K$15,1)</f>
        <v>Liga</v>
      </c>
      <c r="N31" s="100"/>
      <c r="O31" s="85" t="str">
        <f>REPT(Sprache!$K$45,1)</f>
        <v>Qualifiziert für:</v>
      </c>
      <c r="AE31" s="106"/>
      <c r="AF31" s="106" t="s">
        <v>821</v>
      </c>
      <c r="AG31" s="106"/>
      <c r="AH31" s="101"/>
      <c r="AI31" s="101" t="s">
        <v>820</v>
      </c>
      <c r="AJ31" s="101"/>
      <c r="AK31" s="108"/>
      <c r="AL31" s="108" t="s">
        <v>819</v>
      </c>
      <c r="AM31" s="108"/>
    </row>
    <row r="32" spans="2:75">
      <c r="AE32" s="106"/>
      <c r="AF32" s="106"/>
      <c r="AG32" s="106"/>
      <c r="AH32" s="101"/>
      <c r="AI32" s="101"/>
      <c r="AJ32" s="101"/>
      <c r="AK32" s="108"/>
      <c r="AL32" s="108"/>
      <c r="AM32" s="108"/>
      <c r="AX32" s="115" t="str">
        <f>REPT(Sprache!K48,1)</f>
        <v>***!!!!!!!!!!Doppelter Eintrag!!!!!!!!!!***</v>
      </c>
      <c r="AY32" s="115" t="str">
        <f>REPT(Sprache!K35,1)</f>
        <v>** A C H T U N G - D O P P E L T E  L I Z E N Z - N U M M E R !!! **</v>
      </c>
      <c r="AZ32" s="29">
        <f>IF($A$1=3,6,8)</f>
        <v>8</v>
      </c>
      <c r="BA32" s="29">
        <f>SUM(AZ33:AZ47)</f>
        <v>8</v>
      </c>
      <c r="BB32" s="29" t="str">
        <f>IF(AY33=0,"",Sprache!$K$29)</f>
        <v/>
      </c>
      <c r="BE32" s="29" t="s">
        <v>827</v>
      </c>
      <c r="BF32" s="29" t="s">
        <v>834</v>
      </c>
      <c r="BJ32" s="29" t="s">
        <v>840</v>
      </c>
      <c r="BL32" s="29" t="s">
        <v>841</v>
      </c>
    </row>
    <row r="33" spans="2:75">
      <c r="B33" s="119" t="str">
        <f>CONCATENATE(BB33,BD33,,BM33)</f>
        <v/>
      </c>
      <c r="D33" s="120" t="str">
        <f>IF(AC33=0,"",AC33)</f>
        <v>GD</v>
      </c>
      <c r="E33" s="121">
        <f>IF(AD33=0,"",AD33)</f>
        <v>1.1000000000000001</v>
      </c>
      <c r="F33" s="118"/>
      <c r="G33" s="152">
        <f>SUM($G$3/100)</f>
        <v>0</v>
      </c>
      <c r="H33" s="150"/>
      <c r="I33" s="125" t="str">
        <f>IF($G$5="x",VLOOKUP(AO33,Licenses!B:C,2,FALSE),IF(BL33=0,IF(H33="","",VLOOKUP(AO33,Licenses!B:C,2,FALSE)),BM33))</f>
        <v/>
      </c>
      <c r="J33" s="118"/>
      <c r="K33" s="124" t="str">
        <f>IF(H33="","",VLOOKUP(AO33,Licenses!B:D,3,FALSE))</f>
        <v/>
      </c>
      <c r="L33" s="118"/>
      <c r="M33" s="124" t="str">
        <f>REPT(T33,1)</f>
        <v/>
      </c>
      <c r="N33" s="118"/>
      <c r="O33" s="124" t="str">
        <f>IF(M33="","",IF(H33="","",VLOOKUP(AO33,Licenses!B:I,8,FALSE)))</f>
        <v/>
      </c>
      <c r="T33" s="29" t="str">
        <f>IF(U33=0,"",IF(U33="","",U33))</f>
        <v/>
      </c>
      <c r="U33" s="29" t="str">
        <f>IF(H33="","",VLOOKUP(AO33,Licenses!B:H,7,FALSE))</f>
        <v/>
      </c>
      <c r="AB33" s="29">
        <f>IF($A$1=3,AK33,IF($A$1=2,AH33,IF($A$1=1,AE33,0)))</f>
        <v>9</v>
      </c>
      <c r="AC33" s="29" t="str">
        <f>IF($A$1=1,AF33,AI33)</f>
        <v>GD</v>
      </c>
      <c r="AD33" s="29">
        <f>IF($A$1=1,AG33,AJ33)</f>
        <v>1.1000000000000001</v>
      </c>
      <c r="AE33" s="106">
        <v>9</v>
      </c>
      <c r="AF33" s="106" t="s">
        <v>849</v>
      </c>
      <c r="AG33" s="106">
        <v>1.1000000000000001</v>
      </c>
      <c r="AH33" s="101">
        <v>9</v>
      </c>
      <c r="AI33" s="101" t="s">
        <v>848</v>
      </c>
      <c r="AJ33" s="101">
        <v>1.1000000000000001</v>
      </c>
      <c r="AK33" s="108">
        <v>7</v>
      </c>
      <c r="AL33" s="108" t="s">
        <v>848</v>
      </c>
      <c r="AM33" s="108">
        <v>1.1000000000000001</v>
      </c>
      <c r="AO33" s="114" t="str">
        <f>IF($G$5="X",$G$3,IF(H33="","",SUM(H33*1,$G$3)))</f>
        <v/>
      </c>
      <c r="AX33" s="115"/>
      <c r="AY33" s="115">
        <f>IF($G$5="X",0,IF(AZ32=BA32,0,1))</f>
        <v>0</v>
      </c>
      <c r="AZ33" s="116">
        <f>IF(H33="",1,0)</f>
        <v>1</v>
      </c>
      <c r="BA33" s="29">
        <f>IF(H33="",1,0)</f>
        <v>1</v>
      </c>
      <c r="BB33" s="29" t="str">
        <f>IF(AZ33=1,$BB$32,"")</f>
        <v/>
      </c>
      <c r="BC33" s="116">
        <f>IF(I33="n / a",1,0)</f>
        <v>0</v>
      </c>
      <c r="BD33" s="29" t="str">
        <f>IF(BC33=1,REPT(Sprache!$K$27,1),"")</f>
        <v/>
      </c>
      <c r="BE33" s="29">
        <f>SUM(Steuerung!$Y$3)</f>
        <v>1</v>
      </c>
      <c r="BF33" s="29">
        <f>IF(M33="",100,VLOOKUP(M33,Steuerung!$A$39:$B$60,2,FALSE))</f>
        <v>100</v>
      </c>
      <c r="BG33" s="29">
        <f>IF(BE33=BF33,0,IF(BE33&lt;BF33,0,1))</f>
        <v>0</v>
      </c>
      <c r="BH33" s="29" t="str">
        <f>IF(BE33&gt;20,LEFT(M33,1),"")</f>
        <v/>
      </c>
      <c r="BI33" s="29">
        <f>IF(BH33="2",BE33-BF33,0)</f>
        <v>0</v>
      </c>
      <c r="BJ33" s="29">
        <f>IF(BI33=0,0,1)</f>
        <v>0</v>
      </c>
      <c r="BK33" s="29">
        <f>IF(BL33&gt;0,1,0)</f>
        <v>0</v>
      </c>
      <c r="BL33" s="116">
        <f>SUM(BG33,BJ33)</f>
        <v>0</v>
      </c>
      <c r="BM33" s="29" t="str">
        <f>IF(BL33=0,"",Sprache!$K$49)</f>
        <v/>
      </c>
      <c r="BN33" s="29">
        <v>1</v>
      </c>
      <c r="BQ33" s="29">
        <f>IF($A$1=1,BN33,0)</f>
        <v>1</v>
      </c>
      <c r="BR33" s="29">
        <f>IF($A$1=2,BO33,0)</f>
        <v>0</v>
      </c>
      <c r="BS33" s="29">
        <f>IF($A$1=3,BP33,0)</f>
        <v>0</v>
      </c>
      <c r="BU33" s="127">
        <f>IF(BW33=1,H33,"")</f>
        <v>0</v>
      </c>
      <c r="BV33" s="127" t="str">
        <f>CONCATENATE(BU33,BU35)</f>
        <v>00</v>
      </c>
      <c r="BW33" s="29">
        <f>SUM(BQ33:BS33)</f>
        <v>1</v>
      </c>
    </row>
    <row r="34" spans="2:75" ht="6" customHeight="1">
      <c r="D34" s="113"/>
      <c r="E34" s="113"/>
      <c r="I34" s="126"/>
      <c r="AE34" s="107"/>
      <c r="AF34" s="107"/>
      <c r="AG34" s="107"/>
      <c r="AH34" s="103"/>
      <c r="AI34" s="103"/>
      <c r="AJ34" s="103"/>
      <c r="AK34" s="109"/>
      <c r="AL34" s="109"/>
      <c r="AM34" s="109"/>
      <c r="AX34" s="115"/>
      <c r="AY34" s="115"/>
    </row>
    <row r="35" spans="2:75">
      <c r="B35" s="119" t="str">
        <f>CONCATENATE(BB35,BD35,AY35,BM35)</f>
        <v/>
      </c>
      <c r="D35" s="120" t="str">
        <f>IF(AC35=0,"",AC35)</f>
        <v/>
      </c>
      <c r="E35" s="121" t="str">
        <f>IF(AD35=0,"",AD35)</f>
        <v/>
      </c>
      <c r="F35" s="118"/>
      <c r="G35" s="152">
        <f>SUM($G$3/100)</f>
        <v>0</v>
      </c>
      <c r="H35" s="150"/>
      <c r="I35" s="125" t="str">
        <f>IF($G$5="x",VLOOKUP(AO35,Licenses!B:C,2,FALSE),IF(BL35=0,IF(H35="","",VLOOKUP(AO35,Licenses!B:C,2,FALSE)),BM35))</f>
        <v/>
      </c>
      <c r="J35" s="118"/>
      <c r="K35" s="124" t="str">
        <f>IF(H35="","",VLOOKUP(AO35,Licenses!B:D,3,FALSE))</f>
        <v/>
      </c>
      <c r="L35" s="118"/>
      <c r="M35" s="124" t="str">
        <f>REPT(T35,1)</f>
        <v/>
      </c>
      <c r="N35" s="118"/>
      <c r="O35" s="124" t="str">
        <f>IF(M35="","",IF(H35="","",VLOOKUP(AO35,Licenses!B:I,8,FALSE)))</f>
        <v/>
      </c>
      <c r="T35" s="29" t="str">
        <f>IF(U35=0,"",IF(U35="","",U35))</f>
        <v/>
      </c>
      <c r="U35" s="29" t="str">
        <f>IF(H35="","",VLOOKUP(AO35,Licenses!B:H,7,FALSE))</f>
        <v/>
      </c>
      <c r="AB35" s="29">
        <f>IF($A$1=3,AK35,IF($A$1=2,AH35,IF($A$1=1,AE35,0)))</f>
        <v>10</v>
      </c>
      <c r="AC35" s="29">
        <f>IF($A$1=1,AF35,AI35)</f>
        <v>0</v>
      </c>
      <c r="AD35" s="29">
        <f>IF($A$1=1,AG35,AJ35)</f>
        <v>0</v>
      </c>
      <c r="AE35" s="106">
        <v>10</v>
      </c>
      <c r="AF35" s="106"/>
      <c r="AG35" s="106"/>
      <c r="AH35" s="101">
        <v>10</v>
      </c>
      <c r="AI35" s="101" t="s">
        <v>848</v>
      </c>
      <c r="AJ35" s="101">
        <v>1.2</v>
      </c>
      <c r="AK35" s="108">
        <v>8</v>
      </c>
      <c r="AL35" s="108" t="s">
        <v>848</v>
      </c>
      <c r="AM35" s="108">
        <v>1.2</v>
      </c>
      <c r="AO35" s="114" t="str">
        <f>IF($G$5="X",$G$3,IF(H35="","",SUM(H35*1,$G$3)))</f>
        <v/>
      </c>
      <c r="AP35" s="29">
        <f>IF(AO35=AO33,1,0)</f>
        <v>1</v>
      </c>
      <c r="AW35" s="29" t="str">
        <f>IF($G$5="X",0,IF(AO35="","",SUM(AP35:AV35)))</f>
        <v/>
      </c>
      <c r="AX35" s="117" t="str">
        <f>IF(AW35=1,AX32,"")</f>
        <v/>
      </c>
      <c r="AY35" s="117" t="str">
        <f>IF(AW35=1,$AY$12,"")</f>
        <v/>
      </c>
      <c r="AZ35" s="116">
        <f>IF(H35="",1,0)</f>
        <v>1</v>
      </c>
      <c r="BA35" s="29">
        <f>IF(H35="",1,0)</f>
        <v>1</v>
      </c>
      <c r="BB35" s="29" t="str">
        <f>IF(AZ35=1,$BB$32,"")</f>
        <v/>
      </c>
      <c r="BC35" s="116">
        <f>IF(I35="n / a",1,0)</f>
        <v>0</v>
      </c>
      <c r="BD35" s="29" t="str">
        <f>IF(BC35=1,REPT(Sprache!$K$27,1),"")</f>
        <v/>
      </c>
      <c r="BE35" s="29">
        <f>SUM(Steuerung!$Y$3)</f>
        <v>1</v>
      </c>
      <c r="BF35" s="29">
        <f>IF(M35="",100,VLOOKUP(M35,Steuerung!$A$39:$B$60,2,FALSE))</f>
        <v>100</v>
      </c>
      <c r="BG35" s="29">
        <f>IF(BE35=BF35,0,IF(BE35&lt;BF35,0,1))</f>
        <v>0</v>
      </c>
      <c r="BH35" s="29" t="str">
        <f>IF(BE35&gt;20,LEFT(M35,1),"")</f>
        <v/>
      </c>
      <c r="BI35" s="29">
        <f>IF(BH35="2",BE35-BF35,0)</f>
        <v>0</v>
      </c>
      <c r="BJ35" s="29">
        <f>IF(BI35=0,0,1)</f>
        <v>0</v>
      </c>
      <c r="BK35" s="29">
        <f>IF(BL35&gt;0,1,0)</f>
        <v>0</v>
      </c>
      <c r="BL35" s="116">
        <f>SUM(BG35,BJ35)</f>
        <v>0</v>
      </c>
      <c r="BM35" s="29" t="str">
        <f>IF(BL35=0,"",Sprache!$K$49)</f>
        <v/>
      </c>
      <c r="BN35" s="29">
        <v>1</v>
      </c>
      <c r="BQ35" s="29">
        <f>IF($A$1=1,BN35,0)</f>
        <v>1</v>
      </c>
      <c r="BR35" s="29">
        <f>IF($A$1=2,BO35,0)</f>
        <v>0</v>
      </c>
      <c r="BS35" s="29">
        <f>IF($A$1=3,BP35,0)</f>
        <v>0</v>
      </c>
      <c r="BU35" s="127">
        <f>IF(BW35=1,H35,"")</f>
        <v>0</v>
      </c>
      <c r="BV35" s="127" t="str">
        <f>CONCATENATE(BU35,BU33)</f>
        <v>00</v>
      </c>
      <c r="BW35" s="29">
        <f>SUM(BQ35:BS35)</f>
        <v>1</v>
      </c>
    </row>
    <row r="36" spans="2:75" ht="6" customHeight="1">
      <c r="D36" s="113"/>
      <c r="E36" s="113"/>
      <c r="I36" s="126"/>
      <c r="AE36" s="107"/>
      <c r="AF36" s="107"/>
      <c r="AG36" s="107"/>
      <c r="AH36" s="103"/>
      <c r="AI36" s="103"/>
      <c r="AJ36" s="103"/>
      <c r="AK36" s="109"/>
      <c r="AL36" s="109"/>
      <c r="AM36" s="109"/>
      <c r="AX36" s="115"/>
      <c r="AY36" s="115"/>
    </row>
    <row r="37" spans="2:75">
      <c r="B37" s="119" t="str">
        <f>CONCATENATE(BB37,BD37,AY37,BM37)</f>
        <v/>
      </c>
      <c r="D37" s="120" t="str">
        <f>IF(AC37=0,"",AC37)</f>
        <v>GD</v>
      </c>
      <c r="E37" s="121">
        <f>IF(AD37=0,"",AD37)</f>
        <v>1.2</v>
      </c>
      <c r="F37" s="118"/>
      <c r="G37" s="152">
        <f>SUM($G$3/100)</f>
        <v>0</v>
      </c>
      <c r="H37" s="150"/>
      <c r="I37" s="125" t="str">
        <f>IF($G$5="x",VLOOKUP(AO37,Licenses!B:C,2,FALSE),IF(BL37=0,IF(H37="","",VLOOKUP(AO37,Licenses!B:C,2,FALSE)),BM37))</f>
        <v/>
      </c>
      <c r="J37" s="118"/>
      <c r="K37" s="124" t="str">
        <f>IF(H37="","",VLOOKUP(AO37,Licenses!B:D,3,FALSE))</f>
        <v/>
      </c>
      <c r="L37" s="118"/>
      <c r="M37" s="124" t="str">
        <f>REPT(T37,1)</f>
        <v/>
      </c>
      <c r="N37" s="118"/>
      <c r="O37" s="124" t="str">
        <f>IF(M37="","",IF(H37="","",VLOOKUP(AO37,Licenses!B:I,8,FALSE)))</f>
        <v/>
      </c>
      <c r="T37" s="29" t="str">
        <f>IF(U37=0,"",IF(U37="","",U37))</f>
        <v/>
      </c>
      <c r="U37" s="29" t="str">
        <f>IF(H37="","",VLOOKUP(AO37,Licenses!B:H,7,FALSE))</f>
        <v/>
      </c>
      <c r="AB37" s="29">
        <f>IF($A$1=3,AK37,IF($A$1=2,AH37,IF($A$1=1,AE37,0)))</f>
        <v>11</v>
      </c>
      <c r="AC37" s="29" t="str">
        <f>IF($A$1=1,AF37,AI37)</f>
        <v>GD</v>
      </c>
      <c r="AD37" s="29">
        <f>IF($A$1=1,AG37,AJ37)</f>
        <v>1.2</v>
      </c>
      <c r="AE37" s="106">
        <v>11</v>
      </c>
      <c r="AF37" s="106" t="s">
        <v>849</v>
      </c>
      <c r="AG37" s="106">
        <v>1.2</v>
      </c>
      <c r="AH37" s="101">
        <v>11</v>
      </c>
      <c r="AI37" s="101" t="s">
        <v>848</v>
      </c>
      <c r="AJ37" s="101">
        <v>1.3</v>
      </c>
      <c r="AK37" s="108">
        <v>9</v>
      </c>
      <c r="AL37" s="108" t="s">
        <v>848</v>
      </c>
      <c r="AM37" s="108">
        <v>1.3</v>
      </c>
      <c r="AO37" s="114" t="str">
        <f>IF($G$5="X",$G$3,IF(H37="","",SUM(H37*1,$G$3)))</f>
        <v/>
      </c>
      <c r="AP37" s="29">
        <f>IF(AO37=AO33,1,0)</f>
        <v>1</v>
      </c>
      <c r="AQ37" s="29">
        <f>IF(AO37=AO35,1,0)</f>
        <v>1</v>
      </c>
      <c r="AW37" s="29" t="str">
        <f>IF($G$5="X",0,IF(AO37="","",SUM(AP37:AV37)))</f>
        <v/>
      </c>
      <c r="AX37" s="117" t="str">
        <f>IF(AW37=1,AX32,"")</f>
        <v/>
      </c>
      <c r="AY37" s="117" t="str">
        <f>IF(AW37=1,$AY$12,"")</f>
        <v/>
      </c>
      <c r="AZ37" s="116">
        <f>IF(H37="",1,0)</f>
        <v>1</v>
      </c>
      <c r="BA37" s="29">
        <f>IF(H37="",1,0)</f>
        <v>1</v>
      </c>
      <c r="BB37" s="29" t="str">
        <f>IF(AZ37=1,$BB$32,"")</f>
        <v/>
      </c>
      <c r="BC37" s="116">
        <f>IF(I37="n / a",1,0)</f>
        <v>0</v>
      </c>
      <c r="BD37" s="29" t="str">
        <f>IF(BC37=1,REPT(Sprache!$K$27,1),"")</f>
        <v/>
      </c>
      <c r="BE37" s="29">
        <f>SUM(Steuerung!$Y$3)</f>
        <v>1</v>
      </c>
      <c r="BF37" s="29">
        <f>IF(M37="",100,VLOOKUP(M37,Steuerung!$A$39:$B$60,2,FALSE))</f>
        <v>100</v>
      </c>
      <c r="BG37" s="29">
        <f>IF(BE37=BF37,0,IF(BE37&lt;BF37,0,1))</f>
        <v>0</v>
      </c>
      <c r="BH37" s="29" t="str">
        <f>IF(BE37&gt;20,LEFT(M37,1),"")</f>
        <v/>
      </c>
      <c r="BI37" s="29">
        <f>IF(BH37="2",BE37-BF37,0)</f>
        <v>0</v>
      </c>
      <c r="BJ37" s="29">
        <f>IF(BI37=0,0,1)</f>
        <v>0</v>
      </c>
      <c r="BK37" s="29">
        <f>IF(BL37&gt;0,1,0)</f>
        <v>0</v>
      </c>
      <c r="BL37" s="116">
        <f>SUM(BG37,BJ37)</f>
        <v>0</v>
      </c>
      <c r="BM37" s="29" t="str">
        <f>IF(BL37=0,"",Sprache!$K$49)</f>
        <v/>
      </c>
      <c r="BN37" s="29">
        <v>1</v>
      </c>
      <c r="BQ37" s="29">
        <f>IF($A$1=1,BN37,0)</f>
        <v>1</v>
      </c>
      <c r="BR37" s="29">
        <f>IF($A$1=2,BO37,0)</f>
        <v>0</v>
      </c>
      <c r="BS37" s="29">
        <f>IF($A$1=3,BP37,0)</f>
        <v>0</v>
      </c>
      <c r="BU37" s="127">
        <f>IF(BW37=1,H37,"")</f>
        <v>0</v>
      </c>
      <c r="BV37" s="127" t="str">
        <f>CONCATENATE(BU37,BU39)</f>
        <v>00</v>
      </c>
      <c r="BW37" s="29">
        <f>SUM(BQ37:BS37)</f>
        <v>1</v>
      </c>
    </row>
    <row r="38" spans="2:75" ht="6" customHeight="1">
      <c r="D38" s="113"/>
      <c r="E38" s="113"/>
      <c r="I38" s="126"/>
      <c r="AE38" s="107"/>
      <c r="AF38" s="107"/>
      <c r="AG38" s="107"/>
      <c r="AH38" s="103"/>
      <c r="AI38" s="103"/>
      <c r="AJ38" s="103"/>
      <c r="AK38" s="109"/>
      <c r="AL38" s="109"/>
      <c r="AM38" s="109"/>
      <c r="AX38" s="115"/>
      <c r="AY38" s="115"/>
    </row>
    <row r="39" spans="2:75">
      <c r="B39" s="119" t="str">
        <f>CONCATENATE(BB39,BD39,AY39,BM39)</f>
        <v/>
      </c>
      <c r="D39" s="120" t="str">
        <f>IF(AC39=0,"",AC39)</f>
        <v/>
      </c>
      <c r="E39" s="121" t="str">
        <f>IF(AD39=0,"",AD39)</f>
        <v/>
      </c>
      <c r="F39" s="118"/>
      <c r="G39" s="152">
        <f>SUM($G$3/100)</f>
        <v>0</v>
      </c>
      <c r="H39" s="150"/>
      <c r="I39" s="125" t="str">
        <f>IF($G$5="x",VLOOKUP(AO39,Licenses!B:C,2,FALSE),IF(BL39=0,IF(H39="","",VLOOKUP(AO39,Licenses!B:C,2,FALSE)),BM39))</f>
        <v/>
      </c>
      <c r="J39" s="118"/>
      <c r="K39" s="124" t="str">
        <f>IF(H39="","",VLOOKUP(AO39,Licenses!B:D,3,FALSE))</f>
        <v/>
      </c>
      <c r="L39" s="118"/>
      <c r="M39" s="124" t="str">
        <f>REPT(T39,1)</f>
        <v/>
      </c>
      <c r="N39" s="118"/>
      <c r="O39" s="124" t="str">
        <f>IF(M39="","",IF(H39="","",VLOOKUP(AO39,Licenses!B:I,8,FALSE)))</f>
        <v/>
      </c>
      <c r="T39" s="29" t="str">
        <f>IF(U39=0,"",IF(U39="","",U39))</f>
        <v/>
      </c>
      <c r="U39" s="29" t="str">
        <f>IF(H39="","",VLOOKUP(AO39,Licenses!B:H,7,FALSE))</f>
        <v/>
      </c>
      <c r="AB39" s="29">
        <f>IF($A$1=3,AK39,IF($A$1=2,AH39,IF($A$1=1,AE39,0)))</f>
        <v>12</v>
      </c>
      <c r="AC39" s="29">
        <f>IF($A$1=1,AF39,AI39)</f>
        <v>0</v>
      </c>
      <c r="AD39" s="29">
        <f>IF($A$1=1,AG39,AJ39)</f>
        <v>0</v>
      </c>
      <c r="AE39" s="106">
        <v>12</v>
      </c>
      <c r="AF39" s="106"/>
      <c r="AG39" s="106"/>
      <c r="AH39" s="101">
        <v>12</v>
      </c>
      <c r="AI39" s="101" t="s">
        <v>848</v>
      </c>
      <c r="AJ39" s="101">
        <v>1.4</v>
      </c>
      <c r="AK39" s="108">
        <v>10</v>
      </c>
      <c r="AL39" s="108" t="s">
        <v>848</v>
      </c>
      <c r="AM39" s="108">
        <v>1.4</v>
      </c>
      <c r="AO39" s="114" t="str">
        <f>IF($G$5="X",$G$3,IF(H39="","",SUM(H39*1,$G$3)))</f>
        <v/>
      </c>
      <c r="AP39" s="29">
        <f>IF(AO39=AO33,1,0)</f>
        <v>1</v>
      </c>
      <c r="AQ39" s="29">
        <f>IF(AO39=AO35,1,0)</f>
        <v>1</v>
      </c>
      <c r="AR39" s="29">
        <f>IF(AO39=AO37,1,0)</f>
        <v>1</v>
      </c>
      <c r="AW39" s="29" t="str">
        <f>IF($G$5="X",0,IF(AO39="","",SUM(AP39:AV39)))</f>
        <v/>
      </c>
      <c r="AX39" s="117" t="str">
        <f>IF(AW39=1,AX32,"")</f>
        <v/>
      </c>
      <c r="AY39" s="117" t="str">
        <f>IF(AW39=1,$AY$12,"")</f>
        <v/>
      </c>
      <c r="AZ39" s="116">
        <f>IF(H39="",1,0)</f>
        <v>1</v>
      </c>
      <c r="BA39" s="29">
        <f>IF(H39="",1,0)</f>
        <v>1</v>
      </c>
      <c r="BB39" s="29" t="str">
        <f>IF(AZ39=1,$BB$32,"")</f>
        <v/>
      </c>
      <c r="BC39" s="116">
        <f>IF(I39="n / a",1,0)</f>
        <v>0</v>
      </c>
      <c r="BD39" s="29" t="str">
        <f>IF(BC39=1,REPT(Sprache!$K$27,1),"")</f>
        <v/>
      </c>
      <c r="BE39" s="29">
        <f>SUM(Steuerung!$Y$3)</f>
        <v>1</v>
      </c>
      <c r="BF39" s="29">
        <f>IF(M39="",100,VLOOKUP(M39,Steuerung!$A$39:$B$60,2,FALSE))</f>
        <v>100</v>
      </c>
      <c r="BG39" s="29">
        <f>IF(BE39=BF39,0,IF(BE39&lt;BF39,0,1))</f>
        <v>0</v>
      </c>
      <c r="BH39" s="29" t="str">
        <f>IF(BE39&gt;20,LEFT(M39,1),"")</f>
        <v/>
      </c>
      <c r="BI39" s="29">
        <f>IF(BH39="2",BE39-BF39,0)</f>
        <v>0</v>
      </c>
      <c r="BJ39" s="29">
        <f>IF(BI39=0,0,1)</f>
        <v>0</v>
      </c>
      <c r="BK39" s="29">
        <f>IF(BL39&gt;0,1,0)</f>
        <v>0</v>
      </c>
      <c r="BL39" s="116">
        <f>SUM(BG39,BJ39)</f>
        <v>0</v>
      </c>
      <c r="BM39" s="29" t="str">
        <f>IF(BL39=0,"",Sprache!$K$49)</f>
        <v/>
      </c>
      <c r="BN39" s="29">
        <v>1</v>
      </c>
      <c r="BQ39" s="29">
        <f>IF($A$1=1,BN39,0)</f>
        <v>1</v>
      </c>
      <c r="BR39" s="29">
        <f>IF($A$1=2,BO39,0)</f>
        <v>0</v>
      </c>
      <c r="BS39" s="29">
        <f>IF($A$1=3,BP39,0)</f>
        <v>0</v>
      </c>
      <c r="BU39" s="127">
        <f>IF(BW39=1,H39,"")</f>
        <v>0</v>
      </c>
      <c r="BV39" s="127" t="str">
        <f>CONCATENATE(BU39,BU37)</f>
        <v>00</v>
      </c>
      <c r="BW39" s="29">
        <f>SUM(BQ39:BS39)</f>
        <v>1</v>
      </c>
    </row>
    <row r="40" spans="2:75" ht="6" customHeight="1">
      <c r="D40" s="113"/>
      <c r="E40" s="113"/>
      <c r="I40" s="126"/>
      <c r="AE40" s="107"/>
      <c r="AF40" s="107"/>
      <c r="AG40" s="107"/>
      <c r="AH40" s="103"/>
      <c r="AI40" s="103"/>
      <c r="AJ40" s="103"/>
      <c r="AK40" s="109"/>
      <c r="AL40" s="109"/>
      <c r="AM40" s="109"/>
      <c r="AX40" s="115"/>
      <c r="AY40" s="115"/>
    </row>
    <row r="41" spans="2:75">
      <c r="B41" s="119" t="str">
        <f>CONCATENATE(BB41,BD41,AY41,BM41)</f>
        <v/>
      </c>
      <c r="D41" s="120" t="str">
        <f>IF(AC41=0,"",AC41)</f>
        <v>GD</v>
      </c>
      <c r="E41" s="121">
        <f>IF(AD41=0,"",AD41)</f>
        <v>1.3</v>
      </c>
      <c r="F41" s="118"/>
      <c r="G41" s="152">
        <f>SUM($G$3/100)</f>
        <v>0</v>
      </c>
      <c r="H41" s="150"/>
      <c r="I41" s="125" t="str">
        <f>IF(AN41=1,VLOOKUP(AO41,Licenses!B:C,2,FALSE),IF($G$5="x",VLOOKUP(AO41,Licenses!B:C,2,FALSE),IF(BL41=0,IF(H41="","",VLOOKUP(AO41,Licenses!B:C,2,FALSE)),BM41)))</f>
        <v/>
      </c>
      <c r="J41" s="118"/>
      <c r="K41" s="124" t="str">
        <f>IF(H41="","",VLOOKUP(AO41,Licenses!B:D,3,FALSE))</f>
        <v/>
      </c>
      <c r="L41" s="118"/>
      <c r="M41" s="124" t="str">
        <f>REPT(T41,1)</f>
        <v/>
      </c>
      <c r="N41" s="118"/>
      <c r="O41" s="124" t="str">
        <f>IF(M41="","",IF(H41="","",VLOOKUP(AO41,Licenses!B:I,8,FALSE)))</f>
        <v/>
      </c>
      <c r="T41" s="29" t="str">
        <f>IF(U41=0,"",IF(U41="","",U41))</f>
        <v/>
      </c>
      <c r="U41" s="29" t="str">
        <f>IF(H41="","",VLOOKUP(AO41,Licenses!B:H,7,FALSE))</f>
        <v/>
      </c>
      <c r="AB41" s="29">
        <f>IF($A$1=3,AK41,IF($A$1=2,AH41,IF($A$1=1,AE41,0)))</f>
        <v>13</v>
      </c>
      <c r="AC41" s="29" t="str">
        <f>IF($A$1=1,AF41,AI41)</f>
        <v>GD</v>
      </c>
      <c r="AD41" s="29">
        <f>IF($A$1=1,AG41,AJ41)</f>
        <v>1.3</v>
      </c>
      <c r="AE41" s="106">
        <v>13</v>
      </c>
      <c r="AF41" s="106" t="s">
        <v>849</v>
      </c>
      <c r="AG41" s="106">
        <v>1.3</v>
      </c>
      <c r="AH41" s="101">
        <v>13</v>
      </c>
      <c r="AI41" s="101" t="s">
        <v>848</v>
      </c>
      <c r="AJ41" s="101">
        <v>1.5</v>
      </c>
      <c r="AK41" s="108">
        <v>11</v>
      </c>
      <c r="AL41" s="108" t="s">
        <v>848</v>
      </c>
      <c r="AM41" s="108">
        <v>1.5</v>
      </c>
      <c r="AO41" s="114" t="str">
        <f>IF(AN41=1,$G$3,IF($G$5="X",$G$3,IF(H41="","",SUM(H41*1,$G$3))))</f>
        <v/>
      </c>
      <c r="AP41" s="29">
        <f>IF(AO41=AO33,1,0)</f>
        <v>1</v>
      </c>
      <c r="AQ41" s="29">
        <f>IF(AO41=AO35,1,0)</f>
        <v>1</v>
      </c>
      <c r="AR41" s="29">
        <f>IF(AO41=AO37,1,0)</f>
        <v>1</v>
      </c>
      <c r="AS41" s="29">
        <f>IF(AO41=AO39,1,0)</f>
        <v>1</v>
      </c>
      <c r="AW41" s="29" t="str">
        <f>IF(AN41=1,0,IF($G$5="X",0,IF(AO41="","",SUM(AP41:AV41))))</f>
        <v/>
      </c>
      <c r="AX41" s="117" t="str">
        <f>IF(AW41=1,AX32,"")</f>
        <v/>
      </c>
      <c r="AY41" s="117" t="str">
        <f>IF(AW41=1,$AY$12,"")</f>
        <v/>
      </c>
      <c r="AZ41" s="116">
        <f>IF(H41="",1,0)</f>
        <v>1</v>
      </c>
      <c r="BA41" s="29">
        <f>IF(H41="",1,0)</f>
        <v>1</v>
      </c>
      <c r="BB41" s="29" t="str">
        <f>IF(AZ41=1,$BB$32,"")</f>
        <v/>
      </c>
      <c r="BC41" s="116">
        <f>IF(I41="n / a",1,0)</f>
        <v>0</v>
      </c>
      <c r="BD41" s="29" t="str">
        <f>IF(BC41=1,REPT(Sprache!$K$27,1),"")</f>
        <v/>
      </c>
      <c r="BE41" s="29">
        <f>SUM(Steuerung!$Y$3)</f>
        <v>1</v>
      </c>
      <c r="BF41" s="29">
        <f>IF(M41="",100,VLOOKUP(M41,Steuerung!$A$39:$B$60,2,FALSE))</f>
        <v>100</v>
      </c>
      <c r="BG41" s="29">
        <f>IF(BE41=BF41,0,IF(BE41&lt;BF41,0,1))</f>
        <v>0</v>
      </c>
      <c r="BH41" s="29" t="str">
        <f>IF(BE41&gt;20,LEFT(M41,1),"")</f>
        <v/>
      </c>
      <c r="BI41" s="29">
        <f>IF(BH41="2",BE41-BF41,0)</f>
        <v>0</v>
      </c>
      <c r="BJ41" s="29">
        <f>IF(BI41=0,0,1)</f>
        <v>0</v>
      </c>
      <c r="BK41" s="29">
        <f>IF(BL41&gt;0,1,0)</f>
        <v>0</v>
      </c>
      <c r="BL41" s="116">
        <f>SUM(BG41,BJ41)</f>
        <v>0</v>
      </c>
      <c r="BM41" s="29" t="str">
        <f>IF(BL41=0,"",Sprache!$K$49)</f>
        <v/>
      </c>
      <c r="BN41" s="29">
        <v>1</v>
      </c>
      <c r="BQ41" s="29">
        <f>IF($A$1=1,BN41,0)</f>
        <v>1</v>
      </c>
      <c r="BR41" s="29">
        <f>IF($A$1=2,BO41,0)</f>
        <v>0</v>
      </c>
      <c r="BS41" s="29">
        <f>IF($A$1=3,BP41,0)</f>
        <v>0</v>
      </c>
      <c r="BU41" s="127">
        <f>IF(BW41=1,H41,"")</f>
        <v>0</v>
      </c>
      <c r="BV41" s="127" t="str">
        <f>CONCATENATE(BU41,BU43)</f>
        <v>00</v>
      </c>
      <c r="BW41" s="29">
        <f>SUM(BQ41:BS41)</f>
        <v>1</v>
      </c>
    </row>
    <row r="42" spans="2:75" ht="6" customHeight="1">
      <c r="D42" s="113"/>
      <c r="E42" s="113"/>
      <c r="I42" s="126"/>
      <c r="AE42" s="107"/>
      <c r="AF42" s="107"/>
      <c r="AG42" s="107"/>
      <c r="AH42" s="103"/>
      <c r="AI42" s="103"/>
      <c r="AJ42" s="103"/>
      <c r="AK42" s="109"/>
      <c r="AL42" s="109"/>
      <c r="AM42" s="109"/>
      <c r="AX42" s="115"/>
      <c r="AY42" s="115"/>
    </row>
    <row r="43" spans="2:75">
      <c r="B43" s="119" t="str">
        <f>IF(AN43=1,"",CONCATENATE(BB43,BD43,AX43,BM43))</f>
        <v/>
      </c>
      <c r="D43" s="120" t="str">
        <f>IF(AC43=0,"",AC43)</f>
        <v/>
      </c>
      <c r="E43" s="121" t="str">
        <f>IF(AD43=0,"",AD43)</f>
        <v/>
      </c>
      <c r="F43" s="118"/>
      <c r="G43" s="152">
        <f>SUM($G$3/100)</f>
        <v>0</v>
      </c>
      <c r="H43" s="150"/>
      <c r="I43" s="125" t="str">
        <f>IF(AN43=1,VLOOKUP(AO43,Licenses!B:C,2,FALSE),IF($G$5="x",VLOOKUP(AO43,Licenses!B:C,2,FALSE),IF(BL43=0,IF(H43="","",VLOOKUP(AO43,Licenses!B:C,2,FALSE)),BM43)))</f>
        <v/>
      </c>
      <c r="J43" s="118"/>
      <c r="K43" s="124" t="str">
        <f>IF(H43="","",VLOOKUP(AO43,Licenses!B:D,3,FALSE))</f>
        <v/>
      </c>
      <c r="L43" s="118"/>
      <c r="M43" s="124" t="str">
        <f>REPT(T43,1)</f>
        <v/>
      </c>
      <c r="N43" s="118"/>
      <c r="O43" s="124" t="str">
        <f>IF(M43="","",IF(H43="","",VLOOKUP(AO43,Licenses!B:I,8,FALSE)))</f>
        <v/>
      </c>
      <c r="T43" s="29" t="str">
        <f>IF(U43=0,"",IF(U43="","",U43))</f>
        <v/>
      </c>
      <c r="U43" s="29" t="str">
        <f>IF(H43="","",VLOOKUP(AO43,Licenses!B:H,7,FALSE))</f>
        <v/>
      </c>
      <c r="AB43" s="29">
        <f>IF($A$1=3,AK43,IF($A$1=2,AH43,IF($A$1=1,AE43,0)))</f>
        <v>14</v>
      </c>
      <c r="AC43" s="29">
        <f>IF($A$1=1,AF43,AI43)</f>
        <v>0</v>
      </c>
      <c r="AD43" s="29">
        <f>IF($A$1=1,AG43,AJ43)</f>
        <v>0</v>
      </c>
      <c r="AE43" s="106">
        <v>14</v>
      </c>
      <c r="AF43" s="106"/>
      <c r="AG43" s="106"/>
      <c r="AH43" s="101">
        <v>14</v>
      </c>
      <c r="AI43" s="101" t="s">
        <v>848</v>
      </c>
      <c r="AJ43" s="101">
        <v>1.6</v>
      </c>
      <c r="AK43" s="108">
        <v>12</v>
      </c>
      <c r="AL43" s="108" t="s">
        <v>848</v>
      </c>
      <c r="AM43" s="108">
        <v>1.6</v>
      </c>
      <c r="AN43" s="29">
        <f>IF($A$1=3,IF($G$7="X",1,0),0)</f>
        <v>0</v>
      </c>
      <c r="AO43" s="114" t="str">
        <f>IF(AN43=1,$G$3,IF($G$5="X",$G$3,IF(H43="","",SUM(H43*1,$G$3))))</f>
        <v/>
      </c>
      <c r="AP43" s="29">
        <f>IF(AO43=AO33,1,0)</f>
        <v>1</v>
      </c>
      <c r="AQ43" s="29">
        <f>IF(AO43=AO35,1,0)</f>
        <v>1</v>
      </c>
      <c r="AR43" s="29">
        <f>IF(AO43=AO37,1,0)</f>
        <v>1</v>
      </c>
      <c r="AS43" s="29">
        <f>IF(AO43=AO39,1,0)</f>
        <v>1</v>
      </c>
      <c r="AT43" s="29">
        <f>IF(AO43=AO41,1,0)</f>
        <v>1</v>
      </c>
      <c r="AW43" s="29" t="str">
        <f>IF(AN43=1,0,IF($G$5="X",0,IF(AO43="","",SUM(AP43:AV43))))</f>
        <v/>
      </c>
      <c r="AX43" s="117" t="str">
        <f>IF(AW43=1,AX32,"")</f>
        <v/>
      </c>
      <c r="AY43" s="117" t="str">
        <f>IF(AW43=1,$AY$12,"")</f>
        <v/>
      </c>
      <c r="AZ43" s="116">
        <f>IF(H43="",1,0)</f>
        <v>1</v>
      </c>
      <c r="BA43" s="29">
        <f>IF(H43="",1,0)</f>
        <v>1</v>
      </c>
      <c r="BB43" s="29" t="str">
        <f>IF(AZ43=1,$BB$32,"")</f>
        <v/>
      </c>
      <c r="BC43" s="116">
        <f>IF(I43="n / a",1,0)</f>
        <v>0</v>
      </c>
      <c r="BD43" s="29" t="str">
        <f>IF(BC43=1,REPT(Sprache!$K$27,1),"")</f>
        <v/>
      </c>
      <c r="BE43" s="29">
        <f>SUM(Steuerung!$Y$3)</f>
        <v>1</v>
      </c>
      <c r="BF43" s="29">
        <f>IF(M43="",100,VLOOKUP(M43,Steuerung!$A$39:$B$60,2,FALSE))</f>
        <v>100</v>
      </c>
      <c r="BG43" s="29">
        <f>IF(BE43=BF43,0,IF(BE43&lt;BF43,0,1))</f>
        <v>0</v>
      </c>
      <c r="BH43" s="29" t="str">
        <f>IF(BE43&gt;20,LEFT(M43,1),"")</f>
        <v/>
      </c>
      <c r="BI43" s="29">
        <f>IF(BH43="2",BE43-BF43,0)</f>
        <v>0</v>
      </c>
      <c r="BJ43" s="29">
        <f>IF(BI43=0,0,1)</f>
        <v>0</v>
      </c>
      <c r="BK43" s="29">
        <f>IF(BL43&gt;0,1,0)</f>
        <v>0</v>
      </c>
      <c r="BL43" s="116">
        <f>SUM(BG43,BJ43)</f>
        <v>0</v>
      </c>
      <c r="BM43" s="29" t="str">
        <f>IF(BL43=0,"",Sprache!$K$49)</f>
        <v/>
      </c>
      <c r="BN43" s="29">
        <v>1</v>
      </c>
      <c r="BQ43" s="29">
        <f>IF($A$1=1,BN43,0)</f>
        <v>1</v>
      </c>
      <c r="BR43" s="29">
        <f>IF($A$1=2,BO43,0)</f>
        <v>0</v>
      </c>
      <c r="BS43" s="29">
        <f>IF($A$1=3,BP43,0)</f>
        <v>0</v>
      </c>
      <c r="BU43" s="127">
        <f>IF(BW43=1,H43,"")</f>
        <v>0</v>
      </c>
      <c r="BV43" s="127" t="str">
        <f>CONCATENATE(BU43,BU41)</f>
        <v>00</v>
      </c>
      <c r="BW43" s="29">
        <f>SUM(BQ43:BS43)</f>
        <v>1</v>
      </c>
    </row>
    <row r="44" spans="2:75" ht="6" customHeight="1">
      <c r="D44" s="113"/>
      <c r="E44" s="113"/>
      <c r="I44" s="126"/>
      <c r="AE44" s="107"/>
      <c r="AF44" s="107"/>
      <c r="AG44" s="107"/>
      <c r="AH44" s="103"/>
      <c r="AI44" s="103"/>
      <c r="AJ44" s="103"/>
      <c r="AK44" s="111"/>
      <c r="AL44" s="111"/>
      <c r="AM44" s="111"/>
      <c r="AX44" s="115"/>
      <c r="AY44" s="115"/>
    </row>
    <row r="45" spans="2:75">
      <c r="B45" s="119" t="str">
        <f>IF(AN45=1,"",CONCATENATE(BB45,BD45,AX45,BM45))</f>
        <v/>
      </c>
      <c r="D45" s="120" t="str">
        <f>IF(AC45=0,"",AC45)</f>
        <v>GD</v>
      </c>
      <c r="E45" s="121">
        <f>IF(AD45=0,"",AD45)</f>
        <v>1.4</v>
      </c>
      <c r="F45" s="118"/>
      <c r="G45" s="152">
        <f>IF($A$1=3,"",SUM($G$3/100))</f>
        <v>0</v>
      </c>
      <c r="H45" s="150"/>
      <c r="I45" s="125" t="str">
        <f>IF($A$1=3,"",IF(AN45=1,VLOOKUP(AO45,Licenses!B:C,2,FALSE),IF($G$5="x",VLOOKUP(AO45,Licenses!B:C,2,FALSE),IF(BL45=0,IF(H45="","",VLOOKUP(AO45,Licenses!B:C,2,FALSE)),BM45))))</f>
        <v/>
      </c>
      <c r="J45" s="118"/>
      <c r="K45" s="124" t="str">
        <f>IF($A$1=3,"",IF(H45="","",VLOOKUP(AO45,Licenses!B:D,3,FALSE)))</f>
        <v/>
      </c>
      <c r="L45" s="118"/>
      <c r="M45" s="124" t="str">
        <f>REPT(T45,1)</f>
        <v/>
      </c>
      <c r="N45" s="118"/>
      <c r="O45" s="124" t="str">
        <f>IF(M45="","",IF($A$1=3,"",IF(H45="","",VLOOKUP(AO45,Licenses!B:I,8,FALSE))))</f>
        <v/>
      </c>
      <c r="T45" s="29" t="str">
        <f>IF($A$1=3,"",IF(U45=0,"",IF(U45="","",U45)))</f>
        <v/>
      </c>
      <c r="U45" s="29" t="str">
        <f>IF($A$1=3,"",IF(H45="","",VLOOKUP(AO45,Licenses!B:H,7,FALSE)))</f>
        <v/>
      </c>
      <c r="AB45" s="29">
        <f>IF($A$1=3,"",IF($A$1=2,AH45,IF($A$1=1,AE45,0)))</f>
        <v>15</v>
      </c>
      <c r="AC45" s="29" t="str">
        <f>IF($A$1=3,0,IF($A$1=1,AF45,AI45))</f>
        <v>GD</v>
      </c>
      <c r="AD45" s="29">
        <f>IF($A$1=3,0,IF($A$1=1,AG45,AJ45))</f>
        <v>1.4</v>
      </c>
      <c r="AE45" s="106">
        <v>15</v>
      </c>
      <c r="AF45" s="106" t="s">
        <v>849</v>
      </c>
      <c r="AG45" s="106">
        <v>1.4</v>
      </c>
      <c r="AH45" s="101">
        <v>15</v>
      </c>
      <c r="AI45" s="101" t="s">
        <v>848</v>
      </c>
      <c r="AJ45" s="101">
        <v>1.7</v>
      </c>
      <c r="AK45" s="110"/>
      <c r="AL45" s="110"/>
      <c r="AM45" s="110"/>
      <c r="AN45" s="29">
        <f>IF($A$1=1,IF($A$1=3,0,IF($G$7="X",1,0)),0)</f>
        <v>0</v>
      </c>
      <c r="AO45" s="114" t="str">
        <f>IF(AN45=1,$G$3,IF($A$1=3,"",IF($G$5="X",$G$3,IF(H45="","",SUM(H45*1,$G$3)))))</f>
        <v/>
      </c>
      <c r="AP45" s="29">
        <f>IF(AO45=AO33,1,0)</f>
        <v>1</v>
      </c>
      <c r="AQ45" s="29">
        <f>IF(AO45=AO35,1,0)</f>
        <v>1</v>
      </c>
      <c r="AR45" s="29">
        <f>IF(AO45=AO37,1,0)</f>
        <v>1</v>
      </c>
      <c r="AS45" s="29">
        <f>IF(AO45=AO39,1,0)</f>
        <v>1</v>
      </c>
      <c r="AT45" s="29">
        <f>IF(AO45=AO41,1,0)</f>
        <v>1</v>
      </c>
      <c r="AU45" s="29">
        <f>IF(AO45=AO43,1,0)</f>
        <v>1</v>
      </c>
      <c r="AW45" s="29" t="str">
        <f>IF($G$5="X",0,IF(AO45="","",SUM(AP45:AV45)))</f>
        <v/>
      </c>
      <c r="AX45" s="117" t="str">
        <f>IF(AW45=1,AX32,"")</f>
        <v/>
      </c>
      <c r="AY45" s="117" t="str">
        <f>IF(AW45=1,$AY$12,"")</f>
        <v/>
      </c>
      <c r="AZ45" s="116">
        <f>IF($A$1=3,"",IF(H45="",1,0))</f>
        <v>1</v>
      </c>
      <c r="BA45" s="29">
        <f>IF($A$1=3,0,IF(H45="",1,0))</f>
        <v>1</v>
      </c>
      <c r="BB45" s="29" t="str">
        <f>IF(AZ45=1,$BB$32,"")</f>
        <v/>
      </c>
      <c r="BC45" s="116">
        <f>IF($A$1=3,"",IF(I45="n / a",1,0))</f>
        <v>0</v>
      </c>
      <c r="BD45" s="29" t="str">
        <f>IF(BC45=1,REPT(Sprache!$K$27,1),"")</f>
        <v/>
      </c>
      <c r="BE45" s="29">
        <f>SUM(Steuerung!$Y$3)</f>
        <v>1</v>
      </c>
      <c r="BF45" s="29">
        <f>IF(M45="",100,VLOOKUP(M45,Steuerung!$A$39:$B$60,2,FALSE))</f>
        <v>100</v>
      </c>
      <c r="BG45" s="29">
        <f>IF(BE45=BF45,0,IF(BE45&lt;BF45,0,1))</f>
        <v>0</v>
      </c>
      <c r="BH45" s="29" t="str">
        <f>IF(BE45&gt;20,LEFT(M45,1),"")</f>
        <v/>
      </c>
      <c r="BI45" s="29">
        <f>IF(BH45="2",BE45-BF45,0)</f>
        <v>0</v>
      </c>
      <c r="BJ45" s="29">
        <f>IF(BI45=0,0,1)</f>
        <v>0</v>
      </c>
      <c r="BK45" s="29">
        <f>IF(BL45&gt;0,1,0)</f>
        <v>0</v>
      </c>
      <c r="BL45" s="116">
        <f>SUM(BG45,BJ45)</f>
        <v>0</v>
      </c>
      <c r="BM45" s="29" t="str">
        <f>IF(BL45=0,"",Sprache!$K$49)</f>
        <v/>
      </c>
      <c r="BN45" s="29">
        <v>1</v>
      </c>
      <c r="BQ45" s="29">
        <f>IF($A$1=1,BN45,0)</f>
        <v>1</v>
      </c>
      <c r="BR45" s="29">
        <f>IF($A$1=2,BO45,0)</f>
        <v>0</v>
      </c>
      <c r="BU45" s="127">
        <f>IF(BW45=1,H45,"")</f>
        <v>0</v>
      </c>
      <c r="BV45" s="127" t="str">
        <f>CONCATENATE(BU45,BU47)</f>
        <v>00</v>
      </c>
      <c r="BW45" s="29">
        <f>SUM(BQ45:BS45)</f>
        <v>1</v>
      </c>
    </row>
    <row r="46" spans="2:75" ht="6" customHeight="1">
      <c r="D46" s="113"/>
      <c r="E46" s="113"/>
      <c r="I46" s="126"/>
      <c r="AE46" s="107"/>
      <c r="AF46" s="107"/>
      <c r="AG46" s="107"/>
      <c r="AH46" s="103"/>
      <c r="AI46" s="103"/>
      <c r="AJ46" s="103"/>
      <c r="AK46" s="111"/>
      <c r="AL46" s="111"/>
      <c r="AM46" s="111"/>
      <c r="AX46" s="115"/>
      <c r="AY46" s="115"/>
    </row>
    <row r="47" spans="2:75">
      <c r="B47" s="119" t="str">
        <f>IF(AN47=1,"",CONCATENATE(BB47,BD47,AX47,BM47))</f>
        <v/>
      </c>
      <c r="D47" s="120" t="str">
        <f>IF(AC47=0,"",AC47)</f>
        <v/>
      </c>
      <c r="E47" s="121" t="str">
        <f>IF(AD47=0,"",AD47)</f>
        <v/>
      </c>
      <c r="F47" s="118"/>
      <c r="G47" s="152">
        <f>IF($A$1=3,"",SUM($G$3/100))</f>
        <v>0</v>
      </c>
      <c r="H47" s="150"/>
      <c r="I47" s="125" t="str">
        <f>IF($A$1=3,"",IF(AN47=1,VLOOKUP(AO47,Licenses!B:C,2,FALSE),IF($G$5="x",VLOOKUP(AO47,Licenses!B:C,2,FALSE),IF(BL47=0,IF(H47="","",VLOOKUP(AO47,Licenses!B:C,2,FALSE)),BM47))))</f>
        <v/>
      </c>
      <c r="J47" s="118"/>
      <c r="K47" s="124" t="str">
        <f>IF($A$1=3,"",IF(H47="","",VLOOKUP(AO47,Licenses!B:D,3,FALSE)))</f>
        <v/>
      </c>
      <c r="L47" s="118"/>
      <c r="M47" s="124" t="str">
        <f>REPT(T47,1)</f>
        <v/>
      </c>
      <c r="N47" s="118"/>
      <c r="O47" s="124" t="str">
        <f>IF(M47="","",IF($A$1=3,"",IF(H47="","",VLOOKUP(AO47,Licenses!B:I,8,FALSE))))</f>
        <v/>
      </c>
      <c r="T47" s="29" t="str">
        <f>IF($A$1=3,"",IF(U47=0,"",IF(U47="","",U47)))</f>
        <v/>
      </c>
      <c r="U47" s="29" t="str">
        <f>IF($A$1=3,"",IF(H47="","",VLOOKUP(AO47,Licenses!B:H,7,FALSE)))</f>
        <v/>
      </c>
      <c r="AB47" s="29">
        <f>IF($A$1=3,"",IF($A$1=2,AH47,IF($A$1=1,AE47,0)))</f>
        <v>16</v>
      </c>
      <c r="AC47" s="29">
        <f>IF($A$1=3,0,IF($A$1=1,AF47,AI47))</f>
        <v>0</v>
      </c>
      <c r="AD47" s="29">
        <f>IF($A$1=3,0,IF($A$1=1,AG47,AJ47))</f>
        <v>0</v>
      </c>
      <c r="AE47" s="106">
        <v>16</v>
      </c>
      <c r="AF47" s="106"/>
      <c r="AG47" s="106"/>
      <c r="AH47" s="101">
        <v>16</v>
      </c>
      <c r="AI47" s="101" t="s">
        <v>848</v>
      </c>
      <c r="AJ47" s="101">
        <v>1.8</v>
      </c>
      <c r="AK47" s="110"/>
      <c r="AL47" s="110"/>
      <c r="AM47" s="110"/>
      <c r="AN47" s="29">
        <f>IF($A$1=3,0,IF($G$7="X",1,0))</f>
        <v>0</v>
      </c>
      <c r="AO47" s="114" t="str">
        <f>IF(AN47=1,$G$3,IF($A$1=3,"",IF($G$5="X",$G$3,IF(H47="","",SUM(H47*1,$G$3)))))</f>
        <v/>
      </c>
      <c r="AP47" s="29">
        <f>IF(AO47=AO33,1,0)</f>
        <v>1</v>
      </c>
      <c r="AQ47" s="29">
        <f>IF(AO47=AO35,1,0)</f>
        <v>1</v>
      </c>
      <c r="AR47" s="29">
        <f>IF(AO47=AO37,1,0)</f>
        <v>1</v>
      </c>
      <c r="AS47" s="29">
        <f>IF(AO47=AO39,1,0)</f>
        <v>1</v>
      </c>
      <c r="AT47" s="29">
        <f>IF(AO47=AO41,1,0)</f>
        <v>1</v>
      </c>
      <c r="AU47" s="29">
        <f>IF(AO47=AO43,1,0)</f>
        <v>1</v>
      </c>
      <c r="AV47" s="29">
        <f>IF(AO47=AO45,1,0)</f>
        <v>1</v>
      </c>
      <c r="AW47" s="29" t="str">
        <f>IF(AN47=1,0,IF($G$5="X",0,IF(AO47="","",SUM(AP47:AV47))))</f>
        <v/>
      </c>
      <c r="AX47" s="117" t="str">
        <f>IF(AW47=1,AX32,"")</f>
        <v/>
      </c>
      <c r="AY47" s="117" t="str">
        <f>IF(AW47=1,$AY$12,"")</f>
        <v/>
      </c>
      <c r="AZ47" s="116">
        <f>IF(AN47=1,0,IF($A$1=3,"",IF(H47="",1,0)))</f>
        <v>1</v>
      </c>
      <c r="BA47" s="29">
        <f>IF($A$1=3,0,IF(H47="",1,0))</f>
        <v>1</v>
      </c>
      <c r="BB47" s="29" t="str">
        <f>IF(AZ47=1,$BB$32,"")</f>
        <v/>
      </c>
      <c r="BC47" s="116">
        <f>IF($A$1=3,"",IF(I47="n / a",1,0))</f>
        <v>0</v>
      </c>
      <c r="BD47" s="29" t="str">
        <f>IF(BC47=1,REPT(Sprache!$K$27,1),"")</f>
        <v/>
      </c>
      <c r="BE47" s="29">
        <f>SUM(Steuerung!$Y$3)</f>
        <v>1</v>
      </c>
      <c r="BF47" s="29">
        <f>IF(M47="",100,VLOOKUP(M47,Steuerung!$A$39:$B$60,2,FALSE))</f>
        <v>100</v>
      </c>
      <c r="BG47" s="29">
        <f>IF(BE47=BF47,0,IF(BE47&lt;BF47,0,1))</f>
        <v>0</v>
      </c>
      <c r="BH47" s="29" t="str">
        <f>IF(BE47&gt;20,LEFT(M47,1),"")</f>
        <v/>
      </c>
      <c r="BI47" s="29">
        <f>IF(BH47="2",BE47-BF47,0)</f>
        <v>0</v>
      </c>
      <c r="BJ47" s="29">
        <f>IF(BI47=0,0,1)</f>
        <v>0</v>
      </c>
      <c r="BK47" s="29">
        <f>IF(BL47&gt;0,1,0)</f>
        <v>0</v>
      </c>
      <c r="BL47" s="116">
        <f>SUM(BG47,BJ47)</f>
        <v>0</v>
      </c>
      <c r="BM47" s="29" t="str">
        <f>IF(BL47=0,"",Sprache!$K$49)</f>
        <v/>
      </c>
      <c r="BN47" s="29">
        <v>1</v>
      </c>
      <c r="BQ47" s="29">
        <f>IF($A$1=1,BN47,0)</f>
        <v>1</v>
      </c>
      <c r="BR47" s="29">
        <f>IF($A$1=2,BO47,0)</f>
        <v>0</v>
      </c>
      <c r="BU47" s="127">
        <f>IF(BW47=1,H47,"")</f>
        <v>0</v>
      </c>
      <c r="BV47" s="127" t="str">
        <f>CONCATENATE(BU47,BU45)</f>
        <v>00</v>
      </c>
      <c r="BW47" s="29">
        <f>SUM(BQ47:BS47)</f>
        <v>1</v>
      </c>
    </row>
    <row r="49" spans="2:75">
      <c r="AW49" s="131">
        <f>SUM(AW33:AW47)</f>
        <v>0</v>
      </c>
      <c r="AZ49" s="131">
        <f>IF(AY33=0,0,SUM(AZ33:AZ47))</f>
        <v>0</v>
      </c>
      <c r="BC49" s="131">
        <f>SUM(BC33:BC47)</f>
        <v>0</v>
      </c>
      <c r="BK49" s="131">
        <f>SUM(BK33:BK47)</f>
        <v>0</v>
      </c>
      <c r="BL49" s="131">
        <f>SUM(BK49)</f>
        <v>0</v>
      </c>
    </row>
    <row r="51" spans="2:75">
      <c r="I51" s="102" t="str">
        <f>IF($A$1=3,Sprache!K38,IF($A$1=2,Sprache!K38,IF($A$1=1,Sprache!K39,"")))</f>
        <v>Zweite Runde Einzel</v>
      </c>
      <c r="J51" s="91"/>
      <c r="K51" s="85" t="str">
        <f>REPT(Sprache!$K$44,1)</f>
        <v>Spieler-Nr.</v>
      </c>
      <c r="L51" s="82"/>
      <c r="M51" s="85" t="str">
        <f>REPT(Sprache!$K$15,1)</f>
        <v>Liga</v>
      </c>
      <c r="N51" s="100"/>
      <c r="O51" s="85" t="str">
        <f>REPT(Sprache!$K$45,1)</f>
        <v>Qualifiziert für:</v>
      </c>
      <c r="AE51" s="106"/>
      <c r="AF51" s="106" t="s">
        <v>821</v>
      </c>
      <c r="AG51" s="106"/>
      <c r="AH51" s="101"/>
      <c r="AI51" s="101" t="s">
        <v>820</v>
      </c>
      <c r="AJ51" s="101"/>
      <c r="AK51" s="108"/>
      <c r="AL51" s="108" t="s">
        <v>819</v>
      </c>
      <c r="AM51" s="108"/>
    </row>
    <row r="52" spans="2:75">
      <c r="AE52" s="106"/>
      <c r="AF52" s="106"/>
      <c r="AG52" s="106"/>
      <c r="AH52" s="101"/>
      <c r="AI52" s="101"/>
      <c r="AJ52" s="101"/>
      <c r="AK52" s="108"/>
      <c r="AL52" s="108"/>
      <c r="AM52" s="108"/>
      <c r="AX52" s="115" t="str">
        <f>REPT(Sprache!K48,1)</f>
        <v>***!!!!!!!!!!Doppelter Eintrag!!!!!!!!!!***</v>
      </c>
      <c r="AY52" s="115" t="str">
        <f>REPT(Sprache!K35,1)</f>
        <v>** A C H T U N G - D O P P E L T E  L I Z E N Z - N U M M E R !!! **</v>
      </c>
      <c r="AZ52" s="29">
        <f>IF($A$1=3,6,8)</f>
        <v>8</v>
      </c>
      <c r="BA52" s="29">
        <f>SUM(AZ53:AZ67)</f>
        <v>8</v>
      </c>
      <c r="BB52" s="29" t="str">
        <f>IF(AY53=0,"",Sprache!$K$29)</f>
        <v/>
      </c>
      <c r="BE52" s="29" t="s">
        <v>827</v>
      </c>
      <c r="BF52" s="29" t="s">
        <v>834</v>
      </c>
      <c r="BJ52" s="29" t="s">
        <v>840</v>
      </c>
      <c r="BL52" s="29" t="s">
        <v>841</v>
      </c>
    </row>
    <row r="53" spans="2:75">
      <c r="B53" s="119" t="str">
        <f>CONCATENATE(BB53,BD53,,BM53)</f>
        <v/>
      </c>
      <c r="D53" s="120" t="str">
        <f>IF(AC53=0,"",AC53)</f>
        <v>GS</v>
      </c>
      <c r="E53" s="121">
        <f>IF(AD53=0,"",AD53)</f>
        <v>2.1</v>
      </c>
      <c r="F53" s="118"/>
      <c r="G53" s="152">
        <f>SUM($G$3/100)</f>
        <v>0</v>
      </c>
      <c r="H53" s="150"/>
      <c r="I53" s="125" t="str">
        <f>IF($G$5="x",VLOOKUP(AO53,Licenses!B:C,2,FALSE),IF(BL53=0,IF(H53="","",VLOOKUP(AO53,Licenses!B:C,2,FALSE)),BM53))</f>
        <v/>
      </c>
      <c r="J53" s="118"/>
      <c r="K53" s="124" t="str">
        <f>IF(H53="","",VLOOKUP(AO53,Licenses!B:D,3,FALSE))</f>
        <v/>
      </c>
      <c r="L53" s="118"/>
      <c r="M53" s="124" t="str">
        <f>REPT(T53,1)</f>
        <v/>
      </c>
      <c r="N53" s="118"/>
      <c r="O53" s="124" t="str">
        <f>IF(M53="","",IF(H53="","",VLOOKUP(AO53,Licenses!B:I,8,FALSE)))</f>
        <v/>
      </c>
      <c r="T53" s="29" t="str">
        <f>IF(U53=0,"",IF(U53="","",U53))</f>
        <v/>
      </c>
      <c r="U53" s="29" t="str">
        <f>IF(H53="","",VLOOKUP(AO53,Licenses!B:H,7,FALSE))</f>
        <v/>
      </c>
      <c r="AB53" s="29">
        <f>IF($A$1=3,AK53,IF($A$1=2,AH53,IF($A$1=1,AE53,0)))</f>
        <v>17</v>
      </c>
      <c r="AC53" s="29" t="str">
        <f>IF($A$1=1,AF53,AI53)</f>
        <v>GS</v>
      </c>
      <c r="AD53" s="29">
        <f>IF($A$1=1,AG53,AJ53)</f>
        <v>2.1</v>
      </c>
      <c r="AE53" s="106">
        <v>17</v>
      </c>
      <c r="AF53" s="106" t="s">
        <v>848</v>
      </c>
      <c r="AG53" s="106">
        <v>2.1</v>
      </c>
      <c r="AH53" s="101">
        <v>17</v>
      </c>
      <c r="AI53" s="101" t="s">
        <v>849</v>
      </c>
      <c r="AJ53" s="101">
        <v>2.1</v>
      </c>
      <c r="AK53" s="108">
        <v>13</v>
      </c>
      <c r="AL53" s="108" t="s">
        <v>849</v>
      </c>
      <c r="AM53" s="108">
        <v>2.1</v>
      </c>
      <c r="AO53" s="114" t="str">
        <f>IF($G$5="X",$G$3,IF(H53="","",SUM(H53*1,$G$3)))</f>
        <v/>
      </c>
      <c r="AX53" s="115"/>
      <c r="AY53" s="115">
        <f>IF($G$5="X",0,IF(AZ52=BA52,0,1))</f>
        <v>0</v>
      </c>
      <c r="AZ53" s="116">
        <f>IF(H53="",1,0)</f>
        <v>1</v>
      </c>
      <c r="BA53" s="29">
        <f>IF(H53="",1,0)</f>
        <v>1</v>
      </c>
      <c r="BB53" s="29" t="str">
        <f>IF(AZ53=1,$BB$52,"")</f>
        <v/>
      </c>
      <c r="BC53" s="116">
        <f>IF(I53="n / a",1,0)</f>
        <v>0</v>
      </c>
      <c r="BD53" s="29" t="str">
        <f>IF(BC53=1,REPT(Sprache!$K$27,1),"")</f>
        <v/>
      </c>
      <c r="BE53" s="29">
        <f>SUM(Steuerung!$Y$3)</f>
        <v>1</v>
      </c>
      <c r="BF53" s="29">
        <f>IF(M53="",100,VLOOKUP(M53,Steuerung!$A$39:$B$60,2,FALSE))</f>
        <v>100</v>
      </c>
      <c r="BG53" s="29">
        <f>IF(BE53=BF53,0,IF(BE53&lt;BF53,0,1))</f>
        <v>0</v>
      </c>
      <c r="BH53" s="29" t="str">
        <f>IF(BE53&gt;20,LEFT(M53,1),"")</f>
        <v/>
      </c>
      <c r="BI53" s="29">
        <f>IF(BH53="2",BE53-BF53,0)</f>
        <v>0</v>
      </c>
      <c r="BJ53" s="29">
        <f>IF(BI53=0,0,1)</f>
        <v>0</v>
      </c>
      <c r="BK53" s="29">
        <f>IF(BL53&gt;0,1,0)</f>
        <v>0</v>
      </c>
      <c r="BL53" s="116">
        <f>SUM(BG53,BJ53)</f>
        <v>0</v>
      </c>
      <c r="BM53" s="29" t="str">
        <f>IF(BL53=0,"",Sprache!$K$49)</f>
        <v/>
      </c>
      <c r="BN53" s="29">
        <v>0</v>
      </c>
      <c r="BO53" s="29">
        <v>1</v>
      </c>
      <c r="BP53" s="29">
        <v>1</v>
      </c>
      <c r="BQ53" s="29">
        <f>IF($A$1=1,BN53,0)</f>
        <v>0</v>
      </c>
      <c r="BR53" s="29">
        <f>IF($A$1=2,BO53,0)</f>
        <v>0</v>
      </c>
      <c r="BS53" s="29">
        <f>IF($A$1=3,BP53,0)</f>
        <v>0</v>
      </c>
      <c r="BU53" s="127" t="str">
        <f>IF(BW53=1,H53,"")</f>
        <v/>
      </c>
      <c r="BV53" s="127" t="str">
        <f>CONCATENATE(BU53,BU55)</f>
        <v/>
      </c>
      <c r="BW53" s="29">
        <f>SUM(BQ53:BS53)</f>
        <v>0</v>
      </c>
    </row>
    <row r="54" spans="2:75" ht="6" customHeight="1">
      <c r="D54" s="113"/>
      <c r="E54" s="113"/>
      <c r="I54" s="126"/>
      <c r="AE54" s="107"/>
      <c r="AF54" s="107"/>
      <c r="AG54" s="107"/>
      <c r="AH54" s="103"/>
      <c r="AI54" s="103"/>
      <c r="AJ54" s="103"/>
      <c r="AK54" s="109"/>
      <c r="AL54" s="109"/>
      <c r="AM54" s="109"/>
      <c r="AX54" s="115"/>
      <c r="AY54" s="115"/>
    </row>
    <row r="55" spans="2:75">
      <c r="B55" s="119" t="str">
        <f>CONCATENATE(BB55,BD55,AY55,BM55)</f>
        <v/>
      </c>
      <c r="D55" s="120" t="str">
        <f>IF(AC55=0,"",AC55)</f>
        <v>GS</v>
      </c>
      <c r="E55" s="121">
        <f>IF(AD55=0,"",AD55)</f>
        <v>2.2000000000000002</v>
      </c>
      <c r="F55" s="118"/>
      <c r="G55" s="152">
        <f>SUM($G$3/100)</f>
        <v>0</v>
      </c>
      <c r="H55" s="150"/>
      <c r="I55" s="125" t="str">
        <f>IF($G$5="x",VLOOKUP(AO55,Licenses!B:C,2,FALSE),IF(BL55=0,IF(H55="","",VLOOKUP(AO55,Licenses!B:C,2,FALSE)),BM55))</f>
        <v/>
      </c>
      <c r="J55" s="118"/>
      <c r="K55" s="124" t="str">
        <f>IF(H55="","",VLOOKUP(AO55,Licenses!B:D,3,FALSE))</f>
        <v/>
      </c>
      <c r="L55" s="118"/>
      <c r="M55" s="124" t="str">
        <f>REPT(T55,1)</f>
        <v/>
      </c>
      <c r="N55" s="118"/>
      <c r="O55" s="124" t="str">
        <f>IF(M55="","",IF(H55="","",VLOOKUP(AO55,Licenses!B:I,8,FALSE)))</f>
        <v/>
      </c>
      <c r="T55" s="29" t="str">
        <f>IF(U55=0,"",IF(U55="","",U55))</f>
        <v/>
      </c>
      <c r="U55" s="29" t="str">
        <f>IF(H55="","",VLOOKUP(AO55,Licenses!B:H,7,FALSE))</f>
        <v/>
      </c>
      <c r="AB55" s="29">
        <f>IF($A$1=3,AK55,IF($A$1=2,AH55,IF($A$1=1,AE55,0)))</f>
        <v>18</v>
      </c>
      <c r="AC55" s="29" t="str">
        <f>IF($A$1=1,AF55,AI55)</f>
        <v>GS</v>
      </c>
      <c r="AD55" s="29">
        <f>IF($A$1=1,AG55,AJ55)</f>
        <v>2.2000000000000002</v>
      </c>
      <c r="AE55" s="106">
        <v>18</v>
      </c>
      <c r="AF55" s="106" t="s">
        <v>848</v>
      </c>
      <c r="AG55" s="106">
        <v>2.2000000000000002</v>
      </c>
      <c r="AH55" s="101">
        <v>18</v>
      </c>
      <c r="AI55" s="101"/>
      <c r="AJ55" s="101"/>
      <c r="AK55" s="108">
        <v>14</v>
      </c>
      <c r="AL55" s="108"/>
      <c r="AM55" s="108"/>
      <c r="AO55" s="114" t="str">
        <f>IF($G$5="X",$G$3,IF(H55="","",SUM(H55*1,$G$3)))</f>
        <v/>
      </c>
      <c r="AP55" s="29">
        <f>IF(AO55=AO53,1,0)</f>
        <v>1</v>
      </c>
      <c r="AW55" s="29" t="str">
        <f>IF($G$5="X",0,IF(AO55="","",SUM(AP55:AV55)))</f>
        <v/>
      </c>
      <c r="AX55" s="117" t="str">
        <f>IF(AW55=1,AX52,"")</f>
        <v/>
      </c>
      <c r="AY55" s="117" t="str">
        <f>IF(AW55=1,$AY$12,"")</f>
        <v/>
      </c>
      <c r="AZ55" s="116">
        <f>IF(H55="",1,0)</f>
        <v>1</v>
      </c>
      <c r="BA55" s="29">
        <f>IF(H55="",1,0)</f>
        <v>1</v>
      </c>
      <c r="BB55" s="29" t="str">
        <f>IF(AZ55=1,$BB$52,"")</f>
        <v/>
      </c>
      <c r="BC55" s="116">
        <f>IF(I55="n / a",1,0)</f>
        <v>0</v>
      </c>
      <c r="BD55" s="29" t="str">
        <f>IF(BC55=1,REPT(Sprache!$K$27,1),"")</f>
        <v/>
      </c>
      <c r="BE55" s="29">
        <f>SUM(Steuerung!$Y$3)</f>
        <v>1</v>
      </c>
      <c r="BF55" s="29">
        <f>IF(M55="",100,VLOOKUP(M55,Steuerung!$A$39:$B$60,2,FALSE))</f>
        <v>100</v>
      </c>
      <c r="BG55" s="29">
        <f>IF(BE55=BF55,0,IF(BE55&lt;BF55,0,1))</f>
        <v>0</v>
      </c>
      <c r="BH55" s="29" t="str">
        <f>IF(BE55&gt;20,LEFT(M55,1),"")</f>
        <v/>
      </c>
      <c r="BI55" s="29">
        <f>IF(BH55="2",BE55-BF55,0)</f>
        <v>0</v>
      </c>
      <c r="BJ55" s="29">
        <f>IF(BI55=0,0,1)</f>
        <v>0</v>
      </c>
      <c r="BK55" s="29">
        <f>IF(BL55&gt;0,1,0)</f>
        <v>0</v>
      </c>
      <c r="BL55" s="116">
        <f>SUM(BG55,BJ55)</f>
        <v>0</v>
      </c>
      <c r="BM55" s="29" t="str">
        <f>IF(BL55=0,"",Sprache!$K$49)</f>
        <v/>
      </c>
      <c r="BN55" s="29">
        <v>0</v>
      </c>
      <c r="BO55" s="29">
        <v>1</v>
      </c>
      <c r="BP55" s="29">
        <v>1</v>
      </c>
      <c r="BQ55" s="29">
        <f>IF($A$1=1,BN55,0)</f>
        <v>0</v>
      </c>
      <c r="BR55" s="29">
        <f>IF($A$1=2,BO55,0)</f>
        <v>0</v>
      </c>
      <c r="BS55" s="29">
        <f>IF($A$1=3,BP55,0)</f>
        <v>0</v>
      </c>
      <c r="BU55" s="127" t="str">
        <f>IF(BW55=1,H55,"")</f>
        <v/>
      </c>
      <c r="BV55" s="127" t="str">
        <f>CONCATENATE(BU55,BU53)</f>
        <v/>
      </c>
      <c r="BW55" s="29">
        <f>SUM(BQ55:BS55)</f>
        <v>0</v>
      </c>
    </row>
    <row r="56" spans="2:75" ht="6" customHeight="1">
      <c r="D56" s="113"/>
      <c r="E56" s="113"/>
      <c r="I56" s="126"/>
      <c r="AE56" s="107"/>
      <c r="AF56" s="107"/>
      <c r="AG56" s="107"/>
      <c r="AH56" s="103"/>
      <c r="AI56" s="103"/>
      <c r="AJ56" s="103"/>
      <c r="AK56" s="109"/>
      <c r="AL56" s="109"/>
      <c r="AM56" s="109"/>
      <c r="AX56" s="115"/>
      <c r="AY56" s="115"/>
    </row>
    <row r="57" spans="2:75">
      <c r="B57" s="119" t="str">
        <f>CONCATENATE(BB57,BD57,AY57,BM57)</f>
        <v/>
      </c>
      <c r="D57" s="120" t="str">
        <f>IF(AC57=0,"",AC57)</f>
        <v>GS</v>
      </c>
      <c r="E57" s="121">
        <f>IF(AD57=0,"",AD57)</f>
        <v>2.2999999999999998</v>
      </c>
      <c r="F57" s="118"/>
      <c r="G57" s="152">
        <f>SUM($G$3/100)</f>
        <v>0</v>
      </c>
      <c r="H57" s="150"/>
      <c r="I57" s="125" t="str">
        <f>IF($G$5="x",VLOOKUP(AO57,Licenses!B:C,2,FALSE),IF(BL57=0,IF(H57="","",VLOOKUP(AO57,Licenses!B:C,2,FALSE)),BM57))</f>
        <v/>
      </c>
      <c r="J57" s="118"/>
      <c r="K57" s="124" t="str">
        <f>IF(H57="","",VLOOKUP(AO57,Licenses!B:D,3,FALSE))</f>
        <v/>
      </c>
      <c r="L57" s="118"/>
      <c r="M57" s="124" t="str">
        <f>REPT(T57,1)</f>
        <v/>
      </c>
      <c r="N57" s="118"/>
      <c r="O57" s="124" t="str">
        <f>IF(M57="","",IF(H57="","",VLOOKUP(AO57,Licenses!B:I,8,FALSE)))</f>
        <v/>
      </c>
      <c r="T57" s="29" t="str">
        <f>IF(U57=0,"",IF(U57="","",U57))</f>
        <v/>
      </c>
      <c r="U57" s="29" t="str">
        <f>IF(H57="","",VLOOKUP(AO57,Licenses!B:H,7,FALSE))</f>
        <v/>
      </c>
      <c r="AB57" s="29">
        <f>IF($A$1=3,AK57,IF($A$1=2,AH57,IF($A$1=1,AE57,0)))</f>
        <v>19</v>
      </c>
      <c r="AC57" s="29" t="str">
        <f>IF($A$1=1,AF57,AI57)</f>
        <v>GS</v>
      </c>
      <c r="AD57" s="29">
        <f>IF($A$1=1,AG57,AJ57)</f>
        <v>2.2999999999999998</v>
      </c>
      <c r="AE57" s="106">
        <v>19</v>
      </c>
      <c r="AF57" s="106" t="s">
        <v>848</v>
      </c>
      <c r="AG57" s="106">
        <v>2.2999999999999998</v>
      </c>
      <c r="AH57" s="101">
        <v>19</v>
      </c>
      <c r="AI57" s="101" t="s">
        <v>849</v>
      </c>
      <c r="AJ57" s="101">
        <v>2.2000000000000002</v>
      </c>
      <c r="AK57" s="108">
        <v>15</v>
      </c>
      <c r="AL57" s="108" t="s">
        <v>849</v>
      </c>
      <c r="AM57" s="108">
        <v>2.2000000000000002</v>
      </c>
      <c r="AO57" s="114" t="str">
        <f>IF($G$5="X",$G$3,IF(H57="","",SUM(H57*1,$G$3)))</f>
        <v/>
      </c>
      <c r="AP57" s="29">
        <f>IF(AO57=AO53,1,0)</f>
        <v>1</v>
      </c>
      <c r="AQ57" s="29">
        <f>IF(AO57=AO55,1,0)</f>
        <v>1</v>
      </c>
      <c r="AW57" s="29" t="str">
        <f>IF($G$5="X",0,IF(AO57="","",SUM(AP57:AV57)))</f>
        <v/>
      </c>
      <c r="AX57" s="117" t="str">
        <f>IF(AW57=1,AX52,"")</f>
        <v/>
      </c>
      <c r="AY57" s="117" t="str">
        <f>IF(AW57=1,$AY$12,"")</f>
        <v/>
      </c>
      <c r="AZ57" s="116">
        <f>IF(H57="",1,0)</f>
        <v>1</v>
      </c>
      <c r="BA57" s="29">
        <f>IF(H57="",1,0)</f>
        <v>1</v>
      </c>
      <c r="BB57" s="29" t="str">
        <f>IF(AZ57=1,$BB$52,"")</f>
        <v/>
      </c>
      <c r="BC57" s="116">
        <f>IF(I57="n / a",1,0)</f>
        <v>0</v>
      </c>
      <c r="BD57" s="29" t="str">
        <f>IF(BC57=1,REPT(Sprache!$K$27,1),"")</f>
        <v/>
      </c>
      <c r="BE57" s="29">
        <f>SUM(Steuerung!$Y$3)</f>
        <v>1</v>
      </c>
      <c r="BF57" s="29">
        <f>IF(M57="",100,VLOOKUP(M57,Steuerung!$A$39:$B$60,2,FALSE))</f>
        <v>100</v>
      </c>
      <c r="BG57" s="29">
        <f>IF(BE57=BF57,0,IF(BE57&lt;BF57,0,1))</f>
        <v>0</v>
      </c>
      <c r="BH57" s="29" t="str">
        <f>IF(BE57&gt;20,LEFT(M57,1),"")</f>
        <v/>
      </c>
      <c r="BI57" s="29">
        <f>IF(BH57="2",BE57-BF57,0)</f>
        <v>0</v>
      </c>
      <c r="BJ57" s="29">
        <f>IF(BI57=0,0,1)</f>
        <v>0</v>
      </c>
      <c r="BK57" s="29">
        <f>IF(BL57&gt;0,1,0)</f>
        <v>0</v>
      </c>
      <c r="BL57" s="116">
        <f>SUM(BG57,BJ57)</f>
        <v>0</v>
      </c>
      <c r="BM57" s="29" t="str">
        <f>IF(BL57=0,"",Sprache!$K$49)</f>
        <v/>
      </c>
      <c r="BN57" s="29">
        <v>0</v>
      </c>
      <c r="BO57" s="29">
        <v>1</v>
      </c>
      <c r="BP57" s="29">
        <v>1</v>
      </c>
      <c r="BQ57" s="29">
        <f>IF($A$1=1,BN57,0)</f>
        <v>0</v>
      </c>
      <c r="BR57" s="29">
        <f>IF($A$1=2,BO57,0)</f>
        <v>0</v>
      </c>
      <c r="BS57" s="29">
        <f>IF($A$1=3,BP57,0)</f>
        <v>0</v>
      </c>
      <c r="BU57" s="127" t="str">
        <f>IF(BW57=1,H57,"")</f>
        <v/>
      </c>
      <c r="BV57" s="127" t="str">
        <f>CONCATENATE(BU57,BU59)</f>
        <v/>
      </c>
      <c r="BW57" s="29">
        <f>SUM(BQ57:BS57)</f>
        <v>0</v>
      </c>
    </row>
    <row r="58" spans="2:75" ht="6" customHeight="1">
      <c r="D58" s="113"/>
      <c r="E58" s="113"/>
      <c r="I58" s="126"/>
      <c r="AE58" s="107"/>
      <c r="AF58" s="107"/>
      <c r="AG58" s="107"/>
      <c r="AH58" s="103"/>
      <c r="AI58" s="103"/>
      <c r="AJ58" s="103"/>
      <c r="AK58" s="109"/>
      <c r="AL58" s="109"/>
      <c r="AM58" s="109"/>
      <c r="AX58" s="115"/>
      <c r="AY58" s="115"/>
    </row>
    <row r="59" spans="2:75">
      <c r="B59" s="119" t="str">
        <f>CONCATENATE(BB59,BD59,AY59,BM59)</f>
        <v/>
      </c>
      <c r="D59" s="120" t="str">
        <f>IF(AC59=0,"",AC59)</f>
        <v>GS</v>
      </c>
      <c r="E59" s="121">
        <f>IF(AD59=0,"",AD59)</f>
        <v>2.4</v>
      </c>
      <c r="F59" s="118"/>
      <c r="G59" s="152">
        <f>SUM($G$3/100)</f>
        <v>0</v>
      </c>
      <c r="H59" s="150"/>
      <c r="I59" s="125" t="str">
        <f>IF($G$5="x",VLOOKUP(AO59,Licenses!B:C,2,FALSE),IF(BL59=0,IF(H59="","",VLOOKUP(AO59,Licenses!B:C,2,FALSE)),BM59))</f>
        <v/>
      </c>
      <c r="J59" s="118"/>
      <c r="K59" s="124" t="str">
        <f>IF(H59="","",VLOOKUP(AO59,Licenses!B:D,3,FALSE))</f>
        <v/>
      </c>
      <c r="L59" s="118"/>
      <c r="M59" s="124" t="str">
        <f>REPT(T59,1)</f>
        <v/>
      </c>
      <c r="N59" s="118"/>
      <c r="O59" s="124" t="str">
        <f>IF(M59="","",IF(H59="","",VLOOKUP(AO59,Licenses!B:I,8,FALSE)))</f>
        <v/>
      </c>
      <c r="T59" s="29" t="str">
        <f>IF(U59=0,"",IF(U59="","",U59))</f>
        <v/>
      </c>
      <c r="U59" s="29" t="str">
        <f>IF(H59="","",VLOOKUP(AO59,Licenses!B:H,7,FALSE))</f>
        <v/>
      </c>
      <c r="AB59" s="29">
        <f>IF($A$1=3,AK59,IF($A$1=2,AH59,IF($A$1=1,AE59,0)))</f>
        <v>20</v>
      </c>
      <c r="AC59" s="29" t="str">
        <f>IF($A$1=1,AF59,AI59)</f>
        <v>GS</v>
      </c>
      <c r="AD59" s="29">
        <f>IF($A$1=1,AG59,AJ59)</f>
        <v>2.4</v>
      </c>
      <c r="AE59" s="106">
        <v>20</v>
      </c>
      <c r="AF59" s="106" t="s">
        <v>848</v>
      </c>
      <c r="AG59" s="106">
        <v>2.4</v>
      </c>
      <c r="AH59" s="101">
        <v>20</v>
      </c>
      <c r="AI59" s="101"/>
      <c r="AJ59" s="101"/>
      <c r="AK59" s="108">
        <v>16</v>
      </c>
      <c r="AL59" s="108"/>
      <c r="AM59" s="108"/>
      <c r="AO59" s="114" t="str">
        <f>IF($G$5="X",$G$3,IF(H59="","",SUM(H59*1,$G$3)))</f>
        <v/>
      </c>
      <c r="AP59" s="29">
        <f>IF(AO59=AO53,1,0)</f>
        <v>1</v>
      </c>
      <c r="AQ59" s="29">
        <f>IF(AO59=AO55,1,0)</f>
        <v>1</v>
      </c>
      <c r="AR59" s="29">
        <f>IF(AO59=AO57,1,0)</f>
        <v>1</v>
      </c>
      <c r="AW59" s="29" t="str">
        <f>IF($G$5="X",0,IF(AO59="","",SUM(AP59:AV59)))</f>
        <v/>
      </c>
      <c r="AX59" s="117" t="str">
        <f>IF(AW59=1,AX52,"")</f>
        <v/>
      </c>
      <c r="AY59" s="117" t="str">
        <f>IF(AW59=1,$AY$12,"")</f>
        <v/>
      </c>
      <c r="AZ59" s="116">
        <f>IF(H59="",1,0)</f>
        <v>1</v>
      </c>
      <c r="BA59" s="29">
        <f>IF(H59="",1,0)</f>
        <v>1</v>
      </c>
      <c r="BB59" s="29" t="str">
        <f>IF(AZ59=1,$BB$52,"")</f>
        <v/>
      </c>
      <c r="BC59" s="116">
        <f>IF(I59="n / a",1,0)</f>
        <v>0</v>
      </c>
      <c r="BD59" s="29" t="str">
        <f>IF(BC59=1,REPT(Sprache!$K$27,1),"")</f>
        <v/>
      </c>
      <c r="BE59" s="29">
        <f>SUM(Steuerung!$Y$3)</f>
        <v>1</v>
      </c>
      <c r="BF59" s="29">
        <f>IF(M59="",100,VLOOKUP(M59,Steuerung!$A$39:$B$60,2,FALSE))</f>
        <v>100</v>
      </c>
      <c r="BG59" s="29">
        <f>IF(BE59=BF59,0,IF(BE59&lt;BF59,0,1))</f>
        <v>0</v>
      </c>
      <c r="BH59" s="29" t="str">
        <f>IF(BE59&gt;20,LEFT(M59,1),"")</f>
        <v/>
      </c>
      <c r="BI59" s="29">
        <f>IF(BH59="2",BE59-BF59,0)</f>
        <v>0</v>
      </c>
      <c r="BJ59" s="29">
        <f>IF(BI59=0,0,1)</f>
        <v>0</v>
      </c>
      <c r="BK59" s="29">
        <f>IF(BL59&gt;0,1,0)</f>
        <v>0</v>
      </c>
      <c r="BL59" s="116">
        <f>SUM(BG59,BJ59)</f>
        <v>0</v>
      </c>
      <c r="BM59" s="29" t="str">
        <f>IF(BL59=0,"",Sprache!$K$49)</f>
        <v/>
      </c>
      <c r="BN59" s="29">
        <v>0</v>
      </c>
      <c r="BO59" s="29">
        <v>1</v>
      </c>
      <c r="BP59" s="29">
        <v>1</v>
      </c>
      <c r="BQ59" s="29">
        <f>IF($A$1=1,BN59,0)</f>
        <v>0</v>
      </c>
      <c r="BR59" s="29">
        <f>IF($A$1=2,BO59,0)</f>
        <v>0</v>
      </c>
      <c r="BS59" s="29">
        <f>IF($A$1=3,BP59,0)</f>
        <v>0</v>
      </c>
      <c r="BU59" s="127" t="str">
        <f>IF(BW59=1,H59,"")</f>
        <v/>
      </c>
      <c r="BV59" s="127" t="str">
        <f>CONCATENATE(BU59,BU57)</f>
        <v/>
      </c>
      <c r="BW59" s="29">
        <f>SUM(BQ59:BS59)</f>
        <v>0</v>
      </c>
    </row>
    <row r="60" spans="2:75" ht="6" customHeight="1">
      <c r="D60" s="113"/>
      <c r="E60" s="113"/>
      <c r="I60" s="126"/>
      <c r="AE60" s="107"/>
      <c r="AF60" s="107"/>
      <c r="AG60" s="107"/>
      <c r="AH60" s="103"/>
      <c r="AI60" s="103"/>
      <c r="AJ60" s="103"/>
      <c r="AK60" s="109"/>
      <c r="AL60" s="109"/>
      <c r="AM60" s="109"/>
      <c r="AX60" s="115"/>
      <c r="AY60" s="115"/>
    </row>
    <row r="61" spans="2:75">
      <c r="B61" s="119" t="str">
        <f>IF(AN61=1,"",CONCATENATE(BB61,BD61,AX61,BM61))</f>
        <v/>
      </c>
      <c r="D61" s="120" t="str">
        <f>IF(AC61=0,"",AC61)</f>
        <v>GS</v>
      </c>
      <c r="E61" s="121">
        <f>IF(AD61=0,"",AD61)</f>
        <v>2.5</v>
      </c>
      <c r="F61" s="118"/>
      <c r="G61" s="152">
        <f>SUM($G$3/100)</f>
        <v>0</v>
      </c>
      <c r="H61" s="150"/>
      <c r="I61" s="125" t="str">
        <f>IF(AN61=1,VLOOKUP(AO61,Licenses!B:C,2,FALSE),IF($G$5="x",VLOOKUP(AO61,Licenses!B:C,2,FALSE),IF(BL61=0,IF(H61="","",VLOOKUP(AO61,Licenses!B:C,2,FALSE)),BM61)))</f>
        <v/>
      </c>
      <c r="J61" s="118"/>
      <c r="K61" s="124" t="str">
        <f>IF(H61="","",VLOOKUP(AO61,Licenses!B:D,3,FALSE))</f>
        <v/>
      </c>
      <c r="L61" s="118"/>
      <c r="M61" s="124" t="str">
        <f>REPT(T61,1)</f>
        <v/>
      </c>
      <c r="N61" s="118"/>
      <c r="O61" s="124" t="str">
        <f>IF(M61="","",IF(H61="","",VLOOKUP(AO61,Licenses!B:I,8,FALSE)))</f>
        <v/>
      </c>
      <c r="T61" s="29" t="str">
        <f>IF(U61=0,"",IF(U61="","",U61))</f>
        <v/>
      </c>
      <c r="U61" s="29" t="str">
        <f>IF(H61="","",VLOOKUP(AO61,Licenses!B:H,7,FALSE))</f>
        <v/>
      </c>
      <c r="AB61" s="29">
        <f>IF($A$1=3,AK61,IF($A$1=2,AH61,IF($A$1=1,AE61,0)))</f>
        <v>21</v>
      </c>
      <c r="AC61" s="29" t="str">
        <f>IF($A$1=1,AF61,AI61)</f>
        <v>GS</v>
      </c>
      <c r="AD61" s="29">
        <f>IF($A$1=1,AG61,AJ61)</f>
        <v>2.5</v>
      </c>
      <c r="AE61" s="106">
        <v>21</v>
      </c>
      <c r="AF61" s="106" t="s">
        <v>848</v>
      </c>
      <c r="AG61" s="106">
        <v>2.5</v>
      </c>
      <c r="AH61" s="101">
        <v>21</v>
      </c>
      <c r="AI61" s="101" t="s">
        <v>849</v>
      </c>
      <c r="AJ61" s="101">
        <v>2.2999999999999998</v>
      </c>
      <c r="AK61" s="108">
        <v>17</v>
      </c>
      <c r="AL61" s="108" t="s">
        <v>849</v>
      </c>
      <c r="AM61" s="108">
        <v>2.2999999999999998</v>
      </c>
      <c r="AN61" s="29">
        <f>IF($A$1=3,IF($G$7="X",1,0),0)</f>
        <v>0</v>
      </c>
      <c r="AO61" s="114" t="str">
        <f>IF(AN61=1,$G$3,IF($G$5="X",$G$3,IF(H61="","",SUM(H61*1,$G$3))))</f>
        <v/>
      </c>
      <c r="AP61" s="29">
        <f>IF(AO61=AO53,1,0)</f>
        <v>1</v>
      </c>
      <c r="AQ61" s="29">
        <f>IF(AO61=AO55,1,0)</f>
        <v>1</v>
      </c>
      <c r="AR61" s="29">
        <f>IF(AO61=AO57,1,0)</f>
        <v>1</v>
      </c>
      <c r="AS61" s="29">
        <f>IF(AO61=AO59,1,0)</f>
        <v>1</v>
      </c>
      <c r="AW61" s="29" t="str">
        <f>IF(AN61=1,0,IF($G$5="X",0,IF(AO61="","",SUM(AP61:AV61))))</f>
        <v/>
      </c>
      <c r="AX61" s="117" t="str">
        <f>IF(AW61=1,AX52,"")</f>
        <v/>
      </c>
      <c r="AY61" s="117" t="str">
        <f>IF(AW61=1,$AY$12,"")</f>
        <v/>
      </c>
      <c r="AZ61" s="116">
        <f>IF(H61="",1,0)</f>
        <v>1</v>
      </c>
      <c r="BA61" s="29">
        <f>IF(H61="",1,0)</f>
        <v>1</v>
      </c>
      <c r="BB61" s="29" t="str">
        <f>IF(AZ61=1,$BB$52,"")</f>
        <v/>
      </c>
      <c r="BC61" s="116">
        <f>IF(I61="n / a",1,0)</f>
        <v>0</v>
      </c>
      <c r="BD61" s="29" t="str">
        <f>IF(BC61=1,REPT(Sprache!$K$27,1),"")</f>
        <v/>
      </c>
      <c r="BE61" s="29">
        <f>SUM(Steuerung!$Y$3)</f>
        <v>1</v>
      </c>
      <c r="BF61" s="29">
        <f>IF(M61="",100,VLOOKUP(M61,Steuerung!$A$39:$B$60,2,FALSE))</f>
        <v>100</v>
      </c>
      <c r="BG61" s="29">
        <f>IF(BE61=BF61,0,IF(BE61&lt;BF61,0,1))</f>
        <v>0</v>
      </c>
      <c r="BH61" s="29" t="str">
        <f>IF(BE61&gt;20,LEFT(M61,1),"")</f>
        <v/>
      </c>
      <c r="BI61" s="29">
        <f>IF(BH61="2",BE61-BF61,0)</f>
        <v>0</v>
      </c>
      <c r="BJ61" s="29">
        <f>IF(BI61=0,0,1)</f>
        <v>0</v>
      </c>
      <c r="BK61" s="29">
        <f>IF(BL61&gt;0,1,0)</f>
        <v>0</v>
      </c>
      <c r="BL61" s="116">
        <f>SUM(BG61,BJ61)</f>
        <v>0</v>
      </c>
      <c r="BM61" s="29" t="str">
        <f>IF(BL61=0,"",Sprache!$K$49)</f>
        <v/>
      </c>
      <c r="BN61" s="29">
        <v>0</v>
      </c>
      <c r="BO61" s="29">
        <v>1</v>
      </c>
      <c r="BP61" s="29">
        <v>1</v>
      </c>
      <c r="BQ61" s="29">
        <f>IF($A$1=1,BN61,0)</f>
        <v>0</v>
      </c>
      <c r="BR61" s="29">
        <f>IF($A$1=2,BO61,0)</f>
        <v>0</v>
      </c>
      <c r="BS61" s="29">
        <f>IF($A$1=3,BP61,0)</f>
        <v>0</v>
      </c>
      <c r="BU61" s="127" t="str">
        <f>IF(BW61=1,H61,"")</f>
        <v/>
      </c>
      <c r="BV61" s="127" t="str">
        <f>CONCATENATE(BU61,BU63)</f>
        <v/>
      </c>
      <c r="BW61" s="29">
        <f>SUM(BQ61:BS61)</f>
        <v>0</v>
      </c>
    </row>
    <row r="62" spans="2:75" ht="6" customHeight="1">
      <c r="D62" s="113"/>
      <c r="E62" s="113"/>
      <c r="I62" s="126"/>
      <c r="AE62" s="107"/>
      <c r="AF62" s="107"/>
      <c r="AG62" s="107"/>
      <c r="AH62" s="103"/>
      <c r="AI62" s="103"/>
      <c r="AJ62" s="103"/>
      <c r="AK62" s="109"/>
      <c r="AL62" s="109"/>
      <c r="AM62" s="109"/>
      <c r="AX62" s="115"/>
      <c r="AY62" s="115"/>
    </row>
    <row r="63" spans="2:75">
      <c r="B63" s="119" t="str">
        <f>IF(AN63=1,"",CONCATENATE(BB63,BD63,AX63,BM63))</f>
        <v/>
      </c>
      <c r="D63" s="120" t="str">
        <f>IF(AC63=0,"",AC63)</f>
        <v>GS</v>
      </c>
      <c r="E63" s="121">
        <f>IF(AD63=0,"",AD63)</f>
        <v>2.6</v>
      </c>
      <c r="F63" s="118"/>
      <c r="G63" s="152">
        <f>SUM($G$3/100)</f>
        <v>0</v>
      </c>
      <c r="H63" s="150"/>
      <c r="I63" s="125" t="str">
        <f>IF(AN63=1,VLOOKUP(AO63,Licenses!B:C,2,FALSE),IF($G$5="x",VLOOKUP(AO63,Licenses!B:C,2,FALSE),IF(BL63=0,IF(H63="","",VLOOKUP(AO63,Licenses!B:C,2,FALSE)),BM63)))</f>
        <v/>
      </c>
      <c r="J63" s="118"/>
      <c r="K63" s="124" t="str">
        <f>IF(H63="","",VLOOKUP(AO63,Licenses!B:D,3,FALSE))</f>
        <v/>
      </c>
      <c r="L63" s="118"/>
      <c r="M63" s="124" t="str">
        <f>REPT(T63,1)</f>
        <v/>
      </c>
      <c r="N63" s="118"/>
      <c r="O63" s="124" t="str">
        <f>IF(M63="","",IF(H63="","",VLOOKUP(AO63,Licenses!B:I,8,FALSE)))</f>
        <v/>
      </c>
      <c r="T63" s="29" t="str">
        <f>IF(U63=0,"",IF(U63="","",U63))</f>
        <v/>
      </c>
      <c r="U63" s="29" t="str">
        <f>IF(H63="","",VLOOKUP(AO63,Licenses!B:H,7,FALSE))</f>
        <v/>
      </c>
      <c r="AB63" s="29">
        <f>IF($A$1=3,AK63,IF($A$1=2,AH63,IF($A$1=1,AE63,0)))</f>
        <v>22</v>
      </c>
      <c r="AC63" s="29" t="str">
        <f>IF($A$1=1,AF63,AI63)</f>
        <v>GS</v>
      </c>
      <c r="AD63" s="29">
        <f>IF($A$1=1,AG63,AJ63)</f>
        <v>2.6</v>
      </c>
      <c r="AE63" s="106">
        <v>22</v>
      </c>
      <c r="AF63" s="106" t="s">
        <v>848</v>
      </c>
      <c r="AG63" s="106">
        <v>2.6</v>
      </c>
      <c r="AH63" s="101">
        <v>22</v>
      </c>
      <c r="AI63" s="101"/>
      <c r="AJ63" s="101"/>
      <c r="AK63" s="108">
        <v>18</v>
      </c>
      <c r="AL63" s="108"/>
      <c r="AM63" s="108"/>
      <c r="AN63" s="29">
        <f>IF($A$1=3,IF($G$7="X",1,0),0)</f>
        <v>0</v>
      </c>
      <c r="AO63" s="114" t="str">
        <f>IF(AN63=1,$G$3,IF($G$5="X",$G$3,IF(H63="","",SUM(H63*1,$G$3))))</f>
        <v/>
      </c>
      <c r="AP63" s="29">
        <f>IF(AO63=AO53,1,0)</f>
        <v>1</v>
      </c>
      <c r="AQ63" s="29">
        <f>IF(AO63=AO55,1,0)</f>
        <v>1</v>
      </c>
      <c r="AR63" s="29">
        <f>IF(AO63=AO57,1,0)</f>
        <v>1</v>
      </c>
      <c r="AS63" s="29">
        <f>IF(AO63=AO59,1,0)</f>
        <v>1</v>
      </c>
      <c r="AT63" s="29">
        <f>IF(AO63=AO61,1,0)</f>
        <v>1</v>
      </c>
      <c r="AW63" s="29" t="str">
        <f>IF(AN63=1,0,IF($G$5="X",0,IF(AO63="","",SUM(AP63:AV63))))</f>
        <v/>
      </c>
      <c r="AX63" s="117" t="str">
        <f>IF(AW63=1,AX52,"")</f>
        <v/>
      </c>
      <c r="AY63" s="117" t="str">
        <f>IF(AW63=1,$AY$12,"")</f>
        <v/>
      </c>
      <c r="AZ63" s="116">
        <f>IF(H63="",1,0)</f>
        <v>1</v>
      </c>
      <c r="BA63" s="29">
        <f>IF(H63="",1,0)</f>
        <v>1</v>
      </c>
      <c r="BB63" s="29" t="str">
        <f>IF(AZ63=1,$BB$52,"")</f>
        <v/>
      </c>
      <c r="BC63" s="116">
        <f>IF(I63="n / a",1,0)</f>
        <v>0</v>
      </c>
      <c r="BD63" s="29" t="str">
        <f>IF(BC63=1,REPT(Sprache!$K$27,1),"")</f>
        <v/>
      </c>
      <c r="BE63" s="29">
        <f>SUM(Steuerung!$Y$3)</f>
        <v>1</v>
      </c>
      <c r="BF63" s="29">
        <f>IF(M63="",100,VLOOKUP(M63,Steuerung!$A$39:$B$60,2,FALSE))</f>
        <v>100</v>
      </c>
      <c r="BG63" s="29">
        <f>IF(BE63=BF63,0,IF(BE63&lt;BF63,0,1))</f>
        <v>0</v>
      </c>
      <c r="BH63" s="29" t="str">
        <f>IF(BE63&gt;20,LEFT(M63,1),"")</f>
        <v/>
      </c>
      <c r="BI63" s="29">
        <f>IF(BH63="2",BE63-BF63,0)</f>
        <v>0</v>
      </c>
      <c r="BJ63" s="29">
        <f>IF(BI63=0,0,1)</f>
        <v>0</v>
      </c>
      <c r="BK63" s="29">
        <f>IF(BL63&gt;0,1,0)</f>
        <v>0</v>
      </c>
      <c r="BL63" s="116">
        <f>SUM(BG63,BJ63)</f>
        <v>0</v>
      </c>
      <c r="BM63" s="29" t="str">
        <f>IF(BL63=0,"",Sprache!$K$49)</f>
        <v/>
      </c>
      <c r="BN63" s="29">
        <v>0</v>
      </c>
      <c r="BO63" s="29">
        <v>1</v>
      </c>
      <c r="BP63" s="29">
        <v>1</v>
      </c>
      <c r="BQ63" s="29">
        <f>IF($A$1=1,BN63,0)</f>
        <v>0</v>
      </c>
      <c r="BR63" s="29">
        <f>IF($A$1=2,BO63,0)</f>
        <v>0</v>
      </c>
      <c r="BS63" s="29">
        <f>IF($A$1=3,BP63,0)</f>
        <v>0</v>
      </c>
      <c r="BU63" s="127" t="str">
        <f>IF(BW63=1,H63,"")</f>
        <v/>
      </c>
      <c r="BV63" s="127" t="str">
        <f>CONCATENATE(BU63,BU61)</f>
        <v/>
      </c>
      <c r="BW63" s="29">
        <f>SUM(BQ63:BS63)</f>
        <v>0</v>
      </c>
    </row>
    <row r="64" spans="2:75" ht="6" customHeight="1">
      <c r="D64" s="113"/>
      <c r="E64" s="113"/>
      <c r="I64" s="126"/>
      <c r="AE64" s="107"/>
      <c r="AF64" s="107"/>
      <c r="AG64" s="107"/>
      <c r="AH64" s="103"/>
      <c r="AI64" s="103"/>
      <c r="AJ64" s="103"/>
      <c r="AK64" s="111"/>
      <c r="AL64" s="111"/>
      <c r="AM64" s="111"/>
      <c r="AX64" s="115"/>
      <c r="AY64" s="115"/>
    </row>
    <row r="65" spans="2:75">
      <c r="B65" s="119" t="str">
        <f>IF(AN65=1,"",CONCATENATE(BB65,BD65,AX65,BM65))</f>
        <v/>
      </c>
      <c r="D65" s="120" t="str">
        <f>IF(AC65=0,"",AC65)</f>
        <v>GS</v>
      </c>
      <c r="E65" s="121">
        <f>IF(AD65=0,"",AD65)</f>
        <v>2.7</v>
      </c>
      <c r="F65" s="118"/>
      <c r="G65" s="152">
        <f>IF($A$1=3,"",SUM($G$3/100))</f>
        <v>0</v>
      </c>
      <c r="H65" s="150"/>
      <c r="I65" s="125" t="str">
        <f>IF($A$1=3,"",IF(AN65=1,VLOOKUP(AO65,Licenses!B:C,2,FALSE),IF($G$5="x",VLOOKUP(AO65,Licenses!B:C,2,FALSE),IF(BL65=0,IF(H65="","",VLOOKUP(AO65,Licenses!B:C,2,FALSE)),BM65))))</f>
        <v/>
      </c>
      <c r="J65" s="118"/>
      <c r="K65" s="124" t="str">
        <f>IF($A$1=3,"",IF(H65="","",VLOOKUP(AO65,Licenses!B:D,3,FALSE)))</f>
        <v/>
      </c>
      <c r="L65" s="118"/>
      <c r="M65" s="124" t="str">
        <f>REPT(T65,1)</f>
        <v/>
      </c>
      <c r="N65" s="118"/>
      <c r="O65" s="124" t="str">
        <f>IF(M65="","",IF($A$1=3,"",IF(H65="","",VLOOKUP(AO65,Licenses!B:I,8,FALSE))))</f>
        <v/>
      </c>
      <c r="T65" s="29" t="str">
        <f>IF($A$1=3,"",IF(U65=0,"",IF(U65="","",U65)))</f>
        <v/>
      </c>
      <c r="U65" s="29" t="str">
        <f>IF($A$1=3,"",IF(H65="","",VLOOKUP(AO65,Licenses!B:H,7,FALSE)))</f>
        <v/>
      </c>
      <c r="AB65" s="29">
        <f>IF($A$1=3,"",IF($A$1=2,AH65,IF($A$1=1,AE65,0)))</f>
        <v>23</v>
      </c>
      <c r="AC65" s="29" t="str">
        <f>IF($A$1=3,0,IF($A$1=1,AF65,AI65))</f>
        <v>GS</v>
      </c>
      <c r="AD65" s="29">
        <f>IF($A$1=3,0,IF($A$1=1,AG65,AJ65))</f>
        <v>2.7</v>
      </c>
      <c r="AE65" s="106">
        <v>23</v>
      </c>
      <c r="AF65" s="106" t="s">
        <v>848</v>
      </c>
      <c r="AG65" s="106">
        <v>2.7</v>
      </c>
      <c r="AH65" s="101">
        <v>23</v>
      </c>
      <c r="AI65" s="101" t="s">
        <v>849</v>
      </c>
      <c r="AJ65" s="101">
        <v>2.4</v>
      </c>
      <c r="AK65" s="110"/>
      <c r="AL65" s="110"/>
      <c r="AM65" s="110"/>
      <c r="AN65" s="29">
        <f>IF($A$1=1,0,IF($A$1=3,0,IF($G$7="X",1,0)))</f>
        <v>0</v>
      </c>
      <c r="AO65" s="114" t="str">
        <f>IF(AN65=1,$G$3,IF($A$1=3,"",IF($G$5="X",$G$3,IF(H65="","",SUM(H65*1,$G$3)))))</f>
        <v/>
      </c>
      <c r="AP65" s="29">
        <f>IF(AO65=AO53,1,0)</f>
        <v>1</v>
      </c>
      <c r="AQ65" s="29">
        <f>IF(AO65=AO55,1,0)</f>
        <v>1</v>
      </c>
      <c r="AR65" s="29">
        <f>IF(AO65=AO57,1,0)</f>
        <v>1</v>
      </c>
      <c r="AS65" s="29">
        <f>IF(AO65=AO59,1,0)</f>
        <v>1</v>
      </c>
      <c r="AT65" s="29">
        <f>IF(AO65=AO61,1,0)</f>
        <v>1</v>
      </c>
      <c r="AU65" s="29">
        <f>IF(AO65=AO63,1,0)</f>
        <v>1</v>
      </c>
      <c r="AW65" s="29" t="str">
        <f>IF($G$5="X",0,IF(AO65="","",SUM(AP65:AV65)))</f>
        <v/>
      </c>
      <c r="AX65" s="117" t="str">
        <f>IF(AW65=1,AX52,"")</f>
        <v/>
      </c>
      <c r="AY65" s="117" t="str">
        <f>IF(AW65=1,$AY$12,"")</f>
        <v/>
      </c>
      <c r="AZ65" s="116">
        <f>IF(AN65=1,0,IF($A$1=3,"",IF(H65="",1,0)))</f>
        <v>1</v>
      </c>
      <c r="BA65" s="29">
        <f>IF($A$1=3,0,IF(H65="",1,0))</f>
        <v>1</v>
      </c>
      <c r="BB65" s="29" t="str">
        <f>IF(AZ65=1,$BB$52,"")</f>
        <v/>
      </c>
      <c r="BC65" s="116">
        <f>IF($A$1=3,"",IF(I65="n / a",1,0))</f>
        <v>0</v>
      </c>
      <c r="BD65" s="29" t="str">
        <f>IF(BC65=1,REPT(Sprache!$K$27,1),"")</f>
        <v/>
      </c>
      <c r="BE65" s="29">
        <f>SUM(Steuerung!$Y$3)</f>
        <v>1</v>
      </c>
      <c r="BF65" s="29">
        <f>IF(M65="",100,VLOOKUP(M65,Steuerung!$A$39:$B$60,2,FALSE))</f>
        <v>100</v>
      </c>
      <c r="BG65" s="29">
        <f>IF(BE65=BF65,0,IF(BE65&lt;BF65,0,1))</f>
        <v>0</v>
      </c>
      <c r="BH65" s="29" t="str">
        <f>IF(BE65&gt;20,LEFT(M65,1),"")</f>
        <v/>
      </c>
      <c r="BI65" s="29">
        <f>IF(BH65="2",BE65-BF65,0)</f>
        <v>0</v>
      </c>
      <c r="BJ65" s="29">
        <f>IF(BI65=0,0,1)</f>
        <v>0</v>
      </c>
      <c r="BK65" s="29">
        <f>IF(BL65&gt;0,1,0)</f>
        <v>0</v>
      </c>
      <c r="BL65" s="116">
        <f>SUM(BG65,BJ65)</f>
        <v>0</v>
      </c>
      <c r="BM65" s="29" t="str">
        <f>IF(BL65=0,"",Sprache!$K$49)</f>
        <v/>
      </c>
      <c r="BN65" s="29">
        <v>0</v>
      </c>
      <c r="BO65" s="29">
        <v>1</v>
      </c>
      <c r="BQ65" s="29">
        <f>IF($A$1=1,BN65,0)</f>
        <v>0</v>
      </c>
      <c r="BR65" s="29">
        <f>IF($A$1=2,BO65,0)</f>
        <v>0</v>
      </c>
      <c r="BU65" s="127" t="str">
        <f>IF(BW65=1,H65,"")</f>
        <v/>
      </c>
      <c r="BV65" s="127" t="str">
        <f>CONCATENATE(BU65,BU67)</f>
        <v/>
      </c>
      <c r="BW65" s="29">
        <f>SUM(BQ65:BS65)</f>
        <v>0</v>
      </c>
    </row>
    <row r="66" spans="2:75" ht="6" customHeight="1">
      <c r="D66" s="113"/>
      <c r="E66" s="113"/>
      <c r="I66" s="126"/>
      <c r="AE66" s="107"/>
      <c r="AF66" s="107"/>
      <c r="AG66" s="107"/>
      <c r="AH66" s="103"/>
      <c r="AI66" s="103"/>
      <c r="AJ66" s="103"/>
      <c r="AK66" s="111"/>
      <c r="AL66" s="111"/>
      <c r="AM66" s="111"/>
      <c r="AX66" s="115"/>
      <c r="AY66" s="115"/>
    </row>
    <row r="67" spans="2:75">
      <c r="B67" s="119" t="str">
        <f>IF(AN67=1,"",CONCATENATE(BB67,BD67,AX67,BM67))</f>
        <v/>
      </c>
      <c r="D67" s="120" t="str">
        <f>IF(AC67=0,"",AC67)</f>
        <v>GS</v>
      </c>
      <c r="E67" s="121">
        <f>IF(AD67=0,"",AD67)</f>
        <v>2.8</v>
      </c>
      <c r="F67" s="118"/>
      <c r="G67" s="152">
        <f>IF($A$1=3,"",SUM($G$3/100))</f>
        <v>0</v>
      </c>
      <c r="H67" s="150"/>
      <c r="I67" s="125" t="str">
        <f>IF($A$1=3,"",IF(AN67=1,VLOOKUP(AO67,Licenses!B:C,2,FALSE),IF($G$5="x",VLOOKUP(AO67,Licenses!B:C,2,FALSE),IF(BL67=0,IF(H67="","",VLOOKUP(AO67,Licenses!B:C,2,FALSE)),BM67))))</f>
        <v/>
      </c>
      <c r="J67" s="118"/>
      <c r="K67" s="124" t="str">
        <f>IF($A$1=3,"",IF(H67="","",VLOOKUP(AO67,Licenses!B:D,3,FALSE)))</f>
        <v/>
      </c>
      <c r="L67" s="118"/>
      <c r="M67" s="124" t="str">
        <f>REPT(T67,1)</f>
        <v/>
      </c>
      <c r="N67" s="118"/>
      <c r="O67" s="124" t="str">
        <f>IF(M67="","",IF($A$1=3,"",IF(H67="","",VLOOKUP(AO67,Licenses!B:I,8,FALSE))))</f>
        <v/>
      </c>
      <c r="T67" s="29" t="str">
        <f>IF($A$1=3,"",IF(U67=0,"",IF(U67="","",U67)))</f>
        <v/>
      </c>
      <c r="U67" s="29" t="str">
        <f>IF($A$1=3,"",IF(H67="","",VLOOKUP(AO67,Licenses!B:H,7,FALSE)))</f>
        <v/>
      </c>
      <c r="AB67" s="29">
        <f>IF($A$1=3,"",IF($A$1=2,AH67,IF($A$1=1,AE67,0)))</f>
        <v>24</v>
      </c>
      <c r="AC67" s="29" t="str">
        <f>IF($A$1=3,0,IF($A$1=1,AF67,AI67))</f>
        <v>GS</v>
      </c>
      <c r="AD67" s="29">
        <f>IF($A$1=3,0,IF($A$1=1,AG67,AJ67))</f>
        <v>2.8</v>
      </c>
      <c r="AE67" s="106">
        <v>24</v>
      </c>
      <c r="AF67" s="106" t="s">
        <v>848</v>
      </c>
      <c r="AG67" s="106">
        <v>2.8</v>
      </c>
      <c r="AH67" s="101">
        <v>24</v>
      </c>
      <c r="AI67" s="101"/>
      <c r="AJ67" s="101"/>
      <c r="AK67" s="110"/>
      <c r="AL67" s="110"/>
      <c r="AM67" s="110"/>
      <c r="AN67" s="29">
        <f>IF($A$1=3,0,IF($G$7="X",1,0))</f>
        <v>0</v>
      </c>
      <c r="AO67" s="114" t="str">
        <f>IF(AN67=1,$G$3,IF($A$1=3,"",IF($G$5="X",$G$3,IF(H67="","",SUM(H67*1,$G$3)))))</f>
        <v/>
      </c>
      <c r="AP67" s="29">
        <f>IF(AO67=AO53,1,0)</f>
        <v>1</v>
      </c>
      <c r="AQ67" s="29">
        <f>IF(AO67=AO55,1,0)</f>
        <v>1</v>
      </c>
      <c r="AR67" s="29">
        <f>IF(AO67=AO57,1,0)</f>
        <v>1</v>
      </c>
      <c r="AS67" s="29">
        <f>IF(AO67=AO59,1,0)</f>
        <v>1</v>
      </c>
      <c r="AT67" s="29">
        <f>IF(AO67=AO61,1,0)</f>
        <v>1</v>
      </c>
      <c r="AU67" s="29">
        <f>IF(AO67=AO63,1,0)</f>
        <v>1</v>
      </c>
      <c r="AV67" s="29">
        <f>IF(AO67=AO65,1,0)</f>
        <v>1</v>
      </c>
      <c r="AW67" s="29" t="str">
        <f>IF(AN67=1,0,IF($G$5="X",0,IF(AO67="","",SUM(AP67:AV67))))</f>
        <v/>
      </c>
      <c r="AX67" s="117" t="str">
        <f>IF(AW67=1,AX52,"")</f>
        <v/>
      </c>
      <c r="AY67" s="117" t="str">
        <f>IF(AW67=1,$AY$12,"")</f>
        <v/>
      </c>
      <c r="AZ67" s="116">
        <f>IF(AN67=1,0,IF($A$1=3,"",IF(H67="",1,0)))</f>
        <v>1</v>
      </c>
      <c r="BA67" s="29">
        <f>IF($A$1=3,0,IF(H67="",1,0))</f>
        <v>1</v>
      </c>
      <c r="BB67" s="29" t="str">
        <f>IF(AZ67=1,$BB$52,"")</f>
        <v/>
      </c>
      <c r="BC67" s="116">
        <f>IF($A$1=3,"",IF(I67="n / a",1,0))</f>
        <v>0</v>
      </c>
      <c r="BD67" s="29" t="str">
        <f>IF(BC67=1,REPT(Sprache!$K$27,1),"")</f>
        <v/>
      </c>
      <c r="BE67" s="29">
        <f>SUM(Steuerung!$Y$3)</f>
        <v>1</v>
      </c>
      <c r="BF67" s="29">
        <f>IF(M67="",100,VLOOKUP(M67,Steuerung!$A$39:$B$60,2,FALSE))</f>
        <v>100</v>
      </c>
      <c r="BG67" s="29">
        <f>IF(BE67=BF67,0,IF(BE67&lt;BF67,0,1))</f>
        <v>0</v>
      </c>
      <c r="BH67" s="29" t="str">
        <f>IF(BE67&gt;20,LEFT(M67,1),"")</f>
        <v/>
      </c>
      <c r="BI67" s="29">
        <f>IF(BH67="2",BE67-BF67,0)</f>
        <v>0</v>
      </c>
      <c r="BJ67" s="29">
        <f>IF(BI67=0,0,1)</f>
        <v>0</v>
      </c>
      <c r="BK67" s="29">
        <f>IF(BL67&gt;0,1,0)</f>
        <v>0</v>
      </c>
      <c r="BL67" s="116">
        <f>SUM(BG67,BJ67)</f>
        <v>0</v>
      </c>
      <c r="BM67" s="29" t="str">
        <f>IF(BL67=0,"",Sprache!$K$49)</f>
        <v/>
      </c>
      <c r="BN67" s="29">
        <v>0</v>
      </c>
      <c r="BO67" s="29">
        <v>1</v>
      </c>
      <c r="BQ67" s="29">
        <f>IF($A$1=1,BN67,0)</f>
        <v>0</v>
      </c>
      <c r="BR67" s="29">
        <f>IF($A$1=2,BO67,0)</f>
        <v>0</v>
      </c>
      <c r="BU67" s="127" t="str">
        <f>IF(BW67=1,H67,"")</f>
        <v/>
      </c>
      <c r="BV67" s="127" t="str">
        <f>CONCATENATE(BU67,BU65)</f>
        <v/>
      </c>
      <c r="BW67" s="29">
        <f>SUM(BQ67:BS67)</f>
        <v>0</v>
      </c>
    </row>
    <row r="69" spans="2:75">
      <c r="AW69" s="131">
        <f>SUM(AW53:AW67)</f>
        <v>0</v>
      </c>
      <c r="AZ69" s="131">
        <f>IF(AY53=0,0,SUM(AZ53:AZ67))</f>
        <v>0</v>
      </c>
      <c r="BC69" s="131">
        <f>SUM(BC53:BC67)</f>
        <v>0</v>
      </c>
      <c r="BK69" s="131">
        <f>SUM(BK53:BK67)</f>
        <v>0</v>
      </c>
      <c r="BL69" s="131">
        <f>SUM(BK69)</f>
        <v>0</v>
      </c>
    </row>
    <row r="71" spans="2:75">
      <c r="I71" s="102" t="str">
        <f>IF($A$1=3,Sprache!K39,IF($A$1=2,Sprache!K39,IF($A$1=1,Sprache!K40,"")))</f>
        <v>Dritte Runde Einzel ( gesetzt )</v>
      </c>
      <c r="J71" s="91"/>
      <c r="K71" s="85" t="str">
        <f>REPT(Sprache!$K$44,1)</f>
        <v>Spieler-Nr.</v>
      </c>
      <c r="L71" s="82"/>
      <c r="M71" s="85" t="str">
        <f>REPT(Sprache!$K$15,1)</f>
        <v>Liga</v>
      </c>
      <c r="N71" s="100"/>
      <c r="O71" s="85" t="str">
        <f>REPT(Sprache!$K$45,1)</f>
        <v>Qualifiziert für:</v>
      </c>
      <c r="V71" s="29" t="s">
        <v>772</v>
      </c>
      <c r="AE71" s="106"/>
      <c r="AF71" s="106" t="s">
        <v>821</v>
      </c>
      <c r="AG71" s="106"/>
      <c r="AH71" s="101"/>
      <c r="AI71" s="101" t="s">
        <v>820</v>
      </c>
      <c r="AJ71" s="101"/>
      <c r="AK71" s="108"/>
      <c r="AL71" s="108" t="s">
        <v>819</v>
      </c>
      <c r="AM71" s="108"/>
    </row>
    <row r="72" spans="2:75">
      <c r="AE72" s="106"/>
      <c r="AF72" s="106"/>
      <c r="AG72" s="106"/>
      <c r="AH72" s="101"/>
      <c r="AI72" s="101"/>
      <c r="AJ72" s="101"/>
      <c r="AK72" s="108"/>
      <c r="AL72" s="108"/>
      <c r="AM72" s="108"/>
      <c r="AX72" s="115" t="str">
        <f>REPT(Sprache!K48,1)</f>
        <v>***!!!!!!!!!!Doppelter Eintrag!!!!!!!!!!***</v>
      </c>
      <c r="AY72" s="115" t="str">
        <f>REPT(Sprache!K35,1)</f>
        <v>** A C H T U N G - D O P P E L T E  L I Z E N Z - N U M M E R !!! **</v>
      </c>
      <c r="AZ72" s="29">
        <f>IF($A$1=3,6,8)</f>
        <v>8</v>
      </c>
      <c r="BA72" s="29">
        <f>SUM(AZ73:AZ87)</f>
        <v>8</v>
      </c>
      <c r="BB72" s="29" t="str">
        <f>IF(A1=1,"",IF(AY73=0,"",Sprache!$K$29))</f>
        <v/>
      </c>
      <c r="BE72" s="29" t="s">
        <v>827</v>
      </c>
      <c r="BF72" s="29" t="s">
        <v>834</v>
      </c>
      <c r="BJ72" s="29" t="s">
        <v>840</v>
      </c>
      <c r="BL72" s="29" t="s">
        <v>841</v>
      </c>
    </row>
    <row r="73" spans="2:75">
      <c r="B73" s="119" t="str">
        <f>CONCATENATE(BB73,BD73,,BM73)</f>
        <v/>
      </c>
      <c r="D73" s="120" t="str">
        <f>IF(AC73=0,"",AC73)</f>
        <v>GS</v>
      </c>
      <c r="E73" s="121">
        <f>IF(AD73=0,"",AD73)</f>
        <v>3.1</v>
      </c>
      <c r="F73" s="118"/>
      <c r="G73" s="152" t="str">
        <f>IF($A$1=1,AO73,SUM($G$3/100))</f>
        <v/>
      </c>
      <c r="H73" s="150"/>
      <c r="I73" s="125" t="str">
        <f>IF($G$5="x",VLOOKUP(AO73,Licenses!B:C,2,FALSE),IF(BL73=0,IF(AA73="","",VLOOKUP(AO73,Licenses!B:C,2,FALSE)),BM73))</f>
        <v/>
      </c>
      <c r="J73" s="118"/>
      <c r="K73" s="124" t="str">
        <f>IF(I73="","",VLOOKUP(AO73,Licenses!B:D,3,FALSE))</f>
        <v/>
      </c>
      <c r="L73" s="118"/>
      <c r="M73" s="124" t="str">
        <f>REPT(T73,1)</f>
        <v/>
      </c>
      <c r="N73" s="118"/>
      <c r="O73" s="124" t="str">
        <f>IF(M73="","",IF(AO73="","",VLOOKUP(AO73,Licenses!B:I,8,FALSE)))</f>
        <v/>
      </c>
      <c r="Q73" s="120" t="s">
        <v>779</v>
      </c>
      <c r="R73" s="149">
        <v>2.2999999999999998</v>
      </c>
      <c r="S73" s="157"/>
      <c r="T73" s="29" t="str">
        <f>IF(G73="","",IF(U73=0,"",IF(U73="","",U73)))</f>
        <v/>
      </c>
      <c r="U73" s="29" t="str">
        <f>IF(H73="","",VLOOKUP(AO73,Licenses!B:H,7,FALSE))</f>
        <v/>
      </c>
      <c r="Y73" s="29">
        <f>IF($A$1=1,VLOOKUP(R73,$E$53:$H$67,4,FALSE),H73)</f>
        <v>0</v>
      </c>
      <c r="Z73" s="29">
        <f>SUM($G$3/100)</f>
        <v>0</v>
      </c>
      <c r="AA73" s="29" t="str">
        <f>IF(Y73=0,"",Y73)</f>
        <v/>
      </c>
      <c r="AB73" s="29">
        <f>IF($A$1=3,AK73,IF($A$1=2,AH73,IF($A$1=1,AE73,0)))</f>
        <v>25</v>
      </c>
      <c r="AC73" s="29" t="str">
        <f>IF($A$1=1,AF73,AI73)</f>
        <v>GS</v>
      </c>
      <c r="AD73" s="29">
        <f>IF($A$1=1,AG73,AJ73)</f>
        <v>3.1</v>
      </c>
      <c r="AE73" s="106">
        <v>25</v>
      </c>
      <c r="AF73" s="106" t="s">
        <v>848</v>
      </c>
      <c r="AG73" s="106">
        <v>3.1</v>
      </c>
      <c r="AH73" s="101">
        <v>25</v>
      </c>
      <c r="AI73" s="101" t="s">
        <v>848</v>
      </c>
      <c r="AJ73" s="101">
        <v>2.1</v>
      </c>
      <c r="AK73" s="108">
        <v>19</v>
      </c>
      <c r="AL73" s="108" t="s">
        <v>848</v>
      </c>
      <c r="AM73" s="108">
        <v>2.1</v>
      </c>
      <c r="AO73" s="114" t="str">
        <f>IF($G$5="X",$G$3,IF(AA73="","",SUM(AA73*1,$G$3)))</f>
        <v/>
      </c>
      <c r="AX73" s="115"/>
      <c r="AY73" s="115">
        <f>IF($G$5="X",0,IF(AZ72=BA72,0,1))</f>
        <v>0</v>
      </c>
      <c r="AZ73" s="116">
        <f>IF(H73="",1,0)</f>
        <v>1</v>
      </c>
      <c r="BA73" s="29">
        <f>IF(H73="",1,0)</f>
        <v>1</v>
      </c>
      <c r="BB73" s="29" t="str">
        <f>IF(AZ73=1,$BB$72,"")</f>
        <v/>
      </c>
      <c r="BC73" s="116">
        <f>IF(I73="n / a",1,0)</f>
        <v>0</v>
      </c>
      <c r="BD73" s="29" t="str">
        <f>IF(BC73=1,REPT(Sprache!$K$27,1),"")</f>
        <v/>
      </c>
      <c r="BE73" s="29">
        <f>SUM(Steuerung!$Y$3)</f>
        <v>1</v>
      </c>
      <c r="BF73" s="29">
        <f>IF(M73="",100,VLOOKUP(M73,Steuerung!$A$39:$B$60,2,FALSE))</f>
        <v>100</v>
      </c>
      <c r="BG73" s="29">
        <f>IF(BE73=BF73,0,IF(BE73&lt;BF73,0,1))</f>
        <v>0</v>
      </c>
      <c r="BH73" s="29" t="str">
        <f>IF(BE73&gt;20,LEFT(M73,1),"")</f>
        <v/>
      </c>
      <c r="BI73" s="29">
        <f>IF(BH73="2",BE73-BF73,0)</f>
        <v>0</v>
      </c>
      <c r="BJ73" s="29">
        <f>IF(BI73=0,0,1)</f>
        <v>0</v>
      </c>
      <c r="BK73" s="29">
        <f>IF(BL73&gt;0,1,0)</f>
        <v>0</v>
      </c>
      <c r="BL73" s="116">
        <f>SUM(BG73,BJ73)</f>
        <v>0</v>
      </c>
      <c r="BM73" s="29" t="str">
        <f>IF(BL73=0,"",Sprache!$K$49)</f>
        <v/>
      </c>
    </row>
    <row r="74" spans="2:75" ht="6" customHeight="1">
      <c r="D74" s="113"/>
      <c r="E74" s="113"/>
      <c r="I74" s="126"/>
      <c r="Q74" s="113"/>
      <c r="R74" s="113"/>
      <c r="S74" s="158"/>
      <c r="AE74" s="107"/>
      <c r="AF74" s="107"/>
      <c r="AG74" s="107"/>
      <c r="AH74" s="103"/>
      <c r="AI74" s="103"/>
      <c r="AJ74" s="103"/>
      <c r="AK74" s="109"/>
      <c r="AL74" s="109"/>
      <c r="AM74" s="109"/>
      <c r="AX74" s="115"/>
      <c r="AY74" s="115"/>
    </row>
    <row r="75" spans="2:75">
      <c r="B75" s="119" t="str">
        <f>CONCATENATE(BB75,BD75,AY75,BM75)</f>
        <v/>
      </c>
      <c r="D75" s="120" t="str">
        <f>IF(AC75=0,"",AC75)</f>
        <v>GS</v>
      </c>
      <c r="E75" s="121">
        <f>IF(AD75=0,"",AD75)</f>
        <v>3.2</v>
      </c>
      <c r="F75" s="118"/>
      <c r="G75" s="152" t="str">
        <f>IF($A$1=1,AO75,SUM($G$3/100))</f>
        <v/>
      </c>
      <c r="H75" s="150"/>
      <c r="I75" s="125" t="str">
        <f>IF($G$5="x",VLOOKUP(AO75,Licenses!B:C,2,FALSE),IF(BL75=0,IF(AA75="","",VLOOKUP(AO75,Licenses!B:C,2,FALSE)),BM75))</f>
        <v/>
      </c>
      <c r="J75" s="118"/>
      <c r="K75" s="124" t="str">
        <f>IF(I75="","",VLOOKUP(AO75,Licenses!B:D,3,FALSE))</f>
        <v/>
      </c>
      <c r="L75" s="118"/>
      <c r="M75" s="124" t="str">
        <f>REPT(T75,1)</f>
        <v/>
      </c>
      <c r="N75" s="118"/>
      <c r="O75" s="124" t="str">
        <f>IF(M75="","",IF(AO75="","",VLOOKUP(AO75,Licenses!B:I,8,FALSE)))</f>
        <v/>
      </c>
      <c r="Q75" s="120" t="s">
        <v>779</v>
      </c>
      <c r="R75" s="149">
        <v>2.4</v>
      </c>
      <c r="S75" s="157"/>
      <c r="T75" s="29" t="str">
        <f>IF(G75="","",IF(U75=0,"",IF(U75="","",U75)))</f>
        <v/>
      </c>
      <c r="U75" s="29" t="str">
        <f>IF(H75="","",VLOOKUP(AO75,Licenses!B:H,7,FALSE))</f>
        <v/>
      </c>
      <c r="Y75" s="29">
        <f>IF($A$1=1,VLOOKUP(R75,$E$53:$H$67,4,FALSE),H75)</f>
        <v>0</v>
      </c>
      <c r="Z75" s="29">
        <f>SUM($G$3/100)</f>
        <v>0</v>
      </c>
      <c r="AA75" s="29" t="str">
        <f>IF(Y75=0,"",Y75)</f>
        <v/>
      </c>
      <c r="AB75" s="29">
        <f>IF($A$1=3,AK75,IF($A$1=2,AH75,IF($A$1=1,AE75,0)))</f>
        <v>26</v>
      </c>
      <c r="AC75" s="29" t="str">
        <f>IF($A$1=1,AF75,AI75)</f>
        <v>GS</v>
      </c>
      <c r="AD75" s="29">
        <f>IF($A$1=1,AG75,AJ75)</f>
        <v>3.2</v>
      </c>
      <c r="AE75" s="106">
        <v>26</v>
      </c>
      <c r="AF75" s="106" t="s">
        <v>848</v>
      </c>
      <c r="AG75" s="106">
        <v>3.2</v>
      </c>
      <c r="AH75" s="101">
        <v>26</v>
      </c>
      <c r="AI75" s="101" t="s">
        <v>848</v>
      </c>
      <c r="AJ75" s="101">
        <v>2.2000000000000002</v>
      </c>
      <c r="AK75" s="108">
        <v>20</v>
      </c>
      <c r="AL75" s="108" t="s">
        <v>848</v>
      </c>
      <c r="AM75" s="108">
        <v>2.2000000000000002</v>
      </c>
      <c r="AO75" s="114" t="str">
        <f>IF($G$5="X",$G$3,IF(AA75="","",SUM(AA75*1,$G$3)))</f>
        <v/>
      </c>
      <c r="AP75" s="29">
        <f>IF(AO75=AO73,1,0)</f>
        <v>1</v>
      </c>
      <c r="AW75" s="29" t="str">
        <f>IF($G$5="X",0,IF(AO75="","",SUM(AP75:AV75)))</f>
        <v/>
      </c>
      <c r="AX75" s="117" t="str">
        <f>IF(AW75=1,AX72,"")</f>
        <v/>
      </c>
      <c r="AY75" s="117" t="str">
        <f>IF(AW75=1,$AY$12,"")</f>
        <v/>
      </c>
      <c r="AZ75" s="116">
        <f>IF(H75="",1,0)</f>
        <v>1</v>
      </c>
      <c r="BA75" s="29">
        <f>IF(H75="",1,0)</f>
        <v>1</v>
      </c>
      <c r="BB75" s="29" t="str">
        <f>IF(AZ75=1,$BB$72,"")</f>
        <v/>
      </c>
      <c r="BC75" s="116">
        <f>IF(I75="n / a",1,0)</f>
        <v>0</v>
      </c>
      <c r="BD75" s="29" t="str">
        <f>IF(BC75=1,REPT(Sprache!$K$27,1),"")</f>
        <v/>
      </c>
      <c r="BE75" s="29">
        <f>SUM(Steuerung!$Y$3)</f>
        <v>1</v>
      </c>
      <c r="BF75" s="29">
        <f>IF(M75="",100,VLOOKUP(M75,Steuerung!$A$39:$B$60,2,FALSE))</f>
        <v>100</v>
      </c>
      <c r="BG75" s="29">
        <f>IF(BE75=BF75,0,IF(BE75&lt;BF75,0,1))</f>
        <v>0</v>
      </c>
      <c r="BH75" s="29" t="str">
        <f>IF(BE75&gt;20,LEFT(M75,1),"")</f>
        <v/>
      </c>
      <c r="BI75" s="29">
        <f>IF(BH75="2",BE75-BF75,0)</f>
        <v>0</v>
      </c>
      <c r="BJ75" s="29">
        <f>IF(BI75=0,0,1)</f>
        <v>0</v>
      </c>
      <c r="BK75" s="29">
        <f>IF(BL75&gt;0,1,0)</f>
        <v>0</v>
      </c>
      <c r="BL75" s="116">
        <f>SUM(BG75,BJ75)</f>
        <v>0</v>
      </c>
      <c r="BM75" s="29" t="str">
        <f>IF(BL75=0,"",Sprache!$K$49)</f>
        <v/>
      </c>
    </row>
    <row r="76" spans="2:75" ht="6" customHeight="1">
      <c r="D76" s="113"/>
      <c r="E76" s="113"/>
      <c r="I76" s="126"/>
      <c r="Q76" s="113"/>
      <c r="R76" s="113"/>
      <c r="S76" s="158"/>
      <c r="AE76" s="107"/>
      <c r="AF76" s="107"/>
      <c r="AG76" s="107"/>
      <c r="AH76" s="103"/>
      <c r="AI76" s="103"/>
      <c r="AJ76" s="103"/>
      <c r="AK76" s="109"/>
      <c r="AL76" s="109"/>
      <c r="AM76" s="109"/>
      <c r="AX76" s="115"/>
      <c r="AY76" s="115"/>
    </row>
    <row r="77" spans="2:75">
      <c r="B77" s="119" t="str">
        <f>CONCATENATE(BB77,BD77,AY77,BM77)</f>
        <v/>
      </c>
      <c r="D77" s="120" t="str">
        <f>IF(AC77=0,"",AC77)</f>
        <v>GS</v>
      </c>
      <c r="E77" s="121">
        <f>IF(AD77=0,"",AD77)</f>
        <v>3.3</v>
      </c>
      <c r="F77" s="118"/>
      <c r="G77" s="152" t="str">
        <f>IF($A$1=1,AO77,SUM($G$3/100))</f>
        <v/>
      </c>
      <c r="H77" s="150"/>
      <c r="I77" s="125" t="str">
        <f>IF($G$5="x",VLOOKUP(AO77,Licenses!B:C,2,FALSE),IF(BL77=0,IF(AA77="","",VLOOKUP(AO77,Licenses!B:C,2,FALSE)),BM77))</f>
        <v/>
      </c>
      <c r="J77" s="118"/>
      <c r="K77" s="124" t="str">
        <f>IF(I77="","",VLOOKUP(AO77,Licenses!B:D,3,FALSE))</f>
        <v/>
      </c>
      <c r="L77" s="118"/>
      <c r="M77" s="124" t="str">
        <f>REPT(T77,1)</f>
        <v/>
      </c>
      <c r="N77" s="118"/>
      <c r="O77" s="124" t="str">
        <f>IF(M77="","",IF(AO77="","",VLOOKUP(AO77,Licenses!B:I,8,FALSE)))</f>
        <v/>
      </c>
      <c r="Q77" s="120" t="s">
        <v>779</v>
      </c>
      <c r="R77" s="149">
        <v>2.8</v>
      </c>
      <c r="S77" s="157"/>
      <c r="T77" s="29" t="str">
        <f>IF(G77="","",IF(U77=0,"",IF(U77="","",U77)))</f>
        <v/>
      </c>
      <c r="U77" s="29" t="str">
        <f>IF(H77="","",VLOOKUP(AO77,Licenses!B:H,7,FALSE))</f>
        <v/>
      </c>
      <c r="Y77" s="29">
        <f>IF($A$1=1,VLOOKUP(R77,$E$53:$H$67,4,FALSE),H77)</f>
        <v>0</v>
      </c>
      <c r="Z77" s="29">
        <f>SUM($G$3/100)</f>
        <v>0</v>
      </c>
      <c r="AA77" s="29" t="str">
        <f>IF(Y77=0,"",Y77)</f>
        <v/>
      </c>
      <c r="AB77" s="29">
        <f>IF($A$1=3,AK77,IF($A$1=2,AH77,IF($A$1=1,AE77,0)))</f>
        <v>27</v>
      </c>
      <c r="AC77" s="29" t="str">
        <f>IF($A$1=1,AF77,AI77)</f>
        <v>GS</v>
      </c>
      <c r="AD77" s="29">
        <f>IF($A$1=1,AG77,AJ77)</f>
        <v>3.3</v>
      </c>
      <c r="AE77" s="106">
        <v>27</v>
      </c>
      <c r="AF77" s="106" t="s">
        <v>848</v>
      </c>
      <c r="AG77" s="106">
        <v>3.3</v>
      </c>
      <c r="AH77" s="101">
        <v>27</v>
      </c>
      <c r="AI77" s="101" t="s">
        <v>848</v>
      </c>
      <c r="AJ77" s="101">
        <v>2.2999999999999998</v>
      </c>
      <c r="AK77" s="108">
        <v>21</v>
      </c>
      <c r="AL77" s="108" t="s">
        <v>848</v>
      </c>
      <c r="AM77" s="108">
        <v>2.2999999999999998</v>
      </c>
      <c r="AN77" s="29" t="str">
        <f>IF(G7="x",IF($A$1=1,1,""),"")</f>
        <v/>
      </c>
      <c r="AO77" s="114" t="str">
        <f>IF(AN77=1,$G$3,IF($G$5="X",$G$3,IF(AA77="","",SUM(AA77*1,$G$3))))</f>
        <v/>
      </c>
      <c r="AP77" s="29">
        <f>IF(AO77=AO73,1,0)</f>
        <v>1</v>
      </c>
      <c r="AQ77" s="29">
        <f>IF(AO77=AO75,1,0)</f>
        <v>1</v>
      </c>
      <c r="AW77" s="29" t="str">
        <f>IF($G$5="X",0,IF(AO77="","",SUM(AP77:AV77)))</f>
        <v/>
      </c>
      <c r="AX77" s="117" t="str">
        <f>IF(AW77=1,AX72,"")</f>
        <v/>
      </c>
      <c r="AY77" s="117" t="str">
        <f>IF(AW77=1,$AY$12,"")</f>
        <v/>
      </c>
      <c r="AZ77" s="116">
        <f>IF(H77="",1,0)</f>
        <v>1</v>
      </c>
      <c r="BA77" s="29">
        <f>IF(H77="",1,0)</f>
        <v>1</v>
      </c>
      <c r="BB77" s="29" t="str">
        <f>IF(AZ77=1,$BB$72,"")</f>
        <v/>
      </c>
      <c r="BC77" s="116">
        <f>IF(I77="n / a",1,0)</f>
        <v>0</v>
      </c>
      <c r="BD77" s="29" t="str">
        <f>IF(BC77=1,REPT(Sprache!$K$27,1),"")</f>
        <v/>
      </c>
      <c r="BE77" s="29">
        <f>SUM(Steuerung!$Y$3)</f>
        <v>1</v>
      </c>
      <c r="BF77" s="29">
        <f>IF(M77="",100,VLOOKUP(M77,Steuerung!$A$39:$B$60,2,FALSE))</f>
        <v>100</v>
      </c>
      <c r="BG77" s="29">
        <f>IF(BE77=BF77,0,IF(BE77&lt;BF77,0,1))</f>
        <v>0</v>
      </c>
      <c r="BH77" s="29" t="str">
        <f>IF(BE77&gt;20,LEFT(M77,1),"")</f>
        <v/>
      </c>
      <c r="BI77" s="29">
        <f>IF(BH77="2",BE77-BF77,0)</f>
        <v>0</v>
      </c>
      <c r="BJ77" s="29">
        <f>IF(BI77=0,0,1)</f>
        <v>0</v>
      </c>
      <c r="BK77" s="29">
        <f>IF(BL77&gt;0,1,0)</f>
        <v>0</v>
      </c>
      <c r="BL77" s="116">
        <f>SUM(BG77,BJ77)</f>
        <v>0</v>
      </c>
      <c r="BM77" s="29" t="str">
        <f>IF(BL77=0,"",Sprache!$K$49)</f>
        <v/>
      </c>
    </row>
    <row r="78" spans="2:75" ht="6" customHeight="1">
      <c r="D78" s="113"/>
      <c r="E78" s="113"/>
      <c r="I78" s="126"/>
      <c r="Q78" s="113"/>
      <c r="R78" s="113"/>
      <c r="S78" s="158"/>
      <c r="AE78" s="107"/>
      <c r="AF78" s="107"/>
      <c r="AG78" s="107"/>
      <c r="AH78" s="103"/>
      <c r="AI78" s="103"/>
      <c r="AJ78" s="103"/>
      <c r="AK78" s="109"/>
      <c r="AL78" s="109"/>
      <c r="AM78" s="109"/>
      <c r="AX78" s="115"/>
      <c r="AY78" s="115"/>
    </row>
    <row r="79" spans="2:75">
      <c r="B79" s="119" t="str">
        <f>CONCATENATE(BB79,BD79,AY79,BM79)</f>
        <v/>
      </c>
      <c r="D79" s="120" t="str">
        <f>IF(AC79=0,"",AC79)</f>
        <v>GS</v>
      </c>
      <c r="E79" s="121">
        <f>IF(AD79=0,"",AD79)</f>
        <v>3.4</v>
      </c>
      <c r="F79" s="118"/>
      <c r="G79" s="152" t="str">
        <f>IF($A$1=1,AO79,SUM($G$3/100))</f>
        <v/>
      </c>
      <c r="H79" s="150"/>
      <c r="I79" s="125" t="str">
        <f>IF(AN79=1,VLOOKUP(AO79,Licenses!B:C,2,FALSE),IF($G$5="x",VLOOKUP(AO79,Licenses!B:C,2,FALSE),IF(BL79=0,IF(AA79="","",VLOOKUP(AO79,Licenses!B:C,2,FALSE)),BM79)))</f>
        <v/>
      </c>
      <c r="J79" s="118"/>
      <c r="K79" s="124" t="str">
        <f>IF(I79="","",VLOOKUP(AO79,Licenses!B:D,3,FALSE))</f>
        <v/>
      </c>
      <c r="L79" s="118"/>
      <c r="M79" s="124" t="str">
        <f>REPT(T79,1)</f>
        <v/>
      </c>
      <c r="N79" s="118"/>
      <c r="O79" s="124" t="str">
        <f>IF(M79="","",IF(AO79="","",VLOOKUP(AO79,Licenses!B:I,8,FALSE)))</f>
        <v/>
      </c>
      <c r="Q79" s="120" t="s">
        <v>779</v>
      </c>
      <c r="R79" s="149">
        <v>2.1</v>
      </c>
      <c r="S79" s="157"/>
      <c r="T79" s="29" t="str">
        <f>IF(G79="","",IF(U79=0,"",IF(U79="","",U79)))</f>
        <v/>
      </c>
      <c r="U79" s="29" t="str">
        <f>IF(H79="","",VLOOKUP(AO79,Licenses!B:H,7,FALSE))</f>
        <v/>
      </c>
      <c r="Y79" s="29">
        <f>IF($A$1=1,VLOOKUP(R79,$E$53:$H$67,4,FALSE),H79)</f>
        <v>0</v>
      </c>
      <c r="Z79" s="29">
        <f>SUM($G$3/100)</f>
        <v>0</v>
      </c>
      <c r="AA79" s="29" t="str">
        <f>IF(Y79=0,"",Y79)</f>
        <v/>
      </c>
      <c r="AB79" s="29">
        <f>IF($A$1=3,AK79,IF($A$1=2,AH79,IF($A$1=1,AE79,0)))</f>
        <v>28</v>
      </c>
      <c r="AC79" s="29" t="str">
        <f>IF($A$1=1,AF79,AI79)</f>
        <v>GS</v>
      </c>
      <c r="AD79" s="29">
        <f>IF($A$1=1,AG79,AJ79)</f>
        <v>3.4</v>
      </c>
      <c r="AE79" s="106">
        <v>28</v>
      </c>
      <c r="AF79" s="106" t="s">
        <v>848</v>
      </c>
      <c r="AG79" s="106">
        <v>3.4</v>
      </c>
      <c r="AH79" s="101">
        <v>28</v>
      </c>
      <c r="AI79" s="101" t="s">
        <v>848</v>
      </c>
      <c r="AJ79" s="101">
        <v>2.4</v>
      </c>
      <c r="AK79" s="108">
        <v>22</v>
      </c>
      <c r="AL79" s="108" t="s">
        <v>848</v>
      </c>
      <c r="AM79" s="108">
        <v>2.4</v>
      </c>
      <c r="AO79" s="114" t="str">
        <f>IF(AN79=1,$G$3,IF($G$5="X",$G$3,IF(AA79="","",SUM(AA79*1,$G$3))))</f>
        <v/>
      </c>
      <c r="AP79" s="29">
        <f>IF(AO79=AO73,1,0)</f>
        <v>1</v>
      </c>
      <c r="AQ79" s="29">
        <f>IF(AO79=AO75,1,0)</f>
        <v>1</v>
      </c>
      <c r="AR79" s="29">
        <f>IF(AO79=AO77,1,0)</f>
        <v>1</v>
      </c>
      <c r="AW79" s="29" t="str">
        <f>IF($G$5="X",0,IF(AO79="","",SUM(AP79:AV79)))</f>
        <v/>
      </c>
      <c r="AX79" s="117" t="str">
        <f>IF(AW79=1,AX72,"")</f>
        <v/>
      </c>
      <c r="AY79" s="117" t="str">
        <f>IF(AW79=1,$AY$12,"")</f>
        <v/>
      </c>
      <c r="AZ79" s="116">
        <f>IF(H79="",1,0)</f>
        <v>1</v>
      </c>
      <c r="BA79" s="29">
        <f>IF(H79="",1,0)</f>
        <v>1</v>
      </c>
      <c r="BB79" s="29" t="str">
        <f>IF(AZ79=1,$BB$72,"")</f>
        <v/>
      </c>
      <c r="BC79" s="116">
        <f>IF(I79="n / a",1,0)</f>
        <v>0</v>
      </c>
      <c r="BD79" s="29" t="str">
        <f>IF(BC79=1,REPT(Sprache!$K$27,1),"")</f>
        <v/>
      </c>
      <c r="BE79" s="29">
        <f>SUM(Steuerung!$Y$3)</f>
        <v>1</v>
      </c>
      <c r="BF79" s="29">
        <f>IF(M79="",100,VLOOKUP(M79,Steuerung!$A$39:$B$60,2,FALSE))</f>
        <v>100</v>
      </c>
      <c r="BG79" s="29">
        <f>IF(BE79=BF79,0,IF(BE79&lt;BF79,0,1))</f>
        <v>0</v>
      </c>
      <c r="BH79" s="29" t="str">
        <f>IF(BE79&gt;20,LEFT(M79,1),"")</f>
        <v/>
      </c>
      <c r="BI79" s="29">
        <f>IF(BH79="2",BE79-BF79,0)</f>
        <v>0</v>
      </c>
      <c r="BJ79" s="29">
        <f>IF(BI79=0,0,1)</f>
        <v>0</v>
      </c>
      <c r="BK79" s="29">
        <f>IF(BL79&gt;0,1,0)</f>
        <v>0</v>
      </c>
      <c r="BL79" s="116">
        <f>SUM(BG79,BJ79)</f>
        <v>0</v>
      </c>
      <c r="BM79" s="29" t="str">
        <f>IF(BL79=0,"",Sprache!$K$49)</f>
        <v/>
      </c>
    </row>
    <row r="80" spans="2:75" ht="6" customHeight="1">
      <c r="D80" s="113"/>
      <c r="E80" s="113"/>
      <c r="I80" s="126"/>
      <c r="Q80" s="113"/>
      <c r="R80" s="113"/>
      <c r="S80" s="158"/>
      <c r="AE80" s="107"/>
      <c r="AF80" s="107"/>
      <c r="AG80" s="107"/>
      <c r="AH80" s="103"/>
      <c r="AI80" s="103"/>
      <c r="AJ80" s="103"/>
      <c r="AK80" s="109"/>
      <c r="AL80" s="109"/>
      <c r="AM80" s="109"/>
      <c r="AX80" s="115"/>
      <c r="AY80" s="115"/>
    </row>
    <row r="81" spans="2:79">
      <c r="B81" s="119" t="str">
        <f>CONCATENATE(BB81,BD81,AY81,BM81)</f>
        <v/>
      </c>
      <c r="D81" s="120" t="str">
        <f>IF(AC81=0,"",AC81)</f>
        <v>GS</v>
      </c>
      <c r="E81" s="121">
        <f>IF(AD81=0,"",AD81)</f>
        <v>3.5</v>
      </c>
      <c r="F81" s="118"/>
      <c r="G81" s="152" t="str">
        <f>IF($A$1=1,AO81,SUM($G$3/100))</f>
        <v/>
      </c>
      <c r="H81" s="150"/>
      <c r="I81" s="125" t="str">
        <f>IF(AN81=1,VLOOKUP(AO81,Licenses!B:C,2,FALSE),IF($G$5="x",VLOOKUP(AO81,Licenses!B:C,2,FALSE),IF(BL81=0,IF(AA81="","",VLOOKUP(AO81,Licenses!B:C,2,FALSE)),BM81)))</f>
        <v/>
      </c>
      <c r="J81" s="118"/>
      <c r="K81" s="124" t="str">
        <f>IF(I81="","",VLOOKUP(AO81,Licenses!B:D,3,FALSE))</f>
        <v/>
      </c>
      <c r="L81" s="118"/>
      <c r="M81" s="124" t="str">
        <f>REPT(T81,1)</f>
        <v/>
      </c>
      <c r="N81" s="118"/>
      <c r="O81" s="124" t="str">
        <f>IF(M81="","",IF(AO81="","",VLOOKUP(AO81,Licenses!B:I,8,FALSE)))</f>
        <v/>
      </c>
      <c r="Q81" s="120" t="s">
        <v>779</v>
      </c>
      <c r="R81" s="149">
        <v>2.2000000000000002</v>
      </c>
      <c r="S81" s="157"/>
      <c r="T81" s="29" t="str">
        <f>IF(G81="","",IF(U81=0,"",IF(U81="","",U81)))</f>
        <v/>
      </c>
      <c r="U81" s="29" t="str">
        <f>IF(H81="","",VLOOKUP(AO81,Licenses!B:H,7,FALSE))</f>
        <v/>
      </c>
      <c r="Y81" s="29">
        <f>IF($A$1=1,VLOOKUP(R81,$E$53:$H$67,4,FALSE),H81)</f>
        <v>0</v>
      </c>
      <c r="Z81" s="29">
        <f>SUM($G$3/100)</f>
        <v>0</v>
      </c>
      <c r="AA81" s="29" t="str">
        <f>IF(Y81=0,"",Y81)</f>
        <v/>
      </c>
      <c r="AB81" s="29">
        <f>IF($A$1=3,AK81,IF($A$1=2,AH81,IF($A$1=1,AE81,0)))</f>
        <v>29</v>
      </c>
      <c r="AC81" s="29" t="str">
        <f>IF($A$1=1,AF81,AI81)</f>
        <v>GS</v>
      </c>
      <c r="AD81" s="29">
        <f>IF($A$1=1,AG81,AJ81)</f>
        <v>3.5</v>
      </c>
      <c r="AE81" s="106">
        <v>29</v>
      </c>
      <c r="AF81" s="106" t="s">
        <v>848</v>
      </c>
      <c r="AG81" s="106">
        <v>3.5</v>
      </c>
      <c r="AH81" s="101">
        <v>29</v>
      </c>
      <c r="AI81" s="101" t="s">
        <v>848</v>
      </c>
      <c r="AJ81" s="101">
        <v>2.5</v>
      </c>
      <c r="AK81" s="108">
        <v>23</v>
      </c>
      <c r="AL81" s="108" t="s">
        <v>848</v>
      </c>
      <c r="AM81" s="108">
        <v>2.5</v>
      </c>
      <c r="AO81" s="114" t="str">
        <f>IF(AN81=1,$G$3,IF($G$5="X",$G$3,IF(AA81="","",SUM(AA81*1,$G$3))))</f>
        <v/>
      </c>
      <c r="AP81" s="29">
        <f>IF(AO81=AO73,1,0)</f>
        <v>1</v>
      </c>
      <c r="AQ81" s="29">
        <f>IF(AO81=AO75,1,0)</f>
        <v>1</v>
      </c>
      <c r="AR81" s="29">
        <f>IF(AO81=AO77,1,0)</f>
        <v>1</v>
      </c>
      <c r="AS81" s="29">
        <f>IF(AO81=AO79,1,0)</f>
        <v>1</v>
      </c>
      <c r="AW81" s="29" t="str">
        <f>IF(AN81=1,0,IF($G$5="X",0,IF(AO81="","",SUM(AP81:AV81))))</f>
        <v/>
      </c>
      <c r="AX81" s="117" t="str">
        <f>IF(AW81=1,AX72,"")</f>
        <v/>
      </c>
      <c r="AY81" s="117" t="str">
        <f>IF(AW81=1,$AY$12,"")</f>
        <v/>
      </c>
      <c r="AZ81" s="116">
        <f>IF(H81="",1,0)</f>
        <v>1</v>
      </c>
      <c r="BA81" s="29">
        <f>IF(H81="",1,0)</f>
        <v>1</v>
      </c>
      <c r="BB81" s="29" t="str">
        <f>IF(AZ81=1,$BB$72,"")</f>
        <v/>
      </c>
      <c r="BC81" s="116">
        <f>IF(I81="n / a",1,0)</f>
        <v>0</v>
      </c>
      <c r="BD81" s="29" t="str">
        <f>IF(BC81=1,REPT(Sprache!$K$27,1),"")</f>
        <v/>
      </c>
      <c r="BE81" s="29">
        <f>SUM(Steuerung!$Y$3)</f>
        <v>1</v>
      </c>
      <c r="BF81" s="29">
        <f>IF(M81="",100,VLOOKUP(M81,Steuerung!$A$39:$B$60,2,FALSE))</f>
        <v>100</v>
      </c>
      <c r="BG81" s="29">
        <f>IF(BE81=BF81,0,IF(BE81&lt;BF81,0,1))</f>
        <v>0</v>
      </c>
      <c r="BH81" s="29" t="str">
        <f>IF(BE81&gt;20,LEFT(M81,1),"")</f>
        <v/>
      </c>
      <c r="BI81" s="29">
        <f>IF(BH81="2",BE81-BF81,0)</f>
        <v>0</v>
      </c>
      <c r="BJ81" s="29">
        <f>IF(BI81=0,0,1)</f>
        <v>0</v>
      </c>
      <c r="BK81" s="29">
        <f>IF(BL81&gt;0,1,0)</f>
        <v>0</v>
      </c>
      <c r="BL81" s="116">
        <f>SUM(BG81,BJ81)</f>
        <v>0</v>
      </c>
      <c r="BM81" s="29" t="str">
        <f>IF(BL81=0,"",Sprache!$K$49)</f>
        <v/>
      </c>
    </row>
    <row r="82" spans="2:79" ht="6" customHeight="1">
      <c r="D82" s="113"/>
      <c r="E82" s="113"/>
      <c r="I82" s="126"/>
      <c r="Q82" s="113"/>
      <c r="R82" s="113"/>
      <c r="S82" s="158"/>
      <c r="AE82" s="107"/>
      <c r="AF82" s="107"/>
      <c r="AG82" s="107"/>
      <c r="AH82" s="103"/>
      <c r="AI82" s="103"/>
      <c r="AJ82" s="103"/>
      <c r="AK82" s="109"/>
      <c r="AL82" s="109"/>
      <c r="AM82" s="109"/>
      <c r="AX82" s="115"/>
      <c r="AY82" s="115"/>
    </row>
    <row r="83" spans="2:79">
      <c r="B83" s="119" t="str">
        <f>IF(AN83=1,"",CONCATENATE(BB83,BD83,AX83,BM83))</f>
        <v/>
      </c>
      <c r="D83" s="120" t="str">
        <f>IF(AC83=0,"",AC83)</f>
        <v>GS</v>
      </c>
      <c r="E83" s="121">
        <f>IF(AD83=0,"",AD83)</f>
        <v>3.6</v>
      </c>
      <c r="F83" s="118"/>
      <c r="G83" s="152" t="str">
        <f>IF($A$1=1,AO83,SUM($G$3/100))</f>
        <v/>
      </c>
      <c r="H83" s="150"/>
      <c r="I83" s="125" t="str">
        <f>IF(AN83=1,VLOOKUP(AO83,Licenses!B:C,2,FALSE),IF($G$5="x",VLOOKUP(AO83,Licenses!B:C,2,FALSE),IF(BL83=0,IF(AA83="","",VLOOKUP(AO83,Licenses!B:C,2,FALSE)),BM83)))</f>
        <v/>
      </c>
      <c r="J83" s="118"/>
      <c r="K83" s="124" t="str">
        <f>IF(I83="","",VLOOKUP(AO83,Licenses!B:D,3,FALSE))</f>
        <v/>
      </c>
      <c r="L83" s="118"/>
      <c r="M83" s="124" t="str">
        <f>REPT(T83,1)</f>
        <v/>
      </c>
      <c r="N83" s="118"/>
      <c r="O83" s="124" t="str">
        <f>IF(M83="","",IF(AO83="","",VLOOKUP(AO83,Licenses!B:I,8,FALSE)))</f>
        <v/>
      </c>
      <c r="Q83" s="120" t="s">
        <v>779</v>
      </c>
      <c r="R83" s="149">
        <v>2.7</v>
      </c>
      <c r="S83" s="157"/>
      <c r="T83" s="29" t="str">
        <f>IF(G83="","",IF(U83=0,"",IF(U83="","",U83)))</f>
        <v/>
      </c>
      <c r="U83" s="29" t="str">
        <f>IF(H83="","",VLOOKUP(AO83,Licenses!B:H,7,FALSE))</f>
        <v/>
      </c>
      <c r="Y83" s="29">
        <f>IF($A$1=1,VLOOKUP(R83,$E$53:$H$67,4,FALSE),H83)</f>
        <v>0</v>
      </c>
      <c r="Z83" s="29">
        <f>SUM($G$3/100)</f>
        <v>0</v>
      </c>
      <c r="AA83" s="29" t="str">
        <f>IF(Y83=0,"",Y83)</f>
        <v/>
      </c>
      <c r="AB83" s="29">
        <f>IF($A$1=3,AK83,IF($A$1=2,AH83,IF($A$1=1,AE83,0)))</f>
        <v>30</v>
      </c>
      <c r="AC83" s="29" t="str">
        <f>IF($A$1=1,AF83,AI83)</f>
        <v>GS</v>
      </c>
      <c r="AD83" s="29">
        <f>IF($A$1=1,AG83,AJ83)</f>
        <v>3.6</v>
      </c>
      <c r="AE83" s="106">
        <v>30</v>
      </c>
      <c r="AF83" s="106" t="s">
        <v>848</v>
      </c>
      <c r="AG83" s="106">
        <v>3.6</v>
      </c>
      <c r="AH83" s="101">
        <v>30</v>
      </c>
      <c r="AI83" s="101" t="s">
        <v>848</v>
      </c>
      <c r="AJ83" s="101">
        <v>2.6</v>
      </c>
      <c r="AK83" s="108">
        <v>24</v>
      </c>
      <c r="AL83" s="108" t="s">
        <v>848</v>
      </c>
      <c r="AM83" s="108">
        <v>2.6</v>
      </c>
      <c r="AN83" s="29">
        <f>IF($A$1=3,IF($G$7="X",1,0),0)</f>
        <v>0</v>
      </c>
      <c r="AO83" s="114" t="str">
        <f>IF(AN83=1,$G$3,IF($G$5="X",$G$3,IF(AA83="","",SUM(AA83*1,$G$3))))</f>
        <v/>
      </c>
      <c r="AP83" s="29">
        <f>IF(AO83=AO73,1,0)</f>
        <v>1</v>
      </c>
      <c r="AQ83" s="29">
        <f>IF(AO83=AO75,1,0)</f>
        <v>1</v>
      </c>
      <c r="AR83" s="29">
        <f>IF(AO83=AO77,1,0)</f>
        <v>1</v>
      </c>
      <c r="AS83" s="29">
        <f>IF(AO83=AO79,1,0)</f>
        <v>1</v>
      </c>
      <c r="AT83" s="29">
        <f>IF(AO83=AO81,1,0)</f>
        <v>1</v>
      </c>
      <c r="AW83" s="29" t="str">
        <f>IF(AN83=1,0,IF($G$5="X",0,IF(AO83="","",SUM(AP83:AV83))))</f>
        <v/>
      </c>
      <c r="AX83" s="117" t="str">
        <f>IF(AW83=1,AX72,"")</f>
        <v/>
      </c>
      <c r="AY83" s="117" t="str">
        <f>IF(AW83=1,$AY$12,"")</f>
        <v/>
      </c>
      <c r="AZ83" s="116">
        <f>IF(H83="",1,0)</f>
        <v>1</v>
      </c>
      <c r="BA83" s="29">
        <f>IF(H83="",1,0)</f>
        <v>1</v>
      </c>
      <c r="BB83" s="29" t="str">
        <f>IF(AZ83=1,$BB$72,"")</f>
        <v/>
      </c>
      <c r="BC83" s="116">
        <f>IF(I83="n / a",1,0)</f>
        <v>0</v>
      </c>
      <c r="BD83" s="29" t="str">
        <f>IF(BC83=1,REPT(Sprache!$K$27,1),"")</f>
        <v/>
      </c>
      <c r="BE83" s="29">
        <f>SUM(Steuerung!$Y$3)</f>
        <v>1</v>
      </c>
      <c r="BF83" s="29">
        <f>IF(M83="",100,VLOOKUP(M83,Steuerung!$A$39:$B$60,2,FALSE))</f>
        <v>100</v>
      </c>
      <c r="BG83" s="29">
        <f>IF(BE83=BF83,0,IF(BE83&lt;BF83,0,1))</f>
        <v>0</v>
      </c>
      <c r="BH83" s="29" t="str">
        <f>IF(BE83&gt;20,LEFT(M83,1),"")</f>
        <v/>
      </c>
      <c r="BI83" s="29">
        <f>IF(BH83="2",BE83-BF83,0)</f>
        <v>0</v>
      </c>
      <c r="BJ83" s="29">
        <f>IF(BI83=0,0,1)</f>
        <v>0</v>
      </c>
      <c r="BK83" s="29">
        <f>IF(BL83&gt;0,1,0)</f>
        <v>0</v>
      </c>
      <c r="BL83" s="116">
        <f>SUM(BG83,BJ83)</f>
        <v>0</v>
      </c>
      <c r="BM83" s="29" t="str">
        <f>IF(BL83=0,"",Sprache!$K$49)</f>
        <v/>
      </c>
    </row>
    <row r="84" spans="2:79" ht="6" customHeight="1">
      <c r="D84" s="113"/>
      <c r="E84" s="113"/>
      <c r="I84" s="126"/>
      <c r="Q84" s="113"/>
      <c r="R84" s="113"/>
      <c r="S84" s="158"/>
      <c r="AE84" s="107"/>
      <c r="AF84" s="107"/>
      <c r="AG84" s="107"/>
      <c r="AH84" s="103"/>
      <c r="AI84" s="103"/>
      <c r="AJ84" s="103"/>
      <c r="AK84" s="111"/>
      <c r="AL84" s="111"/>
      <c r="AM84" s="111"/>
      <c r="AX84" s="115"/>
      <c r="AY84" s="115"/>
    </row>
    <row r="85" spans="2:79">
      <c r="B85" s="119" t="str">
        <f>CONCATENATE(BB85,BD85,AY85,BM85)</f>
        <v/>
      </c>
      <c r="D85" s="120" t="str">
        <f>IF(AC85=0,"",AC85)</f>
        <v>GS</v>
      </c>
      <c r="E85" s="121">
        <f>IF(AD85=0,"",AD85)</f>
        <v>3.7</v>
      </c>
      <c r="F85" s="118"/>
      <c r="G85" s="152" t="str">
        <f>IF($A$1=3,"",IF($A$1=1,AO85,SUM($G$3/100)))</f>
        <v/>
      </c>
      <c r="H85" s="150"/>
      <c r="I85" s="125" t="str">
        <f>IF($A$1=3,"",IF(AN85=1,VLOOKUP(AO85,Licenses!B:C,2,FALSE),IF($G$5="x",VLOOKUP(AO85,Licenses!B:C,2,FALSE),IF(BL85=0,IF(AA85="","",VLOOKUP(AO85,Licenses!B:C,2,FALSE)),BM85))))</f>
        <v/>
      </c>
      <c r="J85" s="118"/>
      <c r="K85" s="124" t="str">
        <f>IF(I85="","",VLOOKUP(AO85,Licenses!B:D,3,FALSE))</f>
        <v/>
      </c>
      <c r="L85" s="118"/>
      <c r="M85" s="124" t="str">
        <f>REPT(T85,1)</f>
        <v/>
      </c>
      <c r="N85" s="118"/>
      <c r="O85" s="124" t="str">
        <f>IF(M85="","",IF(AO85="","",VLOOKUP(AO85,Licenses!B:I,8,FALSE)))</f>
        <v/>
      </c>
      <c r="Q85" s="120" t="s">
        <v>779</v>
      </c>
      <c r="R85" s="149">
        <v>2.6</v>
      </c>
      <c r="S85" s="157"/>
      <c r="T85" s="29" t="str">
        <f>IF($A$1=3,"",IF(U85=0,"",IF(U85="","",U85)))</f>
        <v/>
      </c>
      <c r="U85" s="29" t="str">
        <f>IF($A$1=3,"",IF(H85="","",VLOOKUP(AO85,Licenses!B:H,7,FALSE)))</f>
        <v/>
      </c>
      <c r="Y85" s="29">
        <f>IF($A$1=1,VLOOKUP(R85,$E$53:$H$67,4,FALSE),H85)</f>
        <v>0</v>
      </c>
      <c r="Z85" s="29">
        <f>SUM($G$3/100)</f>
        <v>0</v>
      </c>
      <c r="AA85" s="29" t="str">
        <f>IF(Y85=0,"",Y85)</f>
        <v/>
      </c>
      <c r="AB85" s="29">
        <f>IF($A$1=3,AK85,IF($A$1=2,AH85,IF($A$1=1,AE85,0)))</f>
        <v>31</v>
      </c>
      <c r="AC85" s="29" t="str">
        <f>IF($A$1=3,0,IF($A$1=1,AF85,AI85))</f>
        <v>GS</v>
      </c>
      <c r="AD85" s="29">
        <f>IF($A$1=3,0,IF($A$1=1,AG85,AJ85))</f>
        <v>3.7</v>
      </c>
      <c r="AE85" s="106">
        <v>31</v>
      </c>
      <c r="AF85" s="106" t="s">
        <v>848</v>
      </c>
      <c r="AG85" s="106">
        <v>3.7</v>
      </c>
      <c r="AH85" s="101">
        <v>31</v>
      </c>
      <c r="AI85" s="101" t="s">
        <v>848</v>
      </c>
      <c r="AJ85" s="101">
        <v>2.7</v>
      </c>
      <c r="AK85" s="110"/>
      <c r="AL85" s="110"/>
      <c r="AM85" s="110"/>
      <c r="AO85" s="114" t="str">
        <f>IF(AN85=1,$G$3,IF($A$1=3,"",IF($G$5="X",$G$3,IF(AA85="","",SUM(AA85*1,$G$3)))))</f>
        <v/>
      </c>
      <c r="AP85" s="29">
        <f>IF(AO85=AO73,1,0)</f>
        <v>1</v>
      </c>
      <c r="AQ85" s="29">
        <f>IF(AO85=AO75,1,0)</f>
        <v>1</v>
      </c>
      <c r="AR85" s="29">
        <f>IF(AO85=AO77,1,0)</f>
        <v>1</v>
      </c>
      <c r="AS85" s="29">
        <f>IF(AO85=AO79,1,0)</f>
        <v>1</v>
      </c>
      <c r="AT85" s="29">
        <f>IF(AO85=AO81,1,0)</f>
        <v>1</v>
      </c>
      <c r="AU85" s="29">
        <f>IF(AO85=AO83,1,0)</f>
        <v>1</v>
      </c>
      <c r="AW85" s="29" t="str">
        <f>IF($G$5="X",0,IF(AO85="","",SUM(AP85:AV85)))</f>
        <v/>
      </c>
      <c r="AX85" s="117" t="str">
        <f>IF(AW85=1,AX72,"")</f>
        <v/>
      </c>
      <c r="AY85" s="117" t="str">
        <f>IF(AW85=1,$AY$12,"")</f>
        <v/>
      </c>
      <c r="AZ85" s="116">
        <f>IF($A$1=3,"",IF(H85="",1,0))</f>
        <v>1</v>
      </c>
      <c r="BA85" s="29">
        <f>IF($A$1=3,0,IF(H85="",1,0))</f>
        <v>1</v>
      </c>
      <c r="BB85" s="29" t="str">
        <f>IF(AZ85=1,$BB$72,"")</f>
        <v/>
      </c>
      <c r="BC85" s="116">
        <f>IF($A$1=3,"",IF(I85="n / a",1,0))</f>
        <v>0</v>
      </c>
      <c r="BD85" s="29" t="str">
        <f>IF(BC85=1,REPT(Sprache!$K$27,1),"")</f>
        <v/>
      </c>
      <c r="BE85" s="29">
        <f>SUM(Steuerung!$Y$3)</f>
        <v>1</v>
      </c>
      <c r="BF85" s="29">
        <f>IF(M85="",100,VLOOKUP(M85,Steuerung!$A$39:$B$60,2,FALSE))</f>
        <v>100</v>
      </c>
      <c r="BG85" s="29">
        <f>IF(BE85=BF85,0,IF(BE85&lt;BF85,0,1))</f>
        <v>0</v>
      </c>
      <c r="BH85" s="29" t="str">
        <f>IF(BE85&gt;20,LEFT(M85,1),"")</f>
        <v/>
      </c>
      <c r="BI85" s="29">
        <f>IF(BH85="2",BE85-BF85,0)</f>
        <v>0</v>
      </c>
      <c r="BJ85" s="29">
        <f>IF(BI85=0,0,1)</f>
        <v>0</v>
      </c>
      <c r="BK85" s="29">
        <f>IF(BL85&gt;0,1,0)</f>
        <v>0</v>
      </c>
      <c r="BL85" s="116">
        <f>SUM(BG85,BJ85)</f>
        <v>0</v>
      </c>
      <c r="BM85" s="29" t="str">
        <f>IF(BL85=0,"",Sprache!$K$49)</f>
        <v/>
      </c>
    </row>
    <row r="86" spans="2:79" ht="6" customHeight="1">
      <c r="D86" s="113"/>
      <c r="E86" s="113"/>
      <c r="I86" s="126"/>
      <c r="Q86" s="113"/>
      <c r="R86" s="113"/>
      <c r="S86" s="158"/>
      <c r="AE86" s="107"/>
      <c r="AF86" s="107"/>
      <c r="AG86" s="107"/>
      <c r="AH86" s="103"/>
      <c r="AI86" s="103"/>
      <c r="AJ86" s="103"/>
      <c r="AK86" s="111"/>
      <c r="AL86" s="111"/>
      <c r="AM86" s="111"/>
      <c r="AX86" s="115"/>
      <c r="AY86" s="115"/>
    </row>
    <row r="87" spans="2:79">
      <c r="B87" s="119" t="str">
        <f>IF(AN87=1,"",CONCATENATE(BB87,BD87,AX87,BM87))</f>
        <v/>
      </c>
      <c r="D87" s="120" t="str">
        <f>IF(AC87=0,"",AC87)</f>
        <v>GS</v>
      </c>
      <c r="E87" s="121">
        <f>IF(AD87=0,"",AD87)</f>
        <v>3.8</v>
      </c>
      <c r="F87" s="118"/>
      <c r="G87" s="152" t="str">
        <f>IF($A$1=3,"",IF($A$1=1,AO87,SUM($G$3/100)))</f>
        <v/>
      </c>
      <c r="H87" s="150"/>
      <c r="I87" s="125" t="str">
        <f>IF($A$1=3,"",IF(AN87=1,VLOOKUP(AO87,Licenses!B:C,2,FALSE),IF($G$5="x",VLOOKUP(AO87,Licenses!B:C,2,FALSE),IF(BL87=0,IF(AA87="","",VLOOKUP(AO87,Licenses!B:C,2,FALSE)),BM87))))</f>
        <v/>
      </c>
      <c r="J87" s="118"/>
      <c r="K87" s="124" t="str">
        <f>IF(I87="","",VLOOKUP(AO87,Licenses!B:D,3,FALSE))</f>
        <v/>
      </c>
      <c r="L87" s="118"/>
      <c r="M87" s="124" t="str">
        <f>REPT(T87,1)</f>
        <v/>
      </c>
      <c r="N87" s="118"/>
      <c r="O87" s="124" t="str">
        <f>IF(M87="","",IF(AO87="","",VLOOKUP(AO87,Licenses!B:I,8,FALSE)))</f>
        <v/>
      </c>
      <c r="Q87" s="120" t="s">
        <v>779</v>
      </c>
      <c r="R87" s="149">
        <v>2.5</v>
      </c>
      <c r="S87" s="157"/>
      <c r="T87" s="29" t="str">
        <f>IF($A$1=3,"",IF(U87=0,"",IF(U87="","",U87)))</f>
        <v/>
      </c>
      <c r="U87" s="29" t="str">
        <f>IF($A$1=3,"",IF(H87="","",VLOOKUP(AO87,Licenses!B:H,7,FALSE)))</f>
        <v/>
      </c>
      <c r="Y87" s="29">
        <f>IF($A$1=1,VLOOKUP(R87,$E$53:$H$67,4,FALSE),H87)</f>
        <v>0</v>
      </c>
      <c r="Z87" s="29">
        <f>SUM($G$3/100)</f>
        <v>0</v>
      </c>
      <c r="AA87" s="29" t="str">
        <f>IF(Y87=0,"",Y87)</f>
        <v/>
      </c>
      <c r="AB87" s="29">
        <f>IF($A$1=3,AK87,IF($A$1=2,AH87,IF($A$1=1,AE87,0)))</f>
        <v>32</v>
      </c>
      <c r="AC87" s="29" t="str">
        <f>IF($A$1=3,0,IF($A$1=1,AF87,AI87))</f>
        <v>GS</v>
      </c>
      <c r="AD87" s="29">
        <f>IF($A$1=3,0,IF($A$1=1,AG87,AJ87))</f>
        <v>3.8</v>
      </c>
      <c r="AE87" s="106">
        <v>32</v>
      </c>
      <c r="AF87" s="106" t="s">
        <v>848</v>
      </c>
      <c r="AG87" s="106">
        <v>3.8</v>
      </c>
      <c r="AH87" s="101">
        <v>32</v>
      </c>
      <c r="AI87" s="101" t="s">
        <v>848</v>
      </c>
      <c r="AJ87" s="101">
        <v>2.8</v>
      </c>
      <c r="AK87" s="110"/>
      <c r="AL87" s="110"/>
      <c r="AM87" s="110"/>
      <c r="AN87" s="29" t="str">
        <f>IF($A$1=1,"",IF($A$1=3,0,IF($G$7="X",1,0)))</f>
        <v/>
      </c>
      <c r="AO87" s="114" t="str">
        <f>IF(AN87=1,$G$3,IF($A$1=3,"",IF($G$5="X",$G$3,IF(AA87="","",SUM(AA87*1,$G$3)))))</f>
        <v/>
      </c>
      <c r="AP87" s="29">
        <f>IF(AO87=AO73,1,0)</f>
        <v>1</v>
      </c>
      <c r="AQ87" s="29">
        <f>IF(AO87=AO75,1,0)</f>
        <v>1</v>
      </c>
      <c r="AR87" s="29">
        <f>IF(AO87=AO77,1,0)</f>
        <v>1</v>
      </c>
      <c r="AS87" s="29">
        <f>IF(AO87=AO79,1,0)</f>
        <v>1</v>
      </c>
      <c r="AT87" s="29">
        <f>IF(AO87=AO81,1,0)</f>
        <v>1</v>
      </c>
      <c r="AU87" s="29">
        <f>IF(AO87=AO83,1,0)</f>
        <v>1</v>
      </c>
      <c r="AV87" s="29">
        <f>IF(AO87=AO85,1,0)</f>
        <v>1</v>
      </c>
      <c r="AW87" s="29" t="str">
        <f>IF(AN87=1,0,IF($G$5="X",0,IF(AO87="","",SUM(AP87:AV87))))</f>
        <v/>
      </c>
      <c r="AX87" s="117" t="str">
        <f>IF(AW87=1,AX72,"")</f>
        <v/>
      </c>
      <c r="AY87" s="117" t="str">
        <f>IF(AW87=1,$AY$12,"")</f>
        <v/>
      </c>
      <c r="AZ87" s="116">
        <f>IF(AN87=1,0,IF($A$1=3,"",IF(H87="",1,0)))</f>
        <v>1</v>
      </c>
      <c r="BA87" s="29">
        <f>IF($A$1=3,0,IF(H87="",1,0))</f>
        <v>1</v>
      </c>
      <c r="BB87" s="29" t="str">
        <f>IF(AZ87=1,$BB$72,"")</f>
        <v/>
      </c>
      <c r="BC87" s="116">
        <f>IF($A$1=3,"",IF(I87="n / a",1,0))</f>
        <v>0</v>
      </c>
      <c r="BD87" s="29" t="str">
        <f>IF(BC87=1,REPT(Sprache!$K$27,1),"")</f>
        <v/>
      </c>
      <c r="BE87" s="29">
        <f>SUM(Steuerung!$Y$3)</f>
        <v>1</v>
      </c>
      <c r="BF87" s="29">
        <f>IF(M87="",100,VLOOKUP(M87,Steuerung!$A$39:$B$60,2,FALSE))</f>
        <v>100</v>
      </c>
      <c r="BG87" s="29">
        <f>IF(BE87=BF87,0,IF(BE87&lt;BF87,0,1))</f>
        <v>0</v>
      </c>
      <c r="BH87" s="29" t="str">
        <f>IF(BE87&gt;20,LEFT(M87,1),"")</f>
        <v/>
      </c>
      <c r="BI87" s="29">
        <f>IF(BH87="2",BE87-BF87,0)</f>
        <v>0</v>
      </c>
      <c r="BJ87" s="29">
        <f>IF(BI87=0,0,1)</f>
        <v>0</v>
      </c>
      <c r="BK87" s="29">
        <f>IF(BL87&gt;0,1,0)</f>
        <v>0</v>
      </c>
      <c r="BL87" s="116">
        <f>SUM(BG87,BJ87)</f>
        <v>0</v>
      </c>
      <c r="BM87" s="29" t="str">
        <f>IF(BL87=0,"",Sprache!$K$49)</f>
        <v/>
      </c>
    </row>
    <row r="89" spans="2:79">
      <c r="AW89" s="131">
        <f>SUM(AW73:AW87)</f>
        <v>0</v>
      </c>
      <c r="AZ89" s="131">
        <f>IF(AY73=0,0,SUM(AZ73:AZ87))</f>
        <v>0</v>
      </c>
      <c r="BC89" s="131">
        <f>SUM(BC73:BC87)</f>
        <v>0</v>
      </c>
      <c r="BK89" s="131">
        <f>SUM(BK73:BK87)</f>
        <v>0</v>
      </c>
      <c r="BL89" s="131">
        <f>SUM(BK89)</f>
        <v>0</v>
      </c>
    </row>
    <row r="91" spans="2:79">
      <c r="I91" s="102" t="str">
        <f>IF($A$1=3,Sprache!K40,IF($A$1=2,Sprache!K40,IF($A$1=1,Sprache!K43,"")))</f>
        <v>Entscheidungsspiel</v>
      </c>
      <c r="J91" s="91"/>
      <c r="K91" s="85" t="str">
        <f>REPT(Sprache!$K$44,1)</f>
        <v>Spieler-Nr.</v>
      </c>
      <c r="L91" s="82"/>
      <c r="M91" s="85" t="str">
        <f>REPT(Sprache!$K$15,1)</f>
        <v>Liga</v>
      </c>
      <c r="N91" s="100"/>
      <c r="O91" s="85" t="str">
        <f>REPT(Sprache!$K$45,1)</f>
        <v>Qualifiziert für:</v>
      </c>
      <c r="V91" s="29" t="s">
        <v>772</v>
      </c>
      <c r="W91" s="29" t="s">
        <v>820</v>
      </c>
      <c r="X91" s="29" t="s">
        <v>819</v>
      </c>
      <c r="AE91" s="106"/>
      <c r="AF91" s="106" t="s">
        <v>821</v>
      </c>
      <c r="AG91" s="106"/>
      <c r="AH91" s="101"/>
      <c r="AI91" s="101" t="s">
        <v>820</v>
      </c>
      <c r="AJ91" s="101"/>
      <c r="AK91" s="108"/>
      <c r="AL91" s="108" t="s">
        <v>819</v>
      </c>
      <c r="AM91" s="108"/>
      <c r="AO91" s="29" t="str">
        <f>IF(A1=1,"",G3)</f>
        <v/>
      </c>
    </row>
    <row r="92" spans="2:79">
      <c r="AE92" s="106"/>
      <c r="AF92" s="106"/>
      <c r="AG92" s="106"/>
      <c r="AH92" s="101"/>
      <c r="AI92" s="101"/>
      <c r="AJ92" s="101"/>
      <c r="AK92" s="108"/>
      <c r="AL92" s="108"/>
      <c r="AM92" s="108"/>
      <c r="AX92" s="115" t="str">
        <f>REPT(Sprache!K48,1)</f>
        <v>***!!!!!!!!!!Doppelter Eintrag!!!!!!!!!!***</v>
      </c>
      <c r="AY92" s="115" t="str">
        <f>REPT(Sprache!K35,1)</f>
        <v>** A C H T U N G - D O P P E L T E  L I Z E N Z - N U M M E R !!! **</v>
      </c>
      <c r="AZ92" s="29">
        <f>IF($A$1=1,2,IF($A$1=3,6,8))</f>
        <v>2</v>
      </c>
      <c r="BA92" s="29">
        <f>SUM(AZ93:AZ107)</f>
        <v>0</v>
      </c>
      <c r="BB92" s="29" t="str">
        <f>IF(A1&gt;1,"",IF(Y113=1,Sprache!K29,IF(AY93=0,"",Sprache!$K$29)))</f>
        <v>**EINTRAG NOTWENDIG**</v>
      </c>
      <c r="BE92" s="29" t="s">
        <v>827</v>
      </c>
      <c r="BF92" s="29" t="s">
        <v>834</v>
      </c>
      <c r="BJ92" s="29" t="s">
        <v>840</v>
      </c>
      <c r="BL92" s="29" t="s">
        <v>841</v>
      </c>
    </row>
    <row r="93" spans="2:79">
      <c r="B93" s="119" t="str">
        <f>CONCATENATE(BB93,BD93,CA93,BM93)</f>
        <v/>
      </c>
      <c r="D93" s="120" t="str">
        <f>IF(AC93=0,"",AC93)</f>
        <v/>
      </c>
      <c r="E93" s="121" t="str">
        <f>IF(AD93=0,"",AD93)</f>
        <v/>
      </c>
      <c r="F93" s="118"/>
      <c r="G93" s="152" t="str">
        <f>IF($A$1=3,AO93,IF($A$1=2,AO93,IF(V93=1,"",SUM($G$3/100))))</f>
        <v/>
      </c>
      <c r="H93" s="150"/>
      <c r="I93" s="125" t="str">
        <f>IF(BZ93=1,CA93,IF(V93=1,"",IF($G$5="x",VLOOKUP(AO93,Licenses!B:C,2,FALSE),IF(BL93=0,IF(AA93="","",VLOOKUP(AO93,Licenses!B:C,2,FALSE)),BM93))))</f>
        <v/>
      </c>
      <c r="J93" s="118"/>
      <c r="K93" s="124" t="str">
        <f>IF(AA93="","",VLOOKUP(AO93,Licenses!B:D,3,FALSE))</f>
        <v/>
      </c>
      <c r="L93" s="118"/>
      <c r="M93" s="124" t="str">
        <f>REPT(T93,1)</f>
        <v/>
      </c>
      <c r="N93" s="118"/>
      <c r="O93" s="124" t="str">
        <f>IF(M93="","",IF(AA93="","",VLOOKUP(AO93,Licenses!B:I,8,FALSE)))</f>
        <v/>
      </c>
      <c r="Q93" s="120" t="s">
        <v>779</v>
      </c>
      <c r="R93" s="149">
        <f>IF($A$1=2,W93,X93)</f>
        <v>2.2000000000000002</v>
      </c>
      <c r="S93" s="157"/>
      <c r="T93" s="29" t="str">
        <f>IF(G93="","",IF(U93=0,"",IF(U93="","",U93)))</f>
        <v/>
      </c>
      <c r="U93" s="29" t="str">
        <f>IFERROR(IF(H93="","",VLOOKUP(AO93,Licenses!B:H,7,FALSE)),"")</f>
        <v/>
      </c>
      <c r="V93" s="29">
        <f>IF(A1=1,IF(Y113=0,1,IF($G$5="X",1,0)),0)</f>
        <v>1</v>
      </c>
      <c r="W93" s="151">
        <v>2.2999999999999998</v>
      </c>
      <c r="X93" s="29">
        <v>2.2000000000000002</v>
      </c>
      <c r="Y93" s="29" t="str">
        <f>IF(Y113=1,H93,IF($A$1=3,VLOOKUP(X93,$E$73:$H$87,4,FALSE),IF($A$1=2,VLOOKUP(W93,$E$73:$H$87,4,FALSE),"")))</f>
        <v/>
      </c>
      <c r="Z93" s="29">
        <f>SUM($G$3/100)</f>
        <v>0</v>
      </c>
      <c r="AA93" s="29" t="str">
        <f>IF(Y93=0,"",Y93)</f>
        <v/>
      </c>
      <c r="AB93" s="29">
        <f>IF($A$1=3,AK93,IF($A$1=2,AH93,IF($A$1=1,AE93,0)))</f>
        <v>33</v>
      </c>
      <c r="AC93" s="29" t="str">
        <f>IF(Y113=0,"",IF($A$1=1,AF93,AI93))</f>
        <v/>
      </c>
      <c r="AD93" s="29" t="str">
        <f>IF(Y113=0,"",IF($A$1=1,AG93,AJ93))</f>
        <v/>
      </c>
      <c r="AE93" s="106">
        <v>33</v>
      </c>
      <c r="AF93" s="106" t="s">
        <v>849</v>
      </c>
      <c r="AG93" s="106">
        <v>4.0999999999999996</v>
      </c>
      <c r="AH93" s="101">
        <v>33</v>
      </c>
      <c r="AI93" s="101" t="s">
        <v>848</v>
      </c>
      <c r="AJ93" s="101">
        <v>3.1</v>
      </c>
      <c r="AK93" s="108">
        <v>25</v>
      </c>
      <c r="AL93" s="108" t="s">
        <v>848</v>
      </c>
      <c r="AM93" s="108">
        <v>3.1</v>
      </c>
      <c r="AO93" s="114" t="str">
        <f>IF($G$5="X",IF(A1=1,"",G3),IF(AA93="","",SUM(AA93*1,$G$3)))</f>
        <v/>
      </c>
      <c r="AX93" s="115"/>
      <c r="AY93" s="115">
        <f>IF($G$5="X",0,IF(AZ92=BA92,0,1))</f>
        <v>1</v>
      </c>
      <c r="AZ93" s="116">
        <f>IF(G93="",0,IF(H93="",1,0))</f>
        <v>0</v>
      </c>
      <c r="BA93" s="29">
        <f>IF(G93="",0,IF(H93="",1,0))</f>
        <v>0</v>
      </c>
      <c r="BB93" s="29" t="str">
        <f>IF(AZ93=1,$BB$92,"")</f>
        <v/>
      </c>
      <c r="BC93" s="116">
        <f>IF(I93="n / a",1,0)</f>
        <v>0</v>
      </c>
      <c r="BD93" s="29" t="str">
        <f>IF(BC93=1,REPT(Sprache!$K$27,1),"")</f>
        <v/>
      </c>
      <c r="BE93" s="29">
        <f>SUM(Steuerung!$Y$3)</f>
        <v>1</v>
      </c>
      <c r="BF93" s="29">
        <f>IF(M93="",100,VLOOKUP(M93,Steuerung!$A$39:$B$60,2,FALSE))</f>
        <v>100</v>
      </c>
      <c r="BG93" s="29">
        <f>IF(BE93=BF93,0,IF(BE93&lt;BF93,0,1))</f>
        <v>0</v>
      </c>
      <c r="BH93" s="29" t="str">
        <f>IF(BE93&gt;20,LEFT(M93,1),"")</f>
        <v/>
      </c>
      <c r="BI93" s="29">
        <f>IF(BH93="2",BE93-BF93,0)</f>
        <v>0</v>
      </c>
      <c r="BJ93" s="29">
        <f>IF(BI93=0,0,1)</f>
        <v>0</v>
      </c>
      <c r="BK93" s="29">
        <f>IF(BL93&gt;0,1,0)</f>
        <v>0</v>
      </c>
      <c r="BL93" s="116">
        <f>SUM(BG93,BJ93)</f>
        <v>0</v>
      </c>
      <c r="BM93" s="29" t="str">
        <f>IF(BL93=0,"",Sprache!$K$49)</f>
        <v/>
      </c>
      <c r="BN93" s="29">
        <v>1</v>
      </c>
      <c r="BO93" s="29">
        <v>1</v>
      </c>
      <c r="BP93" s="29">
        <v>1</v>
      </c>
      <c r="BQ93" s="29">
        <f>IF($A$1=1,BN93,0)</f>
        <v>1</v>
      </c>
      <c r="BR93" s="29">
        <f>IF($A$1=2,BO93,0)</f>
        <v>0</v>
      </c>
      <c r="BS93" s="29">
        <f>IF($A$1=3,BP93,0)</f>
        <v>0</v>
      </c>
      <c r="BU93" s="127">
        <f>IF(BW93=1,H93,"")</f>
        <v>0</v>
      </c>
      <c r="BV93" s="127" t="str">
        <f>CONCATENATE(BU93,BU95)</f>
        <v>00</v>
      </c>
      <c r="BW93" s="29">
        <f>SUM(BQ93:BS93)</f>
        <v>1</v>
      </c>
      <c r="BX93" s="29">
        <f>VLOOKUP(BV93,$BV$13:$BW$67,2,FALSE)</f>
        <v>1</v>
      </c>
      <c r="BY93" s="29" t="b">
        <f>ISERROR(BX93)</f>
        <v>0</v>
      </c>
      <c r="BZ93" s="116" t="str">
        <f>IF(H93="","",IF($Y$113=1,IF(BY93=FALSE,1,0),0))</f>
        <v/>
      </c>
      <c r="CA93" s="29" t="str">
        <f>IF(BZ93=1,Sprache!K28,"")</f>
        <v/>
      </c>
    </row>
    <row r="94" spans="2:79" ht="6" customHeight="1">
      <c r="D94" s="113"/>
      <c r="E94" s="113"/>
      <c r="I94" s="126"/>
      <c r="Q94" s="113"/>
      <c r="R94" s="113"/>
      <c r="S94" s="158"/>
      <c r="W94" s="151"/>
      <c r="AE94" s="107"/>
      <c r="AF94" s="107"/>
      <c r="AG94" s="107"/>
      <c r="AH94" s="103"/>
      <c r="AI94" s="103"/>
      <c r="AJ94" s="103"/>
      <c r="AK94" s="109"/>
      <c r="AL94" s="109"/>
      <c r="AM94" s="109"/>
      <c r="AX94" s="115"/>
      <c r="AY94" s="115"/>
    </row>
    <row r="95" spans="2:79">
      <c r="B95" s="119" t="str">
        <f>CONCATENATE(BB95,BD95,AY95,BM95,CA95)</f>
        <v/>
      </c>
      <c r="D95" s="120" t="str">
        <f>IF(AC95=0,"",AC95)</f>
        <v/>
      </c>
      <c r="E95" s="121" t="str">
        <f>IF(AD95=0,"",AD95)</f>
        <v/>
      </c>
      <c r="F95" s="118"/>
      <c r="G95" s="152" t="str">
        <f>IF(A1=3,AO95,IF(A1=2,AO95,IF(V95=1,"",SUM($G$3/100))))</f>
        <v/>
      </c>
      <c r="H95" s="150"/>
      <c r="I95" s="125" t="str">
        <f>IF(BZ95=1,CA95,IF(V95=1,"",IF($G$5="x",VLOOKUP(AO95,Licenses!B:C,2,FALSE),IF(BL95=0,IF(AA95="","",VLOOKUP(AO95,Licenses!B:C,2,FALSE)),BM95))))</f>
        <v/>
      </c>
      <c r="J95" s="118"/>
      <c r="K95" s="124" t="str">
        <f>IF(AA95="","",VLOOKUP(AO95,Licenses!B:D,3,FALSE))</f>
        <v/>
      </c>
      <c r="L95" s="118"/>
      <c r="M95" s="124" t="str">
        <f>REPT(T95,1)</f>
        <v/>
      </c>
      <c r="N95" s="118"/>
      <c r="O95" s="124" t="str">
        <f>IF(M95="","",IF(AA95="","",VLOOKUP(AO95,Licenses!B:I,8,FALSE)))</f>
        <v/>
      </c>
      <c r="Q95" s="120" t="s">
        <v>779</v>
      </c>
      <c r="R95" s="149">
        <f>IF($A$1=2,W95,X95)</f>
        <v>2.2999999999999998</v>
      </c>
      <c r="S95" s="157"/>
      <c r="T95" s="29" t="str">
        <f>IF(G95="","",IF(U95=0,"",IF(U95="","",U95)))</f>
        <v/>
      </c>
      <c r="U95" s="29" t="str">
        <f>IFERROR(IF(H95="","",VLOOKUP(AO95,Licenses!B:H,7,FALSE)),"")</f>
        <v/>
      </c>
      <c r="V95" s="29">
        <f>IF(A1=1,IF(Y113=0,1,IF($G$5="X",1,0)),0)</f>
        <v>1</v>
      </c>
      <c r="W95" s="29">
        <v>2.4</v>
      </c>
      <c r="X95" s="29">
        <v>2.2999999999999998</v>
      </c>
      <c r="Y95" s="29" t="str">
        <f>IF(Y113=1,H95,IF($A$1=3,VLOOKUP(X95,$E$73:$H$87,4,FALSE),IF($A$1=2,VLOOKUP(W95,$E$73:$H$87,4,FALSE),"")))</f>
        <v/>
      </c>
      <c r="Z95" s="29">
        <f>SUM($G$3/100)</f>
        <v>0</v>
      </c>
      <c r="AA95" s="29" t="str">
        <f>IF(Y95=0,"",Y95)</f>
        <v/>
      </c>
      <c r="AB95" s="29">
        <f>IF($A$1=3,AK95,IF($A$1=2,AH95,IF($A$1=1,AE95,0)))</f>
        <v>34</v>
      </c>
      <c r="AC95" s="29">
        <f>IF($A$1=1,AF95,AI95)</f>
        <v>0</v>
      </c>
      <c r="AD95" s="29">
        <f>IF($A$1=1,AG95,AJ95)</f>
        <v>0</v>
      </c>
      <c r="AE95" s="106">
        <v>34</v>
      </c>
      <c r="AF95" s="106"/>
      <c r="AG95" s="106"/>
      <c r="AH95" s="101">
        <v>34</v>
      </c>
      <c r="AI95" s="101" t="s">
        <v>848</v>
      </c>
      <c r="AJ95" s="101">
        <v>3.2</v>
      </c>
      <c r="AK95" s="108">
        <v>26</v>
      </c>
      <c r="AL95" s="108" t="s">
        <v>848</v>
      </c>
      <c r="AM95" s="108">
        <v>3.2</v>
      </c>
      <c r="AO95" s="114" t="str">
        <f>IF($G$5="X",IF(A1=1,"",G3),IF(AA95="","",SUM(AA95*1,$G$3)))</f>
        <v/>
      </c>
      <c r="AP95" s="29">
        <f>IF(AO95=AO93,1,0)</f>
        <v>1</v>
      </c>
      <c r="AV95" s="29">
        <f>IF(AO93=AO95,1,0)</f>
        <v>1</v>
      </c>
      <c r="AW95" s="29">
        <f>IF(A1=1,IF(AO95="",0,AV95),0)</f>
        <v>0</v>
      </c>
      <c r="AX95" s="117" t="str">
        <f>IF(AW95=1,AX92,"")</f>
        <v/>
      </c>
      <c r="AY95" s="117" t="str">
        <f>IF(AW95=1,$AY$12,"")</f>
        <v/>
      </c>
      <c r="AZ95" s="116">
        <f>IF(G95="",0,IF(H95="",1,0))</f>
        <v>0</v>
      </c>
      <c r="BA95" s="29">
        <f>IF(G95="",0,IF(H95="",1,0))</f>
        <v>0</v>
      </c>
      <c r="BB95" s="29" t="str">
        <f>IF(AZ95=1,$BB$92,"")</f>
        <v/>
      </c>
      <c r="BC95" s="116">
        <f>IF(I95="n / a",1,0)</f>
        <v>0</v>
      </c>
      <c r="BD95" s="29" t="str">
        <f>IF(BC95=1,REPT(Sprache!$K$27,1),"")</f>
        <v/>
      </c>
      <c r="BE95" s="29">
        <f>SUM(Steuerung!$Y$3)</f>
        <v>1</v>
      </c>
      <c r="BF95" s="29">
        <f>IF(M95="",100,VLOOKUP(M95,Steuerung!$A$39:$B$60,2,FALSE))</f>
        <v>100</v>
      </c>
      <c r="BG95" s="29">
        <f>IF(BE95=BF95,0,IF(BE95&lt;BF95,0,1))</f>
        <v>0</v>
      </c>
      <c r="BH95" s="29" t="str">
        <f>IF(BE95&gt;20,LEFT(M95,1),"")</f>
        <v/>
      </c>
      <c r="BI95" s="29">
        <f>IF(BH95="2",BE95-BF95,0)</f>
        <v>0</v>
      </c>
      <c r="BJ95" s="29">
        <f>IF(BI95=0,0,1)</f>
        <v>0</v>
      </c>
      <c r="BK95" s="29">
        <f>IF(BL95&gt;0,1,0)</f>
        <v>0</v>
      </c>
      <c r="BL95" s="116">
        <f>SUM(BG95,BJ95)</f>
        <v>0</v>
      </c>
      <c r="BM95" s="29" t="str">
        <f>IF(BL95=0,"",Sprache!$K$49)</f>
        <v/>
      </c>
      <c r="BN95" s="29">
        <v>1</v>
      </c>
      <c r="BO95" s="29">
        <v>1</v>
      </c>
      <c r="BP95" s="29">
        <v>1</v>
      </c>
      <c r="BQ95" s="29">
        <f>IF($A$1=1,BN95,0)</f>
        <v>1</v>
      </c>
      <c r="BR95" s="29">
        <f>IF($A$1=2,BO95,0)</f>
        <v>0</v>
      </c>
      <c r="BS95" s="29">
        <f>IF($A$1=3,BP95,0)</f>
        <v>0</v>
      </c>
      <c r="BU95" s="127">
        <f>IF(BW95=1,H95,"")</f>
        <v>0</v>
      </c>
      <c r="BV95" s="127" t="str">
        <f>CONCATENATE(BU95,BU93)</f>
        <v>00</v>
      </c>
      <c r="BW95" s="29">
        <f t="shared" ref="BW95" si="0">SUM(BQ95:BS95)</f>
        <v>1</v>
      </c>
      <c r="BX95" s="29">
        <f t="shared" ref="BX95" si="1">VLOOKUP(BV95,$BV$13:$BW$67,2,FALSE)</f>
        <v>1</v>
      </c>
      <c r="BY95" s="29" t="b">
        <f t="shared" ref="BY95" si="2">ISERROR(BX95)</f>
        <v>0</v>
      </c>
      <c r="BZ95" s="116" t="str">
        <f>IF(H95="","",IF($Y$113=1,IF(BY95=FALSE,1,0),0))</f>
        <v/>
      </c>
      <c r="CA95" s="29" t="str">
        <f>IF(BZ95=1,Sprache!K28,"")</f>
        <v/>
      </c>
    </row>
    <row r="96" spans="2:79" ht="6" customHeight="1">
      <c r="D96" s="113"/>
      <c r="E96" s="113"/>
      <c r="I96" s="126"/>
      <c r="Q96" s="113"/>
      <c r="R96" s="113"/>
      <c r="S96" s="158"/>
      <c r="W96" s="151"/>
      <c r="AE96" s="111"/>
      <c r="AF96" s="111"/>
      <c r="AG96" s="111"/>
      <c r="AH96" s="103"/>
      <c r="AI96" s="103"/>
      <c r="AJ96" s="103"/>
      <c r="AK96" s="109"/>
      <c r="AL96" s="109"/>
      <c r="AM96" s="109"/>
      <c r="AX96" s="115"/>
      <c r="AY96" s="115"/>
    </row>
    <row r="97" spans="2:78">
      <c r="B97" s="119" t="str">
        <f>IF($A$1=1,"",CONCATENATE(BB97,BD97,AY97,BM97))</f>
        <v/>
      </c>
      <c r="D97" s="120" t="str">
        <f>IF(AC97=0,"",AC97)</f>
        <v/>
      </c>
      <c r="E97" s="121" t="str">
        <f>IF(AD97=0,"",AD97)</f>
        <v/>
      </c>
      <c r="F97" s="118"/>
      <c r="G97" s="152" t="str">
        <f>IF($A$1=3,AO97,IF($A$1=2,AO97,IF($A$1=1,"",SUM($G$3/100))))</f>
        <v/>
      </c>
      <c r="H97" s="123"/>
      <c r="I97" s="125" t="str">
        <f>IF(A1=1,"",IF(AN97=1,VLOOKUP(AO97,Licenses!B:C,2,FALSE),IF($G$5="x",VLOOKUP(AO97,Licenses!B:C,2,FALSE),IF(BL97=0,IF(AA97="","",VLOOKUP(AO97,Licenses!B:C,2,FALSE)),BM97))))</f>
        <v/>
      </c>
      <c r="J97" s="118"/>
      <c r="K97" s="124" t="str">
        <f>IF(AA97="","",VLOOKUP(AO97,Licenses!B:D,3,FALSE))</f>
        <v/>
      </c>
      <c r="L97" s="118"/>
      <c r="M97" s="124" t="str">
        <f>REPT(T97,1)</f>
        <v/>
      </c>
      <c r="N97" s="118"/>
      <c r="O97" s="124" t="str">
        <f>IF(M97="","",IF(AA97="","",VLOOKUP(AO97,Licenses!B:I,8,FALSE)))</f>
        <v/>
      </c>
      <c r="Q97" s="120" t="s">
        <v>779</v>
      </c>
      <c r="R97" s="149">
        <f>IF($A$1=2,W97,X97)</f>
        <v>2.4</v>
      </c>
      <c r="S97" s="157"/>
      <c r="T97" s="29" t="str">
        <f>IF(G97="","",IF(U97=0,"",IF(U97="","",U97)))</f>
        <v/>
      </c>
      <c r="U97" s="29" t="str">
        <f>IF(H97="","",VLOOKUP(AO97,Licenses!B:H,7,FALSE))</f>
        <v/>
      </c>
      <c r="V97" s="29" t="str">
        <f>IF(AA97="","",VLOOKUP(AO97,Licenses!B:H,7,FALSE))</f>
        <v/>
      </c>
      <c r="W97" s="29">
        <v>2.8</v>
      </c>
      <c r="X97" s="29">
        <v>2.4</v>
      </c>
      <c r="Y97" s="29" t="str">
        <f>IF($A$1=3,VLOOKUP(X97,$E$73:$H$87,4,FALSE),IF($A$1=2,VLOOKUP(W97,$E$73:$H$87,4,FALSE),""))</f>
        <v/>
      </c>
      <c r="Z97" s="29">
        <f>SUM($G$3/100)</f>
        <v>0</v>
      </c>
      <c r="AA97" s="29" t="str">
        <f>IF(Y97=0,"",Y97)</f>
        <v/>
      </c>
      <c r="AB97" s="29">
        <f>IF($A$1=3,AK97,IF($A$1=2,AH97,IF($A$1=1,AE97,0)))</f>
        <v>0</v>
      </c>
      <c r="AC97" s="29">
        <f>IF($A$1=1,AF97,AI97)</f>
        <v>0</v>
      </c>
      <c r="AD97" s="29">
        <f>IF($A$1=1,AG97,AJ97)</f>
        <v>0</v>
      </c>
      <c r="AE97" s="110"/>
      <c r="AF97" s="110"/>
      <c r="AG97" s="110"/>
      <c r="AH97" s="101">
        <v>35</v>
      </c>
      <c r="AI97" s="101" t="s">
        <v>848</v>
      </c>
      <c r="AJ97" s="101">
        <v>3.3</v>
      </c>
      <c r="AK97" s="108">
        <v>27</v>
      </c>
      <c r="AL97" s="108" t="s">
        <v>848</v>
      </c>
      <c r="AM97" s="108">
        <v>3.3</v>
      </c>
      <c r="AN97" s="29">
        <f>IF($A$1=1,0,IF($A$1=3,0,IF($G$7="X",1,0)))</f>
        <v>0</v>
      </c>
      <c r="AO97" s="114" t="str">
        <f>IF(AN97=1,$G$3,IF($A$1=1,"",IF($G$5="X",$G$3,IF(AA97="","",SUM(AA97*1,$G$3)))))</f>
        <v/>
      </c>
      <c r="AP97" s="29">
        <f>IF(AO97=AO93,1,0)</f>
        <v>1</v>
      </c>
      <c r="AQ97" s="29">
        <f>IF(AO97=AO95,1,0)</f>
        <v>1</v>
      </c>
      <c r="AW97" s="29" t="str">
        <f>IF($G$5="X",0,IF(AO97="","",SUM(AP97:AV97)))</f>
        <v/>
      </c>
      <c r="AX97" s="117" t="str">
        <f>IF(AW97=1,AX92,"")</f>
        <v/>
      </c>
      <c r="AY97" s="117" t="str">
        <f>IF(AW97=1,$AY$12,"")</f>
        <v/>
      </c>
      <c r="AZ97" s="116" t="str">
        <f>IF($A$1=1,"",IF(H97="",1,0))</f>
        <v/>
      </c>
      <c r="BA97" s="29" t="str">
        <f>IF($A$1=1,"",IF(H97="",1,0))</f>
        <v/>
      </c>
      <c r="BB97" s="29" t="str">
        <f>IF(AZ97=1,$BB$92,"")</f>
        <v/>
      </c>
      <c r="BC97" s="116">
        <f>IF(I97="n / a",1,0)</f>
        <v>0</v>
      </c>
      <c r="BD97" s="29" t="str">
        <f>IF(BC97=1,REPT(Sprache!$K$27,1),"")</f>
        <v/>
      </c>
      <c r="BE97" s="29">
        <f>SUM(Steuerung!$Y$3)</f>
        <v>1</v>
      </c>
      <c r="BF97" s="29">
        <f>IF(M97="",100,VLOOKUP(M97,Steuerung!$A$39:$B$60,2,FALSE))</f>
        <v>100</v>
      </c>
      <c r="BG97" s="29">
        <f>IF(BE97=BF97,0,IF(BE97&lt;BF97,0,1))</f>
        <v>0</v>
      </c>
      <c r="BH97" s="29" t="str">
        <f>IF(BE97&gt;20,LEFT(M97,1),"")</f>
        <v/>
      </c>
      <c r="BI97" s="29">
        <f>IF(BH97="2",BE97-BF97,0)</f>
        <v>0</v>
      </c>
      <c r="BJ97" s="29">
        <f>IF(BI97=0,0,1)</f>
        <v>0</v>
      </c>
      <c r="BK97" s="29">
        <f>IF(BL97&gt;0,1,0)</f>
        <v>0</v>
      </c>
      <c r="BL97" s="116">
        <f>SUM(BG97,BJ97)</f>
        <v>0</v>
      </c>
      <c r="BM97" s="29" t="str">
        <f>IF(BL97=0,"",Sprache!$K$49)</f>
        <v/>
      </c>
      <c r="BZ97" s="131">
        <f>SUM(BZ93:BZ95)</f>
        <v>0</v>
      </c>
    </row>
    <row r="98" spans="2:78" ht="6" customHeight="1">
      <c r="D98" s="113"/>
      <c r="E98" s="113"/>
      <c r="I98" s="126"/>
      <c r="Q98" s="113"/>
      <c r="R98" s="113"/>
      <c r="S98" s="158"/>
      <c r="W98" s="151"/>
      <c r="AE98" s="111"/>
      <c r="AF98" s="111"/>
      <c r="AG98" s="111"/>
      <c r="AH98" s="103"/>
      <c r="AI98" s="103"/>
      <c r="AJ98" s="103"/>
      <c r="AK98" s="109"/>
      <c r="AL98" s="109"/>
      <c r="AM98" s="109"/>
      <c r="AX98" s="115"/>
      <c r="AY98" s="115"/>
    </row>
    <row r="99" spans="2:78">
      <c r="B99" s="119" t="str">
        <f>IF($A$1=1,"",CONCATENATE(BB99,BD99,AY99,BM99))</f>
        <v/>
      </c>
      <c r="D99" s="120" t="str">
        <f>IF(AC99=0,"",AC99)</f>
        <v/>
      </c>
      <c r="E99" s="121" t="str">
        <f>IF(AD99=0,"",AD99)</f>
        <v/>
      </c>
      <c r="F99" s="118"/>
      <c r="G99" s="152" t="str">
        <f>IF($A$1=3,AO99,IF($A$1=2,AO99,IF($A$1=1,"",SUM($G$3/100))))</f>
        <v/>
      </c>
      <c r="H99" s="123"/>
      <c r="I99" s="125" t="str">
        <f>IF(A1=1,"",IF(AN99=1,VLOOKUP(AO99,Licenses!B:C,2,FALSE),IF($G$5="x",VLOOKUP(AO99,Licenses!B:C,2,FALSE),IF(BL99=0,IF(AA99="","",VLOOKUP(AO99,Licenses!B:C,2,FALSE)),BM99))))</f>
        <v/>
      </c>
      <c r="J99" s="118"/>
      <c r="K99" s="124" t="str">
        <f>IF(AA99="","",VLOOKUP(AO99,Licenses!B:D,3,FALSE))</f>
        <v/>
      </c>
      <c r="L99" s="118"/>
      <c r="M99" s="124" t="str">
        <f>REPT(T99,1)</f>
        <v/>
      </c>
      <c r="N99" s="118"/>
      <c r="O99" s="124" t="str">
        <f>IF(M99="","",IF(AA99="","",VLOOKUP(AO99,Licenses!B:I,8,FALSE)))</f>
        <v/>
      </c>
      <c r="Q99" s="120" t="s">
        <v>779</v>
      </c>
      <c r="R99" s="149">
        <f>IF($A$1=2,W99,X99)</f>
        <v>2.1</v>
      </c>
      <c r="S99" s="157"/>
      <c r="T99" s="29" t="str">
        <f>IF(G99="","",IF(U99=0,"",IF(U99="","",U99)))</f>
        <v/>
      </c>
      <c r="U99" s="29" t="str">
        <f>IF(H99="","",VLOOKUP(AO99,Licenses!B:H,7,FALSE))</f>
        <v/>
      </c>
      <c r="V99" s="29" t="str">
        <f>IF(AA99="","",VLOOKUP(AO99,Licenses!B:H,7,FALSE))</f>
        <v/>
      </c>
      <c r="W99" s="29">
        <v>2.1</v>
      </c>
      <c r="X99" s="29">
        <v>2.1</v>
      </c>
      <c r="Y99" s="29" t="str">
        <f>IF($A$1=3,VLOOKUP(X99,$E$73:$H$87,4,FALSE),IF($A$1=2,VLOOKUP(W99,$E$73:$H$87,4,FALSE),""))</f>
        <v/>
      </c>
      <c r="Z99" s="29">
        <f>SUM($G$3/100)</f>
        <v>0</v>
      </c>
      <c r="AA99" s="29" t="str">
        <f>IF(Y99=0,"",Y99)</f>
        <v/>
      </c>
      <c r="AB99" s="29">
        <f>IF($A$1=3,AK99,IF($A$1=2,AH99,IF($A$1=1,AE99,0)))</f>
        <v>0</v>
      </c>
      <c r="AC99" s="29">
        <f>IF($A$1=1,AF99,AI99)</f>
        <v>0</v>
      </c>
      <c r="AD99" s="29">
        <f>IF($A$1=1,AG99,AJ99)</f>
        <v>0</v>
      </c>
      <c r="AE99" s="110"/>
      <c r="AF99" s="110"/>
      <c r="AG99" s="110"/>
      <c r="AH99" s="101">
        <v>36</v>
      </c>
      <c r="AI99" s="101" t="s">
        <v>848</v>
      </c>
      <c r="AJ99" s="101">
        <v>3.4</v>
      </c>
      <c r="AK99" s="108">
        <v>28</v>
      </c>
      <c r="AL99" s="108" t="s">
        <v>848</v>
      </c>
      <c r="AM99" s="108">
        <v>3.4</v>
      </c>
      <c r="AN99" s="29">
        <f>IF($A$1=1,0,IF($A$1=2,0,IF($A$1=3,0,IF($G$7="X",1,0))))</f>
        <v>0</v>
      </c>
      <c r="AO99" s="114" t="str">
        <f>IF(AN99=1,$G$3,IF($A$1=1,"",IF($G$5="X",$G$3,IF(AA99="","",SUM(AA99*1,$G$3)))))</f>
        <v/>
      </c>
      <c r="AP99" s="29">
        <f>IF(AO99=AO93,1,0)</f>
        <v>1</v>
      </c>
      <c r="AQ99" s="29">
        <f>IF(AO99=AO95,1,0)</f>
        <v>1</v>
      </c>
      <c r="AR99" s="29">
        <f>IF(AO99=AO97,1,0)</f>
        <v>1</v>
      </c>
      <c r="AW99" s="29" t="str">
        <f>IF($G$5="X",0,IF(AO99="","",SUM(AP99:AV99)))</f>
        <v/>
      </c>
      <c r="AX99" s="117" t="str">
        <f>IF(AW99=1,AX92,"")</f>
        <v/>
      </c>
      <c r="AY99" s="117" t="str">
        <f>IF(AW99=1,$AY$12,"")</f>
        <v/>
      </c>
      <c r="AZ99" s="116" t="str">
        <f>IF($A$1=1,"",IF(H99="",1,0))</f>
        <v/>
      </c>
      <c r="BA99" s="29" t="str">
        <f>IF($A$1=1,"",IF(H99="",1,0))</f>
        <v/>
      </c>
      <c r="BB99" s="29" t="str">
        <f>IF(AZ99=1,$BB$92,"")</f>
        <v/>
      </c>
      <c r="BC99" s="116">
        <f>IF(I99="n / a",1,0)</f>
        <v>0</v>
      </c>
      <c r="BD99" s="29" t="str">
        <f>IF(BC99=1,REPT(Sprache!$K$27,1),"")</f>
        <v/>
      </c>
      <c r="BE99" s="29">
        <f>SUM(Steuerung!$Y$3)</f>
        <v>1</v>
      </c>
      <c r="BF99" s="29">
        <f>IF(M99="",100,VLOOKUP(M99,Steuerung!$A$39:$B$60,2,FALSE))</f>
        <v>100</v>
      </c>
      <c r="BG99" s="29">
        <f>IF(BE99=BF99,0,IF(BE99&lt;BF99,0,1))</f>
        <v>0</v>
      </c>
      <c r="BH99" s="29" t="str">
        <f>IF(BE99&gt;20,LEFT(M99,1),"")</f>
        <v/>
      </c>
      <c r="BI99" s="29">
        <f>IF(BH99="2",BE99-BF99,0)</f>
        <v>0</v>
      </c>
      <c r="BJ99" s="29">
        <f>IF(BI99=0,0,1)</f>
        <v>0</v>
      </c>
      <c r="BK99" s="29">
        <f>IF(BL99&gt;0,1,0)</f>
        <v>0</v>
      </c>
      <c r="BL99" s="116">
        <f>SUM(BG99,BJ99)</f>
        <v>0</v>
      </c>
      <c r="BM99" s="29" t="str">
        <f>IF(BL99=0,"",Sprache!$K$49)</f>
        <v/>
      </c>
    </row>
    <row r="100" spans="2:78" ht="6" customHeight="1">
      <c r="D100" s="113"/>
      <c r="E100" s="113"/>
      <c r="I100" s="126"/>
      <c r="Q100" s="113"/>
      <c r="R100" s="113"/>
      <c r="S100" s="158"/>
      <c r="W100" s="151"/>
      <c r="AE100" s="111"/>
      <c r="AF100" s="111"/>
      <c r="AG100" s="111"/>
      <c r="AH100" s="103"/>
      <c r="AI100" s="103"/>
      <c r="AJ100" s="103"/>
      <c r="AK100" s="109"/>
      <c r="AL100" s="109"/>
      <c r="AM100" s="109"/>
      <c r="AX100" s="115"/>
      <c r="AY100" s="115"/>
    </row>
    <row r="101" spans="2:78">
      <c r="B101" s="119" t="str">
        <f>IF($A$1=1,"",CONCATENATE(BB101,BD101,AY101,BM101))</f>
        <v/>
      </c>
      <c r="D101" s="120" t="str">
        <f>IF(AC101=0,"",AC101)</f>
        <v/>
      </c>
      <c r="E101" s="121" t="str">
        <f>IF(AD101=0,"",AD101)</f>
        <v/>
      </c>
      <c r="F101" s="118"/>
      <c r="G101" s="152" t="str">
        <f>IF($A$1=3,AO101,IF($A$1=2,AO101,IF($A$1=1,"",SUM($G$3/100))))</f>
        <v/>
      </c>
      <c r="H101" s="123"/>
      <c r="I101" s="125" t="str">
        <f>IF($A$1=1,"",IF(AN101=1,VLOOKUP(AO101,Licenses!B:C,2,FALSE),IF($G$5="x",VLOOKUP(AO101,Licenses!B:C,2,FALSE),IF(BL101=0,IF(AA101="","",VLOOKUP(AO101,Licenses!B:C,2,FALSE)),BM101))))</f>
        <v/>
      </c>
      <c r="J101" s="118"/>
      <c r="K101" s="124" t="str">
        <f>IF(AA101="","",VLOOKUP(AO101,Licenses!B:D,3,FALSE))</f>
        <v/>
      </c>
      <c r="L101" s="118"/>
      <c r="M101" s="124" t="str">
        <f>REPT(T101,1)</f>
        <v/>
      </c>
      <c r="N101" s="118"/>
      <c r="O101" s="124" t="str">
        <f>IF(M101="","",IF(AA101="","",VLOOKUP(AO101,Licenses!B:I,8,FALSE)))</f>
        <v/>
      </c>
      <c r="Q101" s="120" t="s">
        <v>779</v>
      </c>
      <c r="R101" s="149">
        <f>IF($A$1=2,W101,X101)</f>
        <v>2.6</v>
      </c>
      <c r="S101" s="157"/>
      <c r="T101" s="29" t="str">
        <f>IF(G101="","",IF(U101=0,"",IF(U101="","",U101)))</f>
        <v/>
      </c>
      <c r="U101" s="29" t="str">
        <f>IF(H101="","",VLOOKUP(AO101,Licenses!B:H,7,FALSE))</f>
        <v/>
      </c>
      <c r="V101" s="29" t="str">
        <f>IF(AA101="","",VLOOKUP(AO101,Licenses!B:H,7,FALSE))</f>
        <v/>
      </c>
      <c r="W101" s="29">
        <v>2.2000000000000002</v>
      </c>
      <c r="X101" s="29">
        <v>2.6</v>
      </c>
      <c r="Y101" s="29" t="str">
        <f>IF($A$1=3,VLOOKUP(X101,$E$73:$H$87,4,FALSE),IF($A$1=2,VLOOKUP(W101,$E$73:$H$87,4,FALSE),""))</f>
        <v/>
      </c>
      <c r="Z101" s="29">
        <f>SUM($G$3/100)</f>
        <v>0</v>
      </c>
      <c r="AA101" s="29" t="str">
        <f>IF(Y101=0,"",Y101)</f>
        <v/>
      </c>
      <c r="AB101" s="29">
        <f>IF($A$1=3,AK101,IF($A$1=2,AH101,IF($A$1=1,AE101,0)))</f>
        <v>0</v>
      </c>
      <c r="AC101" s="29">
        <f>IF($A$1=1,AF101,AI101)</f>
        <v>0</v>
      </c>
      <c r="AD101" s="29">
        <f>IF($A$1=1,AG101,AJ101)</f>
        <v>0</v>
      </c>
      <c r="AE101" s="110"/>
      <c r="AF101" s="110"/>
      <c r="AG101" s="110"/>
      <c r="AH101" s="101">
        <v>37</v>
      </c>
      <c r="AI101" s="101" t="s">
        <v>848</v>
      </c>
      <c r="AJ101" s="101">
        <v>3.5</v>
      </c>
      <c r="AK101" s="108">
        <v>29</v>
      </c>
      <c r="AL101" s="108" t="s">
        <v>848</v>
      </c>
      <c r="AM101" s="108">
        <v>3.5</v>
      </c>
      <c r="AN101" s="29">
        <f>IF($A$1=1,0,IF($A$1=3,IF($G$7="X",1,0),0))</f>
        <v>0</v>
      </c>
      <c r="AO101" s="114" t="str">
        <f>IF(AN101=1,$G$3,IF($A$1=1,"",IF($G$5="X",$G$3,IF(AA101="","",SUM(AA101*1,$G$3)))))</f>
        <v/>
      </c>
      <c r="AP101" s="29">
        <f>IF(AO101=AO93,1,0)</f>
        <v>1</v>
      </c>
      <c r="AQ101" s="29">
        <f>IF(AO101=AO95,1,0)</f>
        <v>1</v>
      </c>
      <c r="AR101" s="29">
        <f>IF(AO101=AO97,1,0)</f>
        <v>1</v>
      </c>
      <c r="AS101" s="29">
        <f>IF(AO101=AO99,1,0)</f>
        <v>1</v>
      </c>
      <c r="AW101" s="29" t="str">
        <f>IF(AN101=1,0,IF($G$5="X",0,IF(AO101="","",SUM(AP101:AV101))))</f>
        <v/>
      </c>
      <c r="AX101" s="117" t="str">
        <f>IF(AW101=1,AX92,"")</f>
        <v/>
      </c>
      <c r="AY101" s="117" t="str">
        <f>IF(AW101=1,$AY$12,"")</f>
        <v/>
      </c>
      <c r="AZ101" s="116" t="str">
        <f>IF($A$1=1,"",IF(H101="",1,0))</f>
        <v/>
      </c>
      <c r="BA101" s="29" t="str">
        <f>IF($A$1=1,"",IF(H101="",1,0))</f>
        <v/>
      </c>
      <c r="BB101" s="29" t="str">
        <f>IF(AZ101=1,$BB$92,"")</f>
        <v/>
      </c>
      <c r="BC101" s="116">
        <f>IF(I101="n / a",1,0)</f>
        <v>0</v>
      </c>
      <c r="BD101" s="29" t="str">
        <f>IF(BC101=1,REPT(Sprache!$K$27,1),"")</f>
        <v/>
      </c>
      <c r="BE101" s="29">
        <f>SUM(Steuerung!$Y$3)</f>
        <v>1</v>
      </c>
      <c r="BF101" s="29">
        <f>IF(M101="",100,VLOOKUP(M101,Steuerung!$A$39:$B$60,2,FALSE))</f>
        <v>100</v>
      </c>
      <c r="BG101" s="29">
        <f>IF(BE101=BF101,0,IF(BE101&lt;BF101,0,1))</f>
        <v>0</v>
      </c>
      <c r="BH101" s="29" t="str">
        <f>IF(BE101&gt;20,LEFT(M101,1),"")</f>
        <v/>
      </c>
      <c r="BI101" s="29">
        <f>IF(BH101="2",BE101-BF101,0)</f>
        <v>0</v>
      </c>
      <c r="BJ101" s="29">
        <f>IF(BI101=0,0,1)</f>
        <v>0</v>
      </c>
      <c r="BK101" s="29">
        <f>IF(BL101&gt;0,1,0)</f>
        <v>0</v>
      </c>
      <c r="BL101" s="116">
        <f>SUM(BG101,BJ101)</f>
        <v>0</v>
      </c>
      <c r="BM101" s="29" t="str">
        <f>IF(BL101=0,"",Sprache!$K$49)</f>
        <v/>
      </c>
    </row>
    <row r="102" spans="2:78" ht="6" customHeight="1">
      <c r="D102" s="113"/>
      <c r="E102" s="113"/>
      <c r="I102" s="126"/>
      <c r="Q102" s="113"/>
      <c r="R102" s="113"/>
      <c r="S102" s="158"/>
      <c r="W102" s="151"/>
      <c r="AE102" s="111"/>
      <c r="AF102" s="111"/>
      <c r="AG102" s="111"/>
      <c r="AH102" s="103"/>
      <c r="AI102" s="103"/>
      <c r="AJ102" s="103"/>
      <c r="AK102" s="109"/>
      <c r="AL102" s="109"/>
      <c r="AM102" s="109"/>
      <c r="AX102" s="115"/>
      <c r="AY102" s="115"/>
    </row>
    <row r="103" spans="2:78">
      <c r="B103" s="119" t="str">
        <f>IF($A$1=1,"",CONCATENATE(BB103,BD103,AY103,BM103))</f>
        <v/>
      </c>
      <c r="D103" s="120" t="str">
        <f>IF(AC103=0,"",AC103)</f>
        <v/>
      </c>
      <c r="E103" s="121" t="str">
        <f>IF(AD103=0,"",AD103)</f>
        <v/>
      </c>
      <c r="F103" s="118"/>
      <c r="G103" s="152" t="str">
        <f>IF($A$1=3,AO103,IF($A$1=2,AO103,IF($A$1=1,"",SUM($G$3/100))))</f>
        <v/>
      </c>
      <c r="H103" s="123"/>
      <c r="I103" s="125" t="str">
        <f>IF($A$1=1,"",IF(AN103=1,VLOOKUP(AO103,Licenses!B:C,2,FALSE),IF($G$5="x",VLOOKUP(AO103,Licenses!B:C,2,FALSE),IF(BL103=0,IF(AA103="","",VLOOKUP(AO103,Licenses!B:C,2,FALSE)),BM103))))</f>
        <v/>
      </c>
      <c r="J103" s="118"/>
      <c r="K103" s="124" t="str">
        <f>IF(AA103="","",VLOOKUP(AO103,Licenses!B:D,3,FALSE))</f>
        <v/>
      </c>
      <c r="L103" s="118"/>
      <c r="M103" s="124" t="str">
        <f>REPT(T103,1)</f>
        <v/>
      </c>
      <c r="N103" s="118"/>
      <c r="O103" s="124" t="str">
        <f>IF(M103="","",IF(AA103="","",VLOOKUP(AO103,Licenses!B:I,8,FALSE)))</f>
        <v/>
      </c>
      <c r="Q103" s="120" t="s">
        <v>779</v>
      </c>
      <c r="R103" s="149">
        <f>IF($A$1=2,W103,X103)</f>
        <v>2.5</v>
      </c>
      <c r="S103" s="157"/>
      <c r="T103" s="29" t="str">
        <f>IF(G103="","",IF(U103=0,"",IF(U103="","",U103)))</f>
        <v/>
      </c>
      <c r="U103" s="29" t="str">
        <f>IF(H103="","",VLOOKUP(AO103,Licenses!B:H,7,FALSE))</f>
        <v/>
      </c>
      <c r="V103" s="29" t="str">
        <f>IF(AA103="","",VLOOKUP(AO103,Licenses!B:H,7,FALSE))</f>
        <v/>
      </c>
      <c r="W103" s="29">
        <v>2.7</v>
      </c>
      <c r="X103" s="29">
        <v>2.5</v>
      </c>
      <c r="Y103" s="29" t="str">
        <f>IF($A$1=3,VLOOKUP(X103,$E$73:$H$87,4,FALSE),IF($A$1=2,VLOOKUP(W103,$E$73:$H$87,4,FALSE),""))</f>
        <v/>
      </c>
      <c r="Z103" s="29">
        <f>SUM($G$3/100)</f>
        <v>0</v>
      </c>
      <c r="AA103" s="29" t="str">
        <f>IF(Y103=0,"",Y103)</f>
        <v/>
      </c>
      <c r="AB103" s="29">
        <f>IF($A$1=3,AK103,IF($A$1=2,AH103,IF($A$1=1,AE103,0)))</f>
        <v>0</v>
      </c>
      <c r="AC103" s="29">
        <f>IF($A$1=1,AF103,AI103)</f>
        <v>0</v>
      </c>
      <c r="AD103" s="29">
        <f>IF($A$1=1,AG103,AJ103)</f>
        <v>0</v>
      </c>
      <c r="AE103" s="110"/>
      <c r="AF103" s="110"/>
      <c r="AG103" s="110"/>
      <c r="AH103" s="101">
        <v>38</v>
      </c>
      <c r="AI103" s="101" t="s">
        <v>848</v>
      </c>
      <c r="AJ103" s="101">
        <v>3.6</v>
      </c>
      <c r="AK103" s="108">
        <v>30</v>
      </c>
      <c r="AL103" s="108" t="s">
        <v>848</v>
      </c>
      <c r="AM103" s="108">
        <v>3.6</v>
      </c>
      <c r="AO103" s="114" t="str">
        <f>IF($A$1=1,"",IF($G$5="X",$G$3,IF(AA103="","",SUM(AA103*1,$G$3))))</f>
        <v/>
      </c>
      <c r="AP103" s="29">
        <f>IF(AO103=AO93,1,0)</f>
        <v>1</v>
      </c>
      <c r="AQ103" s="29">
        <f>IF(AO103=AO95,1,0)</f>
        <v>1</v>
      </c>
      <c r="AR103" s="29">
        <f>IF(AO103=AO97,1,0)</f>
        <v>1</v>
      </c>
      <c r="AS103" s="29">
        <f>IF(AO103=AO99,1,0)</f>
        <v>1</v>
      </c>
      <c r="AT103" s="29">
        <f>IF(AO103=AO101,1,0)</f>
        <v>1</v>
      </c>
      <c r="AW103" s="29" t="str">
        <f>IF(AN103=1,0,IF($G$5="X",0,IF(AO103="","",SUM(AP103:AV103))))</f>
        <v/>
      </c>
      <c r="AX103" s="117" t="str">
        <f>IF(AW103=1,AX92,"")</f>
        <v/>
      </c>
      <c r="AY103" s="117" t="str">
        <f>IF(AW103=1,$AY$12,"")</f>
        <v/>
      </c>
      <c r="AZ103" s="116" t="str">
        <f>IF($A$1=1,"",IF(H103="",1,0))</f>
        <v/>
      </c>
      <c r="BA103" s="29" t="str">
        <f>IF($A$1=1,"",IF(H103="",1,0))</f>
        <v/>
      </c>
      <c r="BB103" s="29" t="str">
        <f>IF(AZ103=1,$BB$92,"")</f>
        <v/>
      </c>
      <c r="BC103" s="116">
        <f>IF(I103="n / a",1,0)</f>
        <v>0</v>
      </c>
      <c r="BD103" s="29" t="str">
        <f>IF(BC103=1,REPT(Sprache!$K$27,1),"")</f>
        <v/>
      </c>
      <c r="BE103" s="29">
        <f>SUM(Steuerung!$Y$3)</f>
        <v>1</v>
      </c>
      <c r="BF103" s="29">
        <f>IF(M103="",100,VLOOKUP(M103,Steuerung!$A$39:$B$60,2,FALSE))</f>
        <v>100</v>
      </c>
      <c r="BG103" s="29">
        <f>IF(BE103=BF103,0,IF(BE103&lt;BF103,0,1))</f>
        <v>0</v>
      </c>
      <c r="BH103" s="29" t="str">
        <f>IF(BE103&gt;20,LEFT(M103,1),"")</f>
        <v/>
      </c>
      <c r="BI103" s="29">
        <f>IF(BH103="2",BE103-BF103,0)</f>
        <v>0</v>
      </c>
      <c r="BJ103" s="29">
        <f>IF(BI103=0,0,1)</f>
        <v>0</v>
      </c>
      <c r="BK103" s="29">
        <f>IF(BL103&gt;0,1,0)</f>
        <v>0</v>
      </c>
      <c r="BL103" s="116">
        <f>SUM(BG103,BJ103)</f>
        <v>0</v>
      </c>
      <c r="BM103" s="29" t="str">
        <f>IF(BL103=0,"",Sprache!$K$49)</f>
        <v/>
      </c>
    </row>
    <row r="104" spans="2:78" ht="6" customHeight="1">
      <c r="D104" s="113"/>
      <c r="E104" s="113"/>
      <c r="I104" s="126"/>
      <c r="Q104" s="113"/>
      <c r="R104" s="113"/>
      <c r="S104" s="158"/>
      <c r="W104" s="151"/>
      <c r="AE104" s="111"/>
      <c r="AF104" s="111"/>
      <c r="AG104" s="111"/>
      <c r="AH104" s="103"/>
      <c r="AI104" s="103"/>
      <c r="AJ104" s="103"/>
      <c r="AK104" s="111"/>
      <c r="AL104" s="111"/>
      <c r="AM104" s="111"/>
      <c r="AX104" s="115"/>
      <c r="AY104" s="115"/>
    </row>
    <row r="105" spans="2:78">
      <c r="B105" s="119" t="str">
        <f>IF($A$1=1,"",CONCATENATE(BB105,BD105,AY105,BM105))</f>
        <v/>
      </c>
      <c r="D105" s="120" t="str">
        <f>IF(AC105=0,"",AC105)</f>
        <v/>
      </c>
      <c r="E105" s="121" t="str">
        <f>IF(AD105=0,"",AD105)</f>
        <v/>
      </c>
      <c r="F105" s="118"/>
      <c r="G105" s="152" t="str">
        <f>IF($A$1=2,AO105,IF($A$1=1,"",IF($A$1=3,"",SUM($G$3/100))))</f>
        <v/>
      </c>
      <c r="H105" s="123"/>
      <c r="I105" s="125" t="str">
        <f>IF($A$1=1,"",IF($A$1=3,"",IF(AN105=1,VLOOKUP(AO105,Licenses!B:C,2,FALSE),IF($G$5="x",VLOOKUP(AO105,Licenses!B:C,2,FALSE),IF(BL105=0,IF(AA105="","",VLOOKUP(AO105,Licenses!B:C,2,FALSE)),BM105)))))</f>
        <v/>
      </c>
      <c r="J105" s="118"/>
      <c r="K105" s="124" t="str">
        <f>IF(AA105="","",VLOOKUP(AO105,Licenses!B:D,3,FALSE))</f>
        <v/>
      </c>
      <c r="L105" s="118"/>
      <c r="M105" s="124" t="str">
        <f>REPT(T105,1)</f>
        <v/>
      </c>
      <c r="N105" s="118"/>
      <c r="O105" s="124" t="str">
        <f>IF(M105="","",IF(AA105="","",VLOOKUP(AO105,Licenses!B:I,8,FALSE)))</f>
        <v/>
      </c>
      <c r="Q105" s="120" t="s">
        <v>779</v>
      </c>
      <c r="R105" s="149" t="str">
        <f>IF($A$1=2,W105,"")</f>
        <v/>
      </c>
      <c r="S105" s="157"/>
      <c r="T105" s="29" t="str">
        <f>IF($A$1=3,"",IF(U105=0,"",IF(U105="","",U105)))</f>
        <v/>
      </c>
      <c r="U105" s="29" t="str">
        <f>IF($A$1=3,"",IF(H105="","",VLOOKUP(AO105,Licenses!B:H,7,FALSE)))</f>
        <v/>
      </c>
      <c r="V105" s="29" t="str">
        <f>IF(AA105="","",VLOOKUP(AO105,Licenses!B:H,7,FALSE))</f>
        <v/>
      </c>
      <c r="W105" s="29">
        <v>2.6</v>
      </c>
      <c r="Y105" s="29" t="str">
        <f>IF($A$1=2,VLOOKUP(W105,$E$73:$H$87,4,FALSE),"")</f>
        <v/>
      </c>
      <c r="Z105" s="29">
        <f>SUM($G$3/100)</f>
        <v>0</v>
      </c>
      <c r="AA105" s="29" t="str">
        <f>IF(Y105=0,"",Y105)</f>
        <v/>
      </c>
      <c r="AB105" s="29">
        <f>IF($A$1=3,AK105,IF($A$1=2,AH105,IF($A$1=1,AE105,0)))</f>
        <v>0</v>
      </c>
      <c r="AC105" s="29">
        <f>IF($A$1=3,0,IF($A$1=1,AF105,AI105))</f>
        <v>0</v>
      </c>
      <c r="AD105" s="29">
        <f>IF($A$1=3,0,IF($A$1=1,AG105,AJ105))</f>
        <v>0</v>
      </c>
      <c r="AE105" s="110"/>
      <c r="AF105" s="110"/>
      <c r="AG105" s="110"/>
      <c r="AH105" s="101">
        <v>39</v>
      </c>
      <c r="AI105" s="101" t="s">
        <v>848</v>
      </c>
      <c r="AJ105" s="101">
        <v>3.7</v>
      </c>
      <c r="AK105" s="110"/>
      <c r="AL105" s="110"/>
      <c r="AM105" s="110"/>
      <c r="AO105" s="114" t="str">
        <f>IF($A$1=3,"",IF($A$1=1,"",IF($G$5="X",$G$3,IF(AA105="","",SUM(AA105*1,$G$3)))))</f>
        <v/>
      </c>
      <c r="AP105" s="29">
        <f>IF(AO105=AO93,1,0)</f>
        <v>1</v>
      </c>
      <c r="AQ105" s="29">
        <f>IF(AO105=AO95,1,0)</f>
        <v>1</v>
      </c>
      <c r="AR105" s="29">
        <f>IF(AO105=AO97,1,0)</f>
        <v>1</v>
      </c>
      <c r="AS105" s="29">
        <f>IF(AO105=AO99,1,0)</f>
        <v>1</v>
      </c>
      <c r="AT105" s="29">
        <f>IF(AO105=AO101,1,0)</f>
        <v>1</v>
      </c>
      <c r="AU105" s="29">
        <f>IF(AO105=AO103,1,0)</f>
        <v>1</v>
      </c>
      <c r="AW105" s="29" t="str">
        <f>IF($G$5="X",0,IF(AO105="","",SUM(AP105:AV105)))</f>
        <v/>
      </c>
      <c r="AX105" s="117" t="str">
        <f>IF(AW105=1,AX92,"")</f>
        <v/>
      </c>
      <c r="AY105" s="117" t="str">
        <f>IF(AW105=1,$AY$12,"")</f>
        <v/>
      </c>
      <c r="AZ105" s="116" t="str">
        <f>IF($A$1=1,"",IF($A$1=3,"",IF(H105="",1,0)))</f>
        <v/>
      </c>
      <c r="BA105" s="29" t="str">
        <f>IF($A$1=1,"",IF($A$1=3,"",IF(H105="",1,0)))</f>
        <v/>
      </c>
      <c r="BB105" s="29" t="str">
        <f>IF(AZ105=1,$BB$92,"")</f>
        <v/>
      </c>
      <c r="BC105" s="116">
        <f>IF($A$1=3,"",IF(I105="n / a",1,0))</f>
        <v>0</v>
      </c>
      <c r="BD105" s="29" t="str">
        <f>IF(BC105=1,REPT(Sprache!$K$27,1),"")</f>
        <v/>
      </c>
      <c r="BE105" s="29">
        <f>SUM(Steuerung!$Y$3)</f>
        <v>1</v>
      </c>
      <c r="BF105" s="29">
        <f>IF(M105="",100,VLOOKUP(M105,Steuerung!$A$39:$B$60,2,FALSE))</f>
        <v>100</v>
      </c>
      <c r="BG105" s="29">
        <f>IF(BE105=BF105,0,IF(BE105&lt;BF105,0,1))</f>
        <v>0</v>
      </c>
      <c r="BH105" s="29" t="str">
        <f>IF(BE105&gt;20,LEFT(M105,1),"")</f>
        <v/>
      </c>
      <c r="BI105" s="29">
        <f>IF(BH105="2",BE105-BF105,0)</f>
        <v>0</v>
      </c>
      <c r="BJ105" s="29">
        <f>IF(BI105=0,0,1)</f>
        <v>0</v>
      </c>
      <c r="BK105" s="29">
        <f>IF(BL105&gt;0,1,0)</f>
        <v>0</v>
      </c>
      <c r="BL105" s="116">
        <f>SUM(BG105,BJ105)</f>
        <v>0</v>
      </c>
      <c r="BM105" s="29" t="str">
        <f>IF(BL105=0,"",Sprache!$K$49)</f>
        <v/>
      </c>
    </row>
    <row r="106" spans="2:78" ht="6" customHeight="1">
      <c r="D106" s="113"/>
      <c r="E106" s="113"/>
      <c r="I106" s="126"/>
      <c r="Q106" s="113"/>
      <c r="R106" s="113"/>
      <c r="S106" s="158"/>
      <c r="W106" s="151"/>
      <c r="AE106" s="111"/>
      <c r="AF106" s="111"/>
      <c r="AG106" s="111"/>
      <c r="AH106" s="103"/>
      <c r="AI106" s="103"/>
      <c r="AJ106" s="103"/>
      <c r="AK106" s="111"/>
      <c r="AL106" s="111"/>
      <c r="AM106" s="111"/>
      <c r="AX106" s="115"/>
      <c r="AY106" s="115"/>
    </row>
    <row r="107" spans="2:78">
      <c r="B107" s="119" t="str">
        <f>IF($A$1=1,"",CONCATENATE(BB107,BD107,AY107,BM107))</f>
        <v/>
      </c>
      <c r="D107" s="120" t="str">
        <f>IF(AC107=0,"",AC107)</f>
        <v/>
      </c>
      <c r="E107" s="121" t="str">
        <f>IF(AD107=0,"",AD107)</f>
        <v/>
      </c>
      <c r="F107" s="118"/>
      <c r="G107" s="152" t="str">
        <f>IF($A$1=2,AO107,IF($A$1=1,"",IF($A$1=3,"",SUM($G$3/100))))</f>
        <v/>
      </c>
      <c r="H107" s="123"/>
      <c r="I107" s="125" t="str">
        <f>IF($A$1=1,"",IF($A$1=3,"",IF(AN107=1,VLOOKUP(AO107,Licenses!B:C,2,FALSE),IF($G$5="x",VLOOKUP(AO107,Licenses!B:C,2,FALSE),IF(BL107=0,IF(AA107="","",VLOOKUP(AO107,Licenses!B:C,2,FALSE)),BM107)))))</f>
        <v/>
      </c>
      <c r="J107" s="118"/>
      <c r="K107" s="124" t="str">
        <f>IF(AA107="","",VLOOKUP(AO107,Licenses!B:D,3,FALSE))</f>
        <v/>
      </c>
      <c r="L107" s="118"/>
      <c r="M107" s="124" t="str">
        <f>REPT(T107,1)</f>
        <v/>
      </c>
      <c r="N107" s="118"/>
      <c r="O107" s="124" t="str">
        <f>IF(M107="","",IF(AA107="","",VLOOKUP(AO107,Licenses!B:I,8,FALSE)))</f>
        <v/>
      </c>
      <c r="Q107" s="120" t="s">
        <v>779</v>
      </c>
      <c r="R107" s="149" t="str">
        <f>IF($A$1=2,W107,"")</f>
        <v/>
      </c>
      <c r="S107" s="157"/>
      <c r="T107" s="29" t="str">
        <f>IF($A$1=3,"",IF(U107=0,"",IF(U107="","",U107)))</f>
        <v/>
      </c>
      <c r="U107" s="29" t="str">
        <f>IF($A$1=3,"",IF(H107="","",VLOOKUP(AO107,Licenses!B:H,7,FALSE)))</f>
        <v/>
      </c>
      <c r="V107" s="29" t="str">
        <f>IF(AA107="","",VLOOKUP(AO107,Licenses!B:H,7,FALSE))</f>
        <v/>
      </c>
      <c r="W107" s="29">
        <v>2.5</v>
      </c>
      <c r="Y107" s="29" t="str">
        <f>IF($A$1=2,VLOOKUP(W107,$E$73:$H$87,4,FALSE),"")</f>
        <v/>
      </c>
      <c r="Z107" s="29">
        <f>SUM($G$3/100)</f>
        <v>0</v>
      </c>
      <c r="AA107" s="29" t="str">
        <f>IF(Y107=0,"",Y107)</f>
        <v/>
      </c>
      <c r="AB107" s="29">
        <f>IF($A$1=3,AK107,IF($A$1=2,AH107,IF($A$1=1,AE107,0)))</f>
        <v>0</v>
      </c>
      <c r="AC107" s="29">
        <f>IF($A$1=3,0,IF($A$1=1,AF107,AI107))</f>
        <v>0</v>
      </c>
      <c r="AD107" s="29">
        <f>IF($A$1=3,0,IF($A$1=1,AG107,AJ107))</f>
        <v>0</v>
      </c>
      <c r="AE107" s="110"/>
      <c r="AF107" s="110"/>
      <c r="AG107" s="110"/>
      <c r="AH107" s="101">
        <v>40</v>
      </c>
      <c r="AI107" s="101" t="s">
        <v>848</v>
      </c>
      <c r="AJ107" s="101">
        <v>3.8</v>
      </c>
      <c r="AK107" s="110"/>
      <c r="AL107" s="110"/>
      <c r="AM107" s="110"/>
      <c r="AO107" s="114" t="str">
        <f>IF($A$1=3,"",IF($A$1=1,"",IF($G$5="X",$G$3,IF(AA107="","",SUM(AA107*1,$G$3)))))</f>
        <v/>
      </c>
      <c r="AP107" s="29">
        <f>IF(AO107=AO93,1,0)</f>
        <v>1</v>
      </c>
      <c r="AQ107" s="29">
        <f>IF(AO107=AO95,1,0)</f>
        <v>1</v>
      </c>
      <c r="AR107" s="29">
        <f>IF(AO107=AO97,1,0)</f>
        <v>1</v>
      </c>
      <c r="AS107" s="29">
        <f>IF(AO107=AO99,1,0)</f>
        <v>1</v>
      </c>
      <c r="AT107" s="29">
        <f>IF(AO107=AO101,1,0)</f>
        <v>1</v>
      </c>
      <c r="AU107" s="29">
        <f>IF(AO107=AO103,1,0)</f>
        <v>1</v>
      </c>
      <c r="AV107" s="29">
        <f>IF(AO107=AO105,1,0)</f>
        <v>1</v>
      </c>
      <c r="AW107" s="29" t="str">
        <f>IF(AN107=1,0,IF($G$5="X",0,IF(AO107="","",SUM(AP107:AV107))))</f>
        <v/>
      </c>
      <c r="AX107" s="117" t="str">
        <f>IF(AW107=1,AX92,"")</f>
        <v/>
      </c>
      <c r="AY107" s="117" t="str">
        <f>IF(AW107=1,$AY$12,"")</f>
        <v/>
      </c>
      <c r="AZ107" s="116" t="str">
        <f>IF($A$1=1,"",IF($A$1=3,"",IF(H107="",1,0)))</f>
        <v/>
      </c>
      <c r="BA107" s="29" t="str">
        <f>IF($A$1=1,"",IF($A$1=3,"",IF(H107="",1,0)))</f>
        <v/>
      </c>
      <c r="BB107" s="29" t="str">
        <f>IF(AZ107=1,$BB$92,"")</f>
        <v/>
      </c>
      <c r="BC107" s="116">
        <f>IF($A$1=3,"",IF(I107="n / a",1,0))</f>
        <v>0</v>
      </c>
      <c r="BD107" s="29" t="str">
        <f>IF(BC107=1,REPT(Sprache!$K$27,1),"")</f>
        <v/>
      </c>
      <c r="BE107" s="29">
        <f>SUM(Steuerung!$Y$3)</f>
        <v>1</v>
      </c>
      <c r="BF107" s="29">
        <f>IF(M107="",100,VLOOKUP(M107,Steuerung!$A$39:$B$60,2,FALSE))</f>
        <v>100</v>
      </c>
      <c r="BG107" s="29">
        <f>IF(BE107=BF107,0,IF(BE107&lt;BF107,0,1))</f>
        <v>0</v>
      </c>
      <c r="BH107" s="29" t="str">
        <f>IF(BE107&gt;20,LEFT(M107,1),"")</f>
        <v/>
      </c>
      <c r="BI107" s="29">
        <f>IF(BH107="2",BE107-BF107,0)</f>
        <v>0</v>
      </c>
      <c r="BJ107" s="29">
        <f>IF(BI107=0,0,1)</f>
        <v>0</v>
      </c>
      <c r="BK107" s="29">
        <f>IF(BL107&gt;0,1,0)</f>
        <v>0</v>
      </c>
      <c r="BL107" s="116">
        <f>SUM(BG107,BJ107)</f>
        <v>0</v>
      </c>
      <c r="BM107" s="29" t="str">
        <f>IF(BL107=0,"",Sprache!$K$49)</f>
        <v/>
      </c>
    </row>
    <row r="108" spans="2:78">
      <c r="V108" s="29">
        <f>SUM('Matchblatt  FEUILLE DE MATCH'!BR16)</f>
        <v>0</v>
      </c>
    </row>
    <row r="109" spans="2:78">
      <c r="V109" s="29">
        <v>28</v>
      </c>
      <c r="W109" s="29">
        <v>32</v>
      </c>
      <c r="X109" s="29">
        <v>24</v>
      </c>
      <c r="AW109" s="131">
        <f>SUM(AW93:AW107)</f>
        <v>0</v>
      </c>
      <c r="AZ109" s="131">
        <f>IF(A1=1,IF(Y113=1,BA93+BA95,IF(AY93=0,0,SUM(AZ93:AZ107))),0)</f>
        <v>0</v>
      </c>
      <c r="BC109" s="131">
        <f>SUM(BC93:BC107)</f>
        <v>0</v>
      </c>
      <c r="BK109" s="131">
        <f>SUM(BK93:BK107)</f>
        <v>0</v>
      </c>
      <c r="BL109" s="131">
        <f>SUM(BK109)</f>
        <v>0</v>
      </c>
    </row>
    <row r="110" spans="2:78">
      <c r="V110" s="29">
        <v>14</v>
      </c>
      <c r="W110" s="29">
        <v>16</v>
      </c>
      <c r="X110" s="29">
        <v>12</v>
      </c>
    </row>
    <row r="111" spans="2:78">
      <c r="I111" s="102" t="str">
        <f>IF($A$1=3,Sprache!K43,IF($A$1=2,Sprache!K43,IF($A$1=1,"","")))</f>
        <v/>
      </c>
      <c r="J111" s="91"/>
      <c r="K111" s="85" t="str">
        <f>REPT(Sprache!$K$44,1)</f>
        <v>Spieler-Nr.</v>
      </c>
      <c r="L111" s="82"/>
      <c r="M111" s="85" t="str">
        <f>REPT(Sprache!$K$15,1)</f>
        <v>Liga</v>
      </c>
      <c r="N111" s="100"/>
      <c r="O111" s="85" t="str">
        <f>REPT(Sprache!$K$45,1)</f>
        <v>Qualifiziert für:</v>
      </c>
      <c r="V111" s="29" t="s">
        <v>7</v>
      </c>
      <c r="W111" s="29" t="s">
        <v>12</v>
      </c>
      <c r="X111" s="29">
        <f>IF($A$1=3,X110,IF($A$1=2,W110,IF($A$1=1,V110,0)))</f>
        <v>14</v>
      </c>
      <c r="AE111" s="110"/>
      <c r="AF111" s="110"/>
      <c r="AG111" s="110"/>
      <c r="AH111" s="101"/>
      <c r="AI111" s="101" t="s">
        <v>820</v>
      </c>
      <c r="AJ111" s="101"/>
      <c r="AK111" s="108"/>
      <c r="AL111" s="108" t="s">
        <v>819</v>
      </c>
      <c r="AM111" s="108"/>
    </row>
    <row r="112" spans="2:78">
      <c r="V112" s="129">
        <f>SUM('Matchblatt  FEUILLE DE MATCH'!N116)</f>
        <v>0</v>
      </c>
      <c r="W112" s="129">
        <f>SUM('Matchblatt  FEUILLE DE MATCH'!O116)</f>
        <v>0</v>
      </c>
      <c r="X112" s="29" t="s">
        <v>844</v>
      </c>
      <c r="Y112" s="29" t="s">
        <v>845</v>
      </c>
      <c r="AE112" s="110"/>
      <c r="AF112" s="110"/>
      <c r="AG112" s="110"/>
      <c r="AH112" s="101"/>
      <c r="AI112" s="101"/>
      <c r="AJ112" s="101"/>
      <c r="AK112" s="108"/>
      <c r="AL112" s="108"/>
      <c r="AM112" s="108"/>
      <c r="AX112" s="115" t="str">
        <f>REPT(Sprache!K48,1)</f>
        <v>***!!!!!!!!!!Doppelter Eintrag!!!!!!!!!!***</v>
      </c>
      <c r="AY112" s="115" t="str">
        <f>REPT(Sprache!K35,1)</f>
        <v>** A C H T U N G - D O P P E L T E  L I Z E N Z - N U M M E R !!! **</v>
      </c>
      <c r="AZ112" s="29">
        <v>2</v>
      </c>
      <c r="BA112" s="29">
        <f>SUM(AZ113:AZ115)</f>
        <v>0</v>
      </c>
      <c r="BB112" s="29" t="str">
        <f>IF(Y113=1,"",IF(X113=1,Sprache!$K$29,""))</f>
        <v/>
      </c>
      <c r="BE112" s="29" t="s">
        <v>827</v>
      </c>
      <c r="BF112" s="29" t="s">
        <v>834</v>
      </c>
      <c r="BJ112" s="29" t="s">
        <v>840</v>
      </c>
      <c r="BL112" s="29" t="s">
        <v>841</v>
      </c>
    </row>
    <row r="113" spans="2:79">
      <c r="B113" s="119" t="str">
        <f>CONCATENATE(BB113,BD113,CA113,BM113)</f>
        <v/>
      </c>
      <c r="D113" s="120" t="str">
        <f>IF(AC113=0,"",AC113)</f>
        <v/>
      </c>
      <c r="E113" s="121" t="str">
        <f>IF(AD113=0,"",AD113)</f>
        <v/>
      </c>
      <c r="F113" s="118"/>
      <c r="G113" s="152" t="str">
        <f>IF(X113=1,IF($A$1=1,"",SUM($G$3/100)),"")</f>
        <v/>
      </c>
      <c r="H113" s="150"/>
      <c r="I113" s="125" t="str">
        <f>IF(X113=0,"",IF(BZ113=1,CA113,IF($A$1=1,"",IF($G$5="x",VLOOKUP(AO113,Licenses!B:C,2,FALSE),IF(BL113=0,IF(H113="","",VLOOKUP(AO113,Licenses!B:C,2,FALSE)),BM113)))))</f>
        <v/>
      </c>
      <c r="J113" s="118"/>
      <c r="K113" s="124" t="str">
        <f>IF(X113=0,"",IF(H113="","",VLOOKUP(AO113,Licenses!B:D,3,FALSE)))</f>
        <v/>
      </c>
      <c r="L113" s="118"/>
      <c r="M113" s="124" t="str">
        <f>REPT(T113,1)</f>
        <v/>
      </c>
      <c r="N113" s="118"/>
      <c r="O113" s="124" t="str">
        <f>IF(M113="","",IF(X113=0,"",IF(H113="","",VLOOKUP(AO113,Licenses!B:I,8,FALSE))))</f>
        <v/>
      </c>
      <c r="T113" s="29" t="str">
        <f>IF(G113="","",IF(U113=0,"",IF(U113="","",U113)))</f>
        <v/>
      </c>
      <c r="U113" s="29" t="str">
        <f>IF(H113="","",VLOOKUP(AO113,Licenses!B:H,7,FALSE))</f>
        <v/>
      </c>
      <c r="V113" s="29">
        <f>IF(V112=X111,1,0)</f>
        <v>0</v>
      </c>
      <c r="W113" s="29">
        <f>IF(W112=X111,1,0)</f>
        <v>0</v>
      </c>
      <c r="X113" s="128">
        <f>IF(A1=1,0,IF(V113+W113=2,1,0))</f>
        <v>0</v>
      </c>
      <c r="Y113" s="130">
        <f>IF(A1=1,IF(V113+W113=2,1,0),"")</f>
        <v>0</v>
      </c>
      <c r="AB113" s="29">
        <f>IF($A$1=3,0,IF($A$1=1,AE113,AH113))</f>
        <v>0</v>
      </c>
      <c r="AC113" s="29" t="str">
        <f>IF(X113=0,"",IF($A$1=1,AF113,AI113))</f>
        <v/>
      </c>
      <c r="AD113" s="29" t="str">
        <f>IF(X113=0,"",IF($A$1=1,AG113,AJ113))</f>
        <v/>
      </c>
      <c r="AE113" s="110"/>
      <c r="AF113" s="110"/>
      <c r="AG113" s="110"/>
      <c r="AH113" s="101">
        <v>41</v>
      </c>
      <c r="AI113" s="101" t="s">
        <v>778</v>
      </c>
      <c r="AJ113" s="101">
        <v>4.0999999999999996</v>
      </c>
      <c r="AK113" s="108">
        <v>31</v>
      </c>
      <c r="AL113" s="108" t="s">
        <v>778</v>
      </c>
      <c r="AM113" s="108">
        <v>4.0999999999999996</v>
      </c>
      <c r="AO113" s="114" t="str">
        <f>IF(X113=0,"",IF(A1=1,AO93,IF(H113="","",SUM(H113*1,$G$3))))</f>
        <v/>
      </c>
      <c r="AX113" s="115"/>
      <c r="AY113" s="115">
        <f>IF($G$5="X",0,IF(AZ112=BA112,0,1))</f>
        <v>1</v>
      </c>
      <c r="AZ113" s="116">
        <f>IF(X113=0,0,IF(H113="",1,0))</f>
        <v>0</v>
      </c>
      <c r="BA113" s="29">
        <f>IF(H113="",1,0)</f>
        <v>1</v>
      </c>
      <c r="BB113" s="29" t="str">
        <f>IF(AZ113=1,$BB$112,"")</f>
        <v/>
      </c>
      <c r="BC113" s="116">
        <f>IF(I113="n / a",1,0)</f>
        <v>0</v>
      </c>
      <c r="BD113" s="29" t="str">
        <f>IF(BC113=1,REPT(Sprache!$K$27,1),"")</f>
        <v/>
      </c>
      <c r="BE113" s="29">
        <f>SUM(Steuerung!$Y$3)</f>
        <v>1</v>
      </c>
      <c r="BF113" s="29">
        <f>IF(M113="",100,VLOOKUP(M113,Steuerung!$A$39:$B$60,2,FALSE))</f>
        <v>100</v>
      </c>
      <c r="BG113" s="29">
        <f>IF(BE113=BF113,0,IF(BE113&lt;BF113,0,1))</f>
        <v>0</v>
      </c>
      <c r="BH113" s="29" t="str">
        <f>IF(BE113&gt;20,LEFT(M113,1),"")</f>
        <v/>
      </c>
      <c r="BI113" s="29">
        <f>IF(BH113="2",BE113-BF113,0)</f>
        <v>0</v>
      </c>
      <c r="BJ113" s="29">
        <f>IF(BI113=0,0,1)</f>
        <v>0</v>
      </c>
      <c r="BK113" s="29">
        <f>IF(BL113&gt;0,1,0)</f>
        <v>0</v>
      </c>
      <c r="BL113" s="116">
        <f>SUM(BG113,BJ113)</f>
        <v>0</v>
      </c>
      <c r="BM113" s="29" t="str">
        <f>IF(BL113=0,"",Sprache!$K$49)</f>
        <v/>
      </c>
      <c r="BN113" s="29">
        <v>1</v>
      </c>
      <c r="BO113" s="29">
        <v>1</v>
      </c>
      <c r="BP113" s="29">
        <v>1</v>
      </c>
      <c r="BQ113" s="29">
        <f>IF($A$1=1,BN113,0)</f>
        <v>1</v>
      </c>
      <c r="BR113" s="29">
        <f>IF($A$1=2,BO113,0)</f>
        <v>0</v>
      </c>
      <c r="BS113" s="29">
        <f>IF($A$1=3,BP113,0)</f>
        <v>0</v>
      </c>
      <c r="BU113" s="127">
        <f>IF(BW113=1,H113,"")</f>
        <v>0</v>
      </c>
      <c r="BV113" s="127" t="str">
        <f>CONCATENATE(BU113,BU115)</f>
        <v>00</v>
      </c>
      <c r="BW113" s="29">
        <f>SUM(BQ113:BS113)</f>
        <v>1</v>
      </c>
      <c r="BX113" s="29">
        <f>VLOOKUP(BV113,$BV$13:$BW$67,2,FALSE)</f>
        <v>1</v>
      </c>
      <c r="BY113" s="29" t="b">
        <f>ISERROR(BX113)</f>
        <v>0</v>
      </c>
      <c r="BZ113" s="116" t="str">
        <f>IF(H113="","",IF(Y113=1,"",IF(X113=1,IF(BY113=FALSE,1,0),0)))</f>
        <v/>
      </c>
      <c r="CA113" s="29" t="str">
        <f>IF(BZ113=1,Sprache!K28,"")</f>
        <v/>
      </c>
    </row>
    <row r="114" spans="2:79" ht="6" customHeight="1">
      <c r="D114" s="113"/>
      <c r="E114" s="113"/>
      <c r="I114" s="126"/>
      <c r="AE114" s="111"/>
      <c r="AF114" s="111"/>
      <c r="AG114" s="111"/>
      <c r="AH114" s="103"/>
      <c r="AI114" s="103"/>
      <c r="AJ114" s="103"/>
      <c r="AK114" s="109"/>
      <c r="AL114" s="109"/>
      <c r="AM114" s="109"/>
      <c r="AX114" s="115"/>
      <c r="AY114" s="115"/>
    </row>
    <row r="115" spans="2:79">
      <c r="B115" s="119" t="str">
        <f>CONCATENATE(BB115,BD115,AY115,BM115,CA115)</f>
        <v/>
      </c>
      <c r="D115" s="29" t="str">
        <f>IF(AC115=0,"",AC115)</f>
        <v/>
      </c>
      <c r="E115" s="29" t="str">
        <f>IF(AD115=0,"",AD115)</f>
        <v/>
      </c>
      <c r="F115" s="118"/>
      <c r="G115" s="152" t="str">
        <f>IF(X113=1,IF($A$1=1,"",SUM($G$3/100)),"")</f>
        <v/>
      </c>
      <c r="H115" s="150"/>
      <c r="I115" s="125" t="str">
        <f>IF(X113=0,"",IF(BZ115=1,CA115,IF($A$1=1,"",IF($G$5="x",VLOOKUP(AO115,Licenses!B:C,2,FALSE),IF(BL115=0,IF(H115="","",VLOOKUP(AO115,Licenses!B:C,2,FALSE)),BM115)))))</f>
        <v/>
      </c>
      <c r="J115" s="118"/>
      <c r="K115" s="124" t="str">
        <f>IF(X113=0,"",IF(H115="","",VLOOKUP(AO115,Licenses!B:D,3,FALSE)))</f>
        <v/>
      </c>
      <c r="L115" s="118"/>
      <c r="M115" s="124" t="str">
        <f>REPT(T115,1)</f>
        <v/>
      </c>
      <c r="N115" s="118"/>
      <c r="O115" s="124" t="str">
        <f>IF(M113="","",IF(X113=0,"",IF(H115="","",VLOOKUP(AO115,Licenses!B:I,8,FALSE))))</f>
        <v/>
      </c>
      <c r="T115" s="29" t="str">
        <f>IF(G115="","",IF(U115=0,"",IF(U115="","",U115)))</f>
        <v/>
      </c>
      <c r="U115" s="29" t="str">
        <f>IF(H115="","",VLOOKUP(AO115,Licenses!B:H,7,FALSE))</f>
        <v/>
      </c>
      <c r="AB115" s="29">
        <f>IF($A$1=3,0,IF($A$1=1,AE115,AH115))</f>
        <v>0</v>
      </c>
      <c r="AE115" s="110"/>
      <c r="AF115" s="110"/>
      <c r="AG115" s="110"/>
      <c r="AH115" s="101">
        <v>42</v>
      </c>
      <c r="AI115" s="101"/>
      <c r="AJ115" s="101"/>
      <c r="AK115" s="108">
        <v>32</v>
      </c>
      <c r="AL115" s="108"/>
      <c r="AM115" s="108"/>
      <c r="AO115" s="114" t="str">
        <f>IF(X113=0,"",IF(A1=1,AO95,IF(H115="","",SUM(H115*1,$G$3))))</f>
        <v/>
      </c>
      <c r="AP115" s="29">
        <f>IF(AO113="",0,IF(X113=0,"",IF(AO115=AO113,1,0)))</f>
        <v>0</v>
      </c>
      <c r="AW115" s="29" t="str">
        <f>IF($G$5="X",0,IF(AO115="","",SUM(AP115:AV115)))</f>
        <v/>
      </c>
      <c r="AX115" s="117" t="str">
        <f>IF(AW115=1,AX112,"")</f>
        <v/>
      </c>
      <c r="AY115" s="117" t="str">
        <f>IF(AW115=1,$AY$12,"")</f>
        <v/>
      </c>
      <c r="AZ115" s="116">
        <f>IF(X113=0,0,IF(H115="",1,0))</f>
        <v>0</v>
      </c>
      <c r="BA115" s="29">
        <f>IF(H115="",1,0)</f>
        <v>1</v>
      </c>
      <c r="BB115" s="29" t="str">
        <f>IF(AZ115=1,$BB$112,"")</f>
        <v/>
      </c>
      <c r="BC115" s="116">
        <f>IF(I115="n / a",1,0)</f>
        <v>0</v>
      </c>
      <c r="BD115" s="29" t="str">
        <f>IF(BC115=1,REPT(Sprache!$K$27,1),"")</f>
        <v/>
      </c>
      <c r="BE115" s="29">
        <f>SUM(Steuerung!$Y$3)</f>
        <v>1</v>
      </c>
      <c r="BF115" s="29">
        <f>IF(M115="",100,VLOOKUP(M115,Steuerung!$A$39:$B$60,2,FALSE))</f>
        <v>100</v>
      </c>
      <c r="BG115" s="29">
        <f>IF(BE115=BF115,0,IF(BE115&lt;BF115,0,1))</f>
        <v>0</v>
      </c>
      <c r="BH115" s="29" t="str">
        <f>IF(BE115&gt;20,LEFT(M115,1),"")</f>
        <v/>
      </c>
      <c r="BI115" s="29">
        <f>IF(BH115="2",BE115-BF115,0)</f>
        <v>0</v>
      </c>
      <c r="BJ115" s="29">
        <f>IF(BI115=0,0,1)</f>
        <v>0</v>
      </c>
      <c r="BK115" s="29">
        <f>IF(BL115&gt;0,1,0)</f>
        <v>0</v>
      </c>
      <c r="BL115" s="116">
        <f>SUM(BG115,BJ115)</f>
        <v>0</v>
      </c>
      <c r="BM115" s="29" t="str">
        <f>IF(BL115=0,"",Sprache!$K$49)</f>
        <v/>
      </c>
      <c r="BN115" s="29">
        <v>1</v>
      </c>
      <c r="BO115" s="29">
        <v>1</v>
      </c>
      <c r="BP115" s="29">
        <v>1</v>
      </c>
      <c r="BQ115" s="29">
        <f>IF($A$1=1,BN115,0)</f>
        <v>1</v>
      </c>
      <c r="BR115" s="29">
        <f>IF($A$1=2,BO115,0)</f>
        <v>0</v>
      </c>
      <c r="BS115" s="29">
        <f>IF($A$1=3,BP115,0)</f>
        <v>0</v>
      </c>
      <c r="BU115" s="127">
        <f>IF(BW115=1,H115,"")</f>
        <v>0</v>
      </c>
      <c r="BV115" s="127" t="str">
        <f>CONCATENATE(BU115,BU113)</f>
        <v>00</v>
      </c>
      <c r="BW115" s="29">
        <f t="shared" ref="BW115" si="3">SUM(BQ115:BS115)</f>
        <v>1</v>
      </c>
      <c r="BX115" s="29">
        <f t="shared" ref="BX115" si="4">VLOOKUP(BV115,$BV$13:$BW$67,2,FALSE)</f>
        <v>1</v>
      </c>
      <c r="BY115" s="29" t="b">
        <f t="shared" ref="BY115" si="5">ISERROR(BX115)</f>
        <v>0</v>
      </c>
      <c r="BZ115" s="116" t="str">
        <f>IF(H115="","",IF(Y113=1,"",IF(X113=1,IF(BY115=FALSE,1,0),0)))</f>
        <v/>
      </c>
      <c r="CA115" s="29" t="str">
        <f>IF(BZ115=1,Sprache!K28,"")</f>
        <v/>
      </c>
    </row>
    <row r="117" spans="2:79">
      <c r="AW117" s="131">
        <f>SUM(AW115)</f>
        <v>0</v>
      </c>
      <c r="AZ117" s="131">
        <f>IF(X113=1,BA113+BA115,IF(AY113=0,0,SUM(AZ113:AZ115)))</f>
        <v>0</v>
      </c>
      <c r="BC117" s="131">
        <f>SUM(BC113:BC115)</f>
        <v>0</v>
      </c>
      <c r="BK117" s="131">
        <f>SUM(BK113:BK115)</f>
        <v>0</v>
      </c>
      <c r="BL117" s="131">
        <f>SUM(BK117)</f>
        <v>0</v>
      </c>
      <c r="BZ117" s="131">
        <f>SUM(BZ113:BZ115)</f>
        <v>0</v>
      </c>
    </row>
    <row r="119" spans="2:79">
      <c r="BX119" s="29" t="s">
        <v>847</v>
      </c>
      <c r="BZ119" s="131">
        <f>SUM(AZ29,BC29,BL29,AZ49,BC49,BL49,AZ69,BC69,BL69,AZ89,BC89,BL89,AZ109,BC109,BL109,AZ117,BC117,BL117,BZ97,BZ117,AW29,AW49,AW69,AW89,AW109,AW117)</f>
        <v>0</v>
      </c>
    </row>
    <row r="121" spans="2:79">
      <c r="D121" s="132"/>
      <c r="E121" s="132"/>
      <c r="G121" s="133"/>
      <c r="H121" s="82"/>
      <c r="I121" s="134" t="str">
        <f>REPT(Sprache!K50,1)</f>
        <v>Verfügbare Lizenzen</v>
      </c>
      <c r="J121" s="82"/>
      <c r="K121" s="135"/>
      <c r="L121" s="82"/>
    </row>
    <row r="122" spans="2:79">
      <c r="D122" s="132"/>
      <c r="E122" s="132"/>
      <c r="F122" s="132"/>
      <c r="G122" s="133"/>
      <c r="H122" s="82"/>
      <c r="I122" s="82"/>
      <c r="J122" s="82"/>
      <c r="K122" s="135"/>
      <c r="L122" s="82"/>
    </row>
    <row r="123" spans="2:79">
      <c r="G123" s="136" t="s">
        <v>812</v>
      </c>
      <c r="H123" s="137"/>
      <c r="I123" s="138" t="str">
        <f>REPT(Sprache!K33,1)</f>
        <v>Name / Vorname</v>
      </c>
      <c r="J123" s="133"/>
      <c r="K123" s="85" t="str">
        <f>REPT(Sprache!$K$44,1)</f>
        <v>Spieler-Nr.</v>
      </c>
      <c r="L123" s="82"/>
      <c r="M123" s="85" t="str">
        <f>REPT(Sprache!$K$15,1)</f>
        <v>Liga</v>
      </c>
      <c r="N123" s="100"/>
      <c r="O123" s="85" t="str">
        <f>REPT(Sprache!$K$45,1)</f>
        <v>Qualifiziert für:</v>
      </c>
    </row>
    <row r="124" spans="2:79">
      <c r="D124" s="132"/>
      <c r="E124" s="132"/>
      <c r="F124" s="132"/>
      <c r="G124" s="133"/>
      <c r="H124" s="82"/>
      <c r="I124" s="82"/>
      <c r="J124" s="82"/>
      <c r="K124" s="135"/>
      <c r="L124" s="82"/>
    </row>
    <row r="125" spans="2:79">
      <c r="G125" s="139">
        <f>SUM(G3)</f>
        <v>0</v>
      </c>
      <c r="H125" s="140"/>
      <c r="I125" s="141" t="e">
        <f>VLOOKUP(G125,Licenses!B:C,2,FALSE)</f>
        <v>#N/A</v>
      </c>
      <c r="J125" s="142"/>
      <c r="K125" s="143" t="e">
        <f>VLOOKUP(G125,Licenses!B:D,3,FALSE)</f>
        <v>#N/A</v>
      </c>
      <c r="L125" s="144"/>
      <c r="M125" s="143" t="e">
        <f>VLOOKUP(G125,Licenses!B:H,7,FALSE)</f>
        <v>#N/A</v>
      </c>
      <c r="N125" s="142" t="s">
        <v>280</v>
      </c>
      <c r="O125" s="143" t="e">
        <f>VLOOKUP(G125,Licenses!B:I,8,FALSE)</f>
        <v>#N/A</v>
      </c>
    </row>
    <row r="126" spans="2:79">
      <c r="G126" s="145">
        <f>SUM(G125,1)</f>
        <v>1</v>
      </c>
      <c r="H126" s="146"/>
      <c r="I126" s="141" t="e">
        <f>VLOOKUP(G126,Licenses!B:C,2,FALSE)</f>
        <v>#N/A</v>
      </c>
      <c r="J126" s="147"/>
      <c r="K126" s="143" t="e">
        <f>VLOOKUP(G126,Licenses!B:D,3,FALSE)</f>
        <v>#N/A</v>
      </c>
      <c r="L126" s="144"/>
      <c r="M126" s="143" t="e">
        <f>VLOOKUP(G126,Licenses!B:H,7,FALSE)</f>
        <v>#N/A</v>
      </c>
      <c r="N126" s="142" t="s">
        <v>280</v>
      </c>
      <c r="O126" s="143" t="e">
        <f>VLOOKUP(G126,Licenses!B:I,8,FALSE)</f>
        <v>#N/A</v>
      </c>
    </row>
    <row r="127" spans="2:79">
      <c r="G127" s="145">
        <f>SUM(G126,1)</f>
        <v>2</v>
      </c>
      <c r="H127" s="146"/>
      <c r="I127" s="141" t="e">
        <f>VLOOKUP(G127,Licenses!B:C,2,FALSE)</f>
        <v>#N/A</v>
      </c>
      <c r="J127" s="147"/>
      <c r="K127" s="143" t="e">
        <f>VLOOKUP(G127,Licenses!B:D,3,FALSE)</f>
        <v>#N/A</v>
      </c>
      <c r="L127" s="144"/>
      <c r="M127" s="143" t="e">
        <f>VLOOKUP(G127,Licenses!B:H,7,FALSE)</f>
        <v>#N/A</v>
      </c>
      <c r="N127" s="142" t="s">
        <v>280</v>
      </c>
      <c r="O127" s="143" t="e">
        <f>VLOOKUP(G127,Licenses!B:I,8,FALSE)</f>
        <v>#N/A</v>
      </c>
    </row>
    <row r="128" spans="2:79">
      <c r="G128" s="145">
        <f t="shared" ref="G128:G191" si="6">SUM(G127,1)</f>
        <v>3</v>
      </c>
      <c r="H128" s="146"/>
      <c r="I128" s="141" t="e">
        <f>VLOOKUP(G128,Licenses!B:C,2,FALSE)</f>
        <v>#N/A</v>
      </c>
      <c r="J128" s="147"/>
      <c r="K128" s="143" t="e">
        <f>VLOOKUP(G128,Licenses!B:D,3,FALSE)</f>
        <v>#N/A</v>
      </c>
      <c r="L128" s="144"/>
      <c r="M128" s="143" t="e">
        <f>VLOOKUP(G128,Licenses!B:H,7,FALSE)</f>
        <v>#N/A</v>
      </c>
      <c r="N128" s="142" t="s">
        <v>280</v>
      </c>
      <c r="O128" s="143" t="e">
        <f>VLOOKUP(G128,Licenses!B:I,8,FALSE)</f>
        <v>#N/A</v>
      </c>
    </row>
    <row r="129" spans="7:15">
      <c r="G129" s="145">
        <f t="shared" si="6"/>
        <v>4</v>
      </c>
      <c r="H129" s="146"/>
      <c r="I129" s="141" t="e">
        <f>VLOOKUP(G129,Licenses!B:C,2,FALSE)</f>
        <v>#N/A</v>
      </c>
      <c r="J129" s="147"/>
      <c r="K129" s="143" t="e">
        <f>VLOOKUP(G129,Licenses!B:D,3,FALSE)</f>
        <v>#N/A</v>
      </c>
      <c r="L129" s="144"/>
      <c r="M129" s="143" t="e">
        <f>VLOOKUP(G129,Licenses!B:H,7,FALSE)</f>
        <v>#N/A</v>
      </c>
      <c r="N129" s="142" t="s">
        <v>280</v>
      </c>
      <c r="O129" s="143" t="e">
        <f>VLOOKUP(G129,Licenses!B:I,8,FALSE)</f>
        <v>#N/A</v>
      </c>
    </row>
    <row r="130" spans="7:15">
      <c r="G130" s="145">
        <f t="shared" si="6"/>
        <v>5</v>
      </c>
      <c r="H130" s="146"/>
      <c r="I130" s="141" t="e">
        <f>VLOOKUP(G130,Licenses!B:C,2,FALSE)</f>
        <v>#N/A</v>
      </c>
      <c r="J130" s="147"/>
      <c r="K130" s="143" t="e">
        <f>VLOOKUP(G130,Licenses!B:D,3,FALSE)</f>
        <v>#N/A</v>
      </c>
      <c r="L130" s="144"/>
      <c r="M130" s="143" t="e">
        <f>VLOOKUP(G130,Licenses!B:H,7,FALSE)</f>
        <v>#N/A</v>
      </c>
      <c r="N130" s="142" t="s">
        <v>280</v>
      </c>
      <c r="O130" s="143" t="e">
        <f>VLOOKUP(G130,Licenses!B:I,8,FALSE)</f>
        <v>#N/A</v>
      </c>
    </row>
    <row r="131" spans="7:15">
      <c r="G131" s="145">
        <f t="shared" si="6"/>
        <v>6</v>
      </c>
      <c r="H131" s="146"/>
      <c r="I131" s="141" t="e">
        <f>VLOOKUP(G131,Licenses!B:C,2,FALSE)</f>
        <v>#N/A</v>
      </c>
      <c r="J131" s="147"/>
      <c r="K131" s="143" t="e">
        <f>VLOOKUP(G131,Licenses!B:D,3,FALSE)</f>
        <v>#N/A</v>
      </c>
      <c r="L131" s="144"/>
      <c r="M131" s="143" t="e">
        <f>VLOOKUP(G131,Licenses!B:H,7,FALSE)</f>
        <v>#N/A</v>
      </c>
      <c r="N131" s="142" t="s">
        <v>280</v>
      </c>
      <c r="O131" s="143" t="e">
        <f>VLOOKUP(G131,Licenses!B:I,8,FALSE)</f>
        <v>#N/A</v>
      </c>
    </row>
    <row r="132" spans="7:15">
      <c r="G132" s="145">
        <f t="shared" si="6"/>
        <v>7</v>
      </c>
      <c r="H132" s="146"/>
      <c r="I132" s="141" t="e">
        <f>VLOOKUP(G132,Licenses!B:C,2,FALSE)</f>
        <v>#N/A</v>
      </c>
      <c r="J132" s="147"/>
      <c r="K132" s="143" t="e">
        <f>VLOOKUP(G132,Licenses!B:D,3,FALSE)</f>
        <v>#N/A</v>
      </c>
      <c r="L132" s="144"/>
      <c r="M132" s="143" t="e">
        <f>VLOOKUP(G132,Licenses!B:H,7,FALSE)</f>
        <v>#N/A</v>
      </c>
      <c r="N132" s="142" t="s">
        <v>280</v>
      </c>
      <c r="O132" s="143" t="e">
        <f>VLOOKUP(G132,Licenses!B:I,8,FALSE)</f>
        <v>#N/A</v>
      </c>
    </row>
    <row r="133" spans="7:15">
      <c r="G133" s="145">
        <f t="shared" si="6"/>
        <v>8</v>
      </c>
      <c r="H133" s="146"/>
      <c r="I133" s="141" t="e">
        <f>VLOOKUP(G133,Licenses!B:C,2,FALSE)</f>
        <v>#N/A</v>
      </c>
      <c r="J133" s="147"/>
      <c r="K133" s="143" t="e">
        <f>VLOOKUP(G133,Licenses!B:D,3,FALSE)</f>
        <v>#N/A</v>
      </c>
      <c r="L133" s="144"/>
      <c r="M133" s="143" t="e">
        <f>VLOOKUP(G133,Licenses!B:H,7,FALSE)</f>
        <v>#N/A</v>
      </c>
      <c r="N133" s="142" t="s">
        <v>280</v>
      </c>
      <c r="O133" s="143" t="e">
        <f>VLOOKUP(G133,Licenses!B:I,8,FALSE)</f>
        <v>#N/A</v>
      </c>
    </row>
    <row r="134" spans="7:15">
      <c r="G134" s="145">
        <f t="shared" si="6"/>
        <v>9</v>
      </c>
      <c r="H134" s="146"/>
      <c r="I134" s="141" t="e">
        <f>VLOOKUP(G134,Licenses!B:C,2,FALSE)</f>
        <v>#N/A</v>
      </c>
      <c r="J134" s="147"/>
      <c r="K134" s="143" t="e">
        <f>VLOOKUP(G134,Licenses!B:D,3,FALSE)</f>
        <v>#N/A</v>
      </c>
      <c r="L134" s="144"/>
      <c r="M134" s="143" t="e">
        <f>VLOOKUP(G134,Licenses!B:H,7,FALSE)</f>
        <v>#N/A</v>
      </c>
      <c r="N134" s="142" t="s">
        <v>280</v>
      </c>
      <c r="O134" s="143" t="e">
        <f>VLOOKUP(G134,Licenses!B:I,8,FALSE)</f>
        <v>#N/A</v>
      </c>
    </row>
    <row r="135" spans="7:15">
      <c r="G135" s="145">
        <f t="shared" si="6"/>
        <v>10</v>
      </c>
      <c r="H135" s="146"/>
      <c r="I135" s="141" t="e">
        <f>VLOOKUP(G135,Licenses!B:C,2,FALSE)</f>
        <v>#N/A</v>
      </c>
      <c r="J135" s="147"/>
      <c r="K135" s="143" t="e">
        <f>VLOOKUP(G135,Licenses!B:D,3,FALSE)</f>
        <v>#N/A</v>
      </c>
      <c r="L135" s="144"/>
      <c r="M135" s="143" t="e">
        <f>VLOOKUP(G135,Licenses!B:H,7,FALSE)</f>
        <v>#N/A</v>
      </c>
      <c r="N135" s="142" t="s">
        <v>280</v>
      </c>
      <c r="O135" s="143" t="e">
        <f>VLOOKUP(G135,Licenses!B:I,8,FALSE)</f>
        <v>#N/A</v>
      </c>
    </row>
    <row r="136" spans="7:15">
      <c r="G136" s="145">
        <f t="shared" si="6"/>
        <v>11</v>
      </c>
      <c r="H136" s="146"/>
      <c r="I136" s="141" t="e">
        <f>VLOOKUP(G136,Licenses!B:C,2,FALSE)</f>
        <v>#N/A</v>
      </c>
      <c r="J136" s="147"/>
      <c r="K136" s="143" t="e">
        <f>VLOOKUP(G136,Licenses!B:D,3,FALSE)</f>
        <v>#N/A</v>
      </c>
      <c r="L136" s="144"/>
      <c r="M136" s="143" t="e">
        <f>VLOOKUP(G136,Licenses!B:H,7,FALSE)</f>
        <v>#N/A</v>
      </c>
      <c r="N136" s="142" t="s">
        <v>280</v>
      </c>
      <c r="O136" s="143" t="e">
        <f>VLOOKUP(G136,Licenses!B:I,8,FALSE)</f>
        <v>#N/A</v>
      </c>
    </row>
    <row r="137" spans="7:15">
      <c r="G137" s="145">
        <f t="shared" si="6"/>
        <v>12</v>
      </c>
      <c r="H137" s="146"/>
      <c r="I137" s="141" t="e">
        <f>VLOOKUP(G137,Licenses!B:C,2,FALSE)</f>
        <v>#N/A</v>
      </c>
      <c r="J137" s="147"/>
      <c r="K137" s="143" t="e">
        <f>VLOOKUP(G137,Licenses!B:D,3,FALSE)</f>
        <v>#N/A</v>
      </c>
      <c r="L137" s="144"/>
      <c r="M137" s="143" t="e">
        <f>VLOOKUP(G137,Licenses!B:H,7,FALSE)</f>
        <v>#N/A</v>
      </c>
      <c r="N137" s="142" t="s">
        <v>280</v>
      </c>
      <c r="O137" s="143" t="e">
        <f>VLOOKUP(G137,Licenses!B:I,8,FALSE)</f>
        <v>#N/A</v>
      </c>
    </row>
    <row r="138" spans="7:15">
      <c r="G138" s="145">
        <f t="shared" si="6"/>
        <v>13</v>
      </c>
      <c r="H138" s="146"/>
      <c r="I138" s="141" t="e">
        <f>VLOOKUP(G138,Licenses!B:C,2,FALSE)</f>
        <v>#N/A</v>
      </c>
      <c r="J138" s="147"/>
      <c r="K138" s="143" t="e">
        <f>VLOOKUP(G138,Licenses!B:D,3,FALSE)</f>
        <v>#N/A</v>
      </c>
      <c r="L138" s="144"/>
      <c r="M138" s="143" t="e">
        <f>VLOOKUP(G138,Licenses!B:H,7,FALSE)</f>
        <v>#N/A</v>
      </c>
      <c r="N138" s="142" t="s">
        <v>280</v>
      </c>
      <c r="O138" s="143" t="e">
        <f>VLOOKUP(G138,Licenses!B:I,8,FALSE)</f>
        <v>#N/A</v>
      </c>
    </row>
    <row r="139" spans="7:15">
      <c r="G139" s="145">
        <f t="shared" si="6"/>
        <v>14</v>
      </c>
      <c r="H139" s="146"/>
      <c r="I139" s="141" t="e">
        <f>VLOOKUP(G139,Licenses!B:C,2,FALSE)</f>
        <v>#N/A</v>
      </c>
      <c r="J139" s="147"/>
      <c r="K139" s="143" t="e">
        <f>VLOOKUP(G139,Licenses!B:D,3,FALSE)</f>
        <v>#N/A</v>
      </c>
      <c r="L139" s="144"/>
      <c r="M139" s="143" t="e">
        <f>VLOOKUP(G139,Licenses!B:H,7,FALSE)</f>
        <v>#N/A</v>
      </c>
      <c r="N139" s="142" t="s">
        <v>280</v>
      </c>
      <c r="O139" s="143" t="e">
        <f>VLOOKUP(G139,Licenses!B:I,8,FALSE)</f>
        <v>#N/A</v>
      </c>
    </row>
    <row r="140" spans="7:15">
      <c r="G140" s="145">
        <f t="shared" si="6"/>
        <v>15</v>
      </c>
      <c r="H140" s="146"/>
      <c r="I140" s="141" t="e">
        <f>VLOOKUP(G140,Licenses!B:C,2,FALSE)</f>
        <v>#N/A</v>
      </c>
      <c r="J140" s="147"/>
      <c r="K140" s="143" t="e">
        <f>VLOOKUP(G140,Licenses!B:D,3,FALSE)</f>
        <v>#N/A</v>
      </c>
      <c r="L140" s="144"/>
      <c r="M140" s="143" t="e">
        <f>VLOOKUP(G140,Licenses!B:H,7,FALSE)</f>
        <v>#N/A</v>
      </c>
      <c r="N140" s="142" t="s">
        <v>280</v>
      </c>
      <c r="O140" s="143" t="e">
        <f>VLOOKUP(G140,Licenses!B:I,8,FALSE)</f>
        <v>#N/A</v>
      </c>
    </row>
    <row r="141" spans="7:15">
      <c r="G141" s="145">
        <f t="shared" si="6"/>
        <v>16</v>
      </c>
      <c r="H141" s="146"/>
      <c r="I141" s="141" t="e">
        <f>VLOOKUP(G141,Licenses!B:C,2,FALSE)</f>
        <v>#N/A</v>
      </c>
      <c r="J141" s="147"/>
      <c r="K141" s="143" t="e">
        <f>VLOOKUP(G141,Licenses!B:D,3,FALSE)</f>
        <v>#N/A</v>
      </c>
      <c r="L141" s="144"/>
      <c r="M141" s="143" t="e">
        <f>VLOOKUP(G141,Licenses!B:H,7,FALSE)</f>
        <v>#N/A</v>
      </c>
      <c r="N141" s="142" t="s">
        <v>280</v>
      </c>
      <c r="O141" s="143" t="e">
        <f>VLOOKUP(G141,Licenses!B:I,8,FALSE)</f>
        <v>#N/A</v>
      </c>
    </row>
    <row r="142" spans="7:15">
      <c r="G142" s="145">
        <f t="shared" si="6"/>
        <v>17</v>
      </c>
      <c r="H142" s="146"/>
      <c r="I142" s="141" t="e">
        <f>VLOOKUP(G142,Licenses!B:C,2,FALSE)</f>
        <v>#N/A</v>
      </c>
      <c r="J142" s="147"/>
      <c r="K142" s="143" t="e">
        <f>VLOOKUP(G142,Licenses!B:D,3,FALSE)</f>
        <v>#N/A</v>
      </c>
      <c r="L142" s="144"/>
      <c r="M142" s="143" t="e">
        <f>VLOOKUP(G142,Licenses!B:H,7,FALSE)</f>
        <v>#N/A</v>
      </c>
      <c r="N142" s="142" t="s">
        <v>280</v>
      </c>
      <c r="O142" s="143" t="e">
        <f>VLOOKUP(G142,Licenses!B:I,8,FALSE)</f>
        <v>#N/A</v>
      </c>
    </row>
    <row r="143" spans="7:15">
      <c r="G143" s="145">
        <f t="shared" si="6"/>
        <v>18</v>
      </c>
      <c r="H143" s="146"/>
      <c r="I143" s="141" t="e">
        <f>VLOOKUP(G143,Licenses!B:C,2,FALSE)</f>
        <v>#N/A</v>
      </c>
      <c r="J143" s="147"/>
      <c r="K143" s="143" t="e">
        <f>VLOOKUP(G143,Licenses!B:D,3,FALSE)</f>
        <v>#N/A</v>
      </c>
      <c r="L143" s="144"/>
      <c r="M143" s="143" t="e">
        <f>VLOOKUP(G143,Licenses!B:H,7,FALSE)</f>
        <v>#N/A</v>
      </c>
      <c r="N143" s="142" t="s">
        <v>280</v>
      </c>
      <c r="O143" s="143" t="e">
        <f>VLOOKUP(G143,Licenses!B:I,8,FALSE)</f>
        <v>#N/A</v>
      </c>
    </row>
    <row r="144" spans="7:15">
      <c r="G144" s="145">
        <f t="shared" si="6"/>
        <v>19</v>
      </c>
      <c r="H144" s="146"/>
      <c r="I144" s="141" t="e">
        <f>VLOOKUP(G144,Licenses!B:C,2,FALSE)</f>
        <v>#N/A</v>
      </c>
      <c r="J144" s="147"/>
      <c r="K144" s="143" t="e">
        <f>VLOOKUP(G144,Licenses!B:D,3,FALSE)</f>
        <v>#N/A</v>
      </c>
      <c r="L144" s="144"/>
      <c r="M144" s="143" t="e">
        <f>VLOOKUP(G144,Licenses!B:H,7,FALSE)</f>
        <v>#N/A</v>
      </c>
      <c r="N144" s="142" t="s">
        <v>280</v>
      </c>
      <c r="O144" s="143" t="e">
        <f>VLOOKUP(G144,Licenses!B:I,8,FALSE)</f>
        <v>#N/A</v>
      </c>
    </row>
    <row r="145" spans="7:15">
      <c r="G145" s="145">
        <f t="shared" si="6"/>
        <v>20</v>
      </c>
      <c r="H145" s="146"/>
      <c r="I145" s="141" t="e">
        <f>VLOOKUP(G145,Licenses!B:C,2,FALSE)</f>
        <v>#N/A</v>
      </c>
      <c r="J145" s="147"/>
      <c r="K145" s="143" t="e">
        <f>VLOOKUP(G145,Licenses!B:D,3,FALSE)</f>
        <v>#N/A</v>
      </c>
      <c r="L145" s="144"/>
      <c r="M145" s="143" t="e">
        <f>VLOOKUP(G145,Licenses!B:H,7,FALSE)</f>
        <v>#N/A</v>
      </c>
      <c r="N145" s="142" t="s">
        <v>280</v>
      </c>
      <c r="O145" s="143" t="e">
        <f>VLOOKUP(G145,Licenses!B:I,8,FALSE)</f>
        <v>#N/A</v>
      </c>
    </row>
    <row r="146" spans="7:15">
      <c r="G146" s="145">
        <f t="shared" si="6"/>
        <v>21</v>
      </c>
      <c r="H146" s="146"/>
      <c r="I146" s="141" t="e">
        <f>VLOOKUP(G146,Licenses!B:C,2,FALSE)</f>
        <v>#N/A</v>
      </c>
      <c r="J146" s="147"/>
      <c r="K146" s="143" t="e">
        <f>VLOOKUP(G146,Licenses!B:D,3,FALSE)</f>
        <v>#N/A</v>
      </c>
      <c r="L146" s="144"/>
      <c r="M146" s="143" t="e">
        <f>VLOOKUP(G146,Licenses!B:H,7,FALSE)</f>
        <v>#N/A</v>
      </c>
      <c r="N146" s="142" t="s">
        <v>280</v>
      </c>
      <c r="O146" s="143" t="e">
        <f>VLOOKUP(G146,Licenses!B:I,8,FALSE)</f>
        <v>#N/A</v>
      </c>
    </row>
    <row r="147" spans="7:15">
      <c r="G147" s="145">
        <f t="shared" si="6"/>
        <v>22</v>
      </c>
      <c r="H147" s="146"/>
      <c r="I147" s="141" t="e">
        <f>VLOOKUP(G147,Licenses!B:C,2,FALSE)</f>
        <v>#N/A</v>
      </c>
      <c r="J147" s="147"/>
      <c r="K147" s="143" t="e">
        <f>VLOOKUP(G147,Licenses!B:D,3,FALSE)</f>
        <v>#N/A</v>
      </c>
      <c r="L147" s="144"/>
      <c r="M147" s="143" t="e">
        <f>VLOOKUP(G147,Licenses!B:H,7,FALSE)</f>
        <v>#N/A</v>
      </c>
      <c r="N147" s="142" t="s">
        <v>280</v>
      </c>
      <c r="O147" s="143" t="e">
        <f>VLOOKUP(G147,Licenses!B:I,8,FALSE)</f>
        <v>#N/A</v>
      </c>
    </row>
    <row r="148" spans="7:15">
      <c r="G148" s="145">
        <f t="shared" si="6"/>
        <v>23</v>
      </c>
      <c r="H148" s="146"/>
      <c r="I148" s="141" t="e">
        <f>VLOOKUP(G148,Licenses!B:C,2,FALSE)</f>
        <v>#N/A</v>
      </c>
      <c r="J148" s="147"/>
      <c r="K148" s="143" t="e">
        <f>VLOOKUP(G148,Licenses!B:D,3,FALSE)</f>
        <v>#N/A</v>
      </c>
      <c r="L148" s="144"/>
      <c r="M148" s="143" t="e">
        <f>VLOOKUP(G148,Licenses!B:H,7,FALSE)</f>
        <v>#N/A</v>
      </c>
      <c r="N148" s="142" t="s">
        <v>280</v>
      </c>
      <c r="O148" s="143" t="e">
        <f>VLOOKUP(G148,Licenses!B:I,8,FALSE)</f>
        <v>#N/A</v>
      </c>
    </row>
    <row r="149" spans="7:15">
      <c r="G149" s="145">
        <f t="shared" si="6"/>
        <v>24</v>
      </c>
      <c r="H149" s="146"/>
      <c r="I149" s="141" t="e">
        <f>VLOOKUP(G149,Licenses!B:C,2,FALSE)</f>
        <v>#N/A</v>
      </c>
      <c r="J149" s="147"/>
      <c r="K149" s="143" t="e">
        <f>VLOOKUP(G149,Licenses!B:D,3,FALSE)</f>
        <v>#N/A</v>
      </c>
      <c r="L149" s="144"/>
      <c r="M149" s="143" t="e">
        <f>VLOOKUP(G149,Licenses!B:H,7,FALSE)</f>
        <v>#N/A</v>
      </c>
      <c r="N149" s="142" t="s">
        <v>280</v>
      </c>
      <c r="O149" s="143" t="e">
        <f>VLOOKUP(G149,Licenses!B:I,8,FALSE)</f>
        <v>#N/A</v>
      </c>
    </row>
    <row r="150" spans="7:15">
      <c r="G150" s="145">
        <f t="shared" si="6"/>
        <v>25</v>
      </c>
      <c r="H150" s="146"/>
      <c r="I150" s="141" t="e">
        <f>VLOOKUP(G150,Licenses!B:C,2,FALSE)</f>
        <v>#N/A</v>
      </c>
      <c r="J150" s="147"/>
      <c r="K150" s="143" t="e">
        <f>VLOOKUP(G150,Licenses!B:D,3,FALSE)</f>
        <v>#N/A</v>
      </c>
      <c r="L150" s="144"/>
      <c r="M150" s="143" t="e">
        <f>VLOOKUP(G150,Licenses!B:H,7,FALSE)</f>
        <v>#N/A</v>
      </c>
      <c r="N150" s="142" t="s">
        <v>280</v>
      </c>
      <c r="O150" s="143" t="e">
        <f>VLOOKUP(G150,Licenses!B:I,8,FALSE)</f>
        <v>#N/A</v>
      </c>
    </row>
    <row r="151" spans="7:15">
      <c r="G151" s="145">
        <f t="shared" si="6"/>
        <v>26</v>
      </c>
      <c r="H151" s="146"/>
      <c r="I151" s="141" t="e">
        <f>VLOOKUP(G151,Licenses!B:C,2,FALSE)</f>
        <v>#N/A</v>
      </c>
      <c r="J151" s="147"/>
      <c r="K151" s="143" t="e">
        <f>VLOOKUP(G151,Licenses!B:D,3,FALSE)</f>
        <v>#N/A</v>
      </c>
      <c r="L151" s="144"/>
      <c r="M151" s="143" t="e">
        <f>VLOOKUP(G151,Licenses!B:H,7,FALSE)</f>
        <v>#N/A</v>
      </c>
      <c r="N151" s="142" t="s">
        <v>280</v>
      </c>
      <c r="O151" s="143" t="e">
        <f>VLOOKUP(G151,Licenses!B:I,8,FALSE)</f>
        <v>#N/A</v>
      </c>
    </row>
    <row r="152" spans="7:15">
      <c r="G152" s="145">
        <f t="shared" si="6"/>
        <v>27</v>
      </c>
      <c r="H152" s="146"/>
      <c r="I152" s="141" t="e">
        <f>VLOOKUP(G152,Licenses!B:C,2,FALSE)</f>
        <v>#N/A</v>
      </c>
      <c r="J152" s="147"/>
      <c r="K152" s="143" t="e">
        <f>VLOOKUP(G152,Licenses!B:D,3,FALSE)</f>
        <v>#N/A</v>
      </c>
      <c r="L152" s="144"/>
      <c r="M152" s="143" t="e">
        <f>VLOOKUP(G152,Licenses!B:H,7,FALSE)</f>
        <v>#N/A</v>
      </c>
      <c r="N152" s="142" t="s">
        <v>280</v>
      </c>
      <c r="O152" s="143" t="e">
        <f>VLOOKUP(G152,Licenses!B:I,8,FALSE)</f>
        <v>#N/A</v>
      </c>
    </row>
    <row r="153" spans="7:15">
      <c r="G153" s="145">
        <f t="shared" si="6"/>
        <v>28</v>
      </c>
      <c r="H153" s="146"/>
      <c r="I153" s="141" t="e">
        <f>VLOOKUP(G153,Licenses!B:C,2,FALSE)</f>
        <v>#N/A</v>
      </c>
      <c r="J153" s="147"/>
      <c r="K153" s="143" t="e">
        <f>VLOOKUP(G153,Licenses!B:D,3,FALSE)</f>
        <v>#N/A</v>
      </c>
      <c r="L153" s="144"/>
      <c r="M153" s="143" t="e">
        <f>VLOOKUP(G153,Licenses!B:H,7,FALSE)</f>
        <v>#N/A</v>
      </c>
      <c r="N153" s="142" t="s">
        <v>280</v>
      </c>
      <c r="O153" s="143" t="e">
        <f>VLOOKUP(G153,Licenses!B:I,8,FALSE)</f>
        <v>#N/A</v>
      </c>
    </row>
    <row r="154" spans="7:15">
      <c r="G154" s="145">
        <f t="shared" si="6"/>
        <v>29</v>
      </c>
      <c r="H154" s="146"/>
      <c r="I154" s="141" t="e">
        <f>VLOOKUP(G154,Licenses!B:C,2,FALSE)</f>
        <v>#N/A</v>
      </c>
      <c r="J154" s="147"/>
      <c r="K154" s="143" t="e">
        <f>VLOOKUP(G154,Licenses!B:D,3,FALSE)</f>
        <v>#N/A</v>
      </c>
      <c r="L154" s="144"/>
      <c r="M154" s="143" t="e">
        <f>VLOOKUP(G154,Licenses!B:H,7,FALSE)</f>
        <v>#N/A</v>
      </c>
      <c r="N154" s="142" t="s">
        <v>280</v>
      </c>
      <c r="O154" s="143" t="e">
        <f>VLOOKUP(G154,Licenses!B:I,8,FALSE)</f>
        <v>#N/A</v>
      </c>
    </row>
    <row r="155" spans="7:15">
      <c r="G155" s="145">
        <f t="shared" si="6"/>
        <v>30</v>
      </c>
      <c r="H155" s="146"/>
      <c r="I155" s="141" t="e">
        <f>VLOOKUP(G155,Licenses!B:C,2,FALSE)</f>
        <v>#N/A</v>
      </c>
      <c r="J155" s="147"/>
      <c r="K155" s="143" t="e">
        <f>VLOOKUP(G155,Licenses!B:D,3,FALSE)</f>
        <v>#N/A</v>
      </c>
      <c r="L155" s="144"/>
      <c r="M155" s="143" t="e">
        <f>VLOOKUP(G155,Licenses!B:H,7,FALSE)</f>
        <v>#N/A</v>
      </c>
      <c r="N155" s="142" t="s">
        <v>280</v>
      </c>
      <c r="O155" s="143" t="e">
        <f>VLOOKUP(G155,Licenses!B:I,8,FALSE)</f>
        <v>#N/A</v>
      </c>
    </row>
    <row r="156" spans="7:15">
      <c r="G156" s="145">
        <f t="shared" si="6"/>
        <v>31</v>
      </c>
      <c r="H156" s="146"/>
      <c r="I156" s="141" t="e">
        <f>VLOOKUP(G156,Licenses!B:C,2,FALSE)</f>
        <v>#N/A</v>
      </c>
      <c r="J156" s="147"/>
      <c r="K156" s="143" t="e">
        <f>VLOOKUP(G156,Licenses!B:D,3,FALSE)</f>
        <v>#N/A</v>
      </c>
      <c r="L156" s="144"/>
      <c r="M156" s="143" t="e">
        <f>VLOOKUP(G156,Licenses!B:H,7,FALSE)</f>
        <v>#N/A</v>
      </c>
      <c r="N156" s="142" t="s">
        <v>280</v>
      </c>
      <c r="O156" s="143" t="e">
        <f>VLOOKUP(G156,Licenses!B:I,8,FALSE)</f>
        <v>#N/A</v>
      </c>
    </row>
    <row r="157" spans="7:15">
      <c r="G157" s="145">
        <f t="shared" si="6"/>
        <v>32</v>
      </c>
      <c r="H157" s="146"/>
      <c r="I157" s="141" t="e">
        <f>VLOOKUP(G157,Licenses!B:C,2,FALSE)</f>
        <v>#N/A</v>
      </c>
      <c r="J157" s="147"/>
      <c r="K157" s="143" t="e">
        <f>VLOOKUP(G157,Licenses!B:D,3,FALSE)</f>
        <v>#N/A</v>
      </c>
      <c r="L157" s="144"/>
      <c r="M157" s="143" t="e">
        <f>VLOOKUP(G157,Licenses!B:H,7,FALSE)</f>
        <v>#N/A</v>
      </c>
      <c r="N157" s="142" t="s">
        <v>280</v>
      </c>
      <c r="O157" s="143" t="e">
        <f>VLOOKUP(G157,Licenses!B:I,8,FALSE)</f>
        <v>#N/A</v>
      </c>
    </row>
    <row r="158" spans="7:15">
      <c r="G158" s="145">
        <f t="shared" si="6"/>
        <v>33</v>
      </c>
      <c r="H158" s="146"/>
      <c r="I158" s="141" t="e">
        <f>VLOOKUP(G158,Licenses!B:C,2,FALSE)</f>
        <v>#N/A</v>
      </c>
      <c r="J158" s="147"/>
      <c r="K158" s="143" t="e">
        <f>VLOOKUP(G158,Licenses!B:D,3,FALSE)</f>
        <v>#N/A</v>
      </c>
      <c r="L158" s="144"/>
      <c r="M158" s="143" t="e">
        <f>VLOOKUP(G158,Licenses!B:H,7,FALSE)</f>
        <v>#N/A</v>
      </c>
      <c r="N158" s="142" t="s">
        <v>280</v>
      </c>
      <c r="O158" s="143" t="e">
        <f>VLOOKUP(G158,Licenses!B:I,8,FALSE)</f>
        <v>#N/A</v>
      </c>
    </row>
    <row r="159" spans="7:15">
      <c r="G159" s="145">
        <f t="shared" si="6"/>
        <v>34</v>
      </c>
      <c r="H159" s="146"/>
      <c r="I159" s="141" t="e">
        <f>VLOOKUP(G159,Licenses!B:C,2,FALSE)</f>
        <v>#N/A</v>
      </c>
      <c r="J159" s="147"/>
      <c r="K159" s="143" t="e">
        <f>VLOOKUP(G159,Licenses!B:D,3,FALSE)</f>
        <v>#N/A</v>
      </c>
      <c r="L159" s="144"/>
      <c r="M159" s="143" t="e">
        <f>VLOOKUP(G159,Licenses!B:H,7,FALSE)</f>
        <v>#N/A</v>
      </c>
      <c r="N159" s="142" t="s">
        <v>280</v>
      </c>
      <c r="O159" s="143" t="e">
        <f>VLOOKUP(G159,Licenses!B:I,8,FALSE)</f>
        <v>#N/A</v>
      </c>
    </row>
    <row r="160" spans="7:15">
      <c r="G160" s="145">
        <f t="shared" si="6"/>
        <v>35</v>
      </c>
      <c r="H160" s="146"/>
      <c r="I160" s="141" t="e">
        <f>VLOOKUP(G160,Licenses!B:C,2,FALSE)</f>
        <v>#N/A</v>
      </c>
      <c r="J160" s="147"/>
      <c r="K160" s="143" t="e">
        <f>VLOOKUP(G160,Licenses!B:D,3,FALSE)</f>
        <v>#N/A</v>
      </c>
      <c r="L160" s="144"/>
      <c r="M160" s="143" t="e">
        <f>VLOOKUP(G160,Licenses!B:H,7,FALSE)</f>
        <v>#N/A</v>
      </c>
      <c r="N160" s="142" t="s">
        <v>280</v>
      </c>
      <c r="O160" s="143" t="e">
        <f>VLOOKUP(G160,Licenses!B:I,8,FALSE)</f>
        <v>#N/A</v>
      </c>
    </row>
    <row r="161" spans="7:15">
      <c r="G161" s="145">
        <f t="shared" si="6"/>
        <v>36</v>
      </c>
      <c r="H161" s="146"/>
      <c r="I161" s="141" t="e">
        <f>VLOOKUP(G161,Licenses!B:C,2,FALSE)</f>
        <v>#N/A</v>
      </c>
      <c r="J161" s="147"/>
      <c r="K161" s="143" t="e">
        <f>VLOOKUP(G161,Licenses!B:D,3,FALSE)</f>
        <v>#N/A</v>
      </c>
      <c r="L161" s="144"/>
      <c r="M161" s="143" t="e">
        <f>VLOOKUP(G161,Licenses!B:H,7,FALSE)</f>
        <v>#N/A</v>
      </c>
      <c r="N161" s="142" t="s">
        <v>280</v>
      </c>
      <c r="O161" s="143" t="e">
        <f>VLOOKUP(G161,Licenses!B:I,8,FALSE)</f>
        <v>#N/A</v>
      </c>
    </row>
    <row r="162" spans="7:15">
      <c r="G162" s="145">
        <f t="shared" si="6"/>
        <v>37</v>
      </c>
      <c r="H162" s="146"/>
      <c r="I162" s="141" t="e">
        <f>VLOOKUP(G162,Licenses!B:C,2,FALSE)</f>
        <v>#N/A</v>
      </c>
      <c r="J162" s="147"/>
      <c r="K162" s="143" t="e">
        <f>VLOOKUP(G162,Licenses!B:D,3,FALSE)</f>
        <v>#N/A</v>
      </c>
      <c r="L162" s="144"/>
      <c r="M162" s="143" t="e">
        <f>VLOOKUP(G162,Licenses!B:H,7,FALSE)</f>
        <v>#N/A</v>
      </c>
      <c r="N162" s="142" t="s">
        <v>280</v>
      </c>
      <c r="O162" s="143" t="e">
        <f>VLOOKUP(G162,Licenses!B:I,8,FALSE)</f>
        <v>#N/A</v>
      </c>
    </row>
    <row r="163" spans="7:15">
      <c r="G163" s="145">
        <f t="shared" si="6"/>
        <v>38</v>
      </c>
      <c r="H163" s="146"/>
      <c r="I163" s="141" t="e">
        <f>VLOOKUP(G163,Licenses!B:C,2,FALSE)</f>
        <v>#N/A</v>
      </c>
      <c r="J163" s="147"/>
      <c r="K163" s="143" t="e">
        <f>VLOOKUP(G163,Licenses!B:D,3,FALSE)</f>
        <v>#N/A</v>
      </c>
      <c r="L163" s="144"/>
      <c r="M163" s="143" t="e">
        <f>VLOOKUP(G163,Licenses!B:H,7,FALSE)</f>
        <v>#N/A</v>
      </c>
      <c r="N163" s="142" t="s">
        <v>280</v>
      </c>
      <c r="O163" s="143" t="e">
        <f>VLOOKUP(G163,Licenses!B:I,8,FALSE)</f>
        <v>#N/A</v>
      </c>
    </row>
    <row r="164" spans="7:15">
      <c r="G164" s="145">
        <f t="shared" si="6"/>
        <v>39</v>
      </c>
      <c r="H164" s="146"/>
      <c r="I164" s="141" t="e">
        <f>VLOOKUP(G164,Licenses!B:C,2,FALSE)</f>
        <v>#N/A</v>
      </c>
      <c r="J164" s="147"/>
      <c r="K164" s="143" t="e">
        <f>VLOOKUP(G164,Licenses!B:D,3,FALSE)</f>
        <v>#N/A</v>
      </c>
      <c r="L164" s="144"/>
      <c r="M164" s="143" t="e">
        <f>VLOOKUP(G164,Licenses!B:H,7,FALSE)</f>
        <v>#N/A</v>
      </c>
      <c r="N164" s="142" t="s">
        <v>280</v>
      </c>
      <c r="O164" s="143" t="e">
        <f>VLOOKUP(G164,Licenses!B:I,8,FALSE)</f>
        <v>#N/A</v>
      </c>
    </row>
    <row r="165" spans="7:15">
      <c r="G165" s="145">
        <f t="shared" si="6"/>
        <v>40</v>
      </c>
      <c r="H165" s="146"/>
      <c r="I165" s="141" t="e">
        <f>VLOOKUP(G165,Licenses!B:C,2,FALSE)</f>
        <v>#N/A</v>
      </c>
      <c r="J165" s="147"/>
      <c r="K165" s="143" t="e">
        <f>VLOOKUP(G165,Licenses!B:D,3,FALSE)</f>
        <v>#N/A</v>
      </c>
      <c r="L165" s="144"/>
      <c r="M165" s="143" t="e">
        <f>VLOOKUP(G165,Licenses!B:H,7,FALSE)</f>
        <v>#N/A</v>
      </c>
      <c r="N165" s="142" t="s">
        <v>280</v>
      </c>
      <c r="O165" s="143" t="e">
        <f>VLOOKUP(G165,Licenses!B:I,8,FALSE)</f>
        <v>#N/A</v>
      </c>
    </row>
    <row r="166" spans="7:15">
      <c r="G166" s="145">
        <f t="shared" si="6"/>
        <v>41</v>
      </c>
      <c r="H166" s="146"/>
      <c r="I166" s="141" t="e">
        <f>VLOOKUP(G166,Licenses!B:C,2,FALSE)</f>
        <v>#N/A</v>
      </c>
      <c r="J166" s="147"/>
      <c r="K166" s="143" t="e">
        <f>VLOOKUP(G166,Licenses!B:D,3,FALSE)</f>
        <v>#N/A</v>
      </c>
      <c r="L166" s="144"/>
      <c r="M166" s="143" t="e">
        <f>VLOOKUP(G166,Licenses!B:H,7,FALSE)</f>
        <v>#N/A</v>
      </c>
      <c r="N166" s="142" t="s">
        <v>280</v>
      </c>
      <c r="O166" s="143" t="e">
        <f>VLOOKUP(G166,Licenses!B:I,8,FALSE)</f>
        <v>#N/A</v>
      </c>
    </row>
    <row r="167" spans="7:15">
      <c r="G167" s="145">
        <f t="shared" si="6"/>
        <v>42</v>
      </c>
      <c r="H167" s="146"/>
      <c r="I167" s="141" t="e">
        <f>VLOOKUP(G167,Licenses!B:C,2,FALSE)</f>
        <v>#N/A</v>
      </c>
      <c r="J167" s="147"/>
      <c r="K167" s="143" t="e">
        <f>VLOOKUP(G167,Licenses!B:D,3,FALSE)</f>
        <v>#N/A</v>
      </c>
      <c r="L167" s="144"/>
      <c r="M167" s="143" t="e">
        <f>VLOOKUP(G167,Licenses!B:H,7,FALSE)</f>
        <v>#N/A</v>
      </c>
      <c r="N167" s="142" t="s">
        <v>280</v>
      </c>
      <c r="O167" s="143" t="e">
        <f>VLOOKUP(G167,Licenses!B:I,8,FALSE)</f>
        <v>#N/A</v>
      </c>
    </row>
    <row r="168" spans="7:15">
      <c r="G168" s="145">
        <f t="shared" si="6"/>
        <v>43</v>
      </c>
      <c r="H168" s="146"/>
      <c r="I168" s="141" t="e">
        <f>VLOOKUP(G168,Licenses!B:C,2,FALSE)</f>
        <v>#N/A</v>
      </c>
      <c r="J168" s="147"/>
      <c r="K168" s="143" t="e">
        <f>VLOOKUP(G168,Licenses!B:D,3,FALSE)</f>
        <v>#N/A</v>
      </c>
      <c r="L168" s="144"/>
      <c r="M168" s="143" t="e">
        <f>VLOOKUP(G168,Licenses!B:H,7,FALSE)</f>
        <v>#N/A</v>
      </c>
      <c r="N168" s="142" t="s">
        <v>280</v>
      </c>
      <c r="O168" s="143" t="e">
        <f>VLOOKUP(G168,Licenses!B:I,8,FALSE)</f>
        <v>#N/A</v>
      </c>
    </row>
    <row r="169" spans="7:15">
      <c r="G169" s="145">
        <f t="shared" si="6"/>
        <v>44</v>
      </c>
      <c r="H169" s="146"/>
      <c r="I169" s="141" t="e">
        <f>VLOOKUP(G169,Licenses!B:C,2,FALSE)</f>
        <v>#N/A</v>
      </c>
      <c r="J169" s="147"/>
      <c r="K169" s="143" t="e">
        <f>VLOOKUP(G169,Licenses!B:D,3,FALSE)</f>
        <v>#N/A</v>
      </c>
      <c r="L169" s="144"/>
      <c r="M169" s="143" t="e">
        <f>VLOOKUP(G169,Licenses!B:H,7,FALSE)</f>
        <v>#N/A</v>
      </c>
      <c r="N169" s="142" t="s">
        <v>280</v>
      </c>
      <c r="O169" s="143" t="e">
        <f>VLOOKUP(G169,Licenses!B:I,8,FALSE)</f>
        <v>#N/A</v>
      </c>
    </row>
    <row r="170" spans="7:15">
      <c r="G170" s="145">
        <f t="shared" si="6"/>
        <v>45</v>
      </c>
      <c r="H170" s="146"/>
      <c r="I170" s="141" t="e">
        <f>VLOOKUP(G170,Licenses!B:C,2,FALSE)</f>
        <v>#N/A</v>
      </c>
      <c r="J170" s="147"/>
      <c r="K170" s="143" t="e">
        <f>VLOOKUP(G170,Licenses!B:D,3,FALSE)</f>
        <v>#N/A</v>
      </c>
      <c r="L170" s="144"/>
      <c r="M170" s="143" t="e">
        <f>VLOOKUP(G170,Licenses!B:H,7,FALSE)</f>
        <v>#N/A</v>
      </c>
      <c r="N170" s="142" t="s">
        <v>280</v>
      </c>
      <c r="O170" s="143" t="e">
        <f>VLOOKUP(G170,Licenses!B:I,8,FALSE)</f>
        <v>#N/A</v>
      </c>
    </row>
    <row r="171" spans="7:15">
      <c r="G171" s="145">
        <f t="shared" si="6"/>
        <v>46</v>
      </c>
      <c r="H171" s="146"/>
      <c r="I171" s="141" t="e">
        <f>VLOOKUP(G171,Licenses!B:C,2,FALSE)</f>
        <v>#N/A</v>
      </c>
      <c r="J171" s="147"/>
      <c r="K171" s="143" t="e">
        <f>VLOOKUP(G171,Licenses!B:D,3,FALSE)</f>
        <v>#N/A</v>
      </c>
      <c r="L171" s="144"/>
      <c r="M171" s="143" t="e">
        <f>VLOOKUP(G171,Licenses!B:H,7,FALSE)</f>
        <v>#N/A</v>
      </c>
      <c r="N171" s="142" t="s">
        <v>280</v>
      </c>
      <c r="O171" s="143" t="e">
        <f>VLOOKUP(G171,Licenses!B:I,8,FALSE)</f>
        <v>#N/A</v>
      </c>
    </row>
    <row r="172" spans="7:15">
      <c r="G172" s="145">
        <f t="shared" si="6"/>
        <v>47</v>
      </c>
      <c r="H172" s="146"/>
      <c r="I172" s="141" t="e">
        <f>VLOOKUP(G172,Licenses!B:C,2,FALSE)</f>
        <v>#N/A</v>
      </c>
      <c r="J172" s="147"/>
      <c r="K172" s="143" t="e">
        <f>VLOOKUP(G172,Licenses!B:D,3,FALSE)</f>
        <v>#N/A</v>
      </c>
      <c r="L172" s="144"/>
      <c r="M172" s="143" t="e">
        <f>VLOOKUP(G172,Licenses!B:H,7,FALSE)</f>
        <v>#N/A</v>
      </c>
      <c r="N172" s="142" t="s">
        <v>280</v>
      </c>
      <c r="O172" s="143" t="e">
        <f>VLOOKUP(G172,Licenses!B:I,8,FALSE)</f>
        <v>#N/A</v>
      </c>
    </row>
    <row r="173" spans="7:15">
      <c r="G173" s="145">
        <f t="shared" si="6"/>
        <v>48</v>
      </c>
      <c r="H173" s="146"/>
      <c r="I173" s="141" t="e">
        <f>VLOOKUP(G173,Licenses!B:C,2,FALSE)</f>
        <v>#N/A</v>
      </c>
      <c r="J173" s="147"/>
      <c r="K173" s="143" t="e">
        <f>VLOOKUP(G173,Licenses!B:D,3,FALSE)</f>
        <v>#N/A</v>
      </c>
      <c r="L173" s="144"/>
      <c r="M173" s="143" t="e">
        <f>VLOOKUP(G173,Licenses!B:H,7,FALSE)</f>
        <v>#N/A</v>
      </c>
      <c r="N173" s="142" t="s">
        <v>280</v>
      </c>
      <c r="O173" s="143" t="e">
        <f>VLOOKUP(G173,Licenses!B:I,8,FALSE)</f>
        <v>#N/A</v>
      </c>
    </row>
    <row r="174" spans="7:15">
      <c r="G174" s="145">
        <f t="shared" si="6"/>
        <v>49</v>
      </c>
      <c r="H174" s="146"/>
      <c r="I174" s="141" t="e">
        <f>VLOOKUP(G174,Licenses!B:C,2,FALSE)</f>
        <v>#N/A</v>
      </c>
      <c r="J174" s="147"/>
      <c r="K174" s="143" t="e">
        <f>VLOOKUP(G174,Licenses!B:D,3,FALSE)</f>
        <v>#N/A</v>
      </c>
      <c r="L174" s="144"/>
      <c r="M174" s="143" t="e">
        <f>VLOOKUP(G174,Licenses!B:H,7,FALSE)</f>
        <v>#N/A</v>
      </c>
      <c r="N174" s="142" t="s">
        <v>280</v>
      </c>
      <c r="O174" s="143" t="e">
        <f>VLOOKUP(G174,Licenses!B:I,8,FALSE)</f>
        <v>#N/A</v>
      </c>
    </row>
    <row r="175" spans="7:15">
      <c r="G175" s="145">
        <f t="shared" si="6"/>
        <v>50</v>
      </c>
      <c r="H175" s="146"/>
      <c r="I175" s="141" t="e">
        <f>VLOOKUP(G175,Licenses!B:C,2,FALSE)</f>
        <v>#N/A</v>
      </c>
      <c r="J175" s="147"/>
      <c r="K175" s="143" t="e">
        <f>VLOOKUP(G175,Licenses!B:D,3,FALSE)</f>
        <v>#N/A</v>
      </c>
      <c r="L175" s="144"/>
      <c r="M175" s="143" t="e">
        <f>VLOOKUP(G175,Licenses!B:H,7,FALSE)</f>
        <v>#N/A</v>
      </c>
      <c r="N175" s="142" t="s">
        <v>280</v>
      </c>
      <c r="O175" s="143" t="e">
        <f>VLOOKUP(G175,Licenses!B:I,8,FALSE)</f>
        <v>#N/A</v>
      </c>
    </row>
    <row r="176" spans="7:15">
      <c r="G176" s="145">
        <f t="shared" si="6"/>
        <v>51</v>
      </c>
      <c r="H176" s="146"/>
      <c r="I176" s="141" t="e">
        <f>VLOOKUP(G176,Licenses!B:C,2,FALSE)</f>
        <v>#N/A</v>
      </c>
      <c r="J176" s="147"/>
      <c r="K176" s="143" t="e">
        <f>VLOOKUP(G176,Licenses!B:D,3,FALSE)</f>
        <v>#N/A</v>
      </c>
      <c r="L176" s="144"/>
      <c r="M176" s="143" t="e">
        <f>VLOOKUP(G176,Licenses!B:H,7,FALSE)</f>
        <v>#N/A</v>
      </c>
      <c r="N176" s="142" t="s">
        <v>280</v>
      </c>
      <c r="O176" s="143" t="e">
        <f>VLOOKUP(G176,Licenses!B:I,8,FALSE)</f>
        <v>#N/A</v>
      </c>
    </row>
    <row r="177" spans="7:15">
      <c r="G177" s="145">
        <f t="shared" si="6"/>
        <v>52</v>
      </c>
      <c r="H177" s="146"/>
      <c r="I177" s="141" t="e">
        <f>VLOOKUP(G177,Licenses!B:C,2,FALSE)</f>
        <v>#N/A</v>
      </c>
      <c r="J177" s="147"/>
      <c r="K177" s="143" t="e">
        <f>VLOOKUP(G177,Licenses!B:D,3,FALSE)</f>
        <v>#N/A</v>
      </c>
      <c r="L177" s="144"/>
      <c r="M177" s="143" t="e">
        <f>VLOOKUP(G177,Licenses!B:H,7,FALSE)</f>
        <v>#N/A</v>
      </c>
      <c r="N177" s="142" t="s">
        <v>280</v>
      </c>
      <c r="O177" s="143" t="e">
        <f>VLOOKUP(G177,Licenses!B:I,8,FALSE)</f>
        <v>#N/A</v>
      </c>
    </row>
    <row r="178" spans="7:15">
      <c r="G178" s="145">
        <f t="shared" si="6"/>
        <v>53</v>
      </c>
      <c r="H178" s="146"/>
      <c r="I178" s="141" t="e">
        <f>VLOOKUP(G178,Licenses!B:C,2,FALSE)</f>
        <v>#N/A</v>
      </c>
      <c r="J178" s="147"/>
      <c r="K178" s="143" t="e">
        <f>VLOOKUP(G178,Licenses!B:D,3,FALSE)</f>
        <v>#N/A</v>
      </c>
      <c r="L178" s="144"/>
      <c r="M178" s="143" t="e">
        <f>VLOOKUP(G178,Licenses!B:H,7,FALSE)</f>
        <v>#N/A</v>
      </c>
      <c r="N178" s="142" t="s">
        <v>280</v>
      </c>
      <c r="O178" s="143" t="e">
        <f>VLOOKUP(G178,Licenses!B:I,8,FALSE)</f>
        <v>#N/A</v>
      </c>
    </row>
    <row r="179" spans="7:15">
      <c r="G179" s="145">
        <f t="shared" si="6"/>
        <v>54</v>
      </c>
      <c r="H179" s="146"/>
      <c r="I179" s="141" t="e">
        <f>VLOOKUP(G179,Licenses!B:C,2,FALSE)</f>
        <v>#N/A</v>
      </c>
      <c r="J179" s="147"/>
      <c r="K179" s="143" t="e">
        <f>VLOOKUP(G179,Licenses!B:D,3,FALSE)</f>
        <v>#N/A</v>
      </c>
      <c r="L179" s="144"/>
      <c r="M179" s="143" t="e">
        <f>VLOOKUP(G179,Licenses!B:H,7,FALSE)</f>
        <v>#N/A</v>
      </c>
      <c r="N179" s="142" t="s">
        <v>280</v>
      </c>
      <c r="O179" s="143" t="e">
        <f>VLOOKUP(G179,Licenses!B:I,8,FALSE)</f>
        <v>#N/A</v>
      </c>
    </row>
    <row r="180" spans="7:15">
      <c r="G180" s="145">
        <f t="shared" si="6"/>
        <v>55</v>
      </c>
      <c r="H180" s="146"/>
      <c r="I180" s="141" t="e">
        <f>VLOOKUP(G180,Licenses!B:C,2,FALSE)</f>
        <v>#N/A</v>
      </c>
      <c r="J180" s="147"/>
      <c r="K180" s="143" t="e">
        <f>VLOOKUP(G180,Licenses!B:D,3,FALSE)</f>
        <v>#N/A</v>
      </c>
      <c r="L180" s="144"/>
      <c r="M180" s="143" t="e">
        <f>VLOOKUP(G180,Licenses!B:H,7,FALSE)</f>
        <v>#N/A</v>
      </c>
      <c r="N180" s="142" t="s">
        <v>280</v>
      </c>
      <c r="O180" s="143" t="e">
        <f>VLOOKUP(G180,Licenses!B:I,8,FALSE)</f>
        <v>#N/A</v>
      </c>
    </row>
    <row r="181" spans="7:15">
      <c r="G181" s="145">
        <f t="shared" si="6"/>
        <v>56</v>
      </c>
      <c r="H181" s="146"/>
      <c r="I181" s="141" t="e">
        <f>VLOOKUP(G181,Licenses!B:C,2,FALSE)</f>
        <v>#N/A</v>
      </c>
      <c r="J181" s="147"/>
      <c r="K181" s="143" t="e">
        <f>VLOOKUP(G181,Licenses!B:D,3,FALSE)</f>
        <v>#N/A</v>
      </c>
      <c r="L181" s="144"/>
      <c r="M181" s="143" t="e">
        <f>VLOOKUP(G181,Licenses!B:H,7,FALSE)</f>
        <v>#N/A</v>
      </c>
      <c r="N181" s="142" t="s">
        <v>280</v>
      </c>
      <c r="O181" s="143" t="e">
        <f>VLOOKUP(G181,Licenses!B:I,8,FALSE)</f>
        <v>#N/A</v>
      </c>
    </row>
    <row r="182" spans="7:15">
      <c r="G182" s="145">
        <f t="shared" si="6"/>
        <v>57</v>
      </c>
      <c r="H182" s="146"/>
      <c r="I182" s="141" t="e">
        <f>VLOOKUP(G182,Licenses!B:C,2,FALSE)</f>
        <v>#N/A</v>
      </c>
      <c r="J182" s="147"/>
      <c r="K182" s="143" t="e">
        <f>VLOOKUP(G182,Licenses!B:D,3,FALSE)</f>
        <v>#N/A</v>
      </c>
      <c r="L182" s="144"/>
      <c r="M182" s="143" t="e">
        <f>VLOOKUP(G182,Licenses!B:H,7,FALSE)</f>
        <v>#N/A</v>
      </c>
      <c r="N182" s="142" t="s">
        <v>280</v>
      </c>
      <c r="O182" s="143" t="e">
        <f>VLOOKUP(G182,Licenses!B:I,8,FALSE)</f>
        <v>#N/A</v>
      </c>
    </row>
    <row r="183" spans="7:15">
      <c r="G183" s="145">
        <f t="shared" si="6"/>
        <v>58</v>
      </c>
      <c r="H183" s="146"/>
      <c r="I183" s="141" t="e">
        <f>VLOOKUP(G183,Licenses!B:C,2,FALSE)</f>
        <v>#N/A</v>
      </c>
      <c r="J183" s="147"/>
      <c r="K183" s="143" t="e">
        <f>VLOOKUP(G183,Licenses!B:D,3,FALSE)</f>
        <v>#N/A</v>
      </c>
      <c r="L183" s="144"/>
      <c r="M183" s="143" t="e">
        <f>VLOOKUP(G183,Licenses!B:H,7,FALSE)</f>
        <v>#N/A</v>
      </c>
      <c r="N183" s="142" t="s">
        <v>280</v>
      </c>
      <c r="O183" s="143" t="e">
        <f>VLOOKUP(G183,Licenses!B:I,8,FALSE)</f>
        <v>#N/A</v>
      </c>
    </row>
    <row r="184" spans="7:15">
      <c r="G184" s="145">
        <f t="shared" si="6"/>
        <v>59</v>
      </c>
      <c r="H184" s="146"/>
      <c r="I184" s="141" t="e">
        <f>VLOOKUP(G184,Licenses!B:C,2,FALSE)</f>
        <v>#N/A</v>
      </c>
      <c r="J184" s="147"/>
      <c r="K184" s="143" t="e">
        <f>VLOOKUP(G184,Licenses!B:D,3,FALSE)</f>
        <v>#N/A</v>
      </c>
      <c r="L184" s="144"/>
      <c r="M184" s="143" t="e">
        <f>VLOOKUP(G184,Licenses!B:H,7,FALSE)</f>
        <v>#N/A</v>
      </c>
      <c r="N184" s="142" t="s">
        <v>280</v>
      </c>
      <c r="O184" s="143" t="e">
        <f>VLOOKUP(G184,Licenses!B:I,8,FALSE)</f>
        <v>#N/A</v>
      </c>
    </row>
    <row r="185" spans="7:15">
      <c r="G185" s="145">
        <f t="shared" si="6"/>
        <v>60</v>
      </c>
      <c r="H185" s="146"/>
      <c r="I185" s="141" t="e">
        <f>VLOOKUP(G185,Licenses!B:C,2,FALSE)</f>
        <v>#N/A</v>
      </c>
      <c r="J185" s="147"/>
      <c r="K185" s="143" t="e">
        <f>VLOOKUP(G185,Licenses!B:D,3,FALSE)</f>
        <v>#N/A</v>
      </c>
      <c r="L185" s="144"/>
      <c r="M185" s="143" t="e">
        <f>VLOOKUP(G185,Licenses!B:H,7,FALSE)</f>
        <v>#N/A</v>
      </c>
      <c r="N185" s="142" t="s">
        <v>280</v>
      </c>
      <c r="O185" s="143" t="e">
        <f>VLOOKUP(G185,Licenses!B:I,8,FALSE)</f>
        <v>#N/A</v>
      </c>
    </row>
    <row r="186" spans="7:15">
      <c r="G186" s="145">
        <f t="shared" si="6"/>
        <v>61</v>
      </c>
      <c r="H186" s="146"/>
      <c r="I186" s="141" t="e">
        <f>VLOOKUP(G186,Licenses!B:C,2,FALSE)</f>
        <v>#N/A</v>
      </c>
      <c r="J186" s="147"/>
      <c r="K186" s="143" t="e">
        <f>VLOOKUP(G186,Licenses!B:D,3,FALSE)</f>
        <v>#N/A</v>
      </c>
      <c r="L186" s="144"/>
      <c r="M186" s="143" t="e">
        <f>VLOOKUP(G186,Licenses!B:H,7,FALSE)</f>
        <v>#N/A</v>
      </c>
      <c r="N186" s="142" t="s">
        <v>280</v>
      </c>
      <c r="O186" s="143" t="e">
        <f>VLOOKUP(G186,Licenses!B:I,8,FALSE)</f>
        <v>#N/A</v>
      </c>
    </row>
    <row r="187" spans="7:15">
      <c r="G187" s="145">
        <f t="shared" si="6"/>
        <v>62</v>
      </c>
      <c r="H187" s="146"/>
      <c r="I187" s="141" t="e">
        <f>VLOOKUP(G187,Licenses!B:C,2,FALSE)</f>
        <v>#N/A</v>
      </c>
      <c r="J187" s="147"/>
      <c r="K187" s="143" t="e">
        <f>VLOOKUP(G187,Licenses!B:D,3,FALSE)</f>
        <v>#N/A</v>
      </c>
      <c r="L187" s="144"/>
      <c r="M187" s="143" t="e">
        <f>VLOOKUP(G187,Licenses!B:H,7,FALSE)</f>
        <v>#N/A</v>
      </c>
      <c r="N187" s="142" t="s">
        <v>280</v>
      </c>
      <c r="O187" s="143" t="e">
        <f>VLOOKUP(G187,Licenses!B:I,8,FALSE)</f>
        <v>#N/A</v>
      </c>
    </row>
    <row r="188" spans="7:15">
      <c r="G188" s="145">
        <f t="shared" si="6"/>
        <v>63</v>
      </c>
      <c r="H188" s="146"/>
      <c r="I188" s="141" t="e">
        <f>VLOOKUP(G188,Licenses!B:C,2,FALSE)</f>
        <v>#N/A</v>
      </c>
      <c r="J188" s="147"/>
      <c r="K188" s="143" t="e">
        <f>VLOOKUP(G188,Licenses!B:D,3,FALSE)</f>
        <v>#N/A</v>
      </c>
      <c r="L188" s="144"/>
      <c r="M188" s="143" t="e">
        <f>VLOOKUP(G188,Licenses!B:H,7,FALSE)</f>
        <v>#N/A</v>
      </c>
      <c r="N188" s="142" t="s">
        <v>280</v>
      </c>
      <c r="O188" s="143" t="e">
        <f>VLOOKUP(G188,Licenses!B:I,8,FALSE)</f>
        <v>#N/A</v>
      </c>
    </row>
    <row r="189" spans="7:15">
      <c r="G189" s="145">
        <f t="shared" si="6"/>
        <v>64</v>
      </c>
      <c r="H189" s="146"/>
      <c r="I189" s="141" t="e">
        <f>VLOOKUP(G189,Licenses!B:C,2,FALSE)</f>
        <v>#N/A</v>
      </c>
      <c r="J189" s="147"/>
      <c r="K189" s="143" t="e">
        <f>VLOOKUP(G189,Licenses!B:D,3,FALSE)</f>
        <v>#N/A</v>
      </c>
      <c r="L189" s="144"/>
      <c r="M189" s="143" t="e">
        <f>VLOOKUP(G189,Licenses!B:H,7,FALSE)</f>
        <v>#N/A</v>
      </c>
      <c r="N189" s="142" t="s">
        <v>280</v>
      </c>
      <c r="O189" s="143" t="e">
        <f>VLOOKUP(G189,Licenses!B:I,8,FALSE)</f>
        <v>#N/A</v>
      </c>
    </row>
    <row r="190" spans="7:15">
      <c r="G190" s="145">
        <f t="shared" si="6"/>
        <v>65</v>
      </c>
      <c r="H190" s="146"/>
      <c r="I190" s="141" t="e">
        <f>VLOOKUP(G190,Licenses!B:C,2,FALSE)</f>
        <v>#N/A</v>
      </c>
      <c r="J190" s="147"/>
      <c r="K190" s="143" t="e">
        <f>VLOOKUP(G190,Licenses!B:D,3,FALSE)</f>
        <v>#N/A</v>
      </c>
      <c r="L190" s="144"/>
      <c r="M190" s="143" t="e">
        <f>VLOOKUP(G190,Licenses!B:H,7,FALSE)</f>
        <v>#N/A</v>
      </c>
      <c r="N190" s="142" t="s">
        <v>280</v>
      </c>
      <c r="O190" s="143" t="e">
        <f>VLOOKUP(G190,Licenses!B:I,8,FALSE)</f>
        <v>#N/A</v>
      </c>
    </row>
    <row r="191" spans="7:15">
      <c r="G191" s="145">
        <f t="shared" si="6"/>
        <v>66</v>
      </c>
      <c r="H191" s="146"/>
      <c r="I191" s="141" t="e">
        <f>VLOOKUP(G191,Licenses!B:C,2,FALSE)</f>
        <v>#N/A</v>
      </c>
      <c r="J191" s="147"/>
      <c r="K191" s="143" t="e">
        <f>VLOOKUP(G191,Licenses!B:D,3,FALSE)</f>
        <v>#N/A</v>
      </c>
      <c r="L191" s="144"/>
      <c r="M191" s="143" t="e">
        <f>VLOOKUP(G191,Licenses!B:H,7,FALSE)</f>
        <v>#N/A</v>
      </c>
      <c r="N191" s="142" t="s">
        <v>280</v>
      </c>
      <c r="O191" s="143" t="e">
        <f>VLOOKUP(G191,Licenses!B:I,8,FALSE)</f>
        <v>#N/A</v>
      </c>
    </row>
    <row r="192" spans="7:15">
      <c r="G192" s="145">
        <f t="shared" ref="G192:G224" si="7">SUM(G191,1)</f>
        <v>67</v>
      </c>
      <c r="H192" s="146"/>
      <c r="I192" s="141" t="e">
        <f>VLOOKUP(G192,Licenses!B:C,2,FALSE)</f>
        <v>#N/A</v>
      </c>
      <c r="J192" s="147"/>
      <c r="K192" s="143" t="e">
        <f>VLOOKUP(G192,Licenses!B:D,3,FALSE)</f>
        <v>#N/A</v>
      </c>
      <c r="L192" s="144"/>
      <c r="M192" s="143" t="e">
        <f>VLOOKUP(G192,Licenses!B:H,7,FALSE)</f>
        <v>#N/A</v>
      </c>
      <c r="N192" s="142" t="s">
        <v>280</v>
      </c>
      <c r="O192" s="143" t="e">
        <f>VLOOKUP(G192,Licenses!B:I,8,FALSE)</f>
        <v>#N/A</v>
      </c>
    </row>
    <row r="193" spans="7:15">
      <c r="G193" s="145">
        <f t="shared" si="7"/>
        <v>68</v>
      </c>
      <c r="H193" s="146"/>
      <c r="I193" s="141" t="e">
        <f>VLOOKUP(G193,Licenses!B:C,2,FALSE)</f>
        <v>#N/A</v>
      </c>
      <c r="J193" s="147"/>
      <c r="K193" s="143" t="e">
        <f>VLOOKUP(G193,Licenses!B:D,3,FALSE)</f>
        <v>#N/A</v>
      </c>
      <c r="L193" s="144"/>
      <c r="M193" s="143" t="e">
        <f>VLOOKUP(G193,Licenses!B:H,7,FALSE)</f>
        <v>#N/A</v>
      </c>
      <c r="N193" s="142" t="s">
        <v>280</v>
      </c>
      <c r="O193" s="143" t="e">
        <f>VLOOKUP(G193,Licenses!B:I,8,FALSE)</f>
        <v>#N/A</v>
      </c>
    </row>
    <row r="194" spans="7:15">
      <c r="G194" s="145">
        <f t="shared" si="7"/>
        <v>69</v>
      </c>
      <c r="H194" s="146"/>
      <c r="I194" s="141" t="e">
        <f>VLOOKUP(G194,Licenses!B:C,2,FALSE)</f>
        <v>#N/A</v>
      </c>
      <c r="J194" s="147"/>
      <c r="K194" s="143" t="e">
        <f>VLOOKUP(G194,Licenses!B:D,3,FALSE)</f>
        <v>#N/A</v>
      </c>
      <c r="L194" s="144"/>
      <c r="M194" s="143" t="e">
        <f>VLOOKUP(G194,Licenses!B:H,7,FALSE)</f>
        <v>#N/A</v>
      </c>
      <c r="N194" s="142" t="s">
        <v>280</v>
      </c>
      <c r="O194" s="143" t="e">
        <f>VLOOKUP(G194,Licenses!B:I,8,FALSE)</f>
        <v>#N/A</v>
      </c>
    </row>
    <row r="195" spans="7:15">
      <c r="G195" s="145">
        <f t="shared" si="7"/>
        <v>70</v>
      </c>
      <c r="H195" s="146"/>
      <c r="I195" s="141" t="e">
        <f>VLOOKUP(G195,Licenses!B:C,2,FALSE)</f>
        <v>#N/A</v>
      </c>
      <c r="J195" s="147"/>
      <c r="K195" s="143" t="e">
        <f>VLOOKUP(G195,Licenses!B:D,3,FALSE)</f>
        <v>#N/A</v>
      </c>
      <c r="L195" s="144"/>
      <c r="M195" s="143" t="e">
        <f>VLOOKUP(G195,Licenses!B:H,7,FALSE)</f>
        <v>#N/A</v>
      </c>
      <c r="N195" s="142" t="s">
        <v>280</v>
      </c>
      <c r="O195" s="143" t="e">
        <f>VLOOKUP(G195,Licenses!B:I,8,FALSE)</f>
        <v>#N/A</v>
      </c>
    </row>
    <row r="196" spans="7:15">
      <c r="G196" s="145">
        <f t="shared" si="7"/>
        <v>71</v>
      </c>
      <c r="H196" s="146"/>
      <c r="I196" s="141" t="e">
        <f>VLOOKUP(G196,Licenses!B:C,2,FALSE)</f>
        <v>#N/A</v>
      </c>
      <c r="J196" s="147"/>
      <c r="K196" s="143" t="e">
        <f>VLOOKUP(G196,Licenses!B:D,3,FALSE)</f>
        <v>#N/A</v>
      </c>
      <c r="L196" s="144"/>
      <c r="M196" s="143" t="e">
        <f>VLOOKUP(G196,Licenses!B:H,7,FALSE)</f>
        <v>#N/A</v>
      </c>
      <c r="N196" s="142" t="s">
        <v>280</v>
      </c>
      <c r="O196" s="143" t="e">
        <f>VLOOKUP(G196,Licenses!B:I,8,FALSE)</f>
        <v>#N/A</v>
      </c>
    </row>
    <row r="197" spans="7:15">
      <c r="G197" s="145">
        <f t="shared" si="7"/>
        <v>72</v>
      </c>
      <c r="H197" s="146"/>
      <c r="I197" s="141" t="e">
        <f>VLOOKUP(G197,Licenses!B:C,2,FALSE)</f>
        <v>#N/A</v>
      </c>
      <c r="J197" s="147"/>
      <c r="K197" s="143" t="e">
        <f>VLOOKUP(G197,Licenses!B:D,3,FALSE)</f>
        <v>#N/A</v>
      </c>
      <c r="L197" s="144"/>
      <c r="M197" s="143" t="e">
        <f>VLOOKUP(G197,Licenses!B:H,7,FALSE)</f>
        <v>#N/A</v>
      </c>
      <c r="N197" s="142" t="s">
        <v>280</v>
      </c>
      <c r="O197" s="143" t="e">
        <f>VLOOKUP(G197,Licenses!B:I,8,FALSE)</f>
        <v>#N/A</v>
      </c>
    </row>
    <row r="198" spans="7:15">
      <c r="G198" s="145">
        <f t="shared" si="7"/>
        <v>73</v>
      </c>
      <c r="H198" s="146"/>
      <c r="I198" s="141" t="e">
        <f>VLOOKUP(G198,Licenses!B:C,2,FALSE)</f>
        <v>#N/A</v>
      </c>
      <c r="J198" s="147"/>
      <c r="K198" s="143" t="e">
        <f>VLOOKUP(G198,Licenses!B:D,3,FALSE)</f>
        <v>#N/A</v>
      </c>
      <c r="L198" s="144"/>
      <c r="M198" s="143" t="e">
        <f>VLOOKUP(G198,Licenses!B:H,7,FALSE)</f>
        <v>#N/A</v>
      </c>
      <c r="N198" s="142" t="s">
        <v>280</v>
      </c>
      <c r="O198" s="143" t="e">
        <f>VLOOKUP(G198,Licenses!B:I,8,FALSE)</f>
        <v>#N/A</v>
      </c>
    </row>
    <row r="199" spans="7:15">
      <c r="G199" s="145">
        <f t="shared" si="7"/>
        <v>74</v>
      </c>
      <c r="H199" s="146"/>
      <c r="I199" s="141" t="e">
        <f>VLOOKUP(G199,Licenses!B:C,2,FALSE)</f>
        <v>#N/A</v>
      </c>
      <c r="J199" s="147"/>
      <c r="K199" s="143" t="e">
        <f>VLOOKUP(G199,Licenses!B:D,3,FALSE)</f>
        <v>#N/A</v>
      </c>
      <c r="L199" s="144"/>
      <c r="M199" s="143" t="e">
        <f>VLOOKUP(G199,Licenses!B:H,7,FALSE)</f>
        <v>#N/A</v>
      </c>
      <c r="N199" s="142" t="s">
        <v>280</v>
      </c>
      <c r="O199" s="143" t="e">
        <f>VLOOKUP(G199,Licenses!B:I,8,FALSE)</f>
        <v>#N/A</v>
      </c>
    </row>
    <row r="200" spans="7:15">
      <c r="G200" s="145">
        <f t="shared" si="7"/>
        <v>75</v>
      </c>
      <c r="H200" s="146"/>
      <c r="I200" s="141" t="e">
        <f>VLOOKUP(G200,Licenses!B:C,2,FALSE)</f>
        <v>#N/A</v>
      </c>
      <c r="J200" s="147"/>
      <c r="K200" s="143" t="e">
        <f>VLOOKUP(G200,Licenses!B:D,3,FALSE)</f>
        <v>#N/A</v>
      </c>
      <c r="L200" s="144"/>
      <c r="M200" s="143" t="e">
        <f>VLOOKUP(G200,Licenses!B:H,7,FALSE)</f>
        <v>#N/A</v>
      </c>
      <c r="N200" s="142" t="s">
        <v>280</v>
      </c>
      <c r="O200" s="143" t="e">
        <f>VLOOKUP(G200,Licenses!B:I,8,FALSE)</f>
        <v>#N/A</v>
      </c>
    </row>
    <row r="201" spans="7:15">
      <c r="G201" s="145">
        <f t="shared" si="7"/>
        <v>76</v>
      </c>
      <c r="H201" s="146"/>
      <c r="I201" s="141" t="e">
        <f>VLOOKUP(G201,Licenses!B:C,2,FALSE)</f>
        <v>#N/A</v>
      </c>
      <c r="J201" s="147"/>
      <c r="K201" s="143" t="e">
        <f>VLOOKUP(G201,Licenses!B:D,3,FALSE)</f>
        <v>#N/A</v>
      </c>
      <c r="L201" s="144"/>
      <c r="M201" s="143" t="e">
        <f>VLOOKUP(G201,Licenses!B:H,7,FALSE)</f>
        <v>#N/A</v>
      </c>
      <c r="N201" s="142" t="s">
        <v>280</v>
      </c>
      <c r="O201" s="143" t="e">
        <f>VLOOKUP(G201,Licenses!B:I,8,FALSE)</f>
        <v>#N/A</v>
      </c>
    </row>
    <row r="202" spans="7:15">
      <c r="G202" s="145">
        <f t="shared" si="7"/>
        <v>77</v>
      </c>
      <c r="H202" s="146"/>
      <c r="I202" s="141" t="e">
        <f>VLOOKUP(G202,Licenses!B:C,2,FALSE)</f>
        <v>#N/A</v>
      </c>
      <c r="J202" s="147"/>
      <c r="K202" s="143" t="e">
        <f>VLOOKUP(G202,Licenses!B:D,3,FALSE)</f>
        <v>#N/A</v>
      </c>
      <c r="L202" s="144"/>
      <c r="M202" s="143" t="e">
        <f>VLOOKUP(G202,Licenses!B:H,7,FALSE)</f>
        <v>#N/A</v>
      </c>
      <c r="N202" s="142" t="s">
        <v>280</v>
      </c>
      <c r="O202" s="143" t="e">
        <f>VLOOKUP(G202,Licenses!B:I,8,FALSE)</f>
        <v>#N/A</v>
      </c>
    </row>
    <row r="203" spans="7:15">
      <c r="G203" s="145">
        <f t="shared" si="7"/>
        <v>78</v>
      </c>
      <c r="H203" s="146"/>
      <c r="I203" s="141" t="e">
        <f>VLOOKUP(G203,Licenses!B:C,2,FALSE)</f>
        <v>#N/A</v>
      </c>
      <c r="J203" s="147"/>
      <c r="K203" s="143" t="e">
        <f>VLOOKUP(G203,Licenses!B:D,3,FALSE)</f>
        <v>#N/A</v>
      </c>
      <c r="L203" s="144"/>
      <c r="M203" s="143" t="e">
        <f>VLOOKUP(G203,Licenses!B:H,7,FALSE)</f>
        <v>#N/A</v>
      </c>
      <c r="N203" s="142" t="s">
        <v>280</v>
      </c>
      <c r="O203" s="143" t="e">
        <f>VLOOKUP(G203,Licenses!B:I,8,FALSE)</f>
        <v>#N/A</v>
      </c>
    </row>
    <row r="204" spans="7:15">
      <c r="G204" s="145">
        <f t="shared" si="7"/>
        <v>79</v>
      </c>
      <c r="H204" s="146"/>
      <c r="I204" s="141" t="e">
        <f>VLOOKUP(G204,Licenses!B:C,2,FALSE)</f>
        <v>#N/A</v>
      </c>
      <c r="J204" s="147"/>
      <c r="K204" s="143" t="e">
        <f>VLOOKUP(G204,Licenses!B:D,3,FALSE)</f>
        <v>#N/A</v>
      </c>
      <c r="L204" s="144"/>
      <c r="M204" s="143" t="e">
        <f>VLOOKUP(G204,Licenses!B:H,7,FALSE)</f>
        <v>#N/A</v>
      </c>
      <c r="N204" s="142" t="s">
        <v>280</v>
      </c>
      <c r="O204" s="143" t="e">
        <f>VLOOKUP(G204,Licenses!B:I,8,FALSE)</f>
        <v>#N/A</v>
      </c>
    </row>
    <row r="205" spans="7:15">
      <c r="G205" s="145">
        <f t="shared" si="7"/>
        <v>80</v>
      </c>
      <c r="H205" s="146"/>
      <c r="I205" s="141" t="e">
        <f>VLOOKUP(G205,Licenses!B:C,2,FALSE)</f>
        <v>#N/A</v>
      </c>
      <c r="J205" s="147"/>
      <c r="K205" s="143" t="e">
        <f>VLOOKUP(G205,Licenses!B:D,3,FALSE)</f>
        <v>#N/A</v>
      </c>
      <c r="L205" s="144"/>
      <c r="M205" s="143" t="e">
        <f>VLOOKUP(G205,Licenses!B:H,7,FALSE)</f>
        <v>#N/A</v>
      </c>
      <c r="N205" s="142" t="s">
        <v>280</v>
      </c>
      <c r="O205" s="143" t="e">
        <f>VLOOKUP(G205,Licenses!B:I,8,FALSE)</f>
        <v>#N/A</v>
      </c>
    </row>
    <row r="206" spans="7:15">
      <c r="G206" s="145">
        <f t="shared" si="7"/>
        <v>81</v>
      </c>
      <c r="H206" s="146"/>
      <c r="I206" s="141" t="e">
        <f>VLOOKUP(G206,Licenses!B:C,2,FALSE)</f>
        <v>#N/A</v>
      </c>
      <c r="J206" s="147"/>
      <c r="K206" s="143" t="e">
        <f>VLOOKUP(G206,Licenses!B:D,3,FALSE)</f>
        <v>#N/A</v>
      </c>
      <c r="L206" s="144"/>
      <c r="M206" s="143" t="e">
        <f>VLOOKUP(G206,Licenses!B:H,7,FALSE)</f>
        <v>#N/A</v>
      </c>
      <c r="N206" s="142" t="s">
        <v>280</v>
      </c>
      <c r="O206" s="143" t="e">
        <f>VLOOKUP(G206,Licenses!B:I,8,FALSE)</f>
        <v>#N/A</v>
      </c>
    </row>
    <row r="207" spans="7:15">
      <c r="G207" s="145">
        <f t="shared" si="7"/>
        <v>82</v>
      </c>
      <c r="H207" s="146"/>
      <c r="I207" s="141" t="e">
        <f>VLOOKUP(G207,Licenses!B:C,2,FALSE)</f>
        <v>#N/A</v>
      </c>
      <c r="J207" s="147"/>
      <c r="K207" s="143" t="e">
        <f>VLOOKUP(G207,Licenses!B:D,3,FALSE)</f>
        <v>#N/A</v>
      </c>
      <c r="L207" s="144"/>
      <c r="M207" s="143" t="e">
        <f>VLOOKUP(G207,Licenses!B:H,7,FALSE)</f>
        <v>#N/A</v>
      </c>
      <c r="N207" s="142" t="s">
        <v>280</v>
      </c>
      <c r="O207" s="143" t="e">
        <f>VLOOKUP(G207,Licenses!B:I,8,FALSE)</f>
        <v>#N/A</v>
      </c>
    </row>
    <row r="208" spans="7:15">
      <c r="G208" s="145">
        <f t="shared" si="7"/>
        <v>83</v>
      </c>
      <c r="H208" s="146"/>
      <c r="I208" s="141" t="e">
        <f>VLOOKUP(G208,Licenses!B:C,2,FALSE)</f>
        <v>#N/A</v>
      </c>
      <c r="J208" s="147"/>
      <c r="K208" s="143" t="e">
        <f>VLOOKUP(G208,Licenses!B:D,3,FALSE)</f>
        <v>#N/A</v>
      </c>
      <c r="L208" s="144"/>
      <c r="M208" s="143" t="e">
        <f>VLOOKUP(G208,Licenses!B:H,7,FALSE)</f>
        <v>#N/A</v>
      </c>
      <c r="N208" s="142" t="s">
        <v>280</v>
      </c>
      <c r="O208" s="143" t="e">
        <f>VLOOKUP(G208,Licenses!B:I,8,FALSE)</f>
        <v>#N/A</v>
      </c>
    </row>
    <row r="209" spans="7:15">
      <c r="G209" s="145">
        <f t="shared" si="7"/>
        <v>84</v>
      </c>
      <c r="H209" s="146"/>
      <c r="I209" s="141" t="e">
        <f>VLOOKUP(G209,Licenses!B:C,2,FALSE)</f>
        <v>#N/A</v>
      </c>
      <c r="J209" s="147"/>
      <c r="K209" s="143" t="e">
        <f>VLOOKUP(G209,Licenses!B:D,3,FALSE)</f>
        <v>#N/A</v>
      </c>
      <c r="L209" s="144"/>
      <c r="M209" s="143" t="e">
        <f>VLOOKUP(G209,Licenses!B:H,7,FALSE)</f>
        <v>#N/A</v>
      </c>
      <c r="N209" s="142" t="s">
        <v>280</v>
      </c>
      <c r="O209" s="143" t="e">
        <f>VLOOKUP(G209,Licenses!B:I,8,FALSE)</f>
        <v>#N/A</v>
      </c>
    </row>
    <row r="210" spans="7:15">
      <c r="G210" s="145">
        <f t="shared" si="7"/>
        <v>85</v>
      </c>
      <c r="H210" s="146"/>
      <c r="I210" s="141" t="e">
        <f>VLOOKUP(G210,Licenses!B:C,2,FALSE)</f>
        <v>#N/A</v>
      </c>
      <c r="J210" s="147"/>
      <c r="K210" s="143" t="e">
        <f>VLOOKUP(G210,Licenses!B:D,3,FALSE)</f>
        <v>#N/A</v>
      </c>
      <c r="L210" s="144"/>
      <c r="M210" s="143" t="e">
        <f>VLOOKUP(G210,Licenses!B:H,7,FALSE)</f>
        <v>#N/A</v>
      </c>
      <c r="N210" s="142" t="s">
        <v>280</v>
      </c>
      <c r="O210" s="143" t="e">
        <f>VLOOKUP(G210,Licenses!B:I,8,FALSE)</f>
        <v>#N/A</v>
      </c>
    </row>
    <row r="211" spans="7:15">
      <c r="G211" s="145">
        <f t="shared" si="7"/>
        <v>86</v>
      </c>
      <c r="H211" s="146"/>
      <c r="I211" s="141" t="e">
        <f>VLOOKUP(G211,Licenses!B:C,2,FALSE)</f>
        <v>#N/A</v>
      </c>
      <c r="J211" s="147"/>
      <c r="K211" s="143" t="e">
        <f>VLOOKUP(G211,Licenses!B:D,3,FALSE)</f>
        <v>#N/A</v>
      </c>
      <c r="L211" s="144"/>
      <c r="M211" s="143" t="e">
        <f>VLOOKUP(G211,Licenses!B:H,7,FALSE)</f>
        <v>#N/A</v>
      </c>
      <c r="N211" s="142" t="s">
        <v>280</v>
      </c>
      <c r="O211" s="143" t="e">
        <f>VLOOKUP(G211,Licenses!B:I,8,FALSE)</f>
        <v>#N/A</v>
      </c>
    </row>
    <row r="212" spans="7:15">
      <c r="G212" s="145">
        <f t="shared" si="7"/>
        <v>87</v>
      </c>
      <c r="H212" s="146"/>
      <c r="I212" s="141" t="e">
        <f>VLOOKUP(G212,Licenses!B:C,2,FALSE)</f>
        <v>#N/A</v>
      </c>
      <c r="J212" s="147"/>
      <c r="K212" s="143" t="e">
        <f>VLOOKUP(G212,Licenses!B:D,3,FALSE)</f>
        <v>#N/A</v>
      </c>
      <c r="L212" s="144"/>
      <c r="M212" s="143" t="e">
        <f>VLOOKUP(G212,Licenses!B:H,7,FALSE)</f>
        <v>#N/A</v>
      </c>
      <c r="N212" s="142" t="s">
        <v>280</v>
      </c>
      <c r="O212" s="143" t="e">
        <f>VLOOKUP(G212,Licenses!B:I,8,FALSE)</f>
        <v>#N/A</v>
      </c>
    </row>
    <row r="213" spans="7:15">
      <c r="G213" s="145">
        <f t="shared" si="7"/>
        <v>88</v>
      </c>
      <c r="H213" s="146"/>
      <c r="I213" s="141" t="e">
        <f>VLOOKUP(G213,Licenses!B:C,2,FALSE)</f>
        <v>#N/A</v>
      </c>
      <c r="J213" s="147"/>
      <c r="K213" s="143" t="e">
        <f>VLOOKUP(G213,Licenses!B:D,3,FALSE)</f>
        <v>#N/A</v>
      </c>
      <c r="L213" s="144"/>
      <c r="M213" s="143" t="e">
        <f>VLOOKUP(G213,Licenses!B:H,7,FALSE)</f>
        <v>#N/A</v>
      </c>
      <c r="N213" s="142" t="s">
        <v>280</v>
      </c>
      <c r="O213" s="143" t="e">
        <f>VLOOKUP(G213,Licenses!B:I,8,FALSE)</f>
        <v>#N/A</v>
      </c>
    </row>
    <row r="214" spans="7:15">
      <c r="G214" s="145">
        <f t="shared" si="7"/>
        <v>89</v>
      </c>
      <c r="H214" s="146"/>
      <c r="I214" s="141" t="e">
        <f>VLOOKUP(G214,Licenses!B:C,2,FALSE)</f>
        <v>#N/A</v>
      </c>
      <c r="J214" s="147"/>
      <c r="K214" s="143" t="e">
        <f>VLOOKUP(G214,Licenses!B:D,3,FALSE)</f>
        <v>#N/A</v>
      </c>
      <c r="L214" s="144"/>
      <c r="M214" s="143" t="e">
        <f>VLOOKUP(G214,Licenses!B:H,7,FALSE)</f>
        <v>#N/A</v>
      </c>
      <c r="N214" s="142" t="s">
        <v>280</v>
      </c>
      <c r="O214" s="143" t="e">
        <f>VLOOKUP(G214,Licenses!B:I,8,FALSE)</f>
        <v>#N/A</v>
      </c>
    </row>
    <row r="215" spans="7:15">
      <c r="G215" s="145">
        <f t="shared" si="7"/>
        <v>90</v>
      </c>
      <c r="H215" s="146"/>
      <c r="I215" s="141" t="e">
        <f>VLOOKUP(G215,Licenses!B:C,2,FALSE)</f>
        <v>#N/A</v>
      </c>
      <c r="J215" s="147"/>
      <c r="K215" s="143" t="e">
        <f>VLOOKUP(G215,Licenses!B:D,3,FALSE)</f>
        <v>#N/A</v>
      </c>
      <c r="L215" s="144"/>
      <c r="M215" s="143" t="e">
        <f>VLOOKUP(G215,Licenses!B:H,7,FALSE)</f>
        <v>#N/A</v>
      </c>
      <c r="N215" s="142" t="s">
        <v>280</v>
      </c>
      <c r="O215" s="143" t="e">
        <f>VLOOKUP(G215,Licenses!B:I,8,FALSE)</f>
        <v>#N/A</v>
      </c>
    </row>
    <row r="216" spans="7:15">
      <c r="G216" s="145">
        <f t="shared" si="7"/>
        <v>91</v>
      </c>
      <c r="H216" s="146"/>
      <c r="I216" s="141" t="e">
        <f>VLOOKUP(G216,Licenses!B:C,2,FALSE)</f>
        <v>#N/A</v>
      </c>
      <c r="J216" s="147"/>
      <c r="K216" s="143" t="e">
        <f>VLOOKUP(G216,Licenses!B:D,3,FALSE)</f>
        <v>#N/A</v>
      </c>
      <c r="L216" s="144"/>
      <c r="M216" s="143" t="e">
        <f>VLOOKUP(G216,Licenses!B:H,7,FALSE)</f>
        <v>#N/A</v>
      </c>
      <c r="N216" s="142" t="s">
        <v>280</v>
      </c>
      <c r="O216" s="143" t="e">
        <f>VLOOKUP(G216,Licenses!B:I,8,FALSE)</f>
        <v>#N/A</v>
      </c>
    </row>
    <row r="217" spans="7:15">
      <c r="G217" s="145">
        <f t="shared" si="7"/>
        <v>92</v>
      </c>
      <c r="H217" s="146"/>
      <c r="I217" s="141" t="e">
        <f>VLOOKUP(G217,Licenses!B:C,2,FALSE)</f>
        <v>#N/A</v>
      </c>
      <c r="J217" s="147"/>
      <c r="K217" s="143" t="e">
        <f>VLOOKUP(G217,Licenses!B:D,3,FALSE)</f>
        <v>#N/A</v>
      </c>
      <c r="L217" s="144"/>
      <c r="M217" s="143" t="e">
        <f>VLOOKUP(G217,Licenses!B:H,7,FALSE)</f>
        <v>#N/A</v>
      </c>
      <c r="N217" s="142" t="s">
        <v>280</v>
      </c>
      <c r="O217" s="143" t="e">
        <f>VLOOKUP(G217,Licenses!B:I,8,FALSE)</f>
        <v>#N/A</v>
      </c>
    </row>
    <row r="218" spans="7:15">
      <c r="G218" s="145">
        <f t="shared" si="7"/>
        <v>93</v>
      </c>
      <c r="H218" s="146"/>
      <c r="I218" s="141" t="e">
        <f>VLOOKUP(G218,Licenses!B:C,2,FALSE)</f>
        <v>#N/A</v>
      </c>
      <c r="J218" s="147"/>
      <c r="K218" s="143" t="e">
        <f>VLOOKUP(G218,Licenses!B:D,3,FALSE)</f>
        <v>#N/A</v>
      </c>
      <c r="L218" s="144"/>
      <c r="M218" s="143" t="e">
        <f>VLOOKUP(G218,Licenses!B:H,7,FALSE)</f>
        <v>#N/A</v>
      </c>
      <c r="N218" s="142" t="s">
        <v>280</v>
      </c>
      <c r="O218" s="143" t="e">
        <f>VLOOKUP(G218,Licenses!B:I,8,FALSE)</f>
        <v>#N/A</v>
      </c>
    </row>
    <row r="219" spans="7:15">
      <c r="G219" s="145">
        <f t="shared" si="7"/>
        <v>94</v>
      </c>
      <c r="H219" s="146"/>
      <c r="I219" s="141" t="e">
        <f>VLOOKUP(G219,Licenses!B:C,2,FALSE)</f>
        <v>#N/A</v>
      </c>
      <c r="J219" s="147"/>
      <c r="K219" s="143" t="e">
        <f>VLOOKUP(G219,Licenses!B:D,3,FALSE)</f>
        <v>#N/A</v>
      </c>
      <c r="L219" s="144"/>
      <c r="M219" s="143" t="e">
        <f>VLOOKUP(G219,Licenses!B:H,7,FALSE)</f>
        <v>#N/A</v>
      </c>
      <c r="N219" s="142" t="s">
        <v>280</v>
      </c>
      <c r="O219" s="143" t="e">
        <f>VLOOKUP(G219,Licenses!B:I,8,FALSE)</f>
        <v>#N/A</v>
      </c>
    </row>
    <row r="220" spans="7:15">
      <c r="G220" s="145">
        <f t="shared" si="7"/>
        <v>95</v>
      </c>
      <c r="H220" s="146"/>
      <c r="I220" s="141" t="e">
        <f>VLOOKUP(G220,Licenses!B:C,2,FALSE)</f>
        <v>#N/A</v>
      </c>
      <c r="J220" s="147"/>
      <c r="K220" s="143" t="e">
        <f>VLOOKUP(G220,Licenses!B:D,3,FALSE)</f>
        <v>#N/A</v>
      </c>
      <c r="L220" s="144"/>
      <c r="M220" s="143" t="e">
        <f>VLOOKUP(G220,Licenses!B:H,7,FALSE)</f>
        <v>#N/A</v>
      </c>
      <c r="N220" s="142" t="s">
        <v>280</v>
      </c>
      <c r="O220" s="143" t="e">
        <f>VLOOKUP(G220,Licenses!B:I,8,FALSE)</f>
        <v>#N/A</v>
      </c>
    </row>
    <row r="221" spans="7:15">
      <c r="G221" s="145">
        <f t="shared" si="7"/>
        <v>96</v>
      </c>
      <c r="H221" s="146"/>
      <c r="I221" s="141" t="e">
        <f>VLOOKUP(G221,Licenses!B:C,2,FALSE)</f>
        <v>#N/A</v>
      </c>
      <c r="J221" s="147"/>
      <c r="K221" s="143" t="e">
        <f>VLOOKUP(G221,Licenses!B:D,3,FALSE)</f>
        <v>#N/A</v>
      </c>
      <c r="L221" s="144"/>
      <c r="M221" s="143" t="e">
        <f>VLOOKUP(G221,Licenses!B:H,7,FALSE)</f>
        <v>#N/A</v>
      </c>
      <c r="N221" s="142" t="s">
        <v>280</v>
      </c>
      <c r="O221" s="143" t="e">
        <f>VLOOKUP(G221,Licenses!B:I,8,FALSE)</f>
        <v>#N/A</v>
      </c>
    </row>
    <row r="222" spans="7:15">
      <c r="G222" s="145">
        <f t="shared" si="7"/>
        <v>97</v>
      </c>
      <c r="H222" s="146"/>
      <c r="I222" s="141" t="e">
        <f>VLOOKUP(G222,Licenses!B:C,2,FALSE)</f>
        <v>#N/A</v>
      </c>
      <c r="J222" s="147"/>
      <c r="K222" s="143" t="e">
        <f>VLOOKUP(G222,Licenses!B:D,3,FALSE)</f>
        <v>#N/A</v>
      </c>
      <c r="L222" s="144"/>
      <c r="M222" s="143" t="e">
        <f>VLOOKUP(G222,Licenses!B:H,7,FALSE)</f>
        <v>#N/A</v>
      </c>
      <c r="N222" s="142" t="s">
        <v>280</v>
      </c>
      <c r="O222" s="143" t="e">
        <f>VLOOKUP(G222,Licenses!B:I,8,FALSE)</f>
        <v>#N/A</v>
      </c>
    </row>
    <row r="223" spans="7:15">
      <c r="G223" s="145">
        <f t="shared" si="7"/>
        <v>98</v>
      </c>
      <c r="H223" s="146"/>
      <c r="I223" s="141" t="e">
        <f>VLOOKUP(G223,Licenses!B:C,2,FALSE)</f>
        <v>#N/A</v>
      </c>
      <c r="J223" s="147"/>
      <c r="K223" s="143" t="e">
        <f>VLOOKUP(G223,Licenses!B:D,3,FALSE)</f>
        <v>#N/A</v>
      </c>
      <c r="L223" s="144"/>
      <c r="M223" s="143" t="e">
        <f>VLOOKUP(G223,Licenses!B:H,7,FALSE)</f>
        <v>#N/A</v>
      </c>
      <c r="N223" s="142" t="s">
        <v>280</v>
      </c>
      <c r="O223" s="143" t="e">
        <f>VLOOKUP(G223,Licenses!B:I,8,FALSE)</f>
        <v>#N/A</v>
      </c>
    </row>
    <row r="224" spans="7:15">
      <c r="G224" s="145">
        <f t="shared" si="7"/>
        <v>99</v>
      </c>
      <c r="H224" s="146"/>
      <c r="I224" s="141" t="e">
        <f>VLOOKUP(G224,Licenses!B:C,2,FALSE)</f>
        <v>#N/A</v>
      </c>
      <c r="J224" s="147"/>
      <c r="K224" s="143" t="e">
        <f>VLOOKUP(G224,Licenses!B:D,3,FALSE)</f>
        <v>#N/A</v>
      </c>
      <c r="L224" s="144"/>
      <c r="M224" s="143" t="e">
        <f>VLOOKUP(G224,Licenses!B:H,7,FALSE)</f>
        <v>#N/A</v>
      </c>
      <c r="N224" s="142" t="s">
        <v>280</v>
      </c>
      <c r="O224" s="143" t="e">
        <f>VLOOKUP(G224,Licenses!B:I,8,FALSE)</f>
        <v>#N/A</v>
      </c>
    </row>
  </sheetData>
  <sheetProtection algorithmName="SHA-512" hashValue="/KU0OdAtyxA7/YzBgeqAz1I0CWy1/j8bKPX25icjpRWPZm8HbBOZGlb1+lwTEtCwVanZ0TTr6Xu8oc+pQ0AxmQ==" saltValue="MapPfW/4GgaY0vKF2c8UKg==" spinCount="100000" sheet="1" selectLockedCells="1"/>
  <mergeCells count="2">
    <mergeCell ref="K7:M9"/>
    <mergeCell ref="O7:O9"/>
  </mergeCells>
  <conditionalFormatting sqref="D15:E15 D19:E19 D23:E23 D27:E27 D55:E55 D59:E59 D63:E63 D67:E67">
    <cfRule type="expression" dxfId="171" priority="10">
      <formula>$A$1=2</formula>
    </cfRule>
  </conditionalFormatting>
  <conditionalFormatting sqref="D15:E15 D19:E19 D23:E27 G25:O27 D45:O47 D55:E55 D59:E59 D63:E63 D65:O67 Q73:S87 D85:O87 D105:O107 Q105:S107">
    <cfRule type="expression" dxfId="170" priority="6">
      <formula>$A$1=3</formula>
    </cfRule>
  </conditionalFormatting>
  <conditionalFormatting sqref="D35:E35 D39:E39 D43:E43 D47:E47">
    <cfRule type="expression" dxfId="169" priority="16">
      <formula>$A$1=1</formula>
    </cfRule>
  </conditionalFormatting>
  <conditionalFormatting sqref="D95:E95">
    <cfRule type="expression" dxfId="168" priority="1">
      <formula>$A$1=1</formula>
    </cfRule>
  </conditionalFormatting>
  <conditionalFormatting sqref="D97:S107 D108:U112 D113:S113 D114:U114 D115:S115">
    <cfRule type="expression" dxfId="167" priority="13">
      <formula>$A$1=1</formula>
    </cfRule>
  </conditionalFormatting>
  <conditionalFormatting sqref="G16:O16 G20:O20 G24:O24 G56:O56 G60:O60 G64:O64">
    <cfRule type="expression" dxfId="166" priority="9">
      <formula>$A$1=2</formula>
    </cfRule>
  </conditionalFormatting>
  <conditionalFormatting sqref="G16:O16 G20:O20 G56:O56 G60:O60">
    <cfRule type="expression" dxfId="165" priority="5">
      <formula>$A$1=3</formula>
    </cfRule>
  </conditionalFormatting>
  <conditionalFormatting sqref="G36:O36 G40:O40 G44:O44">
    <cfRule type="expression" dxfId="164" priority="15">
      <formula>$A$1=1</formula>
    </cfRule>
  </conditionalFormatting>
  <conditionalFormatting sqref="H85 H87 H73 H75 H77 H79 H81 H83">
    <cfRule type="expression" dxfId="163" priority="14">
      <formula>$A$1=1</formula>
    </cfRule>
  </conditionalFormatting>
  <conditionalFormatting sqref="H93 H95 H97 H99 H101 H103">
    <cfRule type="expression" dxfId="162" priority="4">
      <formula>$A$1=3</formula>
    </cfRule>
  </conditionalFormatting>
  <conditionalFormatting sqref="H105 H107 H93 H95 H97 H99 H101 H103">
    <cfRule type="expression" dxfId="161" priority="8">
      <formula>$A$1=2</formula>
    </cfRule>
  </conditionalFormatting>
  <conditionalFormatting sqref="I85 K85 M85 O85 I87 K87 M87 O87 I73 K73 M73 O73 I75 K75 M75 O75 I77 K77 M77 O77 I79 K79 M79 O79 I81 K81 M81 O81 I83 K83 M83 O83">
    <cfRule type="expression" dxfId="160" priority="11">
      <formula>$A$1=1</formula>
    </cfRule>
  </conditionalFormatting>
  <conditionalFormatting sqref="I93 K93 M93 O93 I95 K95 M95 O95 I97 K97 M97 O97 I99 K99 M99 O99 I101 K101 M101 O101 I103 K103 M103 O103">
    <cfRule type="expression" dxfId="159" priority="3">
      <formula>$A$1=3</formula>
    </cfRule>
  </conditionalFormatting>
  <conditionalFormatting sqref="I105 K105 M105 O105 I107 K107 M107 O107 I93 K93 M93 O93 I95 K95 M95 O95 I97 K97 M97 O97 I99 K99 M99 O99 I101 K101 M101 O101 I103 K103 M103 O103">
    <cfRule type="expression" dxfId="158" priority="7">
      <formula>$A$1=2</formula>
    </cfRule>
  </conditionalFormatting>
  <conditionalFormatting sqref="Q73:S87">
    <cfRule type="expression" dxfId="157" priority="2">
      <formula>$A$1=2</formula>
    </cfRule>
  </conditionalFormatting>
  <conditionalFormatting sqref="Q93:S95">
    <cfRule type="expression" dxfId="156" priority="12">
      <formula>$A$1=1</formula>
    </cfRule>
  </conditionalFormatting>
  <pageMargins left="0.7" right="0.7" top="0.78740157499999996" bottom="0.78740157499999996"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45E622-E251-4ACE-83B1-5B3AA22B6F76}">
  <sheetPr>
    <tabColor rgb="FF00B050"/>
    <pageSetUpPr fitToPage="1"/>
  </sheetPr>
  <dimension ref="A1:BZ250"/>
  <sheetViews>
    <sheetView showGridLines="0" zoomScale="85" zoomScaleNormal="85" workbookViewId="0">
      <pane ySplit="17" topLeftCell="A18" activePane="bottomLeft" state="frozen"/>
      <selection pane="bottomLeft" activeCell="A2" sqref="A2"/>
    </sheetView>
  </sheetViews>
  <sheetFormatPr baseColWidth="10" defaultRowHeight="12.75"/>
  <cols>
    <col min="1" max="2" width="17.42578125" style="445" customWidth="1"/>
    <col min="3" max="3" width="2.42578125" style="445" customWidth="1"/>
    <col min="4" max="4" width="5.7109375" style="445" customWidth="1"/>
    <col min="5" max="5" width="6.7109375" style="445" customWidth="1"/>
    <col min="6" max="6" width="1.7109375" style="445" customWidth="1"/>
    <col min="7" max="8" width="6.7109375" style="445" customWidth="1"/>
    <col min="9" max="9" width="40.7109375" style="445" customWidth="1"/>
    <col min="10" max="10" width="9.7109375" style="445" customWidth="1"/>
    <col min="11" max="11" width="11.7109375" style="445" customWidth="1"/>
    <col min="12" max="13" width="14.7109375" style="445" customWidth="1"/>
    <col min="14" max="14" width="11.7109375" style="445" customWidth="1"/>
    <col min="15" max="16" width="6.7109375" style="445" customWidth="1"/>
    <col min="17" max="17" width="9.7109375" style="445" customWidth="1"/>
    <col min="18" max="18" width="27.42578125" style="445" customWidth="1"/>
    <col min="19" max="19" width="15" style="445" customWidth="1"/>
    <col min="20" max="20" width="1.7109375" style="445" customWidth="1"/>
    <col min="21" max="21" width="5.7109375" style="445" customWidth="1"/>
    <col min="22" max="22" width="6.7109375" style="445" customWidth="1"/>
    <col min="23" max="23" width="10.7109375" style="449" customWidth="1"/>
    <col min="24" max="39" width="10.7109375" style="445" hidden="1" customWidth="1"/>
    <col min="40" max="59" width="11.42578125" style="445" hidden="1" customWidth="1"/>
    <col min="60" max="60" width="13" style="445" hidden="1" customWidth="1"/>
    <col min="61" max="61" width="11.42578125" style="446" hidden="1" customWidth="1"/>
    <col min="62" max="62" width="11.42578125" style="447" hidden="1" customWidth="1"/>
    <col min="63" max="64" width="11.42578125" style="445" hidden="1" customWidth="1"/>
    <col min="65" max="65" width="11.42578125" style="446" hidden="1" customWidth="1"/>
    <col min="66" max="66" width="11.42578125" style="447" hidden="1" customWidth="1"/>
    <col min="67" max="78" width="11.42578125" style="445" hidden="1" customWidth="1"/>
    <col min="79" max="104" width="11.42578125" style="445" customWidth="1"/>
    <col min="105" max="275" width="10.85546875" style="445"/>
    <col min="276" max="276" width="17.42578125" style="445" customWidth="1"/>
    <col min="277" max="277" width="10.7109375" style="445" customWidth="1"/>
    <col min="278" max="278" width="5.7109375" style="445" customWidth="1"/>
    <col min="279" max="279" width="5.85546875" style="445" customWidth="1"/>
    <col min="280" max="280" width="1.7109375" style="445" customWidth="1"/>
    <col min="281" max="282" width="6.7109375" style="445" customWidth="1"/>
    <col min="283" max="283" width="40.7109375" style="445" customWidth="1"/>
    <col min="284" max="284" width="9.7109375" style="445" customWidth="1"/>
    <col min="285" max="285" width="11.7109375" style="445" customWidth="1"/>
    <col min="286" max="287" width="14.7109375" style="445" customWidth="1"/>
    <col min="288" max="288" width="11.7109375" style="445" customWidth="1"/>
    <col min="289" max="290" width="6.7109375" style="445" customWidth="1"/>
    <col min="291" max="291" width="9.7109375" style="445" customWidth="1"/>
    <col min="292" max="292" width="27.42578125" style="445" customWidth="1"/>
    <col min="293" max="293" width="15" style="445" customWidth="1"/>
    <col min="294" max="294" width="1.7109375" style="445" customWidth="1"/>
    <col min="295" max="295" width="5.7109375" style="445" customWidth="1"/>
    <col min="296" max="296" width="5.85546875" style="445" customWidth="1"/>
    <col min="297" max="297" width="10.7109375" style="445" customWidth="1"/>
    <col min="298" max="531" width="10.85546875" style="445"/>
    <col min="532" max="532" width="17.42578125" style="445" customWidth="1"/>
    <col min="533" max="533" width="10.7109375" style="445" customWidth="1"/>
    <col min="534" max="534" width="5.7109375" style="445" customWidth="1"/>
    <col min="535" max="535" width="5.85546875" style="445" customWidth="1"/>
    <col min="536" max="536" width="1.7109375" style="445" customWidth="1"/>
    <col min="537" max="538" width="6.7109375" style="445" customWidth="1"/>
    <col min="539" max="539" width="40.7109375" style="445" customWidth="1"/>
    <col min="540" max="540" width="9.7109375" style="445" customWidth="1"/>
    <col min="541" max="541" width="11.7109375" style="445" customWidth="1"/>
    <col min="542" max="543" width="14.7109375" style="445" customWidth="1"/>
    <col min="544" max="544" width="11.7109375" style="445" customWidth="1"/>
    <col min="545" max="546" width="6.7109375" style="445" customWidth="1"/>
    <col min="547" max="547" width="9.7109375" style="445" customWidth="1"/>
    <col min="548" max="548" width="27.42578125" style="445" customWidth="1"/>
    <col min="549" max="549" width="15" style="445" customWidth="1"/>
    <col min="550" max="550" width="1.7109375" style="445" customWidth="1"/>
    <col min="551" max="551" width="5.7109375" style="445" customWidth="1"/>
    <col min="552" max="552" width="5.85546875" style="445" customWidth="1"/>
    <col min="553" max="553" width="10.7109375" style="445" customWidth="1"/>
    <col min="554" max="787" width="10.85546875" style="445"/>
    <col min="788" max="788" width="17.42578125" style="445" customWidth="1"/>
    <col min="789" max="789" width="10.7109375" style="445" customWidth="1"/>
    <col min="790" max="790" width="5.7109375" style="445" customWidth="1"/>
    <col min="791" max="791" width="5.85546875" style="445" customWidth="1"/>
    <col min="792" max="792" width="1.7109375" style="445" customWidth="1"/>
    <col min="793" max="794" width="6.7109375" style="445" customWidth="1"/>
    <col min="795" max="795" width="40.7109375" style="445" customWidth="1"/>
    <col min="796" max="796" width="9.7109375" style="445" customWidth="1"/>
    <col min="797" max="797" width="11.7109375" style="445" customWidth="1"/>
    <col min="798" max="799" width="14.7109375" style="445" customWidth="1"/>
    <col min="800" max="800" width="11.7109375" style="445" customWidth="1"/>
    <col min="801" max="802" width="6.7109375" style="445" customWidth="1"/>
    <col min="803" max="803" width="9.7109375" style="445" customWidth="1"/>
    <col min="804" max="804" width="27.42578125" style="445" customWidth="1"/>
    <col min="805" max="805" width="15" style="445" customWidth="1"/>
    <col min="806" max="806" width="1.7109375" style="445" customWidth="1"/>
    <col min="807" max="807" width="5.7109375" style="445" customWidth="1"/>
    <col min="808" max="808" width="5.85546875" style="445" customWidth="1"/>
    <col min="809" max="809" width="10.7109375" style="445" customWidth="1"/>
    <col min="810" max="1043" width="10.85546875" style="445"/>
    <col min="1044" max="1044" width="17.42578125" style="445" customWidth="1"/>
    <col min="1045" max="1045" width="10.7109375" style="445" customWidth="1"/>
    <col min="1046" max="1046" width="5.7109375" style="445" customWidth="1"/>
    <col min="1047" max="1047" width="5.85546875" style="445" customWidth="1"/>
    <col min="1048" max="1048" width="1.7109375" style="445" customWidth="1"/>
    <col min="1049" max="1050" width="6.7109375" style="445" customWidth="1"/>
    <col min="1051" max="1051" width="40.7109375" style="445" customWidth="1"/>
    <col min="1052" max="1052" width="9.7109375" style="445" customWidth="1"/>
    <col min="1053" max="1053" width="11.7109375" style="445" customWidth="1"/>
    <col min="1054" max="1055" width="14.7109375" style="445" customWidth="1"/>
    <col min="1056" max="1056" width="11.7109375" style="445" customWidth="1"/>
    <col min="1057" max="1058" width="6.7109375" style="445" customWidth="1"/>
    <col min="1059" max="1059" width="9.7109375" style="445" customWidth="1"/>
    <col min="1060" max="1060" width="27.42578125" style="445" customWidth="1"/>
    <col min="1061" max="1061" width="15" style="445" customWidth="1"/>
    <col min="1062" max="1062" width="1.7109375" style="445" customWidth="1"/>
    <col min="1063" max="1063" width="5.7109375" style="445" customWidth="1"/>
    <col min="1064" max="1064" width="5.85546875" style="445" customWidth="1"/>
    <col min="1065" max="1065" width="10.7109375" style="445" customWidth="1"/>
    <col min="1066" max="1299" width="10.85546875" style="445"/>
    <col min="1300" max="1300" width="17.42578125" style="445" customWidth="1"/>
    <col min="1301" max="1301" width="10.7109375" style="445" customWidth="1"/>
    <col min="1302" max="1302" width="5.7109375" style="445" customWidth="1"/>
    <col min="1303" max="1303" width="5.85546875" style="445" customWidth="1"/>
    <col min="1304" max="1304" width="1.7109375" style="445" customWidth="1"/>
    <col min="1305" max="1306" width="6.7109375" style="445" customWidth="1"/>
    <col min="1307" max="1307" width="40.7109375" style="445" customWidth="1"/>
    <col min="1308" max="1308" width="9.7109375" style="445" customWidth="1"/>
    <col min="1309" max="1309" width="11.7109375" style="445" customWidth="1"/>
    <col min="1310" max="1311" width="14.7109375" style="445" customWidth="1"/>
    <col min="1312" max="1312" width="11.7109375" style="445" customWidth="1"/>
    <col min="1313" max="1314" width="6.7109375" style="445" customWidth="1"/>
    <col min="1315" max="1315" width="9.7109375" style="445" customWidth="1"/>
    <col min="1316" max="1316" width="27.42578125" style="445" customWidth="1"/>
    <col min="1317" max="1317" width="15" style="445" customWidth="1"/>
    <col min="1318" max="1318" width="1.7109375" style="445" customWidth="1"/>
    <col min="1319" max="1319" width="5.7109375" style="445" customWidth="1"/>
    <col min="1320" max="1320" width="5.85546875" style="445" customWidth="1"/>
    <col min="1321" max="1321" width="10.7109375" style="445" customWidth="1"/>
    <col min="1322" max="1555" width="10.85546875" style="445"/>
    <col min="1556" max="1556" width="17.42578125" style="445" customWidth="1"/>
    <col min="1557" max="1557" width="10.7109375" style="445" customWidth="1"/>
    <col min="1558" max="1558" width="5.7109375" style="445" customWidth="1"/>
    <col min="1559" max="1559" width="5.85546875" style="445" customWidth="1"/>
    <col min="1560" max="1560" width="1.7109375" style="445" customWidth="1"/>
    <col min="1561" max="1562" width="6.7109375" style="445" customWidth="1"/>
    <col min="1563" max="1563" width="40.7109375" style="445" customWidth="1"/>
    <col min="1564" max="1564" width="9.7109375" style="445" customWidth="1"/>
    <col min="1565" max="1565" width="11.7109375" style="445" customWidth="1"/>
    <col min="1566" max="1567" width="14.7109375" style="445" customWidth="1"/>
    <col min="1568" max="1568" width="11.7109375" style="445" customWidth="1"/>
    <col min="1569" max="1570" width="6.7109375" style="445" customWidth="1"/>
    <col min="1571" max="1571" width="9.7109375" style="445" customWidth="1"/>
    <col min="1572" max="1572" width="27.42578125" style="445" customWidth="1"/>
    <col min="1573" max="1573" width="15" style="445" customWidth="1"/>
    <col min="1574" max="1574" width="1.7109375" style="445" customWidth="1"/>
    <col min="1575" max="1575" width="5.7109375" style="445" customWidth="1"/>
    <col min="1576" max="1576" width="5.85546875" style="445" customWidth="1"/>
    <col min="1577" max="1577" width="10.7109375" style="445" customWidth="1"/>
    <col min="1578" max="1811" width="10.85546875" style="445"/>
    <col min="1812" max="1812" width="17.42578125" style="445" customWidth="1"/>
    <col min="1813" max="1813" width="10.7109375" style="445" customWidth="1"/>
    <col min="1814" max="1814" width="5.7109375" style="445" customWidth="1"/>
    <col min="1815" max="1815" width="5.85546875" style="445" customWidth="1"/>
    <col min="1816" max="1816" width="1.7109375" style="445" customWidth="1"/>
    <col min="1817" max="1818" width="6.7109375" style="445" customWidth="1"/>
    <col min="1819" max="1819" width="40.7109375" style="445" customWidth="1"/>
    <col min="1820" max="1820" width="9.7109375" style="445" customWidth="1"/>
    <col min="1821" max="1821" width="11.7109375" style="445" customWidth="1"/>
    <col min="1822" max="1823" width="14.7109375" style="445" customWidth="1"/>
    <col min="1824" max="1824" width="11.7109375" style="445" customWidth="1"/>
    <col min="1825" max="1826" width="6.7109375" style="445" customWidth="1"/>
    <col min="1827" max="1827" width="9.7109375" style="445" customWidth="1"/>
    <col min="1828" max="1828" width="27.42578125" style="445" customWidth="1"/>
    <col min="1829" max="1829" width="15" style="445" customWidth="1"/>
    <col min="1830" max="1830" width="1.7109375" style="445" customWidth="1"/>
    <col min="1831" max="1831" width="5.7109375" style="445" customWidth="1"/>
    <col min="1832" max="1832" width="5.85546875" style="445" customWidth="1"/>
    <col min="1833" max="1833" width="10.7109375" style="445" customWidth="1"/>
    <col min="1834" max="2067" width="10.85546875" style="445"/>
    <col min="2068" max="2068" width="17.42578125" style="445" customWidth="1"/>
    <col min="2069" max="2069" width="10.7109375" style="445" customWidth="1"/>
    <col min="2070" max="2070" width="5.7109375" style="445" customWidth="1"/>
    <col min="2071" max="2071" width="5.85546875" style="445" customWidth="1"/>
    <col min="2072" max="2072" width="1.7109375" style="445" customWidth="1"/>
    <col min="2073" max="2074" width="6.7109375" style="445" customWidth="1"/>
    <col min="2075" max="2075" width="40.7109375" style="445" customWidth="1"/>
    <col min="2076" max="2076" width="9.7109375" style="445" customWidth="1"/>
    <col min="2077" max="2077" width="11.7109375" style="445" customWidth="1"/>
    <col min="2078" max="2079" width="14.7109375" style="445" customWidth="1"/>
    <col min="2080" max="2080" width="11.7109375" style="445" customWidth="1"/>
    <col min="2081" max="2082" width="6.7109375" style="445" customWidth="1"/>
    <col min="2083" max="2083" width="9.7109375" style="445" customWidth="1"/>
    <col min="2084" max="2084" width="27.42578125" style="445" customWidth="1"/>
    <col min="2085" max="2085" width="15" style="445" customWidth="1"/>
    <col min="2086" max="2086" width="1.7109375" style="445" customWidth="1"/>
    <col min="2087" max="2087" width="5.7109375" style="445" customWidth="1"/>
    <col min="2088" max="2088" width="5.85546875" style="445" customWidth="1"/>
    <col min="2089" max="2089" width="10.7109375" style="445" customWidth="1"/>
    <col min="2090" max="2323" width="10.85546875" style="445"/>
    <col min="2324" max="2324" width="17.42578125" style="445" customWidth="1"/>
    <col min="2325" max="2325" width="10.7109375" style="445" customWidth="1"/>
    <col min="2326" max="2326" width="5.7109375" style="445" customWidth="1"/>
    <col min="2327" max="2327" width="5.85546875" style="445" customWidth="1"/>
    <col min="2328" max="2328" width="1.7109375" style="445" customWidth="1"/>
    <col min="2329" max="2330" width="6.7109375" style="445" customWidth="1"/>
    <col min="2331" max="2331" width="40.7109375" style="445" customWidth="1"/>
    <col min="2332" max="2332" width="9.7109375" style="445" customWidth="1"/>
    <col min="2333" max="2333" width="11.7109375" style="445" customWidth="1"/>
    <col min="2334" max="2335" width="14.7109375" style="445" customWidth="1"/>
    <col min="2336" max="2336" width="11.7109375" style="445" customWidth="1"/>
    <col min="2337" max="2338" width="6.7109375" style="445" customWidth="1"/>
    <col min="2339" max="2339" width="9.7109375" style="445" customWidth="1"/>
    <col min="2340" max="2340" width="27.42578125" style="445" customWidth="1"/>
    <col min="2341" max="2341" width="15" style="445" customWidth="1"/>
    <col min="2342" max="2342" width="1.7109375" style="445" customWidth="1"/>
    <col min="2343" max="2343" width="5.7109375" style="445" customWidth="1"/>
    <col min="2344" max="2344" width="5.85546875" style="445" customWidth="1"/>
    <col min="2345" max="2345" width="10.7109375" style="445" customWidth="1"/>
    <col min="2346" max="2579" width="10.85546875" style="445"/>
    <col min="2580" max="2580" width="17.42578125" style="445" customWidth="1"/>
    <col min="2581" max="2581" width="10.7109375" style="445" customWidth="1"/>
    <col min="2582" max="2582" width="5.7109375" style="445" customWidth="1"/>
    <col min="2583" max="2583" width="5.85546875" style="445" customWidth="1"/>
    <col min="2584" max="2584" width="1.7109375" style="445" customWidth="1"/>
    <col min="2585" max="2586" width="6.7109375" style="445" customWidth="1"/>
    <col min="2587" max="2587" width="40.7109375" style="445" customWidth="1"/>
    <col min="2588" max="2588" width="9.7109375" style="445" customWidth="1"/>
    <col min="2589" max="2589" width="11.7109375" style="445" customWidth="1"/>
    <col min="2590" max="2591" width="14.7109375" style="445" customWidth="1"/>
    <col min="2592" max="2592" width="11.7109375" style="445" customWidth="1"/>
    <col min="2593" max="2594" width="6.7109375" style="445" customWidth="1"/>
    <col min="2595" max="2595" width="9.7109375" style="445" customWidth="1"/>
    <col min="2596" max="2596" width="27.42578125" style="445" customWidth="1"/>
    <col min="2597" max="2597" width="15" style="445" customWidth="1"/>
    <col min="2598" max="2598" width="1.7109375" style="445" customWidth="1"/>
    <col min="2599" max="2599" width="5.7109375" style="445" customWidth="1"/>
    <col min="2600" max="2600" width="5.85546875" style="445" customWidth="1"/>
    <col min="2601" max="2601" width="10.7109375" style="445" customWidth="1"/>
    <col min="2602" max="2835" width="10.85546875" style="445"/>
    <col min="2836" max="2836" width="17.42578125" style="445" customWidth="1"/>
    <col min="2837" max="2837" width="10.7109375" style="445" customWidth="1"/>
    <col min="2838" max="2838" width="5.7109375" style="445" customWidth="1"/>
    <col min="2839" max="2839" width="5.85546875" style="445" customWidth="1"/>
    <col min="2840" max="2840" width="1.7109375" style="445" customWidth="1"/>
    <col min="2841" max="2842" width="6.7109375" style="445" customWidth="1"/>
    <col min="2843" max="2843" width="40.7109375" style="445" customWidth="1"/>
    <col min="2844" max="2844" width="9.7109375" style="445" customWidth="1"/>
    <col min="2845" max="2845" width="11.7109375" style="445" customWidth="1"/>
    <col min="2846" max="2847" width="14.7109375" style="445" customWidth="1"/>
    <col min="2848" max="2848" width="11.7109375" style="445" customWidth="1"/>
    <col min="2849" max="2850" width="6.7109375" style="445" customWidth="1"/>
    <col min="2851" max="2851" width="9.7109375" style="445" customWidth="1"/>
    <col min="2852" max="2852" width="27.42578125" style="445" customWidth="1"/>
    <col min="2853" max="2853" width="15" style="445" customWidth="1"/>
    <col min="2854" max="2854" width="1.7109375" style="445" customWidth="1"/>
    <col min="2855" max="2855" width="5.7109375" style="445" customWidth="1"/>
    <col min="2856" max="2856" width="5.85546875" style="445" customWidth="1"/>
    <col min="2857" max="2857" width="10.7109375" style="445" customWidth="1"/>
    <col min="2858" max="3091" width="10.85546875" style="445"/>
    <col min="3092" max="3092" width="17.42578125" style="445" customWidth="1"/>
    <col min="3093" max="3093" width="10.7109375" style="445" customWidth="1"/>
    <col min="3094" max="3094" width="5.7109375" style="445" customWidth="1"/>
    <col min="3095" max="3095" width="5.85546875" style="445" customWidth="1"/>
    <col min="3096" max="3096" width="1.7109375" style="445" customWidth="1"/>
    <col min="3097" max="3098" width="6.7109375" style="445" customWidth="1"/>
    <col min="3099" max="3099" width="40.7109375" style="445" customWidth="1"/>
    <col min="3100" max="3100" width="9.7109375" style="445" customWidth="1"/>
    <col min="3101" max="3101" width="11.7109375" style="445" customWidth="1"/>
    <col min="3102" max="3103" width="14.7109375" style="445" customWidth="1"/>
    <col min="3104" max="3104" width="11.7109375" style="445" customWidth="1"/>
    <col min="3105" max="3106" width="6.7109375" style="445" customWidth="1"/>
    <col min="3107" max="3107" width="9.7109375" style="445" customWidth="1"/>
    <col min="3108" max="3108" width="27.42578125" style="445" customWidth="1"/>
    <col min="3109" max="3109" width="15" style="445" customWidth="1"/>
    <col min="3110" max="3110" width="1.7109375" style="445" customWidth="1"/>
    <col min="3111" max="3111" width="5.7109375" style="445" customWidth="1"/>
    <col min="3112" max="3112" width="5.85546875" style="445" customWidth="1"/>
    <col min="3113" max="3113" width="10.7109375" style="445" customWidth="1"/>
    <col min="3114" max="3347" width="10.85546875" style="445"/>
    <col min="3348" max="3348" width="17.42578125" style="445" customWidth="1"/>
    <col min="3349" max="3349" width="10.7109375" style="445" customWidth="1"/>
    <col min="3350" max="3350" width="5.7109375" style="445" customWidth="1"/>
    <col min="3351" max="3351" width="5.85546875" style="445" customWidth="1"/>
    <col min="3352" max="3352" width="1.7109375" style="445" customWidth="1"/>
    <col min="3353" max="3354" width="6.7109375" style="445" customWidth="1"/>
    <col min="3355" max="3355" width="40.7109375" style="445" customWidth="1"/>
    <col min="3356" max="3356" width="9.7109375" style="445" customWidth="1"/>
    <col min="3357" max="3357" width="11.7109375" style="445" customWidth="1"/>
    <col min="3358" max="3359" width="14.7109375" style="445" customWidth="1"/>
    <col min="3360" max="3360" width="11.7109375" style="445" customWidth="1"/>
    <col min="3361" max="3362" width="6.7109375" style="445" customWidth="1"/>
    <col min="3363" max="3363" width="9.7109375" style="445" customWidth="1"/>
    <col min="3364" max="3364" width="27.42578125" style="445" customWidth="1"/>
    <col min="3365" max="3365" width="15" style="445" customWidth="1"/>
    <col min="3366" max="3366" width="1.7109375" style="445" customWidth="1"/>
    <col min="3367" max="3367" width="5.7109375" style="445" customWidth="1"/>
    <col min="3368" max="3368" width="5.85546875" style="445" customWidth="1"/>
    <col min="3369" max="3369" width="10.7109375" style="445" customWidth="1"/>
    <col min="3370" max="3603" width="10.85546875" style="445"/>
    <col min="3604" max="3604" width="17.42578125" style="445" customWidth="1"/>
    <col min="3605" max="3605" width="10.7109375" style="445" customWidth="1"/>
    <col min="3606" max="3606" width="5.7109375" style="445" customWidth="1"/>
    <col min="3607" max="3607" width="5.85546875" style="445" customWidth="1"/>
    <col min="3608" max="3608" width="1.7109375" style="445" customWidth="1"/>
    <col min="3609" max="3610" width="6.7109375" style="445" customWidth="1"/>
    <col min="3611" max="3611" width="40.7109375" style="445" customWidth="1"/>
    <col min="3612" max="3612" width="9.7109375" style="445" customWidth="1"/>
    <col min="3613" max="3613" width="11.7109375" style="445" customWidth="1"/>
    <col min="3614" max="3615" width="14.7109375" style="445" customWidth="1"/>
    <col min="3616" max="3616" width="11.7109375" style="445" customWidth="1"/>
    <col min="3617" max="3618" width="6.7109375" style="445" customWidth="1"/>
    <col min="3619" max="3619" width="9.7109375" style="445" customWidth="1"/>
    <col min="3620" max="3620" width="27.42578125" style="445" customWidth="1"/>
    <col min="3621" max="3621" width="15" style="445" customWidth="1"/>
    <col min="3622" max="3622" width="1.7109375" style="445" customWidth="1"/>
    <col min="3623" max="3623" width="5.7109375" style="445" customWidth="1"/>
    <col min="3624" max="3624" width="5.85546875" style="445" customWidth="1"/>
    <col min="3625" max="3625" width="10.7109375" style="445" customWidth="1"/>
    <col min="3626" max="3859" width="10.85546875" style="445"/>
    <col min="3860" max="3860" width="17.42578125" style="445" customWidth="1"/>
    <col min="3861" max="3861" width="10.7109375" style="445" customWidth="1"/>
    <col min="3862" max="3862" width="5.7109375" style="445" customWidth="1"/>
    <col min="3863" max="3863" width="5.85546875" style="445" customWidth="1"/>
    <col min="3864" max="3864" width="1.7109375" style="445" customWidth="1"/>
    <col min="3865" max="3866" width="6.7109375" style="445" customWidth="1"/>
    <col min="3867" max="3867" width="40.7109375" style="445" customWidth="1"/>
    <col min="3868" max="3868" width="9.7109375" style="445" customWidth="1"/>
    <col min="3869" max="3869" width="11.7109375" style="445" customWidth="1"/>
    <col min="3870" max="3871" width="14.7109375" style="445" customWidth="1"/>
    <col min="3872" max="3872" width="11.7109375" style="445" customWidth="1"/>
    <col min="3873" max="3874" width="6.7109375" style="445" customWidth="1"/>
    <col min="3875" max="3875" width="9.7109375" style="445" customWidth="1"/>
    <col min="3876" max="3876" width="27.42578125" style="445" customWidth="1"/>
    <col min="3877" max="3877" width="15" style="445" customWidth="1"/>
    <col min="3878" max="3878" width="1.7109375" style="445" customWidth="1"/>
    <col min="3879" max="3879" width="5.7109375" style="445" customWidth="1"/>
    <col min="3880" max="3880" width="5.85546875" style="445" customWidth="1"/>
    <col min="3881" max="3881" width="10.7109375" style="445" customWidth="1"/>
    <col min="3882" max="4115" width="10.85546875" style="445"/>
    <col min="4116" max="4116" width="17.42578125" style="445" customWidth="1"/>
    <col min="4117" max="4117" width="10.7109375" style="445" customWidth="1"/>
    <col min="4118" max="4118" width="5.7109375" style="445" customWidth="1"/>
    <col min="4119" max="4119" width="5.85546875" style="445" customWidth="1"/>
    <col min="4120" max="4120" width="1.7109375" style="445" customWidth="1"/>
    <col min="4121" max="4122" width="6.7109375" style="445" customWidth="1"/>
    <col min="4123" max="4123" width="40.7109375" style="445" customWidth="1"/>
    <col min="4124" max="4124" width="9.7109375" style="445" customWidth="1"/>
    <col min="4125" max="4125" width="11.7109375" style="445" customWidth="1"/>
    <col min="4126" max="4127" width="14.7109375" style="445" customWidth="1"/>
    <col min="4128" max="4128" width="11.7109375" style="445" customWidth="1"/>
    <col min="4129" max="4130" width="6.7109375" style="445" customWidth="1"/>
    <col min="4131" max="4131" width="9.7109375" style="445" customWidth="1"/>
    <col min="4132" max="4132" width="27.42578125" style="445" customWidth="1"/>
    <col min="4133" max="4133" width="15" style="445" customWidth="1"/>
    <col min="4134" max="4134" width="1.7109375" style="445" customWidth="1"/>
    <col min="4135" max="4135" width="5.7109375" style="445" customWidth="1"/>
    <col min="4136" max="4136" width="5.85546875" style="445" customWidth="1"/>
    <col min="4137" max="4137" width="10.7109375" style="445" customWidth="1"/>
    <col min="4138" max="4371" width="10.85546875" style="445"/>
    <col min="4372" max="4372" width="17.42578125" style="445" customWidth="1"/>
    <col min="4373" max="4373" width="10.7109375" style="445" customWidth="1"/>
    <col min="4374" max="4374" width="5.7109375" style="445" customWidth="1"/>
    <col min="4375" max="4375" width="5.85546875" style="445" customWidth="1"/>
    <col min="4376" max="4376" width="1.7109375" style="445" customWidth="1"/>
    <col min="4377" max="4378" width="6.7109375" style="445" customWidth="1"/>
    <col min="4379" max="4379" width="40.7109375" style="445" customWidth="1"/>
    <col min="4380" max="4380" width="9.7109375" style="445" customWidth="1"/>
    <col min="4381" max="4381" width="11.7109375" style="445" customWidth="1"/>
    <col min="4382" max="4383" width="14.7109375" style="445" customWidth="1"/>
    <col min="4384" max="4384" width="11.7109375" style="445" customWidth="1"/>
    <col min="4385" max="4386" width="6.7109375" style="445" customWidth="1"/>
    <col min="4387" max="4387" width="9.7109375" style="445" customWidth="1"/>
    <col min="4388" max="4388" width="27.42578125" style="445" customWidth="1"/>
    <col min="4389" max="4389" width="15" style="445" customWidth="1"/>
    <col min="4390" max="4390" width="1.7109375" style="445" customWidth="1"/>
    <col min="4391" max="4391" width="5.7109375" style="445" customWidth="1"/>
    <col min="4392" max="4392" width="5.85546875" style="445" customWidth="1"/>
    <col min="4393" max="4393" width="10.7109375" style="445" customWidth="1"/>
    <col min="4394" max="4627" width="10.85546875" style="445"/>
    <col min="4628" max="4628" width="17.42578125" style="445" customWidth="1"/>
    <col min="4629" max="4629" width="10.7109375" style="445" customWidth="1"/>
    <col min="4630" max="4630" width="5.7109375" style="445" customWidth="1"/>
    <col min="4631" max="4631" width="5.85546875" style="445" customWidth="1"/>
    <col min="4632" max="4632" width="1.7109375" style="445" customWidth="1"/>
    <col min="4633" max="4634" width="6.7109375" style="445" customWidth="1"/>
    <col min="4635" max="4635" width="40.7109375" style="445" customWidth="1"/>
    <col min="4636" max="4636" width="9.7109375" style="445" customWidth="1"/>
    <col min="4637" max="4637" width="11.7109375" style="445" customWidth="1"/>
    <col min="4638" max="4639" width="14.7109375" style="445" customWidth="1"/>
    <col min="4640" max="4640" width="11.7109375" style="445" customWidth="1"/>
    <col min="4641" max="4642" width="6.7109375" style="445" customWidth="1"/>
    <col min="4643" max="4643" width="9.7109375" style="445" customWidth="1"/>
    <col min="4644" max="4644" width="27.42578125" style="445" customWidth="1"/>
    <col min="4645" max="4645" width="15" style="445" customWidth="1"/>
    <col min="4646" max="4646" width="1.7109375" style="445" customWidth="1"/>
    <col min="4647" max="4647" width="5.7109375" style="445" customWidth="1"/>
    <col min="4648" max="4648" width="5.85546875" style="445" customWidth="1"/>
    <col min="4649" max="4649" width="10.7109375" style="445" customWidth="1"/>
    <col min="4650" max="4883" width="10.85546875" style="445"/>
    <col min="4884" max="4884" width="17.42578125" style="445" customWidth="1"/>
    <col min="4885" max="4885" width="10.7109375" style="445" customWidth="1"/>
    <col min="4886" max="4886" width="5.7109375" style="445" customWidth="1"/>
    <col min="4887" max="4887" width="5.85546875" style="445" customWidth="1"/>
    <col min="4888" max="4888" width="1.7109375" style="445" customWidth="1"/>
    <col min="4889" max="4890" width="6.7109375" style="445" customWidth="1"/>
    <col min="4891" max="4891" width="40.7109375" style="445" customWidth="1"/>
    <col min="4892" max="4892" width="9.7109375" style="445" customWidth="1"/>
    <col min="4893" max="4893" width="11.7109375" style="445" customWidth="1"/>
    <col min="4894" max="4895" width="14.7109375" style="445" customWidth="1"/>
    <col min="4896" max="4896" width="11.7109375" style="445" customWidth="1"/>
    <col min="4897" max="4898" width="6.7109375" style="445" customWidth="1"/>
    <col min="4899" max="4899" width="9.7109375" style="445" customWidth="1"/>
    <col min="4900" max="4900" width="27.42578125" style="445" customWidth="1"/>
    <col min="4901" max="4901" width="15" style="445" customWidth="1"/>
    <col min="4902" max="4902" width="1.7109375" style="445" customWidth="1"/>
    <col min="4903" max="4903" width="5.7109375" style="445" customWidth="1"/>
    <col min="4904" max="4904" width="5.85546875" style="445" customWidth="1"/>
    <col min="4905" max="4905" width="10.7109375" style="445" customWidth="1"/>
    <col min="4906" max="5139" width="10.85546875" style="445"/>
    <col min="5140" max="5140" width="17.42578125" style="445" customWidth="1"/>
    <col min="5141" max="5141" width="10.7109375" style="445" customWidth="1"/>
    <col min="5142" max="5142" width="5.7109375" style="445" customWidth="1"/>
    <col min="5143" max="5143" width="5.85546875" style="445" customWidth="1"/>
    <col min="5144" max="5144" width="1.7109375" style="445" customWidth="1"/>
    <col min="5145" max="5146" width="6.7109375" style="445" customWidth="1"/>
    <col min="5147" max="5147" width="40.7109375" style="445" customWidth="1"/>
    <col min="5148" max="5148" width="9.7109375" style="445" customWidth="1"/>
    <col min="5149" max="5149" width="11.7109375" style="445" customWidth="1"/>
    <col min="5150" max="5151" width="14.7109375" style="445" customWidth="1"/>
    <col min="5152" max="5152" width="11.7109375" style="445" customWidth="1"/>
    <col min="5153" max="5154" width="6.7109375" style="445" customWidth="1"/>
    <col min="5155" max="5155" width="9.7109375" style="445" customWidth="1"/>
    <col min="5156" max="5156" width="27.42578125" style="445" customWidth="1"/>
    <col min="5157" max="5157" width="15" style="445" customWidth="1"/>
    <col min="5158" max="5158" width="1.7109375" style="445" customWidth="1"/>
    <col min="5159" max="5159" width="5.7109375" style="445" customWidth="1"/>
    <col min="5160" max="5160" width="5.85546875" style="445" customWidth="1"/>
    <col min="5161" max="5161" width="10.7109375" style="445" customWidth="1"/>
    <col min="5162" max="5395" width="10.85546875" style="445"/>
    <col min="5396" max="5396" width="17.42578125" style="445" customWidth="1"/>
    <col min="5397" max="5397" width="10.7109375" style="445" customWidth="1"/>
    <col min="5398" max="5398" width="5.7109375" style="445" customWidth="1"/>
    <col min="5399" max="5399" width="5.85546875" style="445" customWidth="1"/>
    <col min="5400" max="5400" width="1.7109375" style="445" customWidth="1"/>
    <col min="5401" max="5402" width="6.7109375" style="445" customWidth="1"/>
    <col min="5403" max="5403" width="40.7109375" style="445" customWidth="1"/>
    <col min="5404" max="5404" width="9.7109375" style="445" customWidth="1"/>
    <col min="5405" max="5405" width="11.7109375" style="445" customWidth="1"/>
    <col min="5406" max="5407" width="14.7109375" style="445" customWidth="1"/>
    <col min="5408" max="5408" width="11.7109375" style="445" customWidth="1"/>
    <col min="5409" max="5410" width="6.7109375" style="445" customWidth="1"/>
    <col min="5411" max="5411" width="9.7109375" style="445" customWidth="1"/>
    <col min="5412" max="5412" width="27.42578125" style="445" customWidth="1"/>
    <col min="5413" max="5413" width="15" style="445" customWidth="1"/>
    <col min="5414" max="5414" width="1.7109375" style="445" customWidth="1"/>
    <col min="5415" max="5415" width="5.7109375" style="445" customWidth="1"/>
    <col min="5416" max="5416" width="5.85546875" style="445" customWidth="1"/>
    <col min="5417" max="5417" width="10.7109375" style="445" customWidth="1"/>
    <col min="5418" max="5651" width="10.85546875" style="445"/>
    <col min="5652" max="5652" width="17.42578125" style="445" customWidth="1"/>
    <col min="5653" max="5653" width="10.7109375" style="445" customWidth="1"/>
    <col min="5654" max="5654" width="5.7109375" style="445" customWidth="1"/>
    <col min="5655" max="5655" width="5.85546875" style="445" customWidth="1"/>
    <col min="5656" max="5656" width="1.7109375" style="445" customWidth="1"/>
    <col min="5657" max="5658" width="6.7109375" style="445" customWidth="1"/>
    <col min="5659" max="5659" width="40.7109375" style="445" customWidth="1"/>
    <col min="5660" max="5660" width="9.7109375" style="445" customWidth="1"/>
    <col min="5661" max="5661" width="11.7109375" style="445" customWidth="1"/>
    <col min="5662" max="5663" width="14.7109375" style="445" customWidth="1"/>
    <col min="5664" max="5664" width="11.7109375" style="445" customWidth="1"/>
    <col min="5665" max="5666" width="6.7109375" style="445" customWidth="1"/>
    <col min="5667" max="5667" width="9.7109375" style="445" customWidth="1"/>
    <col min="5668" max="5668" width="27.42578125" style="445" customWidth="1"/>
    <col min="5669" max="5669" width="15" style="445" customWidth="1"/>
    <col min="5670" max="5670" width="1.7109375" style="445" customWidth="1"/>
    <col min="5671" max="5671" width="5.7109375" style="445" customWidth="1"/>
    <col min="5672" max="5672" width="5.85546875" style="445" customWidth="1"/>
    <col min="5673" max="5673" width="10.7109375" style="445" customWidth="1"/>
    <col min="5674" max="5907" width="10.85546875" style="445"/>
    <col min="5908" max="5908" width="17.42578125" style="445" customWidth="1"/>
    <col min="5909" max="5909" width="10.7109375" style="445" customWidth="1"/>
    <col min="5910" max="5910" width="5.7109375" style="445" customWidth="1"/>
    <col min="5911" max="5911" width="5.85546875" style="445" customWidth="1"/>
    <col min="5912" max="5912" width="1.7109375" style="445" customWidth="1"/>
    <col min="5913" max="5914" width="6.7109375" style="445" customWidth="1"/>
    <col min="5915" max="5915" width="40.7109375" style="445" customWidth="1"/>
    <col min="5916" max="5916" width="9.7109375" style="445" customWidth="1"/>
    <col min="5917" max="5917" width="11.7109375" style="445" customWidth="1"/>
    <col min="5918" max="5919" width="14.7109375" style="445" customWidth="1"/>
    <col min="5920" max="5920" width="11.7109375" style="445" customWidth="1"/>
    <col min="5921" max="5922" width="6.7109375" style="445" customWidth="1"/>
    <col min="5923" max="5923" width="9.7109375" style="445" customWidth="1"/>
    <col min="5924" max="5924" width="27.42578125" style="445" customWidth="1"/>
    <col min="5925" max="5925" width="15" style="445" customWidth="1"/>
    <col min="5926" max="5926" width="1.7109375" style="445" customWidth="1"/>
    <col min="5927" max="5927" width="5.7109375" style="445" customWidth="1"/>
    <col min="5928" max="5928" width="5.85546875" style="445" customWidth="1"/>
    <col min="5929" max="5929" width="10.7109375" style="445" customWidth="1"/>
    <col min="5930" max="6163" width="10.85546875" style="445"/>
    <col min="6164" max="6164" width="17.42578125" style="445" customWidth="1"/>
    <col min="6165" max="6165" width="10.7109375" style="445" customWidth="1"/>
    <col min="6166" max="6166" width="5.7109375" style="445" customWidth="1"/>
    <col min="6167" max="6167" width="5.85546875" style="445" customWidth="1"/>
    <col min="6168" max="6168" width="1.7109375" style="445" customWidth="1"/>
    <col min="6169" max="6170" width="6.7109375" style="445" customWidth="1"/>
    <col min="6171" max="6171" width="40.7109375" style="445" customWidth="1"/>
    <col min="6172" max="6172" width="9.7109375" style="445" customWidth="1"/>
    <col min="6173" max="6173" width="11.7109375" style="445" customWidth="1"/>
    <col min="6174" max="6175" width="14.7109375" style="445" customWidth="1"/>
    <col min="6176" max="6176" width="11.7109375" style="445" customWidth="1"/>
    <col min="6177" max="6178" width="6.7109375" style="445" customWidth="1"/>
    <col min="6179" max="6179" width="9.7109375" style="445" customWidth="1"/>
    <col min="6180" max="6180" width="27.42578125" style="445" customWidth="1"/>
    <col min="6181" max="6181" width="15" style="445" customWidth="1"/>
    <col min="6182" max="6182" width="1.7109375" style="445" customWidth="1"/>
    <col min="6183" max="6183" width="5.7109375" style="445" customWidth="1"/>
    <col min="6184" max="6184" width="5.85546875" style="445" customWidth="1"/>
    <col min="6185" max="6185" width="10.7109375" style="445" customWidth="1"/>
    <col min="6186" max="6419" width="10.85546875" style="445"/>
    <col min="6420" max="6420" width="17.42578125" style="445" customWidth="1"/>
    <col min="6421" max="6421" width="10.7109375" style="445" customWidth="1"/>
    <col min="6422" max="6422" width="5.7109375" style="445" customWidth="1"/>
    <col min="6423" max="6423" width="5.85546875" style="445" customWidth="1"/>
    <col min="6424" max="6424" width="1.7109375" style="445" customWidth="1"/>
    <col min="6425" max="6426" width="6.7109375" style="445" customWidth="1"/>
    <col min="6427" max="6427" width="40.7109375" style="445" customWidth="1"/>
    <col min="6428" max="6428" width="9.7109375" style="445" customWidth="1"/>
    <col min="6429" max="6429" width="11.7109375" style="445" customWidth="1"/>
    <col min="6430" max="6431" width="14.7109375" style="445" customWidth="1"/>
    <col min="6432" max="6432" width="11.7109375" style="445" customWidth="1"/>
    <col min="6433" max="6434" width="6.7109375" style="445" customWidth="1"/>
    <col min="6435" max="6435" width="9.7109375" style="445" customWidth="1"/>
    <col min="6436" max="6436" width="27.42578125" style="445" customWidth="1"/>
    <col min="6437" max="6437" width="15" style="445" customWidth="1"/>
    <col min="6438" max="6438" width="1.7109375" style="445" customWidth="1"/>
    <col min="6439" max="6439" width="5.7109375" style="445" customWidth="1"/>
    <col min="6440" max="6440" width="5.85546875" style="445" customWidth="1"/>
    <col min="6441" max="6441" width="10.7109375" style="445" customWidth="1"/>
    <col min="6442" max="6675" width="10.85546875" style="445"/>
    <col min="6676" max="6676" width="17.42578125" style="445" customWidth="1"/>
    <col min="6677" max="6677" width="10.7109375" style="445" customWidth="1"/>
    <col min="6678" max="6678" width="5.7109375" style="445" customWidth="1"/>
    <col min="6679" max="6679" width="5.85546875" style="445" customWidth="1"/>
    <col min="6680" max="6680" width="1.7109375" style="445" customWidth="1"/>
    <col min="6681" max="6682" width="6.7109375" style="445" customWidth="1"/>
    <col min="6683" max="6683" width="40.7109375" style="445" customWidth="1"/>
    <col min="6684" max="6684" width="9.7109375" style="445" customWidth="1"/>
    <col min="6685" max="6685" width="11.7109375" style="445" customWidth="1"/>
    <col min="6686" max="6687" width="14.7109375" style="445" customWidth="1"/>
    <col min="6688" max="6688" width="11.7109375" style="445" customWidth="1"/>
    <col min="6689" max="6690" width="6.7109375" style="445" customWidth="1"/>
    <col min="6691" max="6691" width="9.7109375" style="445" customWidth="1"/>
    <col min="6692" max="6692" width="27.42578125" style="445" customWidth="1"/>
    <col min="6693" max="6693" width="15" style="445" customWidth="1"/>
    <col min="6694" max="6694" width="1.7109375" style="445" customWidth="1"/>
    <col min="6695" max="6695" width="5.7109375" style="445" customWidth="1"/>
    <col min="6696" max="6696" width="5.85546875" style="445" customWidth="1"/>
    <col min="6697" max="6697" width="10.7109375" style="445" customWidth="1"/>
    <col min="6698" max="6931" width="10.85546875" style="445"/>
    <col min="6932" max="6932" width="17.42578125" style="445" customWidth="1"/>
    <col min="6933" max="6933" width="10.7109375" style="445" customWidth="1"/>
    <col min="6934" max="6934" width="5.7109375" style="445" customWidth="1"/>
    <col min="6935" max="6935" width="5.85546875" style="445" customWidth="1"/>
    <col min="6936" max="6936" width="1.7109375" style="445" customWidth="1"/>
    <col min="6937" max="6938" width="6.7109375" style="445" customWidth="1"/>
    <col min="6939" max="6939" width="40.7109375" style="445" customWidth="1"/>
    <col min="6940" max="6940" width="9.7109375" style="445" customWidth="1"/>
    <col min="6941" max="6941" width="11.7109375" style="445" customWidth="1"/>
    <col min="6942" max="6943" width="14.7109375" style="445" customWidth="1"/>
    <col min="6944" max="6944" width="11.7109375" style="445" customWidth="1"/>
    <col min="6945" max="6946" width="6.7109375" style="445" customWidth="1"/>
    <col min="6947" max="6947" width="9.7109375" style="445" customWidth="1"/>
    <col min="6948" max="6948" width="27.42578125" style="445" customWidth="1"/>
    <col min="6949" max="6949" width="15" style="445" customWidth="1"/>
    <col min="6950" max="6950" width="1.7109375" style="445" customWidth="1"/>
    <col min="6951" max="6951" width="5.7109375" style="445" customWidth="1"/>
    <col min="6952" max="6952" width="5.85546875" style="445" customWidth="1"/>
    <col min="6953" max="6953" width="10.7109375" style="445" customWidth="1"/>
    <col min="6954" max="7187" width="10.85546875" style="445"/>
    <col min="7188" max="7188" width="17.42578125" style="445" customWidth="1"/>
    <col min="7189" max="7189" width="10.7109375" style="445" customWidth="1"/>
    <col min="7190" max="7190" width="5.7109375" style="445" customWidth="1"/>
    <col min="7191" max="7191" width="5.85546875" style="445" customWidth="1"/>
    <col min="7192" max="7192" width="1.7109375" style="445" customWidth="1"/>
    <col min="7193" max="7194" width="6.7109375" style="445" customWidth="1"/>
    <col min="7195" max="7195" width="40.7109375" style="445" customWidth="1"/>
    <col min="7196" max="7196" width="9.7109375" style="445" customWidth="1"/>
    <col min="7197" max="7197" width="11.7109375" style="445" customWidth="1"/>
    <col min="7198" max="7199" width="14.7109375" style="445" customWidth="1"/>
    <col min="7200" max="7200" width="11.7109375" style="445" customWidth="1"/>
    <col min="7201" max="7202" width="6.7109375" style="445" customWidth="1"/>
    <col min="7203" max="7203" width="9.7109375" style="445" customWidth="1"/>
    <col min="7204" max="7204" width="27.42578125" style="445" customWidth="1"/>
    <col min="7205" max="7205" width="15" style="445" customWidth="1"/>
    <col min="7206" max="7206" width="1.7109375" style="445" customWidth="1"/>
    <col min="7207" max="7207" width="5.7109375" style="445" customWidth="1"/>
    <col min="7208" max="7208" width="5.85546875" style="445" customWidth="1"/>
    <col min="7209" max="7209" width="10.7109375" style="445" customWidth="1"/>
    <col min="7210" max="7443" width="10.85546875" style="445"/>
    <col min="7444" max="7444" width="17.42578125" style="445" customWidth="1"/>
    <col min="7445" max="7445" width="10.7109375" style="445" customWidth="1"/>
    <col min="7446" max="7446" width="5.7109375" style="445" customWidth="1"/>
    <col min="7447" max="7447" width="5.85546875" style="445" customWidth="1"/>
    <col min="7448" max="7448" width="1.7109375" style="445" customWidth="1"/>
    <col min="7449" max="7450" width="6.7109375" style="445" customWidth="1"/>
    <col min="7451" max="7451" width="40.7109375" style="445" customWidth="1"/>
    <col min="7452" max="7452" width="9.7109375" style="445" customWidth="1"/>
    <col min="7453" max="7453" width="11.7109375" style="445" customWidth="1"/>
    <col min="7454" max="7455" width="14.7109375" style="445" customWidth="1"/>
    <col min="7456" max="7456" width="11.7109375" style="445" customWidth="1"/>
    <col min="7457" max="7458" width="6.7109375" style="445" customWidth="1"/>
    <col min="7459" max="7459" width="9.7109375" style="445" customWidth="1"/>
    <col min="7460" max="7460" width="27.42578125" style="445" customWidth="1"/>
    <col min="7461" max="7461" width="15" style="445" customWidth="1"/>
    <col min="7462" max="7462" width="1.7109375" style="445" customWidth="1"/>
    <col min="7463" max="7463" width="5.7109375" style="445" customWidth="1"/>
    <col min="7464" max="7464" width="5.85546875" style="445" customWidth="1"/>
    <col min="7465" max="7465" width="10.7109375" style="445" customWidth="1"/>
    <col min="7466" max="7699" width="10.85546875" style="445"/>
    <col min="7700" max="7700" width="17.42578125" style="445" customWidth="1"/>
    <col min="7701" max="7701" width="10.7109375" style="445" customWidth="1"/>
    <col min="7702" max="7702" width="5.7109375" style="445" customWidth="1"/>
    <col min="7703" max="7703" width="5.85546875" style="445" customWidth="1"/>
    <col min="7704" max="7704" width="1.7109375" style="445" customWidth="1"/>
    <col min="7705" max="7706" width="6.7109375" style="445" customWidth="1"/>
    <col min="7707" max="7707" width="40.7109375" style="445" customWidth="1"/>
    <col min="7708" max="7708" width="9.7109375" style="445" customWidth="1"/>
    <col min="7709" max="7709" width="11.7109375" style="445" customWidth="1"/>
    <col min="7710" max="7711" width="14.7109375" style="445" customWidth="1"/>
    <col min="7712" max="7712" width="11.7109375" style="445" customWidth="1"/>
    <col min="7713" max="7714" width="6.7109375" style="445" customWidth="1"/>
    <col min="7715" max="7715" width="9.7109375" style="445" customWidth="1"/>
    <col min="7716" max="7716" width="27.42578125" style="445" customWidth="1"/>
    <col min="7717" max="7717" width="15" style="445" customWidth="1"/>
    <col min="7718" max="7718" width="1.7109375" style="445" customWidth="1"/>
    <col min="7719" max="7719" width="5.7109375" style="445" customWidth="1"/>
    <col min="7720" max="7720" width="5.85546875" style="445" customWidth="1"/>
    <col min="7721" max="7721" width="10.7109375" style="445" customWidth="1"/>
    <col min="7722" max="7955" width="10.85546875" style="445"/>
    <col min="7956" max="7956" width="17.42578125" style="445" customWidth="1"/>
    <col min="7957" max="7957" width="10.7109375" style="445" customWidth="1"/>
    <col min="7958" max="7958" width="5.7109375" style="445" customWidth="1"/>
    <col min="7959" max="7959" width="5.85546875" style="445" customWidth="1"/>
    <col min="7960" max="7960" width="1.7109375" style="445" customWidth="1"/>
    <col min="7961" max="7962" width="6.7109375" style="445" customWidth="1"/>
    <col min="7963" max="7963" width="40.7109375" style="445" customWidth="1"/>
    <col min="7964" max="7964" width="9.7109375" style="445" customWidth="1"/>
    <col min="7965" max="7965" width="11.7109375" style="445" customWidth="1"/>
    <col min="7966" max="7967" width="14.7109375" style="445" customWidth="1"/>
    <col min="7968" max="7968" width="11.7109375" style="445" customWidth="1"/>
    <col min="7969" max="7970" width="6.7109375" style="445" customWidth="1"/>
    <col min="7971" max="7971" width="9.7109375" style="445" customWidth="1"/>
    <col min="7972" max="7972" width="27.42578125" style="445" customWidth="1"/>
    <col min="7973" max="7973" width="15" style="445" customWidth="1"/>
    <col min="7974" max="7974" width="1.7109375" style="445" customWidth="1"/>
    <col min="7975" max="7975" width="5.7109375" style="445" customWidth="1"/>
    <col min="7976" max="7976" width="5.85546875" style="445" customWidth="1"/>
    <col min="7977" max="7977" width="10.7109375" style="445" customWidth="1"/>
    <col min="7978" max="8211" width="10.85546875" style="445"/>
    <col min="8212" max="8212" width="17.42578125" style="445" customWidth="1"/>
    <col min="8213" max="8213" width="10.7109375" style="445" customWidth="1"/>
    <col min="8214" max="8214" width="5.7109375" style="445" customWidth="1"/>
    <col min="8215" max="8215" width="5.85546875" style="445" customWidth="1"/>
    <col min="8216" max="8216" width="1.7109375" style="445" customWidth="1"/>
    <col min="8217" max="8218" width="6.7109375" style="445" customWidth="1"/>
    <col min="8219" max="8219" width="40.7109375" style="445" customWidth="1"/>
    <col min="8220" max="8220" width="9.7109375" style="445" customWidth="1"/>
    <col min="8221" max="8221" width="11.7109375" style="445" customWidth="1"/>
    <col min="8222" max="8223" width="14.7109375" style="445" customWidth="1"/>
    <col min="8224" max="8224" width="11.7109375" style="445" customWidth="1"/>
    <col min="8225" max="8226" width="6.7109375" style="445" customWidth="1"/>
    <col min="8227" max="8227" width="9.7109375" style="445" customWidth="1"/>
    <col min="8228" max="8228" width="27.42578125" style="445" customWidth="1"/>
    <col min="8229" max="8229" width="15" style="445" customWidth="1"/>
    <col min="8230" max="8230" width="1.7109375" style="445" customWidth="1"/>
    <col min="8231" max="8231" width="5.7109375" style="445" customWidth="1"/>
    <col min="8232" max="8232" width="5.85546875" style="445" customWidth="1"/>
    <col min="8233" max="8233" width="10.7109375" style="445" customWidth="1"/>
    <col min="8234" max="8467" width="10.85546875" style="445"/>
    <col min="8468" max="8468" width="17.42578125" style="445" customWidth="1"/>
    <col min="8469" max="8469" width="10.7109375" style="445" customWidth="1"/>
    <col min="8470" max="8470" width="5.7109375" style="445" customWidth="1"/>
    <col min="8471" max="8471" width="5.85546875" style="445" customWidth="1"/>
    <col min="8472" max="8472" width="1.7109375" style="445" customWidth="1"/>
    <col min="8473" max="8474" width="6.7109375" style="445" customWidth="1"/>
    <col min="8475" max="8475" width="40.7109375" style="445" customWidth="1"/>
    <col min="8476" max="8476" width="9.7109375" style="445" customWidth="1"/>
    <col min="8477" max="8477" width="11.7109375" style="445" customWidth="1"/>
    <col min="8478" max="8479" width="14.7109375" style="445" customWidth="1"/>
    <col min="8480" max="8480" width="11.7109375" style="445" customWidth="1"/>
    <col min="8481" max="8482" width="6.7109375" style="445" customWidth="1"/>
    <col min="8483" max="8483" width="9.7109375" style="445" customWidth="1"/>
    <col min="8484" max="8484" width="27.42578125" style="445" customWidth="1"/>
    <col min="8485" max="8485" width="15" style="445" customWidth="1"/>
    <col min="8486" max="8486" width="1.7109375" style="445" customWidth="1"/>
    <col min="8487" max="8487" width="5.7109375" style="445" customWidth="1"/>
    <col min="8488" max="8488" width="5.85546875" style="445" customWidth="1"/>
    <col min="8489" max="8489" width="10.7109375" style="445" customWidth="1"/>
    <col min="8490" max="8723" width="10.85546875" style="445"/>
    <col min="8724" max="8724" width="17.42578125" style="445" customWidth="1"/>
    <col min="8725" max="8725" width="10.7109375" style="445" customWidth="1"/>
    <col min="8726" max="8726" width="5.7109375" style="445" customWidth="1"/>
    <col min="8727" max="8727" width="5.85546875" style="445" customWidth="1"/>
    <col min="8728" max="8728" width="1.7109375" style="445" customWidth="1"/>
    <col min="8729" max="8730" width="6.7109375" style="445" customWidth="1"/>
    <col min="8731" max="8731" width="40.7109375" style="445" customWidth="1"/>
    <col min="8732" max="8732" width="9.7109375" style="445" customWidth="1"/>
    <col min="8733" max="8733" width="11.7109375" style="445" customWidth="1"/>
    <col min="8734" max="8735" width="14.7109375" style="445" customWidth="1"/>
    <col min="8736" max="8736" width="11.7109375" style="445" customWidth="1"/>
    <col min="8737" max="8738" width="6.7109375" style="445" customWidth="1"/>
    <col min="8739" max="8739" width="9.7109375" style="445" customWidth="1"/>
    <col min="8740" max="8740" width="27.42578125" style="445" customWidth="1"/>
    <col min="8741" max="8741" width="15" style="445" customWidth="1"/>
    <col min="8742" max="8742" width="1.7109375" style="445" customWidth="1"/>
    <col min="8743" max="8743" width="5.7109375" style="445" customWidth="1"/>
    <col min="8744" max="8744" width="5.85546875" style="445" customWidth="1"/>
    <col min="8745" max="8745" width="10.7109375" style="445" customWidth="1"/>
    <col min="8746" max="8979" width="10.85546875" style="445"/>
    <col min="8980" max="8980" width="17.42578125" style="445" customWidth="1"/>
    <col min="8981" max="8981" width="10.7109375" style="445" customWidth="1"/>
    <col min="8982" max="8982" width="5.7109375" style="445" customWidth="1"/>
    <col min="8983" max="8983" width="5.85546875" style="445" customWidth="1"/>
    <col min="8984" max="8984" width="1.7109375" style="445" customWidth="1"/>
    <col min="8985" max="8986" width="6.7109375" style="445" customWidth="1"/>
    <col min="8987" max="8987" width="40.7109375" style="445" customWidth="1"/>
    <col min="8988" max="8988" width="9.7109375" style="445" customWidth="1"/>
    <col min="8989" max="8989" width="11.7109375" style="445" customWidth="1"/>
    <col min="8990" max="8991" width="14.7109375" style="445" customWidth="1"/>
    <col min="8992" max="8992" width="11.7109375" style="445" customWidth="1"/>
    <col min="8993" max="8994" width="6.7109375" style="445" customWidth="1"/>
    <col min="8995" max="8995" width="9.7109375" style="445" customWidth="1"/>
    <col min="8996" max="8996" width="27.42578125" style="445" customWidth="1"/>
    <col min="8997" max="8997" width="15" style="445" customWidth="1"/>
    <col min="8998" max="8998" width="1.7109375" style="445" customWidth="1"/>
    <col min="8999" max="8999" width="5.7109375" style="445" customWidth="1"/>
    <col min="9000" max="9000" width="5.85546875" style="445" customWidth="1"/>
    <col min="9001" max="9001" width="10.7109375" style="445" customWidth="1"/>
    <col min="9002" max="9235" width="10.85546875" style="445"/>
    <col min="9236" max="9236" width="17.42578125" style="445" customWidth="1"/>
    <col min="9237" max="9237" width="10.7109375" style="445" customWidth="1"/>
    <col min="9238" max="9238" width="5.7109375" style="445" customWidth="1"/>
    <col min="9239" max="9239" width="5.85546875" style="445" customWidth="1"/>
    <col min="9240" max="9240" width="1.7109375" style="445" customWidth="1"/>
    <col min="9241" max="9242" width="6.7109375" style="445" customWidth="1"/>
    <col min="9243" max="9243" width="40.7109375" style="445" customWidth="1"/>
    <col min="9244" max="9244" width="9.7109375" style="445" customWidth="1"/>
    <col min="9245" max="9245" width="11.7109375" style="445" customWidth="1"/>
    <col min="9246" max="9247" width="14.7109375" style="445" customWidth="1"/>
    <col min="9248" max="9248" width="11.7109375" style="445" customWidth="1"/>
    <col min="9249" max="9250" width="6.7109375" style="445" customWidth="1"/>
    <col min="9251" max="9251" width="9.7109375" style="445" customWidth="1"/>
    <col min="9252" max="9252" width="27.42578125" style="445" customWidth="1"/>
    <col min="9253" max="9253" width="15" style="445" customWidth="1"/>
    <col min="9254" max="9254" width="1.7109375" style="445" customWidth="1"/>
    <col min="9255" max="9255" width="5.7109375" style="445" customWidth="1"/>
    <col min="9256" max="9256" width="5.85546875" style="445" customWidth="1"/>
    <col min="9257" max="9257" width="10.7109375" style="445" customWidth="1"/>
    <col min="9258" max="9491" width="10.85546875" style="445"/>
    <col min="9492" max="9492" width="17.42578125" style="445" customWidth="1"/>
    <col min="9493" max="9493" width="10.7109375" style="445" customWidth="1"/>
    <col min="9494" max="9494" width="5.7109375" style="445" customWidth="1"/>
    <col min="9495" max="9495" width="5.85546875" style="445" customWidth="1"/>
    <col min="9496" max="9496" width="1.7109375" style="445" customWidth="1"/>
    <col min="9497" max="9498" width="6.7109375" style="445" customWidth="1"/>
    <col min="9499" max="9499" width="40.7109375" style="445" customWidth="1"/>
    <col min="9500" max="9500" width="9.7109375" style="445" customWidth="1"/>
    <col min="9501" max="9501" width="11.7109375" style="445" customWidth="1"/>
    <col min="9502" max="9503" width="14.7109375" style="445" customWidth="1"/>
    <col min="9504" max="9504" width="11.7109375" style="445" customWidth="1"/>
    <col min="9505" max="9506" width="6.7109375" style="445" customWidth="1"/>
    <col min="9507" max="9507" width="9.7109375" style="445" customWidth="1"/>
    <col min="9508" max="9508" width="27.42578125" style="445" customWidth="1"/>
    <col min="9509" max="9509" width="15" style="445" customWidth="1"/>
    <col min="9510" max="9510" width="1.7109375" style="445" customWidth="1"/>
    <col min="9511" max="9511" width="5.7109375" style="445" customWidth="1"/>
    <col min="9512" max="9512" width="5.85546875" style="445" customWidth="1"/>
    <col min="9513" max="9513" width="10.7109375" style="445" customWidth="1"/>
    <col min="9514" max="9747" width="10.85546875" style="445"/>
    <col min="9748" max="9748" width="17.42578125" style="445" customWidth="1"/>
    <col min="9749" max="9749" width="10.7109375" style="445" customWidth="1"/>
    <col min="9750" max="9750" width="5.7109375" style="445" customWidth="1"/>
    <col min="9751" max="9751" width="5.85546875" style="445" customWidth="1"/>
    <col min="9752" max="9752" width="1.7109375" style="445" customWidth="1"/>
    <col min="9753" max="9754" width="6.7109375" style="445" customWidth="1"/>
    <col min="9755" max="9755" width="40.7109375" style="445" customWidth="1"/>
    <col min="9756" max="9756" width="9.7109375" style="445" customWidth="1"/>
    <col min="9757" max="9757" width="11.7109375" style="445" customWidth="1"/>
    <col min="9758" max="9759" width="14.7109375" style="445" customWidth="1"/>
    <col min="9760" max="9760" width="11.7109375" style="445" customWidth="1"/>
    <col min="9761" max="9762" width="6.7109375" style="445" customWidth="1"/>
    <col min="9763" max="9763" width="9.7109375" style="445" customWidth="1"/>
    <col min="9764" max="9764" width="27.42578125" style="445" customWidth="1"/>
    <col min="9765" max="9765" width="15" style="445" customWidth="1"/>
    <col min="9766" max="9766" width="1.7109375" style="445" customWidth="1"/>
    <col min="9767" max="9767" width="5.7109375" style="445" customWidth="1"/>
    <col min="9768" max="9768" width="5.85546875" style="445" customWidth="1"/>
    <col min="9769" max="9769" width="10.7109375" style="445" customWidth="1"/>
    <col min="9770" max="10003" width="10.85546875" style="445"/>
    <col min="10004" max="10004" width="17.42578125" style="445" customWidth="1"/>
    <col min="10005" max="10005" width="10.7109375" style="445" customWidth="1"/>
    <col min="10006" max="10006" width="5.7109375" style="445" customWidth="1"/>
    <col min="10007" max="10007" width="5.85546875" style="445" customWidth="1"/>
    <col min="10008" max="10008" width="1.7109375" style="445" customWidth="1"/>
    <col min="10009" max="10010" width="6.7109375" style="445" customWidth="1"/>
    <col min="10011" max="10011" width="40.7109375" style="445" customWidth="1"/>
    <col min="10012" max="10012" width="9.7109375" style="445" customWidth="1"/>
    <col min="10013" max="10013" width="11.7109375" style="445" customWidth="1"/>
    <col min="10014" max="10015" width="14.7109375" style="445" customWidth="1"/>
    <col min="10016" max="10016" width="11.7109375" style="445" customWidth="1"/>
    <col min="10017" max="10018" width="6.7109375" style="445" customWidth="1"/>
    <col min="10019" max="10019" width="9.7109375" style="445" customWidth="1"/>
    <col min="10020" max="10020" width="27.42578125" style="445" customWidth="1"/>
    <col min="10021" max="10021" width="15" style="445" customWidth="1"/>
    <col min="10022" max="10022" width="1.7109375" style="445" customWidth="1"/>
    <col min="10023" max="10023" width="5.7109375" style="445" customWidth="1"/>
    <col min="10024" max="10024" width="5.85546875" style="445" customWidth="1"/>
    <col min="10025" max="10025" width="10.7109375" style="445" customWidth="1"/>
    <col min="10026" max="10259" width="10.85546875" style="445"/>
    <col min="10260" max="10260" width="17.42578125" style="445" customWidth="1"/>
    <col min="10261" max="10261" width="10.7109375" style="445" customWidth="1"/>
    <col min="10262" max="10262" width="5.7109375" style="445" customWidth="1"/>
    <col min="10263" max="10263" width="5.85546875" style="445" customWidth="1"/>
    <col min="10264" max="10264" width="1.7109375" style="445" customWidth="1"/>
    <col min="10265" max="10266" width="6.7109375" style="445" customWidth="1"/>
    <col min="10267" max="10267" width="40.7109375" style="445" customWidth="1"/>
    <col min="10268" max="10268" width="9.7109375" style="445" customWidth="1"/>
    <col min="10269" max="10269" width="11.7109375" style="445" customWidth="1"/>
    <col min="10270" max="10271" width="14.7109375" style="445" customWidth="1"/>
    <col min="10272" max="10272" width="11.7109375" style="445" customWidth="1"/>
    <col min="10273" max="10274" width="6.7109375" style="445" customWidth="1"/>
    <col min="10275" max="10275" width="9.7109375" style="445" customWidth="1"/>
    <col min="10276" max="10276" width="27.42578125" style="445" customWidth="1"/>
    <col min="10277" max="10277" width="15" style="445" customWidth="1"/>
    <col min="10278" max="10278" width="1.7109375" style="445" customWidth="1"/>
    <col min="10279" max="10279" width="5.7109375" style="445" customWidth="1"/>
    <col min="10280" max="10280" width="5.85546875" style="445" customWidth="1"/>
    <col min="10281" max="10281" width="10.7109375" style="445" customWidth="1"/>
    <col min="10282" max="10515" width="10.85546875" style="445"/>
    <col min="10516" max="10516" width="17.42578125" style="445" customWidth="1"/>
    <col min="10517" max="10517" width="10.7109375" style="445" customWidth="1"/>
    <col min="10518" max="10518" width="5.7109375" style="445" customWidth="1"/>
    <col min="10519" max="10519" width="5.85546875" style="445" customWidth="1"/>
    <col min="10520" max="10520" width="1.7109375" style="445" customWidth="1"/>
    <col min="10521" max="10522" width="6.7109375" style="445" customWidth="1"/>
    <col min="10523" max="10523" width="40.7109375" style="445" customWidth="1"/>
    <col min="10524" max="10524" width="9.7109375" style="445" customWidth="1"/>
    <col min="10525" max="10525" width="11.7109375" style="445" customWidth="1"/>
    <col min="10526" max="10527" width="14.7109375" style="445" customWidth="1"/>
    <col min="10528" max="10528" width="11.7109375" style="445" customWidth="1"/>
    <col min="10529" max="10530" width="6.7109375" style="445" customWidth="1"/>
    <col min="10531" max="10531" width="9.7109375" style="445" customWidth="1"/>
    <col min="10532" max="10532" width="27.42578125" style="445" customWidth="1"/>
    <col min="10533" max="10533" width="15" style="445" customWidth="1"/>
    <col min="10534" max="10534" width="1.7109375" style="445" customWidth="1"/>
    <col min="10535" max="10535" width="5.7109375" style="445" customWidth="1"/>
    <col min="10536" max="10536" width="5.85546875" style="445" customWidth="1"/>
    <col min="10537" max="10537" width="10.7109375" style="445" customWidth="1"/>
    <col min="10538" max="10771" width="10.85546875" style="445"/>
    <col min="10772" max="10772" width="17.42578125" style="445" customWidth="1"/>
    <col min="10773" max="10773" width="10.7109375" style="445" customWidth="1"/>
    <col min="10774" max="10774" width="5.7109375" style="445" customWidth="1"/>
    <col min="10775" max="10775" width="5.85546875" style="445" customWidth="1"/>
    <col min="10776" max="10776" width="1.7109375" style="445" customWidth="1"/>
    <col min="10777" max="10778" width="6.7109375" style="445" customWidth="1"/>
    <col min="10779" max="10779" width="40.7109375" style="445" customWidth="1"/>
    <col min="10780" max="10780" width="9.7109375" style="445" customWidth="1"/>
    <col min="10781" max="10781" width="11.7109375" style="445" customWidth="1"/>
    <col min="10782" max="10783" width="14.7109375" style="445" customWidth="1"/>
    <col min="10784" max="10784" width="11.7109375" style="445" customWidth="1"/>
    <col min="10785" max="10786" width="6.7109375" style="445" customWidth="1"/>
    <col min="10787" max="10787" width="9.7109375" style="445" customWidth="1"/>
    <col min="10788" max="10788" width="27.42578125" style="445" customWidth="1"/>
    <col min="10789" max="10789" width="15" style="445" customWidth="1"/>
    <col min="10790" max="10790" width="1.7109375" style="445" customWidth="1"/>
    <col min="10791" max="10791" width="5.7109375" style="445" customWidth="1"/>
    <col min="10792" max="10792" width="5.85546875" style="445" customWidth="1"/>
    <col min="10793" max="10793" width="10.7109375" style="445" customWidth="1"/>
    <col min="10794" max="11027" width="10.85546875" style="445"/>
    <col min="11028" max="11028" width="17.42578125" style="445" customWidth="1"/>
    <col min="11029" max="11029" width="10.7109375" style="445" customWidth="1"/>
    <col min="11030" max="11030" width="5.7109375" style="445" customWidth="1"/>
    <col min="11031" max="11031" width="5.85546875" style="445" customWidth="1"/>
    <col min="11032" max="11032" width="1.7109375" style="445" customWidth="1"/>
    <col min="11033" max="11034" width="6.7109375" style="445" customWidth="1"/>
    <col min="11035" max="11035" width="40.7109375" style="445" customWidth="1"/>
    <col min="11036" max="11036" width="9.7109375" style="445" customWidth="1"/>
    <col min="11037" max="11037" width="11.7109375" style="445" customWidth="1"/>
    <col min="11038" max="11039" width="14.7109375" style="445" customWidth="1"/>
    <col min="11040" max="11040" width="11.7109375" style="445" customWidth="1"/>
    <col min="11041" max="11042" width="6.7109375" style="445" customWidth="1"/>
    <col min="11043" max="11043" width="9.7109375" style="445" customWidth="1"/>
    <col min="11044" max="11044" width="27.42578125" style="445" customWidth="1"/>
    <col min="11045" max="11045" width="15" style="445" customWidth="1"/>
    <col min="11046" max="11046" width="1.7109375" style="445" customWidth="1"/>
    <col min="11047" max="11047" width="5.7109375" style="445" customWidth="1"/>
    <col min="11048" max="11048" width="5.85546875" style="445" customWidth="1"/>
    <col min="11049" max="11049" width="10.7109375" style="445" customWidth="1"/>
    <col min="11050" max="11283" width="10.85546875" style="445"/>
    <col min="11284" max="11284" width="17.42578125" style="445" customWidth="1"/>
    <col min="11285" max="11285" width="10.7109375" style="445" customWidth="1"/>
    <col min="11286" max="11286" width="5.7109375" style="445" customWidth="1"/>
    <col min="11287" max="11287" width="5.85546875" style="445" customWidth="1"/>
    <col min="11288" max="11288" width="1.7109375" style="445" customWidth="1"/>
    <col min="11289" max="11290" width="6.7109375" style="445" customWidth="1"/>
    <col min="11291" max="11291" width="40.7109375" style="445" customWidth="1"/>
    <col min="11292" max="11292" width="9.7109375" style="445" customWidth="1"/>
    <col min="11293" max="11293" width="11.7109375" style="445" customWidth="1"/>
    <col min="11294" max="11295" width="14.7109375" style="445" customWidth="1"/>
    <col min="11296" max="11296" width="11.7109375" style="445" customWidth="1"/>
    <col min="11297" max="11298" width="6.7109375" style="445" customWidth="1"/>
    <col min="11299" max="11299" width="9.7109375" style="445" customWidth="1"/>
    <col min="11300" max="11300" width="27.42578125" style="445" customWidth="1"/>
    <col min="11301" max="11301" width="15" style="445" customWidth="1"/>
    <col min="11302" max="11302" width="1.7109375" style="445" customWidth="1"/>
    <col min="11303" max="11303" width="5.7109375" style="445" customWidth="1"/>
    <col min="11304" max="11304" width="5.85546875" style="445" customWidth="1"/>
    <col min="11305" max="11305" width="10.7109375" style="445" customWidth="1"/>
    <col min="11306" max="11539" width="10.85546875" style="445"/>
    <col min="11540" max="11540" width="17.42578125" style="445" customWidth="1"/>
    <col min="11541" max="11541" width="10.7109375" style="445" customWidth="1"/>
    <col min="11542" max="11542" width="5.7109375" style="445" customWidth="1"/>
    <col min="11543" max="11543" width="5.85546875" style="445" customWidth="1"/>
    <col min="11544" max="11544" width="1.7109375" style="445" customWidth="1"/>
    <col min="11545" max="11546" width="6.7109375" style="445" customWidth="1"/>
    <col min="11547" max="11547" width="40.7109375" style="445" customWidth="1"/>
    <col min="11548" max="11548" width="9.7109375" style="445" customWidth="1"/>
    <col min="11549" max="11549" width="11.7109375" style="445" customWidth="1"/>
    <col min="11550" max="11551" width="14.7109375" style="445" customWidth="1"/>
    <col min="11552" max="11552" width="11.7109375" style="445" customWidth="1"/>
    <col min="11553" max="11554" width="6.7109375" style="445" customWidth="1"/>
    <col min="11555" max="11555" width="9.7109375" style="445" customWidth="1"/>
    <col min="11556" max="11556" width="27.42578125" style="445" customWidth="1"/>
    <col min="11557" max="11557" width="15" style="445" customWidth="1"/>
    <col min="11558" max="11558" width="1.7109375" style="445" customWidth="1"/>
    <col min="11559" max="11559" width="5.7109375" style="445" customWidth="1"/>
    <col min="11560" max="11560" width="5.85546875" style="445" customWidth="1"/>
    <col min="11561" max="11561" width="10.7109375" style="445" customWidth="1"/>
    <col min="11562" max="11795" width="10.85546875" style="445"/>
    <col min="11796" max="11796" width="17.42578125" style="445" customWidth="1"/>
    <col min="11797" max="11797" width="10.7109375" style="445" customWidth="1"/>
    <col min="11798" max="11798" width="5.7109375" style="445" customWidth="1"/>
    <col min="11799" max="11799" width="5.85546875" style="445" customWidth="1"/>
    <col min="11800" max="11800" width="1.7109375" style="445" customWidth="1"/>
    <col min="11801" max="11802" width="6.7109375" style="445" customWidth="1"/>
    <col min="11803" max="11803" width="40.7109375" style="445" customWidth="1"/>
    <col min="11804" max="11804" width="9.7109375" style="445" customWidth="1"/>
    <col min="11805" max="11805" width="11.7109375" style="445" customWidth="1"/>
    <col min="11806" max="11807" width="14.7109375" style="445" customWidth="1"/>
    <col min="11808" max="11808" width="11.7109375" style="445" customWidth="1"/>
    <col min="11809" max="11810" width="6.7109375" style="445" customWidth="1"/>
    <col min="11811" max="11811" width="9.7109375" style="445" customWidth="1"/>
    <col min="11812" max="11812" width="27.42578125" style="445" customWidth="1"/>
    <col min="11813" max="11813" width="15" style="445" customWidth="1"/>
    <col min="11814" max="11814" width="1.7109375" style="445" customWidth="1"/>
    <col min="11815" max="11815" width="5.7109375" style="445" customWidth="1"/>
    <col min="11816" max="11816" width="5.85546875" style="445" customWidth="1"/>
    <col min="11817" max="11817" width="10.7109375" style="445" customWidth="1"/>
    <col min="11818" max="12051" width="10.85546875" style="445"/>
    <col min="12052" max="12052" width="17.42578125" style="445" customWidth="1"/>
    <col min="12053" max="12053" width="10.7109375" style="445" customWidth="1"/>
    <col min="12054" max="12054" width="5.7109375" style="445" customWidth="1"/>
    <col min="12055" max="12055" width="5.85546875" style="445" customWidth="1"/>
    <col min="12056" max="12056" width="1.7109375" style="445" customWidth="1"/>
    <col min="12057" max="12058" width="6.7109375" style="445" customWidth="1"/>
    <col min="12059" max="12059" width="40.7109375" style="445" customWidth="1"/>
    <col min="12060" max="12060" width="9.7109375" style="445" customWidth="1"/>
    <col min="12061" max="12061" width="11.7109375" style="445" customWidth="1"/>
    <col min="12062" max="12063" width="14.7109375" style="445" customWidth="1"/>
    <col min="12064" max="12064" width="11.7109375" style="445" customWidth="1"/>
    <col min="12065" max="12066" width="6.7109375" style="445" customWidth="1"/>
    <col min="12067" max="12067" width="9.7109375" style="445" customWidth="1"/>
    <col min="12068" max="12068" width="27.42578125" style="445" customWidth="1"/>
    <col min="12069" max="12069" width="15" style="445" customWidth="1"/>
    <col min="12070" max="12070" width="1.7109375" style="445" customWidth="1"/>
    <col min="12071" max="12071" width="5.7109375" style="445" customWidth="1"/>
    <col min="12072" max="12072" width="5.85546875" style="445" customWidth="1"/>
    <col min="12073" max="12073" width="10.7109375" style="445" customWidth="1"/>
    <col min="12074" max="12307" width="10.85546875" style="445"/>
    <col min="12308" max="12308" width="17.42578125" style="445" customWidth="1"/>
    <col min="12309" max="12309" width="10.7109375" style="445" customWidth="1"/>
    <col min="12310" max="12310" width="5.7109375" style="445" customWidth="1"/>
    <col min="12311" max="12311" width="5.85546875" style="445" customWidth="1"/>
    <col min="12312" max="12312" width="1.7109375" style="445" customWidth="1"/>
    <col min="12313" max="12314" width="6.7109375" style="445" customWidth="1"/>
    <col min="12315" max="12315" width="40.7109375" style="445" customWidth="1"/>
    <col min="12316" max="12316" width="9.7109375" style="445" customWidth="1"/>
    <col min="12317" max="12317" width="11.7109375" style="445" customWidth="1"/>
    <col min="12318" max="12319" width="14.7109375" style="445" customWidth="1"/>
    <col min="12320" max="12320" width="11.7109375" style="445" customWidth="1"/>
    <col min="12321" max="12322" width="6.7109375" style="445" customWidth="1"/>
    <col min="12323" max="12323" width="9.7109375" style="445" customWidth="1"/>
    <col min="12324" max="12324" width="27.42578125" style="445" customWidth="1"/>
    <col min="12325" max="12325" width="15" style="445" customWidth="1"/>
    <col min="12326" max="12326" width="1.7109375" style="445" customWidth="1"/>
    <col min="12327" max="12327" width="5.7109375" style="445" customWidth="1"/>
    <col min="12328" max="12328" width="5.85546875" style="445" customWidth="1"/>
    <col min="12329" max="12329" width="10.7109375" style="445" customWidth="1"/>
    <col min="12330" max="12563" width="10.85546875" style="445"/>
    <col min="12564" max="12564" width="17.42578125" style="445" customWidth="1"/>
    <col min="12565" max="12565" width="10.7109375" style="445" customWidth="1"/>
    <col min="12566" max="12566" width="5.7109375" style="445" customWidth="1"/>
    <col min="12567" max="12567" width="5.85546875" style="445" customWidth="1"/>
    <col min="12568" max="12568" width="1.7109375" style="445" customWidth="1"/>
    <col min="12569" max="12570" width="6.7109375" style="445" customWidth="1"/>
    <col min="12571" max="12571" width="40.7109375" style="445" customWidth="1"/>
    <col min="12572" max="12572" width="9.7109375" style="445" customWidth="1"/>
    <col min="12573" max="12573" width="11.7109375" style="445" customWidth="1"/>
    <col min="12574" max="12575" width="14.7109375" style="445" customWidth="1"/>
    <col min="12576" max="12576" width="11.7109375" style="445" customWidth="1"/>
    <col min="12577" max="12578" width="6.7109375" style="445" customWidth="1"/>
    <col min="12579" max="12579" width="9.7109375" style="445" customWidth="1"/>
    <col min="12580" max="12580" width="27.42578125" style="445" customWidth="1"/>
    <col min="12581" max="12581" width="15" style="445" customWidth="1"/>
    <col min="12582" max="12582" width="1.7109375" style="445" customWidth="1"/>
    <col min="12583" max="12583" width="5.7109375" style="445" customWidth="1"/>
    <col min="12584" max="12584" width="5.85546875" style="445" customWidth="1"/>
    <col min="12585" max="12585" width="10.7109375" style="445" customWidth="1"/>
    <col min="12586" max="12819" width="10.85546875" style="445"/>
    <col min="12820" max="12820" width="17.42578125" style="445" customWidth="1"/>
    <col min="12821" max="12821" width="10.7109375" style="445" customWidth="1"/>
    <col min="12822" max="12822" width="5.7109375" style="445" customWidth="1"/>
    <col min="12823" max="12823" width="5.85546875" style="445" customWidth="1"/>
    <col min="12824" max="12824" width="1.7109375" style="445" customWidth="1"/>
    <col min="12825" max="12826" width="6.7109375" style="445" customWidth="1"/>
    <col min="12827" max="12827" width="40.7109375" style="445" customWidth="1"/>
    <col min="12828" max="12828" width="9.7109375" style="445" customWidth="1"/>
    <col min="12829" max="12829" width="11.7109375" style="445" customWidth="1"/>
    <col min="12830" max="12831" width="14.7109375" style="445" customWidth="1"/>
    <col min="12832" max="12832" width="11.7109375" style="445" customWidth="1"/>
    <col min="12833" max="12834" width="6.7109375" style="445" customWidth="1"/>
    <col min="12835" max="12835" width="9.7109375" style="445" customWidth="1"/>
    <col min="12836" max="12836" width="27.42578125" style="445" customWidth="1"/>
    <col min="12837" max="12837" width="15" style="445" customWidth="1"/>
    <col min="12838" max="12838" width="1.7109375" style="445" customWidth="1"/>
    <col min="12839" max="12839" width="5.7109375" style="445" customWidth="1"/>
    <col min="12840" max="12840" width="5.85546875" style="445" customWidth="1"/>
    <col min="12841" max="12841" width="10.7109375" style="445" customWidth="1"/>
    <col min="12842" max="13075" width="10.85546875" style="445"/>
    <col min="13076" max="13076" width="17.42578125" style="445" customWidth="1"/>
    <col min="13077" max="13077" width="10.7109375" style="445" customWidth="1"/>
    <col min="13078" max="13078" width="5.7109375" style="445" customWidth="1"/>
    <col min="13079" max="13079" width="5.85546875" style="445" customWidth="1"/>
    <col min="13080" max="13080" width="1.7109375" style="445" customWidth="1"/>
    <col min="13081" max="13082" width="6.7109375" style="445" customWidth="1"/>
    <col min="13083" max="13083" width="40.7109375" style="445" customWidth="1"/>
    <col min="13084" max="13084" width="9.7109375" style="445" customWidth="1"/>
    <col min="13085" max="13085" width="11.7109375" style="445" customWidth="1"/>
    <col min="13086" max="13087" width="14.7109375" style="445" customWidth="1"/>
    <col min="13088" max="13088" width="11.7109375" style="445" customWidth="1"/>
    <col min="13089" max="13090" width="6.7109375" style="445" customWidth="1"/>
    <col min="13091" max="13091" width="9.7109375" style="445" customWidth="1"/>
    <col min="13092" max="13092" width="27.42578125" style="445" customWidth="1"/>
    <col min="13093" max="13093" width="15" style="445" customWidth="1"/>
    <col min="13094" max="13094" width="1.7109375" style="445" customWidth="1"/>
    <col min="13095" max="13095" width="5.7109375" style="445" customWidth="1"/>
    <col min="13096" max="13096" width="5.85546875" style="445" customWidth="1"/>
    <col min="13097" max="13097" width="10.7109375" style="445" customWidth="1"/>
    <col min="13098" max="13331" width="10.85546875" style="445"/>
    <col min="13332" max="13332" width="17.42578125" style="445" customWidth="1"/>
    <col min="13333" max="13333" width="10.7109375" style="445" customWidth="1"/>
    <col min="13334" max="13334" width="5.7109375" style="445" customWidth="1"/>
    <col min="13335" max="13335" width="5.85546875" style="445" customWidth="1"/>
    <col min="13336" max="13336" width="1.7109375" style="445" customWidth="1"/>
    <col min="13337" max="13338" width="6.7109375" style="445" customWidth="1"/>
    <col min="13339" max="13339" width="40.7109375" style="445" customWidth="1"/>
    <col min="13340" max="13340" width="9.7109375" style="445" customWidth="1"/>
    <col min="13341" max="13341" width="11.7109375" style="445" customWidth="1"/>
    <col min="13342" max="13343" width="14.7109375" style="445" customWidth="1"/>
    <col min="13344" max="13344" width="11.7109375" style="445" customWidth="1"/>
    <col min="13345" max="13346" width="6.7109375" style="445" customWidth="1"/>
    <col min="13347" max="13347" width="9.7109375" style="445" customWidth="1"/>
    <col min="13348" max="13348" width="27.42578125" style="445" customWidth="1"/>
    <col min="13349" max="13349" width="15" style="445" customWidth="1"/>
    <col min="13350" max="13350" width="1.7109375" style="445" customWidth="1"/>
    <col min="13351" max="13351" width="5.7109375" style="445" customWidth="1"/>
    <col min="13352" max="13352" width="5.85546875" style="445" customWidth="1"/>
    <col min="13353" max="13353" width="10.7109375" style="445" customWidth="1"/>
    <col min="13354" max="13587" width="10.85546875" style="445"/>
    <col min="13588" max="13588" width="17.42578125" style="445" customWidth="1"/>
    <col min="13589" max="13589" width="10.7109375" style="445" customWidth="1"/>
    <col min="13590" max="13590" width="5.7109375" style="445" customWidth="1"/>
    <col min="13591" max="13591" width="5.85546875" style="445" customWidth="1"/>
    <col min="13592" max="13592" width="1.7109375" style="445" customWidth="1"/>
    <col min="13593" max="13594" width="6.7109375" style="445" customWidth="1"/>
    <col min="13595" max="13595" width="40.7109375" style="445" customWidth="1"/>
    <col min="13596" max="13596" width="9.7109375" style="445" customWidth="1"/>
    <col min="13597" max="13597" width="11.7109375" style="445" customWidth="1"/>
    <col min="13598" max="13599" width="14.7109375" style="445" customWidth="1"/>
    <col min="13600" max="13600" width="11.7109375" style="445" customWidth="1"/>
    <col min="13601" max="13602" width="6.7109375" style="445" customWidth="1"/>
    <col min="13603" max="13603" width="9.7109375" style="445" customWidth="1"/>
    <col min="13604" max="13604" width="27.42578125" style="445" customWidth="1"/>
    <col min="13605" max="13605" width="15" style="445" customWidth="1"/>
    <col min="13606" max="13606" width="1.7109375" style="445" customWidth="1"/>
    <col min="13607" max="13607" width="5.7109375" style="445" customWidth="1"/>
    <col min="13608" max="13608" width="5.85546875" style="445" customWidth="1"/>
    <col min="13609" max="13609" width="10.7109375" style="445" customWidth="1"/>
    <col min="13610" max="13843" width="10.85546875" style="445"/>
    <col min="13844" max="13844" width="17.42578125" style="445" customWidth="1"/>
    <col min="13845" max="13845" width="10.7109375" style="445" customWidth="1"/>
    <col min="13846" max="13846" width="5.7109375" style="445" customWidth="1"/>
    <col min="13847" max="13847" width="5.85546875" style="445" customWidth="1"/>
    <col min="13848" max="13848" width="1.7109375" style="445" customWidth="1"/>
    <col min="13849" max="13850" width="6.7109375" style="445" customWidth="1"/>
    <col min="13851" max="13851" width="40.7109375" style="445" customWidth="1"/>
    <col min="13852" max="13852" width="9.7109375" style="445" customWidth="1"/>
    <col min="13853" max="13853" width="11.7109375" style="445" customWidth="1"/>
    <col min="13854" max="13855" width="14.7109375" style="445" customWidth="1"/>
    <col min="13856" max="13856" width="11.7109375" style="445" customWidth="1"/>
    <col min="13857" max="13858" width="6.7109375" style="445" customWidth="1"/>
    <col min="13859" max="13859" width="9.7109375" style="445" customWidth="1"/>
    <col min="13860" max="13860" width="27.42578125" style="445" customWidth="1"/>
    <col min="13861" max="13861" width="15" style="445" customWidth="1"/>
    <col min="13862" max="13862" width="1.7109375" style="445" customWidth="1"/>
    <col min="13863" max="13863" width="5.7109375" style="445" customWidth="1"/>
    <col min="13864" max="13864" width="5.85546875" style="445" customWidth="1"/>
    <col min="13865" max="13865" width="10.7109375" style="445" customWidth="1"/>
    <col min="13866" max="14099" width="10.85546875" style="445"/>
    <col min="14100" max="14100" width="17.42578125" style="445" customWidth="1"/>
    <col min="14101" max="14101" width="10.7109375" style="445" customWidth="1"/>
    <col min="14102" max="14102" width="5.7109375" style="445" customWidth="1"/>
    <col min="14103" max="14103" width="5.85546875" style="445" customWidth="1"/>
    <col min="14104" max="14104" width="1.7109375" style="445" customWidth="1"/>
    <col min="14105" max="14106" width="6.7109375" style="445" customWidth="1"/>
    <col min="14107" max="14107" width="40.7109375" style="445" customWidth="1"/>
    <col min="14108" max="14108" width="9.7109375" style="445" customWidth="1"/>
    <col min="14109" max="14109" width="11.7109375" style="445" customWidth="1"/>
    <col min="14110" max="14111" width="14.7109375" style="445" customWidth="1"/>
    <col min="14112" max="14112" width="11.7109375" style="445" customWidth="1"/>
    <col min="14113" max="14114" width="6.7109375" style="445" customWidth="1"/>
    <col min="14115" max="14115" width="9.7109375" style="445" customWidth="1"/>
    <col min="14116" max="14116" width="27.42578125" style="445" customWidth="1"/>
    <col min="14117" max="14117" width="15" style="445" customWidth="1"/>
    <col min="14118" max="14118" width="1.7109375" style="445" customWidth="1"/>
    <col min="14119" max="14119" width="5.7109375" style="445" customWidth="1"/>
    <col min="14120" max="14120" width="5.85546875" style="445" customWidth="1"/>
    <col min="14121" max="14121" width="10.7109375" style="445" customWidth="1"/>
    <col min="14122" max="14355" width="10.85546875" style="445"/>
    <col min="14356" max="14356" width="17.42578125" style="445" customWidth="1"/>
    <col min="14357" max="14357" width="10.7109375" style="445" customWidth="1"/>
    <col min="14358" max="14358" width="5.7109375" style="445" customWidth="1"/>
    <col min="14359" max="14359" width="5.85546875" style="445" customWidth="1"/>
    <col min="14360" max="14360" width="1.7109375" style="445" customWidth="1"/>
    <col min="14361" max="14362" width="6.7109375" style="445" customWidth="1"/>
    <col min="14363" max="14363" width="40.7109375" style="445" customWidth="1"/>
    <col min="14364" max="14364" width="9.7109375" style="445" customWidth="1"/>
    <col min="14365" max="14365" width="11.7109375" style="445" customWidth="1"/>
    <col min="14366" max="14367" width="14.7109375" style="445" customWidth="1"/>
    <col min="14368" max="14368" width="11.7109375" style="445" customWidth="1"/>
    <col min="14369" max="14370" width="6.7109375" style="445" customWidth="1"/>
    <col min="14371" max="14371" width="9.7109375" style="445" customWidth="1"/>
    <col min="14372" max="14372" width="27.42578125" style="445" customWidth="1"/>
    <col min="14373" max="14373" width="15" style="445" customWidth="1"/>
    <col min="14374" max="14374" width="1.7109375" style="445" customWidth="1"/>
    <col min="14375" max="14375" width="5.7109375" style="445" customWidth="1"/>
    <col min="14376" max="14376" width="5.85546875" style="445" customWidth="1"/>
    <col min="14377" max="14377" width="10.7109375" style="445" customWidth="1"/>
    <col min="14378" max="14611" width="10.85546875" style="445"/>
    <col min="14612" max="14612" width="17.42578125" style="445" customWidth="1"/>
    <col min="14613" max="14613" width="10.7109375" style="445" customWidth="1"/>
    <col min="14614" max="14614" width="5.7109375" style="445" customWidth="1"/>
    <col min="14615" max="14615" width="5.85546875" style="445" customWidth="1"/>
    <col min="14616" max="14616" width="1.7109375" style="445" customWidth="1"/>
    <col min="14617" max="14618" width="6.7109375" style="445" customWidth="1"/>
    <col min="14619" max="14619" width="40.7109375" style="445" customWidth="1"/>
    <col min="14620" max="14620" width="9.7109375" style="445" customWidth="1"/>
    <col min="14621" max="14621" width="11.7109375" style="445" customWidth="1"/>
    <col min="14622" max="14623" width="14.7109375" style="445" customWidth="1"/>
    <col min="14624" max="14624" width="11.7109375" style="445" customWidth="1"/>
    <col min="14625" max="14626" width="6.7109375" style="445" customWidth="1"/>
    <col min="14627" max="14627" width="9.7109375" style="445" customWidth="1"/>
    <col min="14628" max="14628" width="27.42578125" style="445" customWidth="1"/>
    <col min="14629" max="14629" width="15" style="445" customWidth="1"/>
    <col min="14630" max="14630" width="1.7109375" style="445" customWidth="1"/>
    <col min="14631" max="14631" width="5.7109375" style="445" customWidth="1"/>
    <col min="14632" max="14632" width="5.85546875" style="445" customWidth="1"/>
    <col min="14633" max="14633" width="10.7109375" style="445" customWidth="1"/>
    <col min="14634" max="14867" width="10.85546875" style="445"/>
    <col min="14868" max="14868" width="17.42578125" style="445" customWidth="1"/>
    <col min="14869" max="14869" width="10.7109375" style="445" customWidth="1"/>
    <col min="14870" max="14870" width="5.7109375" style="445" customWidth="1"/>
    <col min="14871" max="14871" width="5.85546875" style="445" customWidth="1"/>
    <col min="14872" max="14872" width="1.7109375" style="445" customWidth="1"/>
    <col min="14873" max="14874" width="6.7109375" style="445" customWidth="1"/>
    <col min="14875" max="14875" width="40.7109375" style="445" customWidth="1"/>
    <col min="14876" max="14876" width="9.7109375" style="445" customWidth="1"/>
    <col min="14877" max="14877" width="11.7109375" style="445" customWidth="1"/>
    <col min="14878" max="14879" width="14.7109375" style="445" customWidth="1"/>
    <col min="14880" max="14880" width="11.7109375" style="445" customWidth="1"/>
    <col min="14881" max="14882" width="6.7109375" style="445" customWidth="1"/>
    <col min="14883" max="14883" width="9.7109375" style="445" customWidth="1"/>
    <col min="14884" max="14884" width="27.42578125" style="445" customWidth="1"/>
    <col min="14885" max="14885" width="15" style="445" customWidth="1"/>
    <col min="14886" max="14886" width="1.7109375" style="445" customWidth="1"/>
    <col min="14887" max="14887" width="5.7109375" style="445" customWidth="1"/>
    <col min="14888" max="14888" width="5.85546875" style="445" customWidth="1"/>
    <col min="14889" max="14889" width="10.7109375" style="445" customWidth="1"/>
    <col min="14890" max="15123" width="10.85546875" style="445"/>
    <col min="15124" max="15124" width="17.42578125" style="445" customWidth="1"/>
    <col min="15125" max="15125" width="10.7109375" style="445" customWidth="1"/>
    <col min="15126" max="15126" width="5.7109375" style="445" customWidth="1"/>
    <col min="15127" max="15127" width="5.85546875" style="445" customWidth="1"/>
    <col min="15128" max="15128" width="1.7109375" style="445" customWidth="1"/>
    <col min="15129" max="15130" width="6.7109375" style="445" customWidth="1"/>
    <col min="15131" max="15131" width="40.7109375" style="445" customWidth="1"/>
    <col min="15132" max="15132" width="9.7109375" style="445" customWidth="1"/>
    <col min="15133" max="15133" width="11.7109375" style="445" customWidth="1"/>
    <col min="15134" max="15135" width="14.7109375" style="445" customWidth="1"/>
    <col min="15136" max="15136" width="11.7109375" style="445" customWidth="1"/>
    <col min="15137" max="15138" width="6.7109375" style="445" customWidth="1"/>
    <col min="15139" max="15139" width="9.7109375" style="445" customWidth="1"/>
    <col min="15140" max="15140" width="27.42578125" style="445" customWidth="1"/>
    <col min="15141" max="15141" width="15" style="445" customWidth="1"/>
    <col min="15142" max="15142" width="1.7109375" style="445" customWidth="1"/>
    <col min="15143" max="15143" width="5.7109375" style="445" customWidth="1"/>
    <col min="15144" max="15144" width="5.85546875" style="445" customWidth="1"/>
    <col min="15145" max="15145" width="10.7109375" style="445" customWidth="1"/>
    <col min="15146" max="15379" width="10.85546875" style="445"/>
    <col min="15380" max="15380" width="17.42578125" style="445" customWidth="1"/>
    <col min="15381" max="15381" width="10.7109375" style="445" customWidth="1"/>
    <col min="15382" max="15382" width="5.7109375" style="445" customWidth="1"/>
    <col min="15383" max="15383" width="5.85546875" style="445" customWidth="1"/>
    <col min="15384" max="15384" width="1.7109375" style="445" customWidth="1"/>
    <col min="15385" max="15386" width="6.7109375" style="445" customWidth="1"/>
    <col min="15387" max="15387" width="40.7109375" style="445" customWidth="1"/>
    <col min="15388" max="15388" width="9.7109375" style="445" customWidth="1"/>
    <col min="15389" max="15389" width="11.7109375" style="445" customWidth="1"/>
    <col min="15390" max="15391" width="14.7109375" style="445" customWidth="1"/>
    <col min="15392" max="15392" width="11.7109375" style="445" customWidth="1"/>
    <col min="15393" max="15394" width="6.7109375" style="445" customWidth="1"/>
    <col min="15395" max="15395" width="9.7109375" style="445" customWidth="1"/>
    <col min="15396" max="15396" width="27.42578125" style="445" customWidth="1"/>
    <col min="15397" max="15397" width="15" style="445" customWidth="1"/>
    <col min="15398" max="15398" width="1.7109375" style="445" customWidth="1"/>
    <col min="15399" max="15399" width="5.7109375" style="445" customWidth="1"/>
    <col min="15400" max="15400" width="5.85546875" style="445" customWidth="1"/>
    <col min="15401" max="15401" width="10.7109375" style="445" customWidth="1"/>
    <col min="15402" max="15635" width="10.85546875" style="445"/>
    <col min="15636" max="15636" width="17.42578125" style="445" customWidth="1"/>
    <col min="15637" max="15637" width="10.7109375" style="445" customWidth="1"/>
    <col min="15638" max="15638" width="5.7109375" style="445" customWidth="1"/>
    <col min="15639" max="15639" width="5.85546875" style="445" customWidth="1"/>
    <col min="15640" max="15640" width="1.7109375" style="445" customWidth="1"/>
    <col min="15641" max="15642" width="6.7109375" style="445" customWidth="1"/>
    <col min="15643" max="15643" width="40.7109375" style="445" customWidth="1"/>
    <col min="15644" max="15644" width="9.7109375" style="445" customWidth="1"/>
    <col min="15645" max="15645" width="11.7109375" style="445" customWidth="1"/>
    <col min="15646" max="15647" width="14.7109375" style="445" customWidth="1"/>
    <col min="15648" max="15648" width="11.7109375" style="445" customWidth="1"/>
    <col min="15649" max="15650" width="6.7109375" style="445" customWidth="1"/>
    <col min="15651" max="15651" width="9.7109375" style="445" customWidth="1"/>
    <col min="15652" max="15652" width="27.42578125" style="445" customWidth="1"/>
    <col min="15653" max="15653" width="15" style="445" customWidth="1"/>
    <col min="15654" max="15654" width="1.7109375" style="445" customWidth="1"/>
    <col min="15655" max="15655" width="5.7109375" style="445" customWidth="1"/>
    <col min="15656" max="15656" width="5.85546875" style="445" customWidth="1"/>
    <col min="15657" max="15657" width="10.7109375" style="445" customWidth="1"/>
    <col min="15658" max="15891" width="10.85546875" style="445"/>
    <col min="15892" max="15892" width="17.42578125" style="445" customWidth="1"/>
    <col min="15893" max="15893" width="10.7109375" style="445" customWidth="1"/>
    <col min="15894" max="15894" width="5.7109375" style="445" customWidth="1"/>
    <col min="15895" max="15895" width="5.85546875" style="445" customWidth="1"/>
    <col min="15896" max="15896" width="1.7109375" style="445" customWidth="1"/>
    <col min="15897" max="15898" width="6.7109375" style="445" customWidth="1"/>
    <col min="15899" max="15899" width="40.7109375" style="445" customWidth="1"/>
    <col min="15900" max="15900" width="9.7109375" style="445" customWidth="1"/>
    <col min="15901" max="15901" width="11.7109375" style="445" customWidth="1"/>
    <col min="15902" max="15903" width="14.7109375" style="445" customWidth="1"/>
    <col min="15904" max="15904" width="11.7109375" style="445" customWidth="1"/>
    <col min="15905" max="15906" width="6.7109375" style="445" customWidth="1"/>
    <col min="15907" max="15907" width="9.7109375" style="445" customWidth="1"/>
    <col min="15908" max="15908" width="27.42578125" style="445" customWidth="1"/>
    <col min="15909" max="15909" width="15" style="445" customWidth="1"/>
    <col min="15910" max="15910" width="1.7109375" style="445" customWidth="1"/>
    <col min="15911" max="15911" width="5.7109375" style="445" customWidth="1"/>
    <col min="15912" max="15912" width="5.85546875" style="445" customWidth="1"/>
    <col min="15913" max="15913" width="10.7109375" style="445" customWidth="1"/>
    <col min="15914" max="16147" width="10.85546875" style="445"/>
    <col min="16148" max="16148" width="17.42578125" style="445" customWidth="1"/>
    <col min="16149" max="16149" width="10.7109375" style="445" customWidth="1"/>
    <col min="16150" max="16150" width="5.7109375" style="445" customWidth="1"/>
    <col min="16151" max="16151" width="5.85546875" style="445" customWidth="1"/>
    <col min="16152" max="16152" width="1.7109375" style="445" customWidth="1"/>
    <col min="16153" max="16154" width="6.7109375" style="445" customWidth="1"/>
    <col min="16155" max="16155" width="40.7109375" style="445" customWidth="1"/>
    <col min="16156" max="16156" width="9.7109375" style="445" customWidth="1"/>
    <col min="16157" max="16157" width="11.7109375" style="445" customWidth="1"/>
    <col min="16158" max="16159" width="14.7109375" style="445" customWidth="1"/>
    <col min="16160" max="16160" width="11.7109375" style="445" customWidth="1"/>
    <col min="16161" max="16162" width="6.7109375" style="445" customWidth="1"/>
    <col min="16163" max="16163" width="9.7109375" style="445" customWidth="1"/>
    <col min="16164" max="16164" width="27.42578125" style="445" customWidth="1"/>
    <col min="16165" max="16165" width="15" style="445" customWidth="1"/>
    <col min="16166" max="16166" width="1.7109375" style="445" customWidth="1"/>
    <col min="16167" max="16167" width="5.7109375" style="445" customWidth="1"/>
    <col min="16168" max="16168" width="5.85546875" style="445" customWidth="1"/>
    <col min="16169" max="16169" width="10.7109375" style="445" customWidth="1"/>
    <col min="16170" max="16384" width="10.85546875" style="445"/>
  </cols>
  <sheetData>
    <row r="1" spans="1:72" ht="45.75">
      <c r="A1" s="560" t="s">
        <v>2050</v>
      </c>
      <c r="B1" s="441"/>
      <c r="C1" s="442"/>
      <c r="D1" s="43" t="s">
        <v>0</v>
      </c>
      <c r="E1" s="43"/>
      <c r="F1" s="43"/>
      <c r="G1" s="43"/>
      <c r="H1" s="43"/>
      <c r="I1" s="43"/>
      <c r="J1" s="43"/>
      <c r="K1" s="43"/>
      <c r="L1" s="43"/>
      <c r="M1" s="443"/>
      <c r="N1" s="443"/>
      <c r="O1" s="443"/>
      <c r="P1" s="443"/>
      <c r="Q1" s="443"/>
      <c r="R1" s="443"/>
      <c r="S1" s="443"/>
      <c r="T1" s="443"/>
      <c r="U1" s="443"/>
      <c r="V1" s="443"/>
      <c r="W1" s="444"/>
      <c r="AB1" s="445">
        <f>SUM(Steuerung!X2)</f>
        <v>1</v>
      </c>
    </row>
    <row r="2" spans="1:72" ht="21.75">
      <c r="A2" s="560"/>
      <c r="B2" s="448"/>
      <c r="D2" s="30" t="s">
        <v>1</v>
      </c>
      <c r="E2" s="31"/>
      <c r="F2" s="31"/>
      <c r="G2" s="31"/>
      <c r="H2" s="31"/>
      <c r="I2" s="31"/>
      <c r="J2" s="31"/>
      <c r="K2" s="31"/>
      <c r="L2" s="31"/>
    </row>
    <row r="3" spans="1:72" ht="21.75">
      <c r="A3" s="159"/>
      <c r="D3" s="30" t="s">
        <v>2</v>
      </c>
      <c r="E3" s="31"/>
      <c r="F3" s="31"/>
      <c r="G3" s="31"/>
      <c r="H3" s="31"/>
      <c r="I3" s="31"/>
      <c r="J3" s="31"/>
      <c r="K3" s="31"/>
      <c r="L3" s="31"/>
    </row>
    <row r="4" spans="1:72" ht="21.75">
      <c r="A4" s="449"/>
      <c r="D4" s="30" t="s">
        <v>3</v>
      </c>
      <c r="E4" s="31"/>
      <c r="F4" s="31"/>
      <c r="G4" s="31"/>
      <c r="H4" s="31"/>
      <c r="I4" s="31"/>
      <c r="J4" s="31"/>
      <c r="K4" s="31"/>
      <c r="L4" s="31"/>
    </row>
    <row r="5" spans="1:72" ht="21.75">
      <c r="A5" s="449"/>
      <c r="D5" s="30" t="s">
        <v>4</v>
      </c>
      <c r="E5" s="31"/>
      <c r="F5" s="31"/>
      <c r="G5" s="31"/>
      <c r="H5" s="31"/>
      <c r="I5" s="31"/>
      <c r="J5" s="31"/>
      <c r="K5" s="31"/>
      <c r="L5" s="31"/>
    </row>
    <row r="6" spans="1:72" ht="2.1" customHeight="1">
      <c r="A6" s="449"/>
    </row>
    <row r="7" spans="1:72" ht="2.1" customHeight="1">
      <c r="A7" s="449"/>
    </row>
    <row r="8" spans="1:72" ht="2.1" customHeight="1">
      <c r="A8" s="449"/>
    </row>
    <row r="9" spans="1:72" ht="2.1" customHeight="1">
      <c r="A9" s="449"/>
      <c r="W9" s="450"/>
    </row>
    <row r="10" spans="1:72">
      <c r="A10" s="451"/>
      <c r="B10" s="452"/>
      <c r="C10" s="453"/>
      <c r="D10" s="454"/>
      <c r="E10" s="454"/>
      <c r="F10" s="454"/>
      <c r="G10" s="454"/>
      <c r="H10" s="454"/>
      <c r="I10" s="454" t="s">
        <v>850</v>
      </c>
      <c r="J10" s="454"/>
      <c r="K10" s="454"/>
      <c r="L10" s="454"/>
      <c r="M10" s="454"/>
      <c r="N10" s="454"/>
      <c r="O10" s="454"/>
      <c r="P10" s="454"/>
      <c r="Q10" s="454"/>
      <c r="R10" s="454"/>
      <c r="S10" s="454"/>
      <c r="T10" s="454"/>
      <c r="U10" s="454"/>
      <c r="V10" s="454"/>
      <c r="W10" s="455"/>
      <c r="X10" s="452"/>
      <c r="Y10" s="452"/>
      <c r="Z10" s="452"/>
      <c r="AA10" s="452"/>
      <c r="AD10" s="452"/>
      <c r="AE10" s="452"/>
      <c r="AF10" s="452"/>
      <c r="AG10" s="452"/>
    </row>
    <row r="11" spans="1:72" s="457" customFormat="1" ht="20.100000000000001" customHeight="1">
      <c r="A11" s="456"/>
      <c r="G11" s="458" t="s">
        <v>851</v>
      </c>
      <c r="H11" s="459"/>
      <c r="I11" s="160" t="str">
        <f>REPT(Sprache!K52,1)</f>
        <v>MANNSCHAFTSMEISTERSCHAFT</v>
      </c>
      <c r="J11" s="160"/>
      <c r="K11" s="460"/>
      <c r="L11" s="457" t="s">
        <v>852</v>
      </c>
      <c r="M11" s="457" t="s">
        <v>853</v>
      </c>
      <c r="N11" s="458" t="str">
        <f>REPT(Sprache!K55,1)</f>
        <v>Nr.:</v>
      </c>
      <c r="O11" s="459"/>
      <c r="P11" s="461" t="str">
        <f>REPT(Steuerung!AF2,1)</f>
        <v>2425R10?</v>
      </c>
      <c r="Q11" s="459"/>
      <c r="R11" s="622"/>
      <c r="S11" s="623"/>
      <c r="W11" s="456"/>
      <c r="AB11" s="462"/>
      <c r="AC11" s="462"/>
      <c r="AH11" s="462"/>
      <c r="AI11" s="462"/>
      <c r="AJ11" s="462"/>
      <c r="AK11" s="462"/>
      <c r="AL11" s="462"/>
      <c r="AM11" s="462"/>
      <c r="AN11" s="462"/>
      <c r="AO11" s="462"/>
      <c r="AP11" s="462"/>
      <c r="AQ11" s="462"/>
      <c r="AR11" s="462"/>
      <c r="AS11" s="462"/>
      <c r="AT11" s="462"/>
      <c r="AU11" s="462"/>
      <c r="AV11" s="462"/>
      <c r="AW11" s="462"/>
      <c r="AX11" s="462"/>
      <c r="AY11" s="462"/>
      <c r="AZ11" s="462"/>
      <c r="BA11" s="462"/>
      <c r="BB11" s="462"/>
      <c r="BC11" s="462"/>
      <c r="BD11" s="462"/>
      <c r="BE11" s="462"/>
      <c r="BF11" s="462"/>
      <c r="BG11" s="462"/>
      <c r="BH11" s="462"/>
      <c r="BI11" s="463"/>
      <c r="BJ11" s="464"/>
      <c r="BK11" s="462"/>
      <c r="BL11" s="462"/>
      <c r="BM11" s="463"/>
      <c r="BN11" s="464"/>
      <c r="BO11" s="462"/>
      <c r="BP11" s="462"/>
      <c r="BQ11" s="462"/>
      <c r="BR11" s="462"/>
      <c r="BS11" s="462"/>
      <c r="BT11" s="462"/>
    </row>
    <row r="12" spans="1:72">
      <c r="A12" s="451"/>
      <c r="B12" s="452"/>
      <c r="C12" s="452"/>
      <c r="D12" s="452"/>
      <c r="E12" s="452"/>
      <c r="F12" s="452"/>
      <c r="G12" s="452">
        <v>1</v>
      </c>
      <c r="H12" s="452"/>
      <c r="I12" s="452" t="s">
        <v>854</v>
      </c>
      <c r="J12" s="452"/>
      <c r="K12" s="452"/>
      <c r="L12" s="452" t="s">
        <v>855</v>
      </c>
      <c r="M12" s="452" t="s">
        <v>856</v>
      </c>
      <c r="N12" s="452"/>
      <c r="O12" s="452"/>
      <c r="P12" s="452"/>
      <c r="Q12" s="452"/>
      <c r="R12" s="452"/>
      <c r="S12" s="452"/>
      <c r="T12" s="452"/>
      <c r="U12" s="452"/>
      <c r="V12" s="452"/>
      <c r="W12" s="451"/>
      <c r="X12" s="452"/>
      <c r="Y12" s="452"/>
      <c r="Z12" s="452"/>
      <c r="AA12" s="452"/>
      <c r="AD12" s="452"/>
      <c r="AE12" s="452"/>
      <c r="AF12" s="452"/>
      <c r="AG12" s="452"/>
    </row>
    <row r="13" spans="1:72">
      <c r="A13" s="451"/>
      <c r="B13" s="452"/>
      <c r="C13" s="452"/>
      <c r="D13" s="452"/>
      <c r="E13" s="452"/>
      <c r="F13" s="452"/>
      <c r="G13" s="86" t="str">
        <f>REPT(Sprache!K34,1)</f>
        <v>Heimmannschaft</v>
      </c>
      <c r="H13" s="87"/>
      <c r="I13" s="87"/>
      <c r="J13" s="88"/>
      <c r="K13" s="89"/>
      <c r="L13" s="97" t="str">
        <f>REPT(Sprache!K54,1)</f>
        <v>LIGA</v>
      </c>
      <c r="M13" s="465"/>
      <c r="N13" s="82"/>
      <c r="O13" s="86"/>
      <c r="P13" s="87"/>
      <c r="Q13" s="87"/>
      <c r="R13" s="624" t="str">
        <f>REPT(Sprache!$K$31,1)</f>
        <v>Gastmannschaft</v>
      </c>
      <c r="S13" s="625"/>
      <c r="T13" s="89"/>
      <c r="U13" s="82"/>
      <c r="V13" s="82"/>
      <c r="W13" s="451"/>
      <c r="X13" s="452"/>
      <c r="Y13" s="452"/>
      <c r="Z13" s="452"/>
      <c r="AA13" s="452"/>
      <c r="AD13" s="452"/>
      <c r="AE13" s="452"/>
      <c r="AF13" s="452"/>
      <c r="AG13" s="452"/>
    </row>
    <row r="14" spans="1:72" ht="21.95" customHeight="1">
      <c r="A14" s="451"/>
      <c r="B14" s="452"/>
      <c r="C14" s="452"/>
      <c r="D14" s="452"/>
      <c r="E14" s="452"/>
      <c r="F14" s="452"/>
      <c r="G14" s="92">
        <f>SUM('Heimmannschaft MAISON'!G3)</f>
        <v>0</v>
      </c>
      <c r="H14" s="93"/>
      <c r="I14" s="466" t="str">
        <f>REPT('Heimmannschaft MAISON'!I3,1)</f>
        <v>select Heim - Team</v>
      </c>
      <c r="J14" s="467"/>
      <c r="K14" s="89"/>
      <c r="L14" s="468" t="str">
        <f>REPT(Steuerung!Y2,1)</f>
        <v>?</v>
      </c>
      <c r="M14" s="469"/>
      <c r="N14" s="82"/>
      <c r="O14" s="153">
        <f>SUM('Gastmannschaft EXTERIEUR'!$G$3)</f>
        <v>0</v>
      </c>
      <c r="P14" s="154"/>
      <c r="Q14" s="617" t="str">
        <f>REPT('Gastmannschaft EXTERIEUR'!$I$3,1)</f>
        <v>Gast</v>
      </c>
      <c r="R14" s="618"/>
      <c r="S14" s="619"/>
      <c r="T14" s="89"/>
      <c r="U14" s="82"/>
      <c r="V14" s="82"/>
      <c r="W14" s="451"/>
      <c r="X14" s="452"/>
      <c r="Y14" s="452"/>
      <c r="Z14" s="452"/>
      <c r="AA14" s="452"/>
      <c r="AD14" s="452"/>
      <c r="AE14" s="452"/>
      <c r="AF14" s="452"/>
      <c r="AG14" s="452"/>
      <c r="BJ14" s="470"/>
    </row>
    <row r="15" spans="1:72" ht="3" customHeight="1">
      <c r="A15" s="451"/>
      <c r="B15" s="452"/>
      <c r="C15" s="452"/>
      <c r="D15" s="452"/>
      <c r="E15" s="452"/>
      <c r="F15" s="452"/>
      <c r="G15" s="91"/>
      <c r="H15" s="89"/>
      <c r="I15" s="89"/>
      <c r="J15" s="89"/>
      <c r="K15" s="89"/>
      <c r="L15" s="82"/>
      <c r="M15" s="82"/>
      <c r="N15" s="82"/>
      <c r="O15" s="91"/>
      <c r="P15" s="89"/>
      <c r="Q15" s="89"/>
      <c r="R15" s="89"/>
      <c r="S15" s="89"/>
      <c r="T15" s="89"/>
      <c r="U15" s="82"/>
      <c r="V15" s="82"/>
      <c r="W15" s="451"/>
      <c r="X15" s="452"/>
      <c r="Y15" s="452"/>
      <c r="Z15" s="452"/>
      <c r="AA15" s="452"/>
      <c r="AD15" s="452"/>
      <c r="AE15" s="452"/>
      <c r="AF15" s="452"/>
      <c r="AG15" s="452"/>
    </row>
    <row r="16" spans="1:72" ht="18" customHeight="1">
      <c r="A16" s="451"/>
      <c r="B16" s="452"/>
      <c r="C16" s="452"/>
      <c r="D16" s="452"/>
      <c r="E16" s="452"/>
      <c r="F16" s="452"/>
      <c r="G16" s="471" t="s">
        <v>857</v>
      </c>
      <c r="H16" s="98"/>
      <c r="I16" s="472" t="str">
        <f>REPT(Sprache!$K$33,1)</f>
        <v>Name / Vorname</v>
      </c>
      <c r="J16" s="473"/>
      <c r="K16" s="474" t="s">
        <v>858</v>
      </c>
      <c r="L16" s="626" t="str">
        <f>REPT(Sprache!K53,1)</f>
        <v>RESULTAT</v>
      </c>
      <c r="M16" s="627"/>
      <c r="N16" s="474" t="s">
        <v>858</v>
      </c>
      <c r="O16" s="475" t="s">
        <v>857</v>
      </c>
      <c r="P16" s="476"/>
      <c r="Q16" s="477" t="str">
        <f>REPT(Sprache!$K$33,1)</f>
        <v>Name / Vorname</v>
      </c>
      <c r="R16" s="478"/>
      <c r="S16" s="479"/>
      <c r="T16" s="91"/>
      <c r="U16" s="82"/>
      <c r="V16" s="82"/>
      <c r="W16" s="451"/>
      <c r="X16" s="452"/>
      <c r="Y16" s="452"/>
      <c r="Z16" s="452"/>
      <c r="AA16" s="452"/>
      <c r="AB16" s="445" t="s">
        <v>845</v>
      </c>
      <c r="AD16" s="445" t="s">
        <v>960</v>
      </c>
      <c r="AF16" s="445" t="s">
        <v>959</v>
      </c>
      <c r="AH16" s="445" t="s">
        <v>842</v>
      </c>
      <c r="AO16" s="445" t="s">
        <v>7</v>
      </c>
      <c r="AP16" s="445" t="s">
        <v>12</v>
      </c>
      <c r="AR16" s="445" t="s">
        <v>962</v>
      </c>
      <c r="BI16" s="446" t="str">
        <f>IF('Heimmannschaft MAISON'!G7="x",1,"")</f>
        <v/>
      </c>
      <c r="BJ16" s="470"/>
      <c r="BM16" s="446" t="str">
        <f>IF('Gastmannschaft EXTERIEUR'!G7="x",1,"")</f>
        <v/>
      </c>
      <c r="BR16" s="480">
        <f>SUM(BI16,BM16)</f>
        <v>0</v>
      </c>
    </row>
    <row r="17" spans="1:78" ht="9.9499999999999993" customHeight="1">
      <c r="A17" s="451"/>
      <c r="B17" s="452"/>
      <c r="C17" s="452"/>
      <c r="D17" s="452"/>
      <c r="E17" s="452"/>
      <c r="F17" s="452"/>
      <c r="G17" s="91"/>
      <c r="H17" s="91"/>
      <c r="I17" s="91"/>
      <c r="J17" s="91"/>
      <c r="K17" s="91"/>
      <c r="L17" s="82"/>
      <c r="M17" s="82"/>
      <c r="N17" s="82"/>
      <c r="O17" s="91"/>
      <c r="P17" s="91"/>
      <c r="Q17" s="91"/>
      <c r="R17" s="91"/>
      <c r="S17" s="91"/>
      <c r="T17" s="91"/>
      <c r="U17" s="82"/>
      <c r="V17" s="82"/>
      <c r="W17" s="451"/>
      <c r="X17" s="452"/>
      <c r="Y17" s="452"/>
      <c r="Z17" s="452"/>
      <c r="AA17" s="452"/>
      <c r="AB17" s="445" t="s">
        <v>961</v>
      </c>
      <c r="AC17" s="445" t="s">
        <v>863</v>
      </c>
      <c r="AD17" s="445" t="s">
        <v>961</v>
      </c>
      <c r="AE17" s="445" t="s">
        <v>863</v>
      </c>
      <c r="AF17" s="445" t="s">
        <v>961</v>
      </c>
      <c r="AG17" s="445" t="s">
        <v>863</v>
      </c>
      <c r="AH17" s="445" t="s">
        <v>961</v>
      </c>
      <c r="AI17" s="445" t="s">
        <v>863</v>
      </c>
      <c r="AK17" s="445" t="s">
        <v>961</v>
      </c>
      <c r="AL17" s="445" t="s">
        <v>863</v>
      </c>
      <c r="AR17" s="445" t="s">
        <v>7</v>
      </c>
      <c r="AS17" s="445" t="s">
        <v>12</v>
      </c>
      <c r="AV17" s="445" t="s">
        <v>1123</v>
      </c>
      <c r="AW17" s="445" t="s">
        <v>1124</v>
      </c>
      <c r="AX17" s="445" t="s">
        <v>983</v>
      </c>
      <c r="AY17" s="445" t="s">
        <v>984</v>
      </c>
      <c r="AZ17" s="445" t="s">
        <v>988</v>
      </c>
      <c r="BA17" s="445" t="s">
        <v>987</v>
      </c>
      <c r="BB17" s="445" t="s">
        <v>1114</v>
      </c>
      <c r="BC17" s="445" t="s">
        <v>1115</v>
      </c>
      <c r="BI17" s="446" t="s">
        <v>1119</v>
      </c>
      <c r="BJ17" s="447" t="s">
        <v>1122</v>
      </c>
      <c r="BK17" s="445" t="s">
        <v>1120</v>
      </c>
      <c r="BL17" s="445" t="s">
        <v>1121</v>
      </c>
      <c r="BM17" s="446" t="s">
        <v>1119</v>
      </c>
      <c r="BN17" s="447" t="s">
        <v>1122</v>
      </c>
      <c r="BO17" s="445" t="s">
        <v>1120</v>
      </c>
      <c r="BP17" s="445" t="s">
        <v>1121</v>
      </c>
      <c r="BR17" s="445" t="s">
        <v>1127</v>
      </c>
      <c r="BV17" s="445" t="s">
        <v>1125</v>
      </c>
      <c r="BW17" s="445" t="s">
        <v>1126</v>
      </c>
      <c r="BY17" s="445" t="s">
        <v>1128</v>
      </c>
      <c r="BZ17" s="445" t="s">
        <v>1129</v>
      </c>
    </row>
    <row r="18" spans="1:78" ht="18" customHeight="1">
      <c r="A18" s="452"/>
      <c r="B18" s="452"/>
      <c r="C18" s="452"/>
      <c r="D18" s="452"/>
      <c r="E18" s="452"/>
      <c r="F18" s="452"/>
      <c r="G18" s="458" t="str">
        <f>REPT('Heimmannschaft MAISON'!I11,1)</f>
        <v>Erste Runde Einzel</v>
      </c>
      <c r="H18" s="87"/>
      <c r="I18" s="87"/>
      <c r="J18" s="87"/>
      <c r="K18" s="88"/>
      <c r="L18" s="82" t="s">
        <v>859</v>
      </c>
      <c r="M18" s="82" t="s">
        <v>860</v>
      </c>
      <c r="N18" s="481"/>
      <c r="O18" s="482">
        <f>SUM(P18)/100</f>
        <v>0</v>
      </c>
      <c r="P18" s="482">
        <f>SUM(O14)</f>
        <v>0</v>
      </c>
      <c r="Q18" s="483"/>
      <c r="R18" s="620" t="str">
        <f>REPT('Heimmannschaft MAISON'!I11,1)</f>
        <v>Erste Runde Einzel</v>
      </c>
      <c r="S18" s="621"/>
      <c r="T18" s="91"/>
      <c r="U18" s="82"/>
      <c r="V18" s="82"/>
      <c r="W18" s="451"/>
      <c r="X18" s="452"/>
      <c r="Y18" s="452"/>
      <c r="Z18" s="452"/>
      <c r="AA18" s="452"/>
      <c r="AT18" s="445" t="str">
        <f>REPT(Sprache!K12,1)</f>
        <v>SPIEL</v>
      </c>
      <c r="AU18" s="445" t="s">
        <v>254</v>
      </c>
    </row>
    <row r="19" spans="1:78" ht="9.9499999999999993" customHeight="1">
      <c r="A19" s="452"/>
      <c r="B19" s="452"/>
      <c r="C19" s="452"/>
      <c r="D19" s="452"/>
      <c r="E19" s="452"/>
      <c r="F19" s="452"/>
      <c r="G19" s="91"/>
      <c r="H19" s="91"/>
      <c r="I19" s="91"/>
      <c r="J19" s="91"/>
      <c r="K19" s="91"/>
      <c r="L19" s="82"/>
      <c r="M19" s="82"/>
      <c r="N19" s="82"/>
      <c r="O19" s="91"/>
      <c r="P19" s="91"/>
      <c r="Q19" s="91"/>
      <c r="R19" s="91"/>
      <c r="S19" s="91"/>
      <c r="T19" s="91"/>
      <c r="U19" s="82"/>
      <c r="V19" s="82"/>
      <c r="W19" s="451"/>
      <c r="X19" s="452"/>
      <c r="Y19" s="452"/>
      <c r="Z19" s="452"/>
      <c r="AA19" s="452"/>
    </row>
    <row r="20" spans="1:78" s="452" customFormat="1" ht="20.100000000000001" customHeight="1">
      <c r="B20" s="484" t="str">
        <f>REPT(AT20,1)</f>
        <v>SPIEL 1</v>
      </c>
      <c r="C20" s="445"/>
      <c r="D20" s="485" t="str">
        <f>IF(AI20=0,"",CONCATENATE(AM20,AJ20))</f>
        <v>HS</v>
      </c>
      <c r="E20" s="486">
        <f>IF(AO20="*",AQ20,AL20)</f>
        <v>1.1000000000000001</v>
      </c>
      <c r="G20" s="633" t="str">
        <f>REPT('Heimmannschaft MAISON'!AO13,1)</f>
        <v/>
      </c>
      <c r="H20" s="634"/>
      <c r="I20" s="487" t="str">
        <f>REPT('Heimmannschaft MAISON'!I13,1)</f>
        <v/>
      </c>
      <c r="J20" s="488"/>
      <c r="K20" s="489" t="str">
        <f>IF(AX20="","",AX20)</f>
        <v/>
      </c>
      <c r="L20" s="490" t="str">
        <f>IF(BH20=1,BW20,IF(AV20="","",AV20))</f>
        <v/>
      </c>
      <c r="M20" s="490" t="str">
        <f>IF(BH20=1,BZ20,IF(AW20="","",AW20))</f>
        <v/>
      </c>
      <c r="N20" s="489" t="str">
        <f>IF(AY20="","",AY20)</f>
        <v/>
      </c>
      <c r="O20" s="630" t="str">
        <f>REPT('Gastmannschaft EXTERIEUR'!AO13,1)</f>
        <v/>
      </c>
      <c r="P20" s="631"/>
      <c r="Q20" s="487" t="str">
        <f>REPT('Gastmannschaft EXTERIEUR'!I13,1)</f>
        <v/>
      </c>
      <c r="R20" s="491"/>
      <c r="S20" s="488"/>
      <c r="U20" s="485" t="str">
        <f>IF(AI20=0,"",CONCATENATE(AN20,AJ20))</f>
        <v>GS</v>
      </c>
      <c r="V20" s="486">
        <f>IF(AP20="*",AQ20,AL20)</f>
        <v>1.1000000000000001</v>
      </c>
      <c r="W20" s="451"/>
      <c r="AB20" s="445">
        <v>1</v>
      </c>
      <c r="AC20" s="445">
        <v>1</v>
      </c>
      <c r="AD20" s="445">
        <v>1</v>
      </c>
      <c r="AE20" s="445">
        <v>1</v>
      </c>
      <c r="AF20" s="445">
        <v>1</v>
      </c>
      <c r="AG20" s="445">
        <v>1</v>
      </c>
      <c r="AH20" s="445">
        <f>IF($AB$1=3,AF20,IF($AB$1=2,AD20,IF($AB$1=1,AB20,"")))</f>
        <v>1</v>
      </c>
      <c r="AI20" s="445">
        <f>IF($AB$1=3,AG20,IF($AB$1=2,AE20,IF($AB$1=1,AC20,"")))</f>
        <v>1</v>
      </c>
      <c r="AJ20" s="166" t="str">
        <f>IF(AH20="","",VLOOKUP(AH20,Chema!AJ:AL,2,FALSE))</f>
        <v>S</v>
      </c>
      <c r="AK20" s="166">
        <f>IF(AH20="","",VLOOKUP(AH20,Chema!AJ:AL,3,FALSE))</f>
        <v>1.1000000000000001</v>
      </c>
      <c r="AL20" s="166">
        <f>IF(AI20=0,"",IF(AI20="","",VLOOKUP(AI20,Chema!R:T,3,FALSE)))</f>
        <v>1.1000000000000001</v>
      </c>
      <c r="AM20" s="166" t="s">
        <v>894</v>
      </c>
      <c r="AN20" s="445" t="s">
        <v>895</v>
      </c>
      <c r="AO20" s="492" t="str">
        <f>IF(AU20="","",VLOOKUP(AU20,Average!HN:HT,6,FALSE))</f>
        <v/>
      </c>
      <c r="AP20" s="492" t="str">
        <f>IF(AU20="","",VLOOKUP(AU20,Average!HN:HT,7,FALSE))</f>
        <v/>
      </c>
      <c r="AQ20" s="445" t="str">
        <f>IF(AI20=0,"",VLOOKUP(AI20,Chema!BL:BQ,6,FALSE))</f>
        <v>1.1*</v>
      </c>
      <c r="AR20" s="445" t="str">
        <f>IF(AH20="","",VLOOKUP(AH20,'Heimmannschaft MAISON'!AB:AO,14,FALSE))</f>
        <v/>
      </c>
      <c r="AS20" s="445" t="str">
        <f>IF(AH20="","",VLOOKUP(AH20,'Gastmannschaft EXTERIEUR'!AB:AO,14,FALSE))</f>
        <v/>
      </c>
      <c r="AT20" s="445" t="str">
        <f>IF(AI20=0,"",CONCATENATE($AT$18," ",AI20))</f>
        <v>SPIEL 1</v>
      </c>
      <c r="AU20" s="445" t="str">
        <f>IF(AI20=0,"",CONCATENATE($AU$18," ",AI20))</f>
        <v>SPIEL 1</v>
      </c>
      <c r="AV20" s="445" t="str">
        <f>IF(BC20=1,"",IF(AU20="","",VLOOKUP(AU20,Average!HN:HP,2,FALSE)))</f>
        <v/>
      </c>
      <c r="AW20" s="445" t="str">
        <f>IF(BB20=1,"",IF(AU20="","",VLOOKUP(AU20,Average!HN:HP,3,FALSE)))</f>
        <v/>
      </c>
      <c r="AX20" s="445" t="str">
        <f>IFERROR(IF(AU20="","",VLOOKUP(AU20,Average!HN:HQ,4,FALSE)),"")</f>
        <v/>
      </c>
      <c r="AY20" s="445" t="str">
        <f>IFERROR(IF(AU20="","",VLOOKUP(AU20,Average!HN:HR,5,FALSE)),"")</f>
        <v/>
      </c>
      <c r="AZ20" s="445">
        <f>IF(BC20=1,"",IF(AU20="","",VLOOKUP(AU20,Average!HN:HV,8,FALSE)))</f>
        <v>0</v>
      </c>
      <c r="BA20" s="445">
        <f>IF(BB20=1,"",IF(AU20="","",VLOOKUP(AU20,Average!HN:HV,9,FALSE)))</f>
        <v>0</v>
      </c>
      <c r="BB20" s="445">
        <f>IF(AU20="","",IF(I20="FORFAIT",1,0))</f>
        <v>0</v>
      </c>
      <c r="BC20" s="445">
        <f>IF(AU20="","",IF(Q20="FORFAIT",1,0))</f>
        <v>0</v>
      </c>
      <c r="BD20" s="445" t="str">
        <f>IF(AR20="","",RANK(AR20,$AR$20:$AR$122,1))</f>
        <v/>
      </c>
      <c r="BE20" s="445" t="str">
        <f>IF(AH20="","",VLOOKUP(AH20,'Heimmannschaft MAISON'!AB:AO,14,FALSE))</f>
        <v/>
      </c>
      <c r="BF20" s="445" t="str">
        <f>IF(AS20="","",RANK(AS20,$AS$20:$AS$122,1))</f>
        <v/>
      </c>
      <c r="BG20" s="445" t="str">
        <f>IF(AH20="","",VLOOKUP(AH20,'Gastmannschaft EXTERIEUR'!AB:AO,14,FALSE))</f>
        <v/>
      </c>
      <c r="BH20" s="445">
        <f>IFERROR(IF(BB20+BC20&gt;0,1,0),0)</f>
        <v>0</v>
      </c>
      <c r="BI20" s="446">
        <f>IF(AU20="","",IF(BC20=1,1,0))</f>
        <v>0</v>
      </c>
      <c r="BJ20" s="447">
        <f>IF(AU20="","",IF(BI20=1,SUM(BK20,BL20),0))</f>
        <v>0</v>
      </c>
      <c r="BK20" s="445">
        <f>IF(AJ20="S",IF($AB$1=1,3,2),0)</f>
        <v>3</v>
      </c>
      <c r="BL20" s="445">
        <f>IF(AJ20="D",2,0)</f>
        <v>0</v>
      </c>
      <c r="BM20" s="446">
        <f>IF(AU20="","",IF(BB20=1,1,0))</f>
        <v>0</v>
      </c>
      <c r="BN20" s="447">
        <f>IF(AU20="","",IF(BM20=1,SUM(BO20,BP20),0))</f>
        <v>0</v>
      </c>
      <c r="BO20" s="445">
        <f>IF(AJ20="S",IF($AB$1=1,3,2),0)</f>
        <v>3</v>
      </c>
      <c r="BP20" s="445">
        <f>IF(AJ20="D",2,0)</f>
        <v>0</v>
      </c>
      <c r="BQ20" s="445"/>
      <c r="BR20" s="445"/>
      <c r="BS20" s="445"/>
      <c r="BT20" s="445"/>
      <c r="BV20" s="445">
        <f>IF(AU20="","",SUM(AZ20,BI20))</f>
        <v>0</v>
      </c>
      <c r="BW20" s="445">
        <f>IF(AU20="","",SUM(AV20,BJ20))</f>
        <v>0</v>
      </c>
      <c r="BY20" s="445">
        <f>IF(AU20="","",SUM(BA20,BM20))</f>
        <v>0</v>
      </c>
      <c r="BZ20" s="445">
        <f>IF(AU20="","",SUM(AW20,BN20))</f>
        <v>0</v>
      </c>
    </row>
    <row r="21" spans="1:78" s="452" customFormat="1" ht="5.0999999999999996" customHeight="1">
      <c r="W21" s="451"/>
      <c r="AB21" s="445"/>
      <c r="AC21" s="445"/>
      <c r="AD21" s="445"/>
      <c r="AE21" s="445"/>
      <c r="AF21" s="445"/>
      <c r="AG21" s="445"/>
      <c r="AH21" s="445"/>
      <c r="AI21" s="445"/>
      <c r="AJ21" s="445"/>
      <c r="AK21" s="445"/>
      <c r="AL21" s="445"/>
      <c r="AM21" s="445"/>
      <c r="AN21" s="445"/>
      <c r="AO21" s="492"/>
      <c r="AP21" s="492"/>
      <c r="AQ21" s="445"/>
      <c r="AS21" s="445"/>
      <c r="AT21" s="445"/>
      <c r="AU21" s="445"/>
      <c r="AV21" s="445"/>
      <c r="AW21" s="445"/>
      <c r="AX21" s="445"/>
      <c r="AY21" s="445"/>
      <c r="AZ21" s="445"/>
      <c r="BA21" s="445"/>
      <c r="BB21" s="445"/>
      <c r="BC21" s="445"/>
      <c r="BD21" s="445"/>
      <c r="BE21" s="445"/>
      <c r="BF21" s="445"/>
      <c r="BG21" s="445"/>
      <c r="BH21" s="445"/>
      <c r="BI21" s="446"/>
      <c r="BJ21" s="447"/>
      <c r="BK21" s="445"/>
      <c r="BL21" s="445"/>
      <c r="BM21" s="446"/>
      <c r="BN21" s="447"/>
      <c r="BO21" s="445"/>
      <c r="BP21" s="445"/>
      <c r="BQ21" s="445"/>
      <c r="BR21" s="445"/>
      <c r="BS21" s="445"/>
      <c r="BT21" s="445"/>
    </row>
    <row r="22" spans="1:78" s="452" customFormat="1" ht="20.100000000000001" customHeight="1">
      <c r="B22" s="484" t="str">
        <f>REPT(AT22,1)</f>
        <v>SPIEL 2</v>
      </c>
      <c r="D22" s="485" t="str">
        <f>IF(AI22=0,"",CONCATENATE(AM22,AJ22))</f>
        <v>HS</v>
      </c>
      <c r="E22" s="486">
        <f>IF(AO22="*",AQ22,AL22)</f>
        <v>1.2</v>
      </c>
      <c r="G22" s="633" t="str">
        <f>REPT('Heimmannschaft MAISON'!AO15,1)</f>
        <v/>
      </c>
      <c r="H22" s="634"/>
      <c r="I22" s="487" t="str">
        <f>REPT('Heimmannschaft MAISON'!I15,1)</f>
        <v/>
      </c>
      <c r="J22" s="488"/>
      <c r="K22" s="489" t="str">
        <f>IF(AX22="","",AX22)</f>
        <v/>
      </c>
      <c r="L22" s="490" t="str">
        <f>IF(BH22=1,BW22,IF(AV22="","",AV22))</f>
        <v/>
      </c>
      <c r="M22" s="490" t="str">
        <f>IF(BH22=1,BZ22,IF(AW22="","",AW22))</f>
        <v/>
      </c>
      <c r="N22" s="489" t="str">
        <f>IF(AY22="","",AY22)</f>
        <v/>
      </c>
      <c r="O22" s="630" t="str">
        <f>REPT('Gastmannschaft EXTERIEUR'!AO15,1)</f>
        <v/>
      </c>
      <c r="P22" s="631"/>
      <c r="Q22" s="487" t="str">
        <f>REPT('Gastmannschaft EXTERIEUR'!I15,1)</f>
        <v/>
      </c>
      <c r="R22" s="491"/>
      <c r="S22" s="488"/>
      <c r="U22" s="485" t="str">
        <f>IF(AI22=0,"",CONCATENATE(AN22,AJ22))</f>
        <v>GS</v>
      </c>
      <c r="V22" s="486">
        <f>IF(AP22="*",AQ22,AL22)</f>
        <v>1.2</v>
      </c>
      <c r="W22" s="451"/>
      <c r="AB22" s="445">
        <v>2</v>
      </c>
      <c r="AC22" s="445">
        <v>2</v>
      </c>
      <c r="AD22" s="445">
        <v>2</v>
      </c>
      <c r="AE22" s="445"/>
      <c r="AF22" s="445">
        <v>2</v>
      </c>
      <c r="AG22" s="445"/>
      <c r="AH22" s="445">
        <f>IF($AB$1=3,AF22,IF($AB$1=2,AD22,IF($AB$1=1,AB22,"")))</f>
        <v>2</v>
      </c>
      <c r="AI22" s="445">
        <f>IF($AB$1=3,AG22,IF($AB$1=2,AE22,IF($AB$1=1,AC22,"")))</f>
        <v>2</v>
      </c>
      <c r="AJ22" s="166" t="str">
        <f>IF(AH22="","",VLOOKUP(AH22,Chema!AJ:AL,2,FALSE))</f>
        <v>S</v>
      </c>
      <c r="AK22" s="166">
        <f>IF(AH22="","",VLOOKUP(AH22,Chema!AJ:AL,3,FALSE))</f>
        <v>1.2</v>
      </c>
      <c r="AL22" s="166">
        <f>IF(AI22=0,"",IF(AI22="","",VLOOKUP(AI22,Chema!R:T,3,FALSE)))</f>
        <v>1.2</v>
      </c>
      <c r="AM22" s="166" t="s">
        <v>894</v>
      </c>
      <c r="AN22" s="445" t="s">
        <v>895</v>
      </c>
      <c r="AO22" s="492" t="str">
        <f>IF(AU22="","",VLOOKUP(AU22,Average!HN:HT,6,FALSE))</f>
        <v/>
      </c>
      <c r="AP22" s="492" t="str">
        <f>IF(AU22="","",VLOOKUP(AU22,Average!HN:HT,7,FALSE))</f>
        <v/>
      </c>
      <c r="AQ22" s="445" t="str">
        <f>IF(AI22=0,"",VLOOKUP(AI22,Chema!BL:BQ,6,FALSE))</f>
        <v>1.2*</v>
      </c>
      <c r="AR22" s="445" t="str">
        <f>IF(AH22="","",VLOOKUP(AH22,'Heimmannschaft MAISON'!AB:AO,14,FALSE))</f>
        <v/>
      </c>
      <c r="AS22" s="445" t="str">
        <f>IF(AH22="","",VLOOKUP(AH22,'Gastmannschaft EXTERIEUR'!AB:AO,14,FALSE))</f>
        <v/>
      </c>
      <c r="AT22" s="445" t="str">
        <f>IF(AI22=0,"",CONCATENATE($AT$18," ",AI22))</f>
        <v>SPIEL 2</v>
      </c>
      <c r="AU22" s="445" t="str">
        <f>IF(AI22=0,"",CONCATENATE($AU$18," ",AI22))</f>
        <v>SPIEL 2</v>
      </c>
      <c r="AV22" s="445" t="str">
        <f>IF(BC22=1,"",IF(AU22="","",VLOOKUP(AU22,Average!HN:HP,2,FALSE)))</f>
        <v/>
      </c>
      <c r="AW22" s="445" t="str">
        <f>IF(BB22=1,"",IF(AU22="","",VLOOKUP(AU22,Average!HN:HP,3,FALSE)))</f>
        <v/>
      </c>
      <c r="AX22" s="445" t="str">
        <f>IFERROR(IF(AU22="","",VLOOKUP(AU22,Average!HN:HQ,4,FALSE)),"")</f>
        <v/>
      </c>
      <c r="AY22" s="445" t="str">
        <f>IFERROR(IF(AU22="","",VLOOKUP(AU22,Average!HN:HR,5,FALSE)),"")</f>
        <v/>
      </c>
      <c r="AZ22" s="445">
        <f>IF(BC22=1,"",IF(AU22="","",VLOOKUP(AU22,Average!HN:HV,8,FALSE)))</f>
        <v>0</v>
      </c>
      <c r="BA22" s="445">
        <f>IF(BB22=1,"",IF(AU22="","",VLOOKUP(AU22,Average!HN:HV,9,FALSE)))</f>
        <v>0</v>
      </c>
      <c r="BB22" s="445">
        <f>IF(AU22="","",IF(I22="FORFAIT",1,0))</f>
        <v>0</v>
      </c>
      <c r="BC22" s="445">
        <f>IF(AU22="","",IF(Q22="FORFAIT",1,0))</f>
        <v>0</v>
      </c>
      <c r="BD22" s="445" t="str">
        <f>IF(AR22="","",RANK(AR22,$AR$20:$AR$122,1))</f>
        <v/>
      </c>
      <c r="BE22" s="445" t="str">
        <f>IF(AH22="","",VLOOKUP(AH22,'Heimmannschaft MAISON'!AB:AO,14,FALSE))</f>
        <v/>
      </c>
      <c r="BF22" s="445" t="str">
        <f>IF(AS22="","",RANK(AS22,$AS$20:$AS$122,1))</f>
        <v/>
      </c>
      <c r="BG22" s="445" t="str">
        <f>IF(AH22="","",VLOOKUP(AH22,'Gastmannschaft EXTERIEUR'!AB:AO,14,FALSE))</f>
        <v/>
      </c>
      <c r="BH22" s="445">
        <f>IFERROR(IF(BB22+BC22&gt;0,1,0),0)</f>
        <v>0</v>
      </c>
      <c r="BI22" s="446">
        <f>IF(AU22="","",IF(BC22=1,1,0))</f>
        <v>0</v>
      </c>
      <c r="BJ22" s="447">
        <f>IF(AU22="","",IF(BI22=1,SUM(BK22,BL22),0))</f>
        <v>0</v>
      </c>
      <c r="BK22" s="445">
        <f>IF(AJ22="S",IF($AB$1=1,3,2),0)</f>
        <v>3</v>
      </c>
      <c r="BL22" s="445">
        <f>IF(AJ22="D",2,0)</f>
        <v>0</v>
      </c>
      <c r="BM22" s="446">
        <f>IF(AU22="","",IF(BB22=1,1,0))</f>
        <v>0</v>
      </c>
      <c r="BN22" s="447">
        <f>IF(AU22="","",IF(BM22=1,SUM(BO22,BP22),0))</f>
        <v>0</v>
      </c>
      <c r="BO22" s="445">
        <f>IF(AJ22="S",IF($AB$1=1,3,2),0)</f>
        <v>3</v>
      </c>
      <c r="BP22" s="445">
        <f>IF(AJ22="D",2,0)</f>
        <v>0</v>
      </c>
      <c r="BQ22" s="445"/>
      <c r="BR22" s="445"/>
      <c r="BS22" s="445"/>
      <c r="BT22" s="445"/>
      <c r="BV22" s="445">
        <f>IF(AU22="","",SUM(AZ22,BI22))</f>
        <v>0</v>
      </c>
      <c r="BW22" s="445">
        <f>IF(AU22="","",SUM(AV22,BJ22))</f>
        <v>0</v>
      </c>
      <c r="BY22" s="445">
        <f>IF(AU22="","",SUM(BA22,BM22))</f>
        <v>0</v>
      </c>
      <c r="BZ22" s="445">
        <f>IF(AU22="","",SUM(AW22,BN22))</f>
        <v>0</v>
      </c>
    </row>
    <row r="23" spans="1:78" s="452" customFormat="1" ht="5.0999999999999996" customHeight="1">
      <c r="W23" s="451"/>
      <c r="AB23" s="445"/>
      <c r="AC23" s="445"/>
      <c r="AD23" s="445"/>
      <c r="AE23" s="445"/>
      <c r="AF23" s="445"/>
      <c r="AG23" s="445"/>
      <c r="AH23" s="445"/>
      <c r="AI23" s="445"/>
      <c r="AJ23" s="445"/>
      <c r="AK23" s="445"/>
      <c r="AL23" s="445"/>
      <c r="AM23" s="445"/>
      <c r="AN23" s="445"/>
      <c r="AO23" s="492"/>
      <c r="AP23" s="492"/>
      <c r="AQ23" s="445"/>
      <c r="AS23" s="445"/>
      <c r="AT23" s="445"/>
      <c r="AU23" s="445"/>
      <c r="AV23" s="445"/>
      <c r="AW23" s="445"/>
      <c r="AX23" s="445"/>
      <c r="AY23" s="445"/>
      <c r="AZ23" s="445"/>
      <c r="BA23" s="445"/>
      <c r="BB23" s="445"/>
      <c r="BC23" s="445"/>
      <c r="BD23" s="445"/>
      <c r="BE23" s="445"/>
      <c r="BF23" s="445"/>
      <c r="BG23" s="445"/>
      <c r="BH23" s="445"/>
      <c r="BI23" s="446"/>
      <c r="BJ23" s="447"/>
      <c r="BK23" s="445"/>
      <c r="BL23" s="445"/>
      <c r="BM23" s="446"/>
      <c r="BN23" s="447"/>
      <c r="BO23" s="445"/>
      <c r="BP23" s="445"/>
      <c r="BQ23" s="445"/>
      <c r="BR23" s="445"/>
      <c r="BS23" s="445"/>
      <c r="BT23" s="445"/>
    </row>
    <row r="24" spans="1:78" s="452" customFormat="1" ht="20.100000000000001" customHeight="1">
      <c r="B24" s="484" t="str">
        <f>REPT(AT24,1)</f>
        <v>SPIEL 3</v>
      </c>
      <c r="D24" s="485" t="str">
        <f>IF(AI24=0,"",CONCATENATE(AM24,AJ24))</f>
        <v>HS</v>
      </c>
      <c r="E24" s="486">
        <f>IF(AO24="*",AQ24,AL24)</f>
        <v>1.3</v>
      </c>
      <c r="G24" s="633" t="str">
        <f>REPT('Heimmannschaft MAISON'!AO17,1)</f>
        <v/>
      </c>
      <c r="H24" s="634"/>
      <c r="I24" s="487" t="str">
        <f>REPT('Heimmannschaft MAISON'!I17,1)</f>
        <v/>
      </c>
      <c r="J24" s="488"/>
      <c r="K24" s="489" t="str">
        <f>IF(AX24="","",AX24)</f>
        <v/>
      </c>
      <c r="L24" s="490" t="str">
        <f>IF(BH24=1,BW24,IF(AV24="","",AV24))</f>
        <v/>
      </c>
      <c r="M24" s="490" t="str">
        <f>IF(BH24=1,BZ24,IF(AW24="","",AW24))</f>
        <v/>
      </c>
      <c r="N24" s="489" t="str">
        <f>IF(AY24="","",AY24)</f>
        <v/>
      </c>
      <c r="O24" s="630" t="str">
        <f>REPT('Gastmannschaft EXTERIEUR'!AO17,1)</f>
        <v/>
      </c>
      <c r="P24" s="631"/>
      <c r="Q24" s="487" t="str">
        <f>REPT('Gastmannschaft EXTERIEUR'!I17,1)</f>
        <v/>
      </c>
      <c r="R24" s="491"/>
      <c r="S24" s="488"/>
      <c r="U24" s="485" t="str">
        <f>IF(AI24=0,"",CONCATENATE(AN24,AJ24))</f>
        <v>GS</v>
      </c>
      <c r="V24" s="486">
        <f>IF(AP24="*",AQ24,AL24)</f>
        <v>1.3</v>
      </c>
      <c r="W24" s="451"/>
      <c r="AB24" s="445">
        <v>3</v>
      </c>
      <c r="AC24" s="445">
        <v>3</v>
      </c>
      <c r="AD24" s="445">
        <v>3</v>
      </c>
      <c r="AE24" s="445">
        <v>2</v>
      </c>
      <c r="AF24" s="445">
        <v>3</v>
      </c>
      <c r="AG24" s="445">
        <v>2</v>
      </c>
      <c r="AH24" s="445">
        <f>IF($AB$1=3,AF24,IF($AB$1=2,AD24,IF($AB$1=1,AB24,"")))</f>
        <v>3</v>
      </c>
      <c r="AI24" s="445">
        <f>IF($AB$1=3,AG24,IF($AB$1=2,AE24,IF($AB$1=1,AC24,"")))</f>
        <v>3</v>
      </c>
      <c r="AJ24" s="166" t="str">
        <f>IF(AH24="","",VLOOKUP(AH24,Chema!AJ:AL,2,FALSE))</f>
        <v>S</v>
      </c>
      <c r="AK24" s="166">
        <f>IF(AH24="","",VLOOKUP(AH24,Chema!AJ:AL,3,FALSE))</f>
        <v>1.3</v>
      </c>
      <c r="AL24" s="166">
        <f>IF(AI24=0,"",IF(AI24="","",VLOOKUP(AI24,Chema!R:T,3,FALSE)))</f>
        <v>1.3</v>
      </c>
      <c r="AM24" s="166" t="s">
        <v>894</v>
      </c>
      <c r="AN24" s="445" t="s">
        <v>895</v>
      </c>
      <c r="AO24" s="492" t="str">
        <f>IF(AU24="","",VLOOKUP(AU24,Average!HN:HT,6,FALSE))</f>
        <v/>
      </c>
      <c r="AP24" s="492" t="str">
        <f>IF(AU24="","",VLOOKUP(AU24,Average!HN:HT,7,FALSE))</f>
        <v/>
      </c>
      <c r="AQ24" s="445" t="str">
        <f>IF(AI24=0,"",VLOOKUP(AI24,Chema!BL:BQ,6,FALSE))</f>
        <v>1.3*</v>
      </c>
      <c r="AR24" s="445" t="str">
        <f>IF(AH24="","",VLOOKUP(AH24,'Heimmannschaft MAISON'!AB:AO,14,FALSE))</f>
        <v/>
      </c>
      <c r="AS24" s="445" t="str">
        <f>IF(AH24="","",VLOOKUP(AH24,'Gastmannschaft EXTERIEUR'!AB:AO,14,FALSE))</f>
        <v/>
      </c>
      <c r="AT24" s="445" t="str">
        <f>IF(AI24=0,"",CONCATENATE($AT$18," ",AI24))</f>
        <v>SPIEL 3</v>
      </c>
      <c r="AU24" s="445" t="str">
        <f>IF(AI24=0,"",CONCATENATE($AU$18," ",AI24))</f>
        <v>SPIEL 3</v>
      </c>
      <c r="AV24" s="445" t="str">
        <f>IF(BC24=1,"",IF(AU24="","",VLOOKUP(AU24,Average!HN:HP,2,FALSE)))</f>
        <v/>
      </c>
      <c r="AW24" s="445" t="str">
        <f>IF(BB24=1,"",IF(AU24="","",VLOOKUP(AU24,Average!HN:HP,3,FALSE)))</f>
        <v/>
      </c>
      <c r="AX24" s="445" t="str">
        <f>IFERROR(IF(AU24="","",VLOOKUP(AU24,Average!HN:HQ,4,FALSE)),"")</f>
        <v/>
      </c>
      <c r="AY24" s="445" t="str">
        <f>IFERROR(IF(AU24="","",VLOOKUP(AU24,Average!HN:HR,5,FALSE)),"")</f>
        <v/>
      </c>
      <c r="AZ24" s="445">
        <f>IF(BC24=1,"",IF(AU24="","",VLOOKUP(AU24,Average!HN:HV,8,FALSE)))</f>
        <v>0</v>
      </c>
      <c r="BA24" s="445">
        <f>IF(BB24=1,"",IF(AU24="","",VLOOKUP(AU24,Average!HN:HV,9,FALSE)))</f>
        <v>0</v>
      </c>
      <c r="BB24" s="445">
        <f>IF(AU24="","",IF(I24="FORFAIT",1,0))</f>
        <v>0</v>
      </c>
      <c r="BC24" s="445">
        <f>IF(AU24="","",IF(Q24="FORFAIT",1,0))</f>
        <v>0</v>
      </c>
      <c r="BD24" s="445" t="str">
        <f>IF(AR24="","",RANK(AR24,$AR$20:$AR$122,1))</f>
        <v/>
      </c>
      <c r="BE24" s="445" t="str">
        <f>IF(AH24="","",VLOOKUP(AH24,'Heimmannschaft MAISON'!AB:AO,14,FALSE))</f>
        <v/>
      </c>
      <c r="BF24" s="445" t="str">
        <f>IF(AS24="","",RANK(AS24,$AS$20:$AS$122,1))</f>
        <v/>
      </c>
      <c r="BG24" s="445" t="str">
        <f>IF(AH24="","",VLOOKUP(AH24,'Gastmannschaft EXTERIEUR'!AB:AO,14,FALSE))</f>
        <v/>
      </c>
      <c r="BH24" s="445">
        <f>IFERROR(IF(BB24+BC24&gt;0,1,0),0)</f>
        <v>0</v>
      </c>
      <c r="BI24" s="446">
        <f>IF(AU24="","",IF(BC24=1,1,0))</f>
        <v>0</v>
      </c>
      <c r="BJ24" s="447">
        <f>IF(AU24="","",IF(BI24=1,SUM(BK24,BL24),0))</f>
        <v>0</v>
      </c>
      <c r="BK24" s="445">
        <f>IF(AJ24="S",IF($AB$1=1,3,2),0)</f>
        <v>3</v>
      </c>
      <c r="BL24" s="445">
        <f>IF(AJ24="D",2,0)</f>
        <v>0</v>
      </c>
      <c r="BM24" s="446">
        <f>IF(AU24="","",IF(BB24=1,1,0))</f>
        <v>0</v>
      </c>
      <c r="BN24" s="447">
        <f>IF(AU24="","",IF(BM24=1,SUM(BO24,BP24),0))</f>
        <v>0</v>
      </c>
      <c r="BO24" s="445">
        <f>IF(AJ24="S",IF($AB$1=1,3,2),0)</f>
        <v>3</v>
      </c>
      <c r="BP24" s="445">
        <f>IF(AJ24="D",2,0)</f>
        <v>0</v>
      </c>
      <c r="BQ24" s="445"/>
      <c r="BR24" s="445"/>
      <c r="BS24" s="445"/>
      <c r="BT24" s="445"/>
      <c r="BV24" s="445">
        <f>IF(AU24="","",SUM(AZ24,BI24))</f>
        <v>0</v>
      </c>
      <c r="BW24" s="445">
        <f>IF(AU24="","",SUM(AV24,BJ24))</f>
        <v>0</v>
      </c>
      <c r="BY24" s="445">
        <f>IF(AU24="","",SUM(BA24,BM24))</f>
        <v>0</v>
      </c>
      <c r="BZ24" s="445">
        <f>IF(AU24="","",SUM(AW24,BN24))</f>
        <v>0</v>
      </c>
    </row>
    <row r="25" spans="1:78" s="452" customFormat="1" ht="5.0999999999999996" customHeight="1">
      <c r="W25" s="451"/>
      <c r="AB25" s="445"/>
      <c r="AC25" s="445"/>
      <c r="AD25" s="445"/>
      <c r="AE25" s="445"/>
      <c r="AF25" s="445"/>
      <c r="AG25" s="445"/>
      <c r="AH25" s="445"/>
      <c r="AI25" s="445"/>
      <c r="AJ25" s="445"/>
      <c r="AK25" s="445"/>
      <c r="AL25" s="445"/>
      <c r="AM25" s="445"/>
      <c r="AN25" s="445"/>
      <c r="AO25" s="492"/>
      <c r="AP25" s="492"/>
      <c r="AQ25" s="445"/>
      <c r="AS25" s="445"/>
      <c r="AT25" s="445"/>
      <c r="AU25" s="445"/>
      <c r="AV25" s="445"/>
      <c r="AW25" s="445"/>
      <c r="AX25" s="445"/>
      <c r="AY25" s="445"/>
      <c r="AZ25" s="445"/>
      <c r="BA25" s="445"/>
      <c r="BB25" s="445"/>
      <c r="BC25" s="445"/>
      <c r="BD25" s="445"/>
      <c r="BE25" s="445"/>
      <c r="BF25" s="445"/>
      <c r="BG25" s="445"/>
      <c r="BH25" s="445"/>
      <c r="BI25" s="446"/>
      <c r="BJ25" s="447"/>
      <c r="BK25" s="445"/>
      <c r="BL25" s="445"/>
      <c r="BM25" s="446"/>
      <c r="BN25" s="447"/>
      <c r="BO25" s="445"/>
      <c r="BP25" s="445"/>
      <c r="BQ25" s="445"/>
      <c r="BR25" s="445"/>
      <c r="BS25" s="445"/>
      <c r="BT25" s="445"/>
    </row>
    <row r="26" spans="1:78" s="452" customFormat="1" ht="20.100000000000001" customHeight="1">
      <c r="B26" s="484" t="str">
        <f>REPT(AT26,1)</f>
        <v>SPIEL 4</v>
      </c>
      <c r="D26" s="485" t="str">
        <f>IF(AI26=0,"",CONCATENATE(AM26,AJ26))</f>
        <v>HS</v>
      </c>
      <c r="E26" s="486">
        <f>IF(AO26="*",AQ26,AL26)</f>
        <v>1.4</v>
      </c>
      <c r="G26" s="633" t="str">
        <f>REPT('Heimmannschaft MAISON'!AO19,1)</f>
        <v/>
      </c>
      <c r="H26" s="634"/>
      <c r="I26" s="487" t="str">
        <f>REPT('Heimmannschaft MAISON'!I19,1)</f>
        <v/>
      </c>
      <c r="J26" s="488"/>
      <c r="K26" s="489" t="str">
        <f>IF(AX26="","",AX26)</f>
        <v/>
      </c>
      <c r="L26" s="490" t="str">
        <f>IF(BH26=1,BW26,IF(AV26="","",AV26))</f>
        <v/>
      </c>
      <c r="M26" s="490" t="str">
        <f>IF(BH26=1,BZ26,IF(AW26="","",AW26))</f>
        <v/>
      </c>
      <c r="N26" s="489" t="str">
        <f>IF(AY26="","",AY26)</f>
        <v/>
      </c>
      <c r="O26" s="630" t="str">
        <f>REPT('Gastmannschaft EXTERIEUR'!AO19,1)</f>
        <v/>
      </c>
      <c r="P26" s="631"/>
      <c r="Q26" s="487" t="str">
        <f>REPT('Gastmannschaft EXTERIEUR'!I19,1)</f>
        <v/>
      </c>
      <c r="R26" s="491"/>
      <c r="S26" s="488"/>
      <c r="U26" s="485" t="str">
        <f>IF(AI26=0,"",CONCATENATE(AN26,AJ26))</f>
        <v>GS</v>
      </c>
      <c r="V26" s="486">
        <f>IF(AP26="*",AQ26,AL26)</f>
        <v>1.4</v>
      </c>
      <c r="W26" s="451"/>
      <c r="AB26" s="445">
        <v>4</v>
      </c>
      <c r="AC26" s="445">
        <v>4</v>
      </c>
      <c r="AD26" s="445">
        <v>4</v>
      </c>
      <c r="AE26" s="445"/>
      <c r="AF26" s="445">
        <v>4</v>
      </c>
      <c r="AG26" s="445"/>
      <c r="AH26" s="445">
        <f>IF($AB$1=3,AF26,IF($AB$1=2,AD26,IF($AB$1=1,AB26,"")))</f>
        <v>4</v>
      </c>
      <c r="AI26" s="445">
        <f>IF($AB$1=3,AG26,IF($AB$1=2,AE26,IF($AB$1=1,AC26,"")))</f>
        <v>4</v>
      </c>
      <c r="AJ26" s="166" t="str">
        <f>IF(AH26="","",VLOOKUP(AH26,Chema!AJ:AL,2,FALSE))</f>
        <v>S</v>
      </c>
      <c r="AK26" s="166">
        <f>IF(AH26="","",VLOOKUP(AH26,Chema!AJ:AL,3,FALSE))</f>
        <v>1.4</v>
      </c>
      <c r="AL26" s="166">
        <f>IF(AI26=0,"",IF(AI26="","",VLOOKUP(AI26,Chema!R:T,3,FALSE)))</f>
        <v>1.4</v>
      </c>
      <c r="AM26" s="166" t="s">
        <v>894</v>
      </c>
      <c r="AN26" s="445" t="s">
        <v>895</v>
      </c>
      <c r="AO26" s="492" t="str">
        <f>IF(AU26="","",VLOOKUP(AU26,Average!HN:HT,6,FALSE))</f>
        <v/>
      </c>
      <c r="AP26" s="492" t="str">
        <f>IF(AU26="","",VLOOKUP(AU26,Average!HN:HT,7,FALSE))</f>
        <v/>
      </c>
      <c r="AQ26" s="445" t="str">
        <f>IF(AI26=0,"",VLOOKUP(AI26,Chema!BL:BQ,6,FALSE))</f>
        <v>1.4*</v>
      </c>
      <c r="AR26" s="445" t="str">
        <f>IF(AH26="","",VLOOKUP(AH26,'Heimmannschaft MAISON'!AB:AO,14,FALSE))</f>
        <v/>
      </c>
      <c r="AS26" s="445" t="str">
        <f>IF(AH26="","",VLOOKUP(AH26,'Gastmannschaft EXTERIEUR'!AB:AO,14,FALSE))</f>
        <v/>
      </c>
      <c r="AT26" s="445" t="str">
        <f>IF(AI26=0,"",CONCATENATE($AT$18," ",AI26))</f>
        <v>SPIEL 4</v>
      </c>
      <c r="AU26" s="445" t="str">
        <f>IF(AI26=0,"",CONCATENATE($AU$18," ",AI26))</f>
        <v>SPIEL 4</v>
      </c>
      <c r="AV26" s="445" t="str">
        <f>IF(BC26=1,"",IF(AU26="","",VLOOKUP(AU26,Average!HN:HP,2,FALSE)))</f>
        <v/>
      </c>
      <c r="AW26" s="445" t="str">
        <f>IF(BB26=1,"",IF(AU26="","",VLOOKUP(AU26,Average!HN:HP,3,FALSE)))</f>
        <v/>
      </c>
      <c r="AX26" s="445" t="str">
        <f>IFERROR(IF(AU26="","",VLOOKUP(AU26,Average!HN:HQ,4,FALSE)),"")</f>
        <v/>
      </c>
      <c r="AY26" s="445" t="str">
        <f>IFERROR(IF(AU26="","",VLOOKUP(AU26,Average!HN:HR,5,FALSE)),"")</f>
        <v/>
      </c>
      <c r="AZ26" s="445">
        <f>IF(BC26=1,"",IF(AU26="","",VLOOKUP(AU26,Average!HN:HV,8,FALSE)))</f>
        <v>0</v>
      </c>
      <c r="BA26" s="445">
        <f>IF(BB26=1,"",IF(AU26="","",VLOOKUP(AU26,Average!HN:HV,9,FALSE)))</f>
        <v>0</v>
      </c>
      <c r="BB26" s="445">
        <f>IF(AU26="","",IF(I26="FORFAIT",1,0))</f>
        <v>0</v>
      </c>
      <c r="BC26" s="445">
        <f>IF(AU26="","",IF(Q26="FORFAIT",1,0))</f>
        <v>0</v>
      </c>
      <c r="BD26" s="445" t="str">
        <f>IF(AR26="","",RANK(AR26,$AR$20:$AR$122,1))</f>
        <v/>
      </c>
      <c r="BE26" s="445" t="str">
        <f>IF(AH26="","",VLOOKUP(AH26,'Heimmannschaft MAISON'!AB:AO,14,FALSE))</f>
        <v/>
      </c>
      <c r="BF26" s="445" t="str">
        <f>IF(AS26="","",RANK(AS26,$AS$20:$AS$122,1))</f>
        <v/>
      </c>
      <c r="BG26" s="445" t="str">
        <f>IF(AH26="","",VLOOKUP(AH26,'Gastmannschaft EXTERIEUR'!AB:AO,14,FALSE))</f>
        <v/>
      </c>
      <c r="BH26" s="445">
        <f>IFERROR(IF(BB26+BC26&gt;0,1,0),0)</f>
        <v>0</v>
      </c>
      <c r="BI26" s="446">
        <f>IF(AU26="","",IF(BC26=1,1,0))</f>
        <v>0</v>
      </c>
      <c r="BJ26" s="447">
        <f>IF(AU26="","",IF(BI26=1,SUM(BK26,BL26),0))</f>
        <v>0</v>
      </c>
      <c r="BK26" s="445">
        <f>IF(AJ26="S",IF($AB$1=1,3,2),0)</f>
        <v>3</v>
      </c>
      <c r="BL26" s="445">
        <f>IF(AJ26="D",2,0)</f>
        <v>0</v>
      </c>
      <c r="BM26" s="446">
        <f>IF(AU26="","",IF(BB26=1,1,0))</f>
        <v>0</v>
      </c>
      <c r="BN26" s="447">
        <f>IF(AU26="","",IF(BM26=1,SUM(BO26,BP26),0))</f>
        <v>0</v>
      </c>
      <c r="BO26" s="445">
        <f>IF(AJ26="S",IF($AB$1=1,3,2),0)</f>
        <v>3</v>
      </c>
      <c r="BP26" s="445">
        <f>IF(AJ26="D",2,0)</f>
        <v>0</v>
      </c>
      <c r="BQ26" s="445"/>
      <c r="BR26" s="445"/>
      <c r="BS26" s="445"/>
      <c r="BT26" s="445"/>
      <c r="BV26" s="445">
        <f>IF(AU26="","",SUM(AZ26,BI26))</f>
        <v>0</v>
      </c>
      <c r="BW26" s="445">
        <f>IF(AU26="","",SUM(AV26,BJ26))</f>
        <v>0</v>
      </c>
      <c r="BY26" s="445">
        <f>IF(AU26="","",SUM(BA26,BM26))</f>
        <v>0</v>
      </c>
      <c r="BZ26" s="445">
        <f>IF(AU26="","",SUM(AW26,BN26))</f>
        <v>0</v>
      </c>
    </row>
    <row r="27" spans="1:78" s="452" customFormat="1" ht="5.0999999999999996" customHeight="1">
      <c r="W27" s="451"/>
      <c r="AB27" s="445"/>
      <c r="AC27" s="445"/>
      <c r="AD27" s="445"/>
      <c r="AE27" s="445"/>
      <c r="AF27" s="445"/>
      <c r="AG27" s="445"/>
      <c r="AH27" s="445"/>
      <c r="AI27" s="445"/>
      <c r="AJ27" s="445"/>
      <c r="AK27" s="445"/>
      <c r="AL27" s="445"/>
      <c r="AM27" s="445"/>
      <c r="AN27" s="445"/>
      <c r="AO27" s="492"/>
      <c r="AP27" s="492"/>
      <c r="AQ27" s="445"/>
      <c r="AS27" s="445"/>
      <c r="AT27" s="445"/>
      <c r="AU27" s="445"/>
      <c r="AV27" s="445"/>
      <c r="AW27" s="445"/>
      <c r="AX27" s="445"/>
      <c r="AY27" s="445"/>
      <c r="AZ27" s="445"/>
      <c r="BA27" s="445"/>
      <c r="BB27" s="445"/>
      <c r="BC27" s="445"/>
      <c r="BD27" s="445"/>
      <c r="BE27" s="445"/>
      <c r="BF27" s="445"/>
      <c r="BG27" s="445"/>
      <c r="BH27" s="445"/>
      <c r="BI27" s="446"/>
      <c r="BJ27" s="447"/>
      <c r="BK27" s="445"/>
      <c r="BL27" s="445"/>
      <c r="BM27" s="446"/>
      <c r="BN27" s="447"/>
      <c r="BO27" s="445"/>
      <c r="BP27" s="445"/>
      <c r="BQ27" s="445"/>
      <c r="BR27" s="445"/>
      <c r="BS27" s="445"/>
      <c r="BT27" s="445"/>
    </row>
    <row r="28" spans="1:78" s="452" customFormat="1" ht="20.100000000000001" customHeight="1">
      <c r="B28" s="484" t="str">
        <f>REPT(AT28,1)</f>
        <v>SPIEL 5</v>
      </c>
      <c r="D28" s="485" t="str">
        <f>IF(AI28=0,"",CONCATENATE(AM28,AJ28))</f>
        <v>HS</v>
      </c>
      <c r="E28" s="486">
        <f>IF(AO28="*",AQ28,AL28)</f>
        <v>1.5</v>
      </c>
      <c r="G28" s="633" t="str">
        <f>REPT('Heimmannschaft MAISON'!AO21,1)</f>
        <v/>
      </c>
      <c r="H28" s="634"/>
      <c r="I28" s="487" t="str">
        <f>REPT('Heimmannschaft MAISON'!I21,1)</f>
        <v/>
      </c>
      <c r="J28" s="488"/>
      <c r="K28" s="489" t="str">
        <f>IF(AX28="","",AX28)</f>
        <v/>
      </c>
      <c r="L28" s="490" t="str">
        <f>IF(BH28=1,BW28,IF(AV28="","",AV28))</f>
        <v/>
      </c>
      <c r="M28" s="490" t="str">
        <f>IF(BH28=1,BZ28,IF(AW28="","",AW28))</f>
        <v/>
      </c>
      <c r="N28" s="489" t="str">
        <f>IF(AY28="","",AY28)</f>
        <v/>
      </c>
      <c r="O28" s="630" t="str">
        <f>REPT('Gastmannschaft EXTERIEUR'!AO21,1)</f>
        <v/>
      </c>
      <c r="P28" s="631"/>
      <c r="Q28" s="487" t="str">
        <f>REPT('Gastmannschaft EXTERIEUR'!I21,1)</f>
        <v/>
      </c>
      <c r="R28" s="491"/>
      <c r="S28" s="488"/>
      <c r="U28" s="485" t="str">
        <f>IF(AI28=0,"",CONCATENATE(AN28,AJ28))</f>
        <v>GS</v>
      </c>
      <c r="V28" s="486">
        <f>IF(AP28="*",AQ28,AL28)</f>
        <v>1.5</v>
      </c>
      <c r="W28" s="451"/>
      <c r="AB28" s="445">
        <v>5</v>
      </c>
      <c r="AC28" s="445">
        <v>5</v>
      </c>
      <c r="AD28" s="445">
        <v>5</v>
      </c>
      <c r="AE28" s="445">
        <v>3</v>
      </c>
      <c r="AF28" s="445">
        <v>5</v>
      </c>
      <c r="AG28" s="445">
        <v>3</v>
      </c>
      <c r="AH28" s="445">
        <f>IF($AB$1=3,AF28,IF($AB$1=2,AD28,IF($AB$1=1,AB28,"")))</f>
        <v>5</v>
      </c>
      <c r="AI28" s="445">
        <f>IF($AB$1=3,AG28,IF($AB$1=2,AE28,IF($AB$1=1,AC28,"")))</f>
        <v>5</v>
      </c>
      <c r="AJ28" s="166" t="str">
        <f>IF(AH28="","",VLOOKUP(AH28,Chema!AJ:AL,2,FALSE))</f>
        <v>S</v>
      </c>
      <c r="AK28" s="166">
        <f>IF(AH28="","",VLOOKUP(AH28,Chema!AJ:AL,3,FALSE))</f>
        <v>1.5</v>
      </c>
      <c r="AL28" s="166">
        <f>IF(AI28=0,"",IF(AI28="","",VLOOKUP(AI28,Chema!R:T,3,FALSE)))</f>
        <v>1.5</v>
      </c>
      <c r="AM28" s="166" t="s">
        <v>894</v>
      </c>
      <c r="AN28" s="445" t="s">
        <v>895</v>
      </c>
      <c r="AO28" s="492" t="str">
        <f>IF(AU28="","",VLOOKUP(AU28,Average!HN:HT,6,FALSE))</f>
        <v/>
      </c>
      <c r="AP28" s="492" t="str">
        <f>IF(AU28="","",VLOOKUP(AU28,Average!HN:HT,7,FALSE))</f>
        <v/>
      </c>
      <c r="AQ28" s="445" t="str">
        <f>IF(AI28=0,"",VLOOKUP(AI28,Chema!BL:BQ,6,FALSE))</f>
        <v>1.5*</v>
      </c>
      <c r="AR28" s="445" t="str">
        <f>IF(AH28="","",VLOOKUP(AH28,'Heimmannschaft MAISON'!AB:AO,14,FALSE))</f>
        <v/>
      </c>
      <c r="AS28" s="445" t="str">
        <f>IF(AH28="","",VLOOKUP(AH28,'Gastmannschaft EXTERIEUR'!AB:AO,14,FALSE))</f>
        <v/>
      </c>
      <c r="AT28" s="445" t="str">
        <f>IF(AI28=0,"",CONCATENATE($AT$18," ",AI28))</f>
        <v>SPIEL 5</v>
      </c>
      <c r="AU28" s="445" t="str">
        <f>IF(AI28=0,"",CONCATENATE($AU$18," ",AI28))</f>
        <v>SPIEL 5</v>
      </c>
      <c r="AV28" s="445" t="str">
        <f>IF(BC28=1,"",IF(AU28="","",VLOOKUP(AU28,Average!HN:HP,2,FALSE)))</f>
        <v/>
      </c>
      <c r="AW28" s="445" t="str">
        <f>IF(BB28=1,"",IF(AU28="","",VLOOKUP(AU28,Average!HN:HP,3,FALSE)))</f>
        <v/>
      </c>
      <c r="AX28" s="445" t="str">
        <f>IFERROR(IF(AU28="","",VLOOKUP(AU28,Average!HN:HQ,4,FALSE)),"")</f>
        <v/>
      </c>
      <c r="AY28" s="445" t="str">
        <f>IFERROR(IF(AU28="","",VLOOKUP(AU28,Average!HN:HR,5,FALSE)),"")</f>
        <v/>
      </c>
      <c r="AZ28" s="445">
        <f>IF(BC28=1,"",IF(AU28="","",VLOOKUP(AU28,Average!HN:HV,8,FALSE)))</f>
        <v>0</v>
      </c>
      <c r="BA28" s="445">
        <f>IF(BB28=1,"",IF(AU28="","",VLOOKUP(AU28,Average!HN:HV,9,FALSE)))</f>
        <v>0</v>
      </c>
      <c r="BB28" s="445">
        <f>IF(AU28="","",IF(I28="FORFAIT",1,0))</f>
        <v>0</v>
      </c>
      <c r="BC28" s="445">
        <f>IF(AU28="","",IF(Q28="FORFAIT",1,0))</f>
        <v>0</v>
      </c>
      <c r="BD28" s="445" t="str">
        <f>IF(AR28="","",RANK(AR28,$AR$20:$AR$122,1))</f>
        <v/>
      </c>
      <c r="BE28" s="445" t="str">
        <f>IF(AH28="","",VLOOKUP(AH28,'Heimmannschaft MAISON'!AB:AO,14,FALSE))</f>
        <v/>
      </c>
      <c r="BF28" s="445" t="str">
        <f>IF(AS28="","",RANK(AS28,$AS$20:$AS$122,1))</f>
        <v/>
      </c>
      <c r="BG28" s="445" t="str">
        <f>IF(AH28="","",VLOOKUP(AH28,'Gastmannschaft EXTERIEUR'!AB:AO,14,FALSE))</f>
        <v/>
      </c>
      <c r="BH28" s="445">
        <f>IFERROR(IF(BB28+BC28&gt;0,1,0),0)</f>
        <v>0</v>
      </c>
      <c r="BI28" s="446">
        <f>IF(AU28="","",IF(BC28=1,1,0))</f>
        <v>0</v>
      </c>
      <c r="BJ28" s="447">
        <f>IF(AU28="","",IF(BI28=1,SUM(BK28,BL28),0))</f>
        <v>0</v>
      </c>
      <c r="BK28" s="445">
        <f>IF(AJ28="S",IF($AB$1=1,3,2),0)</f>
        <v>3</v>
      </c>
      <c r="BL28" s="445">
        <f>IF(AJ28="D",2,0)</f>
        <v>0</v>
      </c>
      <c r="BM28" s="446">
        <f>IF(BQ28=1,BT28,IF(AU28="","",IF(BB28=1,1,0)))</f>
        <v>0</v>
      </c>
      <c r="BN28" s="447">
        <f>IF(AU28="","",IF(BM28=1,SUM(BO28,BP28),0))</f>
        <v>0</v>
      </c>
      <c r="BO28" s="445">
        <f>IF(AJ28="S",IF($AB$1=1,3,2),0)</f>
        <v>3</v>
      </c>
      <c r="BP28" s="445">
        <f>IF(AJ28="D",2,0)</f>
        <v>0</v>
      </c>
      <c r="BQ28" s="445">
        <f>IF($BR$16=2,IF($AB$1=3,1,0),0)</f>
        <v>0</v>
      </c>
      <c r="BR28" s="492">
        <v>1</v>
      </c>
      <c r="BS28" s="492">
        <v>2</v>
      </c>
      <c r="BT28" s="492">
        <v>0</v>
      </c>
      <c r="BU28" s="492">
        <v>0</v>
      </c>
      <c r="BV28" s="445">
        <f>IF(AU28="","",SUM(AZ28,BI28))</f>
        <v>0</v>
      </c>
      <c r="BW28" s="445">
        <f>IF(AU28="","",SUM(AV28,BJ28))</f>
        <v>0</v>
      </c>
      <c r="BY28" s="445">
        <f>IF(AU28="","",SUM(BA28,BM28))</f>
        <v>0</v>
      </c>
      <c r="BZ28" s="445">
        <f>IF(AU28="","",SUM(AW28,BN28))</f>
        <v>0</v>
      </c>
    </row>
    <row r="29" spans="1:78" s="452" customFormat="1" ht="5.0999999999999996" customHeight="1">
      <c r="W29" s="451"/>
      <c r="AB29" s="445"/>
      <c r="AC29" s="445"/>
      <c r="AD29" s="445"/>
      <c r="AE29" s="445"/>
      <c r="AF29" s="445"/>
      <c r="AG29" s="445"/>
      <c r="AH29" s="445"/>
      <c r="AI29" s="445"/>
      <c r="AJ29" s="445"/>
      <c r="AK29" s="445"/>
      <c r="AL29" s="445"/>
      <c r="AM29" s="445"/>
      <c r="AN29" s="445"/>
      <c r="AO29" s="492"/>
      <c r="AP29" s="492"/>
      <c r="AQ29" s="445"/>
      <c r="AS29" s="445"/>
      <c r="AT29" s="445"/>
      <c r="AU29" s="445"/>
      <c r="AV29" s="445"/>
      <c r="AW29" s="445"/>
      <c r="AX29" s="445"/>
      <c r="AY29" s="445"/>
      <c r="AZ29" s="445"/>
      <c r="BA29" s="445"/>
      <c r="BB29" s="445"/>
      <c r="BC29" s="445"/>
      <c r="BD29" s="445"/>
      <c r="BE29" s="445"/>
      <c r="BF29" s="445"/>
      <c r="BG29" s="445"/>
      <c r="BH29" s="445"/>
      <c r="BI29" s="446"/>
      <c r="BJ29" s="447"/>
      <c r="BK29" s="445"/>
      <c r="BL29" s="445"/>
      <c r="BM29" s="446"/>
      <c r="BN29" s="447"/>
      <c r="BO29" s="445"/>
      <c r="BP29" s="445"/>
      <c r="BQ29" s="445"/>
      <c r="BR29" s="445"/>
      <c r="BS29" s="445"/>
      <c r="BT29" s="445"/>
    </row>
    <row r="30" spans="1:78" s="452" customFormat="1" ht="20.100000000000001" customHeight="1">
      <c r="B30" s="484" t="str">
        <f>REPT(AT30,1)</f>
        <v>SPIEL 6</v>
      </c>
      <c r="D30" s="485" t="str">
        <f>IF(AI30=0,"",CONCATENATE(AM30,AJ30))</f>
        <v>HS</v>
      </c>
      <c r="E30" s="486">
        <f>IF(AO30="*",AQ30,AL30)</f>
        <v>1.6</v>
      </c>
      <c r="G30" s="633" t="str">
        <f>REPT('Heimmannschaft MAISON'!AO23,1)</f>
        <v/>
      </c>
      <c r="H30" s="634"/>
      <c r="I30" s="487" t="str">
        <f>REPT('Heimmannschaft MAISON'!I23,1)</f>
        <v/>
      </c>
      <c r="J30" s="488"/>
      <c r="K30" s="489" t="str">
        <f>IF(AX30="","",AX30)</f>
        <v/>
      </c>
      <c r="L30" s="490" t="str">
        <f>IF(BH30=1,BW30,IF(AV30="","",AV30))</f>
        <v/>
      </c>
      <c r="M30" s="490" t="str">
        <f>IF(BH30=1,BZ30,IF(AW30="","",AW30))</f>
        <v/>
      </c>
      <c r="N30" s="489" t="str">
        <f>IF(AY30="","",AY30)</f>
        <v/>
      </c>
      <c r="O30" s="630" t="str">
        <f>REPT('Gastmannschaft EXTERIEUR'!AO23,1)</f>
        <v/>
      </c>
      <c r="P30" s="631"/>
      <c r="Q30" s="487" t="str">
        <f>REPT('Gastmannschaft EXTERIEUR'!I23,1)</f>
        <v/>
      </c>
      <c r="R30" s="491"/>
      <c r="S30" s="488"/>
      <c r="U30" s="485" t="str">
        <f>IF(AI30=0,"",CONCATENATE(AN30,AJ30))</f>
        <v>GS</v>
      </c>
      <c r="V30" s="486">
        <f>IF(AP30="*",AQ30,AL30)</f>
        <v>1.6</v>
      </c>
      <c r="W30" s="451"/>
      <c r="AB30" s="445">
        <v>6</v>
      </c>
      <c r="AC30" s="445">
        <v>6</v>
      </c>
      <c r="AD30" s="445">
        <v>6</v>
      </c>
      <c r="AE30" s="445"/>
      <c r="AF30" s="445">
        <v>6</v>
      </c>
      <c r="AG30" s="445"/>
      <c r="AH30" s="445">
        <f>IF($AB$1=3,AF30,IF($AB$1=2,AD30,IF($AB$1=1,AB30,"")))</f>
        <v>6</v>
      </c>
      <c r="AI30" s="445">
        <f>IF($AB$1=3,AG30,IF($AB$1=2,AE30,IF($AB$1=1,AC30,"")))</f>
        <v>6</v>
      </c>
      <c r="AJ30" s="166" t="str">
        <f>IF(AH30="","",VLOOKUP(AH30,Chema!AJ:AL,2,FALSE))</f>
        <v>S</v>
      </c>
      <c r="AK30" s="166">
        <f>IF(AH30="","",VLOOKUP(AH30,Chema!AJ:AL,3,FALSE))</f>
        <v>1.6</v>
      </c>
      <c r="AL30" s="166">
        <f>IF(AI30=0,"",IF(AI30="","",VLOOKUP(AI30,Chema!R:T,3,FALSE)))</f>
        <v>1.6</v>
      </c>
      <c r="AM30" s="166" t="s">
        <v>894</v>
      </c>
      <c r="AN30" s="445" t="s">
        <v>895</v>
      </c>
      <c r="AO30" s="492" t="str">
        <f>IF(AU30="","",VLOOKUP(AU30,Average!HN:HT,6,FALSE))</f>
        <v/>
      </c>
      <c r="AP30" s="492" t="str">
        <f>IF(AU30="","",VLOOKUP(AU30,Average!HN:HT,7,FALSE))</f>
        <v/>
      </c>
      <c r="AQ30" s="445" t="str">
        <f>IF(AI30=0,"",VLOOKUP(AI30,Chema!BL:BQ,6,FALSE))</f>
        <v>1.6*</v>
      </c>
      <c r="AR30" s="445" t="str">
        <f>IF(AH30="","",VLOOKUP(AH30,'Heimmannschaft MAISON'!AB:AO,14,FALSE))</f>
        <v/>
      </c>
      <c r="AS30" s="445" t="str">
        <f>IF(AH30="","",VLOOKUP(AH30,'Gastmannschaft EXTERIEUR'!AB:AO,14,FALSE))</f>
        <v/>
      </c>
      <c r="AT30" s="445" t="str">
        <f>IF(AI30=0,"",CONCATENATE($AT$18," ",AI30))</f>
        <v>SPIEL 6</v>
      </c>
      <c r="AU30" s="445" t="str">
        <f>IF(AI30=0,"",CONCATENATE($AU$18," ",AI30))</f>
        <v>SPIEL 6</v>
      </c>
      <c r="AV30" s="445" t="str">
        <f>IF(BC30=1,"",IF(AU30="","",VLOOKUP(AU30,Average!HN:HP,2,FALSE)))</f>
        <v/>
      </c>
      <c r="AW30" s="445" t="str">
        <f>IF(BB30=1,"",IF(AU30="","",VLOOKUP(AU30,Average!HN:HP,3,FALSE)))</f>
        <v/>
      </c>
      <c r="AX30" s="445" t="str">
        <f>IFERROR(IF(AU30="","",VLOOKUP(AU30,Average!HN:HQ,4,FALSE)),"")</f>
        <v/>
      </c>
      <c r="AY30" s="445" t="str">
        <f>IFERROR(IF(AU30="","",VLOOKUP(AU30,Average!HN:HR,5,FALSE)),"")</f>
        <v/>
      </c>
      <c r="AZ30" s="445">
        <f>IF(BC30=1,"",IF(AU30="","",VLOOKUP(AU30,Average!HN:HV,8,FALSE)))</f>
        <v>0</v>
      </c>
      <c r="BA30" s="445">
        <f>IF(BB30=1,"",IF(AU30="","",VLOOKUP(AU30,Average!HN:HV,9,FALSE)))</f>
        <v>0</v>
      </c>
      <c r="BB30" s="445">
        <f>IF(AU30="","",IF(I30="FORFAIT",1,0))</f>
        <v>0</v>
      </c>
      <c r="BC30" s="445">
        <f>IF(AU30="","",IF(Q30="FORFAIT",1,0))</f>
        <v>0</v>
      </c>
      <c r="BD30" s="445" t="str">
        <f>IF(AR30="","",RANK(AR30,$AR$20:$AR$122,1))</f>
        <v/>
      </c>
      <c r="BE30" s="445" t="str">
        <f>IF(AH30="","",VLOOKUP(AH30,'Heimmannschaft MAISON'!AB:AO,14,FALSE))</f>
        <v/>
      </c>
      <c r="BF30" s="445" t="str">
        <f>IF(AS30="","",RANK(AS30,$AS$20:$AS$122,1))</f>
        <v/>
      </c>
      <c r="BG30" s="445" t="str">
        <f>IF(AH30="","",VLOOKUP(AH30,'Gastmannschaft EXTERIEUR'!AB:AO,14,FALSE))</f>
        <v/>
      </c>
      <c r="BH30" s="445">
        <f>IFERROR(IF(BB30+BC30&gt;0,1,0),0)</f>
        <v>0</v>
      </c>
      <c r="BI30" s="446">
        <f>IF(AU30="","",IF(BC30=1,1,0))</f>
        <v>0</v>
      </c>
      <c r="BJ30" s="447">
        <f>IF(AU30="","",IF(BI30=1,SUM(BK30,BL30),0))</f>
        <v>0</v>
      </c>
      <c r="BK30" s="445">
        <f>IF(AJ30="S",IF($AB$1=1,3,2),0)</f>
        <v>3</v>
      </c>
      <c r="BL30" s="445">
        <f>IF(AJ30="D",2,0)</f>
        <v>0</v>
      </c>
      <c r="BM30" s="446">
        <f>IF(AU30="","",IF(BB30=1,1,0))</f>
        <v>0</v>
      </c>
      <c r="BN30" s="447">
        <f>IF(AU30="","",IF(BM30=1,SUM(BO30,BP30),0))</f>
        <v>0</v>
      </c>
      <c r="BO30" s="445">
        <f>IF(AJ30="S",IF($AB$1=1,3,2),0)</f>
        <v>3</v>
      </c>
      <c r="BP30" s="445">
        <f>IF(AJ30="D",2,0)</f>
        <v>0</v>
      </c>
      <c r="BQ30" s="445"/>
      <c r="BR30" s="445"/>
      <c r="BS30" s="445"/>
      <c r="BT30" s="445"/>
      <c r="BV30" s="445">
        <f>IF(AU30="","",SUM(AZ30,BI30))</f>
        <v>0</v>
      </c>
      <c r="BW30" s="445">
        <f>IF(AU30="","",SUM(AV30,BJ30))</f>
        <v>0</v>
      </c>
      <c r="BY30" s="445">
        <f>IF(AU30="","",SUM(BA30,BM30))</f>
        <v>0</v>
      </c>
      <c r="BZ30" s="445">
        <f>IF(AU30="","",SUM(AW30,BN30))</f>
        <v>0</v>
      </c>
    </row>
    <row r="31" spans="1:78" s="452" customFormat="1" ht="5.0999999999999996" customHeight="1">
      <c r="W31" s="451"/>
      <c r="AB31" s="445"/>
      <c r="AC31" s="445"/>
      <c r="AD31" s="445"/>
      <c r="AE31" s="445"/>
      <c r="AF31" s="445"/>
      <c r="AG31" s="445"/>
      <c r="AH31" s="445"/>
      <c r="AI31" s="445"/>
      <c r="AJ31" s="445"/>
      <c r="AK31" s="445"/>
      <c r="AL31" s="445"/>
      <c r="AM31" s="445"/>
      <c r="AN31" s="445"/>
      <c r="AO31" s="492"/>
      <c r="AP31" s="492"/>
      <c r="AQ31" s="445"/>
      <c r="AS31" s="445"/>
      <c r="AT31" s="445"/>
      <c r="AU31" s="445"/>
      <c r="AV31" s="445"/>
      <c r="AW31" s="445"/>
      <c r="AX31" s="445"/>
      <c r="AY31" s="445"/>
      <c r="AZ31" s="445"/>
      <c r="BA31" s="445"/>
      <c r="BB31" s="445"/>
      <c r="BC31" s="445"/>
      <c r="BD31" s="445"/>
      <c r="BE31" s="445"/>
      <c r="BF31" s="445"/>
      <c r="BG31" s="445"/>
      <c r="BH31" s="445"/>
      <c r="BI31" s="446"/>
      <c r="BJ31" s="447"/>
      <c r="BK31" s="445"/>
      <c r="BL31" s="445"/>
      <c r="BM31" s="446"/>
      <c r="BN31" s="447"/>
      <c r="BO31" s="445"/>
      <c r="BP31" s="445"/>
      <c r="BQ31" s="445"/>
      <c r="BR31" s="445"/>
      <c r="BS31" s="445"/>
      <c r="BT31" s="445"/>
    </row>
    <row r="32" spans="1:78" s="452" customFormat="1" ht="20.100000000000001" customHeight="1">
      <c r="B32" s="484" t="str">
        <f>REPT(AT32,1)</f>
        <v>SPIEL 7</v>
      </c>
      <c r="D32" s="485" t="str">
        <f>IF(AI32=0,"",CONCATENATE(AM32,AJ32))</f>
        <v>HS</v>
      </c>
      <c r="E32" s="486">
        <f>IF(AO32="*",AQ32,AL32)</f>
        <v>1.7</v>
      </c>
      <c r="G32" s="633" t="str">
        <f>REPT('Heimmannschaft MAISON'!AO25,1)</f>
        <v/>
      </c>
      <c r="H32" s="634"/>
      <c r="I32" s="487" t="str">
        <f>REPT('Heimmannschaft MAISON'!I25,1)</f>
        <v/>
      </c>
      <c r="J32" s="488"/>
      <c r="K32" s="489" t="str">
        <f>IF(AX32="","",AX32)</f>
        <v/>
      </c>
      <c r="L32" s="490" t="str">
        <f>IF(BH32=1,BW32,IF(AV32="","",AV32))</f>
        <v/>
      </c>
      <c r="M32" s="490" t="str">
        <f>IF(BH32=1,BZ32,IF(AW32="","",AW32))</f>
        <v/>
      </c>
      <c r="N32" s="489" t="str">
        <f>IF(AY32="","",AY32)</f>
        <v/>
      </c>
      <c r="O32" s="630" t="str">
        <f>REPT('Gastmannschaft EXTERIEUR'!AO25,1)</f>
        <v/>
      </c>
      <c r="P32" s="631"/>
      <c r="Q32" s="487" t="str">
        <f>REPT('Gastmannschaft EXTERIEUR'!I25,1)</f>
        <v/>
      </c>
      <c r="R32" s="491"/>
      <c r="S32" s="488"/>
      <c r="U32" s="485" t="str">
        <f>IF(AI32=0,"",CONCATENATE(AN32,AJ32))</f>
        <v>GS</v>
      </c>
      <c r="V32" s="486">
        <f>IF(AP32="*",AQ32,AL32)</f>
        <v>1.7</v>
      </c>
      <c r="W32" s="451"/>
      <c r="AB32" s="445">
        <v>7</v>
      </c>
      <c r="AC32" s="445">
        <v>7</v>
      </c>
      <c r="AD32" s="445">
        <v>7</v>
      </c>
      <c r="AE32" s="445">
        <v>4</v>
      </c>
      <c r="AF32" s="445"/>
      <c r="AG32" s="445"/>
      <c r="AH32" s="445">
        <f>IF($AB$1=3,"",IF($AB$1=2,AD32,IF($AB$1=1,AB32,"")))</f>
        <v>7</v>
      </c>
      <c r="AI32" s="445">
        <f>IF($AB$1=3,AG32,IF($AB$1=2,AE32,IF($AB$1=1,AC32,"")))</f>
        <v>7</v>
      </c>
      <c r="AJ32" s="166" t="str">
        <f>IF(AH32="","",VLOOKUP(AH32,Chema!AJ:AL,2,FALSE))</f>
        <v>S</v>
      </c>
      <c r="AK32" s="166">
        <f>IF(AH32="","",VLOOKUP(AH32,Chema!AJ:AL,3,FALSE))</f>
        <v>1.7</v>
      </c>
      <c r="AL32" s="166">
        <f>IF(AI32=0,"",IF(AI32="","",VLOOKUP(AI32,Chema!R:T,3,FALSE)))</f>
        <v>1.7</v>
      </c>
      <c r="AM32" s="166" t="str">
        <f>IF(AH32="","","H")</f>
        <v>H</v>
      </c>
      <c r="AN32" s="445" t="str">
        <f>IF(AH32="","","G")</f>
        <v>G</v>
      </c>
      <c r="AO32" s="492" t="str">
        <f>IF(AU32="","",VLOOKUP(AU32,Average!HN:HT,6,FALSE))</f>
        <v/>
      </c>
      <c r="AP32" s="492" t="str">
        <f>IF(AU32="","",VLOOKUP(AU32,Average!HN:HT,7,FALSE))</f>
        <v/>
      </c>
      <c r="AQ32" s="445" t="str">
        <f>IF(AI32=0,"",VLOOKUP(AI32,Chema!BL:BQ,6,FALSE))</f>
        <v>1.7*</v>
      </c>
      <c r="AR32" s="445" t="str">
        <f>IF(AH32="","",VLOOKUP(AH32,'Heimmannschaft MAISON'!AB:AO,14,FALSE))</f>
        <v/>
      </c>
      <c r="AS32" s="445" t="str">
        <f>IF(AH32="","",VLOOKUP(AH32,'Gastmannschaft EXTERIEUR'!AB:AO,14,FALSE))</f>
        <v/>
      </c>
      <c r="AT32" s="445" t="str">
        <f>IF(AI32=0,"",CONCATENATE($AT$18," ",AI32))</f>
        <v>SPIEL 7</v>
      </c>
      <c r="AU32" s="445" t="str">
        <f>IF(AI32=0,"",CONCATENATE($AU$18," ",AI32))</f>
        <v>SPIEL 7</v>
      </c>
      <c r="AV32" s="445" t="str">
        <f>IF(BC32=1,"",IF(AU32="","",VLOOKUP(AU32,Average!HN:HP,2,FALSE)))</f>
        <v/>
      </c>
      <c r="AW32" s="445" t="str">
        <f>IF(BB32=1,"",IF(AU32="","",VLOOKUP(AU32,Average!HN:HP,3,FALSE)))</f>
        <v/>
      </c>
      <c r="AX32" s="445" t="str">
        <f>IFERROR(IF(AU32="","",VLOOKUP(AU32,Average!HN:HQ,4,FALSE)),"")</f>
        <v/>
      </c>
      <c r="AY32" s="445" t="str">
        <f>IFERROR(IF(AU32="","",VLOOKUP(AU32,Average!HN:HR,5,FALSE)),"")</f>
        <v/>
      </c>
      <c r="AZ32" s="445">
        <f>IF(BC32=1,"",IF(AU32="","",VLOOKUP(AU32,Average!HN:HV,8,FALSE)))</f>
        <v>0</v>
      </c>
      <c r="BA32" s="445">
        <f>IF(BB32=1,"",IF(AU32="","",VLOOKUP(AU32,Average!HN:HV,9,FALSE)))</f>
        <v>0</v>
      </c>
      <c r="BB32" s="445">
        <f>IF(AU32="","",IF(I32="FORFAIT",1,0))</f>
        <v>0</v>
      </c>
      <c r="BC32" s="445">
        <f>IF(AU32="","",IF(Q32="FORFAIT",1,0))</f>
        <v>0</v>
      </c>
      <c r="BD32" s="445" t="str">
        <f>IF(AR32="","",RANK(AR32,$AR$20:$AR$122,1))</f>
        <v/>
      </c>
      <c r="BE32" s="445" t="str">
        <f>IF(AH32="","",VLOOKUP(AH32,'Heimmannschaft MAISON'!AB:AO,14,FALSE))</f>
        <v/>
      </c>
      <c r="BF32" s="445" t="str">
        <f>IF(AS32="","",RANK(AS32,$AS$20:$AS$122,1))</f>
        <v/>
      </c>
      <c r="BG32" s="445" t="str">
        <f>IF(AH32="","",VLOOKUP(AH32,'Gastmannschaft EXTERIEUR'!AB:AO,14,FALSE))</f>
        <v/>
      </c>
      <c r="BH32" s="445">
        <f>IFERROR(IF(BB32+BC32&gt;0,1,0),0)</f>
        <v>0</v>
      </c>
      <c r="BI32" s="446">
        <f>IF(AU32="","",IF(BC32=1,1,0))</f>
        <v>0</v>
      </c>
      <c r="BJ32" s="447">
        <f>IF(AU32="","",IF(BI32=1,SUM(BK32,BL32),0))</f>
        <v>0</v>
      </c>
      <c r="BK32" s="445">
        <f>IF(AJ32="S",IF($AB$1=1,3,2),0)</f>
        <v>3</v>
      </c>
      <c r="BL32" s="445">
        <f>IF(AJ32="D",2,0)</f>
        <v>0</v>
      </c>
      <c r="BM32" s="446">
        <f>IF(BQ32=1,BT32,IF(AU32="","",IF(BB32=1,1,0)))</f>
        <v>0</v>
      </c>
      <c r="BN32" s="447">
        <f>IF(AU32="","",IF(BM32=1,SUM(BO32,BP32),0))</f>
        <v>0</v>
      </c>
      <c r="BO32" s="445">
        <f>IF(AJ32="S",IF($AB$1=1,3,2),0)</f>
        <v>3</v>
      </c>
      <c r="BP32" s="445">
        <f>IF(AJ32="D",2,0)</f>
        <v>0</v>
      </c>
      <c r="BQ32" s="445">
        <f>IF(BR16=2,IF(AB1=2,1,0),0)</f>
        <v>0</v>
      </c>
      <c r="BR32" s="493">
        <v>1</v>
      </c>
      <c r="BS32" s="493">
        <v>2</v>
      </c>
      <c r="BT32" s="493">
        <v>0</v>
      </c>
      <c r="BU32" s="493">
        <v>0</v>
      </c>
      <c r="BV32" s="445">
        <f>IF(AU32="","",SUM(AZ32,BI32))</f>
        <v>0</v>
      </c>
      <c r="BW32" s="445">
        <f>IF(AU32="","",SUM(AV32,BJ32))</f>
        <v>0</v>
      </c>
      <c r="BY32" s="445">
        <f>IF(AU32="","",SUM(BA32,BM32))</f>
        <v>0</v>
      </c>
      <c r="BZ32" s="445">
        <f>IF(AU32="","",SUM(AW32,BN32))</f>
        <v>0</v>
      </c>
    </row>
    <row r="33" spans="1:78" s="452" customFormat="1" ht="5.0999999999999996" customHeight="1">
      <c r="W33" s="451"/>
      <c r="AB33" s="445"/>
      <c r="AC33" s="445"/>
      <c r="AD33" s="445"/>
      <c r="AE33" s="445"/>
      <c r="AF33" s="445"/>
      <c r="AG33" s="445"/>
      <c r="AH33" s="445"/>
      <c r="AI33" s="445"/>
      <c r="AJ33" s="445"/>
      <c r="AK33" s="445"/>
      <c r="AL33" s="445"/>
      <c r="AM33" s="445"/>
      <c r="AN33" s="445"/>
      <c r="AO33" s="492"/>
      <c r="AP33" s="492"/>
      <c r="AQ33" s="445"/>
      <c r="AS33" s="445"/>
      <c r="AT33" s="445"/>
      <c r="AU33" s="445"/>
      <c r="AV33" s="445"/>
      <c r="AW33" s="445"/>
      <c r="AX33" s="445"/>
      <c r="AY33" s="445"/>
      <c r="AZ33" s="445"/>
      <c r="BA33" s="445"/>
      <c r="BB33" s="445"/>
      <c r="BC33" s="445"/>
      <c r="BD33" s="445"/>
      <c r="BE33" s="445"/>
      <c r="BF33" s="445"/>
      <c r="BG33" s="445"/>
      <c r="BH33" s="445"/>
      <c r="BI33" s="446"/>
      <c r="BJ33" s="447"/>
      <c r="BK33" s="445"/>
      <c r="BL33" s="445"/>
      <c r="BM33" s="446"/>
      <c r="BN33" s="447"/>
      <c r="BO33" s="445"/>
      <c r="BP33" s="445"/>
      <c r="BQ33" s="445"/>
      <c r="BR33" s="445"/>
      <c r="BS33" s="445"/>
      <c r="BT33" s="445"/>
    </row>
    <row r="34" spans="1:78" s="452" customFormat="1" ht="20.100000000000001" customHeight="1">
      <c r="B34" s="484" t="str">
        <f>REPT(AT34,1)</f>
        <v>SPIEL 8</v>
      </c>
      <c r="D34" s="485" t="str">
        <f>IF(AI34=0,"",CONCATENATE(AM34,AJ34))</f>
        <v>HS</v>
      </c>
      <c r="E34" s="486">
        <f>IF(AO34="*",AQ34,AL34)</f>
        <v>1.8</v>
      </c>
      <c r="G34" s="633" t="str">
        <f>REPT('Heimmannschaft MAISON'!AO27,1)</f>
        <v/>
      </c>
      <c r="H34" s="634"/>
      <c r="I34" s="487" t="str">
        <f>REPT('Heimmannschaft MAISON'!I27,1)</f>
        <v/>
      </c>
      <c r="J34" s="488"/>
      <c r="K34" s="489" t="str">
        <f>IF(AX34="","",AX34)</f>
        <v/>
      </c>
      <c r="L34" s="490" t="str">
        <f>IF(BH34=1,BW34,IF(AV34="","",AV34))</f>
        <v/>
      </c>
      <c r="M34" s="490" t="str">
        <f>IF(BH34=1,BZ34,IF(AW34="","",AW34))</f>
        <v/>
      </c>
      <c r="N34" s="489" t="str">
        <f>IF(AY34="","",AY34)</f>
        <v/>
      </c>
      <c r="O34" s="630" t="str">
        <f>REPT('Gastmannschaft EXTERIEUR'!AO27,1)</f>
        <v/>
      </c>
      <c r="P34" s="631"/>
      <c r="Q34" s="487" t="str">
        <f>REPT('Gastmannschaft EXTERIEUR'!I27,1)</f>
        <v/>
      </c>
      <c r="R34" s="491"/>
      <c r="S34" s="488"/>
      <c r="U34" s="485" t="str">
        <f>IF(AI34=0,"",CONCATENATE(AN34,AJ34))</f>
        <v>GS</v>
      </c>
      <c r="V34" s="486">
        <f>IF(AP34="*",AQ34,AL34)</f>
        <v>1.8</v>
      </c>
      <c r="W34" s="451"/>
      <c r="AB34" s="445">
        <v>8</v>
      </c>
      <c r="AC34" s="445">
        <v>8</v>
      </c>
      <c r="AD34" s="445">
        <v>8</v>
      </c>
      <c r="AE34" s="445"/>
      <c r="AF34" s="445"/>
      <c r="AG34" s="445"/>
      <c r="AH34" s="445">
        <f>IF($AB$1=3,"",IF($AB$1=2,AD34,IF($AB$1=1,AB34,"")))</f>
        <v>8</v>
      </c>
      <c r="AI34" s="445">
        <f>IF($AB$1=3,AG34,IF($AB$1=2,AE34,IF($AB$1=1,AC34,"")))</f>
        <v>8</v>
      </c>
      <c r="AJ34" s="166" t="str">
        <f>IF(AH34="","",VLOOKUP(AH34,Chema!AJ:AL,2,FALSE))</f>
        <v>S</v>
      </c>
      <c r="AK34" s="166">
        <f>IF(AH34="","",VLOOKUP(AH34,Chema!AJ:AL,3,FALSE))</f>
        <v>1.8</v>
      </c>
      <c r="AL34" s="166">
        <f>IF(AI34=0,"",IF(AI34="","",VLOOKUP(AI34,Chema!R:T,3,FALSE)))</f>
        <v>1.8</v>
      </c>
      <c r="AM34" s="166" t="str">
        <f>IF(AH34="","","H")</f>
        <v>H</v>
      </c>
      <c r="AN34" s="445" t="str">
        <f>IF(AH34="","","G")</f>
        <v>G</v>
      </c>
      <c r="AO34" s="492" t="str">
        <f>IF(AU34="","",VLOOKUP(AU34,Average!HN:HT,6,FALSE))</f>
        <v/>
      </c>
      <c r="AP34" s="492" t="str">
        <f>IF(AU34="","",VLOOKUP(AU34,Average!HN:HT,7,FALSE))</f>
        <v/>
      </c>
      <c r="AQ34" s="445" t="str">
        <f>IF(AI34=0,"",VLOOKUP(AI34,Chema!BL:BQ,6,FALSE))</f>
        <v>1.8*</v>
      </c>
      <c r="AR34" s="445" t="str">
        <f>IF(AH34="","",VLOOKUP(AH34,'Heimmannschaft MAISON'!AB:AO,14,FALSE))</f>
        <v/>
      </c>
      <c r="AS34" s="445" t="str">
        <f>IF(AH34="","",VLOOKUP(AH34,'Gastmannschaft EXTERIEUR'!AB:AO,14,FALSE))</f>
        <v/>
      </c>
      <c r="AT34" s="445" t="str">
        <f>IF(AI34=0,"",CONCATENATE($AT$18," ",AI34))</f>
        <v>SPIEL 8</v>
      </c>
      <c r="AU34" s="445" t="str">
        <f>IF(AI34=0,"",CONCATENATE($AU$18," ",AI34))</f>
        <v>SPIEL 8</v>
      </c>
      <c r="AV34" s="445" t="str">
        <f>IF(BC34=1,"",IF(AU34="","",VLOOKUP(AU34,Average!HN:HP,2,FALSE)))</f>
        <v/>
      </c>
      <c r="AW34" s="445" t="str">
        <f>IF(BB34=1,"",IF(AU34="","",VLOOKUP(AU34,Average!HN:HP,3,FALSE)))</f>
        <v/>
      </c>
      <c r="AX34" s="445" t="str">
        <f>IFERROR(IF(AU34="","",VLOOKUP(AU34,Average!HN:HQ,4,FALSE)),"")</f>
        <v/>
      </c>
      <c r="AY34" s="445" t="str">
        <f>IFERROR(IF(AU34="","",VLOOKUP(AU34,Average!HN:HR,5,FALSE)),"")</f>
        <v/>
      </c>
      <c r="AZ34" s="445">
        <f>IF(BC34=1,"",IF(AU34="","",VLOOKUP(AU34,Average!HN:HV,8,FALSE)))</f>
        <v>0</v>
      </c>
      <c r="BA34" s="445">
        <f>IF(BB34=1,"",IF(AU34="","",VLOOKUP(AU34,Average!HN:HV,9,FALSE)))</f>
        <v>0</v>
      </c>
      <c r="BB34" s="445">
        <f>IF(AU34="","",IF(I34="FORFAIT",1,0))</f>
        <v>0</v>
      </c>
      <c r="BC34" s="445">
        <f>IF(AU34="","",IF(Q34="FORFAIT",1,0))</f>
        <v>0</v>
      </c>
      <c r="BD34" s="445" t="str">
        <f>IF(AR34="","",RANK(AR34,$AR$20:$AR$122,1))</f>
        <v/>
      </c>
      <c r="BE34" s="445" t="str">
        <f>IF(AH34="","",VLOOKUP(AH34,'Heimmannschaft MAISON'!AB:AO,14,FALSE))</f>
        <v/>
      </c>
      <c r="BF34" s="445" t="str">
        <f>IF(AS34="","",RANK(AS34,$AS$20:$AS$122,1))</f>
        <v/>
      </c>
      <c r="BG34" s="445" t="str">
        <f>IF(AH34="","",VLOOKUP(AH34,'Gastmannschaft EXTERIEUR'!AB:AO,14,FALSE))</f>
        <v/>
      </c>
      <c r="BH34" s="445">
        <f>IFERROR(IF(BB34+BC34&gt;0,1,0),0)</f>
        <v>0</v>
      </c>
      <c r="BI34" s="446">
        <f>IF(AU34="","",IF(BC34=1,1,0))</f>
        <v>0</v>
      </c>
      <c r="BJ34" s="447">
        <f>IF(AU34="","",IF(BI34=1,SUM(BK34,BL34),0))</f>
        <v>0</v>
      </c>
      <c r="BK34" s="445">
        <f>IF(AJ34="S",IF($AB$1=1,3,2),0)</f>
        <v>3</v>
      </c>
      <c r="BL34" s="445">
        <f>IF(AJ34="D",2,0)</f>
        <v>0</v>
      </c>
      <c r="BM34" s="446">
        <f>IF(BQ34=1,BT34,IF(AU34="","",IF(BB34=1,1,0)))</f>
        <v>0</v>
      </c>
      <c r="BN34" s="447">
        <f>IF(AU34="","",IF(BM34=1,SUM(BO34,BP34),0))</f>
        <v>0</v>
      </c>
      <c r="BO34" s="445">
        <f>IF(AJ34="S",IF($AB$1=1,3,2),0)</f>
        <v>3</v>
      </c>
      <c r="BP34" s="445">
        <f>IF(AJ34="D",2,0)</f>
        <v>0</v>
      </c>
      <c r="BQ34" s="445">
        <f>IF(BR16=2,IF(AB1=1,1,0),0)</f>
        <v>0</v>
      </c>
      <c r="BR34" s="494">
        <v>1</v>
      </c>
      <c r="BS34" s="494">
        <v>2</v>
      </c>
      <c r="BT34" s="494">
        <v>0</v>
      </c>
      <c r="BU34" s="494">
        <v>0</v>
      </c>
      <c r="BV34" s="445">
        <f>IF(AU34="","",SUM(AZ34,BI34))</f>
        <v>0</v>
      </c>
      <c r="BW34" s="445">
        <f>IF(AU34="","",SUM(AV34,BJ34))</f>
        <v>0</v>
      </c>
      <c r="BY34" s="445">
        <f>IF(AU34="","",SUM(BA34,BM34))</f>
        <v>0</v>
      </c>
      <c r="BZ34" s="445">
        <f>IF(AU34="","",SUM(AW34,BN34))</f>
        <v>0</v>
      </c>
    </row>
    <row r="35" spans="1:78" s="452" customFormat="1" ht="20.100000000000001" customHeight="1">
      <c r="L35" s="628" t="str">
        <f>REPT(Sprache!$K$56,1)</f>
        <v>Zwischenresultat</v>
      </c>
      <c r="M35" s="629"/>
      <c r="W35" s="451"/>
      <c r="AB35" s="445"/>
      <c r="AC35" s="445"/>
      <c r="AD35" s="445"/>
      <c r="AE35" s="445"/>
      <c r="AF35" s="445"/>
      <c r="AG35" s="445"/>
      <c r="AH35" s="445"/>
      <c r="AI35" s="445"/>
      <c r="AJ35" s="445"/>
      <c r="AK35" s="445"/>
      <c r="AL35" s="445"/>
      <c r="AM35" s="445"/>
      <c r="AN35" s="445"/>
      <c r="AO35" s="445"/>
      <c r="AP35" s="445"/>
      <c r="AQ35" s="445"/>
      <c r="AR35" s="445"/>
      <c r="AS35" s="445"/>
      <c r="AT35" s="445"/>
      <c r="AU35" s="445"/>
      <c r="AV35" s="445"/>
      <c r="AW35" s="445"/>
      <c r="AX35" s="445"/>
      <c r="AY35" s="445"/>
      <c r="AZ35" s="445"/>
      <c r="BA35" s="445"/>
      <c r="BB35" s="445"/>
      <c r="BC35" s="445"/>
      <c r="BD35" s="445"/>
      <c r="BE35" s="445"/>
      <c r="BF35" s="445"/>
      <c r="BG35" s="445"/>
      <c r="BH35" s="445"/>
      <c r="BI35" s="446"/>
      <c r="BJ35" s="447"/>
      <c r="BK35" s="445"/>
      <c r="BL35" s="445"/>
      <c r="BM35" s="446"/>
      <c r="BN35" s="447"/>
      <c r="BO35" s="445"/>
      <c r="BP35" s="445"/>
      <c r="BQ35" s="445"/>
      <c r="BR35" s="445"/>
      <c r="BS35" s="445"/>
      <c r="BT35" s="445"/>
    </row>
    <row r="36" spans="1:78" s="452" customFormat="1" ht="24.95" customHeight="1">
      <c r="L36" s="495">
        <f>SUM(BV36)</f>
        <v>0</v>
      </c>
      <c r="M36" s="495">
        <f>SUM(BY36)</f>
        <v>0</v>
      </c>
      <c r="W36" s="451"/>
      <c r="AB36" s="445"/>
      <c r="AC36" s="445"/>
      <c r="AD36" s="445"/>
      <c r="AE36" s="445"/>
      <c r="AF36" s="445"/>
      <c r="AG36" s="445"/>
      <c r="AH36" s="445"/>
      <c r="AI36" s="445"/>
      <c r="AJ36" s="445"/>
      <c r="AK36" s="445"/>
      <c r="AL36" s="445"/>
      <c r="AM36" s="445"/>
      <c r="AN36" s="445"/>
      <c r="AO36" s="445"/>
      <c r="AP36" s="445"/>
      <c r="AQ36" s="445"/>
      <c r="AR36" s="445"/>
      <c r="AS36" s="445"/>
      <c r="AT36" s="445"/>
      <c r="AU36" s="445"/>
      <c r="AV36" s="445"/>
      <c r="AW36" s="445"/>
      <c r="AX36" s="445"/>
      <c r="AY36" s="445"/>
      <c r="AZ36" s="445"/>
      <c r="BA36" s="445"/>
      <c r="BB36" s="445"/>
      <c r="BC36" s="445"/>
      <c r="BD36" s="445"/>
      <c r="BE36" s="445"/>
      <c r="BF36" s="445"/>
      <c r="BG36" s="445"/>
      <c r="BH36" s="445"/>
      <c r="BI36" s="446"/>
      <c r="BJ36" s="447"/>
      <c r="BK36" s="445"/>
      <c r="BL36" s="445"/>
      <c r="BM36" s="446"/>
      <c r="BN36" s="447"/>
      <c r="BO36" s="445"/>
      <c r="BP36" s="445"/>
      <c r="BQ36" s="445"/>
      <c r="BR36" s="445"/>
      <c r="BS36" s="445"/>
      <c r="BT36" s="445"/>
      <c r="BV36" s="445">
        <f>SUM(BV20:BV34)</f>
        <v>0</v>
      </c>
      <c r="BW36" s="445"/>
      <c r="BY36" s="445">
        <f>SUM(BY20:BY34)</f>
        <v>0</v>
      </c>
      <c r="BZ36" s="445"/>
    </row>
    <row r="37" spans="1:78" s="452" customFormat="1" ht="20.100000000000001" customHeight="1">
      <c r="W37" s="451"/>
      <c r="AB37" s="445"/>
      <c r="AC37" s="445"/>
      <c r="AD37" s="445"/>
      <c r="AE37" s="445"/>
      <c r="AF37" s="445"/>
      <c r="AG37" s="445"/>
      <c r="AH37" s="445"/>
      <c r="AI37" s="445"/>
      <c r="AJ37" s="445"/>
      <c r="AK37" s="445"/>
      <c r="AL37" s="445"/>
      <c r="AM37" s="445"/>
      <c r="AN37" s="445"/>
      <c r="AO37" s="445"/>
      <c r="AP37" s="445"/>
      <c r="AQ37" s="445"/>
      <c r="AR37" s="445"/>
      <c r="AS37" s="445"/>
      <c r="AT37" s="445"/>
      <c r="AU37" s="445"/>
      <c r="AV37" s="445"/>
      <c r="AW37" s="445"/>
      <c r="AX37" s="445"/>
      <c r="AY37" s="445"/>
      <c r="AZ37" s="445"/>
      <c r="BA37" s="445"/>
      <c r="BB37" s="445"/>
      <c r="BC37" s="445"/>
      <c r="BD37" s="445"/>
      <c r="BE37" s="445"/>
      <c r="BF37" s="445"/>
      <c r="BG37" s="445"/>
      <c r="BH37" s="445"/>
      <c r="BI37" s="446"/>
      <c r="BJ37" s="447"/>
      <c r="BK37" s="445"/>
      <c r="BL37" s="445"/>
      <c r="BM37" s="446"/>
      <c r="BN37" s="447"/>
      <c r="BO37" s="445"/>
      <c r="BP37" s="445"/>
      <c r="BQ37" s="445"/>
      <c r="BR37" s="445"/>
      <c r="BS37" s="445"/>
      <c r="BT37" s="445"/>
    </row>
    <row r="38" spans="1:78" ht="18" customHeight="1">
      <c r="A38" s="451"/>
      <c r="B38" s="452"/>
      <c r="C38" s="452"/>
      <c r="D38" s="452"/>
      <c r="E38" s="452"/>
      <c r="F38" s="452"/>
      <c r="G38" s="458" t="str">
        <f>REPT('Heimmannschaft MAISON'!I31,1)</f>
        <v>Erste Runde Doppel</v>
      </c>
      <c r="H38" s="87"/>
      <c r="I38" s="87"/>
      <c r="J38" s="87"/>
      <c r="K38" s="88"/>
      <c r="L38" s="82" t="s">
        <v>859</v>
      </c>
      <c r="M38" s="82" t="s">
        <v>860</v>
      </c>
      <c r="N38" s="481"/>
      <c r="O38" s="482">
        <f>SUM(P38)/100</f>
        <v>0</v>
      </c>
      <c r="P38" s="482">
        <f>SUM(O34)</f>
        <v>0</v>
      </c>
      <c r="Q38" s="483"/>
      <c r="R38" s="620" t="str">
        <f>REPT('Heimmannschaft MAISON'!I31,1)</f>
        <v>Erste Runde Doppel</v>
      </c>
      <c r="S38" s="621"/>
      <c r="T38" s="91"/>
      <c r="U38" s="82"/>
      <c r="V38" s="82"/>
      <c r="W38" s="451"/>
      <c r="X38" s="452"/>
      <c r="Y38" s="452"/>
      <c r="Z38" s="452"/>
      <c r="AA38" s="452"/>
    </row>
    <row r="39" spans="1:78" ht="9.9499999999999993" customHeight="1">
      <c r="A39" s="451"/>
      <c r="B39" s="452"/>
      <c r="C39" s="452"/>
      <c r="D39" s="452"/>
      <c r="E39" s="452"/>
      <c r="F39" s="452"/>
      <c r="G39" s="91"/>
      <c r="H39" s="91"/>
      <c r="I39" s="91"/>
      <c r="J39" s="91"/>
      <c r="K39" s="91"/>
      <c r="L39" s="82"/>
      <c r="M39" s="82"/>
      <c r="N39" s="82"/>
      <c r="O39" s="91"/>
      <c r="P39" s="91"/>
      <c r="Q39" s="91"/>
      <c r="R39" s="91"/>
      <c r="S39" s="91"/>
      <c r="T39" s="91"/>
      <c r="U39" s="82"/>
      <c r="V39" s="82"/>
      <c r="W39" s="451"/>
      <c r="X39" s="452"/>
      <c r="Y39" s="452"/>
      <c r="Z39" s="452"/>
      <c r="AA39" s="452"/>
    </row>
    <row r="40" spans="1:78" s="452" customFormat="1" ht="20.100000000000001" customHeight="1">
      <c r="B40" s="484" t="str">
        <f>REPT(AT40,1)</f>
        <v>SPIEL 9</v>
      </c>
      <c r="C40" s="445"/>
      <c r="D40" s="485" t="str">
        <f>IF(AI40=0,"",CONCATENATE(AM40,AJ40))</f>
        <v>HD</v>
      </c>
      <c r="E40" s="486">
        <f>IF(AO40="*",AQ40,AL40)</f>
        <v>1.1000000000000001</v>
      </c>
      <c r="G40" s="633" t="str">
        <f>REPT('Heimmannschaft MAISON'!AO33,1)</f>
        <v/>
      </c>
      <c r="H40" s="634"/>
      <c r="I40" s="487" t="str">
        <f>REPT('Heimmannschaft MAISON'!I33,1)</f>
        <v/>
      </c>
      <c r="J40" s="488"/>
      <c r="K40" s="489" t="str">
        <f>IF(AX40="","",AX40)</f>
        <v/>
      </c>
      <c r="L40" s="490" t="str">
        <f>IF(BH40=1,BW40,IF(AV40="","",AV40))</f>
        <v/>
      </c>
      <c r="M40" s="490" t="str">
        <f>IF(BH40=1,BZ40,IF(AW40="","",AW40))</f>
        <v/>
      </c>
      <c r="N40" s="489" t="str">
        <f>IF(AY40="","",AY40)</f>
        <v/>
      </c>
      <c r="O40" s="630" t="str">
        <f>REPT('Gastmannschaft EXTERIEUR'!AO33,1)</f>
        <v/>
      </c>
      <c r="P40" s="631"/>
      <c r="Q40" s="487" t="str">
        <f>REPT('Gastmannschaft EXTERIEUR'!I33,1)</f>
        <v/>
      </c>
      <c r="R40" s="491"/>
      <c r="S40" s="488"/>
      <c r="U40" s="485" t="str">
        <f>IF(AI40=0,"",CONCATENATE(AN40,AJ40))</f>
        <v>GD</v>
      </c>
      <c r="V40" s="486">
        <f>IF(AP40="*",AQ40,AL40)</f>
        <v>1.1000000000000001</v>
      </c>
      <c r="W40" s="451"/>
      <c r="AB40" s="445">
        <v>9</v>
      </c>
      <c r="AC40" s="445">
        <v>9</v>
      </c>
      <c r="AD40" s="445">
        <v>9</v>
      </c>
      <c r="AE40" s="445">
        <v>5</v>
      </c>
      <c r="AF40" s="445">
        <v>7</v>
      </c>
      <c r="AG40" s="445">
        <v>4</v>
      </c>
      <c r="AH40" s="445">
        <f>IF($AB$1=3,AF40,IF($AB$1=2,AD40,IF($AB$1=1,AB40,"")))</f>
        <v>9</v>
      </c>
      <c r="AI40" s="445">
        <f>IF($AB$1=3,AG40,IF($AB$1=2,AE40,IF($AB$1=1,AC40,"")))</f>
        <v>9</v>
      </c>
      <c r="AJ40" s="166" t="str">
        <f>IF(AH40="","",VLOOKUP(AH40,Chema!AJ:AL,2,FALSE))</f>
        <v>D</v>
      </c>
      <c r="AK40" s="166" t="str">
        <f>IF(AH40="","",VLOOKUP(AH40,Chema!AJ:AL,3,FALSE))</f>
        <v>1.1.1</v>
      </c>
      <c r="AL40" s="166">
        <f>IF(AI40=0,"",IF(AI40="","",VLOOKUP(AI40,Chema!R:T,3,FALSE)))</f>
        <v>1.1000000000000001</v>
      </c>
      <c r="AM40" s="166" t="s">
        <v>894</v>
      </c>
      <c r="AN40" s="445" t="s">
        <v>895</v>
      </c>
      <c r="AO40" s="492" t="str">
        <f>IF(AU40="","",VLOOKUP(AU40,Average!HN:HT,6,FALSE))</f>
        <v/>
      </c>
      <c r="AP40" s="492" t="str">
        <f>IF(AU40="","",VLOOKUP(AU40,Average!HN:HT,7,FALSE))</f>
        <v/>
      </c>
      <c r="AQ40" s="445" t="str">
        <f>IF(AI40=0,"",VLOOKUP(AI40,Chema!BL:BQ,6,FALSE))</f>
        <v>1.1*</v>
      </c>
      <c r="AR40" s="445" t="str">
        <f>VLOOKUP(AH40,'Heimmannschaft MAISON'!AB:AO,14,FALSE)</f>
        <v/>
      </c>
      <c r="AS40" s="445" t="str">
        <f>VLOOKUP(AH40,'Gastmannschaft EXTERIEUR'!AB:AO,14,FALSE)</f>
        <v/>
      </c>
      <c r="AT40" s="445" t="str">
        <f>IF(AI40=0,"",CONCATENATE($AT$18," ",AI40))</f>
        <v>SPIEL 9</v>
      </c>
      <c r="AU40" s="445" t="str">
        <f>IF(AI40=0,"",CONCATENATE($AU$18," ",AI40))</f>
        <v>SPIEL 9</v>
      </c>
      <c r="AV40" s="445" t="str">
        <f>IF(BC40=1,"",IF(AU40="","",VLOOKUP(AU40,Average!HN:HP,2,FALSE)))</f>
        <v/>
      </c>
      <c r="AW40" s="445" t="str">
        <f>IF(BB40=1,"",IF(AU40="","",VLOOKUP(AU40,Average!HN:HP,3,FALSE)))</f>
        <v/>
      </c>
      <c r="AX40" s="445" t="str">
        <f>IFERROR(IF(AU40="","",VLOOKUP(AU40,Average!HN:HQ,4,FALSE)),"")</f>
        <v/>
      </c>
      <c r="AY40" s="445" t="str">
        <f>IFERROR(IF(AU40="","",VLOOKUP(AU40,Average!HN:HR,5,FALSE)),"")</f>
        <v/>
      </c>
      <c r="AZ40" s="445">
        <f>IF(BC40=1,"",IF(AU40="","",VLOOKUP(AU40,Average!HN:HV,8,FALSE)))</f>
        <v>0</v>
      </c>
      <c r="BA40" s="445">
        <f>IF(BB40=1,"",IF(AU40="","",VLOOKUP(AU40,Average!HN:HV,9,FALSE)))</f>
        <v>0</v>
      </c>
      <c r="BB40" s="445">
        <f>IF(AU40="","",IF(I40="FORFAIT",1,0))</f>
        <v>0</v>
      </c>
      <c r="BC40" s="445">
        <f>IF(AU40="","",IF(Q40="FORFAIT",1,0))</f>
        <v>0</v>
      </c>
      <c r="BD40" s="445" t="str">
        <f>IF(AR40="","",RANK(AR40,$AR$20:$AR$122,1))</f>
        <v/>
      </c>
      <c r="BE40" s="445" t="str">
        <f>IF(AH40="","",VLOOKUP(AH40,'Heimmannschaft MAISON'!AB:AO,14,FALSE))</f>
        <v/>
      </c>
      <c r="BF40" s="445" t="str">
        <f>IF(AS40="","",RANK(AS40,$AS$20:$AS$122,1))</f>
        <v/>
      </c>
      <c r="BG40" s="445" t="str">
        <f>IF(AH40="","",VLOOKUP(AH40,'Gastmannschaft EXTERIEUR'!AB:AO,14,FALSE))</f>
        <v/>
      </c>
      <c r="BH40" s="445">
        <f>IFERROR(IF(BB40+BC40&gt;0,1,0),0)</f>
        <v>0</v>
      </c>
      <c r="BI40" s="446">
        <f>IF(AU40="","",IF(BC40=1,1,0))</f>
        <v>0</v>
      </c>
      <c r="BJ40" s="447">
        <f>IF(AU40="","",IF(BI40=1,SUM(BK40,BL40),0))</f>
        <v>0</v>
      </c>
      <c r="BK40" s="445">
        <f>IF(AJ40="S",IF($AB$1=1,3,2),0)</f>
        <v>0</v>
      </c>
      <c r="BL40" s="445">
        <f>IF(AJ40="D",2,0)</f>
        <v>2</v>
      </c>
      <c r="BM40" s="446">
        <f>IF(AU40="","",IF(BB40=1,1,0))</f>
        <v>0</v>
      </c>
      <c r="BN40" s="447">
        <f>IF(AU40="","",IF(BM40=1,SUM(BO40,BP40),0))</f>
        <v>0</v>
      </c>
      <c r="BO40" s="445">
        <f>IF(AJ40="S",IF($AB$1=1,3,2),0)</f>
        <v>0</v>
      </c>
      <c r="BP40" s="445">
        <f>IF(AJ40="D",2,0)</f>
        <v>2</v>
      </c>
      <c r="BQ40" s="445"/>
      <c r="BR40" s="445"/>
      <c r="BS40" s="445"/>
      <c r="BT40" s="445"/>
      <c r="BV40" s="445">
        <f>IF(AU40="","",SUM(AZ40,BI40))</f>
        <v>0</v>
      </c>
      <c r="BW40" s="445">
        <f>IF(AU40="","",SUM(AV40,BJ40))</f>
        <v>0</v>
      </c>
      <c r="BY40" s="445">
        <f>IF(AU40="","",SUM(BA40,BM40))</f>
        <v>0</v>
      </c>
      <c r="BZ40" s="445">
        <f>IF(AU40="","",SUM(AW40,BN40))</f>
        <v>0</v>
      </c>
    </row>
    <row r="41" spans="1:78" s="452" customFormat="1" ht="5.0999999999999996" customHeight="1">
      <c r="W41" s="451"/>
      <c r="AB41" s="445"/>
      <c r="AC41" s="445"/>
      <c r="AD41" s="445"/>
      <c r="AE41" s="445"/>
      <c r="AF41" s="445"/>
      <c r="AG41" s="445"/>
      <c r="AH41" s="445"/>
      <c r="AI41" s="445"/>
      <c r="AJ41" s="445"/>
      <c r="AK41" s="445"/>
      <c r="AL41" s="445"/>
      <c r="AM41" s="445"/>
      <c r="AN41" s="445"/>
      <c r="AO41" s="492"/>
      <c r="AP41" s="492"/>
      <c r="AQ41" s="445"/>
      <c r="AS41" s="445"/>
      <c r="AT41" s="445"/>
      <c r="AU41" s="445"/>
      <c r="AV41" s="445"/>
      <c r="AW41" s="445"/>
      <c r="AX41" s="445"/>
      <c r="AY41" s="445"/>
      <c r="AZ41" s="445"/>
      <c r="BA41" s="445"/>
      <c r="BB41" s="445"/>
      <c r="BC41" s="445"/>
      <c r="BD41" s="445"/>
      <c r="BE41" s="445"/>
      <c r="BF41" s="445"/>
      <c r="BG41" s="445"/>
      <c r="BH41" s="445"/>
      <c r="BI41" s="446"/>
      <c r="BJ41" s="447"/>
      <c r="BK41" s="445"/>
      <c r="BL41" s="445"/>
      <c r="BM41" s="446"/>
      <c r="BN41" s="447"/>
      <c r="BO41" s="445"/>
      <c r="BP41" s="445"/>
      <c r="BQ41" s="445"/>
      <c r="BR41" s="445"/>
      <c r="BS41" s="445"/>
      <c r="BT41" s="445"/>
    </row>
    <row r="42" spans="1:78" s="452" customFormat="1" ht="20.100000000000001" customHeight="1">
      <c r="B42" s="484" t="str">
        <f>REPT(AT42,1)</f>
        <v/>
      </c>
      <c r="D42" s="485" t="str">
        <f>IF(AI42=0,"",CONCATENATE(AM42,AJ42))</f>
        <v/>
      </c>
      <c r="E42" s="486" t="str">
        <f>IF(AO42="*",AQ42,AL42)</f>
        <v/>
      </c>
      <c r="G42" s="633" t="str">
        <f>REPT('Heimmannschaft MAISON'!AO35,1)</f>
        <v/>
      </c>
      <c r="H42" s="634"/>
      <c r="I42" s="487" t="str">
        <f>REPT('Heimmannschaft MAISON'!I35,1)</f>
        <v/>
      </c>
      <c r="J42" s="488"/>
      <c r="K42" s="489" t="str">
        <f>IF(AX42="","",AX42)</f>
        <v/>
      </c>
      <c r="L42" s="490" t="str">
        <f>IF(BH42=1,BW42,IF(AV42="","",AV42))</f>
        <v/>
      </c>
      <c r="M42" s="490" t="str">
        <f>IF(BH42=1,BZ42,IF(AW42="","",AW42))</f>
        <v/>
      </c>
      <c r="N42" s="489" t="str">
        <f>IF(AY42="","",AY42)</f>
        <v/>
      </c>
      <c r="O42" s="630" t="str">
        <f>REPT('Gastmannschaft EXTERIEUR'!AO35,1)</f>
        <v/>
      </c>
      <c r="P42" s="631"/>
      <c r="Q42" s="487" t="str">
        <f>REPT('Gastmannschaft EXTERIEUR'!I35,1)</f>
        <v/>
      </c>
      <c r="R42" s="491"/>
      <c r="S42" s="488"/>
      <c r="U42" s="485" t="str">
        <f>IF(AI42=0,"",CONCATENATE(AN42,AJ42))</f>
        <v/>
      </c>
      <c r="V42" s="486" t="str">
        <f>IF(AP42="*",AQ42,AL42)</f>
        <v/>
      </c>
      <c r="W42" s="451"/>
      <c r="AB42" s="445">
        <v>10</v>
      </c>
      <c r="AC42" s="445"/>
      <c r="AD42" s="445">
        <v>10</v>
      </c>
      <c r="AE42" s="445">
        <v>6</v>
      </c>
      <c r="AF42" s="445">
        <v>8</v>
      </c>
      <c r="AG42" s="445">
        <v>5</v>
      </c>
      <c r="AH42" s="445">
        <f>IF($AB$1=3,AF42,IF($AB$1=2,AD42,IF($AB$1=1,AB42,"")))</f>
        <v>10</v>
      </c>
      <c r="AI42" s="445">
        <f>IF($AB$1=3,AG42,IF($AB$1=2,AE42,IF($AB$1=1,AC42,"")))</f>
        <v>0</v>
      </c>
      <c r="AJ42" s="166" t="str">
        <f>IF(AH42="","",VLOOKUP(AH42,Chema!AJ:AL,2,FALSE))</f>
        <v>D</v>
      </c>
      <c r="AK42" s="166" t="str">
        <f>IF(AH42="","",VLOOKUP(AH42,Chema!AJ:AL,3,FALSE))</f>
        <v>1.1.2</v>
      </c>
      <c r="AL42" s="166" t="str">
        <f>IF(AI42=0,"",IF(AI42="","",VLOOKUP(AI42,Chema!R:T,3,FALSE)))</f>
        <v/>
      </c>
      <c r="AM42" s="166" t="s">
        <v>894</v>
      </c>
      <c r="AN42" s="445" t="s">
        <v>895</v>
      </c>
      <c r="AO42" s="492" t="str">
        <f>IF(AU42="","",VLOOKUP(AU42,Average!HN:HT,6,FALSE))</f>
        <v/>
      </c>
      <c r="AP42" s="492" t="str">
        <f>IF(AU42="","",VLOOKUP(AU42,Average!HN:HT,7,FALSE))</f>
        <v/>
      </c>
      <c r="AQ42" s="445" t="str">
        <f>IF(AI42=0,"",VLOOKUP(AI42,Chema!BL:BQ,6,FALSE))</f>
        <v/>
      </c>
      <c r="AR42" s="445" t="str">
        <f>VLOOKUP(AH42,'Heimmannschaft MAISON'!AB:AO,14,FALSE)</f>
        <v/>
      </c>
      <c r="AS42" s="445" t="str">
        <f>VLOOKUP(AH42,'Gastmannschaft EXTERIEUR'!AB:AO,14,FALSE)</f>
        <v/>
      </c>
      <c r="AT42" s="445" t="str">
        <f>IF(AI42=0,"",CONCATENATE($AT$18," ",AI42))</f>
        <v/>
      </c>
      <c r="AU42" s="445" t="str">
        <f>IF(AI42=0,"",CONCATENATE($AU$18," ",AI42))</f>
        <v/>
      </c>
      <c r="AV42" s="445" t="str">
        <f>IF(BC42=1,"",IF(AU42="","",VLOOKUP(AU42,Average!HN:HP,2,FALSE)))</f>
        <v/>
      </c>
      <c r="AW42" s="445" t="str">
        <f>IF(BB42=1,"",IF(AU42="","",VLOOKUP(AU42,Average!HN:HP,3,FALSE)))</f>
        <v/>
      </c>
      <c r="AX42" s="445" t="str">
        <f>IFERROR(IF(AU42="","",VLOOKUP(AU42,Average!HN:HQ,4,FALSE)),"")</f>
        <v/>
      </c>
      <c r="AY42" s="445" t="str">
        <f>IFERROR(IF(AU42="","",VLOOKUP(AU42,Average!HN:HR,5,FALSE)),"")</f>
        <v/>
      </c>
      <c r="AZ42" s="445" t="str">
        <f>IF(BC42=1,"",IF(AU42="","",VLOOKUP(AU42,Average!HN:HV,8,FALSE)))</f>
        <v/>
      </c>
      <c r="BA42" s="445" t="str">
        <f>IF(BB42=1,"",IF(AU42="","",VLOOKUP(AU42,Average!HN:HV,9,FALSE)))</f>
        <v/>
      </c>
      <c r="BB42" s="445" t="str">
        <f>IF(AU42="","",IF(I42="FORFAIT",1,0))</f>
        <v/>
      </c>
      <c r="BC42" s="445" t="str">
        <f>IF(AU42="","",IF(Q42="FORFAIT",1,0))</f>
        <v/>
      </c>
      <c r="BD42" s="445" t="str">
        <f>IF(AR42="","",RANK(AR42,$AR$20:$AR$122,1))</f>
        <v/>
      </c>
      <c r="BE42" s="445" t="str">
        <f>IF(AH42="","",VLOOKUP(AH42,'Heimmannschaft MAISON'!AB:AO,14,FALSE))</f>
        <v/>
      </c>
      <c r="BF42" s="445" t="str">
        <f>IF(AS42="","",RANK(AS42,$AS$20:$AS$122,1))</f>
        <v/>
      </c>
      <c r="BG42" s="445" t="str">
        <f>IF(AH42="","",VLOOKUP(AH42,'Gastmannschaft EXTERIEUR'!AB:AO,14,FALSE))</f>
        <v/>
      </c>
      <c r="BH42" s="445">
        <f>IFERROR(IF(BB42+BC42&gt;0,1,0),0)</f>
        <v>0</v>
      </c>
      <c r="BI42" s="446" t="str">
        <f>IF(AU42="","",IF(BC42=1,1,0))</f>
        <v/>
      </c>
      <c r="BJ42" s="447" t="str">
        <f>IF(AU42="","",IF(BI42=1,SUM(BK42,BL42),0))</f>
        <v/>
      </c>
      <c r="BK42" s="445">
        <f>IF(AJ42="S",IF($AB$1=1,3,2),0)</f>
        <v>0</v>
      </c>
      <c r="BL42" s="445">
        <f>IF(AJ42="D",2,0)</f>
        <v>2</v>
      </c>
      <c r="BM42" s="446" t="str">
        <f>IF(AU42="","",IF(BB42=1,1,0))</f>
        <v/>
      </c>
      <c r="BN42" s="447" t="str">
        <f>IF(AU42="","",IF(BM42=1,SUM(BO42,BP42),0))</f>
        <v/>
      </c>
      <c r="BO42" s="445">
        <f>IF(AJ42="S",IF($AB$1=1,3,2),0)</f>
        <v>0</v>
      </c>
      <c r="BP42" s="445">
        <f>IF(AJ42="D",2,0)</f>
        <v>2</v>
      </c>
      <c r="BQ42" s="445"/>
      <c r="BR42" s="445"/>
      <c r="BS42" s="445"/>
      <c r="BT42" s="445"/>
      <c r="BV42" s="445" t="str">
        <f>IF(AU42="","",SUM(AZ42,BI42))</f>
        <v/>
      </c>
      <c r="BW42" s="445" t="str">
        <f>IF(AU42="","",SUM(AV42,BJ42))</f>
        <v/>
      </c>
      <c r="BY42" s="445" t="str">
        <f>IF(AU42="","",SUM(BA42,BM42))</f>
        <v/>
      </c>
      <c r="BZ42" s="445" t="str">
        <f>IF(AU42="","",SUM(AW42,BN42))</f>
        <v/>
      </c>
    </row>
    <row r="43" spans="1:78" s="452" customFormat="1" ht="5.0999999999999996" customHeight="1">
      <c r="W43" s="451"/>
      <c r="AB43" s="445"/>
      <c r="AC43" s="445"/>
      <c r="AD43" s="445"/>
      <c r="AE43" s="445"/>
      <c r="AF43" s="445"/>
      <c r="AG43" s="445"/>
      <c r="AH43" s="445"/>
      <c r="AI43" s="445"/>
      <c r="AJ43" s="445"/>
      <c r="AK43" s="445"/>
      <c r="AL43" s="445"/>
      <c r="AM43" s="445"/>
      <c r="AN43" s="445"/>
      <c r="AO43" s="492"/>
      <c r="AP43" s="492"/>
      <c r="AQ43" s="445"/>
      <c r="AS43" s="445"/>
      <c r="AT43" s="445"/>
      <c r="AU43" s="445"/>
      <c r="AV43" s="445"/>
      <c r="AW43" s="445"/>
      <c r="AX43" s="445"/>
      <c r="AY43" s="445"/>
      <c r="AZ43" s="445"/>
      <c r="BA43" s="445"/>
      <c r="BB43" s="445"/>
      <c r="BC43" s="445"/>
      <c r="BD43" s="445"/>
      <c r="BE43" s="445"/>
      <c r="BF43" s="445"/>
      <c r="BG43" s="445"/>
      <c r="BH43" s="445"/>
      <c r="BI43" s="446"/>
      <c r="BJ43" s="447"/>
      <c r="BK43" s="445"/>
      <c r="BL43" s="445"/>
      <c r="BM43" s="446"/>
      <c r="BN43" s="447"/>
      <c r="BO43" s="445"/>
      <c r="BP43" s="445"/>
      <c r="BQ43" s="445"/>
      <c r="BR43" s="445"/>
      <c r="BS43" s="445"/>
      <c r="BT43" s="445"/>
    </row>
    <row r="44" spans="1:78" s="452" customFormat="1" ht="20.100000000000001" customHeight="1">
      <c r="B44" s="484" t="str">
        <f>REPT(AT44,1)</f>
        <v>SPIEL 10</v>
      </c>
      <c r="D44" s="485" t="str">
        <f>IF(AI44=0,"",CONCATENATE(AM44,AJ44))</f>
        <v>HD</v>
      </c>
      <c r="E44" s="486">
        <f>IF(AO44="*",AQ44,AL44)</f>
        <v>1.2</v>
      </c>
      <c r="G44" s="633" t="str">
        <f>REPT('Heimmannschaft MAISON'!AO37,1)</f>
        <v/>
      </c>
      <c r="H44" s="634"/>
      <c r="I44" s="487" t="str">
        <f>REPT('Heimmannschaft MAISON'!I37,1)</f>
        <v/>
      </c>
      <c r="J44" s="488"/>
      <c r="K44" s="489" t="str">
        <f>IF(AX44="","",AX44)</f>
        <v/>
      </c>
      <c r="L44" s="490" t="str">
        <f>IF(BH44=1,BW44,IF(AV44="","",AV44))</f>
        <v/>
      </c>
      <c r="M44" s="490" t="str">
        <f>IF(BH44=1,BZ44,IF(AW44="","",AW44))</f>
        <v/>
      </c>
      <c r="N44" s="489" t="str">
        <f>IF(AY44="","",AY44)</f>
        <v/>
      </c>
      <c r="O44" s="630" t="str">
        <f>REPT('Gastmannschaft EXTERIEUR'!AO37,1)</f>
        <v/>
      </c>
      <c r="P44" s="631"/>
      <c r="Q44" s="487" t="str">
        <f>REPT('Gastmannschaft EXTERIEUR'!I37,1)</f>
        <v/>
      </c>
      <c r="R44" s="491"/>
      <c r="S44" s="488"/>
      <c r="U44" s="485" t="str">
        <f>IF(AI44=0,"",CONCATENATE(AN44,AJ44))</f>
        <v>GD</v>
      </c>
      <c r="V44" s="486">
        <f>IF(AP44="*",AQ44,AL44)</f>
        <v>1.2</v>
      </c>
      <c r="W44" s="451"/>
      <c r="AB44" s="445">
        <v>11</v>
      </c>
      <c r="AC44" s="445">
        <v>10</v>
      </c>
      <c r="AD44" s="445">
        <v>11</v>
      </c>
      <c r="AE44" s="445">
        <v>7</v>
      </c>
      <c r="AF44" s="445">
        <v>9</v>
      </c>
      <c r="AG44" s="445">
        <v>6</v>
      </c>
      <c r="AH44" s="445">
        <f>IF($AB$1=3,AF44,IF($AB$1=2,AD44,IF($AB$1=1,AB44,"")))</f>
        <v>11</v>
      </c>
      <c r="AI44" s="445">
        <f>IF($AB$1=3,AG44,IF($AB$1=2,AE44,IF($AB$1=1,AC44,"")))</f>
        <v>10</v>
      </c>
      <c r="AJ44" s="166" t="str">
        <f>IF(AH44="","",VLOOKUP(AH44,Chema!AJ:AL,2,FALSE))</f>
        <v>D</v>
      </c>
      <c r="AK44" s="166" t="str">
        <f>IF(AH44="","",VLOOKUP(AH44,Chema!AJ:AL,3,FALSE))</f>
        <v>1.2.1</v>
      </c>
      <c r="AL44" s="166">
        <f>IF(AI44=0,"",IF(AI44="","",VLOOKUP(AI44,Chema!R:T,3,FALSE)))</f>
        <v>1.2</v>
      </c>
      <c r="AM44" s="166" t="s">
        <v>894</v>
      </c>
      <c r="AN44" s="445" t="s">
        <v>895</v>
      </c>
      <c r="AO44" s="492" t="str">
        <f>IF(AU44="","",VLOOKUP(AU44,Average!HN:HT,6,FALSE))</f>
        <v/>
      </c>
      <c r="AP44" s="492" t="str">
        <f>IF(AU44="","",VLOOKUP(AU44,Average!HN:HT,7,FALSE))</f>
        <v/>
      </c>
      <c r="AQ44" s="445" t="str">
        <f>IF(AI44=0,"",VLOOKUP(AI44,Chema!BL:BQ,6,FALSE))</f>
        <v>1.2*</v>
      </c>
      <c r="AR44" s="445" t="str">
        <f>VLOOKUP(AH44,'Heimmannschaft MAISON'!AB:AO,14,FALSE)</f>
        <v/>
      </c>
      <c r="AS44" s="445" t="str">
        <f>VLOOKUP(AH44,'Gastmannschaft EXTERIEUR'!AB:AO,14,FALSE)</f>
        <v/>
      </c>
      <c r="AT44" s="445" t="str">
        <f>IF(AI44=0,"",CONCATENATE($AT$18," ",AI44))</f>
        <v>SPIEL 10</v>
      </c>
      <c r="AU44" s="445" t="str">
        <f>IF(AI44=0,"",CONCATENATE($AU$18," ",AI44))</f>
        <v>SPIEL 10</v>
      </c>
      <c r="AV44" s="445" t="str">
        <f>IF(BC44=1,"",IF(AU44="","",VLOOKUP(AU44,Average!HN:HP,2,FALSE)))</f>
        <v/>
      </c>
      <c r="AW44" s="445" t="str">
        <f>IF(BB44=1,"",IF(AU44="","",VLOOKUP(AU44,Average!HN:HP,3,FALSE)))</f>
        <v/>
      </c>
      <c r="AX44" s="445" t="str">
        <f>IFERROR(IF(AU44="","",VLOOKUP(AU44,Average!HN:HQ,4,FALSE)),"")</f>
        <v/>
      </c>
      <c r="AY44" s="445" t="str">
        <f>IFERROR(IF(AU44="","",VLOOKUP(AU44,Average!HN:HR,5,FALSE)),"")</f>
        <v/>
      </c>
      <c r="AZ44" s="445">
        <f>IF(BC44=1,"",IF(AU44="","",VLOOKUP(AU44,Average!HN:HV,8,FALSE)))</f>
        <v>0</v>
      </c>
      <c r="BA44" s="445">
        <f>IF(BB44=1,"",IF(AU44="","",VLOOKUP(AU44,Average!HN:HV,9,FALSE)))</f>
        <v>0</v>
      </c>
      <c r="BB44" s="445">
        <f>IF(AU44="","",IF(I44="FORFAIT",1,0))</f>
        <v>0</v>
      </c>
      <c r="BC44" s="445">
        <f>IF(AU44="","",IF(Q44="FORFAIT",1,0))</f>
        <v>0</v>
      </c>
      <c r="BD44" s="445" t="str">
        <f>IF(AR44="","",RANK(AR44,$AR$20:$AR$122,1))</f>
        <v/>
      </c>
      <c r="BE44" s="445" t="str">
        <f>IF(AH44="","",VLOOKUP(AH44,'Heimmannschaft MAISON'!AB:AO,14,FALSE))</f>
        <v/>
      </c>
      <c r="BF44" s="445" t="str">
        <f>IF(AS44="","",RANK(AS44,$AS$20:$AS$122,1))</f>
        <v/>
      </c>
      <c r="BG44" s="445" t="str">
        <f>IF(AH44="","",VLOOKUP(AH44,'Gastmannschaft EXTERIEUR'!AB:AO,14,FALSE))</f>
        <v/>
      </c>
      <c r="BH44" s="445">
        <f>IFERROR(IF(BB44+BC44&gt;0,1,0),0)</f>
        <v>0</v>
      </c>
      <c r="BI44" s="446">
        <f>IF(AU44="","",IF(BC44=1,1,0))</f>
        <v>0</v>
      </c>
      <c r="BJ44" s="447">
        <f>IF(AU44="","",IF(BI44=1,SUM(BK44,BL44),0))</f>
        <v>0</v>
      </c>
      <c r="BK44" s="445">
        <f>IF(AJ44="S",IF($AB$1=1,3,2),0)</f>
        <v>0</v>
      </c>
      <c r="BL44" s="445">
        <f>IF(AJ44="D",2,0)</f>
        <v>2</v>
      </c>
      <c r="BM44" s="446">
        <f>IF(AU44="","",IF(BB44=1,1,0))</f>
        <v>0</v>
      </c>
      <c r="BN44" s="447">
        <f>IF(AU44="","",IF(BM44=1,SUM(BO44,BP44),0))</f>
        <v>0</v>
      </c>
      <c r="BO44" s="445">
        <f>IF(AJ44="S",IF($AB$1=1,3,2),0)</f>
        <v>0</v>
      </c>
      <c r="BP44" s="445">
        <f>IF(AJ44="D",2,0)</f>
        <v>2</v>
      </c>
      <c r="BQ44" s="445"/>
      <c r="BR44" s="445"/>
      <c r="BS44" s="445"/>
      <c r="BT44" s="445"/>
      <c r="BV44" s="445">
        <f>IF(AU44="","",SUM(AZ44,BI44))</f>
        <v>0</v>
      </c>
      <c r="BW44" s="445">
        <f>IF(AU44="","",SUM(AV44,BJ44))</f>
        <v>0</v>
      </c>
      <c r="BY44" s="445">
        <f>IF(AU44="","",SUM(BA44,BM44))</f>
        <v>0</v>
      </c>
      <c r="BZ44" s="445">
        <f>IF(AU44="","",SUM(AW44,BN44))</f>
        <v>0</v>
      </c>
    </row>
    <row r="45" spans="1:78" s="452" customFormat="1" ht="5.0999999999999996" customHeight="1">
      <c r="W45" s="451"/>
      <c r="AB45" s="445"/>
      <c r="AC45" s="445"/>
      <c r="AD45" s="445"/>
      <c r="AE45" s="445"/>
      <c r="AF45" s="445"/>
      <c r="AG45" s="445"/>
      <c r="AH45" s="445"/>
      <c r="AI45" s="445"/>
      <c r="AJ45" s="445"/>
      <c r="AK45" s="445"/>
      <c r="AL45" s="445"/>
      <c r="AM45" s="445"/>
      <c r="AN45" s="445"/>
      <c r="AO45" s="492"/>
      <c r="AP45" s="492"/>
      <c r="AQ45" s="445"/>
      <c r="AS45" s="445"/>
      <c r="AT45" s="445"/>
      <c r="AU45" s="445"/>
      <c r="AV45" s="445"/>
      <c r="AW45" s="445"/>
      <c r="AX45" s="445"/>
      <c r="AY45" s="445"/>
      <c r="AZ45" s="445"/>
      <c r="BA45" s="445"/>
      <c r="BB45" s="445"/>
      <c r="BC45" s="445"/>
      <c r="BD45" s="445"/>
      <c r="BE45" s="445"/>
      <c r="BF45" s="445"/>
      <c r="BG45" s="445"/>
      <c r="BH45" s="445"/>
      <c r="BI45" s="446"/>
      <c r="BJ45" s="447"/>
      <c r="BK45" s="445"/>
      <c r="BL45" s="445"/>
      <c r="BM45" s="446"/>
      <c r="BN45" s="447"/>
      <c r="BO45" s="445"/>
      <c r="BP45" s="445"/>
      <c r="BQ45" s="445"/>
      <c r="BR45" s="445"/>
      <c r="BS45" s="445"/>
      <c r="BT45" s="445"/>
    </row>
    <row r="46" spans="1:78" s="452" customFormat="1" ht="20.100000000000001" customHeight="1">
      <c r="B46" s="484" t="str">
        <f>REPT(AT46,1)</f>
        <v/>
      </c>
      <c r="D46" s="485" t="str">
        <f>IF(AI46=0,"",CONCATENATE(AM46,AJ46))</f>
        <v/>
      </c>
      <c r="E46" s="486" t="str">
        <f>IF(AO46="*",AQ46,AL46)</f>
        <v/>
      </c>
      <c r="G46" s="633" t="str">
        <f>REPT('Heimmannschaft MAISON'!AO39,1)</f>
        <v/>
      </c>
      <c r="H46" s="634"/>
      <c r="I46" s="487" t="str">
        <f>REPT('Heimmannschaft MAISON'!I39,1)</f>
        <v/>
      </c>
      <c r="J46" s="488"/>
      <c r="K46" s="489" t="str">
        <f>IF(AX46="","",AX46)</f>
        <v/>
      </c>
      <c r="L46" s="490" t="str">
        <f>IF(BH46=1,BW46,IF(AV46="","",AV46))</f>
        <v/>
      </c>
      <c r="M46" s="490" t="str">
        <f>IF(BH46=1,BZ46,IF(AW46="","",AW46))</f>
        <v/>
      </c>
      <c r="N46" s="489" t="str">
        <f>IF(AY46="","",AY46)</f>
        <v/>
      </c>
      <c r="O46" s="630" t="str">
        <f>REPT('Gastmannschaft EXTERIEUR'!AO39,1)</f>
        <v/>
      </c>
      <c r="P46" s="631"/>
      <c r="Q46" s="487" t="str">
        <f>REPT('Gastmannschaft EXTERIEUR'!I39,1)</f>
        <v/>
      </c>
      <c r="R46" s="491"/>
      <c r="S46" s="488"/>
      <c r="U46" s="485" t="str">
        <f>IF(AI46=0,"",CONCATENATE(AN46,AJ46))</f>
        <v/>
      </c>
      <c r="V46" s="486" t="str">
        <f>IF(AP46="*",AQ46,AL46)</f>
        <v/>
      </c>
      <c r="W46" s="451"/>
      <c r="AB46" s="445">
        <v>12</v>
      </c>
      <c r="AC46" s="445"/>
      <c r="AD46" s="445">
        <v>12</v>
      </c>
      <c r="AE46" s="445">
        <v>8</v>
      </c>
      <c r="AF46" s="445">
        <v>10</v>
      </c>
      <c r="AG46" s="445">
        <v>7</v>
      </c>
      <c r="AH46" s="445">
        <f>IF($AB$1=3,AF46,IF($AB$1=2,AD46,IF($AB$1=1,AB46,"")))</f>
        <v>12</v>
      </c>
      <c r="AI46" s="445">
        <f>IF($AB$1=3,AG46,IF($AB$1=2,AE46,IF($AB$1=1,AC46,"")))</f>
        <v>0</v>
      </c>
      <c r="AJ46" s="166" t="str">
        <f>IF(AH46="","",VLOOKUP(AH46,Chema!AJ:AL,2,FALSE))</f>
        <v>D</v>
      </c>
      <c r="AK46" s="166" t="str">
        <f>IF(AH46="","",VLOOKUP(AH46,Chema!AJ:AL,3,FALSE))</f>
        <v>1.2.2</v>
      </c>
      <c r="AL46" s="166" t="str">
        <f>IF(AI46=0,"",IF(AI46="","",VLOOKUP(AI46,Chema!R:T,3,FALSE)))</f>
        <v/>
      </c>
      <c r="AM46" s="166" t="s">
        <v>894</v>
      </c>
      <c r="AN46" s="445" t="s">
        <v>895</v>
      </c>
      <c r="AO46" s="492" t="str">
        <f>IF(AU46="","",VLOOKUP(AU46,Average!HN:HT,6,FALSE))</f>
        <v/>
      </c>
      <c r="AP46" s="492" t="str">
        <f>IF(AU46="","",VLOOKUP(AU46,Average!HN:HT,7,FALSE))</f>
        <v/>
      </c>
      <c r="AQ46" s="445" t="str">
        <f>IF(AI46=0,"",VLOOKUP(AI46,Chema!BL:BQ,6,FALSE))</f>
        <v/>
      </c>
      <c r="AR46" s="445" t="str">
        <f>VLOOKUP(AH46,'Heimmannschaft MAISON'!AB:AO,14,FALSE)</f>
        <v/>
      </c>
      <c r="AS46" s="445" t="str">
        <f>VLOOKUP(AH46,'Gastmannschaft EXTERIEUR'!AB:AO,14,FALSE)</f>
        <v/>
      </c>
      <c r="AT46" s="445" t="str">
        <f>IF(AI46=0,"",CONCATENATE($AT$18," ",AI46))</f>
        <v/>
      </c>
      <c r="AU46" s="445" t="str">
        <f>IF(AI46=0,"",CONCATENATE($AU$18," ",AI46))</f>
        <v/>
      </c>
      <c r="AV46" s="445" t="str">
        <f>IF(BC46=1,"",IF(AU46="","",VLOOKUP(AU46,Average!HN:HP,2,FALSE)))</f>
        <v/>
      </c>
      <c r="AW46" s="445" t="str">
        <f>IF(BB46=1,"",IF(AU46="","",VLOOKUP(AU46,Average!HN:HP,3,FALSE)))</f>
        <v/>
      </c>
      <c r="AX46" s="445" t="str">
        <f>IFERROR(IF(AU46="","",VLOOKUP(AU46,Average!HN:HQ,4,FALSE)),"")</f>
        <v/>
      </c>
      <c r="AY46" s="445" t="str">
        <f>IFERROR(IF(AU46="","",VLOOKUP(AU46,Average!HN:HR,5,FALSE)),"")</f>
        <v/>
      </c>
      <c r="AZ46" s="445" t="str">
        <f>IF(BC46=1,"",IF(AU46="","",VLOOKUP(AU46,Average!HN:HV,8,FALSE)))</f>
        <v/>
      </c>
      <c r="BA46" s="445" t="str">
        <f>IF(BB46=1,"",IF(AU46="","",VLOOKUP(AU46,Average!HN:HV,9,FALSE)))</f>
        <v/>
      </c>
      <c r="BB46" s="445" t="str">
        <f>IF(AU46="","",IF(I46="FORFAIT",1,0))</f>
        <v/>
      </c>
      <c r="BC46" s="445" t="str">
        <f>IF(AU46="","",IF(Q46="FORFAIT",1,0))</f>
        <v/>
      </c>
      <c r="BD46" s="445" t="str">
        <f>IF(AR46="","",RANK(AR46,$AR$20:$AR$122,1))</f>
        <v/>
      </c>
      <c r="BE46" s="445" t="str">
        <f>IF(AH46="","",VLOOKUP(AH46,'Heimmannschaft MAISON'!AB:AO,14,FALSE))</f>
        <v/>
      </c>
      <c r="BF46" s="445" t="str">
        <f>IF(AS46="","",RANK(AS46,$AS$20:$AS$122,1))</f>
        <v/>
      </c>
      <c r="BG46" s="445" t="str">
        <f>IF(AH46="","",VLOOKUP(AH46,'Gastmannschaft EXTERIEUR'!AB:AO,14,FALSE))</f>
        <v/>
      </c>
      <c r="BH46" s="445">
        <f>IFERROR(IF(BB46+BC46&gt;0,1,0),0)</f>
        <v>0</v>
      </c>
      <c r="BI46" s="446" t="str">
        <f>IF(AU46="","",IF(BC46=1,1,0))</f>
        <v/>
      </c>
      <c r="BJ46" s="447" t="str">
        <f>IF(AU46="","",IF(BI46=1,SUM(BK46,BL46),0))</f>
        <v/>
      </c>
      <c r="BK46" s="445">
        <f>IF(AJ46="S",IF($AB$1=1,3,2),0)</f>
        <v>0</v>
      </c>
      <c r="BL46" s="445">
        <f>IF(AJ46="D",2,0)</f>
        <v>2</v>
      </c>
      <c r="BM46" s="446" t="str">
        <f>IF(AU46="","",IF(BB46=1,1,0))</f>
        <v/>
      </c>
      <c r="BN46" s="447" t="str">
        <f>IF(AU46="","",IF(BM46=1,SUM(BO46,BP46),0))</f>
        <v/>
      </c>
      <c r="BO46" s="445">
        <f>IF(AJ46="S",IF($AB$1=1,3,2),0)</f>
        <v>0</v>
      </c>
      <c r="BP46" s="445">
        <f>IF(AJ46="D",2,0)</f>
        <v>2</v>
      </c>
      <c r="BQ46" s="445"/>
      <c r="BR46" s="445"/>
      <c r="BS46" s="445"/>
      <c r="BT46" s="445"/>
      <c r="BV46" s="445" t="str">
        <f>IF(AU46="","",SUM(AZ46,BI46))</f>
        <v/>
      </c>
      <c r="BW46" s="445" t="str">
        <f>IF(AU46="","",SUM(AV46,BJ46))</f>
        <v/>
      </c>
      <c r="BY46" s="445" t="str">
        <f>IF(AU46="","",SUM(BA46,BM46))</f>
        <v/>
      </c>
      <c r="BZ46" s="445" t="str">
        <f>IF(AU46="","",SUM(AW46,BN46))</f>
        <v/>
      </c>
    </row>
    <row r="47" spans="1:78" s="452" customFormat="1" ht="5.0999999999999996" customHeight="1">
      <c r="W47" s="451"/>
      <c r="AB47" s="445"/>
      <c r="AC47" s="445"/>
      <c r="AD47" s="445"/>
      <c r="AE47" s="445"/>
      <c r="AF47" s="445"/>
      <c r="AG47" s="445"/>
      <c r="AH47" s="445"/>
      <c r="AI47" s="445"/>
      <c r="AJ47" s="445"/>
      <c r="AK47" s="445"/>
      <c r="AL47" s="445"/>
      <c r="AM47" s="445"/>
      <c r="AN47" s="445"/>
      <c r="AO47" s="492"/>
      <c r="AP47" s="492"/>
      <c r="AQ47" s="445"/>
      <c r="AS47" s="445"/>
      <c r="AT47" s="445"/>
      <c r="AU47" s="445"/>
      <c r="AV47" s="445"/>
      <c r="AW47" s="445"/>
      <c r="AX47" s="445"/>
      <c r="AY47" s="445"/>
      <c r="AZ47" s="445"/>
      <c r="BA47" s="445"/>
      <c r="BB47" s="445"/>
      <c r="BC47" s="445"/>
      <c r="BD47" s="445"/>
      <c r="BE47" s="445"/>
      <c r="BF47" s="445"/>
      <c r="BG47" s="445"/>
      <c r="BH47" s="445"/>
      <c r="BI47" s="446"/>
      <c r="BJ47" s="447"/>
      <c r="BK47" s="445"/>
      <c r="BL47" s="445"/>
      <c r="BM47" s="446"/>
      <c r="BN47" s="447"/>
      <c r="BO47" s="445"/>
      <c r="BP47" s="445"/>
      <c r="BQ47" s="445"/>
      <c r="BR47" s="445"/>
      <c r="BS47" s="445"/>
      <c r="BT47" s="445"/>
    </row>
    <row r="48" spans="1:78" s="452" customFormat="1" ht="20.100000000000001" customHeight="1">
      <c r="B48" s="484" t="str">
        <f>REPT(AT48,1)</f>
        <v>SPIEL 11</v>
      </c>
      <c r="D48" s="485" t="str">
        <f>IF(AI48=0,"",CONCATENATE(AM48,AJ48))</f>
        <v>HD</v>
      </c>
      <c r="E48" s="486">
        <f>IF(AO48="*",AQ48,AL48)</f>
        <v>1.3</v>
      </c>
      <c r="G48" s="633" t="str">
        <f>REPT('Heimmannschaft MAISON'!AO41,1)</f>
        <v/>
      </c>
      <c r="H48" s="634"/>
      <c r="I48" s="487" t="str">
        <f>REPT('Heimmannschaft MAISON'!I41,1)</f>
        <v/>
      </c>
      <c r="J48" s="488"/>
      <c r="K48" s="489" t="str">
        <f>IF(AX48="","",AX48)</f>
        <v/>
      </c>
      <c r="L48" s="490" t="str">
        <f>IF(BH48=1,BW48,IF(AV48="","",AV48))</f>
        <v/>
      </c>
      <c r="M48" s="490" t="str">
        <f>IF(BH48=1,BZ48,IF(AW48="","",AW48))</f>
        <v/>
      </c>
      <c r="N48" s="489" t="str">
        <f>IF(AY48="","",AY48)</f>
        <v/>
      </c>
      <c r="O48" s="630" t="str">
        <f>REPT('Gastmannschaft EXTERIEUR'!AO41,1)</f>
        <v/>
      </c>
      <c r="P48" s="631"/>
      <c r="Q48" s="487" t="str">
        <f>REPT('Gastmannschaft EXTERIEUR'!I41,1)</f>
        <v/>
      </c>
      <c r="R48" s="491"/>
      <c r="S48" s="488"/>
      <c r="U48" s="485" t="str">
        <f>IF(AI48=0,"",CONCATENATE(AN48,AJ48))</f>
        <v>GD</v>
      </c>
      <c r="V48" s="486">
        <f>IF(AP48="*",AQ48,AL48)</f>
        <v>1.3</v>
      </c>
      <c r="W48" s="451"/>
      <c r="AB48" s="445">
        <v>13</v>
      </c>
      <c r="AC48" s="445">
        <v>11</v>
      </c>
      <c r="AD48" s="445">
        <v>13</v>
      </c>
      <c r="AE48" s="445">
        <v>9</v>
      </c>
      <c r="AF48" s="445">
        <v>11</v>
      </c>
      <c r="AG48" s="445">
        <v>8</v>
      </c>
      <c r="AH48" s="445">
        <f>IF($AB$1=3,AF48,IF($AB$1=2,AD48,IF($AB$1=1,AB48,"")))</f>
        <v>13</v>
      </c>
      <c r="AI48" s="445">
        <f>IF($AB$1=3,AG48,IF($AB$1=2,AE48,IF($AB$1=1,AC48,"")))</f>
        <v>11</v>
      </c>
      <c r="AJ48" s="166" t="str">
        <f>IF(AH48="","",VLOOKUP(AH48,Chema!AJ:AL,2,FALSE))</f>
        <v>D</v>
      </c>
      <c r="AK48" s="166" t="str">
        <f>IF(AH48="","",VLOOKUP(AH48,Chema!AJ:AL,3,FALSE))</f>
        <v>1.3.1</v>
      </c>
      <c r="AL48" s="166">
        <f>IF(AI48=0,"",IF(AI48="","",VLOOKUP(AI48,Chema!R:T,3,FALSE)))</f>
        <v>1.3</v>
      </c>
      <c r="AM48" s="166" t="s">
        <v>894</v>
      </c>
      <c r="AN48" s="445" t="s">
        <v>895</v>
      </c>
      <c r="AO48" s="492" t="str">
        <f>IF(AU48="","",VLOOKUP(AU48,Average!HN:HT,6,FALSE))</f>
        <v/>
      </c>
      <c r="AP48" s="492" t="str">
        <f>IF(AU48="","",VLOOKUP(AU48,Average!HN:HT,7,FALSE))</f>
        <v/>
      </c>
      <c r="AQ48" s="445" t="str">
        <f>IF(AI48=0,"",VLOOKUP(AI48,Chema!BL:BQ,6,FALSE))</f>
        <v>1.3*</v>
      </c>
      <c r="AR48" s="445" t="str">
        <f>VLOOKUP(AH48,'Heimmannschaft MAISON'!AB:AO,14,FALSE)</f>
        <v/>
      </c>
      <c r="AS48" s="445" t="str">
        <f>VLOOKUP(AH48,'Gastmannschaft EXTERIEUR'!AB:AO,14,FALSE)</f>
        <v/>
      </c>
      <c r="AT48" s="445" t="str">
        <f>IF(AI48=0,"",CONCATENATE($AT$18," ",AI48))</f>
        <v>SPIEL 11</v>
      </c>
      <c r="AU48" s="445" t="str">
        <f>IF(AI48=0,"",CONCATENATE($AU$18," ",AI48))</f>
        <v>SPIEL 11</v>
      </c>
      <c r="AV48" s="445" t="str">
        <f>IF(BC48=1,"",IF(AU48="","",VLOOKUP(AU48,Average!HN:HP,2,FALSE)))</f>
        <v/>
      </c>
      <c r="AW48" s="445" t="str">
        <f>IF(BB48=1,"",IF(AU48="","",VLOOKUP(AU48,Average!HN:HP,3,FALSE)))</f>
        <v/>
      </c>
      <c r="AX48" s="445" t="str">
        <f>IFERROR(IF(AU48="","",VLOOKUP(AU48,Average!HN:HQ,4,FALSE)),"")</f>
        <v/>
      </c>
      <c r="AY48" s="445" t="str">
        <f>IFERROR(IF(AU48="","",VLOOKUP(AU48,Average!HN:HR,5,FALSE)),"")</f>
        <v/>
      </c>
      <c r="AZ48" s="445">
        <f>IF(BC48=1,"",IF(AU48="","",VLOOKUP(AU48,Average!HN:HV,8,FALSE)))</f>
        <v>0</v>
      </c>
      <c r="BA48" s="445">
        <f>IF(BB48=1,"",IF(AU48="","",VLOOKUP(AU48,Average!HN:HV,9,FALSE)))</f>
        <v>0</v>
      </c>
      <c r="BB48" s="445">
        <f>IF(AU48="","",IF(I48="FORFAIT",1,0))</f>
        <v>0</v>
      </c>
      <c r="BC48" s="445">
        <f>IF(AU48="","",IF(Q48="FORFAIT",1,0))</f>
        <v>0</v>
      </c>
      <c r="BD48" s="445" t="str">
        <f>IF(AR48="","",RANK(AR48,$AR$20:$AR$122,1))</f>
        <v/>
      </c>
      <c r="BE48" s="445" t="str">
        <f>IF(AH48="","",VLOOKUP(AH48,'Heimmannschaft MAISON'!AB:AO,14,FALSE))</f>
        <v/>
      </c>
      <c r="BF48" s="445" t="str">
        <f>IF(AS48="","",RANK(AS48,$AS$20:$AS$122,1))</f>
        <v/>
      </c>
      <c r="BG48" s="445" t="str">
        <f>IF(AH48="","",VLOOKUP(AH48,'Gastmannschaft EXTERIEUR'!AB:AO,14,FALSE))</f>
        <v/>
      </c>
      <c r="BH48" s="445">
        <f>IFERROR(IF(BB48+BC48&gt;0,1,0),0)</f>
        <v>0</v>
      </c>
      <c r="BI48" s="446">
        <f>IF(AU48="","",IF(BC48=1,1,0))</f>
        <v>0</v>
      </c>
      <c r="BJ48" s="447">
        <f>IF(AU48="","",IF(BI48=1,SUM(BK48,BL48),0))</f>
        <v>0</v>
      </c>
      <c r="BK48" s="445">
        <f>IF(AJ48="S",IF($AB$1=1,3,2),0)</f>
        <v>0</v>
      </c>
      <c r="BL48" s="445">
        <f>IF(AJ48="D",2,0)</f>
        <v>2</v>
      </c>
      <c r="BM48" s="446">
        <f>IF(AU48="","",IF(BB48=1,1,0))</f>
        <v>0</v>
      </c>
      <c r="BN48" s="447">
        <f>IF(AU48="","",IF(BM48=1,SUM(BO48,BP48),0))</f>
        <v>0</v>
      </c>
      <c r="BO48" s="445">
        <f>IF(AJ48="S",IF($AB$1=1,3,2),0)</f>
        <v>0</v>
      </c>
      <c r="BP48" s="445">
        <f>IF(AJ48="D",2,0)</f>
        <v>2</v>
      </c>
      <c r="BQ48" s="445"/>
      <c r="BR48" s="445"/>
      <c r="BS48" s="445"/>
      <c r="BT48" s="445"/>
      <c r="BV48" s="445">
        <f>IF(AU48="","",SUM(AZ48,BI48))</f>
        <v>0</v>
      </c>
      <c r="BW48" s="445">
        <f>IF(AU48="","",SUM(AV48,BJ48))</f>
        <v>0</v>
      </c>
      <c r="BY48" s="445">
        <f>IF(AU48="","",SUM(BA48,BM48))</f>
        <v>0</v>
      </c>
      <c r="BZ48" s="445">
        <f>IF(AU48="","",SUM(AW48,BN48))</f>
        <v>0</v>
      </c>
    </row>
    <row r="49" spans="1:78" s="452" customFormat="1" ht="5.0999999999999996" customHeight="1">
      <c r="W49" s="451"/>
      <c r="AB49" s="445"/>
      <c r="AC49" s="445"/>
      <c r="AD49" s="445"/>
      <c r="AE49" s="445"/>
      <c r="AF49" s="445"/>
      <c r="AG49" s="445"/>
      <c r="AH49" s="445"/>
      <c r="AI49" s="445"/>
      <c r="AJ49" s="445"/>
      <c r="AK49" s="445"/>
      <c r="AL49" s="445"/>
      <c r="AM49" s="445"/>
      <c r="AN49" s="445"/>
      <c r="AO49" s="492"/>
      <c r="AP49" s="492"/>
      <c r="AQ49" s="445"/>
      <c r="AS49" s="445"/>
      <c r="AT49" s="445"/>
      <c r="AU49" s="445"/>
      <c r="AV49" s="445"/>
      <c r="AW49" s="445"/>
      <c r="AX49" s="445"/>
      <c r="AY49" s="445"/>
      <c r="AZ49" s="445"/>
      <c r="BA49" s="445"/>
      <c r="BB49" s="445"/>
      <c r="BC49" s="445"/>
      <c r="BD49" s="445"/>
      <c r="BE49" s="445"/>
      <c r="BF49" s="445"/>
      <c r="BG49" s="445"/>
      <c r="BH49" s="445"/>
      <c r="BI49" s="446"/>
      <c r="BJ49" s="447"/>
      <c r="BK49" s="445"/>
      <c r="BL49" s="445"/>
      <c r="BM49" s="446"/>
      <c r="BN49" s="447"/>
      <c r="BO49" s="445"/>
      <c r="BP49" s="445"/>
      <c r="BQ49" s="445"/>
      <c r="BR49" s="445"/>
      <c r="BS49" s="445"/>
      <c r="BT49" s="445"/>
    </row>
    <row r="50" spans="1:78" s="452" customFormat="1" ht="20.100000000000001" customHeight="1">
      <c r="B50" s="484" t="str">
        <f>REPT(AT50,1)</f>
        <v/>
      </c>
      <c r="D50" s="485" t="str">
        <f>IF(AI50=0,"",CONCATENATE(AM50,AJ50))</f>
        <v/>
      </c>
      <c r="E50" s="486" t="str">
        <f>IF(AO50="*",AQ50,AL50)</f>
        <v/>
      </c>
      <c r="G50" s="633" t="str">
        <f>REPT('Heimmannschaft MAISON'!AO43,1)</f>
        <v/>
      </c>
      <c r="H50" s="634"/>
      <c r="I50" s="487" t="str">
        <f>REPT('Heimmannschaft MAISON'!I43,1)</f>
        <v/>
      </c>
      <c r="J50" s="488"/>
      <c r="K50" s="489" t="str">
        <f>IF(AX50="","",AX50)</f>
        <v/>
      </c>
      <c r="L50" s="490" t="str">
        <f>IF(BH50=1,BW50,IF(AV50="","",AV50))</f>
        <v/>
      </c>
      <c r="M50" s="490" t="str">
        <f>IF(BH50=1,BZ50,IF(AW50="","",AW50))</f>
        <v/>
      </c>
      <c r="N50" s="489" t="str">
        <f>IF(AY50="","",AY50)</f>
        <v/>
      </c>
      <c r="O50" s="630" t="str">
        <f>REPT('Gastmannschaft EXTERIEUR'!AO43,1)</f>
        <v/>
      </c>
      <c r="P50" s="631"/>
      <c r="Q50" s="487" t="str">
        <f>REPT('Gastmannschaft EXTERIEUR'!I43,1)</f>
        <v/>
      </c>
      <c r="R50" s="491"/>
      <c r="S50" s="488"/>
      <c r="U50" s="485" t="str">
        <f>IF(AI50=0,"",CONCATENATE(AN50,AJ50))</f>
        <v/>
      </c>
      <c r="V50" s="486" t="str">
        <f>IF(AP50="*",AQ50,AL50)</f>
        <v/>
      </c>
      <c r="W50" s="451"/>
      <c r="AB50" s="445">
        <v>14</v>
      </c>
      <c r="AC50" s="445"/>
      <c r="AD50" s="445">
        <v>14</v>
      </c>
      <c r="AE50" s="445">
        <v>10</v>
      </c>
      <c r="AF50" s="445">
        <v>12</v>
      </c>
      <c r="AG50" s="445">
        <v>9</v>
      </c>
      <c r="AH50" s="445">
        <f>IF($AB$1=3,AF50,IF($AB$1=2,AD50,IF($AB$1=1,AB50,"")))</f>
        <v>14</v>
      </c>
      <c r="AI50" s="445">
        <f>IF($AB$1=3,AG50,IF($AB$1=2,AE50,IF($AB$1=1,AC50,"")))</f>
        <v>0</v>
      </c>
      <c r="AJ50" s="166" t="str">
        <f>IF(AH50="","",VLOOKUP(AH50,Chema!AJ:AL,2,FALSE))</f>
        <v>D</v>
      </c>
      <c r="AK50" s="166" t="str">
        <f>IF(AH50="","",VLOOKUP(AH50,Chema!AJ:AL,3,FALSE))</f>
        <v>1.3.2</v>
      </c>
      <c r="AL50" s="166" t="str">
        <f>IF(AI50=0,"",IF(AI50="","",VLOOKUP(AI50,Chema!R:T,3,FALSE)))</f>
        <v/>
      </c>
      <c r="AM50" s="166" t="s">
        <v>894</v>
      </c>
      <c r="AN50" s="445" t="s">
        <v>895</v>
      </c>
      <c r="AO50" s="492" t="str">
        <f>IF(AU50="","",VLOOKUP(AU50,Average!HN:HT,6,FALSE))</f>
        <v/>
      </c>
      <c r="AP50" s="492" t="str">
        <f>IF(AU50="","",VLOOKUP(AU50,Average!HN:HT,7,FALSE))</f>
        <v/>
      </c>
      <c r="AQ50" s="445" t="str">
        <f>IF(AI50=0,"",VLOOKUP(AI50,Chema!BL:BQ,6,FALSE))</f>
        <v/>
      </c>
      <c r="AR50" s="445" t="str">
        <f>VLOOKUP(AH50,'Heimmannschaft MAISON'!AB:AO,14,FALSE)</f>
        <v/>
      </c>
      <c r="AS50" s="445" t="str">
        <f>VLOOKUP(AH50,'Gastmannschaft EXTERIEUR'!AB:AO,14,FALSE)</f>
        <v/>
      </c>
      <c r="AT50" s="445" t="str">
        <f>IF(AI50=0,"",CONCATENATE($AT$18," ",AI50))</f>
        <v/>
      </c>
      <c r="AU50" s="445" t="str">
        <f>IF(AI50=0,"",CONCATENATE($AU$18," ",AI50))</f>
        <v/>
      </c>
      <c r="AV50" s="445" t="str">
        <f>IF(BC50=1,"",IF(AU50="","",VLOOKUP(AU50,Average!HN:HP,2,FALSE)))</f>
        <v/>
      </c>
      <c r="AW50" s="445" t="str">
        <f>IF(BB50=1,"",IF(AU50="","",VLOOKUP(AU50,Average!HN:HP,3,FALSE)))</f>
        <v/>
      </c>
      <c r="AX50" s="445" t="str">
        <f>IFERROR(IF(AU50="","",VLOOKUP(AU50,Average!HN:HQ,4,FALSE)),"")</f>
        <v/>
      </c>
      <c r="AY50" s="445" t="str">
        <f>IFERROR(IF(AU50="","",VLOOKUP(AU50,Average!HN:HR,5,FALSE)),"")</f>
        <v/>
      </c>
      <c r="AZ50" s="445" t="str">
        <f>IF(BC50=1,"",IF(AU50="","",VLOOKUP(AU50,Average!HN:HV,8,FALSE)))</f>
        <v/>
      </c>
      <c r="BA50" s="445" t="str">
        <f>IF(BB50=1,"",IF(AU50="","",VLOOKUP(AU50,Average!HN:HV,9,FALSE)))</f>
        <v/>
      </c>
      <c r="BB50" s="445" t="str">
        <f>IF(AU50="","",IF(I50="FORFAIT",1,0))</f>
        <v/>
      </c>
      <c r="BC50" s="445" t="str">
        <f>IF(AU50="","",IF(Q50="FORFAIT",1,0))</f>
        <v/>
      </c>
      <c r="BD50" s="445" t="str">
        <f>IF(AR50="","",RANK(AR50,$AR$20:$AR$122,1))</f>
        <v/>
      </c>
      <c r="BE50" s="445" t="str">
        <f>IF(AH50="","",VLOOKUP(AH50,'Heimmannschaft MAISON'!AB:AO,14,FALSE))</f>
        <v/>
      </c>
      <c r="BF50" s="445" t="str">
        <f>IF(AS50="","",RANK(AS50,$AS$20:$AS$122,1))</f>
        <v/>
      </c>
      <c r="BG50" s="445" t="str">
        <f>IF(AH50="","",VLOOKUP(AH50,'Gastmannschaft EXTERIEUR'!AB:AO,14,FALSE))</f>
        <v/>
      </c>
      <c r="BH50" s="445">
        <f>IFERROR(IF(BB50+BC50&gt;0,1,0),0)</f>
        <v>0</v>
      </c>
      <c r="BI50" s="446" t="str">
        <f>IF(BQ50=1,BR50,IF(AU50="","",IF(BC50=1,1,0)))</f>
        <v/>
      </c>
      <c r="BJ50" s="447" t="str">
        <f>IF(AU50="","",IF(BI50=1,SUM(BK50,BL50),0))</f>
        <v/>
      </c>
      <c r="BK50" s="445">
        <f>IF(AJ50="S",IF($AB$1=1,3,2),0)</f>
        <v>0</v>
      </c>
      <c r="BL50" s="445">
        <f>IF(AJ50="D",2,0)</f>
        <v>2</v>
      </c>
      <c r="BM50" s="446" t="str">
        <f>IF(AU50="","",IF(BB50=1,1,0))</f>
        <v/>
      </c>
      <c r="BN50" s="447" t="str">
        <f>IF(AU50="","",IF(BM50=1,SUM(BO50,BP50),0))</f>
        <v/>
      </c>
      <c r="BO50" s="445">
        <f>IF(AJ50="S",IF($AB$1=1,3,2),0)</f>
        <v>0</v>
      </c>
      <c r="BP50" s="445">
        <f>IF(AJ50="D",2,0)</f>
        <v>2</v>
      </c>
      <c r="BQ50" s="445">
        <f>IF($BR$16=2,IF($AB$1=3,1,0),0)</f>
        <v>0</v>
      </c>
      <c r="BR50" s="492">
        <v>0</v>
      </c>
      <c r="BS50" s="492">
        <v>0</v>
      </c>
      <c r="BT50" s="492">
        <v>1</v>
      </c>
      <c r="BU50" s="492">
        <v>2</v>
      </c>
      <c r="BV50" s="445" t="str">
        <f>IF(AU50="","",SUM(AZ50,BI50))</f>
        <v/>
      </c>
      <c r="BW50" s="445" t="str">
        <f>IF(AU50="","",SUM(AV50,BJ50))</f>
        <v/>
      </c>
      <c r="BY50" s="445" t="str">
        <f>IF(AU50="","",SUM(BA50,BM50))</f>
        <v/>
      </c>
      <c r="BZ50" s="445" t="str">
        <f>IF(AU50="","",SUM(AW50,BN50))</f>
        <v/>
      </c>
    </row>
    <row r="51" spans="1:78" s="452" customFormat="1" ht="5.0999999999999996" customHeight="1">
      <c r="W51" s="451"/>
      <c r="AB51" s="445"/>
      <c r="AC51" s="445"/>
      <c r="AD51" s="445"/>
      <c r="AE51" s="445"/>
      <c r="AF51" s="445"/>
      <c r="AG51" s="445"/>
      <c r="AH51" s="445"/>
      <c r="AI51" s="445"/>
      <c r="AJ51" s="445"/>
      <c r="AK51" s="445"/>
      <c r="AL51" s="445"/>
      <c r="AM51" s="445"/>
      <c r="AN51" s="445"/>
      <c r="AO51" s="492"/>
      <c r="AP51" s="492"/>
      <c r="AQ51" s="445"/>
      <c r="AS51" s="445"/>
      <c r="AT51" s="445"/>
      <c r="AU51" s="445"/>
      <c r="AV51" s="445"/>
      <c r="AW51" s="445"/>
      <c r="AX51" s="445"/>
      <c r="AY51" s="445"/>
      <c r="AZ51" s="445"/>
      <c r="BA51" s="445"/>
      <c r="BB51" s="445"/>
      <c r="BC51" s="445"/>
      <c r="BD51" s="445"/>
      <c r="BE51" s="445"/>
      <c r="BF51" s="445"/>
      <c r="BG51" s="445"/>
      <c r="BH51" s="445"/>
      <c r="BI51" s="446"/>
      <c r="BJ51" s="447"/>
      <c r="BK51" s="445"/>
      <c r="BL51" s="445"/>
      <c r="BM51" s="446"/>
      <c r="BN51" s="447"/>
      <c r="BO51" s="445"/>
      <c r="BP51" s="445"/>
      <c r="BQ51" s="445"/>
      <c r="BR51" s="445"/>
      <c r="BS51" s="445"/>
      <c r="BT51" s="445"/>
    </row>
    <row r="52" spans="1:78" s="452" customFormat="1" ht="20.100000000000001" customHeight="1">
      <c r="B52" s="484" t="str">
        <f>REPT(AT52,1)</f>
        <v>SPIEL 12</v>
      </c>
      <c r="D52" s="485" t="str">
        <f>IF(AI52=0,"",CONCATENATE(AM52,AJ52))</f>
        <v>HD</v>
      </c>
      <c r="E52" s="486">
        <f>IF(AO52="*",AQ52,AL52)</f>
        <v>1.4</v>
      </c>
      <c r="G52" s="633" t="str">
        <f>REPT('Heimmannschaft MAISON'!AO45,1)</f>
        <v/>
      </c>
      <c r="H52" s="634"/>
      <c r="I52" s="487" t="str">
        <f>REPT('Heimmannschaft MAISON'!I45,1)</f>
        <v/>
      </c>
      <c r="J52" s="488"/>
      <c r="K52" s="489" t="str">
        <f>IF(AX52="","",AX52)</f>
        <v/>
      </c>
      <c r="L52" s="490" t="str">
        <f>IF(BH52=1,BW52,IF(AV52="","",AV52))</f>
        <v/>
      </c>
      <c r="M52" s="490" t="str">
        <f>IF(BH52=1,BZ52,IF(AW52="","",AW52))</f>
        <v/>
      </c>
      <c r="N52" s="489" t="str">
        <f>IF(AY52="","",AY52)</f>
        <v/>
      </c>
      <c r="O52" s="630" t="str">
        <f>REPT('Gastmannschaft EXTERIEUR'!AO45,1)</f>
        <v/>
      </c>
      <c r="P52" s="631"/>
      <c r="Q52" s="487" t="str">
        <f>REPT('Gastmannschaft EXTERIEUR'!I45,1)</f>
        <v/>
      </c>
      <c r="R52" s="491"/>
      <c r="S52" s="488"/>
      <c r="U52" s="485" t="str">
        <f>IF(AI52=0,"",CONCATENATE(AN52,AJ52))</f>
        <v>GD</v>
      </c>
      <c r="V52" s="486">
        <f>IF(AP52="*",AQ52,AL52)</f>
        <v>1.4</v>
      </c>
      <c r="W52" s="451"/>
      <c r="AB52" s="445">
        <v>15</v>
      </c>
      <c r="AC52" s="445">
        <v>12</v>
      </c>
      <c r="AD52" s="445">
        <v>15</v>
      </c>
      <c r="AE52" s="445">
        <v>11</v>
      </c>
      <c r="AF52" s="445"/>
      <c r="AG52" s="445"/>
      <c r="AH52" s="445">
        <f>IF($AB$1=3,"",IF($AB$1=2,AD52,IF($AB$1=1,AB52,"")))</f>
        <v>15</v>
      </c>
      <c r="AI52" s="445">
        <f>IF($AB$1=3,AG52,IF($AB$1=2,AE52,IF($AB$1=1,AC52,"")))</f>
        <v>12</v>
      </c>
      <c r="AJ52" s="166" t="str">
        <f>IF(AH52="","",VLOOKUP(AH52,Chema!AJ:AL,2,FALSE))</f>
        <v>D</v>
      </c>
      <c r="AK52" s="166" t="str">
        <f>IF(AH52="","",VLOOKUP(AH52,Chema!AJ:AL,3,FALSE))</f>
        <v>1.4.1</v>
      </c>
      <c r="AL52" s="166">
        <f>IF(AI52=0,"",IF(AI52="","",VLOOKUP(AI52,Chema!R:T,3,FALSE)))</f>
        <v>1.4</v>
      </c>
      <c r="AM52" s="166" t="str">
        <f>IF(AH52="","","H")</f>
        <v>H</v>
      </c>
      <c r="AN52" s="445" t="str">
        <f>IF(AH52="","","G")</f>
        <v>G</v>
      </c>
      <c r="AO52" s="492" t="str">
        <f>IF(AU52="","",VLOOKUP(AU52,Average!HN:HT,6,FALSE))</f>
        <v/>
      </c>
      <c r="AP52" s="492" t="str">
        <f>IF(AU52="","",VLOOKUP(AU52,Average!HN:HT,7,FALSE))</f>
        <v/>
      </c>
      <c r="AQ52" s="445" t="str">
        <f>IF(AI52=0,"",VLOOKUP(AI52,Chema!BL:BQ,6,FALSE))</f>
        <v>1.4*</v>
      </c>
      <c r="AR52" s="445" t="str">
        <f>VLOOKUP(AH52,'Heimmannschaft MAISON'!AB:AO,14,FALSE)</f>
        <v/>
      </c>
      <c r="AS52" s="445" t="str">
        <f>VLOOKUP(AH52,'Gastmannschaft EXTERIEUR'!AB:AO,14,FALSE)</f>
        <v/>
      </c>
      <c r="AT52" s="445" t="str">
        <f>IF(AI52=0,"",CONCATENATE($AT$18," ",AI52))</f>
        <v>SPIEL 12</v>
      </c>
      <c r="AU52" s="445" t="str">
        <f>IF(AI52=0,"",CONCATENATE($AU$18," ",AI52))</f>
        <v>SPIEL 12</v>
      </c>
      <c r="AV52" s="445" t="str">
        <f>IF(BC52=1,"",IF(AU52="","",VLOOKUP(AU52,Average!HN:HP,2,FALSE)))</f>
        <v/>
      </c>
      <c r="AW52" s="445" t="str">
        <f>IF(BB52=1,"",IF(AU52="","",VLOOKUP(AU52,Average!HN:HP,3,FALSE)))</f>
        <v/>
      </c>
      <c r="AX52" s="445" t="str">
        <f>IFERROR(IF(AU52="","",VLOOKUP(AU52,Average!HN:HQ,4,FALSE)),"")</f>
        <v/>
      </c>
      <c r="AY52" s="445" t="str">
        <f>IFERROR(IF(AU52="","",VLOOKUP(AU52,Average!HN:HR,5,FALSE)),"")</f>
        <v/>
      </c>
      <c r="AZ52" s="445">
        <f>IF(BC52=1,"",IF(AU52="","",VLOOKUP(AU52,Average!HN:HV,8,FALSE)))</f>
        <v>0</v>
      </c>
      <c r="BA52" s="445">
        <f>IF(BB52=1,"",IF(AU52="","",VLOOKUP(AU52,Average!HN:HV,9,FALSE)))</f>
        <v>0</v>
      </c>
      <c r="BB52" s="445">
        <f>IF(AU52="","",IF(I52="FORFAIT",1,0))</f>
        <v>0</v>
      </c>
      <c r="BC52" s="445">
        <f>IF(AU52="","",IF(Q52="FORFAIT",1,0))</f>
        <v>0</v>
      </c>
      <c r="BD52" s="445" t="str">
        <f>IF(AR52="","",RANK(AR52,$AR$20:$AR$122,1))</f>
        <v/>
      </c>
      <c r="BE52" s="445" t="str">
        <f>IF(AH52="","",VLOOKUP(AH52,'Heimmannschaft MAISON'!AB:AO,14,FALSE))</f>
        <v/>
      </c>
      <c r="BF52" s="445" t="str">
        <f>IF(AS52="","",RANK(AS52,$AS$20:$AS$122,1))</f>
        <v/>
      </c>
      <c r="BG52" s="445" t="str">
        <f>IF(AH52="","",VLOOKUP(AH52,'Gastmannschaft EXTERIEUR'!AB:AO,14,FALSE))</f>
        <v/>
      </c>
      <c r="BH52" s="445">
        <f>IFERROR(IF(BB52+BC52&gt;0,1,0),0)</f>
        <v>0</v>
      </c>
      <c r="BI52" s="446">
        <f>IF(BQ52=1,BR52,IF(AU52="","",IF(BC52=1,1,0)))</f>
        <v>0</v>
      </c>
      <c r="BJ52" s="447">
        <f>IF(AU52="","",IF(BI52=1,SUM(BK52,BL52),0))</f>
        <v>0</v>
      </c>
      <c r="BK52" s="445">
        <f>IF(AJ52="S",IF($AB$1=1,3,2),0)</f>
        <v>0</v>
      </c>
      <c r="BL52" s="445">
        <f>IF(AJ52="D",2,0)</f>
        <v>2</v>
      </c>
      <c r="BM52" s="446">
        <f>IF(BQ52=1,BT52,IF(AU52="","",IF(BB52=1,1,0)))</f>
        <v>0</v>
      </c>
      <c r="BN52" s="447">
        <f>IF(AU52="","",IF(BM52=1,SUM(BO52,BP52),0))</f>
        <v>0</v>
      </c>
      <c r="BO52" s="445">
        <f>IF(AJ52="S",IF($AB$1=1,3,2),0)</f>
        <v>0</v>
      </c>
      <c r="BP52" s="445">
        <f>IF(AJ52="D",2,0)</f>
        <v>2</v>
      </c>
      <c r="BQ52" s="445">
        <f>IF(BR16=2,IF(AB1=1,1,0),0)</f>
        <v>0</v>
      </c>
      <c r="BR52" s="494">
        <v>0</v>
      </c>
      <c r="BS52" s="494">
        <v>0</v>
      </c>
      <c r="BT52" s="494">
        <v>0</v>
      </c>
      <c r="BU52" s="494">
        <v>2</v>
      </c>
      <c r="BV52" s="445">
        <f>IF(AU52="","",SUM(AZ52,BI52))</f>
        <v>0</v>
      </c>
      <c r="BW52" s="445">
        <f>IF(AU52="","",SUM(AV52,BJ52))</f>
        <v>0</v>
      </c>
      <c r="BY52" s="445">
        <f>IF(AU52="","",SUM(BA52,BM52))</f>
        <v>0</v>
      </c>
      <c r="BZ52" s="445">
        <f>IF(AU52="","",SUM(AW52,BN52))</f>
        <v>0</v>
      </c>
    </row>
    <row r="53" spans="1:78" s="452" customFormat="1" ht="5.0999999999999996" customHeight="1">
      <c r="W53" s="451"/>
      <c r="AB53" s="445"/>
      <c r="AC53" s="445"/>
      <c r="AD53" s="445"/>
      <c r="AE53" s="445"/>
      <c r="AF53" s="445"/>
      <c r="AG53" s="445"/>
      <c r="AH53" s="445"/>
      <c r="AI53" s="445"/>
      <c r="AJ53" s="445"/>
      <c r="AK53" s="445"/>
      <c r="AL53" s="445"/>
      <c r="AM53" s="445"/>
      <c r="AN53" s="445"/>
      <c r="AO53" s="492"/>
      <c r="AP53" s="492"/>
      <c r="AQ53" s="445"/>
      <c r="AS53" s="445"/>
      <c r="AT53" s="445"/>
      <c r="AU53" s="445"/>
      <c r="AV53" s="445"/>
      <c r="AW53" s="445"/>
      <c r="AX53" s="445"/>
      <c r="AY53" s="445"/>
      <c r="AZ53" s="445"/>
      <c r="BA53" s="445"/>
      <c r="BB53" s="445"/>
      <c r="BC53" s="445"/>
      <c r="BD53" s="445"/>
      <c r="BE53" s="445"/>
      <c r="BF53" s="445"/>
      <c r="BG53" s="445"/>
      <c r="BH53" s="445"/>
      <c r="BI53" s="446"/>
      <c r="BJ53" s="447"/>
      <c r="BK53" s="445"/>
      <c r="BL53" s="445"/>
      <c r="BM53" s="446"/>
      <c r="BN53" s="447"/>
      <c r="BO53" s="445"/>
      <c r="BP53" s="445"/>
      <c r="BQ53" s="445"/>
      <c r="BR53" s="445"/>
      <c r="BS53" s="445"/>
      <c r="BT53" s="445"/>
    </row>
    <row r="54" spans="1:78" s="452" customFormat="1" ht="20.100000000000001" customHeight="1">
      <c r="B54" s="484" t="str">
        <f>REPT(AT54,1)</f>
        <v/>
      </c>
      <c r="D54" s="485" t="str">
        <f>IF(AI54=0,"",CONCATENATE(AM54,AJ54))</f>
        <v/>
      </c>
      <c r="E54" s="486" t="str">
        <f>IF(AO54="*",AQ54,AL54)</f>
        <v/>
      </c>
      <c r="G54" s="633" t="str">
        <f>REPT('Heimmannschaft MAISON'!AO47,1)</f>
        <v/>
      </c>
      <c r="H54" s="634"/>
      <c r="I54" s="487" t="str">
        <f>REPT('Heimmannschaft MAISON'!I47,1)</f>
        <v/>
      </c>
      <c r="J54" s="488"/>
      <c r="K54" s="489" t="str">
        <f>IF(AX54="","",AX54)</f>
        <v/>
      </c>
      <c r="L54" s="490" t="str">
        <f>IF(BH54=1,BW54,IF(AV54="","",AV54))</f>
        <v/>
      </c>
      <c r="M54" s="490" t="str">
        <f>IF(BH54=1,BZ54,IF(AW54="","",AW54))</f>
        <v/>
      </c>
      <c r="N54" s="489" t="str">
        <f>IF(AY54="","",AY54)</f>
        <v/>
      </c>
      <c r="O54" s="630" t="str">
        <f>REPT('Gastmannschaft EXTERIEUR'!AO47,1)</f>
        <v/>
      </c>
      <c r="P54" s="631"/>
      <c r="Q54" s="487" t="str">
        <f>REPT('Gastmannschaft EXTERIEUR'!I47,1)</f>
        <v/>
      </c>
      <c r="R54" s="491"/>
      <c r="S54" s="488"/>
      <c r="U54" s="485" t="str">
        <f>IF(AI54=0,"",CONCATENATE(AN54,AJ54))</f>
        <v/>
      </c>
      <c r="V54" s="486" t="str">
        <f>IF(AP54="*",AQ54,AL54)</f>
        <v/>
      </c>
      <c r="W54" s="451"/>
      <c r="AB54" s="445">
        <v>16</v>
      </c>
      <c r="AC54" s="445"/>
      <c r="AD54" s="445">
        <v>16</v>
      </c>
      <c r="AE54" s="445">
        <v>12</v>
      </c>
      <c r="AF54" s="445"/>
      <c r="AG54" s="445"/>
      <c r="AH54" s="445">
        <f>IF($AB$1=3,"",IF($AB$1=2,AD54,IF($AB$1=1,AB54,"")))</f>
        <v>16</v>
      </c>
      <c r="AI54" s="445">
        <f>IF($AB$1=3,AG54,IF($AB$1=2,AE54,IF($AB$1=1,AC54,"")))</f>
        <v>0</v>
      </c>
      <c r="AJ54" s="166" t="str">
        <f>IF(AH54="","",VLOOKUP(AH54,Chema!AJ:AL,2,FALSE))</f>
        <v>D</v>
      </c>
      <c r="AK54" s="166" t="str">
        <f>IF(AH54="","",VLOOKUP(AH54,Chema!AJ:AL,3,FALSE))</f>
        <v>1.4.2</v>
      </c>
      <c r="AL54" s="166" t="str">
        <f>IF(AI54=0,"",IF(AI54="","",VLOOKUP(AI54,Chema!R:T,3,FALSE)))</f>
        <v/>
      </c>
      <c r="AM54" s="166" t="str">
        <f>IF(AH54="","","H")</f>
        <v>H</v>
      </c>
      <c r="AN54" s="445" t="str">
        <f>IF(AH54="","","G")</f>
        <v>G</v>
      </c>
      <c r="AO54" s="492" t="str">
        <f>IF(AU54="","",VLOOKUP(AU54,Average!HN:HT,6,FALSE))</f>
        <v/>
      </c>
      <c r="AP54" s="492" t="str">
        <f>IF(AU54="","",VLOOKUP(AU54,Average!HN:HT,7,FALSE))</f>
        <v/>
      </c>
      <c r="AQ54" s="445" t="str">
        <f>IF(AI54=0,"",VLOOKUP(AI54,Chema!BL:BQ,6,FALSE))</f>
        <v/>
      </c>
      <c r="AR54" s="445" t="str">
        <f>VLOOKUP(AH54,'Heimmannschaft MAISON'!AB:AO,14,FALSE)</f>
        <v/>
      </c>
      <c r="AS54" s="445" t="str">
        <f>VLOOKUP(AH54,'Gastmannschaft EXTERIEUR'!AB:AO,14,FALSE)</f>
        <v/>
      </c>
      <c r="AT54" s="445" t="str">
        <f>IF(AI54=0,"",CONCATENATE($AT$18," ",AI54))</f>
        <v/>
      </c>
      <c r="AU54" s="445" t="str">
        <f>IF(AI54=0,"",CONCATENATE($AU$18," ",AI54))</f>
        <v/>
      </c>
      <c r="AV54" s="445" t="str">
        <f>IF(BC54=1,"",IF(AU54="","",VLOOKUP(AU54,Average!HN:HP,2,FALSE)))</f>
        <v/>
      </c>
      <c r="AW54" s="445" t="str">
        <f>IF(BB54=1,"",IF(AU54="","",VLOOKUP(AU54,Average!HN:HP,3,FALSE)))</f>
        <v/>
      </c>
      <c r="AX54" s="445" t="str">
        <f>IFERROR(IF(AU54="","",VLOOKUP(AU54,Average!HN:HQ,4,FALSE)),"")</f>
        <v/>
      </c>
      <c r="AY54" s="445" t="str">
        <f>IFERROR(IF(AU54="","",VLOOKUP(AU54,Average!HN:HR,5,FALSE)),"")</f>
        <v/>
      </c>
      <c r="AZ54" s="445" t="str">
        <f>IF(BC54=1,"",IF(AU54="","",VLOOKUP(AU54,Average!HN:HV,8,FALSE)))</f>
        <v/>
      </c>
      <c r="BA54" s="445" t="str">
        <f>IF(BB54=1,"",IF(AU54="","",VLOOKUP(AU54,Average!HN:HV,9,FALSE)))</f>
        <v/>
      </c>
      <c r="BB54" s="445" t="str">
        <f>IF(AU54="","",IF(I54="FORFAIT",1,0))</f>
        <v/>
      </c>
      <c r="BC54" s="445" t="str">
        <f>IF(AU54="","",IF(Q54="FORFAIT",1,0))</f>
        <v/>
      </c>
      <c r="BD54" s="445" t="str">
        <f>IF(AR54="","",RANK(AR54,$AR$20:$AR$122,1))</f>
        <v/>
      </c>
      <c r="BE54" s="445" t="str">
        <f>IF(AH54="","",VLOOKUP(AH54,'Heimmannschaft MAISON'!AB:AO,14,FALSE))</f>
        <v/>
      </c>
      <c r="BF54" s="445" t="str">
        <f>IF(AS54="","",RANK(AS54,$AS$20:$AS$122,1))</f>
        <v/>
      </c>
      <c r="BG54" s="445" t="str">
        <f>IF(AH54="","",VLOOKUP(AH54,'Gastmannschaft EXTERIEUR'!AB:AO,14,FALSE))</f>
        <v/>
      </c>
      <c r="BH54" s="445">
        <f>IFERROR(IF(BB54+BC54&gt;0,1,0),0)</f>
        <v>0</v>
      </c>
      <c r="BI54" s="446" t="str">
        <f>IF(BQ54=1,BR54,IF(AU54="","",IF(BC54=1,1,0)))</f>
        <v/>
      </c>
      <c r="BJ54" s="447" t="str">
        <f>IF(AU54="","",IF(BI54=1,SUM(BK54,BL54),0))</f>
        <v/>
      </c>
      <c r="BK54" s="445">
        <f>IF(AJ54="S",IF($AB$1=1,3,2),0)</f>
        <v>0</v>
      </c>
      <c r="BL54" s="445">
        <f>IF(AJ54="D",2,0)</f>
        <v>2</v>
      </c>
      <c r="BM54" s="446" t="str">
        <f>IF(AU54="","",IF(BB54=1,1,0))</f>
        <v/>
      </c>
      <c r="BN54" s="447" t="str">
        <f>IF(AU54="","",IF(BM54=1,SUM(BO54,BP54),0))</f>
        <v/>
      </c>
      <c r="BO54" s="445">
        <f>IF(AJ54="S",IF($AB$1=1,3,2),0)</f>
        <v>0</v>
      </c>
      <c r="BP54" s="445">
        <f>IF(AJ54="D",2,0)</f>
        <v>2</v>
      </c>
      <c r="BQ54" s="445">
        <f>IF(BR16=2,IF(AB1=2,1,0),0)</f>
        <v>0</v>
      </c>
      <c r="BR54" s="493">
        <v>0</v>
      </c>
      <c r="BS54" s="493">
        <v>0</v>
      </c>
      <c r="BT54" s="493">
        <v>1</v>
      </c>
      <c r="BU54" s="493">
        <v>2</v>
      </c>
      <c r="BV54" s="445" t="str">
        <f>IF(AU54="","",SUM(AZ54,BI54))</f>
        <v/>
      </c>
      <c r="BW54" s="445" t="str">
        <f>IF(AU54="","",SUM(AV54,BJ54))</f>
        <v/>
      </c>
      <c r="BY54" s="445" t="str">
        <f>IF(AU54="","",SUM(BA54,BM54))</f>
        <v/>
      </c>
      <c r="BZ54" s="445" t="str">
        <f>IF(AU54="","",SUM(AW54,BN54))</f>
        <v/>
      </c>
    </row>
    <row r="55" spans="1:78" s="452" customFormat="1" ht="20.100000000000001" customHeight="1">
      <c r="L55" s="628" t="str">
        <f>REPT(Sprache!$K$56,1)</f>
        <v>Zwischenresultat</v>
      </c>
      <c r="M55" s="629"/>
      <c r="W55" s="451"/>
      <c r="AB55" s="445"/>
      <c r="AC55" s="445"/>
      <c r="AD55" s="445"/>
      <c r="AE55" s="445"/>
      <c r="AF55" s="445"/>
      <c r="AG55" s="445"/>
      <c r="AH55" s="445"/>
      <c r="AI55" s="445"/>
      <c r="AJ55" s="445"/>
      <c r="AK55" s="445"/>
      <c r="AL55" s="445"/>
      <c r="AM55" s="445"/>
      <c r="AN55" s="445"/>
      <c r="AO55" s="445"/>
      <c r="AP55" s="445"/>
      <c r="AQ55" s="445"/>
      <c r="AR55" s="445"/>
      <c r="AS55" s="445"/>
      <c r="AT55" s="445"/>
      <c r="AU55" s="445"/>
      <c r="AV55" s="445"/>
      <c r="AW55" s="445"/>
      <c r="AX55" s="445"/>
      <c r="AY55" s="445"/>
      <c r="AZ55" s="445"/>
      <c r="BA55" s="445"/>
      <c r="BB55" s="445"/>
      <c r="BC55" s="445"/>
      <c r="BD55" s="445"/>
      <c r="BE55" s="445"/>
      <c r="BF55" s="445"/>
      <c r="BG55" s="445"/>
      <c r="BH55" s="445"/>
      <c r="BI55" s="446"/>
      <c r="BJ55" s="447"/>
      <c r="BK55" s="445"/>
      <c r="BL55" s="445"/>
      <c r="BM55" s="446"/>
      <c r="BN55" s="447"/>
      <c r="BO55" s="445"/>
      <c r="BP55" s="445"/>
      <c r="BQ55" s="445"/>
      <c r="BR55" s="445"/>
      <c r="BS55" s="445"/>
      <c r="BT55" s="445"/>
    </row>
    <row r="56" spans="1:78" s="452" customFormat="1" ht="24.95" customHeight="1">
      <c r="L56" s="495">
        <f>SUM(BV56)</f>
        <v>0</v>
      </c>
      <c r="M56" s="495">
        <f>SUM(BY56)</f>
        <v>0</v>
      </c>
      <c r="W56" s="451"/>
      <c r="AB56" s="445"/>
      <c r="AC56" s="445"/>
      <c r="AD56" s="445"/>
      <c r="AE56" s="445"/>
      <c r="AF56" s="445"/>
      <c r="AG56" s="445"/>
      <c r="AH56" s="445"/>
      <c r="AI56" s="445"/>
      <c r="AJ56" s="445"/>
      <c r="AK56" s="445"/>
      <c r="AL56" s="445"/>
      <c r="AM56" s="445"/>
      <c r="AN56" s="445"/>
      <c r="AO56" s="445"/>
      <c r="AP56" s="445"/>
      <c r="AQ56" s="445"/>
      <c r="AR56" s="445"/>
      <c r="AS56" s="445"/>
      <c r="AT56" s="445"/>
      <c r="AU56" s="445"/>
      <c r="AV56" s="445"/>
      <c r="AW56" s="445"/>
      <c r="AX56" s="445"/>
      <c r="AY56" s="445"/>
      <c r="AZ56" s="445"/>
      <c r="BA56" s="445"/>
      <c r="BB56" s="445"/>
      <c r="BC56" s="445"/>
      <c r="BD56" s="445"/>
      <c r="BE56" s="445"/>
      <c r="BF56" s="445"/>
      <c r="BG56" s="445"/>
      <c r="BH56" s="445"/>
      <c r="BI56" s="446"/>
      <c r="BJ56" s="447"/>
      <c r="BK56" s="445"/>
      <c r="BL56" s="445"/>
      <c r="BM56" s="446"/>
      <c r="BN56" s="447"/>
      <c r="BO56" s="445"/>
      <c r="BP56" s="445"/>
      <c r="BQ56" s="445"/>
      <c r="BR56" s="445"/>
      <c r="BS56" s="445"/>
      <c r="BT56" s="445"/>
      <c r="BV56" s="445">
        <f>SUM(BV40:BV54)</f>
        <v>0</v>
      </c>
      <c r="BW56" s="445"/>
      <c r="BY56" s="445">
        <f>SUM(BY40:BY54)</f>
        <v>0</v>
      </c>
      <c r="BZ56" s="445"/>
    </row>
    <row r="57" spans="1:78" s="452" customFormat="1" ht="20.100000000000001" customHeight="1">
      <c r="W57" s="451"/>
      <c r="AB57" s="445"/>
      <c r="AC57" s="445"/>
      <c r="AD57" s="445"/>
      <c r="AE57" s="445"/>
      <c r="AF57" s="445"/>
      <c r="AG57" s="445"/>
      <c r="AH57" s="445"/>
      <c r="AI57" s="445"/>
      <c r="AJ57" s="445"/>
      <c r="AK57" s="445"/>
      <c r="AL57" s="445"/>
      <c r="AM57" s="445"/>
      <c r="AN57" s="445"/>
      <c r="AO57" s="445"/>
      <c r="AP57" s="445"/>
      <c r="AQ57" s="445"/>
      <c r="AR57" s="445"/>
      <c r="AS57" s="445"/>
      <c r="AT57" s="445"/>
      <c r="AU57" s="445"/>
      <c r="AV57" s="445"/>
      <c r="AW57" s="445"/>
      <c r="AX57" s="445"/>
      <c r="AY57" s="445"/>
      <c r="AZ57" s="445"/>
      <c r="BA57" s="445"/>
      <c r="BB57" s="445"/>
      <c r="BC57" s="445"/>
      <c r="BD57" s="445"/>
      <c r="BE57" s="445"/>
      <c r="BF57" s="445"/>
      <c r="BG57" s="445"/>
      <c r="BH57" s="445"/>
      <c r="BI57" s="446"/>
      <c r="BJ57" s="447"/>
      <c r="BK57" s="445"/>
      <c r="BL57" s="445"/>
      <c r="BM57" s="446"/>
      <c r="BN57" s="447"/>
      <c r="BO57" s="445"/>
      <c r="BP57" s="445"/>
      <c r="BQ57" s="445"/>
      <c r="BR57" s="445"/>
      <c r="BS57" s="445"/>
      <c r="BT57" s="445"/>
    </row>
    <row r="58" spans="1:78" ht="18" customHeight="1">
      <c r="A58" s="451"/>
      <c r="B58" s="452"/>
      <c r="C58" s="452"/>
      <c r="D58" s="452"/>
      <c r="E58" s="452"/>
      <c r="F58" s="452"/>
      <c r="G58" s="458" t="str">
        <f>REPT('Heimmannschaft MAISON'!I51,1)</f>
        <v>Zweite Runde Einzel</v>
      </c>
      <c r="H58" s="87"/>
      <c r="I58" s="87"/>
      <c r="J58" s="87"/>
      <c r="K58" s="88"/>
      <c r="L58" s="82" t="s">
        <v>859</v>
      </c>
      <c r="M58" s="82" t="s">
        <v>860</v>
      </c>
      <c r="N58" s="481"/>
      <c r="O58" s="482">
        <f>SUM(P58)/100</f>
        <v>0</v>
      </c>
      <c r="P58" s="482">
        <f>SUM(O54)</f>
        <v>0</v>
      </c>
      <c r="Q58" s="483"/>
      <c r="R58" s="620" t="str">
        <f>REPT('Heimmannschaft MAISON'!I51,1)</f>
        <v>Zweite Runde Einzel</v>
      </c>
      <c r="S58" s="621"/>
      <c r="T58" s="91"/>
      <c r="U58" s="82"/>
      <c r="V58" s="82"/>
      <c r="W58" s="451"/>
      <c r="X58" s="452"/>
      <c r="Y58" s="452"/>
      <c r="Z58" s="452"/>
      <c r="AA58" s="452"/>
    </row>
    <row r="59" spans="1:78" ht="9.9499999999999993" customHeight="1">
      <c r="A59" s="451"/>
      <c r="B59" s="452"/>
      <c r="C59" s="452"/>
      <c r="D59" s="452"/>
      <c r="E59" s="452"/>
      <c r="F59" s="452"/>
      <c r="G59" s="91"/>
      <c r="H59" s="91"/>
      <c r="I59" s="91"/>
      <c r="J59" s="91"/>
      <c r="K59" s="91"/>
      <c r="L59" s="82"/>
      <c r="M59" s="82"/>
      <c r="N59" s="82"/>
      <c r="O59" s="91"/>
      <c r="P59" s="91"/>
      <c r="Q59" s="91"/>
      <c r="R59" s="91"/>
      <c r="S59" s="91"/>
      <c r="T59" s="91"/>
      <c r="U59" s="82"/>
      <c r="V59" s="82"/>
      <c r="W59" s="451"/>
      <c r="X59" s="452"/>
      <c r="Y59" s="452"/>
      <c r="Z59" s="452"/>
      <c r="AA59" s="452"/>
    </row>
    <row r="60" spans="1:78" s="452" customFormat="1" ht="20.100000000000001" customHeight="1">
      <c r="B60" s="484" t="str">
        <f>REPT(AT60,1)</f>
        <v>SPIEL 13</v>
      </c>
      <c r="C60" s="445"/>
      <c r="D60" s="485" t="str">
        <f>IF(AI60=0,"",CONCATENATE(AM60,AJ60))</f>
        <v>HS</v>
      </c>
      <c r="E60" s="486">
        <f>IF(AO60="*",AQ60,AL60)</f>
        <v>2.1</v>
      </c>
      <c r="G60" s="633" t="str">
        <f>REPT('Heimmannschaft MAISON'!AO53,1)</f>
        <v/>
      </c>
      <c r="H60" s="634"/>
      <c r="I60" s="487" t="str">
        <f>REPT('Heimmannschaft MAISON'!I53,1)</f>
        <v/>
      </c>
      <c r="J60" s="488"/>
      <c r="K60" s="489" t="str">
        <f>IF(AX60="","",AX60)</f>
        <v/>
      </c>
      <c r="L60" s="490" t="str">
        <f>IF(BH60=1,BW60,IF(AV60="","",AV60))</f>
        <v/>
      </c>
      <c r="M60" s="490" t="str">
        <f>IF(BH60=1,BZ60,IF(AW60="","",AW60))</f>
        <v/>
      </c>
      <c r="N60" s="489" t="str">
        <f>IF(AY60="","",AY60)</f>
        <v/>
      </c>
      <c r="O60" s="630" t="str">
        <f>REPT('Gastmannschaft EXTERIEUR'!AO53,1)</f>
        <v/>
      </c>
      <c r="P60" s="631"/>
      <c r="Q60" s="487" t="str">
        <f>REPT('Gastmannschaft EXTERIEUR'!I53,1)</f>
        <v/>
      </c>
      <c r="R60" s="491"/>
      <c r="S60" s="488"/>
      <c r="U60" s="485" t="str">
        <f>IF(AI60=0,"",CONCATENATE(AN60,AJ60))</f>
        <v>GS</v>
      </c>
      <c r="V60" s="486">
        <f>IF(AP60="*",AQ60,AL60)</f>
        <v>2.1</v>
      </c>
      <c r="W60" s="451"/>
      <c r="AB60" s="445">
        <v>17</v>
      </c>
      <c r="AC60" s="445">
        <v>13</v>
      </c>
      <c r="AD60" s="445">
        <v>17</v>
      </c>
      <c r="AE60" s="445">
        <v>13</v>
      </c>
      <c r="AF60" s="445">
        <v>13</v>
      </c>
      <c r="AG60" s="445">
        <v>10</v>
      </c>
      <c r="AH60" s="445">
        <f>IF($AB$1=3,AF60,IF($AB$1=2,AD60,IF($AB$1=1,AB60,"")))</f>
        <v>17</v>
      </c>
      <c r="AI60" s="445">
        <f>IF($AB$1=3,AG60,IF($AB$1=2,AE60,IF($AB$1=1,AC60,"")))</f>
        <v>13</v>
      </c>
      <c r="AJ60" s="166" t="str">
        <f>IF(AH60="","",VLOOKUP(AH60,Chema!AJ:AL,2,FALSE))</f>
        <v>S</v>
      </c>
      <c r="AK60" s="166">
        <f>IF(AH60="","",VLOOKUP(AH60,Chema!AJ:AL,3,FALSE))</f>
        <v>2.1</v>
      </c>
      <c r="AL60" s="166">
        <f>IF(AI60=0,"",IF(AI60="","",VLOOKUP(AI60,Chema!R:T,3,FALSE)))</f>
        <v>2.1</v>
      </c>
      <c r="AM60" s="166" t="s">
        <v>894</v>
      </c>
      <c r="AN60" s="445" t="s">
        <v>895</v>
      </c>
      <c r="AO60" s="492" t="str">
        <f>IF(AU60="","",VLOOKUP(AU60,Average!HN:HT,6,FALSE))</f>
        <v/>
      </c>
      <c r="AP60" s="492" t="str">
        <f>IF(AU60="","",VLOOKUP(AU60,Average!HN:HT,7,FALSE))</f>
        <v/>
      </c>
      <c r="AQ60" s="445" t="str">
        <f>IF(AI60=0,"",VLOOKUP(AI60,Chema!BL:BQ,6,FALSE))</f>
        <v>2.1*</v>
      </c>
      <c r="AR60" s="445" t="str">
        <f>VLOOKUP(AH60,'Heimmannschaft MAISON'!AB:AO,14,FALSE)</f>
        <v/>
      </c>
      <c r="AS60" s="445" t="str">
        <f>VLOOKUP(AH60,'Gastmannschaft EXTERIEUR'!AB:AO,14,FALSE)</f>
        <v/>
      </c>
      <c r="AT60" s="445" t="str">
        <f>IF(AI60=0,"",CONCATENATE($AT$18," ",AI60))</f>
        <v>SPIEL 13</v>
      </c>
      <c r="AU60" s="445" t="str">
        <f>IF(AI60=0,"",CONCATENATE($AU$18," ",AI60))</f>
        <v>SPIEL 13</v>
      </c>
      <c r="AV60" s="445" t="str">
        <f>IF(BC60=1,"",IF(AU60="","",VLOOKUP(AU60,Average!HN:HP,2,FALSE)))</f>
        <v/>
      </c>
      <c r="AW60" s="445" t="str">
        <f>IF(BB60=1,"",IF(AU60="","",VLOOKUP(AU60,Average!HN:HP,3,FALSE)))</f>
        <v/>
      </c>
      <c r="AX60" s="445" t="str">
        <f>IFERROR(IF(AU60="","",VLOOKUP(AU60,Average!HN:HQ,4,FALSE)),"")</f>
        <v/>
      </c>
      <c r="AY60" s="445" t="str">
        <f>IFERROR(IF(AU60="","",VLOOKUP(AU60,Average!HN:HR,5,FALSE)),"")</f>
        <v/>
      </c>
      <c r="AZ60" s="445">
        <f>IF(BC60=1,"",IF(AU60="","",VLOOKUP(AU60,Average!HN:HV,8,FALSE)))</f>
        <v>0</v>
      </c>
      <c r="BA60" s="445">
        <f>IF(BB60=1,"",IF(AU60="","",VLOOKUP(AU60,Average!HN:HV,9,FALSE)))</f>
        <v>0</v>
      </c>
      <c r="BB60" s="445">
        <f>IF(AU60="","",IF(I60="FORFAIT",1,0))</f>
        <v>0</v>
      </c>
      <c r="BC60" s="445">
        <f>IF(AU60="","",IF(Q60="FORFAIT",1,0))</f>
        <v>0</v>
      </c>
      <c r="BD60" s="445" t="str">
        <f>IF(AR60="","",RANK(AR60,$AR$20:$AR$122,1))</f>
        <v/>
      </c>
      <c r="BE60" s="445" t="str">
        <f>IF(AH60="","",VLOOKUP(AH60,'Heimmannschaft MAISON'!AB:AO,14,FALSE))</f>
        <v/>
      </c>
      <c r="BF60" s="445" t="str">
        <f>IF(AS60="","",RANK(AS60,$AS$20:$AS$122,1))</f>
        <v/>
      </c>
      <c r="BG60" s="445" t="str">
        <f>IF(AH60="","",VLOOKUP(AH60,'Gastmannschaft EXTERIEUR'!AB:AO,14,FALSE))</f>
        <v/>
      </c>
      <c r="BH60" s="445">
        <f>IFERROR(IF(BB60+BC60&gt;0,1,0),0)</f>
        <v>0</v>
      </c>
      <c r="BI60" s="446">
        <f>IF(AU60="","",IF(BC60=1,1,0))</f>
        <v>0</v>
      </c>
      <c r="BJ60" s="447">
        <f>IF(AU60="","",IF(BI60=1,SUM(BK60,BL60),0))</f>
        <v>0</v>
      </c>
      <c r="BK60" s="445">
        <f>IF(AJ60="S",IF($AB$1=1,3,2),0)</f>
        <v>3</v>
      </c>
      <c r="BL60" s="445">
        <f>IF(AJ60="D",2,0)</f>
        <v>0</v>
      </c>
      <c r="BM60" s="446">
        <f>IF(AU60="","",IF(BB60=1,1,0))</f>
        <v>0</v>
      </c>
      <c r="BN60" s="447">
        <f>IF(AU60="","",IF(BM60=1,SUM(BO60,BP60),0))</f>
        <v>0</v>
      </c>
      <c r="BO60" s="445">
        <f>IF(AJ60="S",IF($AB$1=1,3,2),0)</f>
        <v>3</v>
      </c>
      <c r="BP60" s="445">
        <f>IF(AJ60="D",2,0)</f>
        <v>0</v>
      </c>
      <c r="BQ60" s="445"/>
      <c r="BR60" s="445"/>
      <c r="BS60" s="445"/>
      <c r="BT60" s="445"/>
      <c r="BV60" s="445">
        <f>IF(AU60="","",SUM(AZ60,BI60))</f>
        <v>0</v>
      </c>
      <c r="BW60" s="445">
        <f>IF(AU60="","",SUM(AV60,BJ60))</f>
        <v>0</v>
      </c>
      <c r="BY60" s="445">
        <f>IF(AU60="","",SUM(BA60,BM60))</f>
        <v>0</v>
      </c>
      <c r="BZ60" s="445">
        <f>IF(AU60="","",SUM(AW60,BN60))</f>
        <v>0</v>
      </c>
    </row>
    <row r="61" spans="1:78" s="452" customFormat="1" ht="5.0999999999999996" customHeight="1">
      <c r="W61" s="451"/>
      <c r="AB61" s="445"/>
      <c r="AC61" s="445"/>
      <c r="AD61" s="445"/>
      <c r="AE61" s="445"/>
      <c r="AF61" s="445"/>
      <c r="AG61" s="445"/>
      <c r="AH61" s="445"/>
      <c r="AI61" s="445"/>
      <c r="AJ61" s="445"/>
      <c r="AK61" s="445"/>
      <c r="AL61" s="445"/>
      <c r="AM61" s="445"/>
      <c r="AN61" s="445"/>
      <c r="AO61" s="492"/>
      <c r="AP61" s="492"/>
      <c r="AQ61" s="445"/>
      <c r="AS61" s="445"/>
      <c r="AT61" s="445"/>
      <c r="AU61" s="445"/>
      <c r="AV61" s="445"/>
      <c r="AW61" s="445"/>
      <c r="AX61" s="445"/>
      <c r="AY61" s="445"/>
      <c r="AZ61" s="445"/>
      <c r="BA61" s="445"/>
      <c r="BB61" s="445"/>
      <c r="BC61" s="445"/>
      <c r="BD61" s="445"/>
      <c r="BE61" s="445"/>
      <c r="BF61" s="445"/>
      <c r="BG61" s="445"/>
      <c r="BH61" s="445"/>
      <c r="BI61" s="446"/>
      <c r="BJ61" s="447"/>
      <c r="BK61" s="445"/>
      <c r="BL61" s="445"/>
      <c r="BM61" s="446"/>
      <c r="BN61" s="447"/>
      <c r="BO61" s="445"/>
      <c r="BP61" s="445"/>
      <c r="BQ61" s="445"/>
      <c r="BR61" s="445"/>
      <c r="BS61" s="445"/>
      <c r="BT61" s="445"/>
    </row>
    <row r="62" spans="1:78" s="452" customFormat="1" ht="20.100000000000001" customHeight="1">
      <c r="B62" s="484" t="str">
        <f>REPT(AT62,1)</f>
        <v>SPIEL 14</v>
      </c>
      <c r="D62" s="485" t="str">
        <f>IF(AI62=0,"",CONCATENATE(AM62,AJ62))</f>
        <v>HS</v>
      </c>
      <c r="E62" s="486">
        <f>IF(AO62="*",AQ62,AL62)</f>
        <v>2.2000000000000002</v>
      </c>
      <c r="G62" s="633" t="str">
        <f>REPT('Heimmannschaft MAISON'!AO55,1)</f>
        <v/>
      </c>
      <c r="H62" s="634"/>
      <c r="I62" s="487" t="str">
        <f>REPT('Heimmannschaft MAISON'!I55,1)</f>
        <v/>
      </c>
      <c r="J62" s="488"/>
      <c r="K62" s="489" t="str">
        <f>IF(AX62="","",AX62)</f>
        <v/>
      </c>
      <c r="L62" s="490" t="str">
        <f>IF(BH62=1,BW62,IF(AV62="","",AV62))</f>
        <v/>
      </c>
      <c r="M62" s="490" t="str">
        <f>IF(BH62=1,BZ62,IF(AW62="","",AW62))</f>
        <v/>
      </c>
      <c r="N62" s="489" t="str">
        <f>IF(AY62="","",AY62)</f>
        <v/>
      </c>
      <c r="O62" s="630" t="str">
        <f>REPT('Gastmannschaft EXTERIEUR'!AO55,1)</f>
        <v/>
      </c>
      <c r="P62" s="631"/>
      <c r="Q62" s="487" t="str">
        <f>REPT('Gastmannschaft EXTERIEUR'!I55,1)</f>
        <v/>
      </c>
      <c r="R62" s="491"/>
      <c r="S62" s="488"/>
      <c r="U62" s="485" t="str">
        <f>IF(AI62=0,"",CONCATENATE(AN62,AJ62))</f>
        <v>GS</v>
      </c>
      <c r="V62" s="486">
        <f>IF(AP62="*",AQ62,AL62)</f>
        <v>2.2000000000000002</v>
      </c>
      <c r="W62" s="451"/>
      <c r="AB62" s="445">
        <v>18</v>
      </c>
      <c r="AC62" s="445">
        <v>14</v>
      </c>
      <c r="AD62" s="445">
        <v>18</v>
      </c>
      <c r="AE62" s="445"/>
      <c r="AF62" s="445">
        <v>14</v>
      </c>
      <c r="AG62" s="445"/>
      <c r="AH62" s="445">
        <f>IF($AB$1=3,AF62,IF($AB$1=2,AD62,IF($AB$1=1,AB62,"")))</f>
        <v>18</v>
      </c>
      <c r="AI62" s="445">
        <f>IF($AB$1=3,AG62,IF($AB$1=2,AE62,IF($AB$1=1,AC62,"")))</f>
        <v>14</v>
      </c>
      <c r="AJ62" s="166" t="str">
        <f>IF(AH62="","",VLOOKUP(AH62,Chema!AJ:AL,2,FALSE))</f>
        <v>S</v>
      </c>
      <c r="AK62" s="166">
        <f>IF(AH62="","",VLOOKUP(AH62,Chema!AJ:AL,3,FALSE))</f>
        <v>2.2000000000000002</v>
      </c>
      <c r="AL62" s="166">
        <f>IF(AI62=0,"",IF(AI62="","",VLOOKUP(AI62,Chema!R:T,3,FALSE)))</f>
        <v>2.2000000000000002</v>
      </c>
      <c r="AM62" s="166" t="s">
        <v>894</v>
      </c>
      <c r="AN62" s="445" t="s">
        <v>895</v>
      </c>
      <c r="AO62" s="492" t="str">
        <f>IF(AU62="","",VLOOKUP(AU62,Average!HN:HT,6,FALSE))</f>
        <v/>
      </c>
      <c r="AP62" s="492" t="str">
        <f>IF(AU62="","",VLOOKUP(AU62,Average!HN:HT,7,FALSE))</f>
        <v/>
      </c>
      <c r="AQ62" s="445" t="str">
        <f>IF(AI62=0,"",VLOOKUP(AI62,Chema!BL:BQ,6,FALSE))</f>
        <v>2.2*</v>
      </c>
      <c r="AR62" s="445" t="str">
        <f>VLOOKUP(AH62,'Heimmannschaft MAISON'!AB:AO,14,FALSE)</f>
        <v/>
      </c>
      <c r="AS62" s="445" t="str">
        <f>VLOOKUP(AH62,'Gastmannschaft EXTERIEUR'!AB:AO,14,FALSE)</f>
        <v/>
      </c>
      <c r="AT62" s="445" t="str">
        <f>IF(AI62=0,"",CONCATENATE($AT$18," ",AI62))</f>
        <v>SPIEL 14</v>
      </c>
      <c r="AU62" s="445" t="str">
        <f>IF(AI62=0,"",CONCATENATE($AU$18," ",AI62))</f>
        <v>SPIEL 14</v>
      </c>
      <c r="AV62" s="445" t="str">
        <f>IF(BC62=1,"",IF(AU62="","",VLOOKUP(AU62,Average!HN:HP,2,FALSE)))</f>
        <v/>
      </c>
      <c r="AW62" s="445" t="str">
        <f>IF(BB62=1,"",IF(AU62="","",VLOOKUP(AU62,Average!HN:HP,3,FALSE)))</f>
        <v/>
      </c>
      <c r="AX62" s="445" t="str">
        <f>IFERROR(IF(AU62="","",VLOOKUP(AU62,Average!HN:HQ,4,FALSE)),"")</f>
        <v/>
      </c>
      <c r="AY62" s="445" t="str">
        <f>IFERROR(IF(AU62="","",VLOOKUP(AU62,Average!HN:HR,5,FALSE)),"")</f>
        <v/>
      </c>
      <c r="AZ62" s="445">
        <f>IF(BC62=1,"",IF(AU62="","",VLOOKUP(AU62,Average!HN:HV,8,FALSE)))</f>
        <v>0</v>
      </c>
      <c r="BA62" s="445">
        <f>IF(BB62=1,"",IF(AU62="","",VLOOKUP(AU62,Average!HN:HV,9,FALSE)))</f>
        <v>0</v>
      </c>
      <c r="BB62" s="445">
        <f>IF(AU62="","",IF(I62="FORFAIT",1,0))</f>
        <v>0</v>
      </c>
      <c r="BC62" s="445">
        <f>IF(AU62="","",IF(Q62="FORFAIT",1,0))</f>
        <v>0</v>
      </c>
      <c r="BD62" s="445" t="str">
        <f>IF(AR62="","",RANK(AR62,$AR$20:$AR$122,1))</f>
        <v/>
      </c>
      <c r="BE62" s="445" t="str">
        <f>IF(AH62="","",VLOOKUP(AH62,'Heimmannschaft MAISON'!AB:AO,14,FALSE))</f>
        <v/>
      </c>
      <c r="BF62" s="445" t="str">
        <f>IF(AS62="","",RANK(AS62,$AS$20:$AS$122,1))</f>
        <v/>
      </c>
      <c r="BG62" s="445" t="str">
        <f>IF(AH62="","",VLOOKUP(AH62,'Gastmannschaft EXTERIEUR'!AB:AO,14,FALSE))</f>
        <v/>
      </c>
      <c r="BH62" s="445">
        <f>IFERROR(IF(BB62+BC62&gt;0,1,0),0)</f>
        <v>0</v>
      </c>
      <c r="BI62" s="446">
        <f>IF(AU62="","",IF(BC62=1,1,0))</f>
        <v>0</v>
      </c>
      <c r="BJ62" s="447">
        <f>IF(AU62="","",IF(BI62=1,SUM(BK62,BL62),0))</f>
        <v>0</v>
      </c>
      <c r="BK62" s="445">
        <f>IF(AJ62="S",IF($AB$1=1,3,2),0)</f>
        <v>3</v>
      </c>
      <c r="BL62" s="445">
        <f>IF(AJ62="D",2,0)</f>
        <v>0</v>
      </c>
      <c r="BM62" s="446">
        <f>IF(AU62="","",IF(BB62=1,1,0))</f>
        <v>0</v>
      </c>
      <c r="BN62" s="447">
        <f>IF(AU62="","",IF(BM62=1,SUM(BO62,BP62),0))</f>
        <v>0</v>
      </c>
      <c r="BO62" s="445">
        <f>IF(AJ62="S",IF($AB$1=1,3,2),0)</f>
        <v>3</v>
      </c>
      <c r="BP62" s="445">
        <f>IF(AJ62="D",2,0)</f>
        <v>0</v>
      </c>
      <c r="BQ62" s="445"/>
      <c r="BR62" s="445"/>
      <c r="BS62" s="445"/>
      <c r="BT62" s="445"/>
      <c r="BV62" s="445">
        <f>IF(AU62="","",SUM(AZ62,BI62))</f>
        <v>0</v>
      </c>
      <c r="BW62" s="445">
        <f>IF(AU62="","",SUM(AV62,BJ62))</f>
        <v>0</v>
      </c>
      <c r="BY62" s="445">
        <f>IF(AU62="","",SUM(BA62,BM62))</f>
        <v>0</v>
      </c>
      <c r="BZ62" s="445">
        <f>IF(AU62="","",SUM(AW62,BN62))</f>
        <v>0</v>
      </c>
    </row>
    <row r="63" spans="1:78" s="452" customFormat="1" ht="5.0999999999999996" customHeight="1">
      <c r="W63" s="451"/>
      <c r="AB63" s="445"/>
      <c r="AC63" s="445"/>
      <c r="AD63" s="445"/>
      <c r="AE63" s="445"/>
      <c r="AF63" s="445"/>
      <c r="AG63" s="445"/>
      <c r="AH63" s="445"/>
      <c r="AI63" s="445"/>
      <c r="AJ63" s="445"/>
      <c r="AK63" s="445"/>
      <c r="AL63" s="445"/>
      <c r="AM63" s="445"/>
      <c r="AN63" s="445"/>
      <c r="AO63" s="492"/>
      <c r="AP63" s="492"/>
      <c r="AQ63" s="445"/>
      <c r="AS63" s="445"/>
      <c r="AT63" s="445"/>
      <c r="AU63" s="445"/>
      <c r="AV63" s="445"/>
      <c r="AW63" s="445"/>
      <c r="AX63" s="445"/>
      <c r="AY63" s="445"/>
      <c r="AZ63" s="445"/>
      <c r="BA63" s="445"/>
      <c r="BB63" s="445"/>
      <c r="BC63" s="445"/>
      <c r="BD63" s="445"/>
      <c r="BE63" s="445"/>
      <c r="BF63" s="445"/>
      <c r="BG63" s="445"/>
      <c r="BH63" s="445"/>
      <c r="BI63" s="446"/>
      <c r="BJ63" s="447"/>
      <c r="BK63" s="445"/>
      <c r="BL63" s="445"/>
      <c r="BM63" s="446"/>
      <c r="BN63" s="447"/>
      <c r="BO63" s="445"/>
      <c r="BP63" s="445"/>
      <c r="BQ63" s="445"/>
      <c r="BR63" s="445"/>
      <c r="BS63" s="445"/>
      <c r="BT63" s="445"/>
    </row>
    <row r="64" spans="1:78" s="452" customFormat="1" ht="20.100000000000001" customHeight="1">
      <c r="B64" s="484" t="str">
        <f>REPT(AT64,1)</f>
        <v>SPIEL 15</v>
      </c>
      <c r="D64" s="485" t="str">
        <f>IF(AI64=0,"",CONCATENATE(AM64,AJ64))</f>
        <v>HS</v>
      </c>
      <c r="E64" s="486">
        <f>IF(AO64="*",AQ64,AL64)</f>
        <v>2.2999999999999998</v>
      </c>
      <c r="G64" s="633" t="str">
        <f>REPT('Heimmannschaft MAISON'!AO57,1)</f>
        <v/>
      </c>
      <c r="H64" s="634"/>
      <c r="I64" s="487" t="str">
        <f>REPT('Heimmannschaft MAISON'!I57,1)</f>
        <v/>
      </c>
      <c r="J64" s="488"/>
      <c r="K64" s="489" t="str">
        <f>IF(AX64="","",AX64)</f>
        <v/>
      </c>
      <c r="L64" s="490" t="str">
        <f>IF(BH64=1,BW64,IF(AV64="","",AV64))</f>
        <v/>
      </c>
      <c r="M64" s="490" t="str">
        <f>IF(BH64=1,BZ64,IF(AW64="","",AW64))</f>
        <v/>
      </c>
      <c r="N64" s="489" t="str">
        <f>IF(AY64="","",AY64)</f>
        <v/>
      </c>
      <c r="O64" s="630" t="str">
        <f>REPT('Gastmannschaft EXTERIEUR'!AO57,1)</f>
        <v/>
      </c>
      <c r="P64" s="631"/>
      <c r="Q64" s="487" t="str">
        <f>REPT('Gastmannschaft EXTERIEUR'!I57,1)</f>
        <v/>
      </c>
      <c r="R64" s="491"/>
      <c r="S64" s="488"/>
      <c r="U64" s="485" t="str">
        <f>IF(AI64=0,"",CONCATENATE(AN64,AJ64))</f>
        <v>GS</v>
      </c>
      <c r="V64" s="486">
        <f>IF(AP64="*",AQ64,AL64)</f>
        <v>2.2999999999999998</v>
      </c>
      <c r="W64" s="451"/>
      <c r="AB64" s="445">
        <v>19</v>
      </c>
      <c r="AC64" s="445">
        <v>15</v>
      </c>
      <c r="AD64" s="445">
        <v>19</v>
      </c>
      <c r="AE64" s="445">
        <v>14</v>
      </c>
      <c r="AF64" s="445">
        <v>15</v>
      </c>
      <c r="AG64" s="445">
        <v>11</v>
      </c>
      <c r="AH64" s="445">
        <f>IF($AB$1=3,AF64,IF($AB$1=2,AD64,IF($AB$1=1,AB64,"")))</f>
        <v>19</v>
      </c>
      <c r="AI64" s="445">
        <f>IF($AB$1=3,AG64,IF($AB$1=2,AE64,IF($AB$1=1,AC64,"")))</f>
        <v>15</v>
      </c>
      <c r="AJ64" s="166" t="str">
        <f>IF(AH64="","",VLOOKUP(AH64,Chema!AJ:AL,2,FALSE))</f>
        <v>S</v>
      </c>
      <c r="AK64" s="166">
        <f>IF(AH64="","",VLOOKUP(AH64,Chema!AJ:AL,3,FALSE))</f>
        <v>2.2999999999999998</v>
      </c>
      <c r="AL64" s="166">
        <f>IF(AI64=0,"",IF(AI64="","",VLOOKUP(AI64,Chema!R:T,3,FALSE)))</f>
        <v>2.2999999999999998</v>
      </c>
      <c r="AM64" s="166" t="s">
        <v>894</v>
      </c>
      <c r="AN64" s="445" t="s">
        <v>895</v>
      </c>
      <c r="AO64" s="492" t="str">
        <f>IF(AU64="","",VLOOKUP(AU64,Average!HN:HT,6,FALSE))</f>
        <v/>
      </c>
      <c r="AP64" s="492" t="str">
        <f>IF(AU64="","",VLOOKUP(AU64,Average!HN:HT,7,FALSE))</f>
        <v/>
      </c>
      <c r="AQ64" s="445" t="str">
        <f>IF(AI64=0,"",VLOOKUP(AI64,Chema!BL:BQ,6,FALSE))</f>
        <v>2.3*</v>
      </c>
      <c r="AR64" s="445" t="str">
        <f>VLOOKUP(AH64,'Heimmannschaft MAISON'!AB:AO,14,FALSE)</f>
        <v/>
      </c>
      <c r="AS64" s="445" t="str">
        <f>VLOOKUP(AH64,'Gastmannschaft EXTERIEUR'!AB:AO,14,FALSE)</f>
        <v/>
      </c>
      <c r="AT64" s="445" t="str">
        <f>IF(AI64=0,"",CONCATENATE($AT$18," ",AI64))</f>
        <v>SPIEL 15</v>
      </c>
      <c r="AU64" s="445" t="str">
        <f>IF(AI64=0,"",CONCATENATE($AU$18," ",AI64))</f>
        <v>SPIEL 15</v>
      </c>
      <c r="AV64" s="445" t="str">
        <f>IF(BC64=1,"",IF(AU64="","",VLOOKUP(AU64,Average!HN:HP,2,FALSE)))</f>
        <v/>
      </c>
      <c r="AW64" s="445" t="str">
        <f>IF(BB64=1,"",IF(AU64="","",VLOOKUP(AU64,Average!HN:HP,3,FALSE)))</f>
        <v/>
      </c>
      <c r="AX64" s="445" t="str">
        <f>IFERROR(IF(AU64="","",VLOOKUP(AU64,Average!HN:HQ,4,FALSE)),"")</f>
        <v/>
      </c>
      <c r="AY64" s="445" t="str">
        <f>IFERROR(IF(AU64="","",VLOOKUP(AU64,Average!HN:HR,5,FALSE)),"")</f>
        <v/>
      </c>
      <c r="AZ64" s="445">
        <f>IF(BC64=1,"",IF(AU64="","",VLOOKUP(AU64,Average!HN:HV,8,FALSE)))</f>
        <v>0</v>
      </c>
      <c r="BA64" s="445">
        <f>IF(BB64=1,"",IF(AU64="","",VLOOKUP(AU64,Average!HN:HV,9,FALSE)))</f>
        <v>0</v>
      </c>
      <c r="BB64" s="445">
        <f>IF(AU64="","",IF(I64="FORFAIT",1,0))</f>
        <v>0</v>
      </c>
      <c r="BC64" s="445">
        <f>IF(AU64="","",IF(Q64="FORFAIT",1,0))</f>
        <v>0</v>
      </c>
      <c r="BD64" s="445" t="str">
        <f>IF(AR64="","",RANK(AR64,$AR$20:$AR$122,1))</f>
        <v/>
      </c>
      <c r="BE64" s="445" t="str">
        <f>IF(AH64="","",VLOOKUP(AH64,'Heimmannschaft MAISON'!AB:AO,14,FALSE))</f>
        <v/>
      </c>
      <c r="BF64" s="445" t="str">
        <f>IF(AS64="","",RANK(AS64,$AS$20:$AS$122,1))</f>
        <v/>
      </c>
      <c r="BG64" s="445" t="str">
        <f>IF(AH64="","",VLOOKUP(AH64,'Gastmannschaft EXTERIEUR'!AB:AO,14,FALSE))</f>
        <v/>
      </c>
      <c r="BH64" s="445">
        <f>IFERROR(IF(BB64+BC64&gt;0,1,0),0)</f>
        <v>0</v>
      </c>
      <c r="BI64" s="446">
        <f>IF(AU64="","",IF(BC64=1,1,0))</f>
        <v>0</v>
      </c>
      <c r="BJ64" s="447">
        <f>IF(AU64="","",IF(BI64=1,SUM(BK64,BL64),0))</f>
        <v>0</v>
      </c>
      <c r="BK64" s="445">
        <f>IF(AJ64="S",IF($AB$1=1,3,2),0)</f>
        <v>3</v>
      </c>
      <c r="BL64" s="445">
        <f>IF(AJ64="D",2,0)</f>
        <v>0</v>
      </c>
      <c r="BM64" s="446">
        <f>IF(AU64="","",IF(BB64=1,1,0))</f>
        <v>0</v>
      </c>
      <c r="BN64" s="447">
        <f>IF(AU64="","",IF(BM64=1,SUM(BO64,BP64),0))</f>
        <v>0</v>
      </c>
      <c r="BO64" s="445">
        <f>IF(AJ64="S",IF($AB$1=1,3,2),0)</f>
        <v>3</v>
      </c>
      <c r="BP64" s="445">
        <f>IF(AJ64="D",2,0)</f>
        <v>0</v>
      </c>
      <c r="BQ64" s="445"/>
      <c r="BR64" s="445"/>
      <c r="BS64" s="445"/>
      <c r="BT64" s="445"/>
      <c r="BV64" s="445">
        <f>IF(AU64="","",SUM(AZ64,BI64))</f>
        <v>0</v>
      </c>
      <c r="BW64" s="445">
        <f>IF(AU64="","",SUM(AV64,BJ64))</f>
        <v>0</v>
      </c>
      <c r="BY64" s="445">
        <f>IF(AU64="","",SUM(BA64,BM64))</f>
        <v>0</v>
      </c>
      <c r="BZ64" s="445">
        <f>IF(AU64="","",SUM(AW64,BN64))</f>
        <v>0</v>
      </c>
    </row>
    <row r="65" spans="1:78" s="452" customFormat="1" ht="5.0999999999999996" customHeight="1">
      <c r="W65" s="451"/>
      <c r="AB65" s="445"/>
      <c r="AC65" s="445"/>
      <c r="AD65" s="445"/>
      <c r="AE65" s="445"/>
      <c r="AF65" s="445"/>
      <c r="AG65" s="445"/>
      <c r="AH65" s="445"/>
      <c r="AI65" s="445"/>
      <c r="AJ65" s="445"/>
      <c r="AK65" s="445"/>
      <c r="AL65" s="445"/>
      <c r="AM65" s="445"/>
      <c r="AN65" s="445"/>
      <c r="AO65" s="492"/>
      <c r="AP65" s="492"/>
      <c r="AQ65" s="445"/>
      <c r="AS65" s="445"/>
      <c r="AT65" s="445"/>
      <c r="AU65" s="445"/>
      <c r="AV65" s="445"/>
      <c r="AW65" s="445"/>
      <c r="AX65" s="445"/>
      <c r="AY65" s="445"/>
      <c r="AZ65" s="445"/>
      <c r="BA65" s="445"/>
      <c r="BB65" s="445"/>
      <c r="BC65" s="445"/>
      <c r="BD65" s="445"/>
      <c r="BE65" s="445"/>
      <c r="BF65" s="445"/>
      <c r="BG65" s="445"/>
      <c r="BH65" s="445"/>
      <c r="BI65" s="446"/>
      <c r="BJ65" s="447"/>
      <c r="BK65" s="445"/>
      <c r="BL65" s="445"/>
      <c r="BM65" s="446"/>
      <c r="BN65" s="447"/>
      <c r="BO65" s="445"/>
      <c r="BP65" s="445"/>
      <c r="BQ65" s="445"/>
      <c r="BR65" s="445"/>
      <c r="BS65" s="445"/>
      <c r="BT65" s="445"/>
    </row>
    <row r="66" spans="1:78" s="452" customFormat="1" ht="20.100000000000001" customHeight="1">
      <c r="B66" s="484" t="str">
        <f>REPT(AT66,1)</f>
        <v>SPIEL 16</v>
      </c>
      <c r="D66" s="485" t="str">
        <f>IF(AI66=0,"",CONCATENATE(AM66,AJ66))</f>
        <v>HS</v>
      </c>
      <c r="E66" s="486">
        <f>IF(AO66="*",AQ66,AL66)</f>
        <v>2.4</v>
      </c>
      <c r="G66" s="633" t="str">
        <f>REPT('Heimmannschaft MAISON'!AO59,1)</f>
        <v/>
      </c>
      <c r="H66" s="634"/>
      <c r="I66" s="487" t="str">
        <f>REPT('Heimmannschaft MAISON'!I59,1)</f>
        <v/>
      </c>
      <c r="J66" s="488"/>
      <c r="K66" s="489" t="str">
        <f>IF(AX66="","",AX66)</f>
        <v/>
      </c>
      <c r="L66" s="490" t="str">
        <f>IF(BH66=1,BW66,IF(AV66="","",AV66))</f>
        <v/>
      </c>
      <c r="M66" s="490" t="str">
        <f>IF(BH66=1,BZ66,IF(AW66="","",AW66))</f>
        <v/>
      </c>
      <c r="N66" s="489" t="str">
        <f>IF(AY66="","",AY66)</f>
        <v/>
      </c>
      <c r="O66" s="630" t="str">
        <f>REPT('Gastmannschaft EXTERIEUR'!AO59,1)</f>
        <v/>
      </c>
      <c r="P66" s="631"/>
      <c r="Q66" s="487" t="str">
        <f>REPT('Gastmannschaft EXTERIEUR'!I59,1)</f>
        <v/>
      </c>
      <c r="R66" s="491"/>
      <c r="S66" s="488"/>
      <c r="U66" s="485" t="str">
        <f>IF(AI66=0,"",CONCATENATE(AN66,AJ66))</f>
        <v>GS</v>
      </c>
      <c r="V66" s="486">
        <f>IF(AP66="*",AQ66,AL66)</f>
        <v>2.4</v>
      </c>
      <c r="W66" s="451"/>
      <c r="AB66" s="445">
        <v>20</v>
      </c>
      <c r="AC66" s="445">
        <v>16</v>
      </c>
      <c r="AD66" s="445">
        <v>20</v>
      </c>
      <c r="AE66" s="445"/>
      <c r="AF66" s="445">
        <v>16</v>
      </c>
      <c r="AG66" s="445"/>
      <c r="AH66" s="445">
        <f>IF($AB$1=3,AF66,IF($AB$1=2,AD66,IF($AB$1=1,AB66,"")))</f>
        <v>20</v>
      </c>
      <c r="AI66" s="445">
        <f>IF($AB$1=3,AG66,IF($AB$1=2,AE66,IF($AB$1=1,AC66,"")))</f>
        <v>16</v>
      </c>
      <c r="AJ66" s="166" t="str">
        <f>IF(AH66="","",VLOOKUP(AH66,Chema!AJ:AL,2,FALSE))</f>
        <v>S</v>
      </c>
      <c r="AK66" s="166">
        <f>IF(AH66="","",VLOOKUP(AH66,Chema!AJ:AL,3,FALSE))</f>
        <v>2.4</v>
      </c>
      <c r="AL66" s="166">
        <f>IF(AI66=0,"",IF(AI66="","",VLOOKUP(AI66,Chema!R:T,3,FALSE)))</f>
        <v>2.4</v>
      </c>
      <c r="AM66" s="166" t="s">
        <v>894</v>
      </c>
      <c r="AN66" s="445" t="s">
        <v>895</v>
      </c>
      <c r="AO66" s="492" t="str">
        <f>IF(AU66="","",VLOOKUP(AU66,Average!HN:HT,6,FALSE))</f>
        <v/>
      </c>
      <c r="AP66" s="492" t="str">
        <f>IF(AU66="","",VLOOKUP(AU66,Average!HN:HT,7,FALSE))</f>
        <v/>
      </c>
      <c r="AQ66" s="445" t="str">
        <f>IF(AI66=0,"",VLOOKUP(AI66,Chema!BL:BQ,6,FALSE))</f>
        <v>2.4*</v>
      </c>
      <c r="AR66" s="445" t="str">
        <f>VLOOKUP(AH66,'Heimmannschaft MAISON'!AB:AO,14,FALSE)</f>
        <v/>
      </c>
      <c r="AS66" s="445" t="str">
        <f>VLOOKUP(AH66,'Gastmannschaft EXTERIEUR'!AB:AO,14,FALSE)</f>
        <v/>
      </c>
      <c r="AT66" s="445" t="str">
        <f>IF(AI66=0,"",CONCATENATE($AT$18," ",AI66))</f>
        <v>SPIEL 16</v>
      </c>
      <c r="AU66" s="445" t="str">
        <f>IF(AI66=0,"",CONCATENATE($AU$18," ",AI66))</f>
        <v>SPIEL 16</v>
      </c>
      <c r="AV66" s="445" t="str">
        <f>IF(BC66=1,"",IF(AU66="","",VLOOKUP(AU66,Average!HN:HP,2,FALSE)))</f>
        <v/>
      </c>
      <c r="AW66" s="445" t="str">
        <f>IF(BB66=1,"",IF(AU66="","",VLOOKUP(AU66,Average!HN:HP,3,FALSE)))</f>
        <v/>
      </c>
      <c r="AX66" s="445" t="str">
        <f>IFERROR(IF(AU66="","",VLOOKUP(AU66,Average!HN:HQ,4,FALSE)),"")</f>
        <v/>
      </c>
      <c r="AY66" s="445" t="str">
        <f>IFERROR(IF(AU66="","",VLOOKUP(AU66,Average!HN:HR,5,FALSE)),"")</f>
        <v/>
      </c>
      <c r="AZ66" s="445">
        <f>IF(BC66=1,"",IF(AU66="","",VLOOKUP(AU66,Average!HN:HV,8,FALSE)))</f>
        <v>0</v>
      </c>
      <c r="BA66" s="445">
        <f>IF(BB66=1,"",IF(AU66="","",VLOOKUP(AU66,Average!HN:HV,9,FALSE)))</f>
        <v>0</v>
      </c>
      <c r="BB66" s="445">
        <f>IF(AU66="","",IF(I66="FORFAIT",1,0))</f>
        <v>0</v>
      </c>
      <c r="BC66" s="445">
        <f>IF(AU66="","",IF(Q66="FORFAIT",1,0))</f>
        <v>0</v>
      </c>
      <c r="BD66" s="445" t="str">
        <f>IF(AR66="","",RANK(AR66,$AR$20:$AR$122,1))</f>
        <v/>
      </c>
      <c r="BE66" s="445" t="str">
        <f>IF(AH66="","",VLOOKUP(AH66,'Heimmannschaft MAISON'!AB:AO,14,FALSE))</f>
        <v/>
      </c>
      <c r="BF66" s="445" t="str">
        <f>IF(AS66="","",RANK(AS66,$AS$20:$AS$122,1))</f>
        <v/>
      </c>
      <c r="BG66" s="445" t="str">
        <f>IF(AH66="","",VLOOKUP(AH66,'Gastmannschaft EXTERIEUR'!AB:AO,14,FALSE))</f>
        <v/>
      </c>
      <c r="BH66" s="445">
        <f>IFERROR(IF(BB66+BC66&gt;0,1,0),0)</f>
        <v>0</v>
      </c>
      <c r="BI66" s="446">
        <f>IF(AU66="","",IF(BC66=1,1,0))</f>
        <v>0</v>
      </c>
      <c r="BJ66" s="447">
        <f>IF(AU66="","",IF(BI66=1,SUM(BK66,BL66),0))</f>
        <v>0</v>
      </c>
      <c r="BK66" s="445">
        <f>IF(AJ66="S",IF($AB$1=1,3,2),0)</f>
        <v>3</v>
      </c>
      <c r="BL66" s="445">
        <f>IF(AJ66="D",2,0)</f>
        <v>0</v>
      </c>
      <c r="BM66" s="446">
        <f>IF(AU66="","",IF(BB66=1,1,0))</f>
        <v>0</v>
      </c>
      <c r="BN66" s="447">
        <f>IF(AU66="","",IF(BM66=1,SUM(BO66,BP66),0))</f>
        <v>0</v>
      </c>
      <c r="BO66" s="445">
        <f>IF(AJ66="S",IF($AB$1=1,3,2),0)</f>
        <v>3</v>
      </c>
      <c r="BP66" s="445">
        <f>IF(AJ66="D",2,0)</f>
        <v>0</v>
      </c>
      <c r="BQ66" s="445"/>
      <c r="BR66" s="445"/>
      <c r="BS66" s="445"/>
      <c r="BT66" s="445"/>
      <c r="BV66" s="445">
        <f>IF(AU66="","",SUM(AZ66,BI66))</f>
        <v>0</v>
      </c>
      <c r="BW66" s="445">
        <f>IF(AU66="","",SUM(AV66,BJ66))</f>
        <v>0</v>
      </c>
      <c r="BY66" s="445">
        <f>IF(AU66="","",SUM(BA66,BM66))</f>
        <v>0</v>
      </c>
      <c r="BZ66" s="445">
        <f>IF(AU66="","",SUM(AW66,BN66))</f>
        <v>0</v>
      </c>
    </row>
    <row r="67" spans="1:78" s="452" customFormat="1" ht="5.0999999999999996" customHeight="1">
      <c r="W67" s="451"/>
      <c r="AB67" s="445"/>
      <c r="AC67" s="445"/>
      <c r="AD67" s="445"/>
      <c r="AE67" s="445"/>
      <c r="AF67" s="445"/>
      <c r="AG67" s="445"/>
      <c r="AH67" s="445"/>
      <c r="AI67" s="445"/>
      <c r="AJ67" s="445"/>
      <c r="AK67" s="445"/>
      <c r="AL67" s="445"/>
      <c r="AM67" s="445"/>
      <c r="AN67" s="445"/>
      <c r="AO67" s="492"/>
      <c r="AP67" s="492"/>
      <c r="AQ67" s="445"/>
      <c r="AS67" s="445"/>
      <c r="AT67" s="445"/>
      <c r="AU67" s="445"/>
      <c r="AV67" s="445"/>
      <c r="AW67" s="445"/>
      <c r="AX67" s="445"/>
      <c r="AY67" s="445"/>
      <c r="AZ67" s="445"/>
      <c r="BA67" s="445"/>
      <c r="BB67" s="445"/>
      <c r="BC67" s="445"/>
      <c r="BD67" s="445"/>
      <c r="BE67" s="445"/>
      <c r="BF67" s="445"/>
      <c r="BG67" s="445"/>
      <c r="BH67" s="445"/>
      <c r="BI67" s="446"/>
      <c r="BJ67" s="447"/>
      <c r="BK67" s="445"/>
      <c r="BL67" s="445"/>
      <c r="BM67" s="446"/>
      <c r="BN67" s="447"/>
      <c r="BO67" s="445"/>
      <c r="BP67" s="445"/>
      <c r="BQ67" s="445"/>
      <c r="BR67" s="445"/>
      <c r="BS67" s="445"/>
      <c r="BT67" s="445"/>
    </row>
    <row r="68" spans="1:78" s="452" customFormat="1" ht="20.100000000000001" customHeight="1">
      <c r="B68" s="484" t="str">
        <f>REPT(AT68,1)</f>
        <v>SPIEL 17</v>
      </c>
      <c r="D68" s="485" t="str">
        <f>IF(AI68=0,"",CONCATENATE(AM68,AJ68))</f>
        <v>HS</v>
      </c>
      <c r="E68" s="486">
        <f>IF(AO68="*",AQ68,AL68)</f>
        <v>2.5</v>
      </c>
      <c r="G68" s="633" t="str">
        <f>REPT('Heimmannschaft MAISON'!AO61,1)</f>
        <v/>
      </c>
      <c r="H68" s="634"/>
      <c r="I68" s="487" t="str">
        <f>REPT('Heimmannschaft MAISON'!I61,1)</f>
        <v/>
      </c>
      <c r="J68" s="488"/>
      <c r="K68" s="489" t="str">
        <f>IF(AX68="","",AX68)</f>
        <v/>
      </c>
      <c r="L68" s="490" t="str">
        <f>IF(BH68=1,BW68,IF(AV68="","",AV68))</f>
        <v/>
      </c>
      <c r="M68" s="490" t="str">
        <f>IF(BH68=1,BZ68,IF(AW68="","",AW68))</f>
        <v/>
      </c>
      <c r="N68" s="489" t="str">
        <f>IF(AY68="","",AY68)</f>
        <v/>
      </c>
      <c r="O68" s="630" t="str">
        <f>REPT('Gastmannschaft EXTERIEUR'!AO61,1)</f>
        <v/>
      </c>
      <c r="P68" s="631"/>
      <c r="Q68" s="487" t="str">
        <f>REPT('Gastmannschaft EXTERIEUR'!I61,1)</f>
        <v/>
      </c>
      <c r="R68" s="491"/>
      <c r="S68" s="488"/>
      <c r="U68" s="485" t="str">
        <f>IF(AI68=0,"",CONCATENATE(AN68,AJ68))</f>
        <v>GS</v>
      </c>
      <c r="V68" s="486">
        <f>IF(AP68="*",AQ68,AL68)</f>
        <v>2.5</v>
      </c>
      <c r="W68" s="451"/>
      <c r="AB68" s="445">
        <v>21</v>
      </c>
      <c r="AC68" s="445">
        <v>17</v>
      </c>
      <c r="AD68" s="445">
        <v>21</v>
      </c>
      <c r="AE68" s="445">
        <v>15</v>
      </c>
      <c r="AF68" s="445">
        <v>17</v>
      </c>
      <c r="AG68" s="445">
        <v>12</v>
      </c>
      <c r="AH68" s="445">
        <f>IF($AB$1=3,AF68,IF($AB$1=2,AD68,IF($AB$1=1,AB68,"")))</f>
        <v>21</v>
      </c>
      <c r="AI68" s="445">
        <f>IF($AB$1=3,AG68,IF($AB$1=2,AE68,IF($AB$1=1,AC68,"")))</f>
        <v>17</v>
      </c>
      <c r="AJ68" s="166" t="str">
        <f>IF(AH68="","",VLOOKUP(AH68,Chema!AJ:AL,2,FALSE))</f>
        <v>S</v>
      </c>
      <c r="AK68" s="166">
        <f>IF(AH68="","",VLOOKUP(AH68,Chema!AJ:AL,3,FALSE))</f>
        <v>2.5</v>
      </c>
      <c r="AL68" s="166">
        <f>IF(AI68=0,"",IF(AI68="","",VLOOKUP(AI68,Chema!R:T,3,FALSE)))</f>
        <v>2.5</v>
      </c>
      <c r="AM68" s="166" t="s">
        <v>894</v>
      </c>
      <c r="AN68" s="445" t="s">
        <v>895</v>
      </c>
      <c r="AO68" s="492" t="str">
        <f>IF(AU68="","",VLOOKUP(AU68,Average!HN:HT,6,FALSE))</f>
        <v/>
      </c>
      <c r="AP68" s="492" t="str">
        <f>IF(AU68="","",VLOOKUP(AU68,Average!HN:HT,7,FALSE))</f>
        <v/>
      </c>
      <c r="AQ68" s="445" t="str">
        <f>IF(AI68=0,"",VLOOKUP(AI68,Chema!BL:BQ,6,FALSE))</f>
        <v>2.5*</v>
      </c>
      <c r="AR68" s="445" t="str">
        <f>VLOOKUP(AH68,'Heimmannschaft MAISON'!AB:AO,14,FALSE)</f>
        <v/>
      </c>
      <c r="AS68" s="445" t="str">
        <f>VLOOKUP(AH68,'Gastmannschaft EXTERIEUR'!AB:AO,14,FALSE)</f>
        <v/>
      </c>
      <c r="AT68" s="445" t="str">
        <f>IF(AI68=0,"",CONCATENATE($AT$18," ",AI68))</f>
        <v>SPIEL 17</v>
      </c>
      <c r="AU68" s="445" t="str">
        <f>IF(AI68=0,"",CONCATENATE($AU$18," ",AI68))</f>
        <v>SPIEL 17</v>
      </c>
      <c r="AV68" s="445" t="str">
        <f>IF(BC68=1,"",IF(AU68="","",VLOOKUP(AU68,Average!HN:HP,2,FALSE)))</f>
        <v/>
      </c>
      <c r="AW68" s="445" t="str">
        <f>IF(BB68=1,"",IF(AU68="","",VLOOKUP(AU68,Average!HN:HP,3,FALSE)))</f>
        <v/>
      </c>
      <c r="AX68" s="445" t="str">
        <f>IFERROR(IF(AU68="","",VLOOKUP(AU68,Average!HN:HQ,4,FALSE)),"")</f>
        <v/>
      </c>
      <c r="AY68" s="445" t="str">
        <f>IFERROR(IF(AU68="","",VLOOKUP(AU68,Average!HN:HR,5,FALSE)),"")</f>
        <v/>
      </c>
      <c r="AZ68" s="445">
        <f>IF(BC68=1,"",IF(AU68="","",VLOOKUP(AU68,Average!HN:HV,8,FALSE)))</f>
        <v>0</v>
      </c>
      <c r="BA68" s="445">
        <f>IF(BB68=1,"",IF(AU68="","",VLOOKUP(AU68,Average!HN:HV,9,FALSE)))</f>
        <v>0</v>
      </c>
      <c r="BB68" s="445">
        <f>IF(AU68="","",IF(I68="FORFAIT",1,0))</f>
        <v>0</v>
      </c>
      <c r="BC68" s="445">
        <f>IF(AU68="","",IF(Q68="FORFAIT",1,0))</f>
        <v>0</v>
      </c>
      <c r="BD68" s="445" t="str">
        <f>IF(AR68="","",RANK(AR68,$AR$20:$AR$122,1))</f>
        <v/>
      </c>
      <c r="BE68" s="445" t="str">
        <f>IF(AH68="","",VLOOKUP(AH68,'Heimmannschaft MAISON'!AB:AO,14,FALSE))</f>
        <v/>
      </c>
      <c r="BF68" s="445" t="str">
        <f>IF(AS68="","",RANK(AS68,$AS$20:$AS$122,1))</f>
        <v/>
      </c>
      <c r="BG68" s="445" t="str">
        <f>IF(AH68="","",VLOOKUP(AH68,'Gastmannschaft EXTERIEUR'!AB:AO,14,FALSE))</f>
        <v/>
      </c>
      <c r="BH68" s="445">
        <f>IFERROR(IF(BB68+BC68&gt;0,1,0),0)</f>
        <v>0</v>
      </c>
      <c r="BI68" s="446">
        <f>IF(AU68="","",IF(BC68=1,1,0))</f>
        <v>0</v>
      </c>
      <c r="BJ68" s="447">
        <f>IF(AU68="","",IF(BI68=1,SUM(BK68,BL68),0))</f>
        <v>0</v>
      </c>
      <c r="BK68" s="445">
        <f>IF(AJ68="S",IF($AB$1=1,3,2),0)</f>
        <v>3</v>
      </c>
      <c r="BL68" s="445">
        <f>IF(AJ68="D",2,0)</f>
        <v>0</v>
      </c>
      <c r="BM68" s="446">
        <f>IF(BQ68=1,BT68,IF(AU68="","",IF(BB68=1,1,0)))</f>
        <v>0</v>
      </c>
      <c r="BN68" s="447">
        <f>IF(AU68="","",IF(BM68=1,SUM(BO68,BP68),0))</f>
        <v>0</v>
      </c>
      <c r="BO68" s="445">
        <f>IF(AJ68="S",IF($AB$1=1,3,2),0)</f>
        <v>3</v>
      </c>
      <c r="BP68" s="445">
        <f>IF(AJ68="D",2,0)</f>
        <v>0</v>
      </c>
      <c r="BQ68" s="445">
        <f>IF($BR$16=2,IF($AB$1=3,1,0),0)</f>
        <v>0</v>
      </c>
      <c r="BR68" s="492">
        <v>1</v>
      </c>
      <c r="BS68" s="492">
        <v>2</v>
      </c>
      <c r="BT68" s="492">
        <v>0</v>
      </c>
      <c r="BU68" s="492">
        <v>0</v>
      </c>
      <c r="BV68" s="445">
        <f>IF(AU68="","",SUM(AZ68,BI68))</f>
        <v>0</v>
      </c>
      <c r="BW68" s="445">
        <f>IF(AU68="","",SUM(AV68,BJ68))</f>
        <v>0</v>
      </c>
      <c r="BY68" s="445">
        <f>IF(AU68="","",SUM(BA68,BM68))</f>
        <v>0</v>
      </c>
      <c r="BZ68" s="445">
        <f>IF(AU68="","",SUM(AW68,BN68))</f>
        <v>0</v>
      </c>
    </row>
    <row r="69" spans="1:78" s="452" customFormat="1" ht="5.0999999999999996" customHeight="1">
      <c r="W69" s="451"/>
      <c r="AB69" s="445"/>
      <c r="AC69" s="445"/>
      <c r="AD69" s="445"/>
      <c r="AE69" s="445"/>
      <c r="AF69" s="445"/>
      <c r="AG69" s="445"/>
      <c r="AH69" s="445"/>
      <c r="AI69" s="445"/>
      <c r="AJ69" s="445"/>
      <c r="AK69" s="445"/>
      <c r="AL69" s="445"/>
      <c r="AM69" s="445"/>
      <c r="AN69" s="445"/>
      <c r="AO69" s="492"/>
      <c r="AP69" s="492"/>
      <c r="AQ69" s="445"/>
      <c r="AS69" s="445"/>
      <c r="AT69" s="445"/>
      <c r="AU69" s="445"/>
      <c r="AV69" s="445"/>
      <c r="AW69" s="445"/>
      <c r="AX69" s="445"/>
      <c r="AY69" s="445"/>
      <c r="AZ69" s="445"/>
      <c r="BA69" s="445"/>
      <c r="BB69" s="445"/>
      <c r="BC69" s="445"/>
      <c r="BD69" s="445"/>
      <c r="BE69" s="445"/>
      <c r="BF69" s="445"/>
      <c r="BG69" s="445"/>
      <c r="BH69" s="445"/>
      <c r="BI69" s="446"/>
      <c r="BJ69" s="447"/>
      <c r="BK69" s="445"/>
      <c r="BL69" s="445"/>
      <c r="BM69" s="446"/>
      <c r="BN69" s="447"/>
      <c r="BO69" s="445"/>
      <c r="BP69" s="445"/>
      <c r="BQ69" s="445"/>
      <c r="BR69" s="445"/>
      <c r="BS69" s="445"/>
      <c r="BT69" s="445"/>
    </row>
    <row r="70" spans="1:78" s="452" customFormat="1" ht="20.100000000000001" customHeight="1">
      <c r="B70" s="484" t="str">
        <f>REPT(AT70,1)</f>
        <v>SPIEL 18</v>
      </c>
      <c r="D70" s="485" t="str">
        <f>IF(AI70=0,"",CONCATENATE(AM70,AJ70))</f>
        <v>HS</v>
      </c>
      <c r="E70" s="486">
        <f>IF(AO70="*",AQ70,AL70)</f>
        <v>2.6</v>
      </c>
      <c r="G70" s="633" t="str">
        <f>REPT('Heimmannschaft MAISON'!AO63,1)</f>
        <v/>
      </c>
      <c r="H70" s="634"/>
      <c r="I70" s="487" t="str">
        <f>REPT('Heimmannschaft MAISON'!I63,1)</f>
        <v/>
      </c>
      <c r="J70" s="488"/>
      <c r="K70" s="489" t="str">
        <f>IF(AX70="","",AX70)</f>
        <v/>
      </c>
      <c r="L70" s="490" t="str">
        <f>IF(BH70=1,BW70,IF(AV70="","",AV70))</f>
        <v/>
      </c>
      <c r="M70" s="490" t="str">
        <f>IF(BH70=1,BZ70,IF(AW70="","",AW70))</f>
        <v/>
      </c>
      <c r="N70" s="489" t="str">
        <f>IF(AY70="","",AY70)</f>
        <v/>
      </c>
      <c r="O70" s="630" t="str">
        <f>REPT('Gastmannschaft EXTERIEUR'!AO63,1)</f>
        <v/>
      </c>
      <c r="P70" s="631"/>
      <c r="Q70" s="487" t="str">
        <f>REPT('Gastmannschaft EXTERIEUR'!I63,1)</f>
        <v/>
      </c>
      <c r="R70" s="491"/>
      <c r="S70" s="488"/>
      <c r="U70" s="485" t="str">
        <f>IF(AI70=0,"",CONCATENATE(AN70,AJ70))</f>
        <v>GS</v>
      </c>
      <c r="V70" s="486">
        <f>IF(AP70="*",AQ70,AL70)</f>
        <v>2.6</v>
      </c>
      <c r="W70" s="451"/>
      <c r="AB70" s="445">
        <v>22</v>
      </c>
      <c r="AC70" s="445">
        <v>18</v>
      </c>
      <c r="AD70" s="445">
        <v>22</v>
      </c>
      <c r="AE70" s="445"/>
      <c r="AF70" s="445">
        <v>18</v>
      </c>
      <c r="AG70" s="445"/>
      <c r="AH70" s="445">
        <f>IF($AB$1=3,AF70,IF($AB$1=2,AD70,IF($AB$1=1,AB70,"")))</f>
        <v>22</v>
      </c>
      <c r="AI70" s="445">
        <f>IF($AB$1=3,AG70,IF($AB$1=2,AE70,IF($AB$1=1,AC70,"")))</f>
        <v>18</v>
      </c>
      <c r="AJ70" s="166" t="str">
        <f>IF(AH70="","",VLOOKUP(AH70,Chema!AJ:AL,2,FALSE))</f>
        <v>S</v>
      </c>
      <c r="AK70" s="166">
        <f>IF(AH70="","",VLOOKUP(AH70,Chema!AJ:AL,3,FALSE))</f>
        <v>2.6</v>
      </c>
      <c r="AL70" s="166">
        <f>IF(AI70=0,"",IF(AI70="","",VLOOKUP(AI70,Chema!R:T,3,FALSE)))</f>
        <v>2.6</v>
      </c>
      <c r="AM70" s="166" t="s">
        <v>894</v>
      </c>
      <c r="AN70" s="445" t="s">
        <v>895</v>
      </c>
      <c r="AO70" s="492" t="str">
        <f>IF(AU70="","",VLOOKUP(AU70,Average!HN:HT,6,FALSE))</f>
        <v/>
      </c>
      <c r="AP70" s="492" t="str">
        <f>IF(AU70="","",VLOOKUP(AU70,Average!HN:HT,7,FALSE))</f>
        <v/>
      </c>
      <c r="AQ70" s="445" t="str">
        <f>IF(AI70=0,"",VLOOKUP(AI70,Chema!BL:BQ,6,FALSE))</f>
        <v>2.6*</v>
      </c>
      <c r="AR70" s="445" t="str">
        <f>VLOOKUP(AH70,'Heimmannschaft MAISON'!AB:AO,14,FALSE)</f>
        <v/>
      </c>
      <c r="AS70" s="445" t="str">
        <f>VLOOKUP(AH70,'Gastmannschaft EXTERIEUR'!AB:AO,14,FALSE)</f>
        <v/>
      </c>
      <c r="AT70" s="445" t="str">
        <f>IF(AI70=0,"",CONCATENATE($AT$18," ",AI70))</f>
        <v>SPIEL 18</v>
      </c>
      <c r="AU70" s="445" t="str">
        <f>IF(AI70=0,"",CONCATENATE($AU$18," ",AI70))</f>
        <v>SPIEL 18</v>
      </c>
      <c r="AV70" s="445" t="str">
        <f>IF(BC70=1,"",IF(AU70="","",VLOOKUP(AU70,Average!HN:HP,2,FALSE)))</f>
        <v/>
      </c>
      <c r="AW70" s="445" t="str">
        <f>IF(BB70=1,"",IF(AU70="","",VLOOKUP(AU70,Average!HN:HP,3,FALSE)))</f>
        <v/>
      </c>
      <c r="AX70" s="445" t="str">
        <f>IFERROR(IF(AU70="","",VLOOKUP(AU70,Average!HN:HQ,4,FALSE)),"")</f>
        <v/>
      </c>
      <c r="AY70" s="445" t="str">
        <f>IFERROR(IF(AU70="","",VLOOKUP(AU70,Average!HN:HR,5,FALSE)),"")</f>
        <v/>
      </c>
      <c r="AZ70" s="445">
        <f>IF(BC70=1,"",IF(AU70="","",VLOOKUP(AU70,Average!HN:HV,8,FALSE)))</f>
        <v>0</v>
      </c>
      <c r="BA70" s="445">
        <f>IF(BB70=1,"",IF(AU70="","",VLOOKUP(AU70,Average!HN:HV,9,FALSE)))</f>
        <v>0</v>
      </c>
      <c r="BB70" s="445">
        <f>IF(AU70="","",IF(I70="FORFAIT",1,0))</f>
        <v>0</v>
      </c>
      <c r="BC70" s="445">
        <f>IF(AU70="","",IF(Q70="FORFAIT",1,0))</f>
        <v>0</v>
      </c>
      <c r="BD70" s="445" t="str">
        <f>IF(AR70="","",RANK(AR70,$AR$20:$AR$122,1))</f>
        <v/>
      </c>
      <c r="BE70" s="445" t="str">
        <f>IF(AH70="","",VLOOKUP(AH70,'Heimmannschaft MAISON'!AB:AO,14,FALSE))</f>
        <v/>
      </c>
      <c r="BF70" s="445" t="str">
        <f>IF(AS70="","",RANK(AS70,$AS$20:$AS$122,1))</f>
        <v/>
      </c>
      <c r="BG70" s="445" t="str">
        <f>IF(AH70="","",VLOOKUP(AH70,'Gastmannschaft EXTERIEUR'!AB:AO,14,FALSE))</f>
        <v/>
      </c>
      <c r="BH70" s="445">
        <f>IFERROR(IF(BB70+BC70&gt;0,1,0),0)</f>
        <v>0</v>
      </c>
      <c r="BI70" s="446">
        <f>IF(AU70="","",IF(BC70=1,1,0))</f>
        <v>0</v>
      </c>
      <c r="BJ70" s="447">
        <f>IF(AU70="","",IF(BI70=1,SUM(BK70,BL70),0))</f>
        <v>0</v>
      </c>
      <c r="BK70" s="445">
        <f>IF(AJ70="S",IF($AB$1=1,3,2),0)</f>
        <v>3</v>
      </c>
      <c r="BL70" s="445">
        <f>IF(AJ70="D",2,0)</f>
        <v>0</v>
      </c>
      <c r="BM70" s="446">
        <f>IF(AU70="","",IF(BB70=1,1,0))</f>
        <v>0</v>
      </c>
      <c r="BN70" s="447">
        <f>IF(AU70="","",IF(BM70=1,SUM(BO70,BP70),0))</f>
        <v>0</v>
      </c>
      <c r="BO70" s="445">
        <f>IF(AJ70="S",IF($AB$1=1,3,2),0)</f>
        <v>3</v>
      </c>
      <c r="BP70" s="445">
        <f>IF(AJ70="D",2,0)</f>
        <v>0</v>
      </c>
      <c r="BQ70" s="445"/>
      <c r="BR70" s="445"/>
      <c r="BS70" s="445"/>
      <c r="BT70" s="445"/>
      <c r="BV70" s="445">
        <f>IF(AU70="","",SUM(AZ70,BI70))</f>
        <v>0</v>
      </c>
      <c r="BW70" s="445">
        <f>IF(AU70="","",SUM(AV70,BJ70))</f>
        <v>0</v>
      </c>
      <c r="BY70" s="445">
        <f>IF(AU70="","",SUM(BA70,BM70))</f>
        <v>0</v>
      </c>
      <c r="BZ70" s="445">
        <f>IF(AU70="","",SUM(AW70,BN70))</f>
        <v>0</v>
      </c>
    </row>
    <row r="71" spans="1:78" s="452" customFormat="1" ht="5.0999999999999996" customHeight="1">
      <c r="W71" s="451"/>
      <c r="AB71" s="445"/>
      <c r="AC71" s="445"/>
      <c r="AD71" s="445"/>
      <c r="AE71" s="445"/>
      <c r="AF71" s="445"/>
      <c r="AG71" s="445"/>
      <c r="AH71" s="445"/>
      <c r="AI71" s="445"/>
      <c r="AJ71" s="445"/>
      <c r="AK71" s="445"/>
      <c r="AL71" s="445"/>
      <c r="AM71" s="445"/>
      <c r="AN71" s="445"/>
      <c r="AO71" s="492"/>
      <c r="AP71" s="492"/>
      <c r="AQ71" s="445"/>
      <c r="AS71" s="445"/>
      <c r="AT71" s="445"/>
      <c r="AU71" s="445"/>
      <c r="AV71" s="445"/>
      <c r="AW71" s="445"/>
      <c r="AX71" s="445"/>
      <c r="AY71" s="445"/>
      <c r="AZ71" s="445"/>
      <c r="BA71" s="445"/>
      <c r="BB71" s="445"/>
      <c r="BC71" s="445"/>
      <c r="BD71" s="445"/>
      <c r="BE71" s="445"/>
      <c r="BF71" s="445"/>
      <c r="BG71" s="445"/>
      <c r="BH71" s="445"/>
      <c r="BI71" s="446"/>
      <c r="BJ71" s="447"/>
      <c r="BK71" s="445"/>
      <c r="BL71" s="445"/>
      <c r="BM71" s="446"/>
      <c r="BN71" s="447"/>
      <c r="BO71" s="445"/>
      <c r="BP71" s="445"/>
      <c r="BQ71" s="445"/>
      <c r="BR71" s="445"/>
      <c r="BS71" s="445"/>
      <c r="BT71" s="445"/>
    </row>
    <row r="72" spans="1:78" s="452" customFormat="1" ht="20.100000000000001" customHeight="1">
      <c r="B72" s="484" t="str">
        <f>REPT(AT72,1)</f>
        <v>SPIEL 19</v>
      </c>
      <c r="D72" s="485" t="str">
        <f>IF(AI72=0,"",CONCATENATE(AM72,AJ72))</f>
        <v>HS</v>
      </c>
      <c r="E72" s="486">
        <f>IF(AO72="*",AQ72,AL72)</f>
        <v>2.7</v>
      </c>
      <c r="G72" s="633" t="str">
        <f>REPT('Heimmannschaft MAISON'!AO65,1)</f>
        <v/>
      </c>
      <c r="H72" s="634"/>
      <c r="I72" s="487" t="str">
        <f>REPT('Heimmannschaft MAISON'!I65,1)</f>
        <v/>
      </c>
      <c r="J72" s="488"/>
      <c r="K72" s="489" t="str">
        <f>IF(AX72="","",AX72)</f>
        <v/>
      </c>
      <c r="L72" s="490" t="str">
        <f>IF(BH72=1,BW72,IF(AV72="","",AV72))</f>
        <v/>
      </c>
      <c r="M72" s="490" t="str">
        <f>IF(BH72=1,BZ72,IF(AW72="","",AW72))</f>
        <v/>
      </c>
      <c r="N72" s="489" t="str">
        <f>IF(AY72="","",AY72)</f>
        <v/>
      </c>
      <c r="O72" s="630" t="str">
        <f>REPT('Gastmannschaft EXTERIEUR'!AO65,1)</f>
        <v/>
      </c>
      <c r="P72" s="631"/>
      <c r="Q72" s="487" t="str">
        <f>REPT('Gastmannschaft EXTERIEUR'!I65,1)</f>
        <v/>
      </c>
      <c r="R72" s="491"/>
      <c r="S72" s="488"/>
      <c r="U72" s="485" t="str">
        <f>IF(AI72=0,"",CONCATENATE(AN72,AJ72))</f>
        <v>GS</v>
      </c>
      <c r="V72" s="486">
        <f>IF(AP72="*",AQ72,AL72)</f>
        <v>2.7</v>
      </c>
      <c r="W72" s="451"/>
      <c r="AB72" s="445">
        <v>23</v>
      </c>
      <c r="AC72" s="445">
        <v>19</v>
      </c>
      <c r="AD72" s="445">
        <v>23</v>
      </c>
      <c r="AE72" s="445">
        <v>16</v>
      </c>
      <c r="AF72" s="445"/>
      <c r="AG72" s="445"/>
      <c r="AH72" s="445">
        <f>IF($AB$1=3,"",IF($AB$1=2,AD72,IF($AB$1=1,AB72,"")))</f>
        <v>23</v>
      </c>
      <c r="AI72" s="445">
        <f>IF($AB$1=3,AG72,IF($AB$1=2,AE72,IF($AB$1=1,AC72,"")))</f>
        <v>19</v>
      </c>
      <c r="AJ72" s="166" t="str">
        <f>IF(AH72="","",VLOOKUP(AH72,Chema!AJ:AL,2,FALSE))</f>
        <v>S</v>
      </c>
      <c r="AK72" s="166">
        <f>IF(AH72="","",VLOOKUP(AH72,Chema!AJ:AL,3,FALSE))</f>
        <v>2.7</v>
      </c>
      <c r="AL72" s="166">
        <f>IF(AI72=0,"",IF(AI72="","",VLOOKUP(AI72,Chema!R:T,3,FALSE)))</f>
        <v>2.7</v>
      </c>
      <c r="AM72" s="166" t="str">
        <f>IF(AH72="","","H")</f>
        <v>H</v>
      </c>
      <c r="AN72" s="445" t="str">
        <f>IF(AH72="","","G")</f>
        <v>G</v>
      </c>
      <c r="AO72" s="492" t="str">
        <f>IF(AU72="","",VLOOKUP(AU72,Average!HN:HT,6,FALSE))</f>
        <v/>
      </c>
      <c r="AP72" s="492" t="str">
        <f>IF(AU72="","",VLOOKUP(AU72,Average!HN:HT,7,FALSE))</f>
        <v/>
      </c>
      <c r="AQ72" s="445" t="str">
        <f>IF(AI72=0,"",VLOOKUP(AI72,Chema!BL:BQ,6,FALSE))</f>
        <v>2.7*</v>
      </c>
      <c r="AR72" s="445" t="str">
        <f>VLOOKUP(AH72,'Heimmannschaft MAISON'!AB:AO,14,FALSE)</f>
        <v/>
      </c>
      <c r="AS72" s="445" t="str">
        <f>VLOOKUP(AH72,'Gastmannschaft EXTERIEUR'!AB:AO,14,FALSE)</f>
        <v/>
      </c>
      <c r="AT72" s="445" t="str">
        <f>IF(AI72=0,"",CONCATENATE($AT$18," ",AI72))</f>
        <v>SPIEL 19</v>
      </c>
      <c r="AU72" s="445" t="str">
        <f>IF(AI72=0,"",CONCATENATE($AU$18," ",AI72))</f>
        <v>SPIEL 19</v>
      </c>
      <c r="AV72" s="445" t="str">
        <f>IF(BC72=1,"",IF(AU72="","",VLOOKUP(AU72,Average!HN:HP,2,FALSE)))</f>
        <v/>
      </c>
      <c r="AW72" s="445" t="str">
        <f>IF(BB72=1,"",IF(AU72="","",VLOOKUP(AU72,Average!HN:HP,3,FALSE)))</f>
        <v/>
      </c>
      <c r="AX72" s="445" t="str">
        <f>IFERROR(IF(AU72="","",VLOOKUP(AU72,Average!HN:HQ,4,FALSE)),"")</f>
        <v/>
      </c>
      <c r="AY72" s="445" t="str">
        <f>IFERROR(IF(AU72="","",VLOOKUP(AU72,Average!HN:HR,5,FALSE)),"")</f>
        <v/>
      </c>
      <c r="AZ72" s="445">
        <f>IF(BC72=1,"",IF(AU72="","",VLOOKUP(AU72,Average!HN:HV,8,FALSE)))</f>
        <v>0</v>
      </c>
      <c r="BA72" s="445">
        <f>IF(BB72=1,"",IF(AU72="","",VLOOKUP(AU72,Average!HN:HV,9,FALSE)))</f>
        <v>0</v>
      </c>
      <c r="BB72" s="445">
        <f>IF(AU72="","",IF(I72="FORFAIT",1,0))</f>
        <v>0</v>
      </c>
      <c r="BC72" s="445">
        <f>IF(AU72="","",IF(Q72="FORFAIT",1,0))</f>
        <v>0</v>
      </c>
      <c r="BD72" s="445" t="str">
        <f>IF(AR72="","",RANK(AR72,$AR$20:$AR$122,1))</f>
        <v/>
      </c>
      <c r="BE72" s="445" t="str">
        <f>IF(AH72="","",VLOOKUP(AH72,'Heimmannschaft MAISON'!AB:AO,14,FALSE))</f>
        <v/>
      </c>
      <c r="BF72" s="445" t="str">
        <f>IF(AS72="","",RANK(AS72,$AS$20:$AS$122,1))</f>
        <v/>
      </c>
      <c r="BG72" s="445" t="str">
        <f>IF(AH72="","",VLOOKUP(AH72,'Gastmannschaft EXTERIEUR'!AB:AO,14,FALSE))</f>
        <v/>
      </c>
      <c r="BH72" s="445">
        <f>IFERROR(IF(BB72+BC72&gt;0,1,0),0)</f>
        <v>0</v>
      </c>
      <c r="BI72" s="446">
        <f>IF(AU72="","",IF(BC72=1,1,0))</f>
        <v>0</v>
      </c>
      <c r="BJ72" s="447">
        <f>IF(AU72="","",IF(BI72=1,SUM(BK72,BL72),0))</f>
        <v>0</v>
      </c>
      <c r="BK72" s="445">
        <f>IF(AJ72="S",IF($AB$1=1,3,2),0)</f>
        <v>3</v>
      </c>
      <c r="BL72" s="445">
        <f>IF(AJ72="D",2,0)</f>
        <v>0</v>
      </c>
      <c r="BM72" s="446">
        <f>IF(BQ72=1,BT72,IF(AU72="","",IF(BB72=1,1,0)))</f>
        <v>0</v>
      </c>
      <c r="BN72" s="447">
        <f>IF(AU72="","",IF(BM72=1,SUM(BO72,BP72),0))</f>
        <v>0</v>
      </c>
      <c r="BO72" s="445">
        <f>IF(AJ72="S",IF($AB$1=1,3,2),0)</f>
        <v>3</v>
      </c>
      <c r="BP72" s="445">
        <f>IF(AJ72="D",2,0)</f>
        <v>0</v>
      </c>
      <c r="BQ72" s="445">
        <f>IF(BR16=2,IF(AB1=2,1,0),0)</f>
        <v>0</v>
      </c>
      <c r="BR72" s="493">
        <v>1</v>
      </c>
      <c r="BS72" s="493">
        <v>2</v>
      </c>
      <c r="BT72" s="493">
        <v>0</v>
      </c>
      <c r="BU72" s="493">
        <v>0</v>
      </c>
      <c r="BV72" s="445">
        <f>IF(AU72="","",SUM(AZ72,BI72))</f>
        <v>0</v>
      </c>
      <c r="BW72" s="445">
        <f>IF(AU72="","",SUM(AV72,BJ72))</f>
        <v>0</v>
      </c>
      <c r="BY72" s="445">
        <f>IF(AU72="","",SUM(BA72,BM72))</f>
        <v>0</v>
      </c>
      <c r="BZ72" s="445">
        <f>IF(AU72="","",SUM(AW72,BN72))</f>
        <v>0</v>
      </c>
    </row>
    <row r="73" spans="1:78" s="452" customFormat="1" ht="5.0999999999999996" customHeight="1">
      <c r="W73" s="451"/>
      <c r="AB73" s="445"/>
      <c r="AC73" s="445"/>
      <c r="AD73" s="445"/>
      <c r="AE73" s="445"/>
      <c r="AF73" s="445"/>
      <c r="AG73" s="445"/>
      <c r="AH73" s="445"/>
      <c r="AI73" s="445"/>
      <c r="AJ73" s="445"/>
      <c r="AK73" s="445"/>
      <c r="AL73" s="445"/>
      <c r="AM73" s="445"/>
      <c r="AN73" s="445"/>
      <c r="AO73" s="492"/>
      <c r="AP73" s="492"/>
      <c r="AQ73" s="445"/>
      <c r="AS73" s="445"/>
      <c r="AT73" s="445"/>
      <c r="AU73" s="445"/>
      <c r="AV73" s="445"/>
      <c r="AW73" s="445"/>
      <c r="AX73" s="445"/>
      <c r="AY73" s="445"/>
      <c r="AZ73" s="445"/>
      <c r="BA73" s="445"/>
      <c r="BB73" s="445"/>
      <c r="BC73" s="445"/>
      <c r="BD73" s="445"/>
      <c r="BE73" s="445"/>
      <c r="BF73" s="445"/>
      <c r="BG73" s="445"/>
      <c r="BH73" s="445"/>
      <c r="BI73" s="446"/>
      <c r="BJ73" s="447"/>
      <c r="BK73" s="445"/>
      <c r="BL73" s="445"/>
      <c r="BM73" s="446"/>
      <c r="BN73" s="447"/>
      <c r="BO73" s="445"/>
      <c r="BP73" s="445"/>
      <c r="BQ73" s="445"/>
      <c r="BR73" s="445"/>
      <c r="BS73" s="445"/>
      <c r="BT73" s="445"/>
    </row>
    <row r="74" spans="1:78" s="452" customFormat="1" ht="20.100000000000001" customHeight="1">
      <c r="B74" s="484" t="str">
        <f>REPT(AT74,1)</f>
        <v>SPIEL 20</v>
      </c>
      <c r="D74" s="485" t="str">
        <f>IF(AI74=0,"",CONCATENATE(AM74,AJ74))</f>
        <v>HS</v>
      </c>
      <c r="E74" s="486">
        <f>IF(AO74="*",AQ74,AL74)</f>
        <v>2.8</v>
      </c>
      <c r="G74" s="633" t="str">
        <f>REPT('Heimmannschaft MAISON'!AO67,1)</f>
        <v/>
      </c>
      <c r="H74" s="634"/>
      <c r="I74" s="487" t="str">
        <f>REPT('Heimmannschaft MAISON'!I67,1)</f>
        <v/>
      </c>
      <c r="J74" s="488"/>
      <c r="K74" s="489" t="str">
        <f>IF(AX74="","",AX74)</f>
        <v/>
      </c>
      <c r="L74" s="490" t="str">
        <f>IF(BH74=1,BW74,IF(AV74="","",AV74))</f>
        <v/>
      </c>
      <c r="M74" s="490" t="str">
        <f>IF(BH74=1,BZ74,IF(AW74="","",AW74))</f>
        <v/>
      </c>
      <c r="N74" s="489" t="str">
        <f>IF(AY74="","",AY74)</f>
        <v/>
      </c>
      <c r="O74" s="630" t="str">
        <f>REPT('Gastmannschaft EXTERIEUR'!AO67,1)</f>
        <v/>
      </c>
      <c r="P74" s="631"/>
      <c r="Q74" s="487" t="str">
        <f>REPT('Gastmannschaft EXTERIEUR'!I67,1)</f>
        <v/>
      </c>
      <c r="R74" s="491"/>
      <c r="S74" s="488"/>
      <c r="U74" s="485" t="str">
        <f>IF(AI74=0,"",CONCATENATE(AN74,AJ74))</f>
        <v>GS</v>
      </c>
      <c r="V74" s="486">
        <f>IF(AP74="*",AQ74,AL74)</f>
        <v>2.8</v>
      </c>
      <c r="W74" s="451"/>
      <c r="AB74" s="445">
        <v>24</v>
      </c>
      <c r="AC74" s="445">
        <v>20</v>
      </c>
      <c r="AD74" s="445">
        <v>24</v>
      </c>
      <c r="AE74" s="445"/>
      <c r="AF74" s="445"/>
      <c r="AG74" s="445"/>
      <c r="AH74" s="445">
        <f>IF($AB$1=3,"",IF($AB$1=2,AD74,IF($AB$1=1,AB74,"")))</f>
        <v>24</v>
      </c>
      <c r="AI74" s="445">
        <f>IF($AB$1=3,AG74,IF($AB$1=2,AE74,IF($AB$1=1,AC74,"")))</f>
        <v>20</v>
      </c>
      <c r="AJ74" s="166" t="str">
        <f>IF(AH74="","",VLOOKUP(AH74,Chema!AJ:AL,2,FALSE))</f>
        <v>S</v>
      </c>
      <c r="AK74" s="166">
        <f>IF(AH74="","",VLOOKUP(AH74,Chema!AJ:AL,3,FALSE))</f>
        <v>2.8</v>
      </c>
      <c r="AL74" s="166">
        <f>IF(AI74=0,"",IF(AI74="","",VLOOKUP(AI74,Chema!R:T,3,FALSE)))</f>
        <v>2.8</v>
      </c>
      <c r="AM74" s="166" t="str">
        <f>IF(AH74="","","H")</f>
        <v>H</v>
      </c>
      <c r="AN74" s="445" t="str">
        <f>IF(AH74="","","G")</f>
        <v>G</v>
      </c>
      <c r="AO74" s="492" t="str">
        <f>IF(AU74="","",VLOOKUP(AU74,Average!HN:HT,6,FALSE))</f>
        <v/>
      </c>
      <c r="AP74" s="492" t="str">
        <f>IF(AU74="","",VLOOKUP(AU74,Average!HN:HT,7,FALSE))</f>
        <v/>
      </c>
      <c r="AQ74" s="445" t="str">
        <f>IF(AI74=0,"",VLOOKUP(AI74,Chema!BL:BQ,6,FALSE))</f>
        <v>2.8*</v>
      </c>
      <c r="AR74" s="445" t="str">
        <f>VLOOKUP(AH74,'Heimmannschaft MAISON'!AB:AO,14,FALSE)</f>
        <v/>
      </c>
      <c r="AS74" s="445" t="str">
        <f>VLOOKUP(AH74,'Gastmannschaft EXTERIEUR'!AB:AO,14,FALSE)</f>
        <v/>
      </c>
      <c r="AT74" s="445" t="str">
        <f>IF(AI74=0,"",CONCATENATE($AT$18," ",AI74))</f>
        <v>SPIEL 20</v>
      </c>
      <c r="AU74" s="445" t="str">
        <f>IF(AI74=0,"",CONCATENATE($AU$18," ",AI74))</f>
        <v>SPIEL 20</v>
      </c>
      <c r="AV74" s="445" t="str">
        <f>IF(BC74=1,"",IF(AU74="","",VLOOKUP(AU74,Average!HN:HP,2,FALSE)))</f>
        <v/>
      </c>
      <c r="AW74" s="445" t="str">
        <f>IF(BB74=1,"",IF(AU74="","",VLOOKUP(AU74,Average!HN:HP,3,FALSE)))</f>
        <v/>
      </c>
      <c r="AX74" s="445" t="str">
        <f>IFERROR(IF(AU74="","",VLOOKUP(AU74,Average!HN:HQ,4,FALSE)),"")</f>
        <v/>
      </c>
      <c r="AY74" s="445" t="str">
        <f>IFERROR(IF(AU74="","",VLOOKUP(AU74,Average!HN:HR,5,FALSE)),"")</f>
        <v/>
      </c>
      <c r="AZ74" s="445">
        <f>IF(BC74=1,"",IF(AU74="","",VLOOKUP(AU74,Average!HN:HV,8,FALSE)))</f>
        <v>0</v>
      </c>
      <c r="BA74" s="445">
        <f>IF(BB74=1,"",IF(AU74="","",VLOOKUP(AU74,Average!HN:HV,9,FALSE)))</f>
        <v>0</v>
      </c>
      <c r="BB74" s="445">
        <f>IF(AU74="","",IF(I74="FORFAIT",1,0))</f>
        <v>0</v>
      </c>
      <c r="BC74" s="445">
        <f>IF(AU74="","",IF(Q74="FORFAIT",1,0))</f>
        <v>0</v>
      </c>
      <c r="BD74" s="445" t="str">
        <f>IF(AR74="","",RANK(AR74,$AR$20:$AR$122,1))</f>
        <v/>
      </c>
      <c r="BE74" s="445" t="str">
        <f>IF(AH74="","",VLOOKUP(AH74,'Heimmannschaft MAISON'!AB:AO,14,FALSE))</f>
        <v/>
      </c>
      <c r="BF74" s="445" t="str">
        <f>IF(AS74="","",RANK(AS74,$AS$20:$AS$122,1))</f>
        <v/>
      </c>
      <c r="BG74" s="445" t="str">
        <f>IF(AH74="","",VLOOKUP(AH74,'Gastmannschaft EXTERIEUR'!AB:AO,14,FALSE))</f>
        <v/>
      </c>
      <c r="BH74" s="445">
        <f>IFERROR(IF(BB74+BC74&gt;0,1,0),0)</f>
        <v>0</v>
      </c>
      <c r="BI74" s="446">
        <f>IF(BQ74=1,BR74,IF(AU74="","",IF(BC74=1,1,0)))</f>
        <v>0</v>
      </c>
      <c r="BJ74" s="447">
        <f>IF(AU74="","",IF(BI74=1,SUM(BK74,BL74),0))</f>
        <v>0</v>
      </c>
      <c r="BK74" s="445">
        <f>IF(AJ74="S",IF($AB$1=1,3,2),0)</f>
        <v>3</v>
      </c>
      <c r="BL74" s="445">
        <f>IF(AJ74="D",2,0)</f>
        <v>0</v>
      </c>
      <c r="BM74" s="446">
        <f>IF(AU74="","",IF(BB74=1,1,0))</f>
        <v>0</v>
      </c>
      <c r="BN74" s="447">
        <f>IF(AU74="","",IF(BM74=1,SUM(BO74,BP74),0))</f>
        <v>0</v>
      </c>
      <c r="BO74" s="445">
        <f>IF(AJ74="S",IF($AB$1=1,3,2),0)</f>
        <v>3</v>
      </c>
      <c r="BP74" s="445">
        <f>IF(AJ74="D",2,0)</f>
        <v>0</v>
      </c>
      <c r="BQ74" s="445">
        <f>IF(BR16=2,IF(AB1=1,1,0),0)</f>
        <v>0</v>
      </c>
      <c r="BR74" s="494">
        <v>0</v>
      </c>
      <c r="BS74" s="494">
        <v>2</v>
      </c>
      <c r="BT74" s="494">
        <v>0</v>
      </c>
      <c r="BU74" s="494">
        <v>0</v>
      </c>
      <c r="BV74" s="445">
        <f>IF(AU74="","",SUM(AZ74,BI74))</f>
        <v>0</v>
      </c>
      <c r="BW74" s="445">
        <f>IF(AU74="","",SUM(AV74,BJ74))</f>
        <v>0</v>
      </c>
      <c r="BY74" s="445">
        <f>IF(AU74="","",SUM(BA74,BM74))</f>
        <v>0</v>
      </c>
      <c r="BZ74" s="445">
        <f>IF(AU74="","",SUM(AW74,BN74))</f>
        <v>0</v>
      </c>
    </row>
    <row r="75" spans="1:78" s="452" customFormat="1" ht="20.100000000000001" customHeight="1">
      <c r="L75" s="628" t="str">
        <f>REPT(Sprache!$K$56,1)</f>
        <v>Zwischenresultat</v>
      </c>
      <c r="M75" s="629"/>
      <c r="W75" s="451"/>
      <c r="AB75" s="445"/>
      <c r="AC75" s="445"/>
      <c r="AD75" s="445"/>
      <c r="AE75" s="445"/>
      <c r="AF75" s="445"/>
      <c r="AG75" s="445"/>
      <c r="AH75" s="445"/>
      <c r="AI75" s="445"/>
      <c r="AJ75" s="445"/>
      <c r="AK75" s="445"/>
      <c r="AL75" s="445"/>
      <c r="AM75" s="445"/>
      <c r="AN75" s="445"/>
      <c r="AO75" s="445"/>
      <c r="AP75" s="445"/>
      <c r="AQ75" s="445"/>
      <c r="AR75" s="445"/>
      <c r="AS75" s="445"/>
      <c r="AT75" s="445"/>
      <c r="AU75" s="445"/>
      <c r="AV75" s="445"/>
      <c r="AW75" s="445"/>
      <c r="AX75" s="445"/>
      <c r="AY75" s="445"/>
      <c r="AZ75" s="445"/>
      <c r="BA75" s="445"/>
      <c r="BB75" s="445"/>
      <c r="BC75" s="445"/>
      <c r="BD75" s="445"/>
      <c r="BE75" s="445"/>
      <c r="BF75" s="445"/>
      <c r="BG75" s="445"/>
      <c r="BH75" s="445"/>
      <c r="BI75" s="446"/>
      <c r="BJ75" s="447"/>
      <c r="BK75" s="445"/>
      <c r="BL75" s="445"/>
      <c r="BM75" s="446"/>
      <c r="BN75" s="447"/>
      <c r="BO75" s="445"/>
      <c r="BP75" s="445"/>
      <c r="BQ75" s="445"/>
      <c r="BR75" s="445"/>
      <c r="BS75" s="445"/>
      <c r="BT75" s="445"/>
    </row>
    <row r="76" spans="1:78" s="452" customFormat="1" ht="24.95" customHeight="1">
      <c r="L76" s="495">
        <f>SUM(BV76)</f>
        <v>0</v>
      </c>
      <c r="M76" s="495">
        <f>SUM(BY76)</f>
        <v>0</v>
      </c>
      <c r="W76" s="451"/>
      <c r="AB76" s="445"/>
      <c r="AC76" s="445"/>
      <c r="AD76" s="445"/>
      <c r="AE76" s="445"/>
      <c r="AF76" s="445"/>
      <c r="AG76" s="445"/>
      <c r="AH76" s="445"/>
      <c r="AI76" s="445"/>
      <c r="AJ76" s="445"/>
      <c r="AK76" s="445"/>
      <c r="AL76" s="445"/>
      <c r="AM76" s="445"/>
      <c r="AN76" s="445"/>
      <c r="AO76" s="445"/>
      <c r="AP76" s="445"/>
      <c r="AQ76" s="445"/>
      <c r="AR76" s="445"/>
      <c r="AS76" s="445"/>
      <c r="AT76" s="445"/>
      <c r="AU76" s="445"/>
      <c r="AV76" s="445"/>
      <c r="AW76" s="445"/>
      <c r="AX76" s="445"/>
      <c r="AY76" s="445"/>
      <c r="AZ76" s="445"/>
      <c r="BA76" s="445"/>
      <c r="BB76" s="445"/>
      <c r="BC76" s="445"/>
      <c r="BD76" s="445"/>
      <c r="BE76" s="445"/>
      <c r="BF76" s="445"/>
      <c r="BG76" s="445"/>
      <c r="BH76" s="445"/>
      <c r="BI76" s="446"/>
      <c r="BJ76" s="447"/>
      <c r="BK76" s="445"/>
      <c r="BL76" s="445"/>
      <c r="BM76" s="446"/>
      <c r="BN76" s="447"/>
      <c r="BO76" s="445"/>
      <c r="BP76" s="445"/>
      <c r="BQ76" s="445"/>
      <c r="BR76" s="445"/>
      <c r="BS76" s="445"/>
      <c r="BT76" s="445"/>
      <c r="BV76" s="445">
        <f>SUM(BV60:BV74)</f>
        <v>0</v>
      </c>
      <c r="BW76" s="445"/>
      <c r="BY76" s="445">
        <f>SUM(BY60:BY74)</f>
        <v>0</v>
      </c>
      <c r="BZ76" s="445"/>
    </row>
    <row r="77" spans="1:78" s="452" customFormat="1" ht="20.100000000000001" customHeight="1">
      <c r="W77" s="451"/>
      <c r="AB77" s="445"/>
      <c r="AC77" s="445"/>
      <c r="AD77" s="445"/>
      <c r="AE77" s="445"/>
      <c r="AF77" s="445"/>
      <c r="AG77" s="445"/>
      <c r="AH77" s="445"/>
      <c r="AI77" s="445"/>
      <c r="AJ77" s="445"/>
      <c r="AK77" s="445"/>
      <c r="AL77" s="445"/>
      <c r="AM77" s="445"/>
      <c r="AN77" s="445"/>
      <c r="AO77" s="445"/>
      <c r="AP77" s="445"/>
      <c r="AQ77" s="445"/>
      <c r="AR77" s="445"/>
      <c r="AS77" s="445"/>
      <c r="AT77" s="445"/>
      <c r="AU77" s="445"/>
      <c r="AV77" s="445"/>
      <c r="AW77" s="445"/>
      <c r="AX77" s="445"/>
      <c r="AY77" s="445"/>
      <c r="AZ77" s="445"/>
      <c r="BA77" s="445"/>
      <c r="BB77" s="445"/>
      <c r="BC77" s="445"/>
      <c r="BD77" s="445"/>
      <c r="BE77" s="445"/>
      <c r="BF77" s="445"/>
      <c r="BG77" s="445"/>
      <c r="BH77" s="445"/>
      <c r="BI77" s="446"/>
      <c r="BJ77" s="447"/>
      <c r="BK77" s="445"/>
      <c r="BL77" s="445"/>
      <c r="BM77" s="446"/>
      <c r="BN77" s="447"/>
      <c r="BO77" s="445"/>
      <c r="BP77" s="445"/>
      <c r="BQ77" s="445"/>
      <c r="BR77" s="445"/>
      <c r="BS77" s="445"/>
      <c r="BT77" s="445"/>
    </row>
    <row r="78" spans="1:78" ht="18" customHeight="1">
      <c r="A78" s="451"/>
      <c r="B78" s="452"/>
      <c r="C78" s="452"/>
      <c r="D78" s="452"/>
      <c r="E78" s="452"/>
      <c r="F78" s="452"/>
      <c r="G78" s="458" t="str">
        <f>REPT('Heimmannschaft MAISON'!I71,1)</f>
        <v>Dritte Runde Einzel ( gesetzt )</v>
      </c>
      <c r="H78" s="87"/>
      <c r="I78" s="87"/>
      <c r="J78" s="87"/>
      <c r="K78" s="88"/>
      <c r="L78" s="82" t="s">
        <v>859</v>
      </c>
      <c r="M78" s="82" t="s">
        <v>860</v>
      </c>
      <c r="N78" s="481"/>
      <c r="O78" s="482">
        <f>SUM(P78)/100</f>
        <v>0</v>
      </c>
      <c r="P78" s="482">
        <f>SUM(O74)</f>
        <v>0</v>
      </c>
      <c r="Q78" s="620" t="str">
        <f>REPT('Heimmannschaft MAISON'!I71,1)</f>
        <v>Dritte Runde Einzel ( gesetzt )</v>
      </c>
      <c r="R78" s="632"/>
      <c r="S78" s="621"/>
      <c r="T78" s="91"/>
      <c r="U78" s="82"/>
      <c r="V78" s="82"/>
      <c r="W78" s="451"/>
      <c r="X78" s="452"/>
      <c r="Y78" s="452"/>
      <c r="Z78" s="452"/>
      <c r="AA78" s="452"/>
    </row>
    <row r="79" spans="1:78" ht="9.9499999999999993" customHeight="1">
      <c r="A79" s="451"/>
      <c r="B79" s="452"/>
      <c r="C79" s="452"/>
      <c r="D79" s="452"/>
      <c r="E79" s="452"/>
      <c r="F79" s="452"/>
      <c r="G79" s="91"/>
      <c r="H79" s="91"/>
      <c r="I79" s="91"/>
      <c r="J79" s="91"/>
      <c r="K79" s="91"/>
      <c r="L79" s="82"/>
      <c r="M79" s="82"/>
      <c r="N79" s="82"/>
      <c r="O79" s="91"/>
      <c r="P79" s="91"/>
      <c r="Q79" s="91"/>
      <c r="R79" s="91"/>
      <c r="S79" s="91"/>
      <c r="T79" s="91"/>
      <c r="U79" s="82"/>
      <c r="V79" s="82"/>
      <c r="W79" s="451"/>
      <c r="X79" s="452"/>
      <c r="Y79" s="452"/>
      <c r="Z79" s="452"/>
      <c r="AA79" s="452"/>
    </row>
    <row r="80" spans="1:78" s="452" customFormat="1" ht="20.100000000000001" customHeight="1">
      <c r="B80" s="484" t="str">
        <f>REPT(AT80,1)</f>
        <v>SPIEL 21</v>
      </c>
      <c r="C80" s="445"/>
      <c r="D80" s="485" t="str">
        <f>IF(AI80=0,"",CONCATENATE(AM80,AJ80))</f>
        <v>HS</v>
      </c>
      <c r="E80" s="486">
        <f>IF(AO80="*",AQ80,AL80)</f>
        <v>3.1</v>
      </c>
      <c r="G80" s="633" t="str">
        <f>REPT('Heimmannschaft MAISON'!AO73,1)</f>
        <v/>
      </c>
      <c r="H80" s="634"/>
      <c r="I80" s="487" t="str">
        <f>REPT('Heimmannschaft MAISON'!I73,1)</f>
        <v/>
      </c>
      <c r="J80" s="488"/>
      <c r="K80" s="489" t="str">
        <f>IF(AX80="","",AX80)</f>
        <v/>
      </c>
      <c r="L80" s="490" t="str">
        <f>IF(BH80=1,BW80,IF(AV80="","",AV80))</f>
        <v/>
      </c>
      <c r="M80" s="490" t="str">
        <f>IF(BH80=1,BZ80,IF(AW80="","",AW80))</f>
        <v/>
      </c>
      <c r="N80" s="489" t="str">
        <f>IF(AY80="","",AY80)</f>
        <v/>
      </c>
      <c r="O80" s="630" t="str">
        <f>REPT('Gastmannschaft EXTERIEUR'!AO73,1)</f>
        <v/>
      </c>
      <c r="P80" s="631"/>
      <c r="Q80" s="487" t="str">
        <f>REPT('Gastmannschaft EXTERIEUR'!I73,1)</f>
        <v/>
      </c>
      <c r="R80" s="491"/>
      <c r="S80" s="488"/>
      <c r="U80" s="485" t="str">
        <f>IF(AI80=0,"",CONCATENATE(AN80,AJ80))</f>
        <v>GS</v>
      </c>
      <c r="V80" s="486">
        <f>IF(AP80="*",AQ80,AL80)</f>
        <v>3.1</v>
      </c>
      <c r="W80" s="451"/>
      <c r="AB80" s="445">
        <v>25</v>
      </c>
      <c r="AC80" s="445">
        <v>21</v>
      </c>
      <c r="AD80" s="445">
        <v>25</v>
      </c>
      <c r="AE80" s="445">
        <v>17</v>
      </c>
      <c r="AF80" s="445">
        <v>19</v>
      </c>
      <c r="AG80" s="445">
        <v>13</v>
      </c>
      <c r="AH80" s="445">
        <f>IF($AB$1=3,AF80,IF($AB$1=2,AD80,IF($AB$1=1,AB80,"")))</f>
        <v>25</v>
      </c>
      <c r="AI80" s="445">
        <f>IF($AB$1=3,AG80,IF($AB$1=2,AE80,IF($AB$1=1,AC80,"")))</f>
        <v>21</v>
      </c>
      <c r="AJ80" s="166" t="str">
        <f>IF(AH80="","",VLOOKUP(AH80,Chema!AJ:AL,2,FALSE))</f>
        <v>S</v>
      </c>
      <c r="AK80" s="166">
        <f>IF(AH80="","",VLOOKUP(AH80,Chema!AJ:AL,3,FALSE))</f>
        <v>3.1</v>
      </c>
      <c r="AL80" s="166">
        <f>IF(AI80=0,"",IF(AI80="","",VLOOKUP(AI80,Chema!R:T,3,FALSE)))</f>
        <v>3.1</v>
      </c>
      <c r="AM80" s="166" t="s">
        <v>894</v>
      </c>
      <c r="AN80" s="445" t="s">
        <v>895</v>
      </c>
      <c r="AO80" s="492" t="str">
        <f>IF(AU80="","",VLOOKUP(AU80,Average!HN:HT,6,FALSE))</f>
        <v/>
      </c>
      <c r="AP80" s="492" t="str">
        <f>IF(AU80="","",VLOOKUP(AU80,Average!HN:HT,7,FALSE))</f>
        <v/>
      </c>
      <c r="AQ80" s="445" t="str">
        <f>IF(AI80=0,"",VLOOKUP(AI80,Chema!BL:BQ,6,FALSE))</f>
        <v>3.1*</v>
      </c>
      <c r="AR80" s="445" t="str">
        <f>VLOOKUP(AH80,'Heimmannschaft MAISON'!AB:AO,14,FALSE)</f>
        <v/>
      </c>
      <c r="AS80" s="445" t="str">
        <f>VLOOKUP(AH80,'Gastmannschaft EXTERIEUR'!AB:AO,14,FALSE)</f>
        <v/>
      </c>
      <c r="AT80" s="445" t="str">
        <f>IF(AI80=0,"",CONCATENATE($AT$18," ",AI80))</f>
        <v>SPIEL 21</v>
      </c>
      <c r="AU80" s="445" t="str">
        <f>IF(AI80=0,"",CONCATENATE($AU$18," ",AI80))</f>
        <v>SPIEL 21</v>
      </c>
      <c r="AV80" s="445" t="str">
        <f>IF(BC80=1,"",IF(AU80="","",VLOOKUP(AU80,Average!HN:HP,2,FALSE)))</f>
        <v/>
      </c>
      <c r="AW80" s="445" t="str">
        <f>IF(BB80=1,"",IF(AU80="","",VLOOKUP(AU80,Average!HN:HP,3,FALSE)))</f>
        <v/>
      </c>
      <c r="AX80" s="445" t="str">
        <f>IFERROR(IF(AU80="","",VLOOKUP(AU80,Average!HN:HQ,4,FALSE)),"")</f>
        <v/>
      </c>
      <c r="AY80" s="445" t="str">
        <f>IFERROR(IF(AU80="","",VLOOKUP(AU80,Average!HN:HR,5,FALSE)),"")</f>
        <v/>
      </c>
      <c r="AZ80" s="445">
        <f>IF(BC80=1,"",IF(AU80="","",VLOOKUP(AU80,Average!HN:HV,8,FALSE)))</f>
        <v>0</v>
      </c>
      <c r="BA80" s="445">
        <f>IF(BB80=1,"",IF(AU80="","",VLOOKUP(AU80,Average!HN:HV,9,FALSE)))</f>
        <v>0</v>
      </c>
      <c r="BB80" s="445">
        <f>IF(AU80="","",IF(I80="FORFAIT",1,0))</f>
        <v>0</v>
      </c>
      <c r="BC80" s="445">
        <f>IF(AU80="","",IF(Q80="FORFAIT",1,0))</f>
        <v>0</v>
      </c>
      <c r="BD80" s="445" t="str">
        <f>IF(AR80="","",RANK(AR80,$AR$20:$AR$122,1))</f>
        <v/>
      </c>
      <c r="BE80" s="445" t="str">
        <f>IF(AH80="","",VLOOKUP(AH80,'Heimmannschaft MAISON'!AB:AO,14,FALSE))</f>
        <v/>
      </c>
      <c r="BF80" s="445" t="str">
        <f>IF(AS80="","",RANK(AS80,$AS$20:$AS$122,1))</f>
        <v/>
      </c>
      <c r="BG80" s="445" t="str">
        <f>IF(AH80="","",VLOOKUP(AH80,'Gastmannschaft EXTERIEUR'!AB:AO,14,FALSE))</f>
        <v/>
      </c>
      <c r="BH80" s="445">
        <f>IFERROR(IF(BB80+BC80&gt;0,1,0),0)</f>
        <v>0</v>
      </c>
      <c r="BI80" s="446">
        <f>IF(AU80="","",IF(BC80=1,1,0))</f>
        <v>0</v>
      </c>
      <c r="BJ80" s="447">
        <f>IF(AU80="","",IF(BI80=1,SUM(BK80,BL80),0))</f>
        <v>0</v>
      </c>
      <c r="BK80" s="445">
        <f>IF(AJ80="S",IF($AB$1=1,3,2),0)</f>
        <v>3</v>
      </c>
      <c r="BL80" s="445">
        <f>IF(AJ80="D",2,0)</f>
        <v>0</v>
      </c>
      <c r="BM80" s="446">
        <f>IF(AU80="","",IF(BB80=1,1,0))</f>
        <v>0</v>
      </c>
      <c r="BN80" s="447">
        <f>IF(AU80="","",IF(BM80=1,SUM(BO80,BP80),0))</f>
        <v>0</v>
      </c>
      <c r="BO80" s="445">
        <f>IF(AJ80="S",IF($AB$1=1,3,2),0)</f>
        <v>3</v>
      </c>
      <c r="BP80" s="445">
        <f>IF(AJ80="D",2,0)</f>
        <v>0</v>
      </c>
      <c r="BQ80" s="445"/>
      <c r="BR80" s="445"/>
      <c r="BS80" s="445"/>
      <c r="BT80" s="445"/>
      <c r="BV80" s="445">
        <f>IF(AU80="","",SUM(AZ80,BI80))</f>
        <v>0</v>
      </c>
      <c r="BW80" s="445">
        <f>IF(AU80="","",SUM(AV80,BJ80))</f>
        <v>0</v>
      </c>
      <c r="BY80" s="445">
        <f>IF(AU80="","",SUM(BA80,BM80))</f>
        <v>0</v>
      </c>
      <c r="BZ80" s="445">
        <f>IF(AU80="","",SUM(AW80,BN80))</f>
        <v>0</v>
      </c>
    </row>
    <row r="81" spans="2:78" s="452" customFormat="1" ht="5.0999999999999996" customHeight="1">
      <c r="W81" s="451"/>
      <c r="AB81" s="445"/>
      <c r="AC81" s="445"/>
      <c r="AD81" s="445"/>
      <c r="AE81" s="445"/>
      <c r="AF81" s="445"/>
      <c r="AG81" s="445"/>
      <c r="AH81" s="445"/>
      <c r="AI81" s="445"/>
      <c r="AJ81" s="445"/>
      <c r="AK81" s="445"/>
      <c r="AL81" s="445"/>
      <c r="AM81" s="445"/>
      <c r="AN81" s="445"/>
      <c r="AO81" s="492"/>
      <c r="AP81" s="492"/>
      <c r="AQ81" s="445"/>
      <c r="AS81" s="445"/>
      <c r="AT81" s="445"/>
      <c r="AU81" s="445"/>
      <c r="AV81" s="445"/>
      <c r="AW81" s="445"/>
      <c r="AX81" s="445"/>
      <c r="AY81" s="445"/>
      <c r="AZ81" s="445"/>
      <c r="BA81" s="445"/>
      <c r="BB81" s="445"/>
      <c r="BC81" s="445"/>
      <c r="BD81" s="445"/>
      <c r="BE81" s="445"/>
      <c r="BF81" s="445"/>
      <c r="BG81" s="445"/>
      <c r="BH81" s="445"/>
      <c r="BI81" s="446"/>
      <c r="BJ81" s="447"/>
      <c r="BK81" s="445"/>
      <c r="BL81" s="445"/>
      <c r="BM81" s="446"/>
      <c r="BN81" s="447"/>
      <c r="BO81" s="445"/>
      <c r="BP81" s="445"/>
      <c r="BQ81" s="445"/>
      <c r="BR81" s="445"/>
      <c r="BS81" s="445"/>
      <c r="BT81" s="445"/>
    </row>
    <row r="82" spans="2:78" s="452" customFormat="1" ht="20.100000000000001" customHeight="1">
      <c r="B82" s="484" t="str">
        <f>REPT(AT82,1)</f>
        <v>SPIEL 22</v>
      </c>
      <c r="D82" s="485" t="str">
        <f>IF(AI82=0,"",CONCATENATE(AM82,AJ82))</f>
        <v>HS</v>
      </c>
      <c r="E82" s="486">
        <f>IF(AO82="*",AQ82,AL82)</f>
        <v>3.2</v>
      </c>
      <c r="G82" s="633" t="str">
        <f>REPT('Heimmannschaft MAISON'!AO75,1)</f>
        <v/>
      </c>
      <c r="H82" s="634"/>
      <c r="I82" s="487" t="str">
        <f>REPT('Heimmannschaft MAISON'!I75,1)</f>
        <v/>
      </c>
      <c r="J82" s="488"/>
      <c r="K82" s="489" t="str">
        <f>IF(AX82="","",AX82)</f>
        <v/>
      </c>
      <c r="L82" s="490" t="str">
        <f>IF(BH82=1,BW82,IF(AV82="","",AV82))</f>
        <v/>
      </c>
      <c r="M82" s="490" t="str">
        <f>IF(BH82=1,BZ82,IF(AW82="","",AW82))</f>
        <v/>
      </c>
      <c r="N82" s="489" t="str">
        <f>IF(AY82="","",AY82)</f>
        <v/>
      </c>
      <c r="O82" s="630" t="str">
        <f>REPT('Gastmannschaft EXTERIEUR'!AO75,1)</f>
        <v/>
      </c>
      <c r="P82" s="631"/>
      <c r="Q82" s="487" t="str">
        <f>REPT('Gastmannschaft EXTERIEUR'!I75,1)</f>
        <v/>
      </c>
      <c r="R82" s="491"/>
      <c r="S82" s="488"/>
      <c r="U82" s="485" t="str">
        <f>IF(AI82=0,"",CONCATENATE(AN82,AJ82))</f>
        <v>GS</v>
      </c>
      <c r="V82" s="486">
        <f>IF(AP82="*",AQ82,AL82)</f>
        <v>3.2</v>
      </c>
      <c r="W82" s="451"/>
      <c r="AB82" s="445">
        <v>26</v>
      </c>
      <c r="AC82" s="445">
        <v>22</v>
      </c>
      <c r="AD82" s="445">
        <v>26</v>
      </c>
      <c r="AE82" s="445">
        <v>18</v>
      </c>
      <c r="AF82" s="445">
        <v>20</v>
      </c>
      <c r="AG82" s="445">
        <v>14</v>
      </c>
      <c r="AH82" s="445">
        <f>IF($AB$1=3,AF82,IF($AB$1=2,AD82,IF($AB$1=1,AB82,"")))</f>
        <v>26</v>
      </c>
      <c r="AI82" s="445">
        <f>IF($AB$1=3,AG82,IF($AB$1=2,AE82,IF($AB$1=1,AC82,"")))</f>
        <v>22</v>
      </c>
      <c r="AJ82" s="166" t="str">
        <f>IF(AH82="","",VLOOKUP(AH82,Chema!AJ:AL,2,FALSE))</f>
        <v>S</v>
      </c>
      <c r="AK82" s="166">
        <f>IF(AH82="","",VLOOKUP(AH82,Chema!AJ:AL,3,FALSE))</f>
        <v>3.2</v>
      </c>
      <c r="AL82" s="166">
        <f>IF(AI82=0,"",IF(AI82="","",VLOOKUP(AI82,Chema!R:T,3,FALSE)))</f>
        <v>3.2</v>
      </c>
      <c r="AM82" s="166" t="s">
        <v>894</v>
      </c>
      <c r="AN82" s="445" t="s">
        <v>895</v>
      </c>
      <c r="AO82" s="492" t="str">
        <f>IF(AU82="","",VLOOKUP(AU82,Average!HN:HT,6,FALSE))</f>
        <v/>
      </c>
      <c r="AP82" s="492" t="str">
        <f>IF(AU82="","",VLOOKUP(AU82,Average!HN:HT,7,FALSE))</f>
        <v/>
      </c>
      <c r="AQ82" s="445" t="str">
        <f>IF(AI82=0,"",VLOOKUP(AI82,Chema!BL:BQ,6,FALSE))</f>
        <v>3.2*</v>
      </c>
      <c r="AR82" s="445" t="str">
        <f>VLOOKUP(AH82,'Heimmannschaft MAISON'!AB:AO,14,FALSE)</f>
        <v/>
      </c>
      <c r="AS82" s="445" t="str">
        <f>VLOOKUP(AH82,'Gastmannschaft EXTERIEUR'!AB:AO,14,FALSE)</f>
        <v/>
      </c>
      <c r="AT82" s="445" t="str">
        <f>IF(AI82=0,"",CONCATENATE($AT$18," ",AI82))</f>
        <v>SPIEL 22</v>
      </c>
      <c r="AU82" s="445" t="str">
        <f>IF(AI82=0,"",CONCATENATE($AU$18," ",AI82))</f>
        <v>SPIEL 22</v>
      </c>
      <c r="AV82" s="445" t="str">
        <f>IF(BC82=1,"",IF(AU82="","",VLOOKUP(AU82,Average!HN:HP,2,FALSE)))</f>
        <v/>
      </c>
      <c r="AW82" s="445" t="str">
        <f>IF(BB82=1,"",IF(AU82="","",VLOOKUP(AU82,Average!HN:HP,3,FALSE)))</f>
        <v/>
      </c>
      <c r="AX82" s="445" t="str">
        <f>IFERROR(IF(AU82="","",VLOOKUP(AU82,Average!HN:HQ,4,FALSE)),"")</f>
        <v/>
      </c>
      <c r="AY82" s="445" t="str">
        <f>IFERROR(IF(AU82="","",VLOOKUP(AU82,Average!HN:HR,5,FALSE)),"")</f>
        <v/>
      </c>
      <c r="AZ82" s="445">
        <f>IF(BC82=1,"",IF(AU82="","",VLOOKUP(AU82,Average!HN:HV,8,FALSE)))</f>
        <v>0</v>
      </c>
      <c r="BA82" s="445">
        <f>IF(BB82=1,"",IF(AU82="","",VLOOKUP(AU82,Average!HN:HV,9,FALSE)))</f>
        <v>0</v>
      </c>
      <c r="BB82" s="445">
        <f>IF(AU82="","",IF(I82="FORFAIT",1,0))</f>
        <v>0</v>
      </c>
      <c r="BC82" s="445">
        <f>IF(AU82="","",IF(Q82="FORFAIT",1,0))</f>
        <v>0</v>
      </c>
      <c r="BD82" s="445" t="str">
        <f>IF(AR82="","",RANK(AR82,$AR$20:$AR$122,1))</f>
        <v/>
      </c>
      <c r="BE82" s="445" t="str">
        <f>IF(AH82="","",VLOOKUP(AH82,'Heimmannschaft MAISON'!AB:AO,14,FALSE))</f>
        <v/>
      </c>
      <c r="BF82" s="445" t="str">
        <f>IF(AS82="","",RANK(AS82,$AS$20:$AS$122,1))</f>
        <v/>
      </c>
      <c r="BG82" s="445" t="str">
        <f>IF(AH82="","",VLOOKUP(AH82,'Gastmannschaft EXTERIEUR'!AB:AO,14,FALSE))</f>
        <v/>
      </c>
      <c r="BH82" s="445">
        <f>IFERROR(IF(BB82+BC82&gt;0,1,0),0)</f>
        <v>0</v>
      </c>
      <c r="BI82" s="446">
        <f>IF(AU82="","",IF(BC82=1,1,0))</f>
        <v>0</v>
      </c>
      <c r="BJ82" s="447">
        <f>IF(AU82="","",IF(BI82=1,SUM(BK82,BL82),0))</f>
        <v>0</v>
      </c>
      <c r="BK82" s="445">
        <f>IF(AJ82="S",IF($AB$1=1,3,2),0)</f>
        <v>3</v>
      </c>
      <c r="BL82" s="445">
        <f>IF(AJ82="D",2,0)</f>
        <v>0</v>
      </c>
      <c r="BM82" s="446">
        <f>IF(AU82="","",IF(BB82=1,1,0))</f>
        <v>0</v>
      </c>
      <c r="BN82" s="447">
        <f>IF(AU82="","",IF(BM82=1,SUM(BO82,BP82),0))</f>
        <v>0</v>
      </c>
      <c r="BO82" s="445">
        <f>IF(AJ82="S",IF($AB$1=1,3,2),0)</f>
        <v>3</v>
      </c>
      <c r="BP82" s="445">
        <f>IF(AJ82="D",2,0)</f>
        <v>0</v>
      </c>
      <c r="BQ82" s="445"/>
      <c r="BR82" s="445"/>
      <c r="BS82" s="445"/>
      <c r="BT82" s="445"/>
      <c r="BV82" s="445">
        <f>IF(AU82="","",SUM(AZ82,BI82))</f>
        <v>0</v>
      </c>
      <c r="BW82" s="445">
        <f>IF(AU82="","",SUM(AV82,BJ82))</f>
        <v>0</v>
      </c>
      <c r="BY82" s="445">
        <f>IF(AU82="","",SUM(BA82,BM82))</f>
        <v>0</v>
      </c>
      <c r="BZ82" s="445">
        <f>IF(AU82="","",SUM(AW82,BN82))</f>
        <v>0</v>
      </c>
    </row>
    <row r="83" spans="2:78" s="452" customFormat="1" ht="5.0999999999999996" customHeight="1">
      <c r="W83" s="451"/>
      <c r="AB83" s="445"/>
      <c r="AC83" s="445"/>
      <c r="AD83" s="445"/>
      <c r="AE83" s="445"/>
      <c r="AF83" s="445"/>
      <c r="AG83" s="445"/>
      <c r="AH83" s="445"/>
      <c r="AI83" s="445"/>
      <c r="AJ83" s="445"/>
      <c r="AK83" s="445"/>
      <c r="AL83" s="445"/>
      <c r="AM83" s="445"/>
      <c r="AN83" s="445"/>
      <c r="AO83" s="492"/>
      <c r="AP83" s="492"/>
      <c r="AQ83" s="445"/>
      <c r="AS83" s="445"/>
      <c r="AT83" s="445"/>
      <c r="AU83" s="445"/>
      <c r="AV83" s="445"/>
      <c r="AW83" s="445"/>
      <c r="AX83" s="445"/>
      <c r="AY83" s="445"/>
      <c r="AZ83" s="445"/>
      <c r="BA83" s="445"/>
      <c r="BB83" s="445"/>
      <c r="BC83" s="445"/>
      <c r="BD83" s="445"/>
      <c r="BE83" s="445"/>
      <c r="BF83" s="445"/>
      <c r="BG83" s="445"/>
      <c r="BH83" s="445"/>
      <c r="BI83" s="446"/>
      <c r="BJ83" s="447"/>
      <c r="BK83" s="445"/>
      <c r="BL83" s="445"/>
      <c r="BM83" s="446"/>
      <c r="BN83" s="447"/>
      <c r="BO83" s="445"/>
      <c r="BP83" s="445"/>
      <c r="BQ83" s="445"/>
      <c r="BR83" s="445"/>
      <c r="BS83" s="445"/>
      <c r="BT83" s="445"/>
    </row>
    <row r="84" spans="2:78" s="452" customFormat="1" ht="20.100000000000001" customHeight="1">
      <c r="B84" s="484" t="str">
        <f>REPT(AT84,1)</f>
        <v>SPIEL 23</v>
      </c>
      <c r="D84" s="485" t="str">
        <f>IF(AI84=0,"",CONCATENATE(AM84,AJ84))</f>
        <v>HS</v>
      </c>
      <c r="E84" s="486">
        <f>IF(AO84="*",AQ84,AL84)</f>
        <v>3.3</v>
      </c>
      <c r="G84" s="633" t="str">
        <f>REPT('Heimmannschaft MAISON'!AO77,1)</f>
        <v/>
      </c>
      <c r="H84" s="634"/>
      <c r="I84" s="487" t="str">
        <f>REPT('Heimmannschaft MAISON'!I77,1)</f>
        <v/>
      </c>
      <c r="J84" s="488"/>
      <c r="K84" s="489" t="str">
        <f>IF(AX84="","",AX84)</f>
        <v/>
      </c>
      <c r="L84" s="490" t="str">
        <f>IF(BH84=1,BW84,IF(AV84="","",AV84))</f>
        <v/>
      </c>
      <c r="M84" s="490" t="str">
        <f>IF(BH84=1,BZ84,IF(AW84="","",AW84))</f>
        <v/>
      </c>
      <c r="N84" s="489" t="str">
        <f>IF(AY84="","",AY84)</f>
        <v/>
      </c>
      <c r="O84" s="630" t="str">
        <f>REPT('Gastmannschaft EXTERIEUR'!AO77,1)</f>
        <v/>
      </c>
      <c r="P84" s="631"/>
      <c r="Q84" s="487" t="str">
        <f>REPT('Gastmannschaft EXTERIEUR'!I77,1)</f>
        <v/>
      </c>
      <c r="R84" s="491"/>
      <c r="S84" s="488"/>
      <c r="U84" s="485" t="str">
        <f>IF(AI84=0,"",CONCATENATE(AN84,AJ84))</f>
        <v>GS</v>
      </c>
      <c r="V84" s="486">
        <f>IF(AP84="*",AQ84,AL84)</f>
        <v>3.3</v>
      </c>
      <c r="W84" s="451"/>
      <c r="AB84" s="445">
        <v>27</v>
      </c>
      <c r="AC84" s="445">
        <v>23</v>
      </c>
      <c r="AD84" s="445">
        <v>27</v>
      </c>
      <c r="AE84" s="445">
        <v>19</v>
      </c>
      <c r="AF84" s="445">
        <v>21</v>
      </c>
      <c r="AG84" s="445">
        <v>15</v>
      </c>
      <c r="AH84" s="445">
        <f>IF($AB$1=3,AF84,IF($AB$1=2,AD84,IF($AB$1=1,AB84,"")))</f>
        <v>27</v>
      </c>
      <c r="AI84" s="445">
        <f>IF($AB$1=3,AG84,IF($AB$1=2,AE84,IF($AB$1=1,AC84,"")))</f>
        <v>23</v>
      </c>
      <c r="AJ84" s="166" t="str">
        <f>IF(AH84="","",VLOOKUP(AH84,Chema!AJ:AL,2,FALSE))</f>
        <v>S</v>
      </c>
      <c r="AK84" s="166">
        <f>IF(AH84="","",VLOOKUP(AH84,Chema!AJ:AL,3,FALSE))</f>
        <v>3.3</v>
      </c>
      <c r="AL84" s="166">
        <f>IF(AI84=0,"",IF(AI84="","",VLOOKUP(AI84,Chema!R:T,3,FALSE)))</f>
        <v>3.3</v>
      </c>
      <c r="AM84" s="166" t="s">
        <v>894</v>
      </c>
      <c r="AN84" s="445" t="s">
        <v>895</v>
      </c>
      <c r="AO84" s="492" t="str">
        <f>IF(AU84="","",VLOOKUP(AU84,Average!HN:HT,6,FALSE))</f>
        <v/>
      </c>
      <c r="AP84" s="492" t="str">
        <f>IF(AU84="","",VLOOKUP(AU84,Average!HN:HT,7,FALSE))</f>
        <v/>
      </c>
      <c r="AQ84" s="445" t="str">
        <f>IF(AI84=0,"",VLOOKUP(AI84,Chema!BL:BQ,6,FALSE))</f>
        <v>3.3*</v>
      </c>
      <c r="AR84" s="445" t="str">
        <f>VLOOKUP(AH84,'Heimmannschaft MAISON'!AB:AO,14,FALSE)</f>
        <v/>
      </c>
      <c r="AS84" s="445" t="str">
        <f>VLOOKUP(AH84,'Gastmannschaft EXTERIEUR'!AB:AO,14,FALSE)</f>
        <v/>
      </c>
      <c r="AT84" s="445" t="str">
        <f>IF(AI84=0,"",CONCATENATE($AT$18," ",AI84))</f>
        <v>SPIEL 23</v>
      </c>
      <c r="AU84" s="445" t="str">
        <f>IF(AI84=0,"",CONCATENATE($AU$18," ",AI84))</f>
        <v>SPIEL 23</v>
      </c>
      <c r="AV84" s="445" t="str">
        <f>IF(BC84=1,"",IF(AU84="","",VLOOKUP(AU84,Average!HN:HP,2,FALSE)))</f>
        <v/>
      </c>
      <c r="AW84" s="445" t="str">
        <f>IF(BB84=1,"",IF(AU84="","",VLOOKUP(AU84,Average!HN:HP,3,FALSE)))</f>
        <v/>
      </c>
      <c r="AX84" s="445" t="str">
        <f>IFERROR(IF(AU84="","",VLOOKUP(AU84,Average!HN:HQ,4,FALSE)),"")</f>
        <v/>
      </c>
      <c r="AY84" s="445" t="str">
        <f>IFERROR(IF(AU84="","",VLOOKUP(AU84,Average!HN:HR,5,FALSE)),"")</f>
        <v/>
      </c>
      <c r="AZ84" s="445">
        <f>IF(BC84=1,"",IF(AU84="","",VLOOKUP(AU84,Average!HN:HV,8,FALSE)))</f>
        <v>0</v>
      </c>
      <c r="BA84" s="445">
        <f>IF(BB84=1,"",IF(AU84="","",VLOOKUP(AU84,Average!HN:HV,9,FALSE)))</f>
        <v>0</v>
      </c>
      <c r="BB84" s="445">
        <f>IF(AU84="","",IF(I84="FORFAIT",1,0))</f>
        <v>0</v>
      </c>
      <c r="BC84" s="445">
        <f>IF(AU84="","",IF(Q84="FORFAIT",1,0))</f>
        <v>0</v>
      </c>
      <c r="BD84" s="445" t="str">
        <f>IF(AR84="","",RANK(AR84,$AR$20:$AR$122,1))</f>
        <v/>
      </c>
      <c r="BE84" s="445" t="str">
        <f>IF(AH84="","",VLOOKUP(AH84,'Heimmannschaft MAISON'!AB:AO,14,FALSE))</f>
        <v/>
      </c>
      <c r="BF84" s="445" t="str">
        <f>IF(AS84="","",RANK(AS84,$AS$20:$AS$122,1))</f>
        <v/>
      </c>
      <c r="BG84" s="445" t="str">
        <f>IF(AH84="","",VLOOKUP(AH84,'Gastmannschaft EXTERIEUR'!AB:AO,14,FALSE))</f>
        <v/>
      </c>
      <c r="BH84" s="445">
        <f>IFERROR(IF(BB84+BC84&gt;0,1,0),0)</f>
        <v>0</v>
      </c>
      <c r="BI84" s="446">
        <f>IF(AU84="","",IF(BC84=1,1,0))</f>
        <v>0</v>
      </c>
      <c r="BJ84" s="447">
        <f>IF(AU84="","",IF(BI84=1,SUM(BK84,BL84),0))</f>
        <v>0</v>
      </c>
      <c r="BK84" s="445">
        <f>IF(AJ84="S",IF($AB$1=1,3,2),0)</f>
        <v>3</v>
      </c>
      <c r="BL84" s="445">
        <f>IF(AJ84="D",2,0)</f>
        <v>0</v>
      </c>
      <c r="BM84" s="446">
        <f>IF(AU84="","",IF(BB84=1,1,0))</f>
        <v>0</v>
      </c>
      <c r="BN84" s="447">
        <f>IF(AU84="","",IF(BM84=1,SUM(BO84,BP84),0))</f>
        <v>0</v>
      </c>
      <c r="BO84" s="445">
        <f>IF(AJ84="S",IF($AB$1=1,3,2),0)</f>
        <v>3</v>
      </c>
      <c r="BP84" s="445">
        <f>IF(AJ84="D",2,0)</f>
        <v>0</v>
      </c>
      <c r="BQ84" s="445"/>
      <c r="BR84" s="445"/>
      <c r="BS84" s="445"/>
      <c r="BT84" s="445"/>
      <c r="BV84" s="445">
        <f>IF(AU84="","",SUM(AZ84,BI84))</f>
        <v>0</v>
      </c>
      <c r="BW84" s="445">
        <f>IF(AU84="","",SUM(AV84,BJ84))</f>
        <v>0</v>
      </c>
      <c r="BY84" s="445">
        <f>IF(AU84="","",SUM(BA84,BM84))</f>
        <v>0</v>
      </c>
      <c r="BZ84" s="445">
        <f>IF(AU84="","",SUM(AW84,BN84))</f>
        <v>0</v>
      </c>
    </row>
    <row r="85" spans="2:78" s="452" customFormat="1" ht="5.0999999999999996" customHeight="1">
      <c r="W85" s="451"/>
      <c r="AB85" s="445"/>
      <c r="AC85" s="445"/>
      <c r="AD85" s="445"/>
      <c r="AE85" s="445"/>
      <c r="AF85" s="445"/>
      <c r="AG85" s="445"/>
      <c r="AH85" s="445"/>
      <c r="AI85" s="445"/>
      <c r="AJ85" s="445"/>
      <c r="AK85" s="445"/>
      <c r="AL85" s="445"/>
      <c r="AM85" s="445"/>
      <c r="AN85" s="445"/>
      <c r="AO85" s="492"/>
      <c r="AP85" s="492"/>
      <c r="AQ85" s="445"/>
      <c r="AS85" s="445"/>
      <c r="AT85" s="445"/>
      <c r="AU85" s="445"/>
      <c r="AV85" s="445"/>
      <c r="AW85" s="445"/>
      <c r="AX85" s="445"/>
      <c r="AY85" s="445"/>
      <c r="AZ85" s="445"/>
      <c r="BA85" s="445"/>
      <c r="BB85" s="445"/>
      <c r="BC85" s="445"/>
      <c r="BD85" s="445"/>
      <c r="BE85" s="445"/>
      <c r="BF85" s="445"/>
      <c r="BG85" s="445"/>
      <c r="BH85" s="445"/>
      <c r="BI85" s="446"/>
      <c r="BJ85" s="447"/>
      <c r="BK85" s="445"/>
      <c r="BL85" s="445"/>
      <c r="BM85" s="446"/>
      <c r="BN85" s="447"/>
      <c r="BO85" s="445"/>
      <c r="BP85" s="445"/>
      <c r="BQ85" s="445"/>
      <c r="BR85" s="445"/>
      <c r="BS85" s="445"/>
      <c r="BT85" s="445"/>
    </row>
    <row r="86" spans="2:78" s="452" customFormat="1" ht="20.100000000000001" customHeight="1">
      <c r="B86" s="484" t="str">
        <f>REPT(AT86,1)</f>
        <v>SPIEL 24</v>
      </c>
      <c r="D86" s="485" t="str">
        <f>IF(AI86=0,"",CONCATENATE(AM86,AJ86))</f>
        <v>HS</v>
      </c>
      <c r="E86" s="486">
        <f>IF(AO86="*",AQ86,AL86)</f>
        <v>3.4</v>
      </c>
      <c r="G86" s="633" t="str">
        <f>REPT('Heimmannschaft MAISON'!AO79,1)</f>
        <v/>
      </c>
      <c r="H86" s="634"/>
      <c r="I86" s="487" t="str">
        <f>REPT('Heimmannschaft MAISON'!I79,1)</f>
        <v/>
      </c>
      <c r="J86" s="488"/>
      <c r="K86" s="489" t="str">
        <f>IF(AX86="","",AX86)</f>
        <v/>
      </c>
      <c r="L86" s="490" t="str">
        <f>IF(BH86=1,BW86,IF(AV86="","",AV86))</f>
        <v/>
      </c>
      <c r="M86" s="490" t="str">
        <f>IF(BH86=1,BZ86,IF(AW86="","",AW86))</f>
        <v/>
      </c>
      <c r="N86" s="489" t="str">
        <f>IF(AY86="","",AY86)</f>
        <v/>
      </c>
      <c r="O86" s="630" t="str">
        <f>REPT('Gastmannschaft EXTERIEUR'!AO79,1)</f>
        <v/>
      </c>
      <c r="P86" s="631"/>
      <c r="Q86" s="487" t="str">
        <f>REPT('Gastmannschaft EXTERIEUR'!I79,1)</f>
        <v/>
      </c>
      <c r="R86" s="491"/>
      <c r="S86" s="488"/>
      <c r="U86" s="485" t="str">
        <f>IF(AI86=0,"",CONCATENATE(AN86,AJ86))</f>
        <v>GS</v>
      </c>
      <c r="V86" s="486">
        <f>IF(AP86="*",AQ86,AL86)</f>
        <v>3.4</v>
      </c>
      <c r="W86" s="451"/>
      <c r="AB86" s="445">
        <v>28</v>
      </c>
      <c r="AC86" s="445">
        <v>24</v>
      </c>
      <c r="AD86" s="445">
        <v>28</v>
      </c>
      <c r="AE86" s="445">
        <v>20</v>
      </c>
      <c r="AF86" s="445">
        <v>22</v>
      </c>
      <c r="AG86" s="445">
        <v>16</v>
      </c>
      <c r="AH86" s="445">
        <f>IF($AB$1=3,AF86,IF($AB$1=2,AD86,IF($AB$1=1,AB86,"")))</f>
        <v>28</v>
      </c>
      <c r="AI86" s="445">
        <f>IF($AB$1=3,AG86,IF($AB$1=2,AE86,IF($AB$1=1,AC86,"")))</f>
        <v>24</v>
      </c>
      <c r="AJ86" s="166" t="str">
        <f>IF(AH86="","",VLOOKUP(AH86,Chema!AJ:AL,2,FALSE))</f>
        <v>S</v>
      </c>
      <c r="AK86" s="166">
        <f>IF(AH86="","",VLOOKUP(AH86,Chema!AJ:AL,3,FALSE))</f>
        <v>3.4</v>
      </c>
      <c r="AL86" s="166">
        <f>IF(AI86=0,"",IF(AI86="","",VLOOKUP(AI86,Chema!R:T,3,FALSE)))</f>
        <v>3.4</v>
      </c>
      <c r="AM86" s="166" t="s">
        <v>894</v>
      </c>
      <c r="AN86" s="445" t="s">
        <v>895</v>
      </c>
      <c r="AO86" s="492" t="str">
        <f>IF(AU86="","",VLOOKUP(AU86,Average!HN:HT,6,FALSE))</f>
        <v/>
      </c>
      <c r="AP86" s="492" t="str">
        <f>IF(AU86="","",VLOOKUP(AU86,Average!HN:HT,7,FALSE))</f>
        <v/>
      </c>
      <c r="AQ86" s="445" t="str">
        <f>IF(AI86=0,"",VLOOKUP(AI86,Chema!BL:BQ,6,FALSE))</f>
        <v>3.4*</v>
      </c>
      <c r="AR86" s="445" t="str">
        <f>VLOOKUP(AH86,'Heimmannschaft MAISON'!AB:AO,14,FALSE)</f>
        <v/>
      </c>
      <c r="AS86" s="445" t="str">
        <f>VLOOKUP(AH86,'Gastmannschaft EXTERIEUR'!AB:AO,14,FALSE)</f>
        <v/>
      </c>
      <c r="AT86" s="445" t="str">
        <f>IF(AI86=0,"",CONCATENATE($AT$18," ",AI86))</f>
        <v>SPIEL 24</v>
      </c>
      <c r="AU86" s="445" t="str">
        <f>IF(AI86=0,"",CONCATENATE($AU$18," ",AI86))</f>
        <v>SPIEL 24</v>
      </c>
      <c r="AV86" s="445" t="str">
        <f>IF(BC86=1,"",IF(AU86="","",VLOOKUP(AU86,Average!HN:HP,2,FALSE)))</f>
        <v/>
      </c>
      <c r="AW86" s="445" t="str">
        <f>IF(BB86=1,"",IF(AU86="","",VLOOKUP(AU86,Average!HN:HP,3,FALSE)))</f>
        <v/>
      </c>
      <c r="AX86" s="445" t="str">
        <f>IFERROR(IF(AU86="","",VLOOKUP(AU86,Average!HN:HQ,4,FALSE)),"")</f>
        <v/>
      </c>
      <c r="AY86" s="445" t="str">
        <f>IFERROR(IF(AU86="","",VLOOKUP(AU86,Average!HN:HR,5,FALSE)),"")</f>
        <v/>
      </c>
      <c r="AZ86" s="445">
        <f>IF(BC86=1,"",IF(AU86="","",VLOOKUP(AU86,Average!HN:HV,8,FALSE)))</f>
        <v>0</v>
      </c>
      <c r="BA86" s="445">
        <f>IF(BB86=1,"",IF(AU86="","",VLOOKUP(AU86,Average!HN:HV,9,FALSE)))</f>
        <v>0</v>
      </c>
      <c r="BB86" s="445">
        <f>IF(AU86="","",IF(I86="FORFAIT",1,0))</f>
        <v>0</v>
      </c>
      <c r="BC86" s="445">
        <f>IF(AU86="","",IF(Q86="FORFAIT",1,0))</f>
        <v>0</v>
      </c>
      <c r="BD86" s="445" t="str">
        <f>IF(AR86="","",RANK(AR86,$AR$20:$AR$122,1))</f>
        <v/>
      </c>
      <c r="BE86" s="445" t="str">
        <f>IF(AH86="","",VLOOKUP(AH86,'Heimmannschaft MAISON'!AB:AO,14,FALSE))</f>
        <v/>
      </c>
      <c r="BF86" s="445" t="str">
        <f>IF(AS86="","",RANK(AS86,$AS$20:$AS$122,1))</f>
        <v/>
      </c>
      <c r="BG86" s="445" t="str">
        <f>IF(AH86="","",VLOOKUP(AH86,'Gastmannschaft EXTERIEUR'!AB:AO,14,FALSE))</f>
        <v/>
      </c>
      <c r="BH86" s="445">
        <f>IFERROR(IF(BB86+BC86&gt;0,1,0),0)</f>
        <v>0</v>
      </c>
      <c r="BI86" s="446">
        <f>IF(AU86="","",IF(BC86=1,1,0))</f>
        <v>0</v>
      </c>
      <c r="BJ86" s="447">
        <f>IF(AU86="","",IF(BI86=1,SUM(BK86,BL86),0))</f>
        <v>0</v>
      </c>
      <c r="BK86" s="445">
        <f>IF(AJ86="S",IF($AB$1=1,3,2),0)</f>
        <v>3</v>
      </c>
      <c r="BL86" s="445">
        <f>IF(AJ86="D",2,0)</f>
        <v>0</v>
      </c>
      <c r="BM86" s="446">
        <f>IF(AU86="","",IF(BB86=1,1,0))</f>
        <v>0</v>
      </c>
      <c r="BN86" s="447">
        <f>IF(AU86="","",IF(BM86=1,SUM(BO86,BP86),0))</f>
        <v>0</v>
      </c>
      <c r="BO86" s="445">
        <f>IF(AJ86="S",IF($AB$1=1,3,2),0)</f>
        <v>3</v>
      </c>
      <c r="BP86" s="445">
        <f>IF(AJ86="D",2,0)</f>
        <v>0</v>
      </c>
      <c r="BQ86" s="445"/>
      <c r="BR86" s="445"/>
      <c r="BS86" s="445"/>
      <c r="BT86" s="445"/>
      <c r="BV86" s="445">
        <f>IF(AU86="","",SUM(AZ86,BI86))</f>
        <v>0</v>
      </c>
      <c r="BW86" s="445">
        <f>IF(AU86="","",SUM(AV86,BJ86))</f>
        <v>0</v>
      </c>
      <c r="BY86" s="445">
        <f>IF(AU86="","",SUM(BA86,BM86))</f>
        <v>0</v>
      </c>
      <c r="BZ86" s="445">
        <f>IF(AU86="","",SUM(AW86,BN86))</f>
        <v>0</v>
      </c>
    </row>
    <row r="87" spans="2:78" s="452" customFormat="1" ht="5.0999999999999996" customHeight="1">
      <c r="W87" s="451"/>
      <c r="AB87" s="445"/>
      <c r="AC87" s="445"/>
      <c r="AD87" s="445"/>
      <c r="AE87" s="445"/>
      <c r="AF87" s="445"/>
      <c r="AG87" s="445"/>
      <c r="AH87" s="445"/>
      <c r="AI87" s="445"/>
      <c r="AJ87" s="445"/>
      <c r="AK87" s="445"/>
      <c r="AL87" s="445"/>
      <c r="AM87" s="445"/>
      <c r="AN87" s="445"/>
      <c r="AO87" s="492"/>
      <c r="AP87" s="492"/>
      <c r="AQ87" s="445"/>
      <c r="AS87" s="445"/>
      <c r="AT87" s="445"/>
      <c r="AU87" s="445"/>
      <c r="AV87" s="445"/>
      <c r="AW87" s="445"/>
      <c r="AX87" s="445"/>
      <c r="AY87" s="445"/>
      <c r="AZ87" s="445"/>
      <c r="BA87" s="445"/>
      <c r="BB87" s="445"/>
      <c r="BC87" s="445"/>
      <c r="BD87" s="445"/>
      <c r="BE87" s="445"/>
      <c r="BF87" s="445"/>
      <c r="BG87" s="445"/>
      <c r="BH87" s="445"/>
      <c r="BI87" s="446"/>
      <c r="BJ87" s="447"/>
      <c r="BK87" s="445"/>
      <c r="BL87" s="445"/>
      <c r="BM87" s="446"/>
      <c r="BN87" s="447"/>
      <c r="BO87" s="445"/>
      <c r="BP87" s="445"/>
      <c r="BQ87" s="445"/>
      <c r="BR87" s="445"/>
      <c r="BS87" s="445"/>
      <c r="BT87" s="445"/>
    </row>
    <row r="88" spans="2:78" s="452" customFormat="1" ht="20.100000000000001" customHeight="1">
      <c r="B88" s="484" t="str">
        <f>REPT(AT88,1)</f>
        <v>SPIEL 25</v>
      </c>
      <c r="D88" s="485" t="str">
        <f>IF(AI88=0,"",CONCATENATE(AM88,AJ88))</f>
        <v>HS</v>
      </c>
      <c r="E88" s="486">
        <f>IF(AO88="*",AQ88,AL88)</f>
        <v>3.5</v>
      </c>
      <c r="G88" s="633" t="str">
        <f>REPT('Heimmannschaft MAISON'!AO81,1)</f>
        <v/>
      </c>
      <c r="H88" s="634"/>
      <c r="I88" s="487" t="str">
        <f>REPT('Heimmannschaft MAISON'!I81,1)</f>
        <v/>
      </c>
      <c r="J88" s="488"/>
      <c r="K88" s="489" t="str">
        <f>IF(AX88="","",AX88)</f>
        <v/>
      </c>
      <c r="L88" s="490" t="str">
        <f>IF(BH88=1,BW88,IF(AV88="","",AV88))</f>
        <v/>
      </c>
      <c r="M88" s="490" t="str">
        <f>IF(BH88=1,BZ88,IF(AW88="","",AW88))</f>
        <v/>
      </c>
      <c r="N88" s="489" t="str">
        <f>IF(AY88="","",AY88)</f>
        <v/>
      </c>
      <c r="O88" s="630" t="str">
        <f>REPT('Gastmannschaft EXTERIEUR'!AO81,1)</f>
        <v/>
      </c>
      <c r="P88" s="631"/>
      <c r="Q88" s="487" t="str">
        <f>REPT('Gastmannschaft EXTERIEUR'!I81,1)</f>
        <v/>
      </c>
      <c r="R88" s="491"/>
      <c r="S88" s="488"/>
      <c r="U88" s="485" t="str">
        <f>IF(AI88=0,"",CONCATENATE(AN88,AJ88))</f>
        <v>GS</v>
      </c>
      <c r="V88" s="486">
        <f>IF(AP88="*",AQ88,AL88)</f>
        <v>3.5</v>
      </c>
      <c r="W88" s="451"/>
      <c r="AB88" s="445">
        <v>29</v>
      </c>
      <c r="AC88" s="445">
        <v>25</v>
      </c>
      <c r="AD88" s="445">
        <v>29</v>
      </c>
      <c r="AE88" s="445">
        <v>21</v>
      </c>
      <c r="AF88" s="445">
        <v>23</v>
      </c>
      <c r="AG88" s="445">
        <v>17</v>
      </c>
      <c r="AH88" s="445">
        <f>IF($AB$1=3,AF88,IF($AB$1=2,AD88,IF($AB$1=1,AB88,"")))</f>
        <v>29</v>
      </c>
      <c r="AI88" s="445">
        <f>IF($AB$1=3,AG88,IF($AB$1=2,AE88,IF($AB$1=1,AC88,"")))</f>
        <v>25</v>
      </c>
      <c r="AJ88" s="166" t="str">
        <f>IF(AH88="","",VLOOKUP(AH88,Chema!AJ:AL,2,FALSE))</f>
        <v>S</v>
      </c>
      <c r="AK88" s="166">
        <f>IF(AH88="","",VLOOKUP(AH88,Chema!AJ:AL,3,FALSE))</f>
        <v>3.5</v>
      </c>
      <c r="AL88" s="166">
        <f>IF(AI88=0,"",IF(AI88="","",VLOOKUP(AI88,Chema!R:T,3,FALSE)))</f>
        <v>3.5</v>
      </c>
      <c r="AM88" s="166" t="s">
        <v>894</v>
      </c>
      <c r="AN88" s="445" t="s">
        <v>895</v>
      </c>
      <c r="AO88" s="492" t="str">
        <f>IF(AU88="","",VLOOKUP(AU88,Average!HN:HT,6,FALSE))</f>
        <v/>
      </c>
      <c r="AP88" s="492" t="str">
        <f>IF(AU88="","",VLOOKUP(AU88,Average!HN:HT,7,FALSE))</f>
        <v/>
      </c>
      <c r="AQ88" s="445" t="str">
        <f>IF(AI88=0,"",VLOOKUP(AI88,Chema!BL:BQ,6,FALSE))</f>
        <v>3.5*</v>
      </c>
      <c r="AR88" s="445" t="str">
        <f>VLOOKUP(AH88,'Heimmannschaft MAISON'!AB:AO,14,FALSE)</f>
        <v/>
      </c>
      <c r="AS88" s="445" t="str">
        <f>VLOOKUP(AH88,'Gastmannschaft EXTERIEUR'!AB:AO,14,FALSE)</f>
        <v/>
      </c>
      <c r="AT88" s="445" t="str">
        <f>IF(AI88=0,"",CONCATENATE($AT$18," ",AI88))</f>
        <v>SPIEL 25</v>
      </c>
      <c r="AU88" s="445" t="str">
        <f>IF(AI88=0,"",CONCATENATE($AU$18," ",AI88))</f>
        <v>SPIEL 25</v>
      </c>
      <c r="AV88" s="445" t="str">
        <f>IF(BC88=1,"",IF(AU88="","",VLOOKUP(AU88,Average!HN:HP,2,FALSE)))</f>
        <v/>
      </c>
      <c r="AW88" s="445" t="str">
        <f>IF(BB88=1,"",IF(AU88="","",VLOOKUP(AU88,Average!HN:HP,3,FALSE)))</f>
        <v/>
      </c>
      <c r="AX88" s="445" t="str">
        <f>IFERROR(IF(AU88="","",VLOOKUP(AU88,Average!HN:HQ,4,FALSE)),"")</f>
        <v/>
      </c>
      <c r="AY88" s="445" t="str">
        <f>IFERROR(IF(AU88="","",VLOOKUP(AU88,Average!HN:HR,5,FALSE)),"")</f>
        <v/>
      </c>
      <c r="AZ88" s="445">
        <f>IF(BC88=1,"",IF(AU88="","",VLOOKUP(AU88,Average!HN:HV,8,FALSE)))</f>
        <v>0</v>
      </c>
      <c r="BA88" s="445">
        <f>IF(BB88=1,"",IF(AU88="","",VLOOKUP(AU88,Average!HN:HV,9,FALSE)))</f>
        <v>0</v>
      </c>
      <c r="BB88" s="445">
        <f>IF(AU88="","",IF(I88="FORFAIT",1,0))</f>
        <v>0</v>
      </c>
      <c r="BC88" s="445">
        <f>IF(AU88="","",IF(Q88="FORFAIT",1,0))</f>
        <v>0</v>
      </c>
      <c r="BD88" s="445" t="str">
        <f>IF(AR88="","",RANK(AR88,$AR$20:$AR$122,1))</f>
        <v/>
      </c>
      <c r="BE88" s="445" t="str">
        <f>IF(AH88="","",VLOOKUP(AH88,'Heimmannschaft MAISON'!AB:AO,14,FALSE))</f>
        <v/>
      </c>
      <c r="BF88" s="445" t="str">
        <f>IF(AS88="","",RANK(AS88,$AS$20:$AS$122,1))</f>
        <v/>
      </c>
      <c r="BG88" s="445" t="str">
        <f>IF(AH88="","",VLOOKUP(AH88,'Gastmannschaft EXTERIEUR'!AB:AO,14,FALSE))</f>
        <v/>
      </c>
      <c r="BH88" s="445">
        <f>IFERROR(IF(BB88+BC88&gt;0,1,0),0)</f>
        <v>0</v>
      </c>
      <c r="BI88" s="446">
        <f>IF(AU88="","",IF(BC88=1,1,0))</f>
        <v>0</v>
      </c>
      <c r="BJ88" s="447">
        <f>IF(AU88="","",IF(BI88=1,SUM(BK88,BL88),0))</f>
        <v>0</v>
      </c>
      <c r="BK88" s="445">
        <f>IF(AJ88="S",IF($AB$1=1,3,2),0)</f>
        <v>3</v>
      </c>
      <c r="BL88" s="445">
        <f>IF(AJ88="D",2,0)</f>
        <v>0</v>
      </c>
      <c r="BM88" s="446">
        <f>IF(AU88="","",IF(BB88=1,1,0))</f>
        <v>0</v>
      </c>
      <c r="BN88" s="447">
        <f>IF(AU88="","",IF(BM88=1,SUM(BO88,BP88),0))</f>
        <v>0</v>
      </c>
      <c r="BO88" s="445">
        <f>IF(AJ88="S",IF($AB$1=1,3,2),0)</f>
        <v>3</v>
      </c>
      <c r="BP88" s="445">
        <f>IF(AJ88="D",2,0)</f>
        <v>0</v>
      </c>
      <c r="BQ88" s="445"/>
      <c r="BR88" s="445"/>
      <c r="BS88" s="445"/>
      <c r="BT88" s="445"/>
      <c r="BV88" s="445">
        <f>IF(AU88="","",SUM(AZ88,BI88))</f>
        <v>0</v>
      </c>
      <c r="BW88" s="445">
        <f>IF(AU88="","",SUM(AV88,BJ88))</f>
        <v>0</v>
      </c>
      <c r="BY88" s="445">
        <f>IF(AU88="","",SUM(BA88,BM88))</f>
        <v>0</v>
      </c>
      <c r="BZ88" s="445">
        <f>IF(AU88="","",SUM(AW88,BN88))</f>
        <v>0</v>
      </c>
    </row>
    <row r="89" spans="2:78" s="452" customFormat="1" ht="5.0999999999999996" customHeight="1">
      <c r="W89" s="451"/>
      <c r="AB89" s="445"/>
      <c r="AC89" s="445"/>
      <c r="AD89" s="445"/>
      <c r="AE89" s="445"/>
      <c r="AF89" s="445"/>
      <c r="AG89" s="445"/>
      <c r="AH89" s="445"/>
      <c r="AI89" s="445"/>
      <c r="AJ89" s="445"/>
      <c r="AK89" s="445"/>
      <c r="AL89" s="445"/>
      <c r="AM89" s="445"/>
      <c r="AN89" s="445"/>
      <c r="AO89" s="492"/>
      <c r="AP89" s="492"/>
      <c r="AQ89" s="445"/>
      <c r="AS89" s="445"/>
      <c r="AT89" s="445"/>
      <c r="AU89" s="445"/>
      <c r="AV89" s="445"/>
      <c r="AW89" s="445"/>
      <c r="AX89" s="445"/>
      <c r="AY89" s="445"/>
      <c r="AZ89" s="445"/>
      <c r="BA89" s="445"/>
      <c r="BB89" s="445"/>
      <c r="BC89" s="445"/>
      <c r="BD89" s="445"/>
      <c r="BE89" s="445"/>
      <c r="BF89" s="445"/>
      <c r="BG89" s="445"/>
      <c r="BH89" s="445"/>
      <c r="BI89" s="446"/>
      <c r="BJ89" s="447"/>
      <c r="BK89" s="445"/>
      <c r="BL89" s="445"/>
      <c r="BM89" s="446"/>
      <c r="BN89" s="447"/>
      <c r="BO89" s="445"/>
      <c r="BP89" s="445"/>
      <c r="BQ89" s="445"/>
      <c r="BR89" s="445"/>
      <c r="BS89" s="445"/>
      <c r="BT89" s="445"/>
    </row>
    <row r="90" spans="2:78" s="452" customFormat="1" ht="20.100000000000001" customHeight="1">
      <c r="B90" s="484" t="str">
        <f>REPT(AT90,1)</f>
        <v>SPIEL 26</v>
      </c>
      <c r="D90" s="485" t="str">
        <f>IF(AI90=0,"",CONCATENATE(AM90,AJ90))</f>
        <v>HS</v>
      </c>
      <c r="E90" s="486">
        <f>IF(AO90="*",AQ90,AL90)</f>
        <v>3.6</v>
      </c>
      <c r="G90" s="633" t="str">
        <f>REPT('Heimmannschaft MAISON'!AO83,1)</f>
        <v/>
      </c>
      <c r="H90" s="634"/>
      <c r="I90" s="487" t="str">
        <f>REPT('Heimmannschaft MAISON'!I83,1)</f>
        <v/>
      </c>
      <c r="J90" s="488"/>
      <c r="K90" s="489" t="str">
        <f>IF(AX90="","",AX90)</f>
        <v/>
      </c>
      <c r="L90" s="490" t="str">
        <f>IF(BH90=1,BW90,IF(AV90="","",AV90))</f>
        <v/>
      </c>
      <c r="M90" s="490" t="str">
        <f>IF(BH90=1,BZ90,IF(AW90="","",AW90))</f>
        <v/>
      </c>
      <c r="N90" s="489" t="str">
        <f>IF(AY90="","",AY90)</f>
        <v/>
      </c>
      <c r="O90" s="630" t="str">
        <f>REPT('Gastmannschaft EXTERIEUR'!AO83,1)</f>
        <v/>
      </c>
      <c r="P90" s="631"/>
      <c r="Q90" s="487" t="str">
        <f>REPT('Gastmannschaft EXTERIEUR'!I83,1)</f>
        <v/>
      </c>
      <c r="R90" s="491"/>
      <c r="S90" s="488"/>
      <c r="U90" s="485" t="str">
        <f>IF(AI90=0,"",CONCATENATE(AN90,AJ90))</f>
        <v>GS</v>
      </c>
      <c r="V90" s="486">
        <f>IF(AP90="*",AQ90,AL90)</f>
        <v>3.6</v>
      </c>
      <c r="W90" s="451"/>
      <c r="AB90" s="445">
        <v>30</v>
      </c>
      <c r="AC90" s="445">
        <v>26</v>
      </c>
      <c r="AD90" s="445">
        <v>30</v>
      </c>
      <c r="AE90" s="445">
        <v>22</v>
      </c>
      <c r="AF90" s="445">
        <v>24</v>
      </c>
      <c r="AG90" s="445">
        <v>18</v>
      </c>
      <c r="AH90" s="445">
        <f>IF($AB$1=3,AF90,IF($AB$1=2,AD90,IF($AB$1=1,AB90,"")))</f>
        <v>30</v>
      </c>
      <c r="AI90" s="445">
        <f>IF($AB$1=3,AG90,IF($AB$1=2,AE90,IF($AB$1=1,AC90,"")))</f>
        <v>26</v>
      </c>
      <c r="AJ90" s="166" t="str">
        <f>IF(AH90="","",VLOOKUP(AH90,Chema!AJ:AL,2,FALSE))</f>
        <v>S</v>
      </c>
      <c r="AK90" s="166">
        <f>IF(AH90="","",VLOOKUP(AH90,Chema!AJ:AL,3,FALSE))</f>
        <v>3.6</v>
      </c>
      <c r="AL90" s="166">
        <f>IF(AI90=0,"",IF(AI90="","",VLOOKUP(AI90,Chema!R:T,3,FALSE)))</f>
        <v>3.6</v>
      </c>
      <c r="AM90" s="166" t="s">
        <v>894</v>
      </c>
      <c r="AN90" s="445" t="s">
        <v>895</v>
      </c>
      <c r="AO90" s="492" t="str">
        <f>IF(AU90="","",VLOOKUP(AU90,Average!HN:HT,6,FALSE))</f>
        <v/>
      </c>
      <c r="AP90" s="492" t="str">
        <f>IF(AU90="","",VLOOKUP(AU90,Average!HN:HT,7,FALSE))</f>
        <v/>
      </c>
      <c r="AQ90" s="445" t="str">
        <f>IF(AI90=0,"",VLOOKUP(AI90,Chema!BL:BQ,6,FALSE))</f>
        <v>3.6*</v>
      </c>
      <c r="AR90" s="445" t="str">
        <f>VLOOKUP(AH90,'Heimmannschaft MAISON'!AB:AO,14,FALSE)</f>
        <v/>
      </c>
      <c r="AS90" s="445" t="str">
        <f>VLOOKUP(AH90,'Gastmannschaft EXTERIEUR'!AB:AO,14,FALSE)</f>
        <v/>
      </c>
      <c r="AT90" s="445" t="str">
        <f>IF(AI90=0,"",CONCATENATE($AT$18," ",AI90))</f>
        <v>SPIEL 26</v>
      </c>
      <c r="AU90" s="445" t="str">
        <f>IF(AI90=0,"",CONCATENATE($AU$18," ",AI90))</f>
        <v>SPIEL 26</v>
      </c>
      <c r="AV90" s="445" t="str">
        <f>IF(BC90=1,"",IF(AU90="","",VLOOKUP(AU90,Average!HN:HP,2,FALSE)))</f>
        <v/>
      </c>
      <c r="AW90" s="445" t="str">
        <f>IF(BB90=1,"",IF(AU90="","",VLOOKUP(AU90,Average!HN:HP,3,FALSE)))</f>
        <v/>
      </c>
      <c r="AX90" s="445" t="str">
        <f>IFERROR(IF(AU90="","",VLOOKUP(AU90,Average!HN:HQ,4,FALSE)),"")</f>
        <v/>
      </c>
      <c r="AY90" s="445" t="str">
        <f>IFERROR(IF(AU90="","",VLOOKUP(AU90,Average!HN:HR,5,FALSE)),"")</f>
        <v/>
      </c>
      <c r="AZ90" s="445">
        <f>IF(BC90=1,"",IF(AU90="","",VLOOKUP(AU90,Average!HN:HV,8,FALSE)))</f>
        <v>0</v>
      </c>
      <c r="BA90" s="445">
        <f>IF(BB90=1,"",IF(AU90="","",VLOOKUP(AU90,Average!HN:HV,9,FALSE)))</f>
        <v>0</v>
      </c>
      <c r="BB90" s="445">
        <f>IF(AU90="","",IF(I90="FORFAIT",1,0))</f>
        <v>0</v>
      </c>
      <c r="BC90" s="445">
        <f>IF(AU90="","",IF(Q90="FORFAIT",1,0))</f>
        <v>0</v>
      </c>
      <c r="BD90" s="445" t="str">
        <f>IF(AR90="","",RANK(AR90,$AR$20:$AR$122,1))</f>
        <v/>
      </c>
      <c r="BE90" s="445" t="str">
        <f>IF(AH90="","",VLOOKUP(AH90,'Heimmannschaft MAISON'!AB:AO,14,FALSE))</f>
        <v/>
      </c>
      <c r="BF90" s="445" t="str">
        <f>IF(AS90="","",RANK(AS90,$AS$20:$AS$122,1))</f>
        <v/>
      </c>
      <c r="BG90" s="445" t="str">
        <f>IF(AH90="","",VLOOKUP(AH90,'Gastmannschaft EXTERIEUR'!AB:AO,14,FALSE))</f>
        <v/>
      </c>
      <c r="BH90" s="445">
        <f>IFERROR(IF(BB90+BC90&gt;0,1,0),0)</f>
        <v>0</v>
      </c>
      <c r="BI90" s="446">
        <f>IF(BQ90=1,BR90,IF(AU90="","",IF(BC90=1,1,0)))</f>
        <v>0</v>
      </c>
      <c r="BJ90" s="447">
        <f>IF(AU90="","",IF(BI90=1,SUM(BK90,BL90),0))</f>
        <v>0</v>
      </c>
      <c r="BK90" s="445">
        <f>IF(AJ90="S",IF($AB$1=1,3,2),0)</f>
        <v>3</v>
      </c>
      <c r="BL90" s="445">
        <f>IF(AJ90="D",2,0)</f>
        <v>0</v>
      </c>
      <c r="BM90" s="446">
        <f>IF(AU90="","",IF(BB90=1,1,0))</f>
        <v>0</v>
      </c>
      <c r="BN90" s="447">
        <f>IF(AU90="","",IF(BM90=1,SUM(BO90,BP90),0))</f>
        <v>0</v>
      </c>
      <c r="BO90" s="445">
        <f>IF(AJ90="S",IF($AB$1=1,3,2),0)</f>
        <v>3</v>
      </c>
      <c r="BP90" s="445">
        <f>IF(AJ90="D",2,0)</f>
        <v>0</v>
      </c>
      <c r="BQ90" s="445">
        <f>IF($BR$16=2,IF($AB$1=3,1,0),0)</f>
        <v>0</v>
      </c>
      <c r="BR90" s="492">
        <v>0</v>
      </c>
      <c r="BS90" s="492">
        <v>0</v>
      </c>
      <c r="BT90" s="492">
        <v>1</v>
      </c>
      <c r="BU90" s="492">
        <v>2</v>
      </c>
      <c r="BV90" s="445">
        <f>IF(AU90="","",SUM(AZ90,BI90))</f>
        <v>0</v>
      </c>
      <c r="BW90" s="445">
        <f>IF(AU90="","",SUM(AV90,BJ90))</f>
        <v>0</v>
      </c>
      <c r="BY90" s="445">
        <f>IF(AU90="","",SUM(BA90,BM90))</f>
        <v>0</v>
      </c>
      <c r="BZ90" s="445">
        <f>IF(AU90="","",SUM(AW90,BN90))</f>
        <v>0</v>
      </c>
    </row>
    <row r="91" spans="2:78" s="452" customFormat="1" ht="5.0999999999999996" customHeight="1">
      <c r="W91" s="451"/>
      <c r="AB91" s="445"/>
      <c r="AC91" s="445"/>
      <c r="AD91" s="445"/>
      <c r="AE91" s="445"/>
      <c r="AF91" s="445"/>
      <c r="AG91" s="445"/>
      <c r="AH91" s="445"/>
      <c r="AI91" s="445"/>
      <c r="AJ91" s="445"/>
      <c r="AK91" s="445"/>
      <c r="AL91" s="445"/>
      <c r="AM91" s="445"/>
      <c r="AN91" s="445"/>
      <c r="AO91" s="492"/>
      <c r="AP91" s="492"/>
      <c r="AQ91" s="445"/>
      <c r="AS91" s="445"/>
      <c r="AT91" s="445"/>
      <c r="AU91" s="445"/>
      <c r="AV91" s="445"/>
      <c r="AW91" s="445"/>
      <c r="AX91" s="445"/>
      <c r="AY91" s="445"/>
      <c r="AZ91" s="445"/>
      <c r="BA91" s="445"/>
      <c r="BB91" s="445"/>
      <c r="BC91" s="445"/>
      <c r="BD91" s="445"/>
      <c r="BE91" s="445"/>
      <c r="BF91" s="445"/>
      <c r="BG91" s="445"/>
      <c r="BH91" s="445"/>
      <c r="BI91" s="446"/>
      <c r="BJ91" s="447"/>
      <c r="BK91" s="445"/>
      <c r="BL91" s="445"/>
      <c r="BM91" s="446"/>
      <c r="BN91" s="447"/>
      <c r="BO91" s="445"/>
      <c r="BP91" s="445"/>
      <c r="BQ91" s="445"/>
      <c r="BR91" s="445"/>
      <c r="BS91" s="445"/>
      <c r="BT91" s="445"/>
    </row>
    <row r="92" spans="2:78" s="452" customFormat="1" ht="20.100000000000001" customHeight="1">
      <c r="B92" s="484" t="str">
        <f>REPT(AT92,1)</f>
        <v>SPIEL 27</v>
      </c>
      <c r="D92" s="485" t="str">
        <f>IF(AI92=0,"",CONCATENATE(AM92,AJ92))</f>
        <v>HS</v>
      </c>
      <c r="E92" s="486">
        <f>IF(AO92="*",AQ92,AL92)</f>
        <v>3.7</v>
      </c>
      <c r="G92" s="633" t="str">
        <f>REPT('Heimmannschaft MAISON'!AO85,1)</f>
        <v/>
      </c>
      <c r="H92" s="634"/>
      <c r="I92" s="487" t="str">
        <f>REPT('Heimmannschaft MAISON'!I85,1)</f>
        <v/>
      </c>
      <c r="J92" s="488"/>
      <c r="K92" s="489" t="str">
        <f>IF(AX92="","",AX92)</f>
        <v/>
      </c>
      <c r="L92" s="490" t="str">
        <f>IF(BH92=1,BW92,IF(AV92="","",AV92))</f>
        <v/>
      </c>
      <c r="M92" s="490" t="str">
        <f>IF(BH92=1,BZ92,IF(AW92="","",AW92))</f>
        <v/>
      </c>
      <c r="N92" s="489" t="str">
        <f>IF(AY92="","",AY92)</f>
        <v/>
      </c>
      <c r="O92" s="630" t="str">
        <f>REPT('Gastmannschaft EXTERIEUR'!AO85,1)</f>
        <v/>
      </c>
      <c r="P92" s="631"/>
      <c r="Q92" s="487" t="str">
        <f>REPT('Gastmannschaft EXTERIEUR'!I85,1)</f>
        <v/>
      </c>
      <c r="R92" s="491"/>
      <c r="S92" s="488"/>
      <c r="U92" s="485" t="str">
        <f>IF(AI92=0,"",CONCATENATE(AN92,AJ92))</f>
        <v>GS</v>
      </c>
      <c r="V92" s="486">
        <f>IF(AP92="*",AQ92,AL92)</f>
        <v>3.7</v>
      </c>
      <c r="W92" s="451"/>
      <c r="AB92" s="445">
        <v>31</v>
      </c>
      <c r="AC92" s="445">
        <v>27</v>
      </c>
      <c r="AD92" s="445">
        <v>31</v>
      </c>
      <c r="AE92" s="445">
        <v>23</v>
      </c>
      <c r="AF92" s="445"/>
      <c r="AG92" s="445"/>
      <c r="AH92" s="445">
        <f>IF($AB$1=3,"",IF($AB$1=2,AD92,IF($AB$1=1,AB92,"")))</f>
        <v>31</v>
      </c>
      <c r="AI92" s="445">
        <f>IF($AB$1=3,AG92,IF($AB$1=2,AE92,IF($AB$1=1,AC92,"")))</f>
        <v>27</v>
      </c>
      <c r="AJ92" s="166" t="str">
        <f>IF(AH92="","",VLOOKUP(AH92,Chema!AJ:AL,2,FALSE))</f>
        <v>S</v>
      </c>
      <c r="AK92" s="166">
        <f>IF(AH92="","",VLOOKUP(AH92,Chema!AJ:AL,3,FALSE))</f>
        <v>3.7</v>
      </c>
      <c r="AL92" s="166">
        <f>IF(AI92=0,"",IF(AI92="","",VLOOKUP(AI92,Chema!R:T,3,FALSE)))</f>
        <v>3.7</v>
      </c>
      <c r="AM92" s="166" t="str">
        <f>IF(AH92="","","H")</f>
        <v>H</v>
      </c>
      <c r="AN92" s="445" t="str">
        <f>IF(AH92="","","G")</f>
        <v>G</v>
      </c>
      <c r="AO92" s="492" t="str">
        <f>IF(AU92="","",VLOOKUP(AU92,Average!HN:HT,6,FALSE))</f>
        <v/>
      </c>
      <c r="AP92" s="492" t="str">
        <f>IF(AU92="","",VLOOKUP(AU92,Average!HN:HT,7,FALSE))</f>
        <v/>
      </c>
      <c r="AQ92" s="445" t="str">
        <f>IF(AI92=0,"",VLOOKUP(AI92,Chema!BL:BQ,6,FALSE))</f>
        <v>3.7*</v>
      </c>
      <c r="AR92" s="445" t="str">
        <f>VLOOKUP(AH92,'Heimmannschaft MAISON'!AB:AO,14,FALSE)</f>
        <v/>
      </c>
      <c r="AS92" s="445" t="str">
        <f>VLOOKUP(AH92,'Gastmannschaft EXTERIEUR'!AB:AO,14,FALSE)</f>
        <v/>
      </c>
      <c r="AT92" s="445" t="str">
        <f>IF(AI92=0,"",CONCATENATE($AT$18," ",AI92))</f>
        <v>SPIEL 27</v>
      </c>
      <c r="AU92" s="445" t="str">
        <f>IF(AI92=0,"",CONCATENATE($AU$18," ",AI92))</f>
        <v>SPIEL 27</v>
      </c>
      <c r="AV92" s="445" t="str">
        <f>IF(BC92=1,"",IF(AU92="","",VLOOKUP(AU92,Average!HN:HP,2,FALSE)))</f>
        <v/>
      </c>
      <c r="AW92" s="445" t="str">
        <f>IF(BB92=1,"",IF(AU92="","",VLOOKUP(AU92,Average!HN:HP,3,FALSE)))</f>
        <v/>
      </c>
      <c r="AX92" s="445" t="str">
        <f>IFERROR(IF(AU92="","",VLOOKUP(AU92,Average!HN:HQ,4,FALSE)),"")</f>
        <v/>
      </c>
      <c r="AY92" s="445" t="str">
        <f>IFERROR(IF(AU92="","",VLOOKUP(AU92,Average!HN:HR,5,FALSE)),"")</f>
        <v/>
      </c>
      <c r="AZ92" s="445">
        <f>IF(BC92=1,"",IF(AU92="","",VLOOKUP(AU92,Average!HN:HV,8,FALSE)))</f>
        <v>0</v>
      </c>
      <c r="BA92" s="445">
        <f>IF(BB92=1,"",IF(AU92="","",VLOOKUP(AU92,Average!HN:HV,9,FALSE)))</f>
        <v>0</v>
      </c>
      <c r="BB92" s="445">
        <f>IF(AU92="","",IF(I92="FORFAIT",1,0))</f>
        <v>0</v>
      </c>
      <c r="BC92" s="445">
        <f>IF(AU92="","",IF(Q92="FORFAIT",1,0))</f>
        <v>0</v>
      </c>
      <c r="BD92" s="445" t="str">
        <f>IF(AR92="","",RANK(AR92,$AR$20:$AR$122,1))</f>
        <v/>
      </c>
      <c r="BE92" s="445" t="str">
        <f>IF(AH92="","",VLOOKUP(AH92,'Heimmannschaft MAISON'!AB:AO,14,FALSE))</f>
        <v/>
      </c>
      <c r="BF92" s="445" t="str">
        <f>IF(AS92="","",RANK(AS92,$AS$20:$AS$122,1))</f>
        <v/>
      </c>
      <c r="BG92" s="445" t="str">
        <f>IF(AH92="","",VLOOKUP(AH92,'Gastmannschaft EXTERIEUR'!AB:AO,14,FALSE))</f>
        <v/>
      </c>
      <c r="BH92" s="445">
        <f>IFERROR(IF(BB92+BC92&gt;0,1,0),0)</f>
        <v>0</v>
      </c>
      <c r="BI92" s="446">
        <f>IF(AU92="","",IF(BC92=1,1,0))</f>
        <v>0</v>
      </c>
      <c r="BJ92" s="447">
        <f>IF(AU92="","",IF(BI92=1,SUM(BK92,BL92),0))</f>
        <v>0</v>
      </c>
      <c r="BK92" s="445">
        <f>IF(AJ92="S",IF($AB$1=1,3,2),0)</f>
        <v>3</v>
      </c>
      <c r="BL92" s="445">
        <f>IF(AJ92="D",2,0)</f>
        <v>0</v>
      </c>
      <c r="BM92" s="446">
        <f>IF(AU92="","",IF(BB92=1,1,0))</f>
        <v>0</v>
      </c>
      <c r="BN92" s="447">
        <f>IF(AU92="","",IF(BM92=1,SUM(BO92,BP92),0))</f>
        <v>0</v>
      </c>
      <c r="BO92" s="445">
        <f>IF(AJ92="S",IF($AB$1=1,3,2),0)</f>
        <v>3</v>
      </c>
      <c r="BP92" s="445">
        <f>IF(AJ92="D",2,0)</f>
        <v>0</v>
      </c>
      <c r="BQ92" s="445"/>
      <c r="BR92" s="445"/>
      <c r="BS92" s="445"/>
      <c r="BT92" s="445"/>
      <c r="BV92" s="445">
        <f>IF(AU92="","",SUM(AZ92,BI92))</f>
        <v>0</v>
      </c>
      <c r="BW92" s="445">
        <f>IF(AU92="","",SUM(AV92,BJ92))</f>
        <v>0</v>
      </c>
      <c r="BY92" s="445">
        <f>IF(AU92="","",SUM(BA92,BM92))</f>
        <v>0</v>
      </c>
      <c r="BZ92" s="445">
        <f>IF(AU92="","",SUM(AW92,BN92))</f>
        <v>0</v>
      </c>
    </row>
    <row r="93" spans="2:78" s="452" customFormat="1" ht="5.0999999999999996" customHeight="1">
      <c r="W93" s="451"/>
      <c r="AB93" s="445"/>
      <c r="AC93" s="445"/>
      <c r="AD93" s="445"/>
      <c r="AE93" s="445"/>
      <c r="AF93" s="445"/>
      <c r="AG93" s="445"/>
      <c r="AH93" s="445"/>
      <c r="AI93" s="445"/>
      <c r="AJ93" s="445"/>
      <c r="AK93" s="445"/>
      <c r="AL93" s="445"/>
      <c r="AM93" s="445"/>
      <c r="AN93" s="445"/>
      <c r="AO93" s="492"/>
      <c r="AP93" s="492"/>
      <c r="AQ93" s="445"/>
      <c r="AS93" s="445"/>
      <c r="AT93" s="445"/>
      <c r="AU93" s="445"/>
      <c r="AV93" s="445"/>
      <c r="AW93" s="445"/>
      <c r="AX93" s="445"/>
      <c r="AY93" s="445"/>
      <c r="AZ93" s="445"/>
      <c r="BA93" s="445"/>
      <c r="BB93" s="445"/>
      <c r="BC93" s="445"/>
      <c r="BD93" s="445"/>
      <c r="BE93" s="445"/>
      <c r="BF93" s="445"/>
      <c r="BG93" s="445"/>
      <c r="BH93" s="445"/>
      <c r="BI93" s="446"/>
      <c r="BJ93" s="447"/>
      <c r="BK93" s="445"/>
      <c r="BL93" s="445"/>
      <c r="BM93" s="446"/>
      <c r="BN93" s="447"/>
      <c r="BO93" s="445"/>
      <c r="BP93" s="445"/>
      <c r="BQ93" s="445"/>
      <c r="BR93" s="445"/>
      <c r="BS93" s="445"/>
      <c r="BT93" s="445"/>
    </row>
    <row r="94" spans="2:78" s="452" customFormat="1" ht="20.100000000000001" customHeight="1">
      <c r="B94" s="484" t="str">
        <f>REPT(AT94,1)</f>
        <v>SPIEL 28</v>
      </c>
      <c r="D94" s="485" t="str">
        <f>IF(AI94=0,"",CONCATENATE(AM94,AJ94))</f>
        <v>HS</v>
      </c>
      <c r="E94" s="486">
        <f>IF(AO94="*",AQ94,AL94)</f>
        <v>3.8</v>
      </c>
      <c r="G94" s="633" t="str">
        <f>REPT('Heimmannschaft MAISON'!AO87,1)</f>
        <v/>
      </c>
      <c r="H94" s="634"/>
      <c r="I94" s="487" t="str">
        <f>REPT('Heimmannschaft MAISON'!I87,1)</f>
        <v/>
      </c>
      <c r="J94" s="488"/>
      <c r="K94" s="489" t="str">
        <f>IF(AX94="","",AX94)</f>
        <v/>
      </c>
      <c r="L94" s="490" t="str">
        <f>IF(BH94=1,BW94,IF(AV94="","",AV94))</f>
        <v/>
      </c>
      <c r="M94" s="490" t="str">
        <f>IF(BH94=1,BZ94,IF(AW94="","",AW94))</f>
        <v/>
      </c>
      <c r="N94" s="489" t="str">
        <f>IF(AY94="","",AY94)</f>
        <v/>
      </c>
      <c r="O94" s="630" t="str">
        <f>REPT('Gastmannschaft EXTERIEUR'!AO87,1)</f>
        <v/>
      </c>
      <c r="P94" s="631"/>
      <c r="Q94" s="487" t="str">
        <f>REPT('Gastmannschaft EXTERIEUR'!I87,1)</f>
        <v/>
      </c>
      <c r="R94" s="491"/>
      <c r="S94" s="488"/>
      <c r="U94" s="485" t="str">
        <f>IF(AI94=0,"",CONCATENATE(AN94,AJ94))</f>
        <v>GS</v>
      </c>
      <c r="V94" s="486">
        <f>IF(AP94="*",AQ94,AL94)</f>
        <v>3.8</v>
      </c>
      <c r="W94" s="451"/>
      <c r="AB94" s="445">
        <v>32</v>
      </c>
      <c r="AC94" s="445">
        <v>28</v>
      </c>
      <c r="AD94" s="445">
        <v>32</v>
      </c>
      <c r="AE94" s="445">
        <v>24</v>
      </c>
      <c r="AF94" s="445"/>
      <c r="AG94" s="445"/>
      <c r="AH94" s="445">
        <f>IF($AB$1=3,"",IF($AB$1=2,AD94,IF($AB$1=1,AB94,"")))</f>
        <v>32</v>
      </c>
      <c r="AI94" s="445">
        <f>IF($AB$1=3,AG94,IF($AB$1=2,AE94,IF($AB$1=1,AC94,"")))</f>
        <v>28</v>
      </c>
      <c r="AJ94" s="166" t="str">
        <f>IF(AH94="","",VLOOKUP(AH94,Chema!AJ:AL,2,FALSE))</f>
        <v>S</v>
      </c>
      <c r="AK94" s="166">
        <f>IF(AH94="","",VLOOKUP(AH94,Chema!AJ:AL,3,FALSE))</f>
        <v>3.8</v>
      </c>
      <c r="AL94" s="166">
        <f>IF(AI94=0,"",IF(AI94="","",VLOOKUP(AI94,Chema!R:T,3,FALSE)))</f>
        <v>3.8</v>
      </c>
      <c r="AM94" s="166" t="str">
        <f>IF(AH94="","","H")</f>
        <v>H</v>
      </c>
      <c r="AN94" s="445" t="str">
        <f>IF(AH94="","","G")</f>
        <v>G</v>
      </c>
      <c r="AO94" s="492" t="str">
        <f>IF(AU94="","",VLOOKUP(AU94,Average!HN:HT,6,FALSE))</f>
        <v/>
      </c>
      <c r="AP94" s="492" t="str">
        <f>IF(AU94="","",VLOOKUP(AU94,Average!HN:HT,7,FALSE))</f>
        <v/>
      </c>
      <c r="AQ94" s="445" t="str">
        <f>IF(AI94=0,"",VLOOKUP(AI94,Chema!BL:BQ,6,FALSE))</f>
        <v>3.8*</v>
      </c>
      <c r="AR94" s="445" t="str">
        <f>VLOOKUP(AH94,'Heimmannschaft MAISON'!AB:AO,14,FALSE)</f>
        <v/>
      </c>
      <c r="AS94" s="445" t="str">
        <f>VLOOKUP(AH94,'Gastmannschaft EXTERIEUR'!AB:AO,14,FALSE)</f>
        <v/>
      </c>
      <c r="AT94" s="445" t="str">
        <f>IF(AI94=0,"",CONCATENATE($AT$18," ",AI94))</f>
        <v>SPIEL 28</v>
      </c>
      <c r="AU94" s="445" t="str">
        <f>IF(AI94=0,"",CONCATENATE($AU$18," ",AI94))</f>
        <v>SPIEL 28</v>
      </c>
      <c r="AV94" s="445" t="str">
        <f>IF(BC94=1,"",IF(AU94="","",VLOOKUP(AU94,Average!HN:HP,2,FALSE)))</f>
        <v/>
      </c>
      <c r="AW94" s="445" t="str">
        <f>IF(BB94=1,"",IF(AU94="","",VLOOKUP(AU94,Average!HN:HP,3,FALSE)))</f>
        <v/>
      </c>
      <c r="AX94" s="445" t="str">
        <f>IFERROR(IF(AU94="","",VLOOKUP(AU94,Average!HN:HQ,4,FALSE)),"")</f>
        <v/>
      </c>
      <c r="AY94" s="445" t="str">
        <f>IFERROR(IF(AU94="","",VLOOKUP(AU94,Average!HN:HR,5,FALSE)),"")</f>
        <v/>
      </c>
      <c r="AZ94" s="445">
        <f>IF(BC94=1,"",IF(AU94="","",VLOOKUP(AU94,Average!HN:HV,8,FALSE)))</f>
        <v>0</v>
      </c>
      <c r="BA94" s="445">
        <f>IF(BB94=1,"",IF(AU94="","",VLOOKUP(AU94,Average!HN:HV,9,FALSE)))</f>
        <v>0</v>
      </c>
      <c r="BB94" s="445">
        <f>IF(AU94="","",IF(I94="FORFAIT",1,0))</f>
        <v>0</v>
      </c>
      <c r="BC94" s="445">
        <f>IF(AU94="","",IF(Q94="FORFAIT",1,0))</f>
        <v>0</v>
      </c>
      <c r="BD94" s="445" t="str">
        <f>IF(AR94="","",RANK(AR94,$AR$20:$AR$122,1))</f>
        <v/>
      </c>
      <c r="BE94" s="445" t="str">
        <f>IF(AH94="","",VLOOKUP(AH94,'Heimmannschaft MAISON'!AB:AO,14,FALSE))</f>
        <v/>
      </c>
      <c r="BF94" s="445" t="str">
        <f>IF(AS94="","",RANK(AS94,$AS$20:$AS$122,1))</f>
        <v/>
      </c>
      <c r="BG94" s="445" t="str">
        <f>IF(AH94="","",VLOOKUP(AH94,'Gastmannschaft EXTERIEUR'!AB:AO,14,FALSE))</f>
        <v/>
      </c>
      <c r="BH94" s="445">
        <f>IFERROR(IF(BB94+BC94&gt;0,1,0),0)</f>
        <v>0</v>
      </c>
      <c r="BI94" s="446">
        <f>IF(BQ94=1,BR94,IF(AU94="","",IF(BC94=1,1,0)))</f>
        <v>0</v>
      </c>
      <c r="BJ94" s="447">
        <f>IF(AU94="","",IF(BI94=1,SUM(BK94,BL94),0))</f>
        <v>0</v>
      </c>
      <c r="BK94" s="445">
        <f>IF(AJ94="S",IF($AB$1=1,3,2),0)</f>
        <v>3</v>
      </c>
      <c r="BL94" s="445">
        <f>IF(AJ94="D",2,0)</f>
        <v>0</v>
      </c>
      <c r="BM94" s="446">
        <f>IF(AU94="","",IF(BB94=1,1,0))</f>
        <v>0</v>
      </c>
      <c r="BN94" s="447">
        <f>IF(AU94="","",IF(BM94=1,SUM(BO94,BP94),0))</f>
        <v>0</v>
      </c>
      <c r="BO94" s="445">
        <f>IF(AJ94="S",IF($AB$1=1,3,2),0)</f>
        <v>3</v>
      </c>
      <c r="BP94" s="445">
        <f>IF(AJ94="D",2,0)</f>
        <v>0</v>
      </c>
      <c r="BQ94" s="445">
        <f>IF(BR16=2,IF(AB1=2,1,0),0)</f>
        <v>0</v>
      </c>
      <c r="BR94" s="493">
        <v>0</v>
      </c>
      <c r="BS94" s="493">
        <v>0</v>
      </c>
      <c r="BT94" s="493">
        <v>1</v>
      </c>
      <c r="BU94" s="493">
        <v>2</v>
      </c>
      <c r="BV94" s="445">
        <f>IF(AU94="","",SUM(AZ94,BI94))</f>
        <v>0</v>
      </c>
      <c r="BW94" s="445">
        <f>IF(AU94="","",SUM(AV94,BJ94))</f>
        <v>0</v>
      </c>
      <c r="BY94" s="445">
        <f>IF(AU94="","",SUM(BA94,BM94))</f>
        <v>0</v>
      </c>
      <c r="BZ94" s="445">
        <f>IF(AU94="","",SUM(AW94,BN94))</f>
        <v>0</v>
      </c>
    </row>
    <row r="95" spans="2:78" s="452" customFormat="1" ht="20.100000000000001" customHeight="1">
      <c r="L95" s="628" t="str">
        <f>REPT(Sprache!$K$56,1)</f>
        <v>Zwischenresultat</v>
      </c>
      <c r="M95" s="629"/>
      <c r="W95" s="451"/>
      <c r="AB95" s="445"/>
      <c r="AC95" s="445"/>
      <c r="AD95" s="445"/>
      <c r="AE95" s="445"/>
      <c r="AF95" s="445"/>
      <c r="AG95" s="445"/>
      <c r="AH95" s="445"/>
      <c r="AI95" s="445"/>
      <c r="AJ95" s="445"/>
      <c r="AK95" s="445"/>
      <c r="AL95" s="445"/>
      <c r="AM95" s="445"/>
      <c r="AN95" s="445"/>
      <c r="AO95" s="445"/>
      <c r="AP95" s="445"/>
      <c r="AQ95" s="445"/>
      <c r="AR95" s="445"/>
      <c r="AS95" s="445"/>
      <c r="AT95" s="445"/>
      <c r="AU95" s="445"/>
      <c r="AV95" s="445"/>
      <c r="AW95" s="445"/>
      <c r="AX95" s="445"/>
      <c r="AY95" s="445"/>
      <c r="AZ95" s="445"/>
      <c r="BA95" s="445"/>
      <c r="BB95" s="445"/>
      <c r="BC95" s="445"/>
      <c r="BD95" s="445"/>
      <c r="BE95" s="445"/>
      <c r="BF95" s="445"/>
      <c r="BG95" s="445"/>
      <c r="BH95" s="445"/>
      <c r="BI95" s="446"/>
      <c r="BJ95" s="447"/>
      <c r="BK95" s="445"/>
      <c r="BL95" s="445"/>
      <c r="BM95" s="446"/>
      <c r="BN95" s="447"/>
      <c r="BO95" s="445"/>
      <c r="BP95" s="445"/>
      <c r="BQ95" s="445"/>
      <c r="BR95" s="445"/>
      <c r="BS95" s="445"/>
      <c r="BT95" s="445"/>
    </row>
    <row r="96" spans="2:78" s="452" customFormat="1" ht="24.95" customHeight="1">
      <c r="L96" s="495">
        <f>SUM(BV96)</f>
        <v>0</v>
      </c>
      <c r="M96" s="495">
        <f>SUM(BY96)</f>
        <v>0</v>
      </c>
      <c r="W96" s="451"/>
      <c r="AB96" s="445"/>
      <c r="AC96" s="445"/>
      <c r="AD96" s="445"/>
      <c r="AE96" s="445"/>
      <c r="AF96" s="445"/>
      <c r="AG96" s="445"/>
      <c r="AH96" s="445"/>
      <c r="AI96" s="445"/>
      <c r="AJ96" s="445"/>
      <c r="AK96" s="445"/>
      <c r="AL96" s="445"/>
      <c r="AM96" s="445"/>
      <c r="AN96" s="445"/>
      <c r="AO96" s="445"/>
      <c r="AP96" s="445"/>
      <c r="AQ96" s="445"/>
      <c r="AR96" s="445"/>
      <c r="AS96" s="445"/>
      <c r="AT96" s="445"/>
      <c r="AU96" s="445"/>
      <c r="AV96" s="445"/>
      <c r="AW96" s="445"/>
      <c r="AX96" s="445"/>
      <c r="AY96" s="445"/>
      <c r="AZ96" s="445"/>
      <c r="BA96" s="445"/>
      <c r="BB96" s="445"/>
      <c r="BC96" s="445"/>
      <c r="BD96" s="445"/>
      <c r="BE96" s="445"/>
      <c r="BF96" s="445"/>
      <c r="BG96" s="445"/>
      <c r="BH96" s="445"/>
      <c r="BI96" s="446"/>
      <c r="BJ96" s="447"/>
      <c r="BK96" s="445"/>
      <c r="BL96" s="445"/>
      <c r="BM96" s="446"/>
      <c r="BN96" s="447"/>
      <c r="BO96" s="445"/>
      <c r="BP96" s="445"/>
      <c r="BQ96" s="445"/>
      <c r="BR96" s="445"/>
      <c r="BS96" s="445"/>
      <c r="BT96" s="445"/>
      <c r="BV96" s="445">
        <f>SUM(BV80:BV94)</f>
        <v>0</v>
      </c>
      <c r="BW96" s="445"/>
      <c r="BY96" s="445">
        <f>SUM(BY80:BY94)</f>
        <v>0</v>
      </c>
      <c r="BZ96" s="445"/>
    </row>
    <row r="97" spans="1:78" s="452" customFormat="1" ht="20.100000000000001" customHeight="1">
      <c r="W97" s="451"/>
      <c r="AB97" s="445"/>
      <c r="AC97" s="445"/>
      <c r="AD97" s="445"/>
      <c r="AE97" s="445"/>
      <c r="AF97" s="445"/>
      <c r="AG97" s="445"/>
      <c r="AH97" s="445"/>
      <c r="AI97" s="445"/>
      <c r="AJ97" s="445"/>
      <c r="AK97" s="445"/>
      <c r="AL97" s="445"/>
      <c r="AM97" s="445"/>
      <c r="AN97" s="445"/>
      <c r="AO97" s="445"/>
      <c r="AP97" s="445"/>
      <c r="AQ97" s="445"/>
      <c r="AR97" s="445"/>
      <c r="AS97" s="445"/>
      <c r="AT97" s="445"/>
      <c r="AU97" s="445"/>
      <c r="AV97" s="445"/>
      <c r="AW97" s="445"/>
      <c r="AX97" s="445"/>
      <c r="AY97" s="445"/>
      <c r="AZ97" s="445"/>
      <c r="BA97" s="445"/>
      <c r="BB97" s="445"/>
      <c r="BC97" s="445"/>
      <c r="BD97" s="445"/>
      <c r="BE97" s="445"/>
      <c r="BF97" s="445"/>
      <c r="BG97" s="445"/>
      <c r="BH97" s="445"/>
      <c r="BI97" s="446"/>
      <c r="BJ97" s="447"/>
      <c r="BK97" s="445"/>
      <c r="BL97" s="445"/>
      <c r="BM97" s="446"/>
      <c r="BN97" s="447"/>
      <c r="BO97" s="445"/>
      <c r="BP97" s="445"/>
      <c r="BQ97" s="445"/>
      <c r="BR97" s="445"/>
      <c r="BS97" s="445"/>
      <c r="BT97" s="445"/>
    </row>
    <row r="98" spans="1:78" ht="18" customHeight="1">
      <c r="A98" s="451"/>
      <c r="B98" s="452"/>
      <c r="C98" s="452"/>
      <c r="D98" s="452"/>
      <c r="E98" s="452"/>
      <c r="F98" s="452"/>
      <c r="G98" s="458" t="str">
        <f>REPT('Heimmannschaft MAISON'!I91,1)</f>
        <v>Entscheidungsspiel</v>
      </c>
      <c r="H98" s="87"/>
      <c r="I98" s="87"/>
      <c r="J98" s="87"/>
      <c r="K98" s="88"/>
      <c r="L98" s="82" t="s">
        <v>859</v>
      </c>
      <c r="M98" s="82" t="s">
        <v>860</v>
      </c>
      <c r="N98" s="481"/>
      <c r="O98" s="482">
        <f>SUM(P98)/100</f>
        <v>0</v>
      </c>
      <c r="P98" s="482">
        <f>SUM(O94)</f>
        <v>0</v>
      </c>
      <c r="Q98" s="620" t="str">
        <f>REPT('Heimmannschaft MAISON'!I91,1)</f>
        <v>Entscheidungsspiel</v>
      </c>
      <c r="R98" s="632"/>
      <c r="S98" s="621"/>
      <c r="T98" s="91"/>
      <c r="U98" s="82"/>
      <c r="V98" s="82"/>
      <c r="W98" s="451"/>
      <c r="X98" s="452"/>
      <c r="Y98" s="452"/>
      <c r="Z98" s="452"/>
      <c r="AA98" s="452"/>
    </row>
    <row r="99" spans="1:78" ht="9.9499999999999993" customHeight="1">
      <c r="A99" s="451"/>
      <c r="B99" s="452"/>
      <c r="C99" s="452"/>
      <c r="D99" s="452"/>
      <c r="E99" s="452"/>
      <c r="F99" s="452"/>
      <c r="G99" s="91"/>
      <c r="H99" s="91"/>
      <c r="I99" s="91"/>
      <c r="J99" s="91"/>
      <c r="K99" s="91"/>
      <c r="L99" s="82"/>
      <c r="M99" s="82"/>
      <c r="N99" s="82"/>
      <c r="O99" s="91"/>
      <c r="P99" s="91"/>
      <c r="Q99" s="91"/>
      <c r="R99" s="91"/>
      <c r="S99" s="91"/>
      <c r="T99" s="91"/>
      <c r="U99" s="82"/>
      <c r="V99" s="82"/>
      <c r="W99" s="451"/>
      <c r="X99" s="452"/>
      <c r="Y99" s="452"/>
      <c r="Z99" s="452"/>
      <c r="AA99" s="452"/>
    </row>
    <row r="100" spans="1:78" s="452" customFormat="1" ht="20.100000000000001" customHeight="1">
      <c r="B100" s="484" t="str">
        <f>REPT(AT100,1)</f>
        <v/>
      </c>
      <c r="C100" s="445"/>
      <c r="D100" s="485" t="str">
        <f>IF(AI100=0,"",CONCATENATE(AM100,AJ100))</f>
        <v/>
      </c>
      <c r="E100" s="486" t="str">
        <f>IF(AO100="*",AQ100,AL100)</f>
        <v/>
      </c>
      <c r="G100" s="633" t="str">
        <f>REPT('Heimmannschaft MAISON'!AO93,1)</f>
        <v/>
      </c>
      <c r="H100" s="634"/>
      <c r="I100" s="487" t="str">
        <f>REPT('Heimmannschaft MAISON'!I93,1)</f>
        <v/>
      </c>
      <c r="J100" s="488"/>
      <c r="K100" s="489" t="str">
        <f>IF(AX100="","",AX100)</f>
        <v/>
      </c>
      <c r="L100" s="490" t="str">
        <f>IF(BH100=1,BW100,IF(AV100="","",AV100))</f>
        <v/>
      </c>
      <c r="M100" s="490" t="str">
        <f>IF(BH100=1,BZ100,IF(AW100="","",AW100))</f>
        <v/>
      </c>
      <c r="N100" s="489" t="str">
        <f>IF(AY100="","",AY100)</f>
        <v/>
      </c>
      <c r="O100" s="630" t="str">
        <f>REPT('Gastmannschaft EXTERIEUR'!AO93,1)</f>
        <v/>
      </c>
      <c r="P100" s="631"/>
      <c r="Q100" s="487" t="str">
        <f>REPT('Gastmannschaft EXTERIEUR'!I93,1)</f>
        <v/>
      </c>
      <c r="R100" s="491"/>
      <c r="S100" s="488"/>
      <c r="U100" s="485" t="str">
        <f>IF(AI100=0,"",CONCATENATE(AN100,AJ100))</f>
        <v/>
      </c>
      <c r="V100" s="486" t="str">
        <f>IF(AP100="*",AQ100,AL100)</f>
        <v/>
      </c>
      <c r="W100" s="451"/>
      <c r="AB100" s="445"/>
      <c r="AC100" s="445"/>
      <c r="AD100" s="445">
        <v>33</v>
      </c>
      <c r="AE100" s="445">
        <v>25</v>
      </c>
      <c r="AF100" s="445">
        <v>25</v>
      </c>
      <c r="AG100" s="445">
        <v>19</v>
      </c>
      <c r="AH100" s="445" t="str">
        <f>IF($AB$1=3,AF100,IF($AB$1=2,AD100,IF($AB$1=1,"","")))</f>
        <v/>
      </c>
      <c r="AI100" s="445">
        <f>IF($AB$1=3,AG100,IF($AB$1=2,AE100,IF($AB$1=1,AC100,"")))</f>
        <v>0</v>
      </c>
      <c r="AJ100" s="166" t="str">
        <f>IF(AH100="","",VLOOKUP(AH100,Chema!AJ:AL,2,FALSE))</f>
        <v/>
      </c>
      <c r="AK100" s="166" t="str">
        <f>IF(AH100="","",VLOOKUP(AH100,Chema!AJ:AL,3,FALSE))</f>
        <v/>
      </c>
      <c r="AL100" s="166" t="str">
        <f>IF(AI100=0,"",IF(AI100="","",VLOOKUP(AI100,Chema!R:T,3,FALSE)))</f>
        <v/>
      </c>
      <c r="AM100" s="166" t="str">
        <f>IF(AH100="","","H")</f>
        <v/>
      </c>
      <c r="AN100" s="445" t="str">
        <f>IF(AH100="","","G")</f>
        <v/>
      </c>
      <c r="AO100" s="492" t="str">
        <f>IF(AU100="","",VLOOKUP(AU100,Average!HN:HT,6,FALSE))</f>
        <v/>
      </c>
      <c r="AP100" s="492" t="str">
        <f>IF(AU100="","",VLOOKUP(AU100,Average!HN:HT,7,FALSE))</f>
        <v/>
      </c>
      <c r="AQ100" s="445" t="str">
        <f>IF(AI100=0,"",VLOOKUP(AI100,Chema!BL:BQ,6,FALSE))</f>
        <v/>
      </c>
      <c r="AR100" s="445" t="str">
        <f>IF(AI100=0,"",VLOOKUP(AH100,'Heimmannschaft MAISON'!AB:AO,14,FALSE))</f>
        <v/>
      </c>
      <c r="AS100" s="445" t="str">
        <f>IF(AI100=0,"",VLOOKUP(AH100,'Gastmannschaft EXTERIEUR'!AB:AO,14,FALSE))</f>
        <v/>
      </c>
      <c r="AT100" s="445" t="str">
        <f>IF(AI100=0,"",CONCATENATE($AT$18," ",AI100))</f>
        <v/>
      </c>
      <c r="AU100" s="445" t="str">
        <f>IF(AI100=0,"",CONCATENATE($AU$18," ",AI100))</f>
        <v/>
      </c>
      <c r="AV100" s="445" t="str">
        <f>IF(BC100=1,"",IF(AU100="","",VLOOKUP(AU100,Average!HN:HP,2,FALSE)))</f>
        <v/>
      </c>
      <c r="AW100" s="445" t="str">
        <f>IF(BB100=1,"",IF(AU100="","",VLOOKUP(AU100,Average!HN:HP,3,FALSE)))</f>
        <v/>
      </c>
      <c r="AX100" s="445" t="str">
        <f>IFERROR(IF(AU100="","",VLOOKUP(AU100,Average!HN:HQ,4,FALSE)),"")</f>
        <v/>
      </c>
      <c r="AY100" s="445" t="str">
        <f>IFERROR(IF(AU100="","",VLOOKUP(AU100,Average!HN:HR,5,FALSE)),"")</f>
        <v/>
      </c>
      <c r="AZ100" s="445" t="str">
        <f>IF(BC100=1,"",IF(AU100="","",VLOOKUP(AU100,Average!HN:HV,8,FALSE)))</f>
        <v/>
      </c>
      <c r="BA100" s="445" t="str">
        <f>IF(BB100=1,"",IF(AU100="","",VLOOKUP(AU100,Average!HN:HV,9,FALSE)))</f>
        <v/>
      </c>
      <c r="BB100" s="445" t="str">
        <f>IF(AU100="","",IF(I100="FORFAIT",1,0))</f>
        <v/>
      </c>
      <c r="BC100" s="445" t="str">
        <f>IF(AU100="","",IF(Q100="FORFAIT",1,0))</f>
        <v/>
      </c>
      <c r="BD100" s="445" t="str">
        <f>IF(AR100="","",RANK(AR100,$AR$20:$AR$122,1))</f>
        <v/>
      </c>
      <c r="BE100" s="445" t="str">
        <f>IF(AH100="","",VLOOKUP(AH100,'Heimmannschaft MAISON'!AB:AO,14,FALSE))</f>
        <v/>
      </c>
      <c r="BF100" s="445" t="str">
        <f>IF(AS100="","",RANK(AS100,$AS$20:$AS$122,1))</f>
        <v/>
      </c>
      <c r="BG100" s="445" t="str">
        <f>IF(AH100="","",VLOOKUP(AH100,'Gastmannschaft EXTERIEUR'!AB:AO,14,FALSE))</f>
        <v/>
      </c>
      <c r="BH100" s="445">
        <f>IFERROR(IF(BB100+BC100&gt;0,1,0),0)</f>
        <v>0</v>
      </c>
      <c r="BI100" s="446" t="str">
        <f>IF(AU100="","",IF(BC100=1,1,0))</f>
        <v/>
      </c>
      <c r="BJ100" s="447" t="str">
        <f>IF(AU100="","",IF(BI100=1,SUM(BK100,BL100),0))</f>
        <v/>
      </c>
      <c r="BK100" s="445">
        <f>IF(AJ100="S",IF($AB$1=1,3,2),0)</f>
        <v>0</v>
      </c>
      <c r="BL100" s="445">
        <f>IF(AJ100="D",2,0)</f>
        <v>0</v>
      </c>
      <c r="BM100" s="446" t="str">
        <f>IF(AU100="","",IF(BB100=1,1,0))</f>
        <v/>
      </c>
      <c r="BN100" s="447" t="str">
        <f>IF(AU100="","",IF(BM100=1,SUM(BO100,BP100),0))</f>
        <v/>
      </c>
      <c r="BO100" s="445">
        <f>IF(AJ100="S",IF($AB$1=1,3,2),0)</f>
        <v>0</v>
      </c>
      <c r="BP100" s="445">
        <f>IF(AJ100="D",2,0)</f>
        <v>0</v>
      </c>
      <c r="BQ100" s="445"/>
      <c r="BR100" s="445"/>
      <c r="BS100" s="445"/>
      <c r="BT100" s="445"/>
      <c r="BV100" s="445" t="str">
        <f>IF(AU100="","",SUM(AZ100,BI100))</f>
        <v/>
      </c>
      <c r="BW100" s="445" t="str">
        <f>IF(AU100="","",SUM(AV100,BJ100))</f>
        <v/>
      </c>
      <c r="BY100" s="445" t="str">
        <f>IF(AU100="","",SUM(BA100,BM100))</f>
        <v/>
      </c>
      <c r="BZ100" s="445" t="str">
        <f>IF(AU100="","",SUM(AW100,BN100))</f>
        <v/>
      </c>
    </row>
    <row r="101" spans="1:78" s="452" customFormat="1" ht="5.0999999999999996" customHeight="1">
      <c r="W101" s="451"/>
      <c r="AB101" s="445"/>
      <c r="AC101" s="445"/>
      <c r="AD101" s="445"/>
      <c r="AE101" s="445"/>
      <c r="AF101" s="445"/>
      <c r="AG101" s="445"/>
      <c r="AH101" s="445"/>
      <c r="AI101" s="445"/>
      <c r="AJ101" s="445"/>
      <c r="AK101" s="445"/>
      <c r="AL101" s="445"/>
      <c r="AM101" s="445"/>
      <c r="AN101" s="445"/>
      <c r="AO101" s="492"/>
      <c r="AP101" s="492"/>
      <c r="AQ101" s="445"/>
      <c r="AS101" s="445"/>
      <c r="AT101" s="445"/>
      <c r="AU101" s="445"/>
      <c r="AV101" s="445"/>
      <c r="AW101" s="445"/>
      <c r="AX101" s="445"/>
      <c r="AY101" s="445"/>
      <c r="AZ101" s="445"/>
      <c r="BA101" s="445"/>
      <c r="BB101" s="445"/>
      <c r="BC101" s="445"/>
      <c r="BD101" s="445"/>
      <c r="BE101" s="445"/>
      <c r="BF101" s="445"/>
      <c r="BG101" s="445"/>
      <c r="BH101" s="445"/>
      <c r="BI101" s="446"/>
      <c r="BJ101" s="447"/>
      <c r="BK101" s="445"/>
      <c r="BL101" s="445"/>
      <c r="BM101" s="446"/>
      <c r="BN101" s="447"/>
      <c r="BO101" s="445"/>
      <c r="BP101" s="445"/>
      <c r="BQ101" s="445"/>
      <c r="BR101" s="445"/>
      <c r="BS101" s="445"/>
      <c r="BT101" s="445"/>
    </row>
    <row r="102" spans="1:78" s="452" customFormat="1" ht="20.100000000000001" customHeight="1">
      <c r="B102" s="484" t="str">
        <f>REPT(AT102,1)</f>
        <v/>
      </c>
      <c r="D102" s="485" t="str">
        <f>IF(AI102=0,"",CONCATENATE(AM102,AJ102))</f>
        <v/>
      </c>
      <c r="E102" s="486" t="str">
        <f>IF(AO102="*",AQ102,AL102)</f>
        <v/>
      </c>
      <c r="G102" s="633" t="str">
        <f>REPT('Heimmannschaft MAISON'!AO95,1)</f>
        <v/>
      </c>
      <c r="H102" s="634"/>
      <c r="I102" s="487" t="str">
        <f>REPT('Heimmannschaft MAISON'!I95,1)</f>
        <v/>
      </c>
      <c r="J102" s="488"/>
      <c r="K102" s="489" t="str">
        <f>IF(AX102="","",AX102)</f>
        <v/>
      </c>
      <c r="L102" s="490" t="str">
        <f>IF(BH102=1,BW102,IF(AV102="","",AV102))</f>
        <v/>
      </c>
      <c r="M102" s="490" t="str">
        <f>IF(BH102=1,BZ102,IF(AW102="","",AW102))</f>
        <v/>
      </c>
      <c r="N102" s="489" t="str">
        <f>IF(AY102="","",AY102)</f>
        <v/>
      </c>
      <c r="O102" s="630" t="str">
        <f>REPT('Gastmannschaft EXTERIEUR'!AO95,1)</f>
        <v/>
      </c>
      <c r="P102" s="631"/>
      <c r="Q102" s="487" t="str">
        <f>REPT('Gastmannschaft EXTERIEUR'!I95,1)</f>
        <v/>
      </c>
      <c r="R102" s="491"/>
      <c r="S102" s="488"/>
      <c r="U102" s="485" t="str">
        <f>IF(AI102=0,"",CONCATENATE(AN102,AJ102))</f>
        <v/>
      </c>
      <c r="V102" s="486" t="str">
        <f>IF(AP102="*",AQ102,AL102)</f>
        <v/>
      </c>
      <c r="W102" s="451"/>
      <c r="AB102" s="445"/>
      <c r="AC102" s="445"/>
      <c r="AD102" s="445">
        <v>34</v>
      </c>
      <c r="AE102" s="445">
        <v>26</v>
      </c>
      <c r="AF102" s="445">
        <v>26</v>
      </c>
      <c r="AG102" s="445">
        <v>20</v>
      </c>
      <c r="AH102" s="445" t="str">
        <f>IF($AB$1=3,AF102,IF($AB$1=2,AD102,IF($AB$1=1,"","")))</f>
        <v/>
      </c>
      <c r="AI102" s="445">
        <f>IF($AB$1=3,AG102,IF($AB$1=2,AE102,IF($AB$1=1,AC102,"")))</f>
        <v>0</v>
      </c>
      <c r="AJ102" s="166" t="str">
        <f>IF(AH102="","",VLOOKUP(AH102,Chema!AJ:AL,2,FALSE))</f>
        <v/>
      </c>
      <c r="AK102" s="166" t="str">
        <f>IF(AH102="","",VLOOKUP(AH102,Chema!AJ:AL,3,FALSE))</f>
        <v/>
      </c>
      <c r="AL102" s="166" t="str">
        <f>IF(AI102=0,"",IF(AI102="","",VLOOKUP(AI102,Chema!R:T,3,FALSE)))</f>
        <v/>
      </c>
      <c r="AM102" s="166" t="str">
        <f>IF(AH102="","","H")</f>
        <v/>
      </c>
      <c r="AN102" s="445" t="str">
        <f>IF(AH102="","","G")</f>
        <v/>
      </c>
      <c r="AO102" s="492" t="str">
        <f>IF(AU102="","",VLOOKUP(AU102,Average!HN:HT,6,FALSE))</f>
        <v/>
      </c>
      <c r="AP102" s="492" t="str">
        <f>IF(AU102="","",VLOOKUP(AU102,Average!HN:HT,7,FALSE))</f>
        <v/>
      </c>
      <c r="AQ102" s="445" t="str">
        <f>IF(AI102=0,"",VLOOKUP(AI102,Chema!BL:BQ,6,FALSE))</f>
        <v/>
      </c>
      <c r="AR102" s="445" t="str">
        <f>IF(AI102=0,"",VLOOKUP(AH102,'Heimmannschaft MAISON'!AB:AO,14,FALSE))</f>
        <v/>
      </c>
      <c r="AS102" s="445" t="str">
        <f>IF(AI102=0,"",VLOOKUP(AH102,'Gastmannschaft EXTERIEUR'!AB:AO,14,FALSE))</f>
        <v/>
      </c>
      <c r="AT102" s="445" t="str">
        <f>IF(AI102=0,"",CONCATENATE($AT$18," ",AI102))</f>
        <v/>
      </c>
      <c r="AU102" s="445" t="str">
        <f>IF(AI102=0,"",CONCATENATE($AU$18," ",AI102))</f>
        <v/>
      </c>
      <c r="AV102" s="445" t="str">
        <f>IF(BC102=1,"",IF(AU102="","",VLOOKUP(AU102,Average!HN:HP,2,FALSE)))</f>
        <v/>
      </c>
      <c r="AW102" s="445" t="str">
        <f>IF(BB102=1,"",IF(AU102="","",VLOOKUP(AU102,Average!HN:HP,3,FALSE)))</f>
        <v/>
      </c>
      <c r="AX102" s="445" t="str">
        <f>IFERROR(IF(AU102="","",VLOOKUP(AU102,Average!HN:HQ,4,FALSE)),"")</f>
        <v/>
      </c>
      <c r="AY102" s="445" t="str">
        <f>IFERROR(IF(AU102="","",VLOOKUP(AU102,Average!HN:HR,5,FALSE)),"")</f>
        <v/>
      </c>
      <c r="AZ102" s="445" t="str">
        <f>IF(BC102=1,"",IF(AU102="","",VLOOKUP(AU102,Average!HN:HV,8,FALSE)))</f>
        <v/>
      </c>
      <c r="BA102" s="445" t="str">
        <f>IF(BB102=1,"",IF(AU102="","",VLOOKUP(AU102,Average!HN:HV,9,FALSE)))</f>
        <v/>
      </c>
      <c r="BB102" s="445" t="str">
        <f>IF(AU102="","",IF(I102="FORFAIT",1,0))</f>
        <v/>
      </c>
      <c r="BC102" s="445" t="str">
        <f>IF(AU102="","",IF(Q102="FORFAIT",1,0))</f>
        <v/>
      </c>
      <c r="BD102" s="445" t="str">
        <f>IF(AR102="","",RANK(AR102,$AR$20:$AR$122,1))</f>
        <v/>
      </c>
      <c r="BE102" s="445" t="str">
        <f>IF(AH102="","",VLOOKUP(AH102,'Heimmannschaft MAISON'!AB:AO,14,FALSE))</f>
        <v/>
      </c>
      <c r="BF102" s="445" t="str">
        <f>IF(AS102="","",RANK(AS102,$AS$20:$AS$122,1))</f>
        <v/>
      </c>
      <c r="BG102" s="445" t="str">
        <f>IF(AH102="","",VLOOKUP(AH102,'Gastmannschaft EXTERIEUR'!AB:AO,14,FALSE))</f>
        <v/>
      </c>
      <c r="BH102" s="445">
        <f>IFERROR(IF(BB102+BC102&gt;0,1,0),0)</f>
        <v>0</v>
      </c>
      <c r="BI102" s="446" t="str">
        <f>IF(AU102="","",IF(BC102=1,1,0))</f>
        <v/>
      </c>
      <c r="BJ102" s="447" t="str">
        <f>IF(AU102="","",IF(BI102=1,SUM(BK102,BL102),0))</f>
        <v/>
      </c>
      <c r="BK102" s="445">
        <f>IF(AJ102="S",IF($AB$1=1,3,2),0)</f>
        <v>0</v>
      </c>
      <c r="BL102" s="445">
        <f>IF(AJ102="D",2,0)</f>
        <v>0</v>
      </c>
      <c r="BM102" s="446" t="str">
        <f>IF(AU102="","",IF(BB102=1,1,0))</f>
        <v/>
      </c>
      <c r="BN102" s="447" t="str">
        <f>IF(AU102="","",IF(BM102=1,SUM(BO102,BP102),0))</f>
        <v/>
      </c>
      <c r="BO102" s="445">
        <f>IF(AJ102="S",IF($AB$1=1,3,2),0)</f>
        <v>0</v>
      </c>
      <c r="BP102" s="445">
        <f>IF(AJ102="D",2,0)</f>
        <v>0</v>
      </c>
      <c r="BQ102" s="445"/>
      <c r="BR102" s="445"/>
      <c r="BS102" s="445"/>
      <c r="BT102" s="445"/>
      <c r="BV102" s="445" t="str">
        <f>IF(AU102="","",SUM(AZ102,BI102))</f>
        <v/>
      </c>
      <c r="BW102" s="445" t="str">
        <f>IF(AU102="","",SUM(AV102,BJ102))</f>
        <v/>
      </c>
      <c r="BY102" s="445" t="str">
        <f>IF(AU102="","",SUM(BA102,BM102))</f>
        <v/>
      </c>
      <c r="BZ102" s="445" t="str">
        <f>IF(AU102="","",SUM(AW102,BN102))</f>
        <v/>
      </c>
    </row>
    <row r="103" spans="1:78" s="452" customFormat="1" ht="5.0999999999999996" customHeight="1">
      <c r="W103" s="451"/>
      <c r="AB103" s="445"/>
      <c r="AC103" s="445"/>
      <c r="AD103" s="445"/>
      <c r="AE103" s="445"/>
      <c r="AF103" s="445"/>
      <c r="AG103" s="445"/>
      <c r="AH103" s="445"/>
      <c r="AI103" s="445"/>
      <c r="AJ103" s="445"/>
      <c r="AK103" s="445"/>
      <c r="AL103" s="445"/>
      <c r="AM103" s="445"/>
      <c r="AN103" s="445"/>
      <c r="AO103" s="492"/>
      <c r="AP103" s="492"/>
      <c r="AQ103" s="445"/>
      <c r="AS103" s="445"/>
      <c r="AT103" s="445"/>
      <c r="AU103" s="445"/>
      <c r="AV103" s="445"/>
      <c r="AW103" s="445"/>
      <c r="AX103" s="445"/>
      <c r="AY103" s="445"/>
      <c r="AZ103" s="445"/>
      <c r="BA103" s="445"/>
      <c r="BB103" s="445"/>
      <c r="BC103" s="445"/>
      <c r="BD103" s="445"/>
      <c r="BE103" s="445"/>
      <c r="BF103" s="445"/>
      <c r="BG103" s="445"/>
      <c r="BH103" s="445"/>
      <c r="BI103" s="446"/>
      <c r="BJ103" s="447"/>
      <c r="BK103" s="445"/>
      <c r="BL103" s="445"/>
      <c r="BM103" s="446"/>
      <c r="BN103" s="447"/>
      <c r="BO103" s="445"/>
      <c r="BP103" s="445"/>
      <c r="BQ103" s="445"/>
      <c r="BR103" s="445"/>
      <c r="BS103" s="445"/>
      <c r="BT103" s="445"/>
    </row>
    <row r="104" spans="1:78" s="452" customFormat="1" ht="20.100000000000001" customHeight="1">
      <c r="B104" s="484" t="str">
        <f>REPT(AT104,1)</f>
        <v/>
      </c>
      <c r="D104" s="485" t="str">
        <f>IF(AI104=0,"",CONCATENATE(AM104,AJ104))</f>
        <v/>
      </c>
      <c r="E104" s="486" t="str">
        <f>IF(AO104="*",AQ104,AL104)</f>
        <v/>
      </c>
      <c r="G104" s="633" t="str">
        <f>REPT('Heimmannschaft MAISON'!AO97,1)</f>
        <v/>
      </c>
      <c r="H104" s="634"/>
      <c r="I104" s="487" t="str">
        <f>REPT('Heimmannschaft MAISON'!I97,1)</f>
        <v/>
      </c>
      <c r="J104" s="488"/>
      <c r="K104" s="489" t="str">
        <f>IF(AX104="","",AX104)</f>
        <v/>
      </c>
      <c r="L104" s="490" t="str">
        <f>IF(BH104=1,BW104,IF(AV104="","",AV104))</f>
        <v/>
      </c>
      <c r="M104" s="490" t="str">
        <f>IF(BH104=1,BZ104,IF(AW104="","",AW104))</f>
        <v/>
      </c>
      <c r="N104" s="489" t="str">
        <f>IF(AY104="","",AY104)</f>
        <v/>
      </c>
      <c r="O104" s="630" t="str">
        <f>REPT('Gastmannschaft EXTERIEUR'!AO97,1)</f>
        <v/>
      </c>
      <c r="P104" s="631"/>
      <c r="Q104" s="487" t="str">
        <f>REPT('Gastmannschaft EXTERIEUR'!I97,1)</f>
        <v/>
      </c>
      <c r="R104" s="491"/>
      <c r="S104" s="488"/>
      <c r="U104" s="485" t="str">
        <f>IF(AI104=0,"",CONCATENATE(AN104,AJ104))</f>
        <v/>
      </c>
      <c r="V104" s="486" t="str">
        <f>IF(AP104="*",AQ104,AL104)</f>
        <v/>
      </c>
      <c r="W104" s="451"/>
      <c r="AB104" s="445"/>
      <c r="AC104" s="445"/>
      <c r="AD104" s="445">
        <v>35</v>
      </c>
      <c r="AE104" s="445">
        <v>27</v>
      </c>
      <c r="AF104" s="445">
        <v>27</v>
      </c>
      <c r="AG104" s="445">
        <v>21</v>
      </c>
      <c r="AH104" s="445" t="str">
        <f>IF($AB$1=3,AF104,IF($AB$1=2,AD104,IF($AB$1=1,"","")))</f>
        <v/>
      </c>
      <c r="AI104" s="445">
        <f>IF($AB$1=3,AG104,IF($AB$1=2,AE104,IF($AB$1=1,AC104,"")))</f>
        <v>0</v>
      </c>
      <c r="AJ104" s="166" t="str">
        <f>IF(AH104="","",VLOOKUP(AH104,Chema!AJ:AL,2,FALSE))</f>
        <v/>
      </c>
      <c r="AK104" s="166" t="str">
        <f>IF(AH104="","",VLOOKUP(AH104,Chema!AJ:AL,3,FALSE))</f>
        <v/>
      </c>
      <c r="AL104" s="166" t="str">
        <f>IF(AI104=0,"",IF(AI104="","",VLOOKUP(AI104,Chema!R:T,3,FALSE)))</f>
        <v/>
      </c>
      <c r="AM104" s="166" t="str">
        <f>IF(AH104="","","H")</f>
        <v/>
      </c>
      <c r="AN104" s="445" t="str">
        <f>IF(AH104="","","G")</f>
        <v/>
      </c>
      <c r="AO104" s="492" t="str">
        <f>IF(AU104="","",VLOOKUP(AU104,Average!HN:HT,6,FALSE))</f>
        <v/>
      </c>
      <c r="AP104" s="492" t="str">
        <f>IF(AU104="","",VLOOKUP(AU104,Average!HN:HT,7,FALSE))</f>
        <v/>
      </c>
      <c r="AQ104" s="445" t="str">
        <f>IF(AI104=0,"",VLOOKUP(AI104,Chema!BL:BQ,6,FALSE))</f>
        <v/>
      </c>
      <c r="AR104" s="445" t="str">
        <f>IF(AI104=0,"",VLOOKUP(AH104,'Heimmannschaft MAISON'!AB:AO,14,FALSE))</f>
        <v/>
      </c>
      <c r="AS104" s="445" t="str">
        <f>IF(AI104=0,"",VLOOKUP(AH104,'Gastmannschaft EXTERIEUR'!AB:AO,14,FALSE))</f>
        <v/>
      </c>
      <c r="AT104" s="445" t="str">
        <f>IF(AI104=0,"",CONCATENATE($AT$18," ",AI104))</f>
        <v/>
      </c>
      <c r="AU104" s="445" t="str">
        <f>IF(AI104=0,"",CONCATENATE($AU$18," ",AI104))</f>
        <v/>
      </c>
      <c r="AV104" s="445" t="str">
        <f>IF(BC104=1,"",IF(AU104="","",VLOOKUP(AU104,Average!HN:HP,2,FALSE)))</f>
        <v/>
      </c>
      <c r="AW104" s="445" t="str">
        <f>IF(BB104=1,"",IF(AU104="","",VLOOKUP(AU104,Average!HN:HP,3,FALSE)))</f>
        <v/>
      </c>
      <c r="AX104" s="445" t="str">
        <f>IFERROR(IF(AU104="","",VLOOKUP(AU104,Average!HN:HQ,4,FALSE)),"")</f>
        <v/>
      </c>
      <c r="AY104" s="445" t="str">
        <f>IFERROR(IF(AU104="","",VLOOKUP(AU104,Average!HN:HR,5,FALSE)),"")</f>
        <v/>
      </c>
      <c r="AZ104" s="445" t="str">
        <f>IF(BC104=1,"",IF(AU104="","",VLOOKUP(AU104,Average!HN:HV,8,FALSE)))</f>
        <v/>
      </c>
      <c r="BA104" s="445" t="str">
        <f>IF(BB104=1,"",IF(AU104="","",VLOOKUP(AU104,Average!HN:HV,9,FALSE)))</f>
        <v/>
      </c>
      <c r="BB104" s="445" t="str">
        <f>IF(AU104="","",IF(I104="FORFAIT",1,0))</f>
        <v/>
      </c>
      <c r="BC104" s="445" t="str">
        <f>IF(AU104="","",IF(Q104="FORFAIT",1,0))</f>
        <v/>
      </c>
      <c r="BD104" s="445" t="str">
        <f>IF(AR104="","",RANK(AR104,$AR$20:$AR$122,1))</f>
        <v/>
      </c>
      <c r="BE104" s="445" t="str">
        <f>IF(AH104="","",VLOOKUP(AH104,'Heimmannschaft MAISON'!AB:AO,14,FALSE))</f>
        <v/>
      </c>
      <c r="BF104" s="445" t="str">
        <f>IF(AS104="","",RANK(AS104,$AS$20:$AS$122,1))</f>
        <v/>
      </c>
      <c r="BG104" s="445" t="str">
        <f>IF(AH104="","",VLOOKUP(AH104,'Gastmannschaft EXTERIEUR'!AB:AO,14,FALSE))</f>
        <v/>
      </c>
      <c r="BH104" s="445">
        <f>IFERROR(IF(BB104+BC104&gt;0,1,0),0)</f>
        <v>0</v>
      </c>
      <c r="BI104" s="446" t="str">
        <f>IF(AU104="","",IF(BC104=1,1,0))</f>
        <v/>
      </c>
      <c r="BJ104" s="447" t="str">
        <f>IF(AU104="","",IF(BI104=1,SUM(BK104,BL104),0))</f>
        <v/>
      </c>
      <c r="BK104" s="445">
        <f>IF(AJ104="S",IF($AB$1=1,3,2),0)</f>
        <v>0</v>
      </c>
      <c r="BL104" s="445">
        <f>IF(AJ104="D",2,0)</f>
        <v>0</v>
      </c>
      <c r="BM104" s="446" t="str">
        <f>IF(AU104="","",IF(BB104=1,1,0))</f>
        <v/>
      </c>
      <c r="BN104" s="447" t="str">
        <f>IF(AU104="","",IF(BM104=1,SUM(BO104,BP104),0))</f>
        <v/>
      </c>
      <c r="BO104" s="445">
        <f>IF(AJ104="S",IF($AB$1=1,3,2),0)</f>
        <v>0</v>
      </c>
      <c r="BP104" s="445">
        <f>IF(AJ104="D",2,0)</f>
        <v>0</v>
      </c>
      <c r="BQ104" s="445">
        <f>IF(AB1=3,1,0)</f>
        <v>0</v>
      </c>
      <c r="BR104" s="492">
        <v>2</v>
      </c>
      <c r="BS104" s="493">
        <v>2</v>
      </c>
      <c r="BT104" s="445"/>
      <c r="BV104" s="445" t="str">
        <f>IF(AU104="","",SUM(AZ104,BI104))</f>
        <v/>
      </c>
      <c r="BW104" s="445" t="str">
        <f>IF(AU104="","",SUM(AV104,BJ104))</f>
        <v/>
      </c>
      <c r="BY104" s="445" t="str">
        <f>IF(AU104="","",SUM(BA104,BM104))</f>
        <v/>
      </c>
      <c r="BZ104" s="445" t="str">
        <f>IF(AU104="","",SUM(AW104,BN104))</f>
        <v/>
      </c>
    </row>
    <row r="105" spans="1:78" s="452" customFormat="1" ht="5.0999999999999996" customHeight="1">
      <c r="W105" s="451"/>
      <c r="AB105" s="445"/>
      <c r="AC105" s="445"/>
      <c r="AD105" s="445"/>
      <c r="AE105" s="445"/>
      <c r="AF105" s="445"/>
      <c r="AG105" s="445"/>
      <c r="AH105" s="445"/>
      <c r="AI105" s="445"/>
      <c r="AJ105" s="445"/>
      <c r="AK105" s="445"/>
      <c r="AL105" s="445"/>
      <c r="AM105" s="445"/>
      <c r="AN105" s="445"/>
      <c r="AO105" s="492"/>
      <c r="AP105" s="492"/>
      <c r="AQ105" s="445"/>
      <c r="AS105" s="445"/>
      <c r="AT105" s="445"/>
      <c r="AU105" s="445"/>
      <c r="AV105" s="445"/>
      <c r="AW105" s="445"/>
      <c r="AX105" s="445"/>
      <c r="AY105" s="445"/>
      <c r="AZ105" s="445"/>
      <c r="BA105" s="445"/>
      <c r="BB105" s="445"/>
      <c r="BC105" s="445"/>
      <c r="BD105" s="445"/>
      <c r="BE105" s="445"/>
      <c r="BF105" s="445"/>
      <c r="BG105" s="445"/>
      <c r="BH105" s="445"/>
      <c r="BI105" s="446"/>
      <c r="BJ105" s="447"/>
      <c r="BK105" s="445"/>
      <c r="BL105" s="445"/>
      <c r="BM105" s="446"/>
      <c r="BN105" s="447"/>
      <c r="BO105" s="445"/>
      <c r="BP105" s="445"/>
      <c r="BQ105" s="445"/>
      <c r="BR105" s="445"/>
      <c r="BS105" s="445"/>
      <c r="BT105" s="445"/>
    </row>
    <row r="106" spans="1:78" s="452" customFormat="1" ht="20.100000000000001" customHeight="1">
      <c r="B106" s="484" t="str">
        <f>REPT(AT106,1)</f>
        <v/>
      </c>
      <c r="D106" s="485" t="str">
        <f>IF(AI106=0,"",CONCATENATE(AM106,AJ106))</f>
        <v/>
      </c>
      <c r="E106" s="486" t="str">
        <f>IF(AO106="*",AQ106,AL106)</f>
        <v/>
      </c>
      <c r="G106" s="633" t="str">
        <f>REPT('Heimmannschaft MAISON'!AO99,1)</f>
        <v/>
      </c>
      <c r="H106" s="634"/>
      <c r="I106" s="487" t="str">
        <f>REPT('Heimmannschaft MAISON'!I99,1)</f>
        <v/>
      </c>
      <c r="J106" s="488"/>
      <c r="K106" s="489" t="str">
        <f>IF(AX106="","",AX106)</f>
        <v/>
      </c>
      <c r="L106" s="490" t="str">
        <f>IF(BH106=1,BW106,IF(AV106="","",AV106))</f>
        <v/>
      </c>
      <c r="M106" s="490" t="str">
        <f>IF(BH106=1,BZ106,IF(AW106="","",AW106))</f>
        <v/>
      </c>
      <c r="N106" s="489" t="str">
        <f>IF(AY106="","",AY106)</f>
        <v/>
      </c>
      <c r="O106" s="630" t="str">
        <f>REPT('Gastmannschaft EXTERIEUR'!AO99,1)</f>
        <v/>
      </c>
      <c r="P106" s="631"/>
      <c r="Q106" s="487" t="str">
        <f>REPT('Gastmannschaft EXTERIEUR'!I99,1)</f>
        <v/>
      </c>
      <c r="R106" s="491"/>
      <c r="S106" s="488"/>
      <c r="U106" s="485" t="str">
        <f>IF(AI106=0,"",CONCATENATE(AN106,AJ106))</f>
        <v/>
      </c>
      <c r="V106" s="486" t="str">
        <f>IF(AP106="*",AQ106,AL106)</f>
        <v/>
      </c>
      <c r="W106" s="451"/>
      <c r="AB106" s="445"/>
      <c r="AC106" s="445"/>
      <c r="AD106" s="445">
        <v>36</v>
      </c>
      <c r="AE106" s="445">
        <v>28</v>
      </c>
      <c r="AF106" s="445">
        <v>28</v>
      </c>
      <c r="AG106" s="445">
        <v>22</v>
      </c>
      <c r="AH106" s="445" t="str">
        <f>IF($AB$1=3,AF106,IF($AB$1=2,AD106,IF($AB$1=1,"","")))</f>
        <v/>
      </c>
      <c r="AI106" s="445">
        <f>IF($AB$1=3,AG106,IF($AB$1=2,AE106,IF($AB$1=1,AC106,"")))</f>
        <v>0</v>
      </c>
      <c r="AJ106" s="166" t="str">
        <f>IF(AH106="","",VLOOKUP(AH106,Chema!AJ:AL,2,FALSE))</f>
        <v/>
      </c>
      <c r="AK106" s="166" t="str">
        <f>IF(AH106="","",VLOOKUP(AH106,Chema!AJ:AL,3,FALSE))</f>
        <v/>
      </c>
      <c r="AL106" s="166" t="str">
        <f>IF(AI106=0,"",IF(AI106="","",VLOOKUP(AI106,Chema!R:T,3,FALSE)))</f>
        <v/>
      </c>
      <c r="AM106" s="166" t="str">
        <f>IF(AH106="","","H")</f>
        <v/>
      </c>
      <c r="AN106" s="445" t="str">
        <f>IF(AH106="","","G")</f>
        <v/>
      </c>
      <c r="AO106" s="492" t="str">
        <f>IF(AU106="","",VLOOKUP(AU106,Average!HN:HT,6,FALSE))</f>
        <v/>
      </c>
      <c r="AP106" s="492" t="str">
        <f>IF(AU106="","",VLOOKUP(AU106,Average!HN:HT,7,FALSE))</f>
        <v/>
      </c>
      <c r="AQ106" s="445" t="str">
        <f>IF(AI106=0,"",VLOOKUP(AI106,Chema!BL:BQ,6,FALSE))</f>
        <v/>
      </c>
      <c r="AR106" s="445" t="str">
        <f>IF(AI106=0,"",VLOOKUP(AH106,'Heimmannschaft MAISON'!AB:AO,14,FALSE))</f>
        <v/>
      </c>
      <c r="AS106" s="445" t="str">
        <f>IF(AI106=0,"",VLOOKUP(AH106,'Gastmannschaft EXTERIEUR'!AB:AO,14,FALSE))</f>
        <v/>
      </c>
      <c r="AT106" s="445" t="str">
        <f>IF(AI106=0,"",CONCATENATE($AT$18," ",AI106))</f>
        <v/>
      </c>
      <c r="AU106" s="445" t="str">
        <f>IF(AI106=0,"",CONCATENATE($AU$18," ",AI106))</f>
        <v/>
      </c>
      <c r="AV106" s="445" t="str">
        <f>IF(BC106=1,"",IF(AU106="","",VLOOKUP(AU106,Average!HN:HP,2,FALSE)))</f>
        <v/>
      </c>
      <c r="AW106" s="445" t="str">
        <f>IF(BB106=1,"",IF(AU106="","",VLOOKUP(AU106,Average!HN:HP,3,FALSE)))</f>
        <v/>
      </c>
      <c r="AX106" s="445" t="str">
        <f>IFERROR(IF(AU106="","",VLOOKUP(AU106,Average!HN:HQ,4,FALSE)),"")</f>
        <v/>
      </c>
      <c r="AY106" s="445" t="str">
        <f>IFERROR(IF(AU106="","",VLOOKUP(AU106,Average!HN:HR,5,FALSE)),"")</f>
        <v/>
      </c>
      <c r="AZ106" s="445" t="str">
        <f>IF(BC106=1,"",IF(AU106="","",VLOOKUP(AU106,Average!HN:HV,8,FALSE)))</f>
        <v/>
      </c>
      <c r="BA106" s="445" t="str">
        <f>IF(BB106=1,"",IF(AU106="","",VLOOKUP(AU106,Average!HN:HV,9,FALSE)))</f>
        <v/>
      </c>
      <c r="BB106" s="445" t="str">
        <f>IF(AU106="","",IF(I106="FORFAIT",1,0))</f>
        <v/>
      </c>
      <c r="BC106" s="445" t="str">
        <f>IF(AU106="","",IF(Q106="FORFAIT",1,0))</f>
        <v/>
      </c>
      <c r="BD106" s="445" t="str">
        <f>IF(AR106="","",RANK(AR106,$AR$20:$AR$122,1))</f>
        <v/>
      </c>
      <c r="BE106" s="445" t="str">
        <f>IF(AH106="","",VLOOKUP(AH106,'Heimmannschaft MAISON'!AB:AO,14,FALSE))</f>
        <v/>
      </c>
      <c r="BF106" s="445" t="str">
        <f>IF(AS106="","",RANK(AS106,$AS$20:$AS$122,1))</f>
        <v/>
      </c>
      <c r="BG106" s="445" t="str">
        <f>IF(AH106="","",VLOOKUP(AH106,'Gastmannschaft EXTERIEUR'!AB:AO,14,FALSE))</f>
        <v/>
      </c>
      <c r="BH106" s="445">
        <f>IFERROR(IF(BB106+BC106&gt;0,1,0),0)</f>
        <v>0</v>
      </c>
      <c r="BI106" s="446" t="str">
        <f>IF(AU106="","",IF(BC106=1,1,0))</f>
        <v/>
      </c>
      <c r="BJ106" s="447" t="str">
        <f>IF(AU106="","",IF(BI106=1,SUM(BK106,BL106),0))</f>
        <v/>
      </c>
      <c r="BK106" s="445">
        <f>IF(AJ106="S",IF($AB$1=1,3,2),0)</f>
        <v>0</v>
      </c>
      <c r="BL106" s="445">
        <f>IF(AJ106="D",2,0)</f>
        <v>0</v>
      </c>
      <c r="BM106" s="446" t="str">
        <f>IF(AU106="","",IF(BB106=1,1,0))</f>
        <v/>
      </c>
      <c r="BN106" s="447" t="str">
        <f>IF(AU106="","",IF(BM106=1,SUM(BO106,BP106),0))</f>
        <v/>
      </c>
      <c r="BO106" s="445">
        <f>IF(AJ106="S",IF($AB$1=1,3,2),0)</f>
        <v>0</v>
      </c>
      <c r="BP106" s="445">
        <f>IF(AJ106="D",2,0)</f>
        <v>0</v>
      </c>
      <c r="BQ106" s="445"/>
      <c r="BR106" s="493">
        <v>2</v>
      </c>
      <c r="BS106" s="445"/>
      <c r="BT106" s="445"/>
      <c r="BV106" s="445" t="str">
        <f>IF(AU106="","",SUM(AZ106,BI106))</f>
        <v/>
      </c>
      <c r="BW106" s="445" t="str">
        <f>IF(AU106="","",SUM(AV106,BJ106))</f>
        <v/>
      </c>
      <c r="BY106" s="445" t="str">
        <f>IF(AU106="","",SUM(BA106,BM106))</f>
        <v/>
      </c>
      <c r="BZ106" s="445" t="str">
        <f>IF(AU106="","",SUM(AW106,BN106))</f>
        <v/>
      </c>
    </row>
    <row r="107" spans="1:78" s="452" customFormat="1" ht="5.0999999999999996" customHeight="1">
      <c r="W107" s="451"/>
      <c r="AB107" s="445"/>
      <c r="AC107" s="445"/>
      <c r="AD107" s="445"/>
      <c r="AE107" s="445"/>
      <c r="AF107" s="445"/>
      <c r="AG107" s="445"/>
      <c r="AH107" s="445"/>
      <c r="AI107" s="445"/>
      <c r="AJ107" s="445"/>
      <c r="AK107" s="445"/>
      <c r="AL107" s="445"/>
      <c r="AM107" s="445"/>
      <c r="AN107" s="445"/>
      <c r="AO107" s="492"/>
      <c r="AP107" s="492"/>
      <c r="AQ107" s="445"/>
      <c r="AS107" s="445"/>
      <c r="AT107" s="445"/>
      <c r="AU107" s="445"/>
      <c r="AV107" s="445"/>
      <c r="AW107" s="445"/>
      <c r="AX107" s="445"/>
      <c r="AY107" s="445"/>
      <c r="AZ107" s="445"/>
      <c r="BA107" s="445"/>
      <c r="BB107" s="445"/>
      <c r="BC107" s="445"/>
      <c r="BD107" s="445"/>
      <c r="BE107" s="445"/>
      <c r="BF107" s="445"/>
      <c r="BG107" s="445"/>
      <c r="BH107" s="445"/>
      <c r="BI107" s="446"/>
      <c r="BJ107" s="447"/>
      <c r="BK107" s="445"/>
      <c r="BL107" s="445"/>
      <c r="BM107" s="446"/>
      <c r="BN107" s="447"/>
      <c r="BO107" s="445"/>
      <c r="BP107" s="445"/>
      <c r="BQ107" s="445"/>
      <c r="BR107" s="445"/>
      <c r="BS107" s="445"/>
      <c r="BT107" s="445"/>
    </row>
    <row r="108" spans="1:78" s="452" customFormat="1" ht="20.100000000000001" customHeight="1">
      <c r="B108" s="484" t="str">
        <f>REPT(AT108,1)</f>
        <v/>
      </c>
      <c r="D108" s="485" t="str">
        <f>IF(AI108=0,"",CONCATENATE(AM108,AJ108))</f>
        <v/>
      </c>
      <c r="E108" s="486" t="str">
        <f>IF(AO108="*",AQ108,AL108)</f>
        <v/>
      </c>
      <c r="G108" s="633" t="str">
        <f>REPT('Heimmannschaft MAISON'!AO101,1)</f>
        <v/>
      </c>
      <c r="H108" s="634"/>
      <c r="I108" s="487" t="str">
        <f>REPT('Heimmannschaft MAISON'!I101,1)</f>
        <v/>
      </c>
      <c r="J108" s="488"/>
      <c r="K108" s="489" t="str">
        <f>IF(AX108="","",AX108)</f>
        <v/>
      </c>
      <c r="L108" s="490" t="str">
        <f>IF(BH108=1,BW108,IF(AV108="","",AV108))</f>
        <v/>
      </c>
      <c r="M108" s="490" t="str">
        <f>IF(BH108=1,BZ108,IF(AW108="","",AW108))</f>
        <v/>
      </c>
      <c r="N108" s="489" t="str">
        <f>IF(AY108="","",AY108)</f>
        <v/>
      </c>
      <c r="O108" s="630" t="str">
        <f>REPT('Gastmannschaft EXTERIEUR'!AO101,1)</f>
        <v/>
      </c>
      <c r="P108" s="631"/>
      <c r="Q108" s="487" t="str">
        <f>REPT('Gastmannschaft EXTERIEUR'!I101,1)</f>
        <v/>
      </c>
      <c r="R108" s="491"/>
      <c r="S108" s="488"/>
      <c r="U108" s="485" t="str">
        <f>IF(AI108=0,"",CONCATENATE(AN108,AJ108))</f>
        <v/>
      </c>
      <c r="V108" s="486" t="str">
        <f>IF(AP108="*",AQ108,AL108)</f>
        <v/>
      </c>
      <c r="W108" s="451"/>
      <c r="AB108" s="445"/>
      <c r="AC108" s="445"/>
      <c r="AD108" s="445">
        <v>37</v>
      </c>
      <c r="AE108" s="445">
        <v>29</v>
      </c>
      <c r="AF108" s="445">
        <v>29</v>
      </c>
      <c r="AG108" s="445">
        <v>23</v>
      </c>
      <c r="AH108" s="445" t="str">
        <f>IF($AB$1=3,AF108,IF($AB$1=2,AD108,IF($AB$1=1,"","")))</f>
        <v/>
      </c>
      <c r="AI108" s="445">
        <f>IF($AB$1=3,AG108,IF($AB$1=2,AE108,IF($AB$1=1,AC108,"")))</f>
        <v>0</v>
      </c>
      <c r="AJ108" s="166" t="str">
        <f>IF(AH108="","",VLOOKUP(AH108,Chema!AJ:AL,2,FALSE))</f>
        <v/>
      </c>
      <c r="AK108" s="166" t="str">
        <f>IF(AH108="","",VLOOKUP(AH108,Chema!AJ:AL,3,FALSE))</f>
        <v/>
      </c>
      <c r="AL108" s="166" t="str">
        <f>IF(AI108=0,"",IF(AI108="","",VLOOKUP(AI108,Chema!R:T,3,FALSE)))</f>
        <v/>
      </c>
      <c r="AM108" s="166" t="str">
        <f>IF(AH108="","","H")</f>
        <v/>
      </c>
      <c r="AN108" s="445" t="str">
        <f>IF(AH108="","","G")</f>
        <v/>
      </c>
      <c r="AO108" s="492" t="str">
        <f>IF(AU108="","",VLOOKUP(AU108,Average!HN:HT,6,FALSE))</f>
        <v/>
      </c>
      <c r="AP108" s="492" t="str">
        <f>IF(AU108="","",VLOOKUP(AU108,Average!HN:HT,7,FALSE))</f>
        <v/>
      </c>
      <c r="AQ108" s="445" t="str">
        <f>IF(AI108=0,"",VLOOKUP(AI108,Chema!BL:BQ,6,FALSE))</f>
        <v/>
      </c>
      <c r="AR108" s="445" t="str">
        <f>IF(AI108=0,"",VLOOKUP(AH108,'Heimmannschaft MAISON'!AB:AO,14,FALSE))</f>
        <v/>
      </c>
      <c r="AS108" s="445" t="str">
        <f>IF(AI108=0,"",VLOOKUP(AH108,'Gastmannschaft EXTERIEUR'!AB:AO,14,FALSE))</f>
        <v/>
      </c>
      <c r="AT108" s="445" t="str">
        <f>IF(AI108=0,"",CONCATENATE($AT$18," ",AI108))</f>
        <v/>
      </c>
      <c r="AU108" s="445" t="str">
        <f>IF(AI108=0,"",CONCATENATE($AU$18," ",AI108))</f>
        <v/>
      </c>
      <c r="AV108" s="445" t="str">
        <f>IF(BC108=1,"",IF(AU108="","",VLOOKUP(AU108,Average!HN:HP,2,FALSE)))</f>
        <v/>
      </c>
      <c r="AW108" s="445" t="str">
        <f>IF(BB108=1,"",IF(AU108="","",VLOOKUP(AU108,Average!HN:HP,3,FALSE)))</f>
        <v/>
      </c>
      <c r="AX108" s="445" t="str">
        <f>IFERROR(IF(AU108="","",VLOOKUP(AU108,Average!HN:HQ,4,FALSE)),"")</f>
        <v/>
      </c>
      <c r="AY108" s="445" t="str">
        <f>IFERROR(IF(AU108="","",VLOOKUP(AU108,Average!HN:HR,5,FALSE)),"")</f>
        <v/>
      </c>
      <c r="AZ108" s="445" t="str">
        <f>IF(BC108=1,"",IF(AU108="","",VLOOKUP(AU108,Average!HN:HV,8,FALSE)))</f>
        <v/>
      </c>
      <c r="BA108" s="445" t="str">
        <f>IF(BB108=1,"",IF(AU108="","",VLOOKUP(AU108,Average!HN:HV,9,FALSE)))</f>
        <v/>
      </c>
      <c r="BB108" s="445" t="str">
        <f>IF(AU108="","",IF(I108="FORFAIT",1,0))</f>
        <v/>
      </c>
      <c r="BC108" s="445" t="str">
        <f>IF(AU108="","",IF(Q108="FORFAIT",1,0))</f>
        <v/>
      </c>
      <c r="BD108" s="445" t="str">
        <f>IF(AR108="","",RANK(AR108,$AR$20:$AR$122,1))</f>
        <v/>
      </c>
      <c r="BE108" s="445" t="str">
        <f>IF(AH108="","",VLOOKUP(AH108,'Heimmannschaft MAISON'!AB:AO,14,FALSE))</f>
        <v/>
      </c>
      <c r="BF108" s="445" t="str">
        <f>IF(AS108="","",RANK(AS108,$AS$20:$AS$122,1))</f>
        <v/>
      </c>
      <c r="BG108" s="445" t="str">
        <f>IF(AH108="","",VLOOKUP(AH108,'Gastmannschaft EXTERIEUR'!AB:AO,14,FALSE))</f>
        <v/>
      </c>
      <c r="BH108" s="445">
        <f>IFERROR(IF(BB108+BC108&gt;0,1,0),0)</f>
        <v>0</v>
      </c>
      <c r="BI108" s="446" t="str">
        <f>IF(AU108="","",IF(BC108=1,1,0))</f>
        <v/>
      </c>
      <c r="BJ108" s="447" t="str">
        <f>IF(AU108="","",IF(BI108=1,SUM(BK108,BL108),0))</f>
        <v/>
      </c>
      <c r="BK108" s="445">
        <f>IF(AJ108="S",IF($AB$1=1,3,2),0)</f>
        <v>0</v>
      </c>
      <c r="BL108" s="445">
        <f>IF(AJ108="D",2,0)</f>
        <v>0</v>
      </c>
      <c r="BM108" s="446" t="str">
        <f>IF(AU108="","",IF(BB108=1,1,0))</f>
        <v/>
      </c>
      <c r="BN108" s="447" t="str">
        <f>IF(AU108="","",IF(BM108=1,SUM(BO108,BP108),0))</f>
        <v/>
      </c>
      <c r="BO108" s="445">
        <f>IF(AJ108="S",IF($AB$1=1,3,2),0)</f>
        <v>0</v>
      </c>
      <c r="BP108" s="445">
        <f>IF(AJ108="D",2,0)</f>
        <v>0</v>
      </c>
      <c r="BQ108" s="445">
        <f>IF(AB1=3,1,0)</f>
        <v>0</v>
      </c>
      <c r="BR108" s="445"/>
      <c r="BS108" s="492">
        <v>2</v>
      </c>
      <c r="BT108" s="492"/>
      <c r="BV108" s="445" t="str">
        <f>IF(AU108="","",SUM(AZ108,BI108))</f>
        <v/>
      </c>
      <c r="BW108" s="445" t="str">
        <f>IF(AU108="","",SUM(AV108,BJ108))</f>
        <v/>
      </c>
      <c r="BY108" s="445" t="str">
        <f>IF(AU108="","",SUM(BA108,BM108))</f>
        <v/>
      </c>
      <c r="BZ108" s="445" t="str">
        <f>IF(AU108="","",SUM(AW108,BN108))</f>
        <v/>
      </c>
    </row>
    <row r="109" spans="1:78" s="452" customFormat="1" ht="5.0999999999999996" customHeight="1">
      <c r="W109" s="451"/>
      <c r="AB109" s="445"/>
      <c r="AC109" s="445"/>
      <c r="AD109" s="445"/>
      <c r="AE109" s="445"/>
      <c r="AF109" s="445"/>
      <c r="AG109" s="445"/>
      <c r="AH109" s="445"/>
      <c r="AI109" s="445"/>
      <c r="AJ109" s="445"/>
      <c r="AK109" s="445"/>
      <c r="AL109" s="445"/>
      <c r="AM109" s="445"/>
      <c r="AN109" s="445"/>
      <c r="AO109" s="492"/>
      <c r="AP109" s="492"/>
      <c r="AQ109" s="445"/>
      <c r="AS109" s="445"/>
      <c r="AT109" s="445"/>
      <c r="AU109" s="445"/>
      <c r="AV109" s="445"/>
      <c r="AW109" s="445"/>
      <c r="AX109" s="445"/>
      <c r="AY109" s="445"/>
      <c r="AZ109" s="445"/>
      <c r="BA109" s="445"/>
      <c r="BB109" s="445"/>
      <c r="BC109" s="445"/>
      <c r="BD109" s="445"/>
      <c r="BE109" s="445"/>
      <c r="BF109" s="445"/>
      <c r="BG109" s="445"/>
      <c r="BH109" s="445"/>
      <c r="BI109" s="446"/>
      <c r="BJ109" s="447"/>
      <c r="BK109" s="445"/>
      <c r="BL109" s="445"/>
      <c r="BM109" s="446"/>
      <c r="BN109" s="447"/>
      <c r="BO109" s="445"/>
      <c r="BP109" s="445"/>
      <c r="BQ109" s="445"/>
      <c r="BR109" s="445"/>
      <c r="BS109" s="445"/>
      <c r="BT109" s="445"/>
    </row>
    <row r="110" spans="1:78" s="452" customFormat="1" ht="20.100000000000001" customHeight="1">
      <c r="B110" s="484" t="str">
        <f>REPT(AT110,1)</f>
        <v/>
      </c>
      <c r="D110" s="485" t="str">
        <f>IF(AI110=0,"",CONCATENATE(AM110,AJ110))</f>
        <v/>
      </c>
      <c r="E110" s="486" t="str">
        <f>IF(AO110="*",AQ110,AL110)</f>
        <v/>
      </c>
      <c r="G110" s="633" t="str">
        <f>REPT('Heimmannschaft MAISON'!AO103,1)</f>
        <v/>
      </c>
      <c r="H110" s="634"/>
      <c r="I110" s="487" t="str">
        <f>REPT('Heimmannschaft MAISON'!I103,1)</f>
        <v/>
      </c>
      <c r="J110" s="488"/>
      <c r="K110" s="489" t="str">
        <f>IF(AX110="","",AX110)</f>
        <v/>
      </c>
      <c r="L110" s="490" t="str">
        <f>IF(BH110=1,BW110,IF(AV110="","",AV110))</f>
        <v/>
      </c>
      <c r="M110" s="490" t="str">
        <f>IF(BH110=1,BZ110,IF(AW110="","",AW110))</f>
        <v/>
      </c>
      <c r="N110" s="489" t="str">
        <f>IF(AY110="","",AY110)</f>
        <v/>
      </c>
      <c r="O110" s="630" t="str">
        <f>REPT('Gastmannschaft EXTERIEUR'!AO103,1)</f>
        <v/>
      </c>
      <c r="P110" s="631"/>
      <c r="Q110" s="487" t="str">
        <f>REPT('Gastmannschaft EXTERIEUR'!I103,1)</f>
        <v/>
      </c>
      <c r="R110" s="491"/>
      <c r="S110" s="488"/>
      <c r="U110" s="485" t="str">
        <f>IF(AI110=0,"",CONCATENATE(AN110,AJ110))</f>
        <v/>
      </c>
      <c r="V110" s="486" t="str">
        <f>IF(AP110="*",AQ110,AL110)</f>
        <v/>
      </c>
      <c r="W110" s="451"/>
      <c r="AB110" s="445"/>
      <c r="AC110" s="445"/>
      <c r="AD110" s="445">
        <v>38</v>
      </c>
      <c r="AE110" s="445">
        <v>30</v>
      </c>
      <c r="AF110" s="445">
        <v>30</v>
      </c>
      <c r="AG110" s="445">
        <v>24</v>
      </c>
      <c r="AH110" s="445" t="str">
        <f>IF($AB$1=3,AF110,IF($AB$1=2,AD110,IF($AB$1=1,"","")))</f>
        <v/>
      </c>
      <c r="AI110" s="445">
        <f>IF($AB$1=3,AG110,IF($AB$1=2,AE110,IF($AB$1=1,AC110,"")))</f>
        <v>0</v>
      </c>
      <c r="AJ110" s="166" t="str">
        <f>IF(AH110="","",VLOOKUP(AH110,Chema!AJ:AL,2,FALSE))</f>
        <v/>
      </c>
      <c r="AK110" s="166" t="str">
        <f>IF(AH110="","",VLOOKUP(AH110,Chema!AJ:AL,3,FALSE))</f>
        <v/>
      </c>
      <c r="AL110" s="166" t="str">
        <f>IF(AI110=0,"",IF(AI110="","",VLOOKUP(AI110,Chema!R:T,3,FALSE)))</f>
        <v/>
      </c>
      <c r="AM110" s="166" t="str">
        <f>IF(AH110="","","H")</f>
        <v/>
      </c>
      <c r="AN110" s="445" t="str">
        <f>IF(AH110="","","G")</f>
        <v/>
      </c>
      <c r="AO110" s="492" t="str">
        <f>IF(AU110="","",VLOOKUP(AU110,Average!HN:HT,6,FALSE))</f>
        <v/>
      </c>
      <c r="AP110" s="492" t="str">
        <f>IF(AU110="","",VLOOKUP(AU110,Average!HN:HT,7,FALSE))</f>
        <v/>
      </c>
      <c r="AQ110" s="445" t="str">
        <f>IF(AI110=0,"",VLOOKUP(AI110,Chema!BL:BQ,6,FALSE))</f>
        <v/>
      </c>
      <c r="AR110" s="445" t="str">
        <f>IF(AI110=0,"",VLOOKUP(AH110,'Heimmannschaft MAISON'!AB:AO,14,FALSE))</f>
        <v/>
      </c>
      <c r="AS110" s="445" t="str">
        <f>IF(AI110=0,"",VLOOKUP(AH110,'Gastmannschaft EXTERIEUR'!AB:AO,14,FALSE))</f>
        <v/>
      </c>
      <c r="AT110" s="445" t="str">
        <f>IF(AI110=0,"",CONCATENATE($AT$18," ",AI110))</f>
        <v/>
      </c>
      <c r="AU110" s="445" t="str">
        <f>IF(AI110=0,"",CONCATENATE($AU$18," ",AI110))</f>
        <v/>
      </c>
      <c r="AV110" s="445" t="str">
        <f>IF(BC110=1,"",IF(AU110="","",VLOOKUP(AU110,Average!HN:HP,2,FALSE)))</f>
        <v/>
      </c>
      <c r="AW110" s="445" t="str">
        <f>IF(BB110=1,"",IF(AU110="","",VLOOKUP(AU110,Average!HN:HP,3,FALSE)))</f>
        <v/>
      </c>
      <c r="AX110" s="445" t="str">
        <f>IFERROR(IF(AU110="","",VLOOKUP(AU110,Average!HN:HQ,4,FALSE)),"")</f>
        <v/>
      </c>
      <c r="AY110" s="445" t="str">
        <f>IFERROR(IF(AU110="","",VLOOKUP(AU110,Average!HN:HR,5,FALSE)),"")</f>
        <v/>
      </c>
      <c r="AZ110" s="445" t="str">
        <f>IF(BC110=1,"",IF(AU110="","",VLOOKUP(AU110,Average!HN:HV,8,FALSE)))</f>
        <v/>
      </c>
      <c r="BA110" s="445" t="str">
        <f>IF(BB110=1,"",IF(AU110="","",VLOOKUP(AU110,Average!HN:HV,9,FALSE)))</f>
        <v/>
      </c>
      <c r="BB110" s="445" t="str">
        <f>IF(AU110="","",IF(I110="FORFAIT",1,0))</f>
        <v/>
      </c>
      <c r="BC110" s="445" t="str">
        <f>IF(AU110="","",IF(Q110="FORFAIT",1,0))</f>
        <v/>
      </c>
      <c r="BD110" s="445" t="str">
        <f>IF(AR110="","",RANK(AR110,$AR$20:$AR$122,1))</f>
        <v/>
      </c>
      <c r="BE110" s="445" t="str">
        <f>IF(AH110="","",VLOOKUP(AH110,'Heimmannschaft MAISON'!AB:AO,14,FALSE))</f>
        <v/>
      </c>
      <c r="BF110" s="445" t="str">
        <f>IF(AS110="","",RANK(AS110,$AS$20:$AS$122,1))</f>
        <v/>
      </c>
      <c r="BG110" s="445" t="str">
        <f>IF(AH110="","",VLOOKUP(AH110,'Gastmannschaft EXTERIEUR'!AB:AO,14,FALSE))</f>
        <v/>
      </c>
      <c r="BH110" s="445">
        <f>IFERROR(IF(BB110+BC110&gt;0,1,0),0)</f>
        <v>0</v>
      </c>
      <c r="BI110" s="446" t="str">
        <f>IF(AU110="","",IF(BC110=1,1,0))</f>
        <v/>
      </c>
      <c r="BJ110" s="447" t="str">
        <f>IF(AU110="","",IF(BI110=1,SUM(BK110,BL110),0))</f>
        <v/>
      </c>
      <c r="BK110" s="445">
        <f>IF(AJ110="S",IF($AB$1=1,3,2),0)</f>
        <v>0</v>
      </c>
      <c r="BL110" s="445">
        <f>IF(AJ110="D",2,0)</f>
        <v>0</v>
      </c>
      <c r="BM110" s="446" t="str">
        <f>IF(AU110="","",IF(BB110=1,1,0))</f>
        <v/>
      </c>
      <c r="BN110" s="447" t="str">
        <f>IF(AU110="","",IF(BM110=1,SUM(BO110,BP110),0))</f>
        <v/>
      </c>
      <c r="BO110" s="445">
        <f>IF(AJ110="S",IF($AB$1=1,3,2),0)</f>
        <v>0</v>
      </c>
      <c r="BP110" s="445">
        <f>IF(AJ110="D",2,0)</f>
        <v>0</v>
      </c>
      <c r="BQ110" s="445"/>
      <c r="BR110" s="445"/>
      <c r="BS110" s="445"/>
      <c r="BT110" s="445"/>
      <c r="BV110" s="445" t="str">
        <f>IF(AU110="","",SUM(AZ110,BI110))</f>
        <v/>
      </c>
      <c r="BW110" s="445" t="str">
        <f>IF(AU110="","",SUM(AV110,BJ110))</f>
        <v/>
      </c>
      <c r="BY110" s="445" t="str">
        <f>IF(AU110="","",SUM(BA110,BM110))</f>
        <v/>
      </c>
      <c r="BZ110" s="445" t="str">
        <f>IF(AU110="","",SUM(AW110,BN110))</f>
        <v/>
      </c>
    </row>
    <row r="111" spans="1:78" s="452" customFormat="1" ht="5.0999999999999996" customHeight="1">
      <c r="W111" s="451"/>
      <c r="AB111" s="445"/>
      <c r="AC111" s="445"/>
      <c r="AD111" s="445"/>
      <c r="AE111" s="445"/>
      <c r="AF111" s="445"/>
      <c r="AG111" s="445"/>
      <c r="AH111" s="445"/>
      <c r="AI111" s="445"/>
      <c r="AJ111" s="445"/>
      <c r="AK111" s="445"/>
      <c r="AL111" s="445"/>
      <c r="AM111" s="445"/>
      <c r="AN111" s="445"/>
      <c r="AO111" s="492"/>
      <c r="AP111" s="492"/>
      <c r="AQ111" s="445"/>
      <c r="AS111" s="445"/>
      <c r="AT111" s="445"/>
      <c r="AU111" s="445"/>
      <c r="AV111" s="445"/>
      <c r="AW111" s="445"/>
      <c r="AX111" s="445"/>
      <c r="AY111" s="445"/>
      <c r="AZ111" s="445"/>
      <c r="BA111" s="445"/>
      <c r="BB111" s="445"/>
      <c r="BC111" s="445"/>
      <c r="BD111" s="445"/>
      <c r="BE111" s="445"/>
      <c r="BF111" s="445"/>
      <c r="BG111" s="445"/>
      <c r="BH111" s="445"/>
      <c r="BI111" s="446"/>
      <c r="BJ111" s="447"/>
      <c r="BK111" s="445"/>
      <c r="BL111" s="445"/>
      <c r="BM111" s="446"/>
      <c r="BN111" s="447"/>
      <c r="BO111" s="445"/>
      <c r="BP111" s="445"/>
      <c r="BQ111" s="445"/>
      <c r="BR111" s="445"/>
      <c r="BS111" s="445"/>
      <c r="BT111" s="445"/>
    </row>
    <row r="112" spans="1:78" s="452" customFormat="1" ht="20.100000000000001" customHeight="1">
      <c r="B112" s="484" t="str">
        <f>REPT(AT112,1)</f>
        <v/>
      </c>
      <c r="D112" s="485" t="str">
        <f>IF(AI112=0,"",CONCATENATE(AM112,AJ112))</f>
        <v/>
      </c>
      <c r="E112" s="486" t="str">
        <f>IF(AO112="*",AQ112,AL112)</f>
        <v/>
      </c>
      <c r="G112" s="633" t="str">
        <f>REPT('Heimmannschaft MAISON'!AO105,1)</f>
        <v/>
      </c>
      <c r="H112" s="634"/>
      <c r="I112" s="487" t="str">
        <f>REPT('Heimmannschaft MAISON'!I105,1)</f>
        <v/>
      </c>
      <c r="J112" s="488"/>
      <c r="K112" s="489" t="str">
        <f>IF(AX112="","",AX112)</f>
        <v/>
      </c>
      <c r="L112" s="490" t="str">
        <f>IF(BH112=1,BW112,IF(AV112="","",AV112))</f>
        <v/>
      </c>
      <c r="M112" s="490" t="str">
        <f>IF(BH112=1,BZ112,IF(AW112="","",AW112))</f>
        <v/>
      </c>
      <c r="N112" s="489" t="str">
        <f>IF(AY112="","",AY112)</f>
        <v/>
      </c>
      <c r="O112" s="630" t="str">
        <f>REPT('Gastmannschaft EXTERIEUR'!AO105,1)</f>
        <v/>
      </c>
      <c r="P112" s="631"/>
      <c r="Q112" s="487" t="str">
        <f>REPT('Gastmannschaft EXTERIEUR'!I105,1)</f>
        <v/>
      </c>
      <c r="R112" s="491"/>
      <c r="S112" s="488"/>
      <c r="U112" s="485" t="str">
        <f>IF(AI112=0,"",CONCATENATE(AN112,AJ112))</f>
        <v/>
      </c>
      <c r="V112" s="486" t="str">
        <f>IF(AP112="*",AQ112,AL112)</f>
        <v/>
      </c>
      <c r="W112" s="451"/>
      <c r="AB112" s="445"/>
      <c r="AC112" s="445"/>
      <c r="AD112" s="445">
        <v>39</v>
      </c>
      <c r="AE112" s="445">
        <v>31</v>
      </c>
      <c r="AF112" s="445"/>
      <c r="AG112" s="445"/>
      <c r="AH112" s="445" t="str">
        <f>IF($AB$1=3,"",IF($AB$1=2,AD112,IF($AB$1=1,"","")))</f>
        <v/>
      </c>
      <c r="AI112" s="445">
        <f>IF($AB$1=3,AG112,IF($AB$1=2,AE112,IF($AB$1=1,AC112,"")))</f>
        <v>0</v>
      </c>
      <c r="AJ112" s="166" t="str">
        <f>IF(AH112="","",VLOOKUP(AH112,Chema!AJ:AL,2,FALSE))</f>
        <v/>
      </c>
      <c r="AK112" s="166" t="str">
        <f>IF(AH112="","",VLOOKUP(AH112,Chema!AJ:AL,3,FALSE))</f>
        <v/>
      </c>
      <c r="AL112" s="166" t="str">
        <f>IF(AI112=0,"",IF(AI112="","",VLOOKUP(AI112,Chema!R:T,3,FALSE)))</f>
        <v/>
      </c>
      <c r="AM112" s="166" t="str">
        <f>IF(AH112="","","H")</f>
        <v/>
      </c>
      <c r="AN112" s="445" t="str">
        <f>IF(AH112="","","G")</f>
        <v/>
      </c>
      <c r="AO112" s="492" t="str">
        <f>IF(AU112="","",VLOOKUP(AU112,Average!HN:HT,6,FALSE))</f>
        <v/>
      </c>
      <c r="AP112" s="492" t="str">
        <f>IF(AU112="","",VLOOKUP(AU112,Average!HN:HT,7,FALSE))</f>
        <v/>
      </c>
      <c r="AQ112" s="445" t="str">
        <f>IF(AI112=0,"",VLOOKUP(AI112,Chema!BL:BQ,6,FALSE))</f>
        <v/>
      </c>
      <c r="AR112" s="445" t="str">
        <f>IF(AI112=0,"",VLOOKUP(AH112,'Heimmannschaft MAISON'!AB:AO,14,FALSE))</f>
        <v/>
      </c>
      <c r="AS112" s="445" t="str">
        <f>IF(AI112=0,"",VLOOKUP(AH112,'Gastmannschaft EXTERIEUR'!AB:AO,14,FALSE))</f>
        <v/>
      </c>
      <c r="AT112" s="445" t="str">
        <f>IF(AI112=0,"",CONCATENATE($AT$18," ",AI112))</f>
        <v/>
      </c>
      <c r="AU112" s="445" t="str">
        <f>IF(AI112=0,"",CONCATENATE($AU$18," ",AI112))</f>
        <v/>
      </c>
      <c r="AV112" s="445" t="str">
        <f>IF(BC112=1,"",IF(AU112="","",VLOOKUP(AU112,Average!HN:HP,2,FALSE)))</f>
        <v/>
      </c>
      <c r="AW112" s="445" t="str">
        <f>IF(BB112=1,"",IF(AU112="","",VLOOKUP(AU112,Average!HN:HP,3,FALSE)))</f>
        <v/>
      </c>
      <c r="AX112" s="445" t="str">
        <f>IFERROR(IF(AU112="","",VLOOKUP(AU112,Average!HN:HQ,4,FALSE)),"")</f>
        <v/>
      </c>
      <c r="AY112" s="445" t="str">
        <f>IFERROR(IF(AU112="","",VLOOKUP(AU112,Average!HN:HR,5,FALSE)),"")</f>
        <v/>
      </c>
      <c r="AZ112" s="445" t="str">
        <f>IF(BC112=1,"",IF(AU112="","",VLOOKUP(AU112,Average!HN:HV,8,FALSE)))</f>
        <v/>
      </c>
      <c r="BA112" s="445" t="str">
        <f>IF(BB112=1,"",IF(AU112="","",VLOOKUP(AU112,Average!HN:HV,9,FALSE)))</f>
        <v/>
      </c>
      <c r="BB112" s="445" t="str">
        <f>IF(AU112="","",IF(I112="FORFAIT",1,0))</f>
        <v/>
      </c>
      <c r="BC112" s="445" t="str">
        <f>IF(AU112="","",IF(Q112="FORFAIT",1,0))</f>
        <v/>
      </c>
      <c r="BD112" s="445" t="str">
        <f>IF(AR112="","",RANK(AR112,$AR$20:$AR$122,1))</f>
        <v/>
      </c>
      <c r="BE112" s="445" t="str">
        <f>IF(AH112="","",VLOOKUP(AH112,'Heimmannschaft MAISON'!AB:AO,14,FALSE))</f>
        <v/>
      </c>
      <c r="BF112" s="445" t="str">
        <f>IF(AS112="","",RANK(AS112,$AS$20:$AS$122,1))</f>
        <v/>
      </c>
      <c r="BG112" s="445" t="str">
        <f>IF(AH112="","",VLOOKUP(AH112,'Gastmannschaft EXTERIEUR'!AB:AO,14,FALSE))</f>
        <v/>
      </c>
      <c r="BH112" s="445"/>
      <c r="BI112" s="446" t="str">
        <f>IF(AU112="","",IF(BC112=1,1,0))</f>
        <v/>
      </c>
      <c r="BJ112" s="447" t="str">
        <f>IF(AU112="","",IF(BI112=1,SUM(BK112,BL112),0))</f>
        <v/>
      </c>
      <c r="BK112" s="445">
        <f>IF(AJ112="S",IF($AB$1=1,3,2),0)</f>
        <v>0</v>
      </c>
      <c r="BL112" s="445">
        <f>IF(AJ112="D",2,0)</f>
        <v>0</v>
      </c>
      <c r="BM112" s="446" t="str">
        <f>IF(AU112="","",IF(BB112=1,1,0))</f>
        <v/>
      </c>
      <c r="BN112" s="447" t="str">
        <f>IF(AU112="","",IF(BM112=1,SUM(BO112,BP112),0))</f>
        <v/>
      </c>
      <c r="BO112" s="445">
        <f>IF(AJ112="S",IF($AB$1=1,3,2),0)</f>
        <v>0</v>
      </c>
      <c r="BP112" s="445">
        <f>IF(AJ112="D",2,0)</f>
        <v>0</v>
      </c>
      <c r="BQ112" s="445"/>
      <c r="BR112" s="445"/>
      <c r="BS112" s="445"/>
      <c r="BT112" s="445"/>
      <c r="BV112" s="445" t="str">
        <f>IF(AU112="","",SUM(AZ112,BI112))</f>
        <v/>
      </c>
      <c r="BW112" s="445" t="str">
        <f>IF(AU112="","",SUM(AV112,BJ112))</f>
        <v/>
      </c>
      <c r="BY112" s="445" t="str">
        <f>IF(AU112="","",SUM(BA112,BM112))</f>
        <v/>
      </c>
      <c r="BZ112" s="445" t="str">
        <f>IF(AU112="","",SUM(AW112,BN112))</f>
        <v/>
      </c>
    </row>
    <row r="113" spans="1:78" s="452" customFormat="1" ht="5.0999999999999996" customHeight="1">
      <c r="W113" s="451"/>
      <c r="AB113" s="445"/>
      <c r="AC113" s="445"/>
      <c r="AD113" s="445"/>
      <c r="AE113" s="445"/>
      <c r="AF113" s="445"/>
      <c r="AG113" s="445"/>
      <c r="AH113" s="445"/>
      <c r="AI113" s="445"/>
      <c r="AJ113" s="445"/>
      <c r="AK113" s="445"/>
      <c r="AL113" s="445"/>
      <c r="AM113" s="445"/>
      <c r="AN113" s="445"/>
      <c r="AO113" s="492"/>
      <c r="AP113" s="492"/>
      <c r="AQ113" s="445"/>
      <c r="AS113" s="445"/>
      <c r="AT113" s="445"/>
      <c r="AU113" s="445"/>
      <c r="AV113" s="445"/>
      <c r="AW113" s="445"/>
      <c r="AX113" s="445"/>
      <c r="AY113" s="445"/>
      <c r="AZ113" s="445"/>
      <c r="BA113" s="445"/>
      <c r="BB113" s="445"/>
      <c r="BC113" s="445"/>
      <c r="BD113" s="445"/>
      <c r="BE113" s="445"/>
      <c r="BF113" s="445"/>
      <c r="BG113" s="445"/>
      <c r="BH113" s="445"/>
      <c r="BI113" s="446"/>
      <c r="BJ113" s="447"/>
      <c r="BK113" s="445"/>
      <c r="BL113" s="445"/>
      <c r="BM113" s="446"/>
      <c r="BN113" s="447"/>
      <c r="BO113" s="445"/>
      <c r="BP113" s="445"/>
      <c r="BQ113" s="445"/>
      <c r="BR113" s="445"/>
      <c r="BS113" s="445"/>
      <c r="BT113" s="445"/>
    </row>
    <row r="114" spans="1:78" s="452" customFormat="1" ht="20.100000000000001" customHeight="1">
      <c r="B114" s="484" t="str">
        <f>REPT(AT114,1)</f>
        <v/>
      </c>
      <c r="D114" s="485" t="str">
        <f>IF(AI114=0,"",CONCATENATE(AM114,AJ114))</f>
        <v/>
      </c>
      <c r="E114" s="486" t="str">
        <f>IF(AO114="*",AQ114,AL114)</f>
        <v/>
      </c>
      <c r="G114" s="633" t="str">
        <f>REPT('Heimmannschaft MAISON'!AO107,1)</f>
        <v/>
      </c>
      <c r="H114" s="634"/>
      <c r="I114" s="487" t="str">
        <f>REPT('Heimmannschaft MAISON'!I107,1)</f>
        <v/>
      </c>
      <c r="J114" s="488"/>
      <c r="K114" s="489" t="str">
        <f>IF(AX114="","",AX114)</f>
        <v/>
      </c>
      <c r="L114" s="490" t="str">
        <f>IF(BH114=1,BW114,IF(AV114="","",AV114))</f>
        <v/>
      </c>
      <c r="M114" s="490" t="str">
        <f>IF(BH114=1,BZ114,IF(AW114="","",AW114))</f>
        <v/>
      </c>
      <c r="N114" s="489" t="str">
        <f>IF(AY114="","",AY114)</f>
        <v/>
      </c>
      <c r="O114" s="630" t="str">
        <f>REPT('Gastmannschaft EXTERIEUR'!AO107,1)</f>
        <v/>
      </c>
      <c r="P114" s="631"/>
      <c r="Q114" s="487" t="str">
        <f>REPT('Gastmannschaft EXTERIEUR'!I107,1)</f>
        <v/>
      </c>
      <c r="R114" s="491"/>
      <c r="S114" s="488"/>
      <c r="U114" s="485" t="str">
        <f>IF(AI114=0,"",CONCATENATE(AN114,AJ114))</f>
        <v/>
      </c>
      <c r="V114" s="486" t="str">
        <f>IF(AP114="*",AQ114,AL114)</f>
        <v/>
      </c>
      <c r="W114" s="451"/>
      <c r="AB114" s="445"/>
      <c r="AC114" s="445"/>
      <c r="AD114" s="445">
        <v>40</v>
      </c>
      <c r="AE114" s="445">
        <v>32</v>
      </c>
      <c r="AF114" s="445"/>
      <c r="AG114" s="445"/>
      <c r="AH114" s="445" t="str">
        <f>IF($AB$1=3,"",IF($AB$1=2,AD114,IF($AB$1=1,"","")))</f>
        <v/>
      </c>
      <c r="AI114" s="445">
        <f>IF($AB$1=3,AG114,IF($AB$1=2,AE114,IF($AB$1=1,AC114,"")))</f>
        <v>0</v>
      </c>
      <c r="AJ114" s="166" t="str">
        <f>IF(AH114="","",VLOOKUP(AH114,Chema!AJ:AL,2,FALSE))</f>
        <v/>
      </c>
      <c r="AK114" s="166" t="str">
        <f>IF(AH114="","",VLOOKUP(AH114,Chema!AJ:AL,3,FALSE))</f>
        <v/>
      </c>
      <c r="AL114" s="166" t="str">
        <f>IF(AI114=0,"",IF(AI114="","",VLOOKUP(AI114,Chema!R:T,3,FALSE)))</f>
        <v/>
      </c>
      <c r="AM114" s="166" t="str">
        <f>IF(AH114="","","H")</f>
        <v/>
      </c>
      <c r="AN114" s="445" t="str">
        <f>IF(AH114="","","G")</f>
        <v/>
      </c>
      <c r="AO114" s="492" t="str">
        <f>IF(AU114="","",VLOOKUP(AU114,Average!HN:HT,6,FALSE))</f>
        <v/>
      </c>
      <c r="AP114" s="492" t="str">
        <f>IF(AU114="","",VLOOKUP(AU114,Average!HN:HT,7,FALSE))</f>
        <v/>
      </c>
      <c r="AQ114" s="445" t="str">
        <f>IF(AI114=0,"",VLOOKUP(AI114,Chema!BL:BQ,6,FALSE))</f>
        <v/>
      </c>
      <c r="AR114" s="445" t="str">
        <f>IF(AI114=0,"",VLOOKUP(AH114,'Heimmannschaft MAISON'!AB:AO,14,FALSE))</f>
        <v/>
      </c>
      <c r="AS114" s="445" t="str">
        <f>IF(AI114=0,"",VLOOKUP(AH114,'Gastmannschaft EXTERIEUR'!AB:AO,14,FALSE))</f>
        <v/>
      </c>
      <c r="AT114" s="445" t="str">
        <f>IF(AI114=0,"",CONCATENATE($AT$18," ",AI114))</f>
        <v/>
      </c>
      <c r="AU114" s="445" t="str">
        <f>IF(AI114=0,"",CONCATENATE($AU$18," ",AI114))</f>
        <v/>
      </c>
      <c r="AV114" s="445" t="str">
        <f>IF(BC114=1,"",IF(AU114="","",VLOOKUP(AU114,Average!HN:HP,2,FALSE)))</f>
        <v/>
      </c>
      <c r="AW114" s="445" t="str">
        <f>IF(BB114=1,"",IF(AU114="","",VLOOKUP(AU114,Average!HN:HP,3,FALSE)))</f>
        <v/>
      </c>
      <c r="AX114" s="445" t="str">
        <f>IFERROR(IF(AU114="","",VLOOKUP(AU114,Average!HN:HQ,4,FALSE)),"")</f>
        <v/>
      </c>
      <c r="AY114" s="445" t="str">
        <f>IFERROR(IF(AU114="","",VLOOKUP(AU114,Average!HN:HR,5,FALSE)),"")</f>
        <v/>
      </c>
      <c r="AZ114" s="445" t="str">
        <f>IF(BC114=1,"",IF(AU114="","",VLOOKUP(AU114,Average!HN:HV,8,FALSE)))</f>
        <v/>
      </c>
      <c r="BA114" s="445" t="str">
        <f>IF(BB114=1,"",IF(AU114="","",VLOOKUP(AU114,Average!HN:HV,9,FALSE)))</f>
        <v/>
      </c>
      <c r="BB114" s="445" t="str">
        <f>IF(AU114="","",IF(I114="FORFAIT",1,0))</f>
        <v/>
      </c>
      <c r="BC114" s="445" t="str">
        <f>IF(AU114="","",IF(Q114="FORFAIT",1,0))</f>
        <v/>
      </c>
      <c r="BD114" s="445" t="str">
        <f>IF(AR114="","",RANK(AR114,$AR$20:$AR$122,1))</f>
        <v/>
      </c>
      <c r="BE114" s="445" t="str">
        <f>IF(AH114="","",VLOOKUP(AH114,'Heimmannschaft MAISON'!AB:AO,14,FALSE))</f>
        <v/>
      </c>
      <c r="BF114" s="445" t="str">
        <f>IF(AS114="","",RANK(AS114,$AS$20:$AS$122,1))</f>
        <v/>
      </c>
      <c r="BG114" s="445" t="str">
        <f>IF(AH114="","",VLOOKUP(AH114,'Gastmannschaft EXTERIEUR'!AB:AO,14,FALSE))</f>
        <v/>
      </c>
      <c r="BH114" s="445"/>
      <c r="BI114" s="446" t="str">
        <f>IF(AU114="","",IF(BC114=1,1,0))</f>
        <v/>
      </c>
      <c r="BJ114" s="447" t="str">
        <f>IF(AU114="","",IF(BI114=1,SUM(BK114,BL114),0))</f>
        <v/>
      </c>
      <c r="BK114" s="445">
        <f>IF(AJ114="S",IF($AB$1=1,3,2),0)</f>
        <v>0</v>
      </c>
      <c r="BL114" s="445">
        <f>IF(AJ114="D",2,0)</f>
        <v>0</v>
      </c>
      <c r="BM114" s="446" t="str">
        <f>IF(AU114="","",IF(BB114=1,1,0))</f>
        <v/>
      </c>
      <c r="BN114" s="447" t="str">
        <f>IF(AU114="","",IF(BM114=1,SUM(BO114,BP114),0))</f>
        <v/>
      </c>
      <c r="BO114" s="445">
        <f>IF(AJ114="S",IF($AB$1=1,3,2),0)</f>
        <v>0</v>
      </c>
      <c r="BP114" s="445">
        <f>IF(AJ114="D",2,0)</f>
        <v>0</v>
      </c>
      <c r="BQ114" s="445"/>
      <c r="BR114" s="445"/>
      <c r="BS114" s="445"/>
      <c r="BT114" s="445"/>
      <c r="BV114" s="445" t="str">
        <f>IF(AU114="","",SUM(AZ114,BI114))</f>
        <v/>
      </c>
      <c r="BW114" s="445" t="str">
        <f>IF(AU114="","",SUM(AV114,BJ114))</f>
        <v/>
      </c>
      <c r="BY114" s="445" t="str">
        <f>IF(AU114="","",SUM(BA114,BM114))</f>
        <v/>
      </c>
      <c r="BZ114" s="445" t="str">
        <f>IF(AU114="","",SUM(AW114,BN114))</f>
        <v/>
      </c>
    </row>
    <row r="115" spans="1:78" s="452" customFormat="1" ht="20.100000000000001" customHeight="1">
      <c r="L115" s="628" t="str">
        <f>REPT(Sprache!$K$56,1)</f>
        <v>Zwischenresultat</v>
      </c>
      <c r="M115" s="629"/>
      <c r="W115" s="451"/>
      <c r="AB115" s="445"/>
      <c r="AC115" s="445"/>
      <c r="AD115" s="445"/>
      <c r="AE115" s="445"/>
      <c r="AF115" s="445"/>
      <c r="AG115" s="445"/>
      <c r="AH115" s="445"/>
      <c r="AI115" s="445"/>
      <c r="AJ115" s="445"/>
      <c r="AK115" s="445"/>
      <c r="AL115" s="445"/>
      <c r="AM115" s="445"/>
      <c r="AN115" s="445"/>
      <c r="AO115" s="445"/>
      <c r="AP115" s="445"/>
      <c r="AQ115" s="445"/>
      <c r="AR115" s="445"/>
      <c r="AS115" s="445"/>
      <c r="AT115" s="445"/>
      <c r="AU115" s="445"/>
      <c r="AV115" s="445"/>
      <c r="AW115" s="445"/>
      <c r="AX115" s="445"/>
      <c r="AY115" s="445"/>
      <c r="AZ115" s="445"/>
      <c r="BA115" s="445"/>
      <c r="BB115" s="445"/>
      <c r="BC115" s="445"/>
      <c r="BD115" s="445"/>
      <c r="BE115" s="445"/>
      <c r="BF115" s="445"/>
      <c r="BG115" s="445"/>
      <c r="BH115" s="445"/>
      <c r="BI115" s="446"/>
      <c r="BJ115" s="447"/>
      <c r="BK115" s="445"/>
      <c r="BL115" s="445"/>
      <c r="BM115" s="446"/>
      <c r="BN115" s="447"/>
      <c r="BO115" s="445"/>
      <c r="BP115" s="445"/>
      <c r="BQ115" s="445"/>
      <c r="BR115" s="445"/>
      <c r="BS115" s="445"/>
      <c r="BT115" s="445"/>
    </row>
    <row r="116" spans="1:78" s="452" customFormat="1" ht="24.95" customHeight="1">
      <c r="L116" s="495">
        <f>SUM(BV116)</f>
        <v>0</v>
      </c>
      <c r="M116" s="495">
        <f>SUM(BY116)</f>
        <v>0</v>
      </c>
      <c r="N116" s="496">
        <f>SUM(L36,L56,L76,L96,L116)</f>
        <v>0</v>
      </c>
      <c r="O116" s="496">
        <f>SUM(M36,M56,M76,M96,M116)</f>
        <v>0</v>
      </c>
      <c r="P116" s="496">
        <f>SUM(N116,O116)</f>
        <v>0</v>
      </c>
      <c r="W116" s="451"/>
      <c r="AB116" s="445"/>
      <c r="AC116" s="445"/>
      <c r="AD116" s="445"/>
      <c r="AE116" s="445"/>
      <c r="AF116" s="445"/>
      <c r="AG116" s="445"/>
      <c r="AH116" s="445"/>
      <c r="AI116" s="445"/>
      <c r="AJ116" s="445"/>
      <c r="AK116" s="445"/>
      <c r="AL116" s="445"/>
      <c r="AM116" s="445"/>
      <c r="AN116" s="445"/>
      <c r="AO116" s="445"/>
      <c r="AP116" s="445"/>
      <c r="AQ116" s="445"/>
      <c r="AR116" s="445"/>
      <c r="AS116" s="445"/>
      <c r="AT116" s="445"/>
      <c r="AU116" s="445"/>
      <c r="AV116" s="445"/>
      <c r="AW116" s="445"/>
      <c r="AX116" s="445"/>
      <c r="AY116" s="445"/>
      <c r="AZ116" s="445"/>
      <c r="BA116" s="445"/>
      <c r="BB116" s="445"/>
      <c r="BC116" s="445"/>
      <c r="BD116" s="445"/>
      <c r="BE116" s="445"/>
      <c r="BF116" s="445"/>
      <c r="BG116" s="445"/>
      <c r="BH116" s="445"/>
      <c r="BI116" s="446"/>
      <c r="BJ116" s="447"/>
      <c r="BK116" s="445"/>
      <c r="BL116" s="445"/>
      <c r="BM116" s="446"/>
      <c r="BN116" s="447"/>
      <c r="BO116" s="445"/>
      <c r="BP116" s="445"/>
      <c r="BQ116" s="445"/>
      <c r="BR116" s="445"/>
      <c r="BS116" s="445"/>
      <c r="BT116" s="445"/>
      <c r="BV116" s="445">
        <f>SUM(BV100:BV114)</f>
        <v>0</v>
      </c>
      <c r="BW116" s="445"/>
      <c r="BY116" s="445">
        <f>SUM(BY100:BY114)</f>
        <v>0</v>
      </c>
      <c r="BZ116" s="445"/>
    </row>
    <row r="117" spans="1:78" s="452" customFormat="1" ht="20.100000000000001" customHeight="1">
      <c r="W117" s="451"/>
      <c r="AB117" s="445"/>
      <c r="AC117" s="445"/>
      <c r="AD117" s="445"/>
      <c r="AE117" s="445"/>
      <c r="AF117" s="445"/>
      <c r="AG117" s="445"/>
      <c r="AH117" s="445"/>
      <c r="AI117" s="445"/>
      <c r="AJ117" s="445"/>
      <c r="AK117" s="445"/>
      <c r="AL117" s="445"/>
      <c r="AM117" s="445"/>
      <c r="AN117" s="445"/>
      <c r="AO117" s="445"/>
      <c r="AP117" s="445"/>
      <c r="AQ117" s="445"/>
      <c r="AR117" s="445"/>
      <c r="AS117" s="445"/>
      <c r="AT117" s="445"/>
      <c r="AU117" s="445"/>
      <c r="AV117" s="445"/>
      <c r="AW117" s="445"/>
      <c r="AX117" s="445"/>
      <c r="AY117" s="445"/>
      <c r="AZ117" s="445"/>
      <c r="BA117" s="445"/>
      <c r="BB117" s="445"/>
      <c r="BC117" s="445"/>
      <c r="BD117" s="445"/>
      <c r="BE117" s="445"/>
      <c r="BF117" s="445"/>
      <c r="BG117" s="445"/>
      <c r="BH117" s="445"/>
      <c r="BI117" s="446"/>
      <c r="BJ117" s="447"/>
      <c r="BK117" s="445"/>
      <c r="BL117" s="445"/>
      <c r="BM117" s="446"/>
      <c r="BN117" s="447"/>
      <c r="BO117" s="445"/>
      <c r="BP117" s="445"/>
      <c r="BQ117" s="445"/>
      <c r="BR117" s="445"/>
      <c r="BS117" s="445"/>
      <c r="BT117" s="445"/>
    </row>
    <row r="118" spans="1:78" ht="18" customHeight="1">
      <c r="A118" s="451"/>
      <c r="B118" s="452"/>
      <c r="C118" s="452"/>
      <c r="D118" s="452"/>
      <c r="E118" s="452"/>
      <c r="F118" s="452"/>
      <c r="G118" s="458" t="str">
        <f>IF(AB1=1,REPT('Heimmannschaft MAISON'!I91,1),REPT('Heimmannschaft MAISON'!I111,1))</f>
        <v>Entscheidungsspiel</v>
      </c>
      <c r="H118" s="87"/>
      <c r="I118" s="87"/>
      <c r="J118" s="87"/>
      <c r="K118" s="88"/>
      <c r="L118" s="82" t="s">
        <v>859</v>
      </c>
      <c r="M118" s="82" t="s">
        <v>860</v>
      </c>
      <c r="N118" s="481"/>
      <c r="O118" s="482">
        <f>SUM(P118)/100</f>
        <v>0</v>
      </c>
      <c r="P118" s="482">
        <f>SUM(O114)</f>
        <v>0</v>
      </c>
      <c r="Q118" s="483"/>
      <c r="R118" s="620" t="str">
        <f>REPT('Matchblatt  FEUILLE DE MATCH'!G118,1)</f>
        <v>Entscheidungsspiel</v>
      </c>
      <c r="S118" s="621"/>
      <c r="T118" s="91"/>
      <c r="U118" s="82"/>
      <c r="V118" s="82"/>
      <c r="W118" s="451"/>
      <c r="X118" s="452"/>
      <c r="Y118" s="452"/>
      <c r="Z118" s="452"/>
      <c r="AA118" s="452"/>
    </row>
    <row r="119" spans="1:78" ht="9.9499999999999993" customHeight="1">
      <c r="A119" s="451"/>
      <c r="B119" s="452"/>
      <c r="C119" s="452"/>
      <c r="D119" s="452"/>
      <c r="E119" s="452"/>
      <c r="F119" s="452"/>
      <c r="G119" s="91"/>
      <c r="H119" s="91"/>
      <c r="I119" s="91"/>
      <c r="J119" s="91"/>
      <c r="K119" s="91"/>
      <c r="L119" s="82"/>
      <c r="M119" s="82"/>
      <c r="N119" s="82"/>
      <c r="O119" s="91"/>
      <c r="P119" s="91"/>
      <c r="Q119" s="91"/>
      <c r="R119" s="91"/>
      <c r="S119" s="91"/>
      <c r="T119" s="91"/>
      <c r="U119" s="82"/>
      <c r="V119" s="82"/>
      <c r="W119" s="451"/>
      <c r="X119" s="452"/>
      <c r="Y119" s="452"/>
      <c r="Z119" s="452"/>
      <c r="AA119" s="452"/>
    </row>
    <row r="120" spans="1:78" s="452" customFormat="1" ht="20.100000000000001" customHeight="1">
      <c r="B120" s="484" t="str">
        <f>REPT(AT120,1)</f>
        <v>SPIEL 29</v>
      </c>
      <c r="C120" s="445"/>
      <c r="D120" s="485" t="str">
        <f>IF(AI120=0,"",CONCATENATE(AM120,AJ120))</f>
        <v>HD</v>
      </c>
      <c r="E120" s="486">
        <f>IF(AO120="*",AQ120,AL120)</f>
        <v>4.0999999999999996</v>
      </c>
      <c r="G120" s="633" t="str">
        <f>IF(AB1=1,REPT('Heimmannschaft MAISON'!AO93,1),REPT('Heimmannschaft MAISON'!AO113,1))</f>
        <v/>
      </c>
      <c r="H120" s="634"/>
      <c r="I120" s="487" t="str">
        <f>IF(AB1=1,REPT('Heimmannschaft MAISON'!I93,1),REPT('Heimmannschaft MAISON'!I113,1))</f>
        <v/>
      </c>
      <c r="J120" s="488"/>
      <c r="K120" s="489" t="str">
        <f>IF(AX120="","",AX120)</f>
        <v/>
      </c>
      <c r="L120" s="490" t="str">
        <f>IF(AV120="","",AV120)</f>
        <v/>
      </c>
      <c r="M120" s="490" t="str">
        <f>IF(AW120="","",AW120)</f>
        <v/>
      </c>
      <c r="N120" s="489" t="str">
        <f>IF(AY120="","",AY120)</f>
        <v/>
      </c>
      <c r="O120" s="630" t="str">
        <f>IF(AB1=1,REPT('Gastmannschaft EXTERIEUR'!AO93,1),REPT('Gastmannschaft EXTERIEUR'!AO113,1))</f>
        <v/>
      </c>
      <c r="P120" s="631"/>
      <c r="Q120" s="487" t="str">
        <f>IF(AB1=1,REPT('Gastmannschaft EXTERIEUR'!I93,1),REPT('Gastmannschaft EXTERIEUR'!I113,1))</f>
        <v/>
      </c>
      <c r="R120" s="491"/>
      <c r="S120" s="488"/>
      <c r="U120" s="485" t="str">
        <f>IF(AI120=0,"",CONCATENATE(AN120,AJ120))</f>
        <v>GD</v>
      </c>
      <c r="V120" s="486">
        <f>IF(AP120="*",AQ120,AL120)</f>
        <v>4.0999999999999996</v>
      </c>
      <c r="W120" s="451"/>
      <c r="AB120" s="445">
        <v>33</v>
      </c>
      <c r="AC120" s="445">
        <v>29</v>
      </c>
      <c r="AD120" s="445">
        <v>41</v>
      </c>
      <c r="AE120" s="445">
        <v>33</v>
      </c>
      <c r="AF120" s="445">
        <v>31</v>
      </c>
      <c r="AG120" s="445">
        <v>25</v>
      </c>
      <c r="AH120" s="445">
        <f>IF($AB$1=3,AF120,IF($AB$1=2,AD120,IF($AB$1=1,AB120,"")))</f>
        <v>33</v>
      </c>
      <c r="AI120" s="445">
        <f>IF($AB$1=3,AG120,IF($AB$1=2,AE120,IF($AB$1=1,AC120,"")))</f>
        <v>29</v>
      </c>
      <c r="AJ120" s="166" t="str">
        <f>IF(AH120="","",VLOOKUP(AH120,Chema!AJ:AL,2,FALSE))</f>
        <v>D</v>
      </c>
      <c r="AK120" s="166" t="str">
        <f>IF(AH120="","",VLOOKUP(AH120,Chema!AJ:AL,3,FALSE))</f>
        <v>4.1.1</v>
      </c>
      <c r="AL120" s="166">
        <f>IF(AI120=0,"",IF(AI120="","",VLOOKUP(AI120,Chema!R:T,3,FALSE)))</f>
        <v>4.0999999999999996</v>
      </c>
      <c r="AM120" s="166" t="s">
        <v>894</v>
      </c>
      <c r="AN120" s="445" t="s">
        <v>895</v>
      </c>
      <c r="AO120" s="492" t="str">
        <f>IF(AU120="","",VLOOKUP(AU120,Average!HN:HT,6,FALSE))</f>
        <v/>
      </c>
      <c r="AP120" s="492" t="str">
        <f>IF(AU120="","",VLOOKUP(AU120,Average!HN:HT,7,FALSE))</f>
        <v/>
      </c>
      <c r="AQ120" s="445" t="str">
        <f>IF(AI120=0,"",VLOOKUP(AI120,Chema!BL:BQ,6,FALSE))</f>
        <v>4.1*</v>
      </c>
      <c r="AR120" s="445" t="str">
        <f>VLOOKUP(AH120,'Heimmannschaft MAISON'!AB:AO,14,FALSE)</f>
        <v/>
      </c>
      <c r="AS120" s="445" t="str">
        <f>IFERROR(VLOOKUP(AH120,'Gastmannschaft EXTERIEUR'!AB:AO,14,FALSE),"")</f>
        <v/>
      </c>
      <c r="AT120" s="445" t="str">
        <f>IF(AI120=0,"",CONCATENATE($AT$18," ",AI120))</f>
        <v>SPIEL 29</v>
      </c>
      <c r="AU120" s="445" t="str">
        <f>IF(AI120=0,"",CONCATENATE($AU$18," ",AI120))</f>
        <v>SPIEL 29</v>
      </c>
      <c r="AV120" s="445" t="str">
        <f>IF(AR120="","",IF(AU120="","",VLOOKUP(AU120,Average!HN:HP,2,FALSE)))</f>
        <v/>
      </c>
      <c r="AW120" s="445" t="str">
        <f>IF(AR120="","",IF(AU120="","",VLOOKUP(AU120,Average!HN:HP,3,FALSE)))</f>
        <v/>
      </c>
      <c r="AX120" s="445" t="str">
        <f>IFERROR(IF(AU120="","",VLOOKUP(AU120,Average!HN:HQ,4,FALSE)),"")</f>
        <v/>
      </c>
      <c r="AY120" s="445" t="str">
        <f>IFERROR(IF(AU120="","",VLOOKUP(AU120,Average!HN:HR,5,FALSE)),"")</f>
        <v/>
      </c>
      <c r="AZ120" s="445" t="str">
        <f>IF(AR120="","",IF(AU120="","",VLOOKUP(AU120,Average!HN:HV,8,FALSE)))</f>
        <v/>
      </c>
      <c r="BA120" s="445" t="str">
        <f>IF(AR120="","",IF(AU120="","",VLOOKUP(AU120,Average!HN:HV,9,FALSE)))</f>
        <v/>
      </c>
      <c r="BB120" s="445"/>
      <c r="BC120" s="445"/>
      <c r="BD120" s="445" t="str">
        <f>IF(AR120="","",RANK(AR120,$AR$20:$AR$122,1))</f>
        <v/>
      </c>
      <c r="BE120" s="445" t="str">
        <f>IF(AH120="","",VLOOKUP(AH120,'Heimmannschaft MAISON'!AB:AO,14,FALSE))</f>
        <v/>
      </c>
      <c r="BF120" s="445" t="str">
        <f>IF(AS120="","",RANK(AS120,$AS$20:$AS$122,1))</f>
        <v/>
      </c>
      <c r="BG120" s="445" t="str">
        <f>IF(AH120="","",VLOOKUP(AH120,'Gastmannschaft EXTERIEUR'!AB:AO,14,FALSE))</f>
        <v/>
      </c>
      <c r="BH120" s="445"/>
      <c r="BI120" s="446"/>
      <c r="BJ120" s="447"/>
      <c r="BK120" s="445"/>
      <c r="BL120" s="445"/>
      <c r="BM120" s="446"/>
      <c r="BN120" s="447"/>
      <c r="BO120" s="445"/>
      <c r="BP120" s="445"/>
      <c r="BQ120" s="445"/>
      <c r="BR120" s="445"/>
      <c r="BS120" s="445"/>
      <c r="BT120" s="445"/>
      <c r="BV120" s="445">
        <f>IF(AU120="","",SUM(AZ120,BI120))</f>
        <v>0</v>
      </c>
      <c r="BW120" s="445">
        <f>IF(AU120="","",SUM(AV120,BJ120))</f>
        <v>0</v>
      </c>
      <c r="BY120" s="445">
        <f>IF(AU120="","",SUM(BA120,BM120))</f>
        <v>0</v>
      </c>
      <c r="BZ120" s="445">
        <f>IF(AU120="","",SUM(AW120,BN120))</f>
        <v>0</v>
      </c>
    </row>
    <row r="121" spans="1:78" s="452" customFormat="1" ht="5.0999999999999996" customHeight="1">
      <c r="W121" s="451"/>
      <c r="AB121" s="445"/>
      <c r="AC121" s="445"/>
      <c r="AD121" s="445"/>
      <c r="AE121" s="445"/>
      <c r="AF121" s="445"/>
      <c r="AG121" s="445"/>
      <c r="AH121" s="445"/>
      <c r="AI121" s="445"/>
      <c r="AJ121" s="445"/>
      <c r="AK121" s="445"/>
      <c r="AL121" s="445"/>
      <c r="AM121" s="445"/>
      <c r="AN121" s="445"/>
      <c r="AO121" s="492"/>
      <c r="AP121" s="492"/>
      <c r="AQ121" s="445"/>
      <c r="AS121" s="445"/>
      <c r="AT121" s="445"/>
      <c r="AU121" s="445"/>
      <c r="AV121" s="445"/>
      <c r="AW121" s="445"/>
      <c r="AX121" s="445"/>
      <c r="AY121" s="445"/>
      <c r="AZ121" s="445"/>
      <c r="BA121" s="445"/>
      <c r="BB121" s="445"/>
      <c r="BC121" s="445"/>
      <c r="BD121" s="445"/>
      <c r="BE121" s="445"/>
      <c r="BF121" s="445"/>
      <c r="BG121" s="445"/>
      <c r="BH121" s="445"/>
      <c r="BI121" s="446"/>
      <c r="BJ121" s="447"/>
      <c r="BK121" s="445"/>
      <c r="BL121" s="445"/>
      <c r="BM121" s="446"/>
      <c r="BN121" s="447"/>
      <c r="BO121" s="445"/>
      <c r="BP121" s="445"/>
      <c r="BQ121" s="445"/>
      <c r="BR121" s="445"/>
      <c r="BS121" s="445"/>
      <c r="BT121" s="445"/>
    </row>
    <row r="122" spans="1:78" s="452" customFormat="1" ht="20.100000000000001" customHeight="1">
      <c r="G122" s="633" t="str">
        <f>IF(AB1=1,REPT('Heimmannschaft MAISON'!AO95,1),REPT('Heimmannschaft MAISON'!AO115,1))</f>
        <v/>
      </c>
      <c r="H122" s="634"/>
      <c r="I122" s="487" t="str">
        <f>IF(AB1=1,REPT('Heimmannschaft MAISON'!I95,1),REPT('Heimmannschaft MAISON'!I115,1))</f>
        <v/>
      </c>
      <c r="J122" s="488"/>
      <c r="K122" s="445"/>
      <c r="L122" s="445"/>
      <c r="M122" s="445"/>
      <c r="N122" s="445"/>
      <c r="O122" s="630" t="str">
        <f>IF(AB1=1,REPT('Gastmannschaft EXTERIEUR'!AO95,1),REPT('Gastmannschaft EXTERIEUR'!AO115,1))</f>
        <v/>
      </c>
      <c r="P122" s="631"/>
      <c r="Q122" s="487" t="str">
        <f>IF(AB1=1,REPT('Gastmannschaft EXTERIEUR'!I95,1),REPT('Gastmannschaft EXTERIEUR'!I115,1))</f>
        <v/>
      </c>
      <c r="R122" s="491"/>
      <c r="S122" s="488"/>
      <c r="W122" s="451"/>
      <c r="AB122" s="445">
        <v>34</v>
      </c>
      <c r="AC122" s="445"/>
      <c r="AD122" s="445">
        <v>42</v>
      </c>
      <c r="AE122" s="445"/>
      <c r="AF122" s="445">
        <v>32</v>
      </c>
      <c r="AG122" s="445"/>
      <c r="AH122" s="445">
        <f>IF($AB$1=3,AF122,IF($AB$1=2,AD122,IF($AB$1=1,AB122,"")))</f>
        <v>34</v>
      </c>
      <c r="AI122" s="445"/>
      <c r="AJ122" s="166" t="str">
        <f>IF(AH122="","",VLOOKUP(AH122,Chema!AJ:AL,2,FALSE))</f>
        <v>D</v>
      </c>
      <c r="AK122" s="166" t="str">
        <f>IF(AH122="","",VLOOKUP(AH122,Chema!AJ:AL,3,FALSE))</f>
        <v>4.1.2</v>
      </c>
      <c r="AL122" s="166"/>
      <c r="AM122" s="166" t="s">
        <v>894</v>
      </c>
      <c r="AN122" s="445" t="s">
        <v>895</v>
      </c>
      <c r="AO122" s="445"/>
      <c r="AP122" s="445"/>
      <c r="AQ122" s="445"/>
      <c r="AR122" s="445" t="str">
        <f>VLOOKUP(AH122,'Heimmannschaft MAISON'!AB:AO,14,FALSE)</f>
        <v/>
      </c>
      <c r="AS122" s="445" t="str">
        <f>IFERROR(VLOOKUP(AH122,'Gastmannschaft EXTERIEUR'!AB:AO,14,FALSE),"")</f>
        <v/>
      </c>
      <c r="AT122" s="445"/>
      <c r="AU122" s="445" t="str">
        <f>IF(AI122=0,"",CONCATENATE($AU$18," ",AI122))</f>
        <v/>
      </c>
      <c r="AV122" s="445"/>
      <c r="AW122" s="445"/>
      <c r="AX122" s="445"/>
      <c r="AY122" s="445"/>
      <c r="AZ122" s="445"/>
      <c r="BA122" s="445"/>
      <c r="BB122" s="445"/>
      <c r="BC122" s="445"/>
      <c r="BD122" s="445" t="str">
        <f>IF(AR122="","",RANK(AR122,$AR$20:$AR$122,1))</f>
        <v/>
      </c>
      <c r="BE122" s="445" t="str">
        <f>IF(AH122="","",VLOOKUP(AH122,'Heimmannschaft MAISON'!AB:AO,14,FALSE))</f>
        <v/>
      </c>
      <c r="BF122" s="445" t="str">
        <f>IF(AS122="","",RANK(AS122,$AS$20:$AS$122,1))</f>
        <v/>
      </c>
      <c r="BG122" s="445" t="str">
        <f>IF(AH122="","",VLOOKUP(AH122,'Gastmannschaft EXTERIEUR'!AB:AO,14,FALSE))</f>
        <v/>
      </c>
      <c r="BH122" s="445"/>
      <c r="BI122" s="446"/>
      <c r="BJ122" s="447"/>
      <c r="BK122" s="445"/>
      <c r="BL122" s="445"/>
      <c r="BM122" s="446"/>
      <c r="BN122" s="447"/>
      <c r="BO122" s="445"/>
      <c r="BP122" s="445"/>
      <c r="BQ122" s="445"/>
      <c r="BR122" s="445"/>
      <c r="BS122" s="445"/>
      <c r="BT122" s="445"/>
    </row>
    <row r="123" spans="1:78" ht="20.100000000000001" customHeight="1">
      <c r="L123" s="496">
        <f>IF(AB1=3,24,IF(AB1=2,32,IF(AB1=1,28,0)))</f>
        <v>28</v>
      </c>
      <c r="M123" s="496">
        <f>IF(L123=P116,0,1)</f>
        <v>1</v>
      </c>
    </row>
    <row r="124" spans="1:78" ht="20.100000000000001" customHeight="1"/>
    <row r="125" spans="1:78" ht="15">
      <c r="A125" s="451"/>
      <c r="B125" s="452"/>
      <c r="C125" s="452"/>
      <c r="D125" s="452"/>
      <c r="E125" s="452"/>
      <c r="F125" s="452"/>
      <c r="G125" s="86" t="str">
        <f>REPT(Sprache!$K$34,1)</f>
        <v>Heimmannschaft</v>
      </c>
      <c r="H125" s="87"/>
      <c r="I125" s="87"/>
      <c r="J125" s="88"/>
      <c r="K125" s="89"/>
      <c r="L125" s="626" t="str">
        <f>REPT(Sprache!K57,1)</f>
        <v>ENDRESULTAT</v>
      </c>
      <c r="M125" s="627"/>
      <c r="N125" s="82"/>
      <c r="O125" s="86"/>
      <c r="P125" s="87"/>
      <c r="Q125" s="87"/>
      <c r="R125" s="624" t="str">
        <f>REPT(Sprache!$K$31,1)</f>
        <v>Gastmannschaft</v>
      </c>
      <c r="S125" s="625"/>
      <c r="T125" s="89"/>
      <c r="U125" s="82"/>
      <c r="V125" s="82"/>
      <c r="W125" s="451"/>
      <c r="X125" s="452"/>
      <c r="Y125" s="452"/>
      <c r="Z125" s="452"/>
      <c r="AA125" s="452"/>
      <c r="AD125" s="452"/>
      <c r="AE125" s="452"/>
      <c r="AF125" s="452"/>
      <c r="AG125" s="452"/>
    </row>
    <row r="126" spans="1:78" ht="21.95" customHeight="1">
      <c r="A126" s="451"/>
      <c r="B126" s="452"/>
      <c r="C126" s="452"/>
      <c r="D126" s="452"/>
      <c r="E126" s="452"/>
      <c r="F126" s="452"/>
      <c r="G126" s="92">
        <f>SUM('Heimmannschaft MAISON'!$G$3)</f>
        <v>0</v>
      </c>
      <c r="H126" s="93"/>
      <c r="I126" s="466" t="str">
        <f>REPT('Heimmannschaft MAISON'!I3,1)</f>
        <v>select Heim - Team</v>
      </c>
      <c r="J126" s="467"/>
      <c r="K126" s="497" t="str">
        <f>REPT(Sprache!K67,1)</f>
        <v>Spiel</v>
      </c>
      <c r="L126" s="495">
        <f>IF(M132=0,SUM(N116,AZ120),"")</f>
        <v>0</v>
      </c>
      <c r="M126" s="495">
        <f>IF(M132=0,SUM(O116,BA120),"")</f>
        <v>0</v>
      </c>
      <c r="N126" s="82"/>
      <c r="O126" s="153">
        <f>SUM('Gastmannschaft EXTERIEUR'!$G$3)</f>
        <v>0</v>
      </c>
      <c r="P126" s="154"/>
      <c r="Q126" s="617" t="str">
        <f>REPT('Gastmannschaft EXTERIEUR'!$I$3,1)</f>
        <v>Gast</v>
      </c>
      <c r="R126" s="618"/>
      <c r="S126" s="619"/>
      <c r="T126" s="89"/>
      <c r="U126" s="82"/>
      <c r="V126" s="82"/>
      <c r="W126" s="451"/>
      <c r="X126" s="452"/>
      <c r="Y126" s="452"/>
      <c r="Z126" s="452"/>
      <c r="AA126" s="452"/>
      <c r="AD126" s="452"/>
      <c r="AE126" s="452"/>
      <c r="AF126" s="452"/>
      <c r="AG126" s="452"/>
    </row>
    <row r="127" spans="1:78" ht="20.100000000000001" customHeight="1">
      <c r="K127" s="497" t="s">
        <v>864</v>
      </c>
      <c r="L127" s="498" t="str">
        <f>IF(M123=1,"",SUM(BW20:BW120))</f>
        <v/>
      </c>
      <c r="M127" s="498" t="str">
        <f>IF(M123=1,"",SUM(BZ20:BZ120))</f>
        <v/>
      </c>
    </row>
    <row r="128" spans="1:78" ht="20.100000000000001" customHeight="1">
      <c r="G128" s="499" t="s">
        <v>865</v>
      </c>
      <c r="H128" s="500"/>
      <c r="I128" s="500"/>
      <c r="J128" s="501"/>
      <c r="K128" s="497" t="s">
        <v>866</v>
      </c>
      <c r="L128" s="498">
        <f>SUM(RESULTS!E46)</f>
        <v>0</v>
      </c>
      <c r="M128" s="498">
        <f>SUM(RESULTS!S46)</f>
        <v>0</v>
      </c>
      <c r="O128" s="502" t="s">
        <v>865</v>
      </c>
      <c r="P128" s="500"/>
      <c r="Q128" s="500"/>
      <c r="R128" s="500"/>
      <c r="S128" s="503"/>
    </row>
    <row r="129" spans="2:22" ht="20.100000000000001" customHeight="1">
      <c r="B129" s="504" t="s">
        <v>867</v>
      </c>
      <c r="D129" s="485" t="str">
        <f>IF(G129="","","HS")</f>
        <v/>
      </c>
      <c r="E129" s="505" t="str">
        <f>IFERROR(VLOOKUP(F129,RESULTS!CW4:DJ19,13,FALSE),"")</f>
        <v/>
      </c>
      <c r="F129" s="496">
        <v>1</v>
      </c>
      <c r="G129" s="506" t="str">
        <f>IFERROR(VLOOKUP(F129,RESULTS!CW4:DJ19,14,FALSE),"")</f>
        <v/>
      </c>
      <c r="H129" s="507"/>
      <c r="I129" s="508" t="str">
        <f>IFERROR(VLOOKUP(G129,Licenses!B:C,2,FALSE),"")</f>
        <v/>
      </c>
      <c r="J129" s="509" t="str">
        <f>IFERROR(VLOOKUP(F129,RESULTS!CW4:DJ19,10,FALSE),"")</f>
        <v/>
      </c>
      <c r="K129" s="497" t="s">
        <v>868</v>
      </c>
      <c r="L129" s="498">
        <f>SUM(RESULTS!F46)</f>
        <v>0</v>
      </c>
      <c r="M129" s="498">
        <f>SUM(RESULTS!T46)</f>
        <v>0</v>
      </c>
      <c r="O129" s="510" t="str">
        <f>IFERROR(VLOOKUP(F129,RESULTS!GD4:GQ19,14,FALSE),"")</f>
        <v/>
      </c>
      <c r="P129" s="511"/>
      <c r="Q129" s="512" t="str">
        <f>IFERROR(VLOOKUP(O129,Licenses!B:C,2,FALSE),"")</f>
        <v/>
      </c>
      <c r="R129" s="513"/>
      <c r="S129" s="514" t="str">
        <f>IFERROR(VLOOKUP(F129,RESULTS!GD4:GQ19,10,FALSE),"")</f>
        <v/>
      </c>
      <c r="U129" s="485" t="str">
        <f>IF(O129="","","GS")</f>
        <v/>
      </c>
      <c r="V129" s="505" t="str">
        <f>IFERROR(VLOOKUP(F129,RESULTS!GD4:GQ19,13,FALSE),"")</f>
        <v/>
      </c>
    </row>
    <row r="130" spans="2:22" ht="20.100000000000001" customHeight="1">
      <c r="D130" s="485" t="str">
        <f>IF(G130="","","HS")</f>
        <v/>
      </c>
      <c r="E130" s="505" t="str">
        <f>IFERROR(VLOOKUP(F130,RESULTS!CW4:DJ19,13,FALSE),"")</f>
        <v/>
      </c>
      <c r="F130" s="496">
        <v>2</v>
      </c>
      <c r="G130" s="515" t="str">
        <f>IFERROR(VLOOKUP(F130,RESULTS!CW4:DJ19,14,FALSE),"")</f>
        <v/>
      </c>
      <c r="H130" s="93"/>
      <c r="I130" s="516" t="str">
        <f>IFERROR(VLOOKUP(G130,Licenses!B:C,2,FALSE),"")</f>
        <v/>
      </c>
      <c r="J130" s="517" t="str">
        <f>IFERROR(VLOOKUP(F130,RESULTS!CW4:DJ19,10,FALSE),"")</f>
        <v/>
      </c>
      <c r="K130" s="497" t="s">
        <v>858</v>
      </c>
      <c r="L130" s="498" t="str">
        <f>IFERROR(SUM(L128/L129),"")</f>
        <v/>
      </c>
      <c r="M130" s="498" t="str">
        <f>IFERROR(SUM(M128/M129),"")</f>
        <v/>
      </c>
      <c r="O130" s="518" t="str">
        <f>IFERROR(VLOOKUP(F130,RESULTS!GD4:GQ19,14,FALSE),"")</f>
        <v/>
      </c>
      <c r="P130" s="519"/>
      <c r="Q130" s="520" t="str">
        <f>IFERROR(VLOOKUP(O130,Licenses!B:C,2,FALSE),"")</f>
        <v/>
      </c>
      <c r="R130" s="521"/>
      <c r="S130" s="517" t="str">
        <f>IFERROR(VLOOKUP(F130,RESULTS!GD4:GQ19,10,FALSE),"")</f>
        <v/>
      </c>
      <c r="U130" s="485" t="str">
        <f t="shared" ref="U130:U132" si="0">IF(O130="","","GS")</f>
        <v/>
      </c>
      <c r="V130" s="505" t="str">
        <f>IFERROR(VLOOKUP(F130,RESULTS!GD4:GQ19,13,FALSE),"")</f>
        <v/>
      </c>
    </row>
    <row r="131" spans="2:22" ht="20.100000000000001" customHeight="1">
      <c r="B131" s="484" t="s">
        <v>869</v>
      </c>
      <c r="D131" s="485" t="str">
        <f>IF(G131="","","HS")</f>
        <v/>
      </c>
      <c r="E131" s="522" t="str">
        <f>IFERROR(VLOOKUP(F131,RESULTS!CF4:CS19,14,FALSE),"")</f>
        <v/>
      </c>
      <c r="F131" s="496">
        <v>1</v>
      </c>
      <c r="G131" s="515" t="str">
        <f>IFERROR(VLOOKUP(F131,RESULTS!CT4:CU19,2,FALSE),"")</f>
        <v/>
      </c>
      <c r="H131" s="523"/>
      <c r="I131" s="524" t="str">
        <f>IFERROR(VLOOKUP(G131,Licenses!B:C,2,FALSE),"")</f>
        <v/>
      </c>
      <c r="J131" s="525" t="str">
        <f>IFERROR(VLOOKUP(F131,RESULTS!CT4:CV19,3,FALSE),"")</f>
        <v/>
      </c>
      <c r="K131" s="497" t="s">
        <v>822</v>
      </c>
      <c r="L131" s="498">
        <f>SUM(BB20:BB115)</f>
        <v>0</v>
      </c>
      <c r="M131" s="498">
        <f>SUM(BC20:BC115)</f>
        <v>0</v>
      </c>
      <c r="O131" s="518" t="str">
        <f>IFERROR(VLOOKUP(F131,RESULTS!GA4:GB19,2,FALSE),"")</f>
        <v/>
      </c>
      <c r="P131" s="526"/>
      <c r="Q131" s="527" t="str">
        <f>IFERROR(VLOOKUP(O131,Licenses!B:C,2,FALSE),"")</f>
        <v/>
      </c>
      <c r="R131" s="527"/>
      <c r="S131" s="525" t="str">
        <f>IFERROR(VLOOKUP(F131,RESULTS!GA4:GC19,3,FALSE),"")</f>
        <v/>
      </c>
      <c r="U131" s="485" t="str">
        <f t="shared" si="0"/>
        <v/>
      </c>
      <c r="V131" s="522" t="str">
        <f>IFERROR(VLOOKUP(F131,RESULTS!FM4:GA19,14,FALSE),"")</f>
        <v/>
      </c>
    </row>
    <row r="132" spans="2:22" ht="20.100000000000001" customHeight="1">
      <c r="D132" s="485" t="str">
        <f>IF(G132="","","HS")</f>
        <v/>
      </c>
      <c r="E132" s="522" t="str">
        <f>IFERROR(VLOOKUP(F132,RESULTS!CF4:CS19,14,FALSE),"")</f>
        <v/>
      </c>
      <c r="F132" s="496">
        <v>2</v>
      </c>
      <c r="G132" s="515" t="str">
        <f>IFERROR(VLOOKUP(F132,RESULTS!CT4:CU19,2,FALSE),"")</f>
        <v/>
      </c>
      <c r="H132" s="523"/>
      <c r="I132" s="524" t="str">
        <f>IFERROR(VLOOKUP(G132,Licenses!B:C,2,FALSE),"")</f>
        <v/>
      </c>
      <c r="J132" s="525" t="str">
        <f>IFERROR(VLOOKUP(F132,RESULTS!CT4:CV19,3,FALSE),"")</f>
        <v/>
      </c>
      <c r="K132" s="497" t="str">
        <f>REPT(Sprache!K68,1)</f>
        <v xml:space="preserve">Eingabe Fehler:      </v>
      </c>
      <c r="L132" s="528"/>
      <c r="M132" s="529">
        <f>SUM(K133:M133)</f>
        <v>0</v>
      </c>
      <c r="O132" s="518" t="str">
        <f>IFERROR(VLOOKUP(F132,RESULTS!GA4:GB19,2,FALSE),"")</f>
        <v/>
      </c>
      <c r="P132" s="526"/>
      <c r="Q132" s="527" t="str">
        <f>IFERROR(VLOOKUP(O132,Licenses!B:C,2,FALSE),"")</f>
        <v/>
      </c>
      <c r="R132" s="527"/>
      <c r="S132" s="525" t="str">
        <f>IFERROR(VLOOKUP(F132,RESULTS!GA4:GC19,3,FALSE),"")</f>
        <v/>
      </c>
      <c r="U132" s="485" t="str">
        <f t="shared" si="0"/>
        <v/>
      </c>
      <c r="V132" s="522" t="str">
        <f>IFERROR(VLOOKUP(F132,RESULTS!FM4:GA19,14,FALSE),"")</f>
        <v/>
      </c>
    </row>
    <row r="133" spans="2:22" ht="20.100000000000001" customHeight="1">
      <c r="K133" s="496">
        <f>SUM('Heimmannschaft MAISON'!B6)</f>
        <v>0</v>
      </c>
      <c r="L133" s="496">
        <f>SUM('Gastmannschaft EXTERIEUR'!B6)</f>
        <v>0</v>
      </c>
      <c r="M133" s="496">
        <f>SUM(Average!ID473)</f>
        <v>0</v>
      </c>
    </row>
    <row r="134" spans="2:22" ht="20.100000000000001" customHeight="1">
      <c r="G134" s="86"/>
      <c r="H134" s="87"/>
      <c r="I134" s="530" t="str">
        <f>REPT(Sprache!K64,1)</f>
        <v>Einzelauswertung</v>
      </c>
      <c r="J134" s="531"/>
      <c r="K134" s="531"/>
      <c r="L134" s="531"/>
      <c r="M134" s="531"/>
      <c r="N134" s="531"/>
      <c r="O134" s="532" t="s">
        <v>874</v>
      </c>
      <c r="P134" s="531"/>
      <c r="Q134" s="533"/>
      <c r="R134" s="615" t="str">
        <f>REPT(P11,1)</f>
        <v>2425R10?</v>
      </c>
      <c r="S134" s="616"/>
    </row>
    <row r="135" spans="2:22" ht="14.1" customHeight="1">
      <c r="J135" s="534"/>
    </row>
    <row r="136" spans="2:22" ht="14.1" customHeight="1">
      <c r="M136" s="452"/>
      <c r="N136" s="535" t="s">
        <v>876</v>
      </c>
      <c r="O136" s="536" t="s">
        <v>877</v>
      </c>
      <c r="P136" s="537"/>
      <c r="Q136" s="538"/>
    </row>
    <row r="137" spans="2:22" ht="14.1" customHeight="1">
      <c r="G137" s="97" t="s">
        <v>879</v>
      </c>
      <c r="H137" s="98"/>
      <c r="I137" s="99" t="str">
        <f>REPT(Sprache!K33,1)</f>
        <v>Name / Vorname</v>
      </c>
      <c r="J137" s="539" t="s">
        <v>880</v>
      </c>
      <c r="K137" s="539">
        <v>180</v>
      </c>
      <c r="L137" s="539" t="str">
        <f>REPT(Sprache!K62,1)</f>
        <v>Punkte</v>
      </c>
      <c r="M137" s="539" t="s">
        <v>868</v>
      </c>
      <c r="N137" s="540" t="str">
        <f>REPT(Sprache!K65,1)</f>
        <v># Spiele</v>
      </c>
      <c r="O137" s="559" t="str">
        <f>REPT(Sprache!K66,1)</f>
        <v>Spiele</v>
      </c>
      <c r="P137" s="541"/>
      <c r="Q137" s="539" t="s">
        <v>881</v>
      </c>
      <c r="R137" s="539" t="s">
        <v>882</v>
      </c>
      <c r="S137" s="542" t="s">
        <v>883</v>
      </c>
    </row>
    <row r="138" spans="2:22" ht="14.1" customHeight="1"/>
    <row r="139" spans="2:22" ht="14.1" customHeight="1">
      <c r="E139" s="445">
        <v>1</v>
      </c>
      <c r="G139" s="543" t="str">
        <f>REPT(RESULTS!C47,1)</f>
        <v/>
      </c>
      <c r="H139" s="544"/>
      <c r="I139" s="545" t="str">
        <f>REPT(RESULTS!D47,1)</f>
        <v/>
      </c>
      <c r="J139" s="546" t="str">
        <f>REPT(RESULTS!G47,1)</f>
        <v/>
      </c>
      <c r="K139" s="546" t="str">
        <f>REPT(RESULTS!H47,1)</f>
        <v/>
      </c>
      <c r="L139" s="546" t="str">
        <f>REPT(RESULTS!E47,1)</f>
        <v/>
      </c>
      <c r="M139" s="546" t="str">
        <f>REPT(RESULTS!F47,1)</f>
        <v/>
      </c>
      <c r="N139" s="546" t="str">
        <f>REPT(RESULTS!I47,1)</f>
        <v/>
      </c>
      <c r="O139" s="547"/>
      <c r="P139" s="548" t="str">
        <f>REPT(RESULTS!J47,1)</f>
        <v/>
      </c>
      <c r="Q139" s="546" t="str">
        <f>REPT(RESULTS!L47,1)</f>
        <v/>
      </c>
      <c r="R139" s="549" t="str">
        <f>IFERROR(SUM(L139/M139),"")</f>
        <v/>
      </c>
      <c r="S139" s="550" t="str">
        <f>IFERROR(SUM(R139*3),"")</f>
        <v/>
      </c>
    </row>
    <row r="140" spans="2:22" ht="14.1" customHeight="1">
      <c r="E140" s="445">
        <v>2</v>
      </c>
      <c r="G140" s="543" t="str">
        <f>REPT(RESULTS!C48,1)</f>
        <v/>
      </c>
      <c r="H140" s="544"/>
      <c r="I140" s="545" t="str">
        <f>REPT(RESULTS!D48,1)</f>
        <v/>
      </c>
      <c r="J140" s="546" t="str">
        <f>REPT(RESULTS!G48,1)</f>
        <v/>
      </c>
      <c r="K140" s="546" t="str">
        <f>REPT(RESULTS!H48,1)</f>
        <v/>
      </c>
      <c r="L140" s="546" t="str">
        <f>REPT(RESULTS!E48,1)</f>
        <v/>
      </c>
      <c r="M140" s="546" t="str">
        <f>REPT(RESULTS!F48,1)</f>
        <v/>
      </c>
      <c r="N140" s="546" t="str">
        <f>REPT(RESULTS!I48,1)</f>
        <v/>
      </c>
      <c r="O140" s="547"/>
      <c r="P140" s="548" t="str">
        <f>REPT(RESULTS!J48,1)</f>
        <v/>
      </c>
      <c r="Q140" s="546" t="str">
        <f>REPT(RESULTS!L48,1)</f>
        <v/>
      </c>
      <c r="R140" s="549" t="str">
        <f t="shared" ref="R140:R150" si="1">IFERROR(SUM(L140/M140),"")</f>
        <v/>
      </c>
      <c r="S140" s="550" t="str">
        <f t="shared" ref="S140:S162" si="2">IFERROR(SUM(R140*3),"")</f>
        <v/>
      </c>
    </row>
    <row r="141" spans="2:22" ht="14.1" customHeight="1">
      <c r="E141" s="445">
        <v>3</v>
      </c>
      <c r="G141" s="543" t="str">
        <f>REPT(RESULTS!C49,1)</f>
        <v/>
      </c>
      <c r="H141" s="544"/>
      <c r="I141" s="545" t="str">
        <f>REPT(RESULTS!D49,1)</f>
        <v/>
      </c>
      <c r="J141" s="546" t="str">
        <f>REPT(RESULTS!G49,1)</f>
        <v/>
      </c>
      <c r="K141" s="546" t="str">
        <f>REPT(RESULTS!H49,1)</f>
        <v/>
      </c>
      <c r="L141" s="546" t="str">
        <f>REPT(RESULTS!E49,1)</f>
        <v/>
      </c>
      <c r="M141" s="546" t="str">
        <f>REPT(RESULTS!F49,1)</f>
        <v/>
      </c>
      <c r="N141" s="546" t="str">
        <f>REPT(RESULTS!I49,1)</f>
        <v/>
      </c>
      <c r="O141" s="547"/>
      <c r="P141" s="548" t="str">
        <f>REPT(RESULTS!J49,1)</f>
        <v/>
      </c>
      <c r="Q141" s="546" t="str">
        <f>REPT(RESULTS!L49,1)</f>
        <v/>
      </c>
      <c r="R141" s="549" t="str">
        <f t="shared" si="1"/>
        <v/>
      </c>
      <c r="S141" s="550" t="str">
        <f t="shared" si="2"/>
        <v/>
      </c>
    </row>
    <row r="142" spans="2:22" ht="14.1" customHeight="1">
      <c r="E142" s="445">
        <v>4</v>
      </c>
      <c r="G142" s="543" t="str">
        <f>REPT(RESULTS!C50,1)</f>
        <v/>
      </c>
      <c r="H142" s="544"/>
      <c r="I142" s="545" t="str">
        <f>REPT(RESULTS!D50,1)</f>
        <v/>
      </c>
      <c r="J142" s="546" t="str">
        <f>REPT(RESULTS!G50,1)</f>
        <v/>
      </c>
      <c r="K142" s="546" t="str">
        <f>REPT(RESULTS!H50,1)</f>
        <v/>
      </c>
      <c r="L142" s="546" t="str">
        <f>REPT(RESULTS!E50,1)</f>
        <v/>
      </c>
      <c r="M142" s="546" t="str">
        <f>REPT(RESULTS!F50,1)</f>
        <v/>
      </c>
      <c r="N142" s="546" t="str">
        <f>REPT(RESULTS!I50,1)</f>
        <v/>
      </c>
      <c r="O142" s="547"/>
      <c r="P142" s="548" t="str">
        <f>REPT(RESULTS!J50,1)</f>
        <v/>
      </c>
      <c r="Q142" s="546" t="str">
        <f>REPT(RESULTS!L50,1)</f>
        <v/>
      </c>
      <c r="R142" s="549" t="str">
        <f t="shared" si="1"/>
        <v/>
      </c>
      <c r="S142" s="550" t="str">
        <f t="shared" si="2"/>
        <v/>
      </c>
    </row>
    <row r="143" spans="2:22" ht="14.1" customHeight="1">
      <c r="E143" s="445">
        <v>5</v>
      </c>
      <c r="G143" s="543" t="str">
        <f>REPT(RESULTS!C51,1)</f>
        <v/>
      </c>
      <c r="H143" s="544"/>
      <c r="I143" s="545" t="str">
        <f>REPT(RESULTS!D51,1)</f>
        <v/>
      </c>
      <c r="J143" s="546" t="str">
        <f>REPT(RESULTS!G51,1)</f>
        <v/>
      </c>
      <c r="K143" s="546" t="str">
        <f>REPT(RESULTS!H51,1)</f>
        <v/>
      </c>
      <c r="L143" s="546" t="str">
        <f>REPT(RESULTS!E51,1)</f>
        <v/>
      </c>
      <c r="M143" s="546" t="str">
        <f>REPT(RESULTS!F51,1)</f>
        <v/>
      </c>
      <c r="N143" s="546" t="str">
        <f>REPT(RESULTS!I51,1)</f>
        <v/>
      </c>
      <c r="O143" s="547"/>
      <c r="P143" s="548" t="str">
        <f>REPT(RESULTS!J51,1)</f>
        <v/>
      </c>
      <c r="Q143" s="546" t="str">
        <f>REPT(RESULTS!L51,1)</f>
        <v/>
      </c>
      <c r="R143" s="549" t="str">
        <f t="shared" si="1"/>
        <v/>
      </c>
      <c r="S143" s="550" t="str">
        <f t="shared" si="2"/>
        <v/>
      </c>
    </row>
    <row r="144" spans="2:22" ht="14.1" customHeight="1">
      <c r="E144" s="445">
        <v>6</v>
      </c>
      <c r="G144" s="543" t="str">
        <f>REPT(RESULTS!C52,1)</f>
        <v/>
      </c>
      <c r="H144" s="544"/>
      <c r="I144" s="545" t="str">
        <f>REPT(RESULTS!D52,1)</f>
        <v/>
      </c>
      <c r="J144" s="546" t="str">
        <f>REPT(RESULTS!G52,1)</f>
        <v/>
      </c>
      <c r="K144" s="546" t="str">
        <f>REPT(RESULTS!H52,1)</f>
        <v/>
      </c>
      <c r="L144" s="546" t="str">
        <f>REPT(RESULTS!E52,1)</f>
        <v/>
      </c>
      <c r="M144" s="546" t="str">
        <f>REPT(RESULTS!F52,1)</f>
        <v/>
      </c>
      <c r="N144" s="546" t="str">
        <f>REPT(RESULTS!I52,1)</f>
        <v/>
      </c>
      <c r="O144" s="547"/>
      <c r="P144" s="548" t="str">
        <f>REPT(RESULTS!J52,1)</f>
        <v/>
      </c>
      <c r="Q144" s="546" t="str">
        <f>REPT(RESULTS!L52,1)</f>
        <v/>
      </c>
      <c r="R144" s="549" t="str">
        <f t="shared" si="1"/>
        <v/>
      </c>
      <c r="S144" s="550" t="str">
        <f t="shared" si="2"/>
        <v/>
      </c>
    </row>
    <row r="145" spans="5:19" ht="14.1" customHeight="1">
      <c r="E145" s="445">
        <v>7</v>
      </c>
      <c r="G145" s="543" t="str">
        <f>REPT(RESULTS!C53,1)</f>
        <v/>
      </c>
      <c r="H145" s="544"/>
      <c r="I145" s="545" t="str">
        <f>REPT(RESULTS!D53,1)</f>
        <v/>
      </c>
      <c r="J145" s="546" t="str">
        <f>REPT(RESULTS!G53,1)</f>
        <v/>
      </c>
      <c r="K145" s="546" t="str">
        <f>REPT(RESULTS!H53,1)</f>
        <v/>
      </c>
      <c r="L145" s="546" t="str">
        <f>REPT(RESULTS!E53,1)</f>
        <v/>
      </c>
      <c r="M145" s="546" t="str">
        <f>REPT(RESULTS!F53,1)</f>
        <v/>
      </c>
      <c r="N145" s="546" t="str">
        <f>REPT(RESULTS!I53,1)</f>
        <v/>
      </c>
      <c r="O145" s="547"/>
      <c r="P145" s="548" t="str">
        <f>REPT(RESULTS!J53,1)</f>
        <v/>
      </c>
      <c r="Q145" s="546" t="str">
        <f>REPT(RESULTS!L53,1)</f>
        <v/>
      </c>
      <c r="R145" s="549" t="str">
        <f t="shared" si="1"/>
        <v/>
      </c>
      <c r="S145" s="550" t="str">
        <f t="shared" si="2"/>
        <v/>
      </c>
    </row>
    <row r="146" spans="5:19" ht="14.1" customHeight="1">
      <c r="E146" s="445">
        <v>8</v>
      </c>
      <c r="G146" s="543" t="str">
        <f>REPT(RESULTS!C54,1)</f>
        <v/>
      </c>
      <c r="H146" s="544"/>
      <c r="I146" s="545" t="str">
        <f>REPT(RESULTS!D54,1)</f>
        <v/>
      </c>
      <c r="J146" s="546" t="str">
        <f>REPT(RESULTS!G54,1)</f>
        <v/>
      </c>
      <c r="K146" s="546" t="str">
        <f>REPT(RESULTS!H54,1)</f>
        <v/>
      </c>
      <c r="L146" s="546" t="str">
        <f>REPT(RESULTS!E54,1)</f>
        <v/>
      </c>
      <c r="M146" s="546" t="str">
        <f>REPT(RESULTS!F54,1)</f>
        <v/>
      </c>
      <c r="N146" s="546" t="str">
        <f>REPT(RESULTS!I54,1)</f>
        <v/>
      </c>
      <c r="O146" s="547"/>
      <c r="P146" s="548" t="str">
        <f>REPT(RESULTS!J54,1)</f>
        <v/>
      </c>
      <c r="Q146" s="546" t="str">
        <f>REPT(RESULTS!L54,1)</f>
        <v/>
      </c>
      <c r="R146" s="549" t="str">
        <f t="shared" si="1"/>
        <v/>
      </c>
      <c r="S146" s="550" t="str">
        <f t="shared" si="2"/>
        <v/>
      </c>
    </row>
    <row r="147" spans="5:19" ht="14.1" customHeight="1">
      <c r="E147" s="445">
        <v>9</v>
      </c>
      <c r="G147" s="543" t="str">
        <f>REPT(RESULTS!C55,1)</f>
        <v/>
      </c>
      <c r="H147" s="544"/>
      <c r="I147" s="545" t="str">
        <f>REPT(RESULTS!D55,1)</f>
        <v/>
      </c>
      <c r="J147" s="546" t="str">
        <f>REPT(RESULTS!G55,1)</f>
        <v/>
      </c>
      <c r="K147" s="546" t="str">
        <f>REPT(RESULTS!H55,1)</f>
        <v/>
      </c>
      <c r="L147" s="546" t="str">
        <f>REPT(RESULTS!E55,1)</f>
        <v/>
      </c>
      <c r="M147" s="546" t="str">
        <f>REPT(RESULTS!F55,1)</f>
        <v/>
      </c>
      <c r="N147" s="546" t="str">
        <f>REPT(RESULTS!I55,1)</f>
        <v/>
      </c>
      <c r="O147" s="547"/>
      <c r="P147" s="548" t="str">
        <f>REPT(RESULTS!J55,1)</f>
        <v/>
      </c>
      <c r="Q147" s="546" t="str">
        <f>REPT(RESULTS!L55,1)</f>
        <v/>
      </c>
      <c r="R147" s="549" t="str">
        <f t="shared" si="1"/>
        <v/>
      </c>
      <c r="S147" s="550" t="str">
        <f t="shared" si="2"/>
        <v/>
      </c>
    </row>
    <row r="148" spans="5:19" ht="14.1" customHeight="1">
      <c r="E148" s="445">
        <v>10</v>
      </c>
      <c r="G148" s="543" t="str">
        <f>REPT(RESULTS!C56,1)</f>
        <v/>
      </c>
      <c r="H148" s="544"/>
      <c r="I148" s="545" t="str">
        <f>REPT(RESULTS!D56,1)</f>
        <v/>
      </c>
      <c r="J148" s="546" t="str">
        <f>REPT(RESULTS!G56,1)</f>
        <v/>
      </c>
      <c r="K148" s="546" t="str">
        <f>REPT(RESULTS!H56,1)</f>
        <v/>
      </c>
      <c r="L148" s="546" t="str">
        <f>REPT(RESULTS!E56,1)</f>
        <v/>
      </c>
      <c r="M148" s="546" t="str">
        <f>REPT(RESULTS!F56,1)</f>
        <v/>
      </c>
      <c r="N148" s="546" t="str">
        <f>REPT(RESULTS!I56,1)</f>
        <v/>
      </c>
      <c r="O148" s="547"/>
      <c r="P148" s="548" t="str">
        <f>REPT(RESULTS!J56,1)</f>
        <v/>
      </c>
      <c r="Q148" s="546" t="str">
        <f>REPT(RESULTS!L56,1)</f>
        <v/>
      </c>
      <c r="R148" s="549" t="str">
        <f t="shared" si="1"/>
        <v/>
      </c>
      <c r="S148" s="550" t="str">
        <f t="shared" si="2"/>
        <v/>
      </c>
    </row>
    <row r="149" spans="5:19" ht="14.1" customHeight="1">
      <c r="E149" s="445">
        <v>11</v>
      </c>
      <c r="G149" s="543" t="str">
        <f>REPT(RESULTS!C57,1)</f>
        <v/>
      </c>
      <c r="H149" s="544"/>
      <c r="I149" s="545" t="str">
        <f>REPT(RESULTS!D57,1)</f>
        <v/>
      </c>
      <c r="J149" s="546" t="str">
        <f>REPT(RESULTS!G57,1)</f>
        <v/>
      </c>
      <c r="K149" s="546" t="str">
        <f>REPT(RESULTS!H57,1)</f>
        <v/>
      </c>
      <c r="L149" s="546" t="str">
        <f>REPT(RESULTS!E57,1)</f>
        <v/>
      </c>
      <c r="M149" s="546" t="str">
        <f>REPT(RESULTS!F57,1)</f>
        <v/>
      </c>
      <c r="N149" s="546" t="str">
        <f>REPT(RESULTS!I57,1)</f>
        <v/>
      </c>
      <c r="O149" s="547"/>
      <c r="P149" s="548" t="str">
        <f>REPT(RESULTS!J57,1)</f>
        <v/>
      </c>
      <c r="Q149" s="546" t="str">
        <f>REPT(RESULTS!L57,1)</f>
        <v/>
      </c>
      <c r="R149" s="549" t="str">
        <f t="shared" si="1"/>
        <v/>
      </c>
      <c r="S149" s="550" t="str">
        <f t="shared" si="2"/>
        <v/>
      </c>
    </row>
    <row r="150" spans="5:19" ht="14.1" customHeight="1" thickBot="1">
      <c r="E150" s="445">
        <v>12</v>
      </c>
      <c r="G150" s="551" t="str">
        <f>REPT(RESULTS!C58,1)</f>
        <v/>
      </c>
      <c r="H150" s="552"/>
      <c r="I150" s="553" t="str">
        <f>REPT(RESULTS!D58,1)</f>
        <v/>
      </c>
      <c r="J150" s="554" t="str">
        <f>REPT(RESULTS!G58,1)</f>
        <v/>
      </c>
      <c r="K150" s="554" t="str">
        <f>REPT(RESULTS!H58,1)</f>
        <v/>
      </c>
      <c r="L150" s="554" t="str">
        <f>REPT(RESULTS!E58,1)</f>
        <v/>
      </c>
      <c r="M150" s="554" t="str">
        <f>REPT(RESULTS!F58,1)</f>
        <v/>
      </c>
      <c r="N150" s="554" t="str">
        <f>REPT(RESULTS!I58,1)</f>
        <v/>
      </c>
      <c r="O150" s="555"/>
      <c r="P150" s="556" t="str">
        <f>REPT(RESULTS!J58,1)</f>
        <v/>
      </c>
      <c r="Q150" s="554" t="str">
        <f>REPT(RESULTS!L58,1)</f>
        <v/>
      </c>
      <c r="R150" s="557" t="str">
        <f t="shared" si="1"/>
        <v/>
      </c>
      <c r="S150" s="558" t="str">
        <f t="shared" si="2"/>
        <v/>
      </c>
    </row>
    <row r="151" spans="5:19" ht="14.1" customHeight="1">
      <c r="E151" s="445">
        <v>1</v>
      </c>
      <c r="G151" s="543" t="str">
        <f>REPT(RESULTS!Q47,1)</f>
        <v/>
      </c>
      <c r="H151" s="544"/>
      <c r="I151" s="545" t="str">
        <f>REPT(RESULTS!R47,1)</f>
        <v/>
      </c>
      <c r="J151" s="546" t="str">
        <f>REPT(RESULTS!U47,1)</f>
        <v/>
      </c>
      <c r="K151" s="546" t="str">
        <f>REPT(RESULTS!V47,1)</f>
        <v/>
      </c>
      <c r="L151" s="546" t="str">
        <f>REPT(RESULTS!S47,1)</f>
        <v/>
      </c>
      <c r="M151" s="546" t="str">
        <f>REPT(RESULTS!T47,1)</f>
        <v/>
      </c>
      <c r="N151" s="546" t="str">
        <f>REPT(RESULTS!W47,1)</f>
        <v/>
      </c>
      <c r="O151" s="547"/>
      <c r="P151" s="548" t="str">
        <f>REPT(RESULTS!X47,1)</f>
        <v/>
      </c>
      <c r="Q151" s="546" t="str">
        <f>REPT(RESULTS!Z47,1)</f>
        <v/>
      </c>
      <c r="R151" s="549" t="str">
        <f t="shared" ref="R151" si="3">IFERROR(SUM(L151/M151),"")</f>
        <v/>
      </c>
      <c r="S151" s="550" t="str">
        <f t="shared" si="2"/>
        <v/>
      </c>
    </row>
    <row r="152" spans="5:19" ht="14.1" customHeight="1">
      <c r="E152" s="445">
        <v>2</v>
      </c>
      <c r="G152" s="543" t="str">
        <f>REPT(RESULTS!Q48,1)</f>
        <v/>
      </c>
      <c r="H152" s="544"/>
      <c r="I152" s="545" t="str">
        <f>REPT(RESULTS!R48,1)</f>
        <v/>
      </c>
      <c r="J152" s="546" t="str">
        <f>REPT(RESULTS!U48,1)</f>
        <v/>
      </c>
      <c r="K152" s="546" t="str">
        <f>REPT(RESULTS!V48,1)</f>
        <v/>
      </c>
      <c r="L152" s="546" t="str">
        <f>REPT(RESULTS!S48,1)</f>
        <v/>
      </c>
      <c r="M152" s="546" t="str">
        <f>REPT(RESULTS!T48,1)</f>
        <v/>
      </c>
      <c r="N152" s="546" t="str">
        <f>REPT(RESULTS!W48,1)</f>
        <v/>
      </c>
      <c r="O152" s="547"/>
      <c r="P152" s="548" t="str">
        <f>REPT(RESULTS!X48,1)</f>
        <v/>
      </c>
      <c r="Q152" s="546" t="str">
        <f>REPT(RESULTS!Z48,1)</f>
        <v/>
      </c>
      <c r="R152" s="549" t="str">
        <f t="shared" ref="R152:R162" si="4">IFERROR(SUM(L152/M152),"")</f>
        <v/>
      </c>
      <c r="S152" s="550" t="str">
        <f t="shared" si="2"/>
        <v/>
      </c>
    </row>
    <row r="153" spans="5:19" ht="14.1" customHeight="1">
      <c r="E153" s="445">
        <v>3</v>
      </c>
      <c r="G153" s="543" t="str">
        <f>REPT(RESULTS!Q49,1)</f>
        <v/>
      </c>
      <c r="H153" s="544"/>
      <c r="I153" s="545" t="str">
        <f>REPT(RESULTS!R49,1)</f>
        <v/>
      </c>
      <c r="J153" s="546" t="str">
        <f>REPT(RESULTS!U49,1)</f>
        <v/>
      </c>
      <c r="K153" s="546" t="str">
        <f>REPT(RESULTS!V49,1)</f>
        <v/>
      </c>
      <c r="L153" s="546" t="str">
        <f>REPT(RESULTS!S49,1)</f>
        <v/>
      </c>
      <c r="M153" s="546" t="str">
        <f>REPT(RESULTS!T49,1)</f>
        <v/>
      </c>
      <c r="N153" s="546" t="str">
        <f>REPT(RESULTS!W49,1)</f>
        <v/>
      </c>
      <c r="O153" s="547"/>
      <c r="P153" s="548" t="str">
        <f>REPT(RESULTS!X49,1)</f>
        <v/>
      </c>
      <c r="Q153" s="546" t="str">
        <f>REPT(RESULTS!Z49,1)</f>
        <v/>
      </c>
      <c r="R153" s="549" t="str">
        <f t="shared" si="4"/>
        <v/>
      </c>
      <c r="S153" s="550" t="str">
        <f t="shared" si="2"/>
        <v/>
      </c>
    </row>
    <row r="154" spans="5:19" ht="14.1" customHeight="1">
      <c r="E154" s="445">
        <v>4</v>
      </c>
      <c r="G154" s="543" t="str">
        <f>REPT(RESULTS!Q50,1)</f>
        <v/>
      </c>
      <c r="H154" s="544"/>
      <c r="I154" s="545" t="str">
        <f>REPT(RESULTS!R50,1)</f>
        <v/>
      </c>
      <c r="J154" s="546" t="str">
        <f>REPT(RESULTS!U50,1)</f>
        <v/>
      </c>
      <c r="K154" s="546" t="str">
        <f>REPT(RESULTS!V50,1)</f>
        <v/>
      </c>
      <c r="L154" s="546" t="str">
        <f>REPT(RESULTS!S50,1)</f>
        <v/>
      </c>
      <c r="M154" s="546" t="str">
        <f>REPT(RESULTS!T50,1)</f>
        <v/>
      </c>
      <c r="N154" s="546" t="str">
        <f>REPT(RESULTS!W50,1)</f>
        <v/>
      </c>
      <c r="O154" s="547"/>
      <c r="P154" s="548" t="str">
        <f>REPT(RESULTS!X50,1)</f>
        <v/>
      </c>
      <c r="Q154" s="546" t="str">
        <f>REPT(RESULTS!Z50,1)</f>
        <v/>
      </c>
      <c r="R154" s="549" t="str">
        <f t="shared" si="4"/>
        <v/>
      </c>
      <c r="S154" s="550" t="str">
        <f t="shared" si="2"/>
        <v/>
      </c>
    </row>
    <row r="155" spans="5:19" ht="14.1" customHeight="1">
      <c r="E155" s="445">
        <v>5</v>
      </c>
      <c r="G155" s="543" t="str">
        <f>REPT(RESULTS!Q51,1)</f>
        <v/>
      </c>
      <c r="H155" s="544"/>
      <c r="I155" s="545" t="str">
        <f>REPT(RESULTS!R51,1)</f>
        <v/>
      </c>
      <c r="J155" s="546" t="str">
        <f>REPT(RESULTS!U51,1)</f>
        <v/>
      </c>
      <c r="K155" s="546" t="str">
        <f>REPT(RESULTS!V51,1)</f>
        <v/>
      </c>
      <c r="L155" s="546" t="str">
        <f>REPT(RESULTS!S51,1)</f>
        <v/>
      </c>
      <c r="M155" s="546" t="str">
        <f>REPT(RESULTS!T51,1)</f>
        <v/>
      </c>
      <c r="N155" s="546" t="str">
        <f>REPT(RESULTS!W51,1)</f>
        <v/>
      </c>
      <c r="O155" s="547"/>
      <c r="P155" s="548" t="str">
        <f>REPT(RESULTS!X51,1)</f>
        <v/>
      </c>
      <c r="Q155" s="546" t="str">
        <f>REPT(RESULTS!Z51,1)</f>
        <v/>
      </c>
      <c r="R155" s="549" t="str">
        <f t="shared" si="4"/>
        <v/>
      </c>
      <c r="S155" s="550" t="str">
        <f t="shared" si="2"/>
        <v/>
      </c>
    </row>
    <row r="156" spans="5:19" ht="14.1" customHeight="1">
      <c r="E156" s="445">
        <v>6</v>
      </c>
      <c r="G156" s="543" t="str">
        <f>REPT(RESULTS!Q52,1)</f>
        <v/>
      </c>
      <c r="H156" s="544"/>
      <c r="I156" s="545" t="str">
        <f>REPT(RESULTS!R52,1)</f>
        <v/>
      </c>
      <c r="J156" s="546" t="str">
        <f>REPT(RESULTS!U52,1)</f>
        <v/>
      </c>
      <c r="K156" s="546" t="str">
        <f>REPT(RESULTS!V52,1)</f>
        <v/>
      </c>
      <c r="L156" s="546" t="str">
        <f>REPT(RESULTS!S52,1)</f>
        <v/>
      </c>
      <c r="M156" s="546" t="str">
        <f>REPT(RESULTS!T52,1)</f>
        <v/>
      </c>
      <c r="N156" s="546" t="str">
        <f>REPT(RESULTS!W52,1)</f>
        <v/>
      </c>
      <c r="O156" s="547"/>
      <c r="P156" s="548" t="str">
        <f>REPT(RESULTS!X52,1)</f>
        <v/>
      </c>
      <c r="Q156" s="546" t="str">
        <f>REPT(RESULTS!Z52,1)</f>
        <v/>
      </c>
      <c r="R156" s="549" t="str">
        <f t="shared" si="4"/>
        <v/>
      </c>
      <c r="S156" s="550" t="str">
        <f t="shared" si="2"/>
        <v/>
      </c>
    </row>
    <row r="157" spans="5:19" ht="14.1" customHeight="1">
      <c r="E157" s="445">
        <v>7</v>
      </c>
      <c r="G157" s="543" t="str">
        <f>REPT(RESULTS!Q53,1)</f>
        <v/>
      </c>
      <c r="H157" s="544"/>
      <c r="I157" s="545" t="str">
        <f>REPT(RESULTS!R53,1)</f>
        <v/>
      </c>
      <c r="J157" s="546" t="str">
        <f>REPT(RESULTS!U53,1)</f>
        <v/>
      </c>
      <c r="K157" s="546" t="str">
        <f>REPT(RESULTS!V53,1)</f>
        <v/>
      </c>
      <c r="L157" s="546" t="str">
        <f>REPT(RESULTS!S53,1)</f>
        <v/>
      </c>
      <c r="M157" s="546" t="str">
        <f>REPT(RESULTS!T53,1)</f>
        <v/>
      </c>
      <c r="N157" s="546" t="str">
        <f>REPT(RESULTS!W53,1)</f>
        <v/>
      </c>
      <c r="O157" s="547"/>
      <c r="P157" s="548" t="str">
        <f>REPT(RESULTS!X53,1)</f>
        <v/>
      </c>
      <c r="Q157" s="546" t="str">
        <f>REPT(RESULTS!Z53,1)</f>
        <v/>
      </c>
      <c r="R157" s="549" t="str">
        <f t="shared" si="4"/>
        <v/>
      </c>
      <c r="S157" s="550" t="str">
        <f t="shared" si="2"/>
        <v/>
      </c>
    </row>
    <row r="158" spans="5:19" ht="14.1" customHeight="1">
      <c r="E158" s="445">
        <v>8</v>
      </c>
      <c r="G158" s="543" t="str">
        <f>REPT(RESULTS!Q54,1)</f>
        <v/>
      </c>
      <c r="H158" s="544"/>
      <c r="I158" s="545" t="str">
        <f>REPT(RESULTS!R54,1)</f>
        <v/>
      </c>
      <c r="J158" s="546" t="str">
        <f>REPT(RESULTS!U54,1)</f>
        <v/>
      </c>
      <c r="K158" s="546" t="str">
        <f>REPT(RESULTS!V54,1)</f>
        <v/>
      </c>
      <c r="L158" s="546" t="str">
        <f>REPT(RESULTS!S54,1)</f>
        <v/>
      </c>
      <c r="M158" s="546" t="str">
        <f>REPT(RESULTS!T54,1)</f>
        <v/>
      </c>
      <c r="N158" s="546" t="str">
        <f>REPT(RESULTS!W54,1)</f>
        <v/>
      </c>
      <c r="O158" s="547"/>
      <c r="P158" s="548" t="str">
        <f>REPT(RESULTS!X54,1)</f>
        <v/>
      </c>
      <c r="Q158" s="546" t="str">
        <f>REPT(RESULTS!Z54,1)</f>
        <v/>
      </c>
      <c r="R158" s="549" t="str">
        <f t="shared" si="4"/>
        <v/>
      </c>
      <c r="S158" s="550" t="str">
        <f t="shared" si="2"/>
        <v/>
      </c>
    </row>
    <row r="159" spans="5:19" ht="14.1" customHeight="1">
      <c r="E159" s="445">
        <v>9</v>
      </c>
      <c r="G159" s="543" t="str">
        <f>REPT(RESULTS!Q55,1)</f>
        <v/>
      </c>
      <c r="H159" s="544"/>
      <c r="I159" s="545" t="str">
        <f>REPT(RESULTS!R55,1)</f>
        <v/>
      </c>
      <c r="J159" s="546" t="str">
        <f>REPT(RESULTS!U55,1)</f>
        <v/>
      </c>
      <c r="K159" s="546" t="str">
        <f>REPT(RESULTS!V55,1)</f>
        <v/>
      </c>
      <c r="L159" s="546" t="str">
        <f>REPT(RESULTS!S55,1)</f>
        <v/>
      </c>
      <c r="M159" s="546" t="str">
        <f>REPT(RESULTS!T55,1)</f>
        <v/>
      </c>
      <c r="N159" s="546" t="str">
        <f>REPT(RESULTS!W55,1)</f>
        <v/>
      </c>
      <c r="O159" s="547"/>
      <c r="P159" s="548" t="str">
        <f>REPT(RESULTS!X55,1)</f>
        <v/>
      </c>
      <c r="Q159" s="546" t="str">
        <f>REPT(RESULTS!Z55,1)</f>
        <v/>
      </c>
      <c r="R159" s="549" t="str">
        <f t="shared" si="4"/>
        <v/>
      </c>
      <c r="S159" s="550" t="str">
        <f t="shared" si="2"/>
        <v/>
      </c>
    </row>
    <row r="160" spans="5:19" ht="14.1" customHeight="1">
      <c r="E160" s="445">
        <v>10</v>
      </c>
      <c r="G160" s="543" t="str">
        <f>REPT(RESULTS!Q56,1)</f>
        <v/>
      </c>
      <c r="H160" s="544"/>
      <c r="I160" s="545" t="str">
        <f>REPT(RESULTS!R56,1)</f>
        <v/>
      </c>
      <c r="J160" s="546" t="str">
        <f>REPT(RESULTS!U56,1)</f>
        <v/>
      </c>
      <c r="K160" s="546" t="str">
        <f>REPT(RESULTS!V56,1)</f>
        <v/>
      </c>
      <c r="L160" s="546" t="str">
        <f>REPT(RESULTS!S56,1)</f>
        <v/>
      </c>
      <c r="M160" s="546" t="str">
        <f>REPT(RESULTS!T56,1)</f>
        <v/>
      </c>
      <c r="N160" s="546" t="str">
        <f>REPT(RESULTS!W56,1)</f>
        <v/>
      </c>
      <c r="O160" s="547"/>
      <c r="P160" s="548" t="str">
        <f>REPT(RESULTS!X56,1)</f>
        <v/>
      </c>
      <c r="Q160" s="546" t="str">
        <f>REPT(RESULTS!Z56,1)</f>
        <v/>
      </c>
      <c r="R160" s="549" t="str">
        <f t="shared" si="4"/>
        <v/>
      </c>
      <c r="S160" s="550" t="str">
        <f t="shared" si="2"/>
        <v/>
      </c>
    </row>
    <row r="161" spans="5:19" ht="14.1" customHeight="1">
      <c r="E161" s="445">
        <v>11</v>
      </c>
      <c r="G161" s="543" t="str">
        <f>REPT(RESULTS!Q57,1)</f>
        <v/>
      </c>
      <c r="H161" s="544"/>
      <c r="I161" s="545" t="str">
        <f>REPT(RESULTS!R57,1)</f>
        <v/>
      </c>
      <c r="J161" s="546" t="str">
        <f>REPT(RESULTS!U57,1)</f>
        <v/>
      </c>
      <c r="K161" s="546" t="str">
        <f>REPT(RESULTS!V57,1)</f>
        <v/>
      </c>
      <c r="L161" s="546" t="str">
        <f>REPT(RESULTS!S57,1)</f>
        <v/>
      </c>
      <c r="M161" s="546" t="str">
        <f>REPT(RESULTS!T57,1)</f>
        <v/>
      </c>
      <c r="N161" s="546" t="str">
        <f>REPT(RESULTS!W57,1)</f>
        <v/>
      </c>
      <c r="O161" s="547"/>
      <c r="P161" s="548" t="str">
        <f>REPT(RESULTS!X57,1)</f>
        <v/>
      </c>
      <c r="Q161" s="546" t="str">
        <f>REPT(RESULTS!Z57,1)</f>
        <v/>
      </c>
      <c r="R161" s="549" t="str">
        <f t="shared" si="4"/>
        <v/>
      </c>
      <c r="S161" s="550" t="str">
        <f t="shared" si="2"/>
        <v/>
      </c>
    </row>
    <row r="162" spans="5:19" ht="14.1" customHeight="1">
      <c r="E162" s="445">
        <v>12</v>
      </c>
      <c r="G162" s="543" t="str">
        <f>REPT(RESULTS!Q58,1)</f>
        <v/>
      </c>
      <c r="H162" s="544"/>
      <c r="I162" s="545" t="str">
        <f>REPT(RESULTS!R58,1)</f>
        <v/>
      </c>
      <c r="J162" s="546" t="str">
        <f>REPT(RESULTS!U58,1)</f>
        <v/>
      </c>
      <c r="K162" s="546" t="str">
        <f>REPT(RESULTS!V58,1)</f>
        <v/>
      </c>
      <c r="L162" s="546" t="str">
        <f>REPT(RESULTS!S58,1)</f>
        <v/>
      </c>
      <c r="M162" s="546" t="str">
        <f>REPT(RESULTS!T58,1)</f>
        <v/>
      </c>
      <c r="N162" s="546" t="str">
        <f>REPT(RESULTS!W58,1)</f>
        <v/>
      </c>
      <c r="O162" s="547"/>
      <c r="P162" s="548" t="str">
        <f>REPT(RESULTS!X58,1)</f>
        <v/>
      </c>
      <c r="Q162" s="546" t="str">
        <f>REPT(RESULTS!Z58,1)</f>
        <v/>
      </c>
      <c r="R162" s="549" t="str">
        <f t="shared" si="4"/>
        <v/>
      </c>
      <c r="S162" s="550" t="str">
        <f t="shared" si="2"/>
        <v/>
      </c>
    </row>
    <row r="163" spans="5:19" ht="14.1" customHeight="1"/>
    <row r="164" spans="5:19" ht="14.1" customHeight="1"/>
    <row r="165" spans="5:19" ht="14.1" customHeight="1"/>
    <row r="166" spans="5:19" ht="14.1" customHeight="1"/>
    <row r="167" spans="5:19" ht="14.1" customHeight="1"/>
    <row r="168" spans="5:19" ht="14.1" customHeight="1"/>
    <row r="169" spans="5:19" ht="14.1" customHeight="1"/>
    <row r="170" spans="5:19" ht="14.1" customHeight="1"/>
    <row r="171" spans="5:19" ht="14.1" customHeight="1"/>
    <row r="172" spans="5:19" ht="14.1" customHeight="1"/>
    <row r="173" spans="5:19" ht="14.1" customHeight="1"/>
    <row r="174" spans="5:19" ht="14.1" customHeight="1"/>
    <row r="175" spans="5:19" ht="14.1" customHeight="1"/>
    <row r="176" spans="5:19" ht="14.1" customHeight="1"/>
    <row r="177" ht="14.1" customHeight="1"/>
    <row r="178" ht="14.1" customHeight="1"/>
    <row r="179" ht="14.1" customHeight="1"/>
    <row r="180" ht="14.1" customHeight="1"/>
    <row r="181" ht="14.1" customHeight="1"/>
    <row r="182" ht="14.1" customHeight="1"/>
    <row r="183" ht="14.1" customHeight="1"/>
    <row r="184" ht="14.1" customHeight="1"/>
    <row r="185" ht="14.1" customHeight="1"/>
    <row r="186" ht="14.1" customHeight="1"/>
    <row r="187" ht="14.1" customHeight="1"/>
    <row r="188" ht="14.1" customHeight="1"/>
    <row r="189" ht="14.1" customHeight="1"/>
    <row r="190" ht="14.1" customHeight="1"/>
    <row r="191" ht="14.1" customHeight="1"/>
    <row r="192" ht="14.1" customHeight="1"/>
    <row r="193" ht="14.1" customHeight="1"/>
    <row r="194" ht="14.1" customHeight="1"/>
    <row r="195" ht="14.1" customHeight="1"/>
    <row r="196" ht="14.1" customHeight="1"/>
    <row r="197" ht="14.1" customHeight="1"/>
    <row r="198" ht="14.1" customHeight="1"/>
    <row r="199" ht="14.1" customHeight="1"/>
    <row r="200" ht="14.1" customHeight="1"/>
    <row r="201" ht="14.1" customHeight="1"/>
    <row r="202" ht="14.1" customHeight="1"/>
    <row r="203" ht="14.1" customHeight="1"/>
    <row r="204" ht="14.1" customHeight="1"/>
    <row r="205" ht="14.1" customHeight="1"/>
    <row r="206" ht="14.1" customHeight="1"/>
    <row r="207" ht="14.1" customHeight="1"/>
    <row r="208" ht="14.1" customHeight="1"/>
    <row r="209" ht="14.1" customHeight="1"/>
    <row r="210" ht="14.1" customHeight="1"/>
    <row r="211" ht="14.1" customHeight="1"/>
    <row r="212" ht="14.1" customHeight="1"/>
    <row r="213" ht="14.1" customHeight="1"/>
    <row r="214" ht="14.1" customHeight="1"/>
    <row r="215" ht="14.1" customHeight="1"/>
    <row r="216" ht="14.1" customHeight="1"/>
    <row r="217" ht="14.1" customHeight="1"/>
    <row r="218" ht="14.1" customHeight="1"/>
    <row r="219" ht="14.1" customHeight="1"/>
    <row r="220" ht="14.1" customHeight="1"/>
    <row r="221" ht="14.1" customHeight="1"/>
    <row r="222" ht="14.1" customHeight="1"/>
    <row r="223" ht="14.1" customHeight="1"/>
    <row r="224" ht="14.1" customHeight="1"/>
    <row r="225" ht="14.1" customHeight="1"/>
    <row r="226" ht="14.1" customHeight="1"/>
    <row r="227" ht="14.1" customHeight="1"/>
    <row r="228" ht="14.1" customHeight="1"/>
    <row r="229" ht="14.1" customHeight="1"/>
    <row r="230" ht="14.1" customHeight="1"/>
    <row r="231" ht="14.1" customHeight="1"/>
    <row r="232" ht="14.1" customHeight="1"/>
    <row r="233" ht="14.1" customHeight="1"/>
    <row r="234" ht="14.1" customHeight="1"/>
    <row r="235" ht="14.1" customHeight="1"/>
    <row r="236" ht="14.1" customHeight="1"/>
    <row r="237" ht="14.1" customHeight="1"/>
    <row r="238" ht="14.1" customHeight="1"/>
    <row r="239" ht="14.1" customHeight="1"/>
    <row r="240" ht="14.1" customHeight="1"/>
    <row r="241" ht="14.1" customHeight="1"/>
    <row r="242" ht="14.1" customHeight="1"/>
    <row r="243" ht="14.1" customHeight="1"/>
    <row r="244" ht="14.1" customHeight="1"/>
    <row r="245" ht="14.1" customHeight="1"/>
    <row r="246" ht="14.1" customHeight="1"/>
    <row r="247" ht="14.1" customHeight="1"/>
    <row r="248" ht="14.1" customHeight="1"/>
    <row r="249" ht="14.1" customHeight="1"/>
    <row r="250" ht="14.1" customHeight="1"/>
  </sheetData>
  <sheetProtection algorithmName="SHA-512" hashValue="8+jx3bTDAUXoRWM0keuVl9BofywmQYyqiL9tBk15S/dyYqqtNZd5VPeQQeIJ9sb5wNTkFt7FnqH5nz5vovLOjw==" saltValue="wNDGa0i4hRRiEaUkRBXvhw==" spinCount="100000" sheet="1" objects="1" scenarios="1" selectLockedCells="1"/>
  <mergeCells count="103">
    <mergeCell ref="G120:H120"/>
    <mergeCell ref="O120:P120"/>
    <mergeCell ref="G122:H122"/>
    <mergeCell ref="O122:P122"/>
    <mergeCell ref="G112:H112"/>
    <mergeCell ref="O112:P112"/>
    <mergeCell ref="G114:H114"/>
    <mergeCell ref="O114:P114"/>
    <mergeCell ref="L115:M115"/>
    <mergeCell ref="G106:H106"/>
    <mergeCell ref="O106:P106"/>
    <mergeCell ref="G108:H108"/>
    <mergeCell ref="O108:P108"/>
    <mergeCell ref="G110:H110"/>
    <mergeCell ref="O110:P110"/>
    <mergeCell ref="G100:H100"/>
    <mergeCell ref="O100:P100"/>
    <mergeCell ref="G102:H102"/>
    <mergeCell ref="O102:P102"/>
    <mergeCell ref="G104:H104"/>
    <mergeCell ref="O104:P104"/>
    <mergeCell ref="G92:H92"/>
    <mergeCell ref="O92:P92"/>
    <mergeCell ref="G94:H94"/>
    <mergeCell ref="O94:P94"/>
    <mergeCell ref="L95:M95"/>
    <mergeCell ref="G86:H86"/>
    <mergeCell ref="O86:P86"/>
    <mergeCell ref="G88:H88"/>
    <mergeCell ref="O88:P88"/>
    <mergeCell ref="G90:H90"/>
    <mergeCell ref="O90:P90"/>
    <mergeCell ref="G40:H40"/>
    <mergeCell ref="O40:P40"/>
    <mergeCell ref="G42:H42"/>
    <mergeCell ref="O42:P42"/>
    <mergeCell ref="G80:H80"/>
    <mergeCell ref="O80:P80"/>
    <mergeCell ref="G82:H82"/>
    <mergeCell ref="O82:P82"/>
    <mergeCell ref="G84:H84"/>
    <mergeCell ref="O84:P84"/>
    <mergeCell ref="O62:P62"/>
    <mergeCell ref="G62:H62"/>
    <mergeCell ref="O60:P60"/>
    <mergeCell ref="G60:H60"/>
    <mergeCell ref="L75:M75"/>
    <mergeCell ref="O74:P74"/>
    <mergeCell ref="G74:H74"/>
    <mergeCell ref="O72:P72"/>
    <mergeCell ref="G72:H72"/>
    <mergeCell ref="G66:H66"/>
    <mergeCell ref="O64:P64"/>
    <mergeCell ref="G64:H64"/>
    <mergeCell ref="G52:H52"/>
    <mergeCell ref="O52:P52"/>
    <mergeCell ref="G54:H54"/>
    <mergeCell ref="O54:P54"/>
    <mergeCell ref="O70:P70"/>
    <mergeCell ref="G46:H46"/>
    <mergeCell ref="O46:P46"/>
    <mergeCell ref="G48:H48"/>
    <mergeCell ref="O48:P48"/>
    <mergeCell ref="G50:H50"/>
    <mergeCell ref="O50:P50"/>
    <mergeCell ref="G20:H20"/>
    <mergeCell ref="G22:H22"/>
    <mergeCell ref="G24:H24"/>
    <mergeCell ref="G26:H26"/>
    <mergeCell ref="G28:H28"/>
    <mergeCell ref="G30:H30"/>
    <mergeCell ref="G32:H32"/>
    <mergeCell ref="R125:S125"/>
    <mergeCell ref="G44:H44"/>
    <mergeCell ref="O44:P44"/>
    <mergeCell ref="G34:H34"/>
    <mergeCell ref="O20:P20"/>
    <mergeCell ref="O22:P22"/>
    <mergeCell ref="O24:P24"/>
    <mergeCell ref="O26:P26"/>
    <mergeCell ref="O28:P28"/>
    <mergeCell ref="O30:P30"/>
    <mergeCell ref="O32:P32"/>
    <mergeCell ref="O34:P34"/>
    <mergeCell ref="L35:M35"/>
    <mergeCell ref="R38:S38"/>
    <mergeCell ref="G70:H70"/>
    <mergeCell ref="O68:P68"/>
    <mergeCell ref="G68:H68"/>
    <mergeCell ref="R134:S134"/>
    <mergeCell ref="Q126:S126"/>
    <mergeCell ref="R58:S58"/>
    <mergeCell ref="R11:S11"/>
    <mergeCell ref="R13:S13"/>
    <mergeCell ref="Q14:S14"/>
    <mergeCell ref="L16:M16"/>
    <mergeCell ref="L55:M55"/>
    <mergeCell ref="R18:S18"/>
    <mergeCell ref="O66:P66"/>
    <mergeCell ref="R118:S118"/>
    <mergeCell ref="L125:M125"/>
    <mergeCell ref="Q78:S78"/>
    <mergeCell ref="Q98:S98"/>
  </mergeCells>
  <conditionalFormatting sqref="B22 D22:E22 L22:M22 U22:V22 B26 D26:E26 L26:M26 U26:V26 L30:M30 U30:V30 B30:B34 D30:E34 G32:S34 U32:V34 B52:V54 B62:E62 U62:V62 B66:E66 U66:V66 B70:E74 U70:V74 G72:S74 B92:V94 B112:V114">
    <cfRule type="expression" dxfId="155" priority="10">
      <formula>$AB$1=3</formula>
    </cfRule>
  </conditionalFormatting>
  <conditionalFormatting sqref="B22 D22:E22 L22:M22 U22:V22 B26:E26 L26:M26 U26:V26 B30:E30 L30:M30 U30:V30 B34:E34 L34:M34 U34:V34 B62:E62 L62:M62 U62:V62 B66:E66 L66:M66 U66:V66 B70:E70 L70:M70 U70:V70 B74:E74 L74:M74 U74:V74">
    <cfRule type="expression" dxfId="154" priority="6">
      <formula>$AB$1=2</formula>
    </cfRule>
  </conditionalFormatting>
  <conditionalFormatting sqref="B54:E54 U54:V54 B42:E42 U42:V42 B46:E46 U46:V46 B50:E50 U50:V50 T98:V98">
    <cfRule type="expression" dxfId="153" priority="14">
      <formula>$AB$1=1</formula>
    </cfRule>
  </conditionalFormatting>
  <conditionalFormatting sqref="B100:J114 O100:V114 B115:V115 B116:K116 N116:V116 B98:Q98 B99:V99">
    <cfRule type="expression" dxfId="152" priority="11">
      <formula>$AB$1=1</formula>
    </cfRule>
  </conditionalFormatting>
  <conditionalFormatting sqref="K22 K26 K30 K34 K62 K66 K70 K74">
    <cfRule type="expression" dxfId="151" priority="5">
      <formula>$AB$1=2</formula>
    </cfRule>
  </conditionalFormatting>
  <conditionalFormatting sqref="K22 K26 K30 K62 K66 K70">
    <cfRule type="expression" dxfId="150" priority="9">
      <formula>$AB$1=3</formula>
    </cfRule>
  </conditionalFormatting>
  <conditionalFormatting sqref="K42 K46 K50 K54">
    <cfRule type="expression" dxfId="149" priority="2">
      <formula>$AB$1=1</formula>
    </cfRule>
  </conditionalFormatting>
  <conditionalFormatting sqref="L42:M42 L46:M46 L50:M50 L54:M54 K100:N116">
    <cfRule type="expression" dxfId="148" priority="3">
      <formula>$AB$1=1</formula>
    </cfRule>
  </conditionalFormatting>
  <conditionalFormatting sqref="L62:M62 L66:M66 L70:M70">
    <cfRule type="expression" dxfId="147" priority="7">
      <formula>$AB$1=3</formula>
    </cfRule>
  </conditionalFormatting>
  <conditionalFormatting sqref="N22 N26 N30 N34 N62 N66 N70 N74">
    <cfRule type="expression" dxfId="146" priority="4">
      <formula>$AB$1=2</formula>
    </cfRule>
  </conditionalFormatting>
  <conditionalFormatting sqref="N22 N26 N30 N62 N66 N70">
    <cfRule type="expression" dxfId="145" priority="8">
      <formula>$AB$1=3</formula>
    </cfRule>
  </conditionalFormatting>
  <conditionalFormatting sqref="N42 N46 N50 N54">
    <cfRule type="expression" dxfId="144" priority="1">
      <formula>$AB$1=1</formula>
    </cfRule>
  </conditionalFormatting>
  <pageMargins left="0.77" right="0.41" top="0.21" bottom="0.17" header="0.31496062992125984" footer="0.31496062992125984"/>
  <pageSetup paperSize="9" scale="32"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0E9A12-8E76-49D4-BE4C-E2995D639646}">
  <sheetPr>
    <tabColor rgb="FFFFFF00"/>
  </sheetPr>
  <dimension ref="A2:IZ473"/>
  <sheetViews>
    <sheetView showGridLines="0" zoomScale="85" zoomScaleNormal="85" workbookViewId="0">
      <selection activeCell="F16" sqref="F16"/>
    </sheetView>
  </sheetViews>
  <sheetFormatPr baseColWidth="10" defaultColWidth="10.85546875" defaultRowHeight="15"/>
  <cols>
    <col min="1" max="1" width="10.85546875" style="118"/>
    <col min="2" max="2" width="10.42578125" style="118" customWidth="1"/>
    <col min="3" max="3" width="15.7109375" style="118" customWidth="1"/>
    <col min="4" max="10" width="11.42578125" style="118" customWidth="1"/>
    <col min="11" max="11" width="3.42578125" style="118" customWidth="1"/>
    <col min="12" max="12" width="15.140625" style="118" customWidth="1"/>
    <col min="13" max="13" width="2.42578125" style="118" customWidth="1"/>
    <col min="14" max="14" width="10.85546875" style="118"/>
    <col min="15" max="15" width="2.42578125" style="118" customWidth="1"/>
    <col min="16" max="16" width="15.140625" style="118" customWidth="1"/>
    <col min="17" max="17" width="3.42578125" style="118" customWidth="1"/>
    <col min="18" max="18" width="15.7109375" style="118" customWidth="1"/>
    <col min="19" max="25" width="11.42578125" style="118" customWidth="1"/>
    <col min="26" max="26" width="10.42578125" style="118" customWidth="1"/>
    <col min="27" max="27" width="10.85546875" style="173" hidden="1" customWidth="1"/>
    <col min="28" max="28" width="11" style="173" hidden="1" customWidth="1"/>
    <col min="29" max="30" width="10.85546875" style="173" hidden="1" customWidth="1"/>
    <col min="31" max="32" width="11.140625" style="173" hidden="1" customWidth="1"/>
    <col min="33" max="37" width="11" style="173" hidden="1" customWidth="1"/>
    <col min="38" max="38" width="11.85546875" style="173" hidden="1" customWidth="1"/>
    <col min="39" max="39" width="11.140625" style="173" hidden="1" customWidth="1"/>
    <col min="40" max="44" width="10.85546875" style="173" hidden="1" customWidth="1"/>
    <col min="45" max="46" width="11.140625" style="173" hidden="1" customWidth="1"/>
    <col min="47" max="47" width="10.85546875" style="173" hidden="1" customWidth="1"/>
    <col min="48" max="51" width="11" style="173" hidden="1" customWidth="1"/>
    <col min="52" max="52" width="11.85546875" style="173" hidden="1" customWidth="1"/>
    <col min="53" max="53" width="11.140625" style="173" hidden="1" customWidth="1"/>
    <col min="54" max="54" width="10.85546875" style="173" hidden="1" customWidth="1"/>
    <col min="55" max="55" width="8.42578125" style="173" hidden="1" customWidth="1"/>
    <col min="56" max="60" width="5.42578125" style="173" hidden="1" customWidth="1"/>
    <col min="61" max="61" width="8.42578125" style="118" hidden="1" customWidth="1"/>
    <col min="62" max="62" width="10.85546875" style="118" hidden="1" customWidth="1"/>
    <col min="63" max="67" width="11" style="118" hidden="1" customWidth="1"/>
    <col min="68" max="68" width="14.42578125" style="118" hidden="1" customWidth="1"/>
    <col min="69" max="80" width="11" style="118" hidden="1" customWidth="1"/>
    <col min="81" max="81" width="10.85546875" style="118" hidden="1" customWidth="1"/>
    <col min="82" max="88" width="11" style="118" hidden="1" customWidth="1"/>
    <col min="89" max="89" width="10.85546875" style="118" hidden="1" customWidth="1"/>
    <col min="90" max="109" width="11" style="118" hidden="1" customWidth="1"/>
    <col min="110" max="110" width="10.85546875" style="118" hidden="1" customWidth="1"/>
    <col min="111" max="111" width="8.42578125" style="118" hidden="1" customWidth="1"/>
    <col min="112" max="112" width="7.85546875" style="118" hidden="1" customWidth="1"/>
    <col min="113" max="113" width="12.42578125" style="118" hidden="1" customWidth="1"/>
    <col min="114" max="114" width="5.85546875" style="118" hidden="1" customWidth="1"/>
    <col min="115" max="115" width="8.140625" style="118" hidden="1" customWidth="1"/>
    <col min="116" max="116" width="8.42578125" style="118" hidden="1" customWidth="1"/>
    <col min="117" max="117" width="11" style="118" hidden="1" customWidth="1"/>
    <col min="118" max="119" width="10.85546875" style="118" hidden="1" customWidth="1"/>
    <col min="120" max="135" width="11" style="118" hidden="1" customWidth="1"/>
    <col min="136" max="137" width="10.85546875" style="118" hidden="1" customWidth="1"/>
    <col min="138" max="138" width="11" style="118" hidden="1" customWidth="1"/>
    <col min="139" max="140" width="10.85546875" style="118" hidden="1" customWidth="1"/>
    <col min="141" max="141" width="11" style="118" hidden="1" customWidth="1"/>
    <col min="142" max="142" width="10.85546875" style="118" hidden="1" customWidth="1"/>
    <col min="143" max="162" width="11" style="118" hidden="1" customWidth="1"/>
    <col min="163" max="163" width="10.85546875" style="118" hidden="1" customWidth="1"/>
    <col min="164" max="183" width="11" style="118" hidden="1" customWidth="1"/>
    <col min="184" max="229" width="10.85546875" style="118" hidden="1" customWidth="1"/>
    <col min="230" max="230" width="13.85546875" style="118" hidden="1" customWidth="1"/>
    <col min="231" max="231" width="11.42578125" hidden="1" customWidth="1"/>
    <col min="232" max="260" width="10.85546875" style="118" hidden="1" customWidth="1"/>
    <col min="261" max="286" width="10.85546875" style="118" customWidth="1"/>
    <col min="287" max="16384" width="10.85546875" style="118"/>
  </cols>
  <sheetData>
    <row r="2" spans="1:238">
      <c r="B2" s="170"/>
      <c r="C2" s="171"/>
      <c r="D2" s="171"/>
      <c r="E2" s="171"/>
      <c r="F2" s="171"/>
      <c r="G2" s="171"/>
      <c r="H2" s="171"/>
      <c r="I2" s="171"/>
      <c r="J2" s="171"/>
      <c r="K2" s="171"/>
      <c r="L2" s="171"/>
      <c r="M2" s="171"/>
      <c r="N2" s="171"/>
      <c r="O2" s="171"/>
      <c r="P2" s="171"/>
      <c r="Q2" s="171"/>
      <c r="R2" s="171"/>
      <c r="S2" s="171"/>
      <c r="T2" s="171"/>
      <c r="U2" s="171"/>
      <c r="V2" s="171"/>
      <c r="W2" s="171"/>
      <c r="X2" s="171"/>
      <c r="Y2" s="171"/>
      <c r="Z2" s="172"/>
    </row>
    <row r="3" spans="1:238" ht="24.75">
      <c r="B3" s="174"/>
      <c r="C3" s="175" t="s">
        <v>851</v>
      </c>
      <c r="D3" s="176" t="str">
        <f>REPT(Sprache!K52,1)</f>
        <v>MANNSCHAFTSMEISTERSCHAFT</v>
      </c>
      <c r="E3" s="177"/>
      <c r="F3" s="178"/>
      <c r="G3" s="178"/>
      <c r="H3" s="178"/>
      <c r="I3" s="179"/>
      <c r="J3" s="180"/>
      <c r="K3" s="181"/>
      <c r="L3" s="635" t="str">
        <f>REPT(Sprache!K54,1)</f>
        <v>LIGA</v>
      </c>
      <c r="M3" s="636"/>
      <c r="N3" s="636"/>
      <c r="O3" s="636"/>
      <c r="P3" s="637"/>
      <c r="Q3" s="181"/>
      <c r="R3" s="180"/>
      <c r="S3" s="175" t="s">
        <v>885</v>
      </c>
      <c r="T3" s="176" t="str">
        <f>REPT(Steuerung!AF2,1)</f>
        <v>2425R10?</v>
      </c>
      <c r="U3" s="178"/>
      <c r="V3" s="178"/>
      <c r="W3" s="178"/>
      <c r="X3" s="178"/>
      <c r="Y3" s="179"/>
      <c r="Z3" s="182"/>
      <c r="AA3" s="183"/>
      <c r="AB3" s="183"/>
      <c r="AC3" s="183"/>
      <c r="AD3" s="183"/>
      <c r="AE3" s="183"/>
      <c r="AF3" s="183"/>
      <c r="AG3" s="183"/>
      <c r="AH3" s="183"/>
      <c r="AI3" s="183"/>
      <c r="AJ3" s="183"/>
      <c r="AK3" s="183"/>
      <c r="AL3" s="183"/>
      <c r="AM3" s="183"/>
      <c r="AN3" s="183"/>
      <c r="AO3" s="183"/>
      <c r="AP3" s="183"/>
      <c r="AQ3" s="183"/>
      <c r="AR3" s="183"/>
      <c r="AS3" s="183"/>
      <c r="AT3" s="183"/>
      <c r="AU3" s="183"/>
      <c r="AV3" s="183"/>
      <c r="AW3" s="183"/>
      <c r="AX3" s="183"/>
      <c r="AY3" s="183"/>
      <c r="AZ3" s="183"/>
      <c r="BA3" s="183"/>
      <c r="BB3" s="183"/>
      <c r="BC3" s="183"/>
      <c r="BD3" s="183"/>
      <c r="BE3" s="183"/>
      <c r="BF3" s="183"/>
      <c r="BG3" s="183"/>
      <c r="BH3" s="183"/>
    </row>
    <row r="4" spans="1:238" ht="18">
      <c r="B4" s="184"/>
      <c r="C4" s="185"/>
      <c r="D4" s="185"/>
      <c r="E4" s="186"/>
      <c r="F4" s="185"/>
      <c r="G4" s="185"/>
      <c r="H4" s="185"/>
      <c r="I4" s="185"/>
      <c r="J4" s="181"/>
      <c r="K4" s="181"/>
      <c r="L4" s="181"/>
      <c r="M4" s="181"/>
      <c r="N4" s="181"/>
      <c r="O4" s="181"/>
      <c r="P4" s="181"/>
      <c r="Q4" s="181"/>
      <c r="R4" s="181"/>
      <c r="S4" s="185"/>
      <c r="T4" s="185"/>
      <c r="U4" s="185"/>
      <c r="V4" s="185"/>
      <c r="W4" s="185"/>
      <c r="X4" s="185"/>
      <c r="Y4" s="185"/>
      <c r="Z4" s="187"/>
      <c r="AA4" s="188"/>
      <c r="AB4" s="188"/>
      <c r="AC4" s="188"/>
      <c r="AD4" s="188"/>
      <c r="AE4" s="188"/>
      <c r="AF4" s="188"/>
      <c r="AG4" s="188"/>
      <c r="AH4" s="188"/>
      <c r="AI4" s="188"/>
      <c r="AJ4" s="188"/>
      <c r="AK4" s="188"/>
      <c r="AL4" s="188"/>
      <c r="AM4" s="188"/>
      <c r="AN4" s="188"/>
      <c r="AO4" s="188"/>
      <c r="AP4" s="188"/>
      <c r="AQ4" s="188"/>
      <c r="AR4" s="188"/>
      <c r="AS4" s="188"/>
      <c r="AT4" s="188"/>
      <c r="AU4" s="188"/>
      <c r="AV4" s="188"/>
      <c r="AW4" s="188"/>
      <c r="AX4" s="188"/>
      <c r="AY4" s="188"/>
      <c r="AZ4" s="188"/>
      <c r="BA4" s="188"/>
      <c r="BB4" s="188"/>
      <c r="BC4" s="188"/>
      <c r="BD4" s="188"/>
      <c r="BE4" s="188"/>
      <c r="BF4" s="188"/>
      <c r="BG4" s="188"/>
      <c r="BH4" s="188"/>
    </row>
    <row r="5" spans="1:238" ht="19.5">
      <c r="B5" s="184"/>
      <c r="C5" s="189" t="str">
        <f>REPT(Sprache!K19,1)</f>
        <v>RUNDE</v>
      </c>
      <c r="D5" s="190"/>
      <c r="E5" s="190" t="str">
        <f>REPT(Steuerung!P2,1)</f>
        <v>R10</v>
      </c>
      <c r="F5" s="190"/>
      <c r="G5" s="190"/>
      <c r="H5" s="190"/>
      <c r="I5" s="167"/>
      <c r="J5" s="181"/>
      <c r="K5" s="181"/>
      <c r="L5" s="638" t="str">
        <f>REPT(Steuerung!Y2,1)</f>
        <v>?</v>
      </c>
      <c r="M5" s="639"/>
      <c r="N5" s="639"/>
      <c r="O5" s="639"/>
      <c r="P5" s="640"/>
      <c r="Q5" s="181"/>
      <c r="R5" s="181"/>
      <c r="S5" s="189" t="str">
        <f>REPT(Sprache!K23,1)</f>
        <v>DATUM</v>
      </c>
      <c r="T5" s="160" t="str">
        <f>REPT(Start!D22,1)</f>
        <v>08./09.02.25</v>
      </c>
      <c r="U5" s="190"/>
      <c r="V5" s="190"/>
      <c r="W5" s="190"/>
      <c r="X5" s="190"/>
      <c r="Y5" s="167"/>
      <c r="Z5" s="187"/>
      <c r="AA5" s="188"/>
      <c r="AB5" s="188"/>
      <c r="AC5" s="188"/>
      <c r="AD5" s="188"/>
      <c r="AE5" s="188"/>
      <c r="AF5" s="188"/>
      <c r="AG5" s="188"/>
      <c r="AH5" s="188"/>
      <c r="AI5" s="188"/>
      <c r="AJ5" s="188"/>
      <c r="AK5" s="188"/>
      <c r="AL5" s="188"/>
      <c r="AM5" s="188"/>
      <c r="AN5" s="188"/>
      <c r="AO5" s="188"/>
      <c r="AP5" s="188"/>
      <c r="AQ5" s="188"/>
      <c r="AR5" s="188"/>
      <c r="AS5" s="188"/>
      <c r="AT5" s="188"/>
      <c r="AU5" s="188"/>
      <c r="AV5" s="188"/>
      <c r="AW5" s="188"/>
      <c r="AX5" s="188"/>
      <c r="AY5" s="188"/>
      <c r="AZ5" s="188"/>
      <c r="BA5" s="188"/>
      <c r="BB5" s="188"/>
      <c r="BC5" s="188"/>
      <c r="BD5" s="188"/>
      <c r="BE5" s="188"/>
      <c r="BF5" s="188"/>
      <c r="BG5" s="188"/>
      <c r="BH5" s="188"/>
    </row>
    <row r="6" spans="1:238" ht="18">
      <c r="B6" s="184"/>
      <c r="C6" s="185"/>
      <c r="D6" s="185"/>
      <c r="E6" s="186"/>
      <c r="F6" s="185"/>
      <c r="G6" s="185"/>
      <c r="H6" s="185"/>
      <c r="I6" s="185"/>
      <c r="J6" s="181"/>
      <c r="K6" s="181"/>
      <c r="L6" s="181"/>
      <c r="M6" s="181"/>
      <c r="N6" s="181"/>
      <c r="O6" s="181"/>
      <c r="P6" s="181"/>
      <c r="Q6" s="181"/>
      <c r="R6" s="181"/>
      <c r="S6" s="185"/>
      <c r="T6" s="185"/>
      <c r="U6" s="185"/>
      <c r="V6" s="185"/>
      <c r="W6" s="185"/>
      <c r="X6" s="185"/>
      <c r="Y6" s="185"/>
      <c r="Z6" s="187"/>
      <c r="AA6" s="188"/>
      <c r="AB6" s="188"/>
      <c r="AC6" s="188"/>
      <c r="AD6" s="188"/>
      <c r="AE6" s="188"/>
      <c r="AF6" s="188"/>
      <c r="AG6" s="188"/>
      <c r="AH6" s="188"/>
      <c r="AI6" s="188"/>
      <c r="AJ6" s="188"/>
      <c r="AK6" s="188"/>
      <c r="AL6" s="188"/>
      <c r="AM6" s="188"/>
      <c r="AN6" s="188"/>
      <c r="AO6" s="188"/>
      <c r="AP6" s="188"/>
      <c r="AQ6" s="188"/>
      <c r="AR6" s="188"/>
      <c r="AS6" s="188"/>
      <c r="AT6" s="188"/>
      <c r="AU6" s="188"/>
      <c r="AV6" s="188"/>
      <c r="AW6" s="188"/>
      <c r="AX6" s="188"/>
      <c r="AY6" s="188"/>
      <c r="AZ6" s="188"/>
      <c r="BA6" s="188"/>
      <c r="BB6" s="188"/>
      <c r="BC6" s="188"/>
      <c r="BD6" s="188"/>
      <c r="BE6" s="188"/>
      <c r="BF6" s="188"/>
      <c r="BG6" s="188"/>
      <c r="BH6" s="188"/>
    </row>
    <row r="7" spans="1:238">
      <c r="B7" s="191"/>
      <c r="C7" s="181"/>
      <c r="D7" s="181"/>
      <c r="E7" s="192"/>
      <c r="F7" s="181"/>
      <c r="G7" s="181"/>
      <c r="H7" s="181"/>
      <c r="I7" s="181"/>
      <c r="J7" s="181"/>
      <c r="K7" s="181"/>
      <c r="L7" s="181"/>
      <c r="M7" s="181"/>
      <c r="N7" s="181"/>
      <c r="O7" s="181"/>
      <c r="P7" s="181"/>
      <c r="Q7" s="181"/>
      <c r="R7" s="181"/>
      <c r="S7" s="181"/>
      <c r="T7" s="192"/>
      <c r="U7" s="181"/>
      <c r="V7" s="181"/>
      <c r="W7" s="181"/>
      <c r="X7" s="181"/>
      <c r="Y7" s="181"/>
      <c r="Z7" s="193"/>
    </row>
    <row r="8" spans="1:238" ht="18">
      <c r="B8" s="184"/>
      <c r="C8" s="194" t="str">
        <f>REPT(Sprache!K34,1)</f>
        <v>Heimmannschaft</v>
      </c>
      <c r="D8" s="190"/>
      <c r="E8" s="195"/>
      <c r="F8" s="195"/>
      <c r="G8" s="195"/>
      <c r="H8" s="195"/>
      <c r="I8" s="195"/>
      <c r="J8" s="167"/>
      <c r="K8" s="196"/>
      <c r="L8" s="196"/>
      <c r="M8" s="196"/>
      <c r="N8" s="196"/>
      <c r="O8" s="196"/>
      <c r="P8" s="196"/>
      <c r="Q8" s="196"/>
      <c r="R8" s="197"/>
      <c r="S8" s="190"/>
      <c r="T8" s="195"/>
      <c r="U8" s="195"/>
      <c r="V8" s="195"/>
      <c r="W8" s="195"/>
      <c r="X8" s="195"/>
      <c r="Y8" s="198" t="str">
        <f>REPT(Sprache!$K$31,1)</f>
        <v>Gastmannschaft</v>
      </c>
      <c r="Z8" s="199"/>
      <c r="AA8" s="200"/>
      <c r="AB8" s="200"/>
      <c r="AC8" s="200"/>
      <c r="AD8" s="200"/>
      <c r="AE8" s="200"/>
      <c r="AF8" s="200"/>
      <c r="AG8" s="200"/>
      <c r="AH8" s="200"/>
      <c r="AI8" s="200"/>
      <c r="AJ8" s="200"/>
      <c r="AK8" s="200"/>
      <c r="AL8" s="200"/>
      <c r="AM8" s="200"/>
      <c r="AN8" s="200"/>
      <c r="AO8" s="200"/>
      <c r="AP8" s="200"/>
      <c r="AQ8" s="200"/>
      <c r="AR8" s="200"/>
      <c r="AS8" s="200"/>
      <c r="AT8" s="200"/>
      <c r="AU8" s="200"/>
      <c r="AV8" s="200"/>
      <c r="AW8" s="200"/>
      <c r="AX8" s="200"/>
      <c r="AY8" s="200"/>
      <c r="AZ8" s="200"/>
      <c r="BA8" s="200"/>
      <c r="BB8" s="200"/>
      <c r="BC8" s="200"/>
      <c r="BD8" s="200"/>
      <c r="BE8" s="200"/>
      <c r="BF8" s="200"/>
      <c r="BG8" s="200"/>
      <c r="BH8" s="200"/>
    </row>
    <row r="9" spans="1:238" ht="27">
      <c r="B9" s="201"/>
      <c r="C9" s="202">
        <f>SUM(Steuerung!AC1)</f>
        <v>0</v>
      </c>
      <c r="D9" s="203" t="str">
        <f>REPT(Steuerung!AC2,1)</f>
        <v>select Heim - Team</v>
      </c>
      <c r="E9" s="204"/>
      <c r="F9" s="204"/>
      <c r="G9" s="204"/>
      <c r="H9" s="204"/>
      <c r="I9" s="204"/>
      <c r="J9" s="205"/>
      <c r="K9" s="206"/>
      <c r="L9" s="206"/>
      <c r="M9" s="206"/>
      <c r="N9" s="206"/>
      <c r="O9" s="206"/>
      <c r="P9" s="206"/>
      <c r="Q9" s="206"/>
      <c r="R9" s="413">
        <f>SUM(Steuerung!AD1)</f>
        <v>0</v>
      </c>
      <c r="S9" s="203" t="str">
        <f>REPT(Steuerung!AD2,1)</f>
        <v>Gast</v>
      </c>
      <c r="T9" s="204"/>
      <c r="U9" s="204"/>
      <c r="V9" s="204"/>
      <c r="W9" s="204"/>
      <c r="X9" s="204"/>
      <c r="Y9" s="205"/>
      <c r="Z9" s="207"/>
      <c r="AA9" s="208"/>
      <c r="AB9" s="208"/>
      <c r="AC9" s="208"/>
      <c r="AD9" s="208"/>
      <c r="AE9" s="208"/>
      <c r="AF9" s="208"/>
      <c r="AG9" s="208"/>
      <c r="AH9" s="208"/>
      <c r="AI9" s="208"/>
      <c r="AJ9" s="208"/>
      <c r="AK9" s="208"/>
      <c r="AL9" s="208"/>
      <c r="AM9" s="208"/>
      <c r="AN9" s="208"/>
      <c r="AO9" s="208"/>
      <c r="AP9" s="208"/>
      <c r="AQ9" s="208"/>
      <c r="AR9" s="208"/>
      <c r="AS9" s="208"/>
      <c r="AT9" s="208"/>
      <c r="AU9" s="208"/>
      <c r="AV9" s="208"/>
      <c r="AW9" s="208"/>
      <c r="AX9" s="208"/>
      <c r="AY9" s="208"/>
      <c r="AZ9" s="208"/>
      <c r="BA9" s="208"/>
      <c r="BB9" s="208"/>
      <c r="BC9" s="208"/>
      <c r="BD9" s="208"/>
      <c r="BE9" s="208"/>
      <c r="BF9" s="208"/>
      <c r="BG9" s="208"/>
      <c r="BH9" s="208"/>
    </row>
    <row r="10" spans="1:238" ht="27">
      <c r="B10" s="209"/>
      <c r="C10" s="210"/>
      <c r="D10" s="210"/>
      <c r="E10" s="210"/>
      <c r="F10" s="210"/>
      <c r="G10" s="210"/>
      <c r="H10" s="210"/>
      <c r="I10" s="210"/>
      <c r="J10" s="210"/>
      <c r="K10" s="211"/>
      <c r="L10" s="211"/>
      <c r="M10" s="211"/>
      <c r="N10" s="211"/>
      <c r="O10" s="211"/>
      <c r="P10" s="211"/>
      <c r="Q10" s="211"/>
      <c r="R10" s="210"/>
      <c r="S10" s="210"/>
      <c r="T10" s="210"/>
      <c r="U10" s="210"/>
      <c r="V10" s="210"/>
      <c r="W10" s="210"/>
      <c r="X10" s="210"/>
      <c r="Y10" s="210"/>
      <c r="Z10" s="212"/>
      <c r="AA10" s="208"/>
      <c r="AB10" s="208"/>
      <c r="AC10" s="208"/>
      <c r="AD10" s="208"/>
      <c r="AE10" s="208"/>
      <c r="AF10" s="208"/>
      <c r="AG10" s="208"/>
      <c r="AH10" s="208"/>
      <c r="AI10" s="208"/>
      <c r="AJ10" s="208"/>
      <c r="AK10" s="208"/>
      <c r="AL10" s="208"/>
      <c r="AM10" s="208"/>
      <c r="AN10" s="208"/>
      <c r="AO10" s="208"/>
      <c r="AP10" s="208"/>
      <c r="AQ10" s="208"/>
      <c r="AR10" s="208"/>
      <c r="AS10" s="208"/>
      <c r="AT10" s="208"/>
      <c r="AU10" s="208"/>
      <c r="AV10" s="208"/>
      <c r="AW10" s="208"/>
      <c r="AX10" s="208"/>
      <c r="AY10" s="208"/>
      <c r="AZ10" s="208"/>
      <c r="BA10" s="208"/>
      <c r="BB10" s="208"/>
      <c r="BC10" s="208"/>
      <c r="BD10" s="208"/>
      <c r="BE10" s="208"/>
      <c r="BF10" s="208"/>
      <c r="BG10" s="208"/>
      <c r="BH10" s="208"/>
    </row>
    <row r="11" spans="1:238" ht="27">
      <c r="B11" s="206"/>
      <c r="C11" s="213"/>
      <c r="D11" s="213"/>
      <c r="E11" s="213"/>
      <c r="F11" s="213"/>
      <c r="G11" s="213"/>
      <c r="H11" s="213"/>
      <c r="I11" s="213"/>
      <c r="J11" s="213"/>
      <c r="K11" s="206"/>
      <c r="L11" s="206"/>
      <c r="M11" s="206"/>
      <c r="N11" s="206"/>
      <c r="O11" s="206"/>
      <c r="P11" s="206"/>
      <c r="Q11" s="206"/>
      <c r="R11" s="213"/>
      <c r="S11" s="213"/>
      <c r="T11" s="213"/>
      <c r="U11" s="213"/>
      <c r="V11" s="213"/>
      <c r="W11" s="213"/>
      <c r="X11" s="213"/>
      <c r="Y11" s="213"/>
      <c r="Z11" s="213"/>
      <c r="AA11" s="208"/>
      <c r="AB11" s="208"/>
      <c r="AC11" s="208"/>
      <c r="AD11" s="208"/>
      <c r="AE11" s="208"/>
      <c r="AF11" s="208"/>
      <c r="AG11" s="208"/>
      <c r="AH11" s="208"/>
      <c r="AI11" s="208"/>
      <c r="AJ11" s="208"/>
      <c r="AK11" s="208"/>
      <c r="AL11" s="208"/>
      <c r="AM11" s="208"/>
      <c r="AN11" s="208"/>
      <c r="AO11" s="208"/>
      <c r="AP11" s="208"/>
      <c r="AQ11" s="208"/>
      <c r="AR11" s="208"/>
      <c r="AS11" s="208"/>
      <c r="AT11" s="208"/>
      <c r="AU11" s="208"/>
      <c r="AV11" s="208"/>
      <c r="AW11" s="208"/>
      <c r="AX11" s="208"/>
      <c r="AY11" s="208"/>
      <c r="AZ11" s="208"/>
      <c r="BA11" s="208"/>
      <c r="BB11" s="208"/>
      <c r="BC11" s="208"/>
      <c r="BD11" s="208"/>
      <c r="BE11" s="208"/>
      <c r="BF11" s="208"/>
      <c r="BG11" s="208"/>
      <c r="BH11" s="208"/>
      <c r="GC11" s="118">
        <v>1</v>
      </c>
      <c r="GD11" s="118">
        <v>2</v>
      </c>
      <c r="GE11" s="118">
        <v>3</v>
      </c>
      <c r="GF11" s="118">
        <v>4</v>
      </c>
      <c r="GG11" s="118">
        <v>5</v>
      </c>
      <c r="GH11" s="118">
        <v>6</v>
      </c>
      <c r="GI11" s="118">
        <v>7</v>
      </c>
      <c r="GJ11" s="118">
        <v>8</v>
      </c>
      <c r="GK11" s="118">
        <v>9</v>
      </c>
      <c r="GL11" s="118">
        <v>10</v>
      </c>
      <c r="GM11" s="118">
        <v>11</v>
      </c>
      <c r="GN11" s="118">
        <v>12</v>
      </c>
      <c r="GO11" s="118">
        <v>13</v>
      </c>
      <c r="GP11" s="118">
        <v>14</v>
      </c>
      <c r="GQ11" s="118">
        <v>15</v>
      </c>
      <c r="GR11" s="118">
        <v>16</v>
      </c>
      <c r="GS11" s="118">
        <v>17</v>
      </c>
      <c r="GT11" s="118">
        <v>18</v>
      </c>
      <c r="GU11" s="118">
        <v>19</v>
      </c>
      <c r="GV11" s="118">
        <v>20</v>
      </c>
      <c r="GW11" s="118">
        <v>21</v>
      </c>
      <c r="GX11" s="118">
        <v>22</v>
      </c>
      <c r="GY11" s="118">
        <v>23</v>
      </c>
      <c r="GZ11" s="118">
        <v>24</v>
      </c>
      <c r="HA11" s="118">
        <v>25</v>
      </c>
      <c r="HB11" s="118">
        <v>26</v>
      </c>
      <c r="HC11" s="118">
        <v>27</v>
      </c>
      <c r="HD11" s="118">
        <v>28</v>
      </c>
      <c r="HE11" s="118">
        <v>29</v>
      </c>
      <c r="HF11" s="118">
        <v>30</v>
      </c>
      <c r="HG11" s="118">
        <v>31</v>
      </c>
      <c r="HH11" s="118">
        <v>32</v>
      </c>
      <c r="HI11" s="118">
        <v>33</v>
      </c>
      <c r="HJ11" s="118">
        <v>34</v>
      </c>
      <c r="HK11" s="118">
        <v>35</v>
      </c>
      <c r="HL11" s="118">
        <v>36</v>
      </c>
      <c r="HM11" s="118">
        <v>37</v>
      </c>
      <c r="HN11" s="118">
        <v>38</v>
      </c>
      <c r="HO11" s="118">
        <v>39</v>
      </c>
      <c r="HP11" s="118">
        <v>40</v>
      </c>
      <c r="HQ11" s="118">
        <v>41</v>
      </c>
      <c r="HR11" s="118">
        <v>42</v>
      </c>
      <c r="HS11" s="118">
        <v>43</v>
      </c>
      <c r="HT11" s="118">
        <v>44</v>
      </c>
      <c r="HU11" s="118">
        <v>45</v>
      </c>
      <c r="HV11" s="118">
        <v>46</v>
      </c>
      <c r="HW11" s="118">
        <v>47</v>
      </c>
      <c r="HX11" s="118">
        <v>48</v>
      </c>
    </row>
    <row r="12" spans="1:238" ht="14.1" customHeight="1">
      <c r="B12" s="214"/>
      <c r="C12" s="171"/>
      <c r="D12" s="171"/>
      <c r="E12" s="171"/>
      <c r="F12" s="171"/>
      <c r="G12" s="171"/>
      <c r="H12" s="171"/>
      <c r="I12" s="171"/>
      <c r="J12" s="171"/>
      <c r="K12" s="171"/>
      <c r="L12" s="171"/>
      <c r="M12" s="171"/>
      <c r="N12" s="171"/>
      <c r="O12" s="171"/>
      <c r="P12" s="171"/>
      <c r="Q12" s="171"/>
      <c r="R12" s="171"/>
      <c r="S12" s="171"/>
      <c r="T12" s="171"/>
      <c r="U12" s="171"/>
      <c r="V12" s="171"/>
      <c r="W12" s="171"/>
      <c r="X12" s="171"/>
      <c r="Y12" s="171"/>
      <c r="Z12" s="302"/>
      <c r="AA12" s="215"/>
      <c r="AB12" s="215"/>
      <c r="AC12" s="215"/>
      <c r="AD12" s="215"/>
      <c r="AE12" s="215"/>
      <c r="AF12" s="215"/>
      <c r="BB12" s="215"/>
      <c r="BC12" s="215"/>
      <c r="BD12" s="215"/>
      <c r="BE12" s="215"/>
      <c r="BF12" s="215"/>
      <c r="BG12" s="215"/>
      <c r="BH12" s="215"/>
      <c r="GD12" s="339"/>
      <c r="GE12" s="339"/>
      <c r="GF12" s="339"/>
      <c r="GG12" s="339"/>
      <c r="GH12" s="339"/>
      <c r="GI12" s="339"/>
      <c r="GJ12" s="339"/>
      <c r="GK12" s="339"/>
      <c r="GL12" s="339"/>
      <c r="GM12" s="339"/>
      <c r="GN12" s="339"/>
      <c r="GO12" s="339"/>
      <c r="GP12" s="339"/>
      <c r="GQ12" s="339"/>
      <c r="GR12" s="339"/>
      <c r="GS12" s="339"/>
      <c r="GT12" s="339"/>
      <c r="GU12" s="339"/>
      <c r="GV12" s="339"/>
      <c r="GW12" s="339"/>
      <c r="GX12" s="339"/>
      <c r="GY12" s="339"/>
      <c r="GZ12" s="339"/>
      <c r="HA12" s="339"/>
      <c r="HB12" s="339"/>
      <c r="HC12" s="339"/>
      <c r="HD12" s="339"/>
      <c r="HE12" s="339"/>
      <c r="HF12" s="339"/>
      <c r="HG12" s="339"/>
      <c r="HH12" s="339"/>
      <c r="HI12" s="339"/>
      <c r="HJ12" s="339"/>
      <c r="HK12" s="339"/>
      <c r="HL12" s="339"/>
      <c r="HM12" s="339"/>
      <c r="HN12" s="339"/>
      <c r="HO12" s="339"/>
      <c r="HP12" s="339"/>
      <c r="HQ12" s="339"/>
      <c r="HR12" s="339"/>
    </row>
    <row r="13" spans="1:238" ht="24" customHeight="1">
      <c r="B13" s="216"/>
      <c r="C13" s="181"/>
      <c r="D13" s="181"/>
      <c r="E13" s="181"/>
      <c r="F13" s="181"/>
      <c r="G13" s="181"/>
      <c r="H13" s="181"/>
      <c r="I13" s="181"/>
      <c r="J13" s="181"/>
      <c r="K13" s="185"/>
      <c r="L13" s="217"/>
      <c r="M13" s="218"/>
      <c r="N13" s="327" t="str">
        <f>CONCATENATE(AG13," ",AH13)</f>
        <v>Spiel 1</v>
      </c>
      <c r="O13" s="218"/>
      <c r="P13" s="219"/>
      <c r="Q13" s="185"/>
      <c r="R13" s="181"/>
      <c r="S13" s="181"/>
      <c r="T13" s="181"/>
      <c r="U13" s="181"/>
      <c r="V13" s="181"/>
      <c r="W13" s="181"/>
      <c r="X13" s="181"/>
      <c r="Y13" s="181"/>
      <c r="Z13" s="303"/>
      <c r="AA13" s="200"/>
      <c r="AB13" s="200"/>
      <c r="AC13" s="200"/>
      <c r="AD13" s="200"/>
      <c r="AE13" s="200"/>
      <c r="AF13" s="200"/>
      <c r="AG13" s="200" t="s">
        <v>863</v>
      </c>
      <c r="AH13" s="220">
        <v>1</v>
      </c>
      <c r="AI13" s="173">
        <f>VLOOKUP(AH13,Chema!R:T,3,FALSE)</f>
        <v>1.1000000000000001</v>
      </c>
      <c r="AJ13" s="200" t="str">
        <f>VLOOKUP(AH13,Chema!BL:BQ,6,FALSE)</f>
        <v>1.1*</v>
      </c>
      <c r="AK13" s="200" t="str">
        <f>VLOOKUP(AH13,'Matchblatt  FEUILLE DE MATCH'!AI:AJ,2,FALSE)</f>
        <v>S</v>
      </c>
      <c r="AL13" s="200">
        <f>VLOOKUP(AH13,Chema!R:U,4,FALSE)</f>
        <v>5</v>
      </c>
      <c r="AM13" s="215" t="str">
        <f>VLOOKUP(AH13,'Matchblatt  FEUILLE DE MATCH'!AI:AS,10,FALSE)</f>
        <v/>
      </c>
      <c r="AN13" s="215"/>
      <c r="AO13" s="215"/>
      <c r="AP13" s="215"/>
      <c r="AQ13" s="215"/>
      <c r="AR13" s="215"/>
      <c r="AS13" s="215"/>
      <c r="AT13" s="215"/>
      <c r="AU13" s="215"/>
      <c r="AV13" s="215"/>
      <c r="AW13" s="215"/>
      <c r="AX13" s="215"/>
      <c r="AY13" s="215"/>
      <c r="AZ13" s="215"/>
      <c r="BA13" s="215" t="str">
        <f>VLOOKUP(AH13,'Matchblatt  FEUILLE DE MATCH'!AI:AS,11,FALSE)</f>
        <v/>
      </c>
      <c r="BB13" s="200"/>
      <c r="BC13" s="200"/>
      <c r="BD13" s="200"/>
      <c r="BE13" s="200"/>
      <c r="BF13" s="200"/>
      <c r="BG13" s="200"/>
      <c r="BH13" s="200"/>
      <c r="BK13" s="196"/>
      <c r="BL13" s="196"/>
      <c r="BM13" s="196"/>
      <c r="BN13" s="196"/>
      <c r="BO13" s="196"/>
      <c r="BP13" s="196"/>
      <c r="BQ13" s="221" t="s">
        <v>843</v>
      </c>
      <c r="BR13" s="222"/>
      <c r="BS13" s="222"/>
      <c r="BT13" s="223"/>
      <c r="BU13" s="222" t="s">
        <v>843</v>
      </c>
      <c r="BV13" s="222"/>
      <c r="BW13" s="222"/>
      <c r="BX13" s="224"/>
      <c r="BY13" s="222"/>
      <c r="BZ13" s="222"/>
      <c r="CA13" s="222"/>
      <c r="CB13" s="222"/>
      <c r="CC13" s="222"/>
      <c r="CD13" s="222"/>
      <c r="CE13" s="222"/>
      <c r="CF13" s="222"/>
      <c r="CG13" s="224"/>
      <c r="CH13" s="222"/>
      <c r="CI13" s="222"/>
      <c r="CJ13" s="223"/>
      <c r="CK13" s="196"/>
      <c r="CL13" s="196"/>
      <c r="CM13" s="196"/>
      <c r="CN13" s="196"/>
      <c r="CO13" s="196"/>
      <c r="CP13" s="196"/>
      <c r="CQ13" s="196"/>
      <c r="CR13" s="196"/>
      <c r="CS13" s="196"/>
      <c r="CT13" s="196"/>
      <c r="CU13" s="196"/>
      <c r="CV13" s="196"/>
      <c r="CW13" s="196"/>
      <c r="CX13" s="196"/>
      <c r="CY13" s="196"/>
      <c r="CZ13" s="196"/>
      <c r="DA13" s="196"/>
      <c r="DB13" s="196"/>
      <c r="DC13" s="196"/>
      <c r="DD13" s="196"/>
      <c r="DE13" s="196"/>
      <c r="DF13" s="196"/>
      <c r="DG13" s="196"/>
      <c r="DH13" s="196"/>
      <c r="DI13" s="196"/>
      <c r="DJ13" s="196"/>
      <c r="DK13" s="196"/>
      <c r="DL13" s="196"/>
      <c r="DM13" s="196"/>
      <c r="DN13" s="196"/>
      <c r="DO13" s="196"/>
      <c r="DP13" s="196"/>
      <c r="DQ13" s="196"/>
      <c r="DR13" s="196"/>
      <c r="DS13" s="196"/>
      <c r="DT13" s="196"/>
      <c r="DU13" s="196"/>
      <c r="DV13" s="196"/>
      <c r="DW13" s="196"/>
      <c r="DX13" s="196"/>
      <c r="DY13" s="196"/>
      <c r="DZ13" s="196"/>
      <c r="EA13" s="196"/>
      <c r="EB13" s="196"/>
      <c r="EC13" s="196"/>
      <c r="ED13" s="196"/>
      <c r="EE13" s="196"/>
      <c r="EF13" s="196"/>
      <c r="EG13" s="196"/>
      <c r="EH13" s="196"/>
      <c r="EI13" s="196"/>
      <c r="EJ13" s="196"/>
      <c r="EK13" s="196"/>
      <c r="EL13" s="196"/>
      <c r="EM13" s="221" t="s">
        <v>7</v>
      </c>
      <c r="EN13" s="222"/>
      <c r="EO13" s="222"/>
      <c r="EP13" s="222"/>
      <c r="EQ13" s="222"/>
      <c r="ER13" s="222"/>
      <c r="ES13" s="222"/>
      <c r="ET13" s="224"/>
      <c r="EU13" s="222"/>
      <c r="EV13" s="222"/>
      <c r="EW13" s="222"/>
      <c r="EX13" s="222"/>
      <c r="EY13" s="222"/>
      <c r="EZ13" s="222"/>
      <c r="FA13" s="222"/>
      <c r="FB13" s="222"/>
      <c r="FC13" s="222"/>
      <c r="FD13" s="222"/>
      <c r="FE13" s="223"/>
      <c r="FF13" s="196"/>
      <c r="FG13" s="196"/>
      <c r="FH13" s="221" t="s">
        <v>12</v>
      </c>
      <c r="FI13" s="222"/>
      <c r="FJ13" s="222"/>
      <c r="FK13" s="222"/>
      <c r="FL13" s="222"/>
      <c r="FM13" s="222"/>
      <c r="FN13" s="222"/>
      <c r="FO13" s="224"/>
      <c r="FP13" s="222"/>
      <c r="FQ13" s="222"/>
      <c r="FR13" s="222"/>
      <c r="FS13" s="222"/>
      <c r="FT13" s="222"/>
      <c r="FU13" s="222"/>
      <c r="FV13" s="222"/>
      <c r="FW13" s="222"/>
      <c r="FX13" s="222"/>
      <c r="FY13" s="222"/>
      <c r="FZ13" s="223"/>
      <c r="GA13" s="196"/>
      <c r="GD13" s="339"/>
      <c r="GE13" s="339"/>
      <c r="GF13" s="339"/>
      <c r="GG13" s="339"/>
      <c r="GH13" s="339"/>
      <c r="GI13" s="339"/>
      <c r="GJ13" s="339"/>
      <c r="GK13" s="339"/>
      <c r="GL13" s="339"/>
      <c r="GM13" s="339"/>
      <c r="GN13" s="339"/>
      <c r="GO13" s="339"/>
      <c r="GP13" s="339"/>
      <c r="GQ13" s="339"/>
      <c r="GR13" s="339"/>
      <c r="GS13" s="339"/>
      <c r="GT13" s="339"/>
      <c r="GU13" s="339"/>
      <c r="GV13" s="339"/>
      <c r="GW13" s="339"/>
      <c r="GX13" s="339"/>
      <c r="GY13" s="339"/>
      <c r="GZ13" s="339"/>
      <c r="HA13" s="339"/>
      <c r="HB13" s="339"/>
      <c r="HC13" s="339"/>
      <c r="HD13" s="339"/>
      <c r="HE13" s="339"/>
      <c r="HF13" s="339"/>
      <c r="HG13" s="339"/>
      <c r="HH13" s="339"/>
      <c r="HI13" s="339"/>
      <c r="HJ13" s="339"/>
      <c r="HK13" s="339"/>
      <c r="HL13" s="339"/>
      <c r="HM13" s="339"/>
      <c r="HN13" s="339"/>
      <c r="HO13" s="339"/>
      <c r="HP13" s="339"/>
      <c r="HQ13" s="339"/>
      <c r="HR13" s="339"/>
    </row>
    <row r="14" spans="1:238" ht="14.1" customHeight="1">
      <c r="B14" s="225"/>
      <c r="C14" s="304"/>
      <c r="D14" s="304"/>
      <c r="E14" s="304"/>
      <c r="F14" s="304"/>
      <c r="G14" s="304"/>
      <c r="H14" s="304"/>
      <c r="I14" s="304"/>
      <c r="J14" s="304"/>
      <c r="K14" s="166"/>
      <c r="L14" s="166"/>
      <c r="M14" s="166"/>
      <c r="N14" s="304"/>
      <c r="O14" s="304"/>
      <c r="P14" s="166"/>
      <c r="Q14" s="166"/>
      <c r="R14" s="304"/>
      <c r="S14" s="304"/>
      <c r="T14" s="304"/>
      <c r="U14" s="304"/>
      <c r="V14" s="304"/>
      <c r="W14" s="304"/>
      <c r="X14" s="166"/>
      <c r="Y14" s="166"/>
      <c r="Z14" s="305"/>
      <c r="AA14" s="63"/>
      <c r="AB14" s="63"/>
      <c r="AC14" s="63"/>
      <c r="AD14" s="63"/>
      <c r="AE14" s="63"/>
      <c r="AF14" s="63"/>
      <c r="AJ14" s="173" t="str">
        <f>VLOOKUP(AH13,Chema!BL:BR,7,FALSE)</f>
        <v/>
      </c>
      <c r="AL14" s="200"/>
      <c r="AM14" s="200" t="str">
        <f>IF(AK13="D",VLOOKUP(AJ14,'Matchblatt  FEUILLE DE MATCH'!AK:AS,8,FALSE),"")</f>
        <v/>
      </c>
      <c r="AN14" s="200"/>
      <c r="AO14" s="200"/>
      <c r="AP14" s="200"/>
      <c r="AQ14" s="200"/>
      <c r="AR14" s="200"/>
      <c r="AS14" s="200"/>
      <c r="AT14" s="200"/>
      <c r="AU14" s="200"/>
      <c r="AV14" s="200"/>
      <c r="AW14" s="200"/>
      <c r="AX14" s="200"/>
      <c r="AY14" s="200"/>
      <c r="AZ14" s="200"/>
      <c r="BA14" s="200" t="str">
        <f>IF(AK13="D",VLOOKUP(AJ14,'Matchblatt  FEUILLE DE MATCH'!AK:AS,9,FALSE),"")</f>
        <v/>
      </c>
      <c r="BB14" s="63"/>
      <c r="BC14" s="63"/>
      <c r="BD14" s="63"/>
      <c r="BE14" s="63"/>
      <c r="BF14" s="63"/>
      <c r="BG14" s="63"/>
      <c r="BH14" s="63"/>
      <c r="BK14" s="166" t="s">
        <v>7</v>
      </c>
      <c r="BL14" s="166" t="s">
        <v>12</v>
      </c>
      <c r="BM14" s="166"/>
      <c r="BN14" s="166" t="s">
        <v>7</v>
      </c>
      <c r="BO14" s="166" t="s">
        <v>12</v>
      </c>
      <c r="BP14" s="166"/>
      <c r="BQ14" s="226" t="s">
        <v>894</v>
      </c>
      <c r="BR14" s="227" t="s">
        <v>895</v>
      </c>
      <c r="BS14" s="228" t="s">
        <v>896</v>
      </c>
      <c r="BT14" s="229"/>
      <c r="BU14" s="226" t="s">
        <v>7</v>
      </c>
      <c r="BV14" s="166"/>
      <c r="BW14" s="166"/>
      <c r="BX14" s="230"/>
      <c r="BY14" s="166"/>
      <c r="BZ14" s="166"/>
      <c r="CA14" s="227"/>
      <c r="CB14" s="166"/>
      <c r="CC14" s="166"/>
      <c r="CD14" s="226" t="s">
        <v>12</v>
      </c>
      <c r="CE14" s="166"/>
      <c r="CF14" s="166"/>
      <c r="CG14" s="230"/>
      <c r="CH14" s="166"/>
      <c r="CI14" s="166"/>
      <c r="CJ14" s="227"/>
      <c r="CK14" s="166"/>
      <c r="CL14" s="166" t="s">
        <v>897</v>
      </c>
      <c r="CM14" s="166"/>
      <c r="CN14" s="166"/>
      <c r="CO14" s="166"/>
      <c r="CP14" s="166"/>
      <c r="CQ14" s="166"/>
      <c r="CR14" s="166"/>
      <c r="CS14" s="166"/>
      <c r="CT14" s="166"/>
      <c r="CU14" s="166" t="s">
        <v>843</v>
      </c>
      <c r="CV14" s="166"/>
      <c r="CW14" s="166" t="s">
        <v>843</v>
      </c>
      <c r="CX14" s="166"/>
      <c r="CY14" s="166"/>
      <c r="CZ14" s="166"/>
      <c r="DA14" s="166"/>
      <c r="DB14" s="166"/>
      <c r="DC14" s="166"/>
      <c r="DD14" s="166" t="s">
        <v>894</v>
      </c>
      <c r="DE14" s="166" t="s">
        <v>895</v>
      </c>
      <c r="DF14" s="166"/>
      <c r="DG14" s="166" t="s">
        <v>927</v>
      </c>
      <c r="DH14" s="166"/>
      <c r="DI14" s="166"/>
      <c r="DJ14" s="166"/>
      <c r="DK14" s="166"/>
      <c r="DL14" s="166"/>
      <c r="DM14" s="166"/>
      <c r="DN14" s="166" t="s">
        <v>928</v>
      </c>
      <c r="DO14" s="166" t="s">
        <v>929</v>
      </c>
      <c r="DP14" s="166"/>
      <c r="DQ14" s="166"/>
      <c r="DR14" s="166"/>
      <c r="DS14" s="166"/>
      <c r="DT14" s="166"/>
      <c r="DU14" s="166"/>
      <c r="DV14" s="166" t="s">
        <v>894</v>
      </c>
      <c r="DW14" s="166" t="s">
        <v>895</v>
      </c>
      <c r="DX14" s="166"/>
      <c r="DY14" s="166"/>
      <c r="DZ14" s="166"/>
      <c r="EA14" s="166"/>
      <c r="EB14" s="166"/>
      <c r="EC14" s="166"/>
      <c r="ED14" s="166" t="s">
        <v>894</v>
      </c>
      <c r="EE14" s="166" t="s">
        <v>895</v>
      </c>
      <c r="EF14" s="166"/>
      <c r="EG14" s="166"/>
      <c r="EH14" s="166"/>
      <c r="EI14" s="166"/>
      <c r="EJ14" s="166"/>
      <c r="EK14" s="166"/>
      <c r="EL14" s="166"/>
      <c r="EM14" s="166"/>
      <c r="EN14" s="166"/>
      <c r="EO14" s="166"/>
      <c r="EP14" s="166"/>
      <c r="EQ14" s="166"/>
      <c r="ER14" s="166"/>
      <c r="ES14" s="166"/>
      <c r="ET14" s="230"/>
      <c r="EU14" s="166"/>
      <c r="EV14" s="166"/>
      <c r="EW14" s="166"/>
      <c r="EX14" s="166"/>
      <c r="EY14" s="166"/>
      <c r="EZ14" s="166"/>
      <c r="FA14" s="166"/>
      <c r="FB14" s="166"/>
      <c r="FC14" s="166"/>
      <c r="FD14" s="166"/>
      <c r="FE14" s="166"/>
      <c r="FF14" s="166"/>
      <c r="FG14" s="166"/>
      <c r="FH14" s="166"/>
      <c r="FI14" s="166"/>
      <c r="FJ14" s="166"/>
      <c r="FK14" s="166"/>
      <c r="FL14" s="166"/>
      <c r="FM14" s="166"/>
      <c r="FN14" s="166"/>
      <c r="FO14" s="230"/>
      <c r="FP14" s="166"/>
      <c r="FQ14" s="166"/>
      <c r="FR14" s="166"/>
      <c r="FS14" s="166"/>
      <c r="FT14" s="166"/>
      <c r="FU14" s="166"/>
      <c r="FV14" s="166"/>
      <c r="FW14" s="166"/>
      <c r="FX14" s="166"/>
      <c r="FY14" s="166"/>
      <c r="FZ14" s="166"/>
      <c r="GA14" s="166"/>
      <c r="GD14" s="339"/>
      <c r="GE14" s="339"/>
      <c r="GF14" s="339"/>
      <c r="GG14" s="339"/>
      <c r="GH14" s="339"/>
      <c r="GI14" s="339"/>
      <c r="GJ14" s="339"/>
      <c r="GK14" s="339"/>
      <c r="GL14" s="339"/>
      <c r="GM14" s="339"/>
      <c r="GN14" s="339"/>
      <c r="GO14" s="339"/>
      <c r="GP14" s="339"/>
      <c r="GQ14" s="339"/>
      <c r="GR14" s="339"/>
      <c r="GS14" s="339"/>
      <c r="GT14" s="339"/>
      <c r="GU14" s="339"/>
      <c r="GV14" s="339"/>
      <c r="GW14" s="339"/>
      <c r="GX14" s="339"/>
      <c r="GY14" s="339"/>
      <c r="GZ14" s="339"/>
      <c r="HA14" s="339"/>
      <c r="HB14" s="339"/>
      <c r="HC14" s="339"/>
      <c r="HD14" s="339"/>
      <c r="HE14" s="339"/>
      <c r="HF14" s="339"/>
      <c r="HG14" s="339"/>
      <c r="HH14" s="339"/>
      <c r="HI14" s="339"/>
      <c r="HJ14" s="339"/>
      <c r="HK14" s="339"/>
      <c r="HL14" s="339"/>
      <c r="HM14" s="339"/>
      <c r="HN14" s="339"/>
      <c r="HO14" s="339"/>
      <c r="HP14" s="339"/>
      <c r="HQ14" s="339"/>
      <c r="HR14" s="339"/>
    </row>
    <row r="15" spans="1:238" s="234" customFormat="1" ht="20.100000000000001" customHeight="1">
      <c r="A15" s="235"/>
      <c r="B15" s="231"/>
      <c r="C15" s="232" t="str">
        <f>REPT(Sprache!$K$12,1)</f>
        <v>SPIEL</v>
      </c>
      <c r="D15" s="233" t="s">
        <v>869</v>
      </c>
      <c r="E15" s="233" t="str">
        <f>REPT(Sprache!$K$62,1)</f>
        <v>Punkte</v>
      </c>
      <c r="F15" s="233" t="str">
        <f>REPT(Sprache!$K$61,1)</f>
        <v>Rest</v>
      </c>
      <c r="G15" s="233" t="s">
        <v>898</v>
      </c>
      <c r="H15" s="233" t="s">
        <v>848</v>
      </c>
      <c r="I15" s="233">
        <v>180</v>
      </c>
      <c r="J15" s="233" t="str">
        <f>REPT(Sprache!$K$63,1)</f>
        <v>Fehler</v>
      </c>
      <c r="L15" s="306" t="s">
        <v>923</v>
      </c>
      <c r="M15" s="307"/>
      <c r="P15" s="306" t="s">
        <v>923</v>
      </c>
      <c r="R15" s="232" t="str">
        <f>REPT(Sprache!$K$12,1)</f>
        <v>SPIEL</v>
      </c>
      <c r="S15" s="233" t="s">
        <v>869</v>
      </c>
      <c r="T15" s="233" t="str">
        <f>REPT(Sprache!$K$62,1)</f>
        <v>Punkte</v>
      </c>
      <c r="U15" s="233" t="str">
        <f>REPT(Sprache!$K$61,1)</f>
        <v>Rest</v>
      </c>
      <c r="V15" s="233" t="s">
        <v>898</v>
      </c>
      <c r="W15" s="233" t="s">
        <v>848</v>
      </c>
      <c r="X15" s="233">
        <v>180</v>
      </c>
      <c r="Y15" s="233" t="str">
        <f>REPT(Sprache!$K$63,1)</f>
        <v>Fehler</v>
      </c>
      <c r="Z15" s="308"/>
      <c r="AD15" s="235"/>
      <c r="AE15" s="236" t="s">
        <v>966</v>
      </c>
      <c r="AF15" s="236" t="s">
        <v>967</v>
      </c>
      <c r="AG15" s="236" t="s">
        <v>965</v>
      </c>
      <c r="AH15" s="237" t="str">
        <f>LEFT($BM$6,10)</f>
        <v/>
      </c>
      <c r="AI15" s="237" t="str">
        <f>LEFT($BN$6,10)</f>
        <v/>
      </c>
      <c r="AJ15" s="237" t="s">
        <v>898</v>
      </c>
      <c r="AK15" s="237" t="s">
        <v>848</v>
      </c>
      <c r="AL15" s="237">
        <v>180</v>
      </c>
      <c r="AM15" s="237" t="str">
        <f>LEFT($BL$6,50)</f>
        <v/>
      </c>
      <c r="AN15" s="235"/>
      <c r="AO15" s="235"/>
      <c r="AP15" s="235"/>
      <c r="AQ15" s="235"/>
      <c r="AR15" s="235"/>
      <c r="AS15" s="235"/>
      <c r="AT15" s="235"/>
      <c r="AU15" s="235"/>
      <c r="AV15" s="237" t="str">
        <f>LEFT($BM$6,10)</f>
        <v/>
      </c>
      <c r="AW15" s="237" t="str">
        <f>LEFT($BN$6,10)</f>
        <v/>
      </c>
      <c r="AX15" s="237" t="s">
        <v>898</v>
      </c>
      <c r="AY15" s="237" t="s">
        <v>848</v>
      </c>
      <c r="AZ15" s="237">
        <v>180</v>
      </c>
      <c r="BA15" s="237" t="str">
        <f>LEFT($BL$6,50)</f>
        <v/>
      </c>
      <c r="BI15" s="238"/>
      <c r="BJ15" s="238"/>
      <c r="BK15" s="238" t="s">
        <v>165</v>
      </c>
      <c r="BL15" s="238" t="s">
        <v>165</v>
      </c>
      <c r="BM15" s="239" t="s">
        <v>165</v>
      </c>
      <c r="BN15" s="239" t="s">
        <v>899</v>
      </c>
      <c r="BO15" s="239" t="s">
        <v>899</v>
      </c>
      <c r="BP15" s="239" t="s">
        <v>900</v>
      </c>
      <c r="BQ15" s="240" t="s">
        <v>901</v>
      </c>
      <c r="BR15" s="241"/>
      <c r="BS15" s="242" t="s">
        <v>926</v>
      </c>
      <c r="BT15" s="243"/>
      <c r="BU15" s="242" t="s">
        <v>902</v>
      </c>
      <c r="BV15" s="238"/>
      <c r="BW15" s="238"/>
      <c r="BX15" s="244"/>
      <c r="BY15" s="238"/>
      <c r="BZ15" s="238" t="s">
        <v>903</v>
      </c>
      <c r="CA15" s="243" t="s">
        <v>904</v>
      </c>
      <c r="CB15" s="238"/>
      <c r="CC15" s="238"/>
      <c r="CD15" s="242" t="s">
        <v>902</v>
      </c>
      <c r="CE15" s="238"/>
      <c r="CF15" s="238"/>
      <c r="CG15" s="244"/>
      <c r="CH15" s="238"/>
      <c r="CI15" s="238" t="s">
        <v>903</v>
      </c>
      <c r="CJ15" s="243" t="s">
        <v>904</v>
      </c>
      <c r="CK15" s="238"/>
      <c r="CL15" s="245" t="s">
        <v>905</v>
      </c>
      <c r="CM15" s="245" t="s">
        <v>906</v>
      </c>
      <c r="CN15" s="245" t="s">
        <v>907</v>
      </c>
      <c r="CO15" s="245" t="s">
        <v>908</v>
      </c>
      <c r="CP15" s="245" t="s">
        <v>909</v>
      </c>
      <c r="CQ15" s="246" t="s">
        <v>910</v>
      </c>
      <c r="CR15" s="247"/>
      <c r="CS15" s="246" t="s">
        <v>911</v>
      </c>
      <c r="CT15" s="248"/>
      <c r="CU15" s="246" t="s">
        <v>912</v>
      </c>
      <c r="CV15" s="248"/>
      <c r="CW15" s="246" t="s">
        <v>913</v>
      </c>
      <c r="CX15" s="248"/>
      <c r="CY15" s="238"/>
      <c r="CZ15" s="238"/>
      <c r="DA15" s="238"/>
      <c r="DB15" s="238"/>
      <c r="DC15" s="249" t="s">
        <v>165</v>
      </c>
      <c r="DD15" s="249" t="s">
        <v>165</v>
      </c>
      <c r="DE15" s="249" t="s">
        <v>165</v>
      </c>
      <c r="DF15" s="238"/>
      <c r="DG15" s="238" t="s">
        <v>914</v>
      </c>
      <c r="DH15" s="238" t="s">
        <v>930</v>
      </c>
      <c r="DI15" s="238" t="s">
        <v>931</v>
      </c>
      <c r="DK15" s="238" t="s">
        <v>932</v>
      </c>
      <c r="DL15" s="238" t="s">
        <v>933</v>
      </c>
      <c r="DM15" s="238" t="s">
        <v>869</v>
      </c>
      <c r="DN15" s="230" t="s">
        <v>915</v>
      </c>
      <c r="DO15" s="250" t="s">
        <v>915</v>
      </c>
      <c r="DP15" s="322" t="s">
        <v>934</v>
      </c>
      <c r="DQ15" s="238"/>
      <c r="DR15" s="166" t="s">
        <v>894</v>
      </c>
      <c r="DS15" s="166" t="s">
        <v>895</v>
      </c>
      <c r="DT15" s="166" t="s">
        <v>935</v>
      </c>
      <c r="DU15" s="166" t="s">
        <v>936</v>
      </c>
      <c r="DV15" s="251" t="s">
        <v>165</v>
      </c>
      <c r="DW15" s="251" t="s">
        <v>165</v>
      </c>
      <c r="DX15" s="238" t="s">
        <v>916</v>
      </c>
      <c r="DY15" s="238"/>
      <c r="DZ15" s="238"/>
      <c r="EA15" s="238"/>
      <c r="EB15" s="238"/>
      <c r="EC15" s="238"/>
      <c r="ED15" s="251" t="s">
        <v>165</v>
      </c>
      <c r="EE15" s="251" t="s">
        <v>165</v>
      </c>
      <c r="EF15" s="166"/>
      <c r="EG15" s="238"/>
      <c r="EH15" s="238"/>
      <c r="EI15" s="238"/>
      <c r="EJ15" s="238"/>
      <c r="EK15" s="238"/>
      <c r="EL15" s="238"/>
      <c r="EM15" s="238"/>
      <c r="EN15" s="238"/>
      <c r="EO15" s="246" t="s">
        <v>917</v>
      </c>
      <c r="EP15" s="247"/>
      <c r="EQ15" s="247"/>
      <c r="ER15" s="247"/>
      <c r="ES15" s="247"/>
      <c r="ET15" s="252"/>
      <c r="EU15" s="248"/>
      <c r="EV15" s="246" t="s">
        <v>918</v>
      </c>
      <c r="EW15" s="247"/>
      <c r="EX15" s="248"/>
      <c r="EY15" s="251" t="s">
        <v>165</v>
      </c>
      <c r="EZ15" s="246" t="s">
        <v>919</v>
      </c>
      <c r="FA15" s="247"/>
      <c r="FB15" s="248"/>
      <c r="FC15" s="246" t="s">
        <v>920</v>
      </c>
      <c r="FD15" s="247"/>
      <c r="FE15" s="248"/>
      <c r="FF15" s="238"/>
      <c r="FG15" s="238"/>
      <c r="FH15" s="238"/>
      <c r="FI15" s="238"/>
      <c r="FJ15" s="246" t="s">
        <v>917</v>
      </c>
      <c r="FK15" s="247"/>
      <c r="FL15" s="247"/>
      <c r="FM15" s="247"/>
      <c r="FN15" s="247"/>
      <c r="FO15" s="252"/>
      <c r="FP15" s="248"/>
      <c r="FQ15" s="246" t="s">
        <v>918</v>
      </c>
      <c r="FR15" s="247"/>
      <c r="FS15" s="248"/>
      <c r="FT15" s="251" t="s">
        <v>165</v>
      </c>
      <c r="FU15" s="246" t="s">
        <v>919</v>
      </c>
      <c r="FV15" s="247"/>
      <c r="FW15" s="248"/>
      <c r="FX15" s="246" t="s">
        <v>920</v>
      </c>
      <c r="FY15" s="247"/>
      <c r="FZ15" s="248"/>
      <c r="GD15" s="340"/>
      <c r="GE15" s="340"/>
      <c r="GF15" s="341" t="s">
        <v>968</v>
      </c>
      <c r="GG15" s="340"/>
      <c r="GH15" s="340"/>
      <c r="GI15" s="340"/>
      <c r="GJ15" s="341" t="s">
        <v>972</v>
      </c>
      <c r="GK15" s="340"/>
      <c r="GL15" s="340"/>
      <c r="GM15" s="340"/>
      <c r="GN15" s="341" t="s">
        <v>971</v>
      </c>
      <c r="GO15" s="340"/>
      <c r="GP15" s="340"/>
      <c r="GQ15" s="340"/>
      <c r="GR15" s="341" t="s">
        <v>970</v>
      </c>
      <c r="GS15" s="340"/>
      <c r="GT15" s="340"/>
      <c r="GU15" s="340"/>
      <c r="GV15" s="341" t="s">
        <v>969</v>
      </c>
      <c r="GW15" s="340"/>
      <c r="GX15" s="340"/>
      <c r="GY15" s="340"/>
      <c r="GZ15" s="342" t="s">
        <v>973</v>
      </c>
      <c r="HA15" s="340"/>
      <c r="HB15" s="340"/>
      <c r="HC15" s="340"/>
      <c r="HD15" s="342" t="s">
        <v>974</v>
      </c>
      <c r="HE15" s="340"/>
      <c r="HF15" s="340"/>
      <c r="HG15" s="340"/>
      <c r="HH15" s="340"/>
      <c r="HI15" s="341" t="s">
        <v>977</v>
      </c>
      <c r="HJ15" s="341" t="s">
        <v>978</v>
      </c>
      <c r="HK15" s="341" t="s">
        <v>979</v>
      </c>
      <c r="HL15" s="341" t="s">
        <v>980</v>
      </c>
      <c r="HM15" s="341" t="s">
        <v>981</v>
      </c>
      <c r="HN15" s="341"/>
      <c r="HO15" s="341"/>
      <c r="HP15" s="341"/>
      <c r="HQ15" s="341"/>
      <c r="HR15" s="341"/>
      <c r="HS15" s="238"/>
      <c r="HT15" s="238"/>
      <c r="HU15" s="238"/>
      <c r="HV15" s="238"/>
      <c r="HX15" s="238"/>
      <c r="HY15" s="238"/>
      <c r="HZ15" s="238"/>
      <c r="ID15" s="238"/>
    </row>
    <row r="16" spans="1:238" s="234" customFormat="1" ht="20.100000000000001" customHeight="1">
      <c r="A16" s="235"/>
      <c r="B16" s="231">
        <f>COUNT(AJ17,AJ16)</f>
        <v>0</v>
      </c>
      <c r="C16" s="325" t="str">
        <f>CONCATENATE(BG16,BE16)</f>
        <v>HS</v>
      </c>
      <c r="D16" s="253" t="str">
        <f>REPT(DN16,1)</f>
        <v>1</v>
      </c>
      <c r="E16" s="254" t="str">
        <f>REPT(AH16,1)</f>
        <v/>
      </c>
      <c r="F16" s="168"/>
      <c r="G16" s="168"/>
      <c r="H16" s="168"/>
      <c r="I16" s="169"/>
      <c r="J16" s="255" t="str">
        <f>REPT(AM16,1)</f>
        <v/>
      </c>
      <c r="L16" s="309">
        <f>SUM(BS25)</f>
        <v>0</v>
      </c>
      <c r="M16" s="238"/>
      <c r="N16" s="255" t="str">
        <f>REPT(AP16,1)</f>
        <v/>
      </c>
      <c r="P16" s="309">
        <f>SUM(CF25)</f>
        <v>0</v>
      </c>
      <c r="Q16" s="310"/>
      <c r="R16" s="323" t="str">
        <f>CONCATENATE(BH16,BE16)</f>
        <v>GS</v>
      </c>
      <c r="S16" s="253" t="str">
        <f>REPT(DO16,1)</f>
        <v>1</v>
      </c>
      <c r="T16" s="254" t="str">
        <f>REPT(AV16,1)</f>
        <v/>
      </c>
      <c r="U16" s="168"/>
      <c r="V16" s="168"/>
      <c r="W16" s="168"/>
      <c r="X16" s="169"/>
      <c r="Y16" s="255" t="str">
        <f>REPT(BA16,1)</f>
        <v/>
      </c>
      <c r="Z16" s="308"/>
      <c r="AB16" s="234">
        <f>IF(AY16="",0,IF(AY16&lt;2,1,""))</f>
        <v>0</v>
      </c>
      <c r="AC16" s="238">
        <f>IF(AD16=1,1,IF(AD16=3,1,IF(AD16=2,0,IF(AD16=0,0,0))))</f>
        <v>0</v>
      </c>
      <c r="AD16" s="256">
        <f>SUM(AE16:AG16)</f>
        <v>0</v>
      </c>
      <c r="AE16" s="256">
        <f t="shared" ref="AE16:AF16" si="0">IF(F16="",0,1)</f>
        <v>0</v>
      </c>
      <c r="AF16" s="256">
        <f t="shared" si="0"/>
        <v>0</v>
      </c>
      <c r="AG16" s="256">
        <f>IF(H16="",0,1)</f>
        <v>0</v>
      </c>
      <c r="AH16" s="257" t="str">
        <f>IF(AK16="",IF(AI16="","",IF(AI16="",501,501-AI16)),501)</f>
        <v/>
      </c>
      <c r="AI16" s="256" t="str">
        <f>IF(F16&gt;1,F16,IF(F16=0,"",IF(F16="","","")))</f>
        <v/>
      </c>
      <c r="AJ16" s="256" t="str">
        <f>IF(G16&gt;8,G16,IF(G16="","",""))</f>
        <v/>
      </c>
      <c r="AK16" s="256" t="str">
        <f>IF(H16&gt;1,H16,IF(H16="","",""))</f>
        <v/>
      </c>
      <c r="AL16" s="256" t="str">
        <f>IF(I16&gt;0,I16,IF(I16="","",""))</f>
        <v/>
      </c>
      <c r="AM16" s="258" t="str">
        <f>IF(BK16=0,"","X")</f>
        <v/>
      </c>
      <c r="AN16" s="237"/>
      <c r="AO16" s="237"/>
      <c r="AP16" s="258" t="str">
        <f>IF(BM16=0,"","X")</f>
        <v/>
      </c>
      <c r="AQ16" s="236">
        <f>IF(AR16=1,1,IF(AR16=3,1,IF(AR16=2,0,IF(AR16=0,0,0))))</f>
        <v>0</v>
      </c>
      <c r="AR16" s="256">
        <f>SUM(AS16:AU16)</f>
        <v>0</v>
      </c>
      <c r="AS16" s="256">
        <f t="shared" ref="AS16:AT20" si="1">IF(U16="",0,1)</f>
        <v>0</v>
      </c>
      <c r="AT16" s="256">
        <f t="shared" si="1"/>
        <v>0</v>
      </c>
      <c r="AU16" s="256">
        <f>IF(W16="",0,1)</f>
        <v>0</v>
      </c>
      <c r="AV16" s="257" t="str">
        <f>IF(AY16="",IF(AW16="","",IF(AW16="",501,501-AW16)),501)</f>
        <v/>
      </c>
      <c r="AW16" s="256" t="str">
        <f>IF(U16&gt;1,U16,IF(U16=0,"",IF(U16="","","")))</f>
        <v/>
      </c>
      <c r="AX16" s="256" t="str">
        <f>IF(V16&gt;8,V16,IF(V16="","",""))</f>
        <v/>
      </c>
      <c r="AY16" s="256" t="str">
        <f>IF(W16&gt;1,W16,IF(W16="","",""))</f>
        <v/>
      </c>
      <c r="AZ16" s="256" t="str">
        <f>IF(X16&gt;0,X16,IF(X16="","",""))</f>
        <v/>
      </c>
      <c r="BA16" s="258" t="str">
        <f>IF(BL16=0,"","X")</f>
        <v/>
      </c>
      <c r="BF16" s="238" t="s">
        <v>894</v>
      </c>
      <c r="BG16" s="238" t="str">
        <f>CONCATENATE(BF16,AK13)</f>
        <v>HS</v>
      </c>
      <c r="BH16" s="238" t="str">
        <f>CONCATENATE(BI16,AK13)</f>
        <v>GS</v>
      </c>
      <c r="BI16" s="238" t="s">
        <v>895</v>
      </c>
      <c r="BJ16" s="238"/>
      <c r="BK16" s="251">
        <f>SUM(DD16,DV16,EY16,ED16,FF16,BQ16,BS16,AC16)</f>
        <v>0</v>
      </c>
      <c r="BL16" s="251">
        <f>SUM(DE16,DW16,EE16,FT16,GA16,BR16,BT16,AQ16)</f>
        <v>0</v>
      </c>
      <c r="BM16" s="259">
        <f>SUM(DC16,BK16:BL16,AC16,AQ16)</f>
        <v>0</v>
      </c>
      <c r="BN16" s="239">
        <f>COUNT(AK16)</f>
        <v>0</v>
      </c>
      <c r="BO16" s="239">
        <f>COUNT(AY16)</f>
        <v>0</v>
      </c>
      <c r="BP16" s="239">
        <f>IF(BN18=0,0,1)</f>
        <v>0</v>
      </c>
      <c r="BQ16" s="260">
        <f>IF(AL16="",0,IF(AL16&gt;2,1,0))</f>
        <v>0</v>
      </c>
      <c r="BR16" s="261">
        <f>IF(AZ16="",0,IF(AZ16&gt;2,1,0))</f>
        <v>0</v>
      </c>
      <c r="BS16" s="262">
        <f>IF(AJ16=9,IF(AK16&lt;141,1,0),0)</f>
        <v>0</v>
      </c>
      <c r="BT16" s="263">
        <f>IF(AX16=9,IF(AY16&lt;141,1,0),0)</f>
        <v>0</v>
      </c>
      <c r="BU16" s="242">
        <f>IF(H16,G16,0)</f>
        <v>0</v>
      </c>
      <c r="BV16" s="238">
        <f>IF(BU16&gt;0,AJ16/3,0)</f>
        <v>0</v>
      </c>
      <c r="BW16" s="238">
        <f>ROUNDUP(BV16,0)</f>
        <v>0</v>
      </c>
      <c r="BX16" s="244">
        <f>IF(MOD(BW16,2)=0,BW16,BW16+1)</f>
        <v>0</v>
      </c>
      <c r="BY16" s="238">
        <f>IF(AJ16&lt;9,"",SUM(BX16-BW16))</f>
        <v>0</v>
      </c>
      <c r="BZ16" s="238">
        <f>IF(BY16=1,AK16,0)</f>
        <v>0</v>
      </c>
      <c r="CA16" s="243" t="str">
        <f>IF(BY16=0,AK16,0)</f>
        <v/>
      </c>
      <c r="CB16" s="238"/>
      <c r="CC16" s="238"/>
      <c r="CD16" s="242">
        <f>IF(W16,V16,0)</f>
        <v>0</v>
      </c>
      <c r="CE16" s="238">
        <f>IF(CD16&gt;0,AX16/3,0)</f>
        <v>0</v>
      </c>
      <c r="CF16" s="238">
        <f>ROUNDUP(CE16,0)</f>
        <v>0</v>
      </c>
      <c r="CG16" s="244">
        <f>IF(MOD(CF16,2)=0,CF16,CF16+1)</f>
        <v>0</v>
      </c>
      <c r="CH16" s="238">
        <f>IF(AX16&lt;9,"",SUM(CG16-CF16))</f>
        <v>0</v>
      </c>
      <c r="CI16" s="238">
        <f>IF(CH16=1,AY16,0)</f>
        <v>0</v>
      </c>
      <c r="CJ16" s="243" t="str">
        <f>IF(CH16=0,AY16,0)</f>
        <v/>
      </c>
      <c r="CK16" s="238"/>
      <c r="CL16" s="245">
        <f>IF(COUNT(F16,H16)=1,0,1)</f>
        <v>1</v>
      </c>
      <c r="CM16" s="245">
        <f>IF(COUNT(F16,U16)=1,0,1)</f>
        <v>1</v>
      </c>
      <c r="CN16" s="245">
        <f>IF(COUNT(H16,W16)=1,0,1)</f>
        <v>1</v>
      </c>
      <c r="CO16" s="245">
        <f>IF(COUNT(G16,V16)=2,0,1)</f>
        <v>1</v>
      </c>
      <c r="CP16" s="245">
        <f>IF(COUNT(U16,W16)=1,0,1)</f>
        <v>1</v>
      </c>
      <c r="CQ16" s="245">
        <f>IF(SUM(G16-V16)&gt;3,1,0)</f>
        <v>0</v>
      </c>
      <c r="CR16" s="245">
        <f>IF(SUM(G16-V16)&lt;-3,1,0)</f>
        <v>0</v>
      </c>
      <c r="CS16" s="264">
        <f>IF(AJ16=9,IF(AH16&lt;141,1,0),IF(AH16="",0,IF(AH16&gt;1,0,1)))</f>
        <v>0</v>
      </c>
      <c r="CT16" s="264">
        <f>IF(AX16=9,IF(AV16&lt;141,1,0),IF(AV16="",0,IF(AV16&gt;1,0,1)))</f>
        <v>0</v>
      </c>
      <c r="CU16" s="264">
        <f>IF(AI16="",0,IF(AI16&lt;502,0,1))</f>
        <v>0</v>
      </c>
      <c r="CV16" s="264">
        <f>IF(AW16="",0,IF(AW16&lt;502,0,1))</f>
        <v>0</v>
      </c>
      <c r="CW16" s="264">
        <f>IF(AI16="",IF(AJ16&lt;9,1,0),IF(AJ16&lt;9,1,0))</f>
        <v>0</v>
      </c>
      <c r="CX16" s="264">
        <f>IF(AW16="",IF(AX16&lt;9,1,0),IF(AX16&lt;9,1,0))</f>
        <v>0</v>
      </c>
      <c r="CY16" s="374"/>
      <c r="CZ16" s="374"/>
      <c r="DA16" s="374"/>
      <c r="DB16" s="374"/>
      <c r="DC16" s="265">
        <f>IF(AJ16="",0,SUM(CL16:CX16))</f>
        <v>0</v>
      </c>
      <c r="DD16" s="265">
        <f>IF(AJ16="",0,SUM(CL16,CS16,CU16,CW16))</f>
        <v>0</v>
      </c>
      <c r="DE16" s="265">
        <f>IF(AJ16="",0,SUM(CP16,CT16,CV16,CX16))</f>
        <v>0</v>
      </c>
      <c r="DF16" s="238"/>
      <c r="DG16" s="248" t="str">
        <f>IF(G16="","",SUM(G16-V16))</f>
        <v/>
      </c>
      <c r="DH16" s="245">
        <f>IF(F16="",0,1)</f>
        <v>0</v>
      </c>
      <c r="DI16" s="245" t="str">
        <f>IF(DG16=0,DH16,DG16)</f>
        <v/>
      </c>
      <c r="DJ16" s="245" t="e">
        <f>SIGN(DI16)</f>
        <v>#VALUE!</v>
      </c>
      <c r="DK16" s="245" t="str">
        <f>IF(G16="","",IF(DJ16=1,"*",""))</f>
        <v/>
      </c>
      <c r="DL16" s="245" t="str">
        <f>IF(G16="","",IF(DJ16=-1,"*",IF(DJ16=0,"*","")))</f>
        <v/>
      </c>
      <c r="DM16" s="245">
        <v>1</v>
      </c>
      <c r="DN16" s="245" t="str">
        <f>CONCATENATE(DM16,DK16)</f>
        <v>1</v>
      </c>
      <c r="DO16" s="245" t="str">
        <f>CONCATENATE(DM16,DL16)</f>
        <v>1</v>
      </c>
      <c r="DP16" s="245">
        <f>IF(DK16="*",1,0)</f>
        <v>0</v>
      </c>
      <c r="DQ16" s="245">
        <f>IF(DL16="*",1,0)</f>
        <v>0</v>
      </c>
      <c r="DR16" s="245"/>
      <c r="DS16" s="245"/>
      <c r="DT16" s="245"/>
      <c r="DU16" s="245"/>
      <c r="DV16" s="266"/>
      <c r="DW16" s="266"/>
      <c r="DX16" s="238">
        <f>IF(AK16="",0,1)</f>
        <v>0</v>
      </c>
      <c r="DY16" s="238">
        <f>IF(DG16=-3,1,0)</f>
        <v>0</v>
      </c>
      <c r="DZ16" s="238">
        <f>SUM(DX16:DY16)</f>
        <v>0</v>
      </c>
      <c r="EA16" s="238">
        <f>IF(AK16="",1,0)</f>
        <v>1</v>
      </c>
      <c r="EB16" s="238">
        <f>IF(DG16=3,1,0)</f>
        <v>0</v>
      </c>
      <c r="EC16" s="238">
        <f>SUM(EA16:EB16)</f>
        <v>1</v>
      </c>
      <c r="ED16" s="267">
        <f>IF(EC16=2,1,0)</f>
        <v>0</v>
      </c>
      <c r="EE16" s="267">
        <f>IF(DZ16=2,1,0)</f>
        <v>0</v>
      </c>
      <c r="EG16" s="166"/>
      <c r="EH16" s="238"/>
      <c r="EI16" s="238"/>
      <c r="EJ16" s="238"/>
      <c r="EK16" s="238"/>
      <c r="EL16" s="238"/>
      <c r="EM16" s="245">
        <f>IF(AK16="",0,1)</f>
        <v>0</v>
      </c>
      <c r="EN16" s="245">
        <f>SUM(AK16)</f>
        <v>0</v>
      </c>
      <c r="EO16" s="268">
        <f>SUM(AJ16)</f>
        <v>0</v>
      </c>
      <c r="EP16" s="268">
        <f>SUM(G16/3)</f>
        <v>0</v>
      </c>
      <c r="EQ16" s="268" t="e">
        <f>SUM(EO16/EP16)</f>
        <v>#DIV/0!</v>
      </c>
      <c r="ER16" s="268">
        <f>ROUNDDOWN(EP16,0)</f>
        <v>0</v>
      </c>
      <c r="ES16" s="268">
        <f>SUM(EO16,-ER16*3)</f>
        <v>0</v>
      </c>
      <c r="ET16" s="269" t="b">
        <f>MOD(EN16/1,2)=0</f>
        <v>1</v>
      </c>
      <c r="EU16" s="245">
        <f>IF(ET16=FALSE,1,0)</f>
        <v>0</v>
      </c>
      <c r="EV16" s="245">
        <f>IF(EN16=50,0,IF(EN16&lt;40,1,0))</f>
        <v>1</v>
      </c>
      <c r="EW16" s="245">
        <f>SUM(EU16:EV16)</f>
        <v>1</v>
      </c>
      <c r="EX16" s="267">
        <f>IF(EN16=1,1,IF(EN16=50,0,IF(ES16=1,IF(EN16&gt;40,1,0),0)))</f>
        <v>0</v>
      </c>
      <c r="EY16" s="267">
        <f>IF(ES16=1,IF(EW16=2,1,0),0)+EX16+FB16+FE16</f>
        <v>0</v>
      </c>
      <c r="EZ16" s="245">
        <f>IF(EN16=109,1,IF(EN16=108,1,IF(EN16=106,1,IF(EN16=105,1,IF(EN16=103,1,IF(EN16=102,1,IF(EN16=99,1,0)))))))</f>
        <v>0</v>
      </c>
      <c r="FA16" s="245">
        <f>IF(EN16&gt;110,1,0)</f>
        <v>0</v>
      </c>
      <c r="FB16" s="267">
        <f>IF(ES16=2,SUM(EZ16:FA16),0)</f>
        <v>0</v>
      </c>
      <c r="FC16" s="245">
        <f>IF(EN16=159,1,IF(EN16=162,1,IF(EN16=163,1,IF(EN16=165,1,IF(EN16=166,1,IF(EN16=168,1,IF(EN16=169,1,0)))))))</f>
        <v>0</v>
      </c>
      <c r="FD16" s="245">
        <f>IF(EN16&gt;170,1,0)</f>
        <v>0</v>
      </c>
      <c r="FE16" s="267">
        <f>IF(ES16=0,SUM(FC16:FD16),0)</f>
        <v>0</v>
      </c>
      <c r="FF16" s="251">
        <f>IF(AJ16="",0,IF(AI16="",0,IF(EO16/ER16-3=0,0,1)))</f>
        <v>0</v>
      </c>
      <c r="FG16" s="238"/>
      <c r="FH16" s="245">
        <f>IF(AY16="",0,1)</f>
        <v>0</v>
      </c>
      <c r="FI16" s="245">
        <f>SUM(AY16)</f>
        <v>0</v>
      </c>
      <c r="FJ16" s="268">
        <f>SUM(AX16)</f>
        <v>0</v>
      </c>
      <c r="FK16" s="268">
        <f>SUM(V16/3)</f>
        <v>0</v>
      </c>
      <c r="FL16" s="268" t="e">
        <f>SUM(FJ16/FK16)</f>
        <v>#DIV/0!</v>
      </c>
      <c r="FM16" s="268">
        <f>ROUNDDOWN(FK16,0)</f>
        <v>0</v>
      </c>
      <c r="FN16" s="268">
        <f>SUM(FJ16,-FM16*3)</f>
        <v>0</v>
      </c>
      <c r="FO16" s="269" t="b">
        <f>MOD(FI16/1,2)=0</f>
        <v>1</v>
      </c>
      <c r="FP16" s="245">
        <f>IF(FO16=FALSE,1,0)</f>
        <v>0</v>
      </c>
      <c r="FQ16" s="245">
        <f>IF(FI16=50,0,IF(FI16&lt;40,1,0))</f>
        <v>1</v>
      </c>
      <c r="FR16" s="245">
        <f>SUM(FP16:FQ16)</f>
        <v>1</v>
      </c>
      <c r="FS16" s="267">
        <f>IF(FI16=1,1,IF(FI16=50,0,IF(FN16=1,IF(FI16&gt;40,1,0),0)))</f>
        <v>0</v>
      </c>
      <c r="FT16" s="267">
        <f>IF(FN16=1,IF(FR16=2,1,0),0)+FS16+FW16+FZ16</f>
        <v>0</v>
      </c>
      <c r="FU16" s="245">
        <f>IF(FI16=109,1,IF(FI16=108,1,IF(FI16=106,1,IF(FI16=105,1,IF(FI16=103,1,IF(FI16=102,1,IF(FI16=99,1,0)))))))</f>
        <v>0</v>
      </c>
      <c r="FV16" s="245">
        <f>IF(FI16&gt;110,1,0)</f>
        <v>0</v>
      </c>
      <c r="FW16" s="267">
        <f>IF(FN16=2,SUM(FU16:FV16),0)</f>
        <v>0</v>
      </c>
      <c r="FX16" s="245">
        <f>IF(FI16=159,1,IF(FI16=162,1,IF(FI16=163,1,IF(FI16=165,1,IF(FI16=166,1,IF(FI16=168,1,IF(FI16=169,1,0)))))))</f>
        <v>0</v>
      </c>
      <c r="FY16" s="245">
        <f>IF(FI16&gt;170,1,0)</f>
        <v>0</v>
      </c>
      <c r="FZ16" s="267">
        <f>IF(FN16=0,SUM(FX16:FY16),0)</f>
        <v>0</v>
      </c>
      <c r="GA16" s="251">
        <f>IF(AX16="",0,IF(AW16="",0,IF(FJ16/FM16-3=0,0,1)))</f>
        <v>0</v>
      </c>
      <c r="GD16" s="341">
        <f>IF(AK13="D",1,0)</f>
        <v>0</v>
      </c>
      <c r="GE16" s="343"/>
      <c r="GF16" s="343" t="s">
        <v>866</v>
      </c>
      <c r="GG16" s="343" t="s">
        <v>868</v>
      </c>
      <c r="GH16" s="343" t="s">
        <v>848</v>
      </c>
      <c r="GI16" s="343">
        <v>180</v>
      </c>
      <c r="GJ16" s="343" t="s">
        <v>866</v>
      </c>
      <c r="GK16" s="343" t="s">
        <v>868</v>
      </c>
      <c r="GL16" s="343" t="s">
        <v>848</v>
      </c>
      <c r="GM16" s="343">
        <v>180</v>
      </c>
      <c r="GN16" s="343" t="s">
        <v>866</v>
      </c>
      <c r="GO16" s="343" t="s">
        <v>868</v>
      </c>
      <c r="GP16" s="343" t="s">
        <v>848</v>
      </c>
      <c r="GQ16" s="343">
        <v>180</v>
      </c>
      <c r="GR16" s="343" t="s">
        <v>866</v>
      </c>
      <c r="GS16" s="343" t="s">
        <v>868</v>
      </c>
      <c r="GT16" s="343" t="s">
        <v>848</v>
      </c>
      <c r="GU16" s="343">
        <v>180</v>
      </c>
      <c r="GV16" s="343" t="s">
        <v>866</v>
      </c>
      <c r="GW16" s="343" t="s">
        <v>868</v>
      </c>
      <c r="GX16" s="343" t="s">
        <v>848</v>
      </c>
      <c r="GY16" s="343">
        <v>180</v>
      </c>
      <c r="GZ16" s="343" t="s">
        <v>866</v>
      </c>
      <c r="HA16" s="343" t="s">
        <v>868</v>
      </c>
      <c r="HB16" s="343" t="s">
        <v>848</v>
      </c>
      <c r="HC16" s="343">
        <v>180</v>
      </c>
      <c r="HD16" s="343" t="s">
        <v>866</v>
      </c>
      <c r="HE16" s="343" t="s">
        <v>868</v>
      </c>
      <c r="HF16" s="341" t="s">
        <v>975</v>
      </c>
      <c r="HG16" s="341" t="s">
        <v>1945</v>
      </c>
      <c r="HH16" s="341" t="s">
        <v>899</v>
      </c>
      <c r="HJ16" s="238"/>
      <c r="HK16" s="238"/>
      <c r="HL16" s="238"/>
      <c r="HM16" s="238">
        <f>COUNT(HI17,HJ17,HK17,HL17,HM17)</f>
        <v>0</v>
      </c>
      <c r="HN16" s="341"/>
      <c r="HO16" s="341"/>
      <c r="HP16" s="341"/>
      <c r="HQ16" s="341"/>
      <c r="HR16" s="341"/>
      <c r="HS16" s="238"/>
      <c r="HT16" s="238"/>
      <c r="HU16" s="238"/>
      <c r="HV16" s="238"/>
      <c r="HW16" s="238" t="s">
        <v>1130</v>
      </c>
      <c r="HY16" s="238"/>
      <c r="HZ16" s="238" t="s">
        <v>894</v>
      </c>
      <c r="IA16" s="238" t="s">
        <v>894</v>
      </c>
      <c r="IB16" s="238" t="s">
        <v>895</v>
      </c>
      <c r="IC16" s="238" t="s">
        <v>895</v>
      </c>
      <c r="ID16" s="238" t="s">
        <v>165</v>
      </c>
    </row>
    <row r="17" spans="1:238" s="234" customFormat="1" ht="20.100000000000001" customHeight="1">
      <c r="A17" s="235"/>
      <c r="B17" s="231">
        <f>COUNT(AJ18,AJ17)</f>
        <v>0</v>
      </c>
      <c r="C17" s="326">
        <f>IF(DK16="*",AJ13,AI13)</f>
        <v>1.1000000000000001</v>
      </c>
      <c r="D17" s="253" t="str">
        <f>REPT(DN17,1)</f>
        <v>2</v>
      </c>
      <c r="E17" s="254" t="str">
        <f>REPT(AH17,1)</f>
        <v/>
      </c>
      <c r="F17" s="168"/>
      <c r="G17" s="168"/>
      <c r="H17" s="168"/>
      <c r="I17" s="169"/>
      <c r="J17" s="270" t="str">
        <f>REPT(AM17,1)</f>
        <v/>
      </c>
      <c r="L17" s="306" t="s">
        <v>922</v>
      </c>
      <c r="M17" s="311"/>
      <c r="N17" s="270" t="str">
        <f>REPT(AP17,1)</f>
        <v/>
      </c>
      <c r="P17" s="306" t="s">
        <v>922</v>
      </c>
      <c r="Q17" s="310"/>
      <c r="R17" s="324">
        <f>IF(DL16="*",AJ13,AI13)</f>
        <v>1.1000000000000001</v>
      </c>
      <c r="S17" s="253" t="str">
        <f>REPT(DO17,1)</f>
        <v>2</v>
      </c>
      <c r="T17" s="254" t="str">
        <f>REPT(AV17,1)</f>
        <v/>
      </c>
      <c r="U17" s="168"/>
      <c r="V17" s="168"/>
      <c r="W17" s="168"/>
      <c r="X17" s="169"/>
      <c r="Y17" s="270" t="str">
        <f t="shared" ref="Y17:Y19" si="2">REPT(BA17,1)</f>
        <v/>
      </c>
      <c r="Z17" s="308"/>
      <c r="AB17" s="234">
        <f>IF(AY17="",0,IF(AY17&lt;2,1,""))</f>
        <v>0</v>
      </c>
      <c r="AC17" s="238">
        <f t="shared" ref="AC17:AC18" si="3">IF(AD17=1,1,IF(AD17=3,1,IF(AD17=2,0,IF(AD17=0,0,0))))</f>
        <v>0</v>
      </c>
      <c r="AD17" s="256">
        <f t="shared" ref="AD17:AD20" si="4">SUM(AE17:AG17)</f>
        <v>0</v>
      </c>
      <c r="AE17" s="256">
        <f t="shared" ref="AE17:AE20" si="5">IF(F17="",0,1)</f>
        <v>0</v>
      </c>
      <c r="AF17" s="256">
        <f t="shared" ref="AF17:AF20" si="6">IF(G17="",0,1)</f>
        <v>0</v>
      </c>
      <c r="AG17" s="256">
        <f t="shared" ref="AG17:AG20" si="7">IF(H17="",0,1)</f>
        <v>0</v>
      </c>
      <c r="AH17" s="257" t="str">
        <f>IF(AK17="",IF(AI17="","",IF(AI17="",501,501-AI17)),501)</f>
        <v/>
      </c>
      <c r="AI17" s="256" t="str">
        <f>IF(F17&gt;1,F17,IF(F17=0,"",IF(F17="","","")))</f>
        <v/>
      </c>
      <c r="AJ17" s="256" t="str">
        <f>IF(G17&gt;8,G17,IF(G17="","",""))</f>
        <v/>
      </c>
      <c r="AK17" s="256" t="str">
        <f>IF(H17&gt;1,H17,IF(H17="","",""))</f>
        <v/>
      </c>
      <c r="AL17" s="256" t="str">
        <f>IF(I17&gt;0,I17,IF(I17="","",""))</f>
        <v/>
      </c>
      <c r="AM17" s="258" t="str">
        <f>IF(BK17=0,"","X")</f>
        <v/>
      </c>
      <c r="AN17" s="237"/>
      <c r="AO17" s="237"/>
      <c r="AP17" s="258" t="str">
        <f>IF(BM17=0,"","X")</f>
        <v/>
      </c>
      <c r="AQ17" s="236">
        <f t="shared" ref="AQ17:AQ18" si="8">IF(AR17=1,1,IF(AR17=3,1,IF(AR17=2,0,IF(AR17=0,0,0))))</f>
        <v>0</v>
      </c>
      <c r="AR17" s="256">
        <f t="shared" ref="AR17:AR20" si="9">SUM(AS17:AU17)</f>
        <v>0</v>
      </c>
      <c r="AS17" s="256">
        <f t="shared" si="1"/>
        <v>0</v>
      </c>
      <c r="AT17" s="256">
        <f t="shared" si="1"/>
        <v>0</v>
      </c>
      <c r="AU17" s="256">
        <f t="shared" ref="AU17:AU20" si="10">IF(W17="",0,1)</f>
        <v>0</v>
      </c>
      <c r="AV17" s="257" t="str">
        <f>IF(AY17="",IF(AW17="","",IF(AW17="",501,501-AW17)),501)</f>
        <v/>
      </c>
      <c r="AW17" s="256" t="str">
        <f>IF(U17&gt;1,U17,IF(U17=0,"",IF(U17="","","")))</f>
        <v/>
      </c>
      <c r="AX17" s="256" t="str">
        <f>IF(V17&gt;8,V17,IF(V17="","",""))</f>
        <v/>
      </c>
      <c r="AY17" s="256" t="str">
        <f>IF(W17&gt;1,W17,IF(W17="","",""))</f>
        <v/>
      </c>
      <c r="AZ17" s="256" t="str">
        <f>IF(X17&gt;0,X17,IF(X17="","",""))</f>
        <v/>
      </c>
      <c r="BA17" s="258" t="str">
        <f>IF(BL17=0,"","X")</f>
        <v/>
      </c>
      <c r="BK17" s="251">
        <f>SUM(DD17,DV17,EY17,ED17,FF17,BQ17,BS17,AC17)</f>
        <v>0</v>
      </c>
      <c r="BL17" s="251">
        <f>SUM(DE17,DW17,EE17,FT17,GA17,BR17,BT17,AQ17)</f>
        <v>0</v>
      </c>
      <c r="BM17" s="259">
        <f t="shared" ref="BM17:BM18" si="11">SUM(DC17,BK17:BL17,AC17,AQ17)</f>
        <v>0</v>
      </c>
      <c r="BN17" s="239">
        <f>COUNT(AK17)</f>
        <v>0</v>
      </c>
      <c r="BO17" s="239">
        <f>COUNT(AY17)</f>
        <v>0</v>
      </c>
      <c r="BP17" s="239">
        <f>IF(BN19=0,0,1)</f>
        <v>0</v>
      </c>
      <c r="BQ17" s="260">
        <f>IF(AL17="",0,IF(AL17&gt;2,1,0))</f>
        <v>0</v>
      </c>
      <c r="BR17" s="261">
        <f>IF(AZ17="",0,IF(AZ17&gt;2,1,0))</f>
        <v>0</v>
      </c>
      <c r="BS17" s="262">
        <f>IF(AJ17=9,IF(AK17&lt;141,1,0),0)</f>
        <v>0</v>
      </c>
      <c r="BT17" s="263">
        <f>IF(AX17=9,IF(AY17&lt;141,1,0),0)</f>
        <v>0</v>
      </c>
      <c r="BU17" s="242">
        <f>IF(H17,G17,0)</f>
        <v>0</v>
      </c>
      <c r="BV17" s="238">
        <f>IF(BU17&gt;0,AJ17/3,0)</f>
        <v>0</v>
      </c>
      <c r="BW17" s="238">
        <f>ROUNDUP(BV17,0)</f>
        <v>0</v>
      </c>
      <c r="BX17" s="244">
        <f>IF(MOD(BW17,2)=0,BW17,BW17+1)</f>
        <v>0</v>
      </c>
      <c r="BY17" s="238">
        <f>IF(AJ17&lt;9,"",SUM(BX17-BW17))</f>
        <v>0</v>
      </c>
      <c r="BZ17" s="238">
        <f>IF(BY17=1,AK17,0)</f>
        <v>0</v>
      </c>
      <c r="CA17" s="243" t="str">
        <f>IF(BY17=0,AK17,0)</f>
        <v/>
      </c>
      <c r="CB17" s="238"/>
      <c r="CC17" s="238"/>
      <c r="CD17" s="242">
        <f>IF(W17,V17,0)</f>
        <v>0</v>
      </c>
      <c r="CE17" s="238">
        <f>IF(CD17&gt;0,AX17/3,0)</f>
        <v>0</v>
      </c>
      <c r="CF17" s="238">
        <f>ROUNDUP(CE17,0)</f>
        <v>0</v>
      </c>
      <c r="CG17" s="244">
        <f>IF(MOD(CF17,2)=0,CF17,CF17+1)</f>
        <v>0</v>
      </c>
      <c r="CH17" s="238">
        <f>IF(AX17&lt;9,"",SUM(CG17-CF17))</f>
        <v>0</v>
      </c>
      <c r="CI17" s="238">
        <f>IF(CH17=1,AY17,0)</f>
        <v>0</v>
      </c>
      <c r="CJ17" s="243" t="str">
        <f>IF(CH17=0,AY17,0)</f>
        <v/>
      </c>
      <c r="CK17" s="238"/>
      <c r="CL17" s="245">
        <f>IF(COUNT(F17,H17)=1,0,1)</f>
        <v>1</v>
      </c>
      <c r="CM17" s="245">
        <f>IF(COUNT(F17,U17)=1,0,1)</f>
        <v>1</v>
      </c>
      <c r="CN17" s="245">
        <f>IF(COUNT(H17,W17)=1,0,1)</f>
        <v>1</v>
      </c>
      <c r="CO17" s="245">
        <f>IF(COUNT(G17,V17)=2,0,1)</f>
        <v>1</v>
      </c>
      <c r="CP17" s="245">
        <f>IF(COUNT(U17,W17)=1,0,1)</f>
        <v>1</v>
      </c>
      <c r="CQ17" s="245">
        <f>IF(SUM(G17-V17)&gt;3,1,0)</f>
        <v>0</v>
      </c>
      <c r="CR17" s="245">
        <f>IF(SUM(G17-V17)&lt;-3,1,0)</f>
        <v>0</v>
      </c>
      <c r="CS17" s="264">
        <f>IF(AJ17=9,IF(AH17&lt;141,1,0),IF(AH17="",0,IF(AH17&gt;1,0,1)))</f>
        <v>0</v>
      </c>
      <c r="CT17" s="264">
        <f>IF(AX17=9,IF(AV17&lt;141,1,0),IF(AV17="",0,IF(AV17&gt;1,0,1)))</f>
        <v>0</v>
      </c>
      <c r="CU17" s="264">
        <f>IF(AI17="",0,IF(AI17&lt;502,0,1))</f>
        <v>0</v>
      </c>
      <c r="CV17" s="264">
        <f>IF(AW17="",0,IF(AW17&lt;502,0,1))</f>
        <v>0</v>
      </c>
      <c r="CW17" s="264">
        <f>IF(AI17="",IF(AJ17&lt;9,1,0),IF(AJ17&lt;9,1,0))</f>
        <v>0</v>
      </c>
      <c r="CX17" s="264">
        <f>IF(AW17="",IF(AX17&lt;9,1,0),IF(AX17&lt;9,1,0))</f>
        <v>0</v>
      </c>
      <c r="CY17" s="374"/>
      <c r="CZ17" s="374"/>
      <c r="DA17" s="374"/>
      <c r="DB17" s="374"/>
      <c r="DC17" s="265">
        <f>IF(AJ17="",0,SUM(CL17:CX17))</f>
        <v>0</v>
      </c>
      <c r="DD17" s="265">
        <f>IF(AJ17="",0,SUM(CL17,CS17,CU17,CW17))</f>
        <v>0</v>
      </c>
      <c r="DE17" s="265">
        <f>IF(AJ17="",0,SUM(CP17,CT17,CV17,CX17))</f>
        <v>0</v>
      </c>
      <c r="DF17" s="238"/>
      <c r="DG17" s="248">
        <f>SUM(G17-V17)</f>
        <v>0</v>
      </c>
      <c r="DH17" s="245">
        <f>IF(F17="",0,1)</f>
        <v>0</v>
      </c>
      <c r="DI17" s="245">
        <f t="shared" ref="DI17:DI20" si="12">IF(DG17=0,DH17,DG17)</f>
        <v>0</v>
      </c>
      <c r="DJ17" s="245">
        <f t="shared" ref="DJ17:DJ20" si="13">SIGN(DI17)</f>
        <v>0</v>
      </c>
      <c r="DK17" s="245" t="str">
        <f>IF(G17="","",IF(DJ17=1,"*",""))</f>
        <v/>
      </c>
      <c r="DL17" s="245" t="str">
        <f>IF(G17="","",IF(DJ17=-1,"*",IF(DJ17=0,"*","")))</f>
        <v/>
      </c>
      <c r="DM17" s="245">
        <v>2</v>
      </c>
      <c r="DN17" s="245" t="str">
        <f t="shared" ref="DN17:DN20" si="14">CONCATENATE(DM17,DK17)</f>
        <v>2</v>
      </c>
      <c r="DO17" s="245" t="str">
        <f t="shared" ref="DO17:DO20" si="15">CONCATENATE(DM17,DL17)</f>
        <v>2</v>
      </c>
      <c r="DP17" s="245">
        <f>SUM(DQ16)</f>
        <v>0</v>
      </c>
      <c r="DQ17" s="245">
        <f>SUM(DP16)</f>
        <v>0</v>
      </c>
      <c r="DR17" s="245">
        <f>IF(DK17="*",1,0)</f>
        <v>0</v>
      </c>
      <c r="DS17" s="245">
        <f>IF(DL17="*",1,0)</f>
        <v>0</v>
      </c>
      <c r="DT17" s="245">
        <f>IF(H7="",0,IF(DP17=DR17,1,0))</f>
        <v>0</v>
      </c>
      <c r="DU17" s="245">
        <f>IF(V17="",0,IF(DQ17=DS17,0,1))</f>
        <v>0</v>
      </c>
      <c r="DV17" s="267">
        <f>SUM(DT17)</f>
        <v>0</v>
      </c>
      <c r="DW17" s="267">
        <f>IF(V17="",0,SUM(DU17))</f>
        <v>0</v>
      </c>
      <c r="DX17" s="238">
        <f>IF(AK17="",0,1)</f>
        <v>0</v>
      </c>
      <c r="DY17" s="238">
        <f>IF(DG17=-3,1,0)</f>
        <v>0</v>
      </c>
      <c r="DZ17" s="238">
        <f>SUM(DX17:DY17)</f>
        <v>0</v>
      </c>
      <c r="EA17" s="238">
        <f>IF(AK17="",1,0)</f>
        <v>1</v>
      </c>
      <c r="EB17" s="238">
        <f>IF(DG17=3,1,0)</f>
        <v>0</v>
      </c>
      <c r="EC17" s="238">
        <f>SUM(EA17:EB17)</f>
        <v>1</v>
      </c>
      <c r="ED17" s="267">
        <f>IF(EC17=2,1,0)</f>
        <v>0</v>
      </c>
      <c r="EE17" s="267">
        <f>IF(DZ17=2,1,0)</f>
        <v>0</v>
      </c>
      <c r="EG17" s="166"/>
      <c r="EH17" s="238"/>
      <c r="EI17" s="238"/>
      <c r="EJ17" s="238"/>
      <c r="EK17" s="238"/>
      <c r="EL17" s="238"/>
      <c r="EM17" s="245">
        <f>IF(AK17="",0,1)</f>
        <v>0</v>
      </c>
      <c r="EN17" s="245">
        <f>SUM(AK17)</f>
        <v>0</v>
      </c>
      <c r="EO17" s="268">
        <f>SUM(AJ17)</f>
        <v>0</v>
      </c>
      <c r="EP17" s="268">
        <f>SUM(G17/3)</f>
        <v>0</v>
      </c>
      <c r="EQ17" s="268" t="e">
        <f>SUM(EO17/EP17)</f>
        <v>#DIV/0!</v>
      </c>
      <c r="ER17" s="268">
        <f>ROUNDDOWN(EP17,0)</f>
        <v>0</v>
      </c>
      <c r="ES17" s="268">
        <f>SUM(EO17,-ER17*3)</f>
        <v>0</v>
      </c>
      <c r="ET17" s="269" t="b">
        <f>MOD(EN17/1,2)=0</f>
        <v>1</v>
      </c>
      <c r="EU17" s="245">
        <f>IF(ET17=FALSE,1,0)</f>
        <v>0</v>
      </c>
      <c r="EV17" s="245">
        <f>IF(EN17=50,0,IF(EN17&lt;40,1,0))</f>
        <v>1</v>
      </c>
      <c r="EW17" s="245">
        <f>SUM(EU17:EV17)</f>
        <v>1</v>
      </c>
      <c r="EX17" s="267">
        <f>IF(EN17=1,1,IF(EN17=50,0,IF(ES17=1,IF(EN17&gt;40,1,0),0)))</f>
        <v>0</v>
      </c>
      <c r="EY17" s="267">
        <f>IF(ES17=1,IF(EW17=2,1,0),0)+EX17+FB17+FE17</f>
        <v>0</v>
      </c>
      <c r="EZ17" s="245">
        <f>IF(EN17=109,1,IF(EN17=108,1,IF(EN17=106,1,IF(EN17=105,1,IF(EN17=103,1,IF(EN17=102,1,IF(EN17=99,1,0)))))))</f>
        <v>0</v>
      </c>
      <c r="FA17" s="245">
        <f>IF(EN17&gt;110,1,0)</f>
        <v>0</v>
      </c>
      <c r="FB17" s="267">
        <f>IF(ES17=2,SUM(EZ17:FA17),0)</f>
        <v>0</v>
      </c>
      <c r="FC17" s="245">
        <f>IF(EN17=159,1,IF(EN17=162,1,IF(EN17=163,1,IF(EN17=165,1,IF(EN17=166,1,IF(EN17=168,1,IF(EN17=169,1,0)))))))</f>
        <v>0</v>
      </c>
      <c r="FD17" s="245">
        <f>IF(EN17&gt;170,1,0)</f>
        <v>0</v>
      </c>
      <c r="FE17" s="267">
        <f>IF(ES17=0,SUM(FC17:FD17),0)</f>
        <v>0</v>
      </c>
      <c r="FF17" s="251">
        <f t="shared" ref="FF17:FF20" si="16">IF(AJ17="",0,IF(AI17="",0,IF(EO17/ER17-3=0,0,1)))</f>
        <v>0</v>
      </c>
      <c r="FG17" s="238"/>
      <c r="FH17" s="245">
        <f>IF(AY17="",0,1)</f>
        <v>0</v>
      </c>
      <c r="FI17" s="245">
        <f>SUM(AY17)</f>
        <v>0</v>
      </c>
      <c r="FJ17" s="268">
        <f>SUM(AX17)</f>
        <v>0</v>
      </c>
      <c r="FK17" s="268">
        <f>SUM(V17/3)</f>
        <v>0</v>
      </c>
      <c r="FL17" s="268" t="e">
        <f>SUM(FJ17/FK17)</f>
        <v>#DIV/0!</v>
      </c>
      <c r="FM17" s="268">
        <f>ROUNDDOWN(FK17,0)</f>
        <v>0</v>
      </c>
      <c r="FN17" s="268">
        <f>SUM(FJ17,-FM17*3)</f>
        <v>0</v>
      </c>
      <c r="FO17" s="269" t="b">
        <f>MOD(FI17/1,2)=0</f>
        <v>1</v>
      </c>
      <c r="FP17" s="245">
        <f>IF(FO17=FALSE,1,0)</f>
        <v>0</v>
      </c>
      <c r="FQ17" s="245">
        <f>IF(FI17=50,0,IF(FI17&lt;40,1,0))</f>
        <v>1</v>
      </c>
      <c r="FR17" s="245">
        <f>SUM(FP17:FQ17)</f>
        <v>1</v>
      </c>
      <c r="FS17" s="267">
        <f>IF(FI17=1,1,IF(FI17=50,0,IF(FN17=1,IF(FI17&gt;40,1,0),0)))</f>
        <v>0</v>
      </c>
      <c r="FT17" s="267">
        <f>IF(FN17=1,IF(FR17=2,1,0),0)+FS17+FW17+FZ17</f>
        <v>0</v>
      </c>
      <c r="FU17" s="245">
        <f>IF(FI17=109,1,IF(FI17=108,1,IF(FI17=106,1,IF(FI17=105,1,IF(FI17=103,1,IF(FI17=102,1,IF(FI17=99,1,0)))))))</f>
        <v>0</v>
      </c>
      <c r="FV17" s="245">
        <f>IF(FI17&gt;110,1,0)</f>
        <v>0</v>
      </c>
      <c r="FW17" s="267">
        <f>IF(FN17=2,SUM(FU17:FV17),0)</f>
        <v>0</v>
      </c>
      <c r="FX17" s="245">
        <f>IF(FI17=159,1,IF(FI17=162,1,IF(FI17=163,1,IF(FI17=165,1,IF(FI17=166,1,IF(FI17=168,1,IF(FI17=169,1,0)))))))</f>
        <v>0</v>
      </c>
      <c r="FY17" s="245">
        <f>IF(FI17&gt;170,1,0)</f>
        <v>0</v>
      </c>
      <c r="FZ17" s="267">
        <f>IF(FN17=0,SUM(FX17:FY17),0)</f>
        <v>0</v>
      </c>
      <c r="GA17" s="251">
        <f t="shared" ref="GA17:GA20" si="17">IF(AX17="",0,IF(AW17="",0,IF(FJ17/FM17-3=0,0,1)))</f>
        <v>0</v>
      </c>
      <c r="GC17" s="238" t="str">
        <f>VLOOKUP(AH13,Chema!BL:BR,2,FALSE)</f>
        <v>HS 1.1</v>
      </c>
      <c r="GD17" s="341">
        <f>IF(E23="FORFAIT",1,0)</f>
        <v>0</v>
      </c>
      <c r="GE17" s="343" t="str">
        <f>IF(C23="","",SUM(C23))</f>
        <v/>
      </c>
      <c r="GF17" s="344">
        <f>SUM(AH16)</f>
        <v>0</v>
      </c>
      <c r="GG17" s="344">
        <f>SUM(AJ16)</f>
        <v>0</v>
      </c>
      <c r="GH17" s="344">
        <f t="shared" ref="GH17:GI17" si="18">SUM(AK16)</f>
        <v>0</v>
      </c>
      <c r="GI17" s="344">
        <f t="shared" si="18"/>
        <v>0</v>
      </c>
      <c r="GJ17" s="344">
        <f>SUM(AH17)</f>
        <v>0</v>
      </c>
      <c r="GK17" s="344">
        <f>SUM(AJ17)</f>
        <v>0</v>
      </c>
      <c r="GL17" s="344">
        <f>SUM(AK17)</f>
        <v>0</v>
      </c>
      <c r="GM17" s="344">
        <f>SUM(AL17)</f>
        <v>0</v>
      </c>
      <c r="GN17" s="344">
        <f>SUM(AH18)</f>
        <v>0</v>
      </c>
      <c r="GO17" s="344">
        <f>SUM(AJ18)</f>
        <v>0</v>
      </c>
      <c r="GP17" s="344">
        <f>SUM(AK18)</f>
        <v>0</v>
      </c>
      <c r="GQ17" s="344">
        <f>SUM(AL18)</f>
        <v>0</v>
      </c>
      <c r="GR17" s="344">
        <f>SUM(AH19)</f>
        <v>0</v>
      </c>
      <c r="GS17" s="344">
        <f>SUM(AJ19)</f>
        <v>0</v>
      </c>
      <c r="GT17" s="344">
        <f>SUM(AK19)</f>
        <v>0</v>
      </c>
      <c r="GU17" s="344">
        <f>SUM(AL19)</f>
        <v>0</v>
      </c>
      <c r="GV17" s="344">
        <f>SUM(AH20)</f>
        <v>0</v>
      </c>
      <c r="GW17" s="344">
        <f>SUM(AJ20)</f>
        <v>0</v>
      </c>
      <c r="GX17" s="344">
        <f>SUM(AK20)</f>
        <v>0</v>
      </c>
      <c r="GY17" s="344">
        <f>SUM(AL20)</f>
        <v>0</v>
      </c>
      <c r="GZ17" s="344">
        <f>SUM(GF17,GJ17,GN17,GR17,GV17)</f>
        <v>0</v>
      </c>
      <c r="HA17" s="344">
        <f t="shared" ref="HA17" si="19">SUM(GG17,GK17,GO17,GS17,GW17)</f>
        <v>0</v>
      </c>
      <c r="HB17" s="344">
        <f>IF(GD16=1,L23,MAX(GH17,GL17,GP17,GT17,GX17))</f>
        <v>0</v>
      </c>
      <c r="HC17" s="344">
        <f>IF(GD16=1,I23,SUM(GI17,GM17,GQ17,GU17,GY17))</f>
        <v>0</v>
      </c>
      <c r="HD17" s="345">
        <f>IF(GD16=1,0,SUM(GF17,GJ17,GN17,GR17,GV17))</f>
        <v>0</v>
      </c>
      <c r="HE17" s="345">
        <f>IF(GD16=1,0,SUM(GG17,GK17,GO17,GS17,GW17))</f>
        <v>0</v>
      </c>
      <c r="HF17" s="341">
        <f>IF(GD16=1,0,MIN(HI17,HJ17,HK17,HL17,HM17))</f>
        <v>0</v>
      </c>
      <c r="HG17" s="341">
        <f>IF(HF17=0,0,COUNTIF(HI17:HM17,HF17))</f>
        <v>0</v>
      </c>
      <c r="HH17" s="341">
        <f>SUM(GH18,GL18,GP18,GT18,GX18)</f>
        <v>0</v>
      </c>
      <c r="HI17" s="343" t="str">
        <f>IF(GH18=1,GG17,"")</f>
        <v/>
      </c>
      <c r="HJ17" s="343" t="str">
        <f>IF(GL18=1,GK17,"")</f>
        <v/>
      </c>
      <c r="HK17" s="343" t="str">
        <f>IF(GP18=1,GO17,"")</f>
        <v/>
      </c>
      <c r="HL17" s="343" t="str">
        <f>IF(GT18=1,GS17,"")</f>
        <v/>
      </c>
      <c r="HM17" s="343" t="str">
        <f>IF(GX18=1,GW17,"")</f>
        <v/>
      </c>
      <c r="HN17" s="341"/>
      <c r="HO17" s="341" t="s">
        <v>928</v>
      </c>
      <c r="HP17" s="341" t="s">
        <v>982</v>
      </c>
      <c r="HQ17" s="341" t="s">
        <v>983</v>
      </c>
      <c r="HR17" s="341" t="s">
        <v>984</v>
      </c>
      <c r="HS17" s="238" t="s">
        <v>932</v>
      </c>
      <c r="HT17" s="238" t="s">
        <v>933</v>
      </c>
      <c r="HU17" s="238" t="s">
        <v>985</v>
      </c>
      <c r="HV17" s="238" t="s">
        <v>986</v>
      </c>
      <c r="HW17" s="238" t="str">
        <f>IFERROR(IF(GD16=0,SUM(HZ18:IA18),""),"")</f>
        <v/>
      </c>
      <c r="HY17" s="238"/>
      <c r="HZ17" s="238" t="s">
        <v>1132</v>
      </c>
      <c r="IA17" s="238" t="s">
        <v>1133</v>
      </c>
      <c r="IB17" s="238" t="s">
        <v>1132</v>
      </c>
      <c r="IC17" s="238" t="s">
        <v>1133</v>
      </c>
      <c r="ID17" s="238"/>
    </row>
    <row r="18" spans="1:238" s="234" customFormat="1" ht="20.100000000000001" customHeight="1">
      <c r="A18" s="235"/>
      <c r="B18" s="231">
        <f>COUNT(AJ19,AJ18)</f>
        <v>0</v>
      </c>
      <c r="C18" s="235"/>
      <c r="D18" s="271" t="str">
        <f>REPT(DN18,1)</f>
        <v>3</v>
      </c>
      <c r="E18" s="254" t="str">
        <f>REPT(AH18,1)</f>
        <v/>
      </c>
      <c r="F18" s="168"/>
      <c r="G18" s="168"/>
      <c r="H18" s="168"/>
      <c r="I18" s="169"/>
      <c r="J18" s="270" t="str">
        <f t="shared" ref="J18:J19" si="20">REPT(AM18,1)</f>
        <v/>
      </c>
      <c r="L18" s="312">
        <f>SUM(L16*3)</f>
        <v>0</v>
      </c>
      <c r="M18" s="307"/>
      <c r="N18" s="270" t="str">
        <f>REPT(AP18,1)</f>
        <v/>
      </c>
      <c r="P18" s="312">
        <f>SUM(P16*3)</f>
        <v>0</v>
      </c>
      <c r="Q18" s="310"/>
      <c r="R18" s="235"/>
      <c r="S18" s="271" t="str">
        <f>REPT(DO18,1)</f>
        <v>3</v>
      </c>
      <c r="T18" s="254" t="str">
        <f>REPT(AV18,1)</f>
        <v/>
      </c>
      <c r="U18" s="168"/>
      <c r="V18" s="168"/>
      <c r="W18" s="168"/>
      <c r="X18" s="169"/>
      <c r="Y18" s="270" t="str">
        <f t="shared" si="2"/>
        <v/>
      </c>
      <c r="Z18" s="308"/>
      <c r="AB18" s="234">
        <f>IF(AY18="",0,IF(AY18&lt;2,1,""))</f>
        <v>0</v>
      </c>
      <c r="AC18" s="238">
        <f t="shared" si="3"/>
        <v>0</v>
      </c>
      <c r="AD18" s="256">
        <f t="shared" si="4"/>
        <v>0</v>
      </c>
      <c r="AE18" s="256">
        <f t="shared" si="5"/>
        <v>0</v>
      </c>
      <c r="AF18" s="256">
        <f t="shared" si="6"/>
        <v>0</v>
      </c>
      <c r="AG18" s="256">
        <f t="shared" si="7"/>
        <v>0</v>
      </c>
      <c r="AH18" s="257" t="str">
        <f>IF(AK18="",IF(AI18="","",IF(AI18="",501,501-AI18)),501)</f>
        <v/>
      </c>
      <c r="AI18" s="256" t="str">
        <f>IF(F18&gt;1,F18,IF(F18=0,"",IF(F18="","","")))</f>
        <v/>
      </c>
      <c r="AJ18" s="256" t="str">
        <f>IF(G18&gt;8,G18,IF(G18="","",""))</f>
        <v/>
      </c>
      <c r="AK18" s="256" t="str">
        <f>IF(H18&gt;1,H18,IF(H18="","",""))</f>
        <v/>
      </c>
      <c r="AL18" s="256" t="str">
        <f>IF(I18&gt;0,I18,IF(I18="","",""))</f>
        <v/>
      </c>
      <c r="AM18" s="258" t="str">
        <f>IF(BK18=0,"","X")</f>
        <v/>
      </c>
      <c r="AN18" s="237"/>
      <c r="AO18" s="237"/>
      <c r="AP18" s="258" t="str">
        <f>IF(BM18=0,"","X")</f>
        <v/>
      </c>
      <c r="AQ18" s="236">
        <f t="shared" si="8"/>
        <v>0</v>
      </c>
      <c r="AR18" s="256">
        <f t="shared" si="9"/>
        <v>0</v>
      </c>
      <c r="AS18" s="256">
        <f t="shared" si="1"/>
        <v>0</v>
      </c>
      <c r="AT18" s="256">
        <f t="shared" si="1"/>
        <v>0</v>
      </c>
      <c r="AU18" s="256">
        <f t="shared" si="10"/>
        <v>0</v>
      </c>
      <c r="AV18" s="257" t="str">
        <f>IF(AY18="",IF(AW18="","",IF(AW18="",501,501-AW18)),501)</f>
        <v/>
      </c>
      <c r="AW18" s="256" t="str">
        <f>IF(U18&gt;1,U18,IF(U18=0,"",IF(U18="","","")))</f>
        <v/>
      </c>
      <c r="AX18" s="256" t="str">
        <f>IF(V18&gt;8,V18,IF(V18="","",""))</f>
        <v/>
      </c>
      <c r="AY18" s="256" t="str">
        <f>IF(W18&gt;1,W18,IF(W18="","",""))</f>
        <v/>
      </c>
      <c r="AZ18" s="256" t="str">
        <f>IF(X18&gt;0,X18,IF(X18="","",""))</f>
        <v/>
      </c>
      <c r="BA18" s="258" t="str">
        <f>IF(BL18=0,"","X")</f>
        <v/>
      </c>
      <c r="BK18" s="251">
        <f>SUM(DD18,DV18,EY18,ED18,FF18,BQ18,BS18,AC18,BK25)</f>
        <v>0</v>
      </c>
      <c r="BL18" s="251">
        <f>SUM(DE18,DW18,EE18,FT18,GA18,BR18,BT18,AQ18,BL25,CZ18)</f>
        <v>0</v>
      </c>
      <c r="BM18" s="259">
        <f t="shared" si="11"/>
        <v>0</v>
      </c>
      <c r="BN18" s="239">
        <f>COUNT(AK18)</f>
        <v>0</v>
      </c>
      <c r="BO18" s="239">
        <f>COUNT(AY18)</f>
        <v>0</v>
      </c>
      <c r="BP18" s="239">
        <f>IF(BN20=0,0,1)</f>
        <v>0</v>
      </c>
      <c r="BQ18" s="260">
        <f>IF(AL18="",0,IF(AL18&gt;2,1,0))</f>
        <v>0</v>
      </c>
      <c r="BR18" s="261">
        <f>IF(AZ18="",0,IF(AZ18&gt;2,1,0))</f>
        <v>0</v>
      </c>
      <c r="BS18" s="262">
        <f>IF(AJ18=9,IF(AK18&lt;141,1,0),0)</f>
        <v>0</v>
      </c>
      <c r="BT18" s="263">
        <f>IF(AX18=9,IF(AY18&lt;141,1,0),0)</f>
        <v>0</v>
      </c>
      <c r="BU18" s="242">
        <f>IF(H18,G18,0)</f>
        <v>0</v>
      </c>
      <c r="BV18" s="238">
        <f>IF(BU18&gt;0,AJ18/3,0)</f>
        <v>0</v>
      </c>
      <c r="BW18" s="238">
        <f>ROUNDUP(BV18,0)</f>
        <v>0</v>
      </c>
      <c r="BX18" s="244">
        <f>IF(MOD(BW18,2)=0,BW18,BW18+1)</f>
        <v>0</v>
      </c>
      <c r="BY18" s="238">
        <f>IF(AJ18&lt;9,"",SUM(BX18-BW18))</f>
        <v>0</v>
      </c>
      <c r="BZ18" s="238">
        <f>IF(BY18=1,AK18,0)</f>
        <v>0</v>
      </c>
      <c r="CA18" s="243" t="str">
        <f>IF(BY18=0,AK18,0)</f>
        <v/>
      </c>
      <c r="CB18" s="238"/>
      <c r="CC18" s="238"/>
      <c r="CD18" s="242">
        <f>IF(W18,V18,0)</f>
        <v>0</v>
      </c>
      <c r="CE18" s="238">
        <f>IF(CD18&gt;0,AX18/3,0)</f>
        <v>0</v>
      </c>
      <c r="CF18" s="238">
        <f>ROUNDUP(CE18,0)</f>
        <v>0</v>
      </c>
      <c r="CG18" s="244">
        <f>IF(MOD(CF18,2)=0,CF18,CF18+1)</f>
        <v>0</v>
      </c>
      <c r="CH18" s="238">
        <f>IF(AX18&lt;9,"",SUM(CG18-CF18))</f>
        <v>0</v>
      </c>
      <c r="CI18" s="238">
        <f>IF(CH18=1,AY18,0)</f>
        <v>0</v>
      </c>
      <c r="CJ18" s="243" t="str">
        <f>IF(CH18=0,AY18,0)</f>
        <v/>
      </c>
      <c r="CK18" s="238"/>
      <c r="CL18" s="245">
        <f>IF(COUNT(F18,H18)=1,0,1)</f>
        <v>1</v>
      </c>
      <c r="CM18" s="245">
        <f>IF(COUNT(F18,U18)=1,0,1)</f>
        <v>1</v>
      </c>
      <c r="CN18" s="245">
        <f>IF(COUNT(H18,W18)=1,0,1)</f>
        <v>1</v>
      </c>
      <c r="CO18" s="245">
        <f>IF(COUNT(G18,V18)=2,0,1)</f>
        <v>1</v>
      </c>
      <c r="CP18" s="245">
        <f>IF(COUNT(U18,W18)=1,0,1)</f>
        <v>1</v>
      </c>
      <c r="CQ18" s="245">
        <f>IF(SUM(G18-V18)&gt;3,1,0)</f>
        <v>0</v>
      </c>
      <c r="CR18" s="245">
        <f>IF(SUM(G18-V18)&lt;-3,1,0)</f>
        <v>0</v>
      </c>
      <c r="CS18" s="264">
        <f>IF(AJ18=9,IF(AH18&lt;141,1,0),IF(AH18="",0,IF(AH18&gt;1,0,1)))</f>
        <v>0</v>
      </c>
      <c r="CT18" s="264">
        <f>IF(AX18=9,IF(AV18&lt;141,1,0),IF(AV18="",0,IF(AV18&gt;1,0,1)))</f>
        <v>0</v>
      </c>
      <c r="CU18" s="264">
        <f>IF(AI18="",0,IF(AI18&lt;502,0,1))</f>
        <v>0</v>
      </c>
      <c r="CV18" s="264">
        <f>IF(AW18="",0,IF(AW18&lt;502,0,1))</f>
        <v>0</v>
      </c>
      <c r="CW18" s="264">
        <f>IF(AI18="",IF(AJ18&lt;9,1,0),IF(AJ18&lt;9,1,0))</f>
        <v>0</v>
      </c>
      <c r="CX18" s="264">
        <f>IF(AW18="",IF(AX18&lt;9,1,0),IF(AX18&lt;9,1,0))</f>
        <v>0</v>
      </c>
      <c r="CY18" s="374">
        <f>COUNT(U16,U17,U18)</f>
        <v>0</v>
      </c>
      <c r="CZ18" s="375">
        <f>IF(AL13=3,IF(CY18&gt;2,1,0),0)</f>
        <v>0</v>
      </c>
      <c r="DA18" s="374"/>
      <c r="DB18" s="374"/>
      <c r="DC18" s="265">
        <f>IF(AJ18="",0,SUM(CL18:CX18))</f>
        <v>0</v>
      </c>
      <c r="DD18" s="265">
        <f>IF(AJ18="",0,SUM(CL18,CS18,CU18,CW18))</f>
        <v>0</v>
      </c>
      <c r="DE18" s="265">
        <f>IF(AJ18="",0,SUM(CP18,CT18,CV18,CX18))</f>
        <v>0</v>
      </c>
      <c r="DF18" s="238"/>
      <c r="DG18" s="248">
        <f>SUM(G18-V18)</f>
        <v>0</v>
      </c>
      <c r="DH18" s="245">
        <f>IF(F18="",0,1)</f>
        <v>0</v>
      </c>
      <c r="DI18" s="245">
        <f t="shared" si="12"/>
        <v>0</v>
      </c>
      <c r="DJ18" s="245">
        <f t="shared" si="13"/>
        <v>0</v>
      </c>
      <c r="DK18" s="245" t="str">
        <f>IF(G18="","",IF(DJ18=1,"*",""))</f>
        <v/>
      </c>
      <c r="DL18" s="245" t="str">
        <f>IF(G18="","",IF(DJ18=-1,"*",IF(DJ18=0,"*","")))</f>
        <v/>
      </c>
      <c r="DM18" s="245">
        <v>3</v>
      </c>
      <c r="DN18" s="245" t="str">
        <f t="shared" si="14"/>
        <v>3</v>
      </c>
      <c r="DO18" s="245" t="str">
        <f t="shared" si="15"/>
        <v>3</v>
      </c>
      <c r="DP18" s="245">
        <f>SUM(DP16)</f>
        <v>0</v>
      </c>
      <c r="DQ18" s="245">
        <f>SUM(DQ16)</f>
        <v>0</v>
      </c>
      <c r="DR18" s="245">
        <f t="shared" ref="DR18:DR20" si="21">IF(DK18="*",1,0)</f>
        <v>0</v>
      </c>
      <c r="DS18" s="245">
        <f t="shared" ref="DS18:DS20" si="22">IF(DL18="*",1,0)</f>
        <v>0</v>
      </c>
      <c r="DT18" s="245">
        <f t="shared" ref="DT18:DT20" si="23">IF(H8="",0,IF(DP18=DR18,1,0))</f>
        <v>0</v>
      </c>
      <c r="DU18" s="245">
        <f>IF(V18="",0,IF(DQ18=DS18,0,1))</f>
        <v>0</v>
      </c>
      <c r="DV18" s="267">
        <f t="shared" ref="DV18:DV20" si="24">SUM(DT18)</f>
        <v>0</v>
      </c>
      <c r="DW18" s="267">
        <f>IF(V18="",0,SUM(DU18))</f>
        <v>0</v>
      </c>
      <c r="DX18" s="238">
        <f>IF(AK18="",0,1)</f>
        <v>0</v>
      </c>
      <c r="DY18" s="238">
        <f>IF(DG18=-3,1,0)</f>
        <v>0</v>
      </c>
      <c r="DZ18" s="238">
        <f>SUM(DX18:DY18)</f>
        <v>0</v>
      </c>
      <c r="EA18" s="238">
        <f>IF(AK18="",1,0)</f>
        <v>1</v>
      </c>
      <c r="EB18" s="238">
        <f>IF(DG18=3,1,0)</f>
        <v>0</v>
      </c>
      <c r="EC18" s="238">
        <f>SUM(EA18:EB18)</f>
        <v>1</v>
      </c>
      <c r="ED18" s="267">
        <f>IF(EC18=2,1,0)</f>
        <v>0</v>
      </c>
      <c r="EE18" s="267">
        <f>IF(DZ18=2,1,0)</f>
        <v>0</v>
      </c>
      <c r="EG18" s="166"/>
      <c r="EH18" s="238"/>
      <c r="EI18" s="238"/>
      <c r="EJ18" s="238"/>
      <c r="EK18" s="238"/>
      <c r="EL18" s="238"/>
      <c r="EM18" s="245">
        <f>IF(AK18="",0,1)</f>
        <v>0</v>
      </c>
      <c r="EN18" s="245">
        <f>SUM(AK18)</f>
        <v>0</v>
      </c>
      <c r="EO18" s="268">
        <f>SUM(AJ18)</f>
        <v>0</v>
      </c>
      <c r="EP18" s="268">
        <f>SUM(G18/3)</f>
        <v>0</v>
      </c>
      <c r="EQ18" s="268" t="e">
        <f>SUM(EO18/EP18)</f>
        <v>#DIV/0!</v>
      </c>
      <c r="ER18" s="268">
        <f>ROUNDDOWN(EP18,0)</f>
        <v>0</v>
      </c>
      <c r="ES18" s="268">
        <f>SUM(EO18,-ER18*3)</f>
        <v>0</v>
      </c>
      <c r="ET18" s="269" t="b">
        <f>MOD(EN18/1,2)=0</f>
        <v>1</v>
      </c>
      <c r="EU18" s="245">
        <f>IF(ET18=FALSE,1,0)</f>
        <v>0</v>
      </c>
      <c r="EV18" s="245">
        <f>IF(EN18=50,0,IF(EN18&lt;40,1,0))</f>
        <v>1</v>
      </c>
      <c r="EW18" s="245">
        <f>SUM(EU18:EV18)</f>
        <v>1</v>
      </c>
      <c r="EX18" s="267">
        <f>IF(EN18=1,1,IF(EN18=50,0,IF(ES18=1,IF(EN18&gt;40,1,0),0)))</f>
        <v>0</v>
      </c>
      <c r="EY18" s="267">
        <f>IF(ES18=1,IF(EW18=2,1,0),0)+EX18+FB18+FE18</f>
        <v>0</v>
      </c>
      <c r="EZ18" s="245">
        <f>IF(EN18=109,1,IF(EN18=108,1,IF(EN18=106,1,IF(EN18=105,1,IF(EN18=103,1,IF(EN18=102,1,IF(EN18=99,1,0)))))))</f>
        <v>0</v>
      </c>
      <c r="FA18" s="245">
        <f>IF(EN18&gt;110,1,0)</f>
        <v>0</v>
      </c>
      <c r="FB18" s="267">
        <f>IF(ES18=2,SUM(EZ18:FA18),0)</f>
        <v>0</v>
      </c>
      <c r="FC18" s="245">
        <f>IF(EN18=159,1,IF(EN18=162,1,IF(EN18=163,1,IF(EN18=165,1,IF(EN18=166,1,IF(EN18=168,1,IF(EN18=169,1,0)))))))</f>
        <v>0</v>
      </c>
      <c r="FD18" s="245">
        <f>IF(EN18&gt;170,1,0)</f>
        <v>0</v>
      </c>
      <c r="FE18" s="267">
        <f>IF(ES18=0,SUM(FC18:FD18),0)</f>
        <v>0</v>
      </c>
      <c r="FF18" s="251">
        <f t="shared" si="16"/>
        <v>0</v>
      </c>
      <c r="FG18" s="238"/>
      <c r="FH18" s="245">
        <f>IF(AY18="",0,1)</f>
        <v>0</v>
      </c>
      <c r="FI18" s="245">
        <f>SUM(AY18)</f>
        <v>0</v>
      </c>
      <c r="FJ18" s="268">
        <f>SUM(AX18)</f>
        <v>0</v>
      </c>
      <c r="FK18" s="268">
        <f>SUM(V18/3)</f>
        <v>0</v>
      </c>
      <c r="FL18" s="268" t="e">
        <f>SUM(FJ18/FK18)</f>
        <v>#DIV/0!</v>
      </c>
      <c r="FM18" s="268">
        <f>ROUNDDOWN(FK18,0)</f>
        <v>0</v>
      </c>
      <c r="FN18" s="268">
        <f>SUM(FJ18,-FM18*3)</f>
        <v>0</v>
      </c>
      <c r="FO18" s="269" t="b">
        <f>MOD(FI18/1,2)=0</f>
        <v>1</v>
      </c>
      <c r="FP18" s="245">
        <f>IF(FO18=FALSE,1,0)</f>
        <v>0</v>
      </c>
      <c r="FQ18" s="245">
        <f>IF(FI18=50,0,IF(FI18&lt;40,1,0))</f>
        <v>1</v>
      </c>
      <c r="FR18" s="245">
        <f>SUM(FP18:FQ18)</f>
        <v>1</v>
      </c>
      <c r="FS18" s="267">
        <f>IF(FI18=1,1,IF(FI18=50,0,IF(FN18=1,IF(FI18&gt;40,1,0),0)))</f>
        <v>0</v>
      </c>
      <c r="FT18" s="267">
        <f>IF(FN18=1,IF(FR18=2,1,0),0)+FS18+FW18+FZ18</f>
        <v>0</v>
      </c>
      <c r="FU18" s="245">
        <f>IF(FI18=109,1,IF(FI18=108,1,IF(FI18=106,1,IF(FI18=105,1,IF(FI18=103,1,IF(FI18=102,1,IF(FI18=99,1,0)))))))</f>
        <v>0</v>
      </c>
      <c r="FV18" s="245">
        <f>IF(FI18&gt;110,1,0)</f>
        <v>0</v>
      </c>
      <c r="FW18" s="267">
        <f>IF(FN18=2,SUM(FU18:FV18),0)</f>
        <v>0</v>
      </c>
      <c r="FX18" s="245">
        <f>IF(FI18=159,1,IF(FI18=162,1,IF(FI18=163,1,IF(FI18=165,1,IF(FI18=166,1,IF(FI18=168,1,IF(FI18=169,1,0)))))))</f>
        <v>0</v>
      </c>
      <c r="FY18" s="245">
        <f>IF(FI18&gt;170,1,0)</f>
        <v>0</v>
      </c>
      <c r="FZ18" s="267">
        <f>IF(FN18=0,SUM(FX18:FY18),0)</f>
        <v>0</v>
      </c>
      <c r="GA18" s="251">
        <f t="shared" si="17"/>
        <v>0</v>
      </c>
      <c r="GC18" s="238" t="str">
        <f>VLOOKUP(AH13,Chema!BL:BR,3,FALSE)</f>
        <v/>
      </c>
      <c r="GD18" s="341"/>
      <c r="GE18" s="343" t="str">
        <f>IF(C24="","",SUM(C24))</f>
        <v/>
      </c>
      <c r="GF18" s="346"/>
      <c r="GG18" s="340"/>
      <c r="GH18" s="343">
        <f>IF(GH17&gt;0,1,0)</f>
        <v>0</v>
      </c>
      <c r="GI18" s="346"/>
      <c r="GJ18" s="343"/>
      <c r="GK18" s="340"/>
      <c r="GL18" s="343">
        <f>IF(GL17&gt;0,1,0)</f>
        <v>0</v>
      </c>
      <c r="GM18" s="343"/>
      <c r="GN18" s="343"/>
      <c r="GO18" s="340"/>
      <c r="GP18" s="343">
        <f>IF(GP17&gt;0,1,0)</f>
        <v>0</v>
      </c>
      <c r="GQ18" s="343"/>
      <c r="GR18" s="343"/>
      <c r="GS18" s="340"/>
      <c r="GT18" s="343">
        <f>IF(GT17&gt;0,1,0)</f>
        <v>0</v>
      </c>
      <c r="GU18" s="343"/>
      <c r="GV18" s="343"/>
      <c r="GW18" s="340"/>
      <c r="GX18" s="343">
        <f>IF(GX17&gt;0,1,0)</f>
        <v>0</v>
      </c>
      <c r="GY18" s="343"/>
      <c r="GZ18" s="343"/>
      <c r="HA18" s="343"/>
      <c r="HB18" s="343" t="str">
        <f>IF(GD16=1,L24,"")</f>
        <v/>
      </c>
      <c r="HC18" s="343" t="str">
        <f>IF(GD16=1,I24,"")</f>
        <v/>
      </c>
      <c r="HD18" s="345"/>
      <c r="HE18" s="340"/>
      <c r="HF18" s="340"/>
      <c r="HG18" s="347">
        <f>IF(GE17="",0,IF(AL13=3,2,IF(AL13=5,3,0)))</f>
        <v>0</v>
      </c>
      <c r="HH18" s="347">
        <f>IF(HK18=0,0,IF(HG20=0,0,1))</f>
        <v>0</v>
      </c>
      <c r="HI18" s="340"/>
      <c r="HJ18" s="340"/>
      <c r="HK18" s="340">
        <f>SUM(HM16,HM20)</f>
        <v>0</v>
      </c>
      <c r="HL18" s="340">
        <f>IF(HK18=0,0,IF(HM16=HG18,1,0))</f>
        <v>0</v>
      </c>
      <c r="HM18" s="340">
        <f>IF(HK18=0,0,IF(HM20=HG18,1,0))</f>
        <v>0</v>
      </c>
      <c r="HN18" s="341" t="str">
        <f>REPT(N13,1)</f>
        <v>Spiel 1</v>
      </c>
      <c r="HO18" s="348" t="str">
        <f>IF(HK18=0,"",IF(HH18=0,SUM(HH17),""))</f>
        <v/>
      </c>
      <c r="HP18" s="348" t="str">
        <f>IF(HK18=0,"",IF(HH18=0,SUM(HH19),""))</f>
        <v/>
      </c>
      <c r="HQ18" s="348" t="e">
        <f>IF(HH18=0,SUM(GZ17/HA17),"")</f>
        <v>#DIV/0!</v>
      </c>
      <c r="HR18" s="348" t="e">
        <f>IF(HH18=0,SUM(GZ19/HA19),"")</f>
        <v>#DIV/0!</v>
      </c>
      <c r="HS18" s="238" t="str">
        <f>REPT(DK16,1)</f>
        <v/>
      </c>
      <c r="HT18" s="238" t="str">
        <f>REPT(DL16,1)</f>
        <v/>
      </c>
      <c r="HU18" s="238">
        <f>IF(HH18=0,HL18,"")</f>
        <v>0</v>
      </c>
      <c r="HV18" s="238">
        <f>IF(HH18=0,HM18,"")</f>
        <v>0</v>
      </c>
      <c r="HW18" s="238" t="s">
        <v>1131</v>
      </c>
      <c r="HY18" s="238"/>
      <c r="HZ18" s="238" t="e">
        <f>IF(AL13=5,IF(HU18=1,SUM(HO18*2-HP18),HO18+HP18-2),"")</f>
        <v>#VALUE!</v>
      </c>
      <c r="IA18" s="238" t="str">
        <f>IF(AL13=3,IF(HU18=1,SUM(HO18-HP18+3),HO18+HP18-1),"")</f>
        <v/>
      </c>
      <c r="IB18" s="238" t="e">
        <f>IF(AL13=5,IF(HV18=1,SUM(HP18*2-HO18),HO18+HP18-2),"")</f>
        <v>#VALUE!</v>
      </c>
      <c r="IC18" s="238" t="str">
        <f>IF(AL13=3,IF(HV18=1,SUM(HP18-HO18+3),HO18+HP18-1),"")</f>
        <v/>
      </c>
      <c r="ID18" s="238">
        <f>SUM(BM22)</f>
        <v>0</v>
      </c>
    </row>
    <row r="19" spans="1:238" s="234" customFormat="1" ht="20.100000000000001" customHeight="1">
      <c r="A19" s="235"/>
      <c r="B19" s="231">
        <f>COUNT(AJ20,AJ19)</f>
        <v>0</v>
      </c>
      <c r="C19" s="235"/>
      <c r="D19" s="328" t="str">
        <f>REPT(DN19,1)</f>
        <v>4</v>
      </c>
      <c r="E19" s="329" t="str">
        <f>REPT(AH19,1)</f>
        <v/>
      </c>
      <c r="F19" s="330"/>
      <c r="G19" s="330"/>
      <c r="H19" s="330"/>
      <c r="I19" s="331"/>
      <c r="J19" s="270" t="str">
        <f t="shared" si="20"/>
        <v/>
      </c>
      <c r="M19" s="311"/>
      <c r="N19" s="270" t="str">
        <f>REPT(AP19,1)</f>
        <v/>
      </c>
      <c r="Q19" s="310"/>
      <c r="R19" s="235"/>
      <c r="S19" s="328" t="str">
        <f>REPT(DO19,1)</f>
        <v>4</v>
      </c>
      <c r="T19" s="329" t="str">
        <f>REPT(AV19,1)</f>
        <v/>
      </c>
      <c r="U19" s="330"/>
      <c r="V19" s="330"/>
      <c r="W19" s="330"/>
      <c r="X19" s="331"/>
      <c r="Y19" s="270" t="str">
        <f t="shared" si="2"/>
        <v/>
      </c>
      <c r="Z19" s="308"/>
      <c r="AA19" s="238">
        <f>SUM(AL13)</f>
        <v>5</v>
      </c>
      <c r="AB19" s="234">
        <f>IF(AY19="",0,IF(AY19&lt;2,1,""))</f>
        <v>0</v>
      </c>
      <c r="AC19" s="238">
        <f>IF(AL13=3,0,IF(AD19=1,1,IF(AD19=3,1,IF(AD19=2,0,IF(AD19=0,0,0)))))</f>
        <v>0</v>
      </c>
      <c r="AD19" s="256">
        <f t="shared" si="4"/>
        <v>0</v>
      </c>
      <c r="AE19" s="256">
        <f t="shared" si="5"/>
        <v>0</v>
      </c>
      <c r="AF19" s="256">
        <f t="shared" si="6"/>
        <v>0</v>
      </c>
      <c r="AG19" s="256">
        <f t="shared" si="7"/>
        <v>0</v>
      </c>
      <c r="AH19" s="257" t="str">
        <f>IF(AL13=3,"",IF(AK19="",IF(AI19="","",IF(AI19="",501,501-AI19)),501))</f>
        <v/>
      </c>
      <c r="AI19" s="256" t="str">
        <f>IF(AL13=3,"",IF(F19&gt;1,F19,IF(F19=0,"",IF(F19="","",""))))</f>
        <v/>
      </c>
      <c r="AJ19" s="256" t="str">
        <f>IF(AL13=3,"",IF(G19&gt;8,G19,IF(G19="","","")))</f>
        <v/>
      </c>
      <c r="AK19" s="256" t="str">
        <f>IF(AL13=3,"",IF(H19&gt;1,H19,IF(H19="","","")))</f>
        <v/>
      </c>
      <c r="AL19" s="256" t="str">
        <f>IF(AL13=3,"",IF(I19&gt;0,I19,IF(I19="","","")))</f>
        <v/>
      </c>
      <c r="AM19" s="258" t="str">
        <f>IF(BK19=0,"","X")</f>
        <v/>
      </c>
      <c r="AN19" s="237"/>
      <c r="AO19" s="237"/>
      <c r="AP19" s="258" t="str">
        <f>IF(BM19=0,"","X")</f>
        <v/>
      </c>
      <c r="AQ19" s="236">
        <f>IF(AL13=3,0,IF(AR19=1,1,IF(AR19=3,1,IF(AR19=2,0,IF(AR19=0,0,0)))))</f>
        <v>0</v>
      </c>
      <c r="AR19" s="256">
        <f t="shared" si="9"/>
        <v>0</v>
      </c>
      <c r="AS19" s="256">
        <f t="shared" si="1"/>
        <v>0</v>
      </c>
      <c r="AT19" s="256">
        <f t="shared" si="1"/>
        <v>0</v>
      </c>
      <c r="AU19" s="256">
        <f t="shared" si="10"/>
        <v>0</v>
      </c>
      <c r="AV19" s="257" t="str">
        <f>IF(AY19="",IF(AW19="","",IF(AW19="",501,501-AW19)),501)</f>
        <v/>
      </c>
      <c r="AW19" s="256" t="str">
        <f>IF(AL13=3,"",IF(U19&gt;1,U19,IF(U19=0,"",IF(U19="","",""))))</f>
        <v/>
      </c>
      <c r="AX19" s="256" t="str">
        <f>IF(AL13=3,"",IF(V19&gt;8,V19,IF(V19="","","")))</f>
        <v/>
      </c>
      <c r="AY19" s="256" t="str">
        <f>IF(AL13=3,"",IF(W19&gt;1,W19,IF(W19="","","")))</f>
        <v/>
      </c>
      <c r="AZ19" s="256" t="str">
        <f>IF(AL13=3,"",IF(X19&gt;0,X19,IF(X19="","","")))</f>
        <v/>
      </c>
      <c r="BA19" s="258" t="str">
        <f>IF(BL19=0,"","X")</f>
        <v/>
      </c>
      <c r="BK19" s="251">
        <f>IF(AL13=3,0,SUM(DD19,DV19,EY19,ED19,FF19,BQ19,BS19,AC19))</f>
        <v>0</v>
      </c>
      <c r="BL19" s="251">
        <f>IF(AL13=3,0,SUM(DE19,DW19,EE19,FT19,GA19,BR19,BT19,AQ19))</f>
        <v>0</v>
      </c>
      <c r="BM19" s="259">
        <f>IF(AL13=3,0,SUM(DC19,BK19:BL19,AC19,AQ19))</f>
        <v>0</v>
      </c>
      <c r="BN19" s="239">
        <f>COUNT(AK19)</f>
        <v>0</v>
      </c>
      <c r="BO19" s="239">
        <f>COUNT(AY19)</f>
        <v>0</v>
      </c>
      <c r="BP19" s="239">
        <f>IF(BZ21=0,0,1)</f>
        <v>0</v>
      </c>
      <c r="BQ19" s="260">
        <f>IF(AL19="",0,IF(AL19&gt;2,1,0))</f>
        <v>0</v>
      </c>
      <c r="BR19" s="261">
        <f>IF(AZ19="",0,IF(AZ19&gt;2,1,0))</f>
        <v>0</v>
      </c>
      <c r="BS19" s="262">
        <f>IF(AJ19=9,IF(AK19&lt;141,1,0),0)</f>
        <v>0</v>
      </c>
      <c r="BT19" s="263">
        <f>IF(AX19=9,IF(AY19&lt;141,1,0),0)</f>
        <v>0</v>
      </c>
      <c r="BU19" s="242">
        <f>IF(AL13=3,0,IF(H19,G19,0))</f>
        <v>0</v>
      </c>
      <c r="BV19" s="238">
        <f>IF(BU19&gt;0,AJ19/3,0)</f>
        <v>0</v>
      </c>
      <c r="BW19" s="238">
        <f>ROUNDUP(BV19,0)</f>
        <v>0</v>
      </c>
      <c r="BX19" s="244">
        <f>IF(MOD(BW19,2)=0,BW19,BW19+1)</f>
        <v>0</v>
      </c>
      <c r="BY19" s="238">
        <f>IF(AJ19&lt;9,"",SUM(BX19-BW19))</f>
        <v>0</v>
      </c>
      <c r="BZ19" s="238">
        <f>IF(BY19=1,AK19,0)</f>
        <v>0</v>
      </c>
      <c r="CA19" s="243" t="str">
        <f>IF(BY19=0,AK19,0)</f>
        <v/>
      </c>
      <c r="CB19" s="238"/>
      <c r="CC19" s="238"/>
      <c r="CD19" s="242">
        <f>IF(AL13=3,0,IF(W19,V19,0))</f>
        <v>0</v>
      </c>
      <c r="CE19" s="238">
        <f>IF(CD19&gt;0,AX19/3,0)</f>
        <v>0</v>
      </c>
      <c r="CF19" s="238">
        <f>ROUNDUP(CE19,0)</f>
        <v>0</v>
      </c>
      <c r="CG19" s="244">
        <f>IF(MOD(CF19,2)=0,CF19,CF19+1)</f>
        <v>0</v>
      </c>
      <c r="CH19" s="238">
        <f>IF(AX19&lt;9,"",SUM(CG19-CF19))</f>
        <v>0</v>
      </c>
      <c r="CI19" s="238">
        <f>IF(CH19=1,AY19,0)</f>
        <v>0</v>
      </c>
      <c r="CJ19" s="243" t="str">
        <f>IF(CH19=0,AY19,0)</f>
        <v/>
      </c>
      <c r="CK19" s="238"/>
      <c r="CL19" s="245">
        <f>IF(COUNT(F19,H19)=1,0,1)</f>
        <v>1</v>
      </c>
      <c r="CM19" s="245">
        <f>IF(COUNT(F19,U19)=1,0,1)</f>
        <v>1</v>
      </c>
      <c r="CN19" s="245">
        <f>IF(COUNT(H19,W19)=1,0,1)</f>
        <v>1</v>
      </c>
      <c r="CO19" s="245">
        <f>IF(COUNT(G19,V19)=2,0,1)</f>
        <v>1</v>
      </c>
      <c r="CP19" s="245">
        <f>IF(COUNT(U19,W19)=1,0,1)</f>
        <v>1</v>
      </c>
      <c r="CQ19" s="245">
        <f>IF(SUM(G19-V19)&gt;3,1,0)</f>
        <v>0</v>
      </c>
      <c r="CR19" s="245">
        <f>IF(SUM(G19-V19)&lt;-3,1,0)</f>
        <v>0</v>
      </c>
      <c r="CS19" s="264">
        <f>IF(AJ19=9,IF(AH19&lt;141,1,0),IF(AH19="",0,IF(AH19&gt;1,0,1)))</f>
        <v>0</v>
      </c>
      <c r="CT19" s="264">
        <f>IF(AX19=9,IF(AV19&lt;141,1,0),IF(AV19="",0,IF(AV19&gt;1,0,1)))</f>
        <v>0</v>
      </c>
      <c r="CU19" s="264">
        <f>IF(AI19="",0,IF(AI19&lt;502,0,1))</f>
        <v>0</v>
      </c>
      <c r="CV19" s="264">
        <f>IF(AW19="",0,IF(AW19&lt;502,0,1))</f>
        <v>0</v>
      </c>
      <c r="CW19" s="264">
        <f>IF(AI19="",IF(AJ19&lt;9,1,0),IF(AJ19&lt;9,1,0))</f>
        <v>0</v>
      </c>
      <c r="CX19" s="264">
        <f>IF(AW19="",IF(AX19&lt;9,1,0),IF(AX19&lt;9,1,0))</f>
        <v>0</v>
      </c>
      <c r="CY19" s="374"/>
      <c r="CZ19" s="374"/>
      <c r="DA19" s="374"/>
      <c r="DB19" s="374"/>
      <c r="DC19" s="265">
        <f>IF(AJ19="",0,SUM(CL19:CX19))</f>
        <v>0</v>
      </c>
      <c r="DD19" s="265">
        <f>IF(AJ19="",0,SUM(CL19,CS19,CU19,CW19))</f>
        <v>0</v>
      </c>
      <c r="DE19" s="265">
        <f>IF(AJ19="",0,SUM(CP19,CT19,CV19,CX19))</f>
        <v>0</v>
      </c>
      <c r="DF19" s="238"/>
      <c r="DG19" s="248">
        <f>IF(AL13=3,0,SUM(G19-V19))</f>
        <v>0</v>
      </c>
      <c r="DH19" s="245">
        <f>IF(F19="",0,1)</f>
        <v>0</v>
      </c>
      <c r="DI19" s="245">
        <f t="shared" si="12"/>
        <v>0</v>
      </c>
      <c r="DJ19" s="245">
        <f t="shared" si="13"/>
        <v>0</v>
      </c>
      <c r="DK19" s="245" t="str">
        <f>IF(G19="","",IF(DJ19=1,"*",""))</f>
        <v/>
      </c>
      <c r="DL19" s="245" t="str">
        <f>IF(AL13=3,"",IF(G19="","",IF(DJ19=-1,"*",IF(DJ19=0,"*",""))))</f>
        <v/>
      </c>
      <c r="DM19" s="245">
        <v>4</v>
      </c>
      <c r="DN19" s="245" t="str">
        <f t="shared" si="14"/>
        <v>4</v>
      </c>
      <c r="DO19" s="245" t="str">
        <f t="shared" si="15"/>
        <v>4</v>
      </c>
      <c r="DP19" s="245">
        <f>SUM(DQ16)</f>
        <v>0</v>
      </c>
      <c r="DQ19" s="245">
        <f>SUM(DP16)</f>
        <v>0</v>
      </c>
      <c r="DR19" s="245">
        <f t="shared" si="21"/>
        <v>0</v>
      </c>
      <c r="DS19" s="245">
        <f t="shared" si="22"/>
        <v>0</v>
      </c>
      <c r="DT19" s="245">
        <f t="shared" si="23"/>
        <v>0</v>
      </c>
      <c r="DU19" s="245">
        <f>IF(V19="",0,IF(DQ19=DS19,0,1))</f>
        <v>0</v>
      </c>
      <c r="DV19" s="267">
        <f t="shared" si="24"/>
        <v>0</v>
      </c>
      <c r="DW19" s="267">
        <f>IF(V19="",0,SUM(DU19))</f>
        <v>0</v>
      </c>
      <c r="DX19" s="238">
        <f>IF(AK19="",0,1)</f>
        <v>0</v>
      </c>
      <c r="DY19" s="238">
        <f>IF(DG19=-3,1,0)</f>
        <v>0</v>
      </c>
      <c r="DZ19" s="238">
        <f>SUM(DX19:DY19)</f>
        <v>0</v>
      </c>
      <c r="EA19" s="238">
        <f>IF(AK19="",1,0)</f>
        <v>1</v>
      </c>
      <c r="EB19" s="238">
        <f>IF(DG19=3,1,0)</f>
        <v>0</v>
      </c>
      <c r="EC19" s="238">
        <f>SUM(EA19:EB19)</f>
        <v>1</v>
      </c>
      <c r="ED19" s="267">
        <f>IF(EC19=2,1,0)</f>
        <v>0</v>
      </c>
      <c r="EE19" s="267">
        <f>IF(DZ19=2,1,0)</f>
        <v>0</v>
      </c>
      <c r="EG19" s="166"/>
      <c r="EH19" s="238"/>
      <c r="EI19" s="238"/>
      <c r="EJ19" s="238"/>
      <c r="EK19" s="238"/>
      <c r="EL19" s="238"/>
      <c r="EM19" s="245">
        <f>IF(AK19="",0,1)</f>
        <v>0</v>
      </c>
      <c r="EN19" s="245">
        <f>SUM(AK19)</f>
        <v>0</v>
      </c>
      <c r="EO19" s="268">
        <f>SUM(AJ19)</f>
        <v>0</v>
      </c>
      <c r="EP19" s="268">
        <f>SUM(G19/3)</f>
        <v>0</v>
      </c>
      <c r="EQ19" s="268" t="e">
        <f>SUM(EO19/EP19)</f>
        <v>#DIV/0!</v>
      </c>
      <c r="ER19" s="268">
        <f>ROUNDDOWN(EP19,0)</f>
        <v>0</v>
      </c>
      <c r="ES19" s="268">
        <f>SUM(EO19,-ER19*3)</f>
        <v>0</v>
      </c>
      <c r="ET19" s="269" t="b">
        <f>MOD(EN19/1,2)=0</f>
        <v>1</v>
      </c>
      <c r="EU19" s="245">
        <f>IF(ET19=FALSE,1,0)</f>
        <v>0</v>
      </c>
      <c r="EV19" s="245">
        <f>IF(EN19=50,0,IF(EN19&lt;40,1,0))</f>
        <v>1</v>
      </c>
      <c r="EW19" s="245">
        <f>SUM(EU19:EV19)</f>
        <v>1</v>
      </c>
      <c r="EX19" s="267">
        <f>IF(EN19=1,1,IF(EN19=50,0,IF(ES19=1,IF(EN19&gt;40,1,0),0)))</f>
        <v>0</v>
      </c>
      <c r="EY19" s="267">
        <f>IF(ES19=1,IF(EW19=2,1,0),0)+EX19+FB19+FE19</f>
        <v>0</v>
      </c>
      <c r="EZ19" s="245">
        <f>IF(EN19=109,1,IF(EN19=108,1,IF(EN19=106,1,IF(EN19=105,1,IF(EN19=103,1,IF(EN19=102,1,IF(EN19=99,1,0)))))))</f>
        <v>0</v>
      </c>
      <c r="FA19" s="245">
        <f>IF(EN19&gt;110,1,0)</f>
        <v>0</v>
      </c>
      <c r="FB19" s="267">
        <f>IF(ES19=2,SUM(EZ19:FA19),0)</f>
        <v>0</v>
      </c>
      <c r="FC19" s="245">
        <f>IF(EN19=159,1,IF(EN19=162,1,IF(EN19=163,1,IF(EN19=165,1,IF(EN19=166,1,IF(EN19=168,1,IF(EN19=169,1,0)))))))</f>
        <v>0</v>
      </c>
      <c r="FD19" s="245">
        <f>IF(EN19&gt;170,1,0)</f>
        <v>0</v>
      </c>
      <c r="FE19" s="267">
        <f>IF(ES19=0,SUM(FC19:FD19),0)</f>
        <v>0</v>
      </c>
      <c r="FF19" s="251">
        <f t="shared" si="16"/>
        <v>0</v>
      </c>
      <c r="FG19" s="238"/>
      <c r="FH19" s="245">
        <f>IF(AY19="",0,1)</f>
        <v>0</v>
      </c>
      <c r="FI19" s="245">
        <f>SUM(AY19)</f>
        <v>0</v>
      </c>
      <c r="FJ19" s="268">
        <f>SUM(AX19)</f>
        <v>0</v>
      </c>
      <c r="FK19" s="268">
        <f>SUM(V19/3)</f>
        <v>0</v>
      </c>
      <c r="FL19" s="268" t="e">
        <f>SUM(FJ19/FK19)</f>
        <v>#DIV/0!</v>
      </c>
      <c r="FM19" s="268">
        <f>ROUNDDOWN(FK19,0)</f>
        <v>0</v>
      </c>
      <c r="FN19" s="268">
        <f>SUM(FJ19,-FM19*3)</f>
        <v>0</v>
      </c>
      <c r="FO19" s="269" t="b">
        <f>MOD(FI19/1,2)=0</f>
        <v>1</v>
      </c>
      <c r="FP19" s="245">
        <f>IF(FO19=FALSE,1,0)</f>
        <v>0</v>
      </c>
      <c r="FQ19" s="245">
        <f>IF(FI19=50,0,IF(FI19&lt;40,1,0))</f>
        <v>1</v>
      </c>
      <c r="FR19" s="245">
        <f>SUM(FP19:FQ19)</f>
        <v>1</v>
      </c>
      <c r="FS19" s="267">
        <f>IF(FI19=1,1,IF(FI19=50,0,IF(FN19=1,IF(FI19&gt;40,1,0),0)))</f>
        <v>0</v>
      </c>
      <c r="FT19" s="267">
        <f>IF(FN19=1,IF(FR19=2,1,0),0)+FS19+FW19+FZ19</f>
        <v>0</v>
      </c>
      <c r="FU19" s="245">
        <f>IF(FI19=109,1,IF(FI19=108,1,IF(FI19=106,1,IF(FI19=105,1,IF(FI19=103,1,IF(FI19=102,1,IF(FI19=99,1,0)))))))</f>
        <v>0</v>
      </c>
      <c r="FV19" s="245">
        <f>IF(FI19&gt;110,1,0)</f>
        <v>0</v>
      </c>
      <c r="FW19" s="267">
        <f>IF(FN19=2,SUM(FU19:FV19),0)</f>
        <v>0</v>
      </c>
      <c r="FX19" s="245">
        <f>IF(FI19=159,1,IF(FI19=162,1,IF(FI19=163,1,IF(FI19=165,1,IF(FI19=166,1,IF(FI19=168,1,IF(FI19=169,1,0)))))))</f>
        <v>0</v>
      </c>
      <c r="FY19" s="245">
        <f>IF(FI19&gt;170,1,0)</f>
        <v>0</v>
      </c>
      <c r="FZ19" s="267">
        <f>IF(FN19=0,SUM(FX19:FY19),0)</f>
        <v>0</v>
      </c>
      <c r="GA19" s="251">
        <f t="shared" si="17"/>
        <v>0</v>
      </c>
      <c r="GC19" s="238" t="str">
        <f>VLOOKUP(AH13,Chema!BL:BR,4,FALSE)</f>
        <v>GS 1.1</v>
      </c>
      <c r="GD19" s="341">
        <f>IF(T23="FORFAIT",1,0)</f>
        <v>0</v>
      </c>
      <c r="GE19" s="343" t="str">
        <f>IF(R23="","",SUM(R23))</f>
        <v/>
      </c>
      <c r="GF19" s="344">
        <f>SUM(AV16)</f>
        <v>0</v>
      </c>
      <c r="GG19" s="344">
        <f>SUM(AX16)</f>
        <v>0</v>
      </c>
      <c r="GH19" s="344">
        <f t="shared" ref="GH19:GI19" si="25">SUM(AY16)</f>
        <v>0</v>
      </c>
      <c r="GI19" s="344">
        <f t="shared" si="25"/>
        <v>0</v>
      </c>
      <c r="GJ19" s="344">
        <f>SUM(AV17)</f>
        <v>0</v>
      </c>
      <c r="GK19" s="344">
        <f>SUM(AX17)</f>
        <v>0</v>
      </c>
      <c r="GL19" s="344">
        <f>SUM(AY17)</f>
        <v>0</v>
      </c>
      <c r="GM19" s="344">
        <f>SUM(AZ17)</f>
        <v>0</v>
      </c>
      <c r="GN19" s="344">
        <f>SUM(AV18)</f>
        <v>0</v>
      </c>
      <c r="GO19" s="344">
        <f>SUM(AX18)</f>
        <v>0</v>
      </c>
      <c r="GP19" s="344">
        <f>SUM(AY18)</f>
        <v>0</v>
      </c>
      <c r="GQ19" s="344">
        <f>SUM(AZ18)</f>
        <v>0</v>
      </c>
      <c r="GR19" s="344">
        <f>SUM(AV19)</f>
        <v>0</v>
      </c>
      <c r="GS19" s="344">
        <f>SUM(AX19)</f>
        <v>0</v>
      </c>
      <c r="GT19" s="344">
        <f>SUM(AY19)</f>
        <v>0</v>
      </c>
      <c r="GU19" s="344">
        <f>SUM(AZ19)</f>
        <v>0</v>
      </c>
      <c r="GV19" s="344">
        <f>SUM(AV20)</f>
        <v>0</v>
      </c>
      <c r="GW19" s="344">
        <f>SUM(AX20)</f>
        <v>0</v>
      </c>
      <c r="GX19" s="344">
        <f>SUM(AY20)</f>
        <v>0</v>
      </c>
      <c r="GY19" s="344">
        <f>SUM(AZ20)</f>
        <v>0</v>
      </c>
      <c r="GZ19" s="344">
        <f>SUM(GF19,GJ19,GN19,GR19,GV19)</f>
        <v>0</v>
      </c>
      <c r="HA19" s="344">
        <f t="shared" ref="HA19" si="26">SUM(GG19,GK19,GO19,GS19,GW19)</f>
        <v>0</v>
      </c>
      <c r="HB19" s="344">
        <f>IF(GD16=1,P23,MAX(GH19,GL19,GP19,GT19,GX19))</f>
        <v>0</v>
      </c>
      <c r="HC19" s="344">
        <f>IF(GD16=1,X23,SUM(GI19,GM19,GQ19,GU19,GY19))</f>
        <v>0</v>
      </c>
      <c r="HD19" s="345">
        <f>IF(GD16=1,0,SUM(GF19,GJ19,GN19,GR19,GV19))</f>
        <v>0</v>
      </c>
      <c r="HE19" s="345">
        <f>IF(GD16=1,0,SUM(GG19,GK19,GO19,GS19,GW19))</f>
        <v>0</v>
      </c>
      <c r="HF19" s="341">
        <f>IF(GD16=1,0,MIN(HI19,HJ19,HK19,HL19,HM19))</f>
        <v>0</v>
      </c>
      <c r="HG19" s="341">
        <f>IF(HF19=0,0,COUNTIF(HI19:HM19,HF19))</f>
        <v>0</v>
      </c>
      <c r="HH19" s="341">
        <f>SUM(GH20,GL20,GP20,GT20,GX20)</f>
        <v>0</v>
      </c>
      <c r="HI19" s="343" t="str">
        <f>IF(GH20=1,GG19,"")</f>
        <v/>
      </c>
      <c r="HJ19" s="343" t="str">
        <f>IF(GL20=1,GK19,"")</f>
        <v/>
      </c>
      <c r="HK19" s="343" t="str">
        <f>IF(GP20=1,GO19,"")</f>
        <v/>
      </c>
      <c r="HL19" s="343" t="str">
        <f>IF(GT20=1,GS19,"")</f>
        <v/>
      </c>
      <c r="HM19" s="343" t="str">
        <f>IF(GX20=1,GW19,"")</f>
        <v/>
      </c>
      <c r="HN19" s="341"/>
      <c r="HO19" s="341"/>
      <c r="HP19" s="341"/>
      <c r="HQ19" s="341"/>
      <c r="HR19" s="341"/>
      <c r="HS19" s="238"/>
      <c r="HT19" s="238"/>
      <c r="HU19" s="238"/>
      <c r="HV19" s="238"/>
      <c r="HW19" s="238" t="str">
        <f>IFERROR(IF(GD16=0,SUM(IB18:IC18),""),"")</f>
        <v/>
      </c>
      <c r="HY19" s="238"/>
      <c r="ID19" s="238"/>
    </row>
    <row r="20" spans="1:238" s="234" customFormat="1" ht="20.100000000000001" customHeight="1">
      <c r="A20" s="235"/>
      <c r="B20" s="231">
        <f>COUNT(AJ21,AJ20)</f>
        <v>1</v>
      </c>
      <c r="C20" s="235"/>
      <c r="D20" s="271" t="str">
        <f>REPT(DN20,1)</f>
        <v>5</v>
      </c>
      <c r="E20" s="254" t="str">
        <f>REPT(AH20,1)</f>
        <v/>
      </c>
      <c r="F20" s="168"/>
      <c r="G20" s="168"/>
      <c r="H20" s="168"/>
      <c r="I20" s="169"/>
      <c r="J20" s="272" t="str">
        <f>REPT(AM20,1)</f>
        <v/>
      </c>
      <c r="L20" s="310"/>
      <c r="M20" s="310"/>
      <c r="N20" s="272" t="str">
        <f>REPT(AP20,1)</f>
        <v/>
      </c>
      <c r="O20" s="118"/>
      <c r="Q20" s="310"/>
      <c r="R20" s="235"/>
      <c r="S20" s="271" t="str">
        <f>REPT(DO20,1)</f>
        <v>5</v>
      </c>
      <c r="T20" s="254" t="str">
        <f>REPT(AV20,1)</f>
        <v/>
      </c>
      <c r="U20" s="168"/>
      <c r="V20" s="168"/>
      <c r="W20" s="168"/>
      <c r="X20" s="169"/>
      <c r="Y20" s="272" t="str">
        <f>REPT(BA20,1)</f>
        <v/>
      </c>
      <c r="Z20" s="308"/>
      <c r="AA20" s="238">
        <f>SUM(AL13)</f>
        <v>5</v>
      </c>
      <c r="AB20" s="234">
        <f>IF(AY20="",0,IF(AY20&lt;2,1,""))</f>
        <v>0</v>
      </c>
      <c r="AC20" s="238">
        <f>IF(AL13=3,0,IF(AD20=1,1,IF(AD20=3,1,IF(AD20=2,0,IF(AD20=0,0,0)))))</f>
        <v>0</v>
      </c>
      <c r="AD20" s="256">
        <f t="shared" si="4"/>
        <v>0</v>
      </c>
      <c r="AE20" s="256">
        <f t="shared" si="5"/>
        <v>0</v>
      </c>
      <c r="AF20" s="256">
        <f t="shared" si="6"/>
        <v>0</v>
      </c>
      <c r="AG20" s="256">
        <f t="shared" si="7"/>
        <v>0</v>
      </c>
      <c r="AH20" s="257" t="str">
        <f>IF(AL13=3,"",IF(AK20="",IF(AI20="","",IF(AI20="",501,501-AI20)),501))</f>
        <v/>
      </c>
      <c r="AI20" s="256" t="str">
        <f>IF(AL13=3,"",IF(F20&gt;1,F20,IF(F20=0,"",IF(F20="","",""))))</f>
        <v/>
      </c>
      <c r="AJ20" s="256" t="str">
        <f>IF(AL13=3,"",IF(G20&gt;8,G20,IF(G20="","","")))</f>
        <v/>
      </c>
      <c r="AK20" s="256" t="str">
        <f>IF(AL13=3,"",IF(H20&gt;1,H20,IF(H20="","","")))</f>
        <v/>
      </c>
      <c r="AL20" s="256" t="str">
        <f>IF(AL13=3,"",IF(I20&gt;0,I20,IF(I20="","","")))</f>
        <v/>
      </c>
      <c r="AM20" s="258" t="str">
        <f>IF(BK20=0,"","X")</f>
        <v/>
      </c>
      <c r="AN20" s="237"/>
      <c r="AO20" s="237"/>
      <c r="AP20" s="258" t="str">
        <f>IF(BM20=0,"","X")</f>
        <v/>
      </c>
      <c r="AQ20" s="236">
        <f>IF(AL13=3,0,IF(AR20=1,1,IF(AR20=3,1,IF(AR20=2,0,IF(AR20=0,0,0)))))</f>
        <v>0</v>
      </c>
      <c r="AR20" s="256">
        <f t="shared" si="9"/>
        <v>0</v>
      </c>
      <c r="AS20" s="256">
        <f t="shared" si="1"/>
        <v>0</v>
      </c>
      <c r="AT20" s="256">
        <f t="shared" si="1"/>
        <v>0</v>
      </c>
      <c r="AU20" s="256">
        <f t="shared" si="10"/>
        <v>0</v>
      </c>
      <c r="AV20" s="257" t="str">
        <f>IF(AY20="",IF(AW20="","",IF(AW20="",501,501-AW20)),501)</f>
        <v/>
      </c>
      <c r="AW20" s="256" t="str">
        <f>IF(AL13=3,"",IF(U20&gt;1,U20,IF(U20=0,"",IF(U20="","",""))))</f>
        <v/>
      </c>
      <c r="AX20" s="256" t="str">
        <f>IF(AL13=3,"",IF(V20&gt;8,V20,IF(V20="","","")))</f>
        <v/>
      </c>
      <c r="AY20" s="256" t="str">
        <f>IF(AL13=3,"",IF(W20&gt;1,W20,IF(W20="","","")))</f>
        <v/>
      </c>
      <c r="AZ20" s="256" t="str">
        <f>IF(AL13=3,"",IF(X20&gt;0,X20,IF(X20="","","")))</f>
        <v/>
      </c>
      <c r="BA20" s="258" t="str">
        <f>IF(BL20=0,"","X")</f>
        <v/>
      </c>
      <c r="BK20" s="251">
        <f>IF(AL13=3,0,SUM(DD20,DV20,EY20,ED20,FF20,BQ20,BS20,AC20))</f>
        <v>0</v>
      </c>
      <c r="BL20" s="251">
        <f>SUM(DE20,DW20,EE20,FT20,GA20,BR20,BT20,AQ20)</f>
        <v>0</v>
      </c>
      <c r="BM20" s="259">
        <f>IF(AL13=3,0,SUM(DC20,BK20:BL20,AC20,AQ20))</f>
        <v>0</v>
      </c>
      <c r="BN20" s="239">
        <f>COUNT(AK20)</f>
        <v>0</v>
      </c>
      <c r="BO20" s="239">
        <f>COUNT(AY20)</f>
        <v>0</v>
      </c>
      <c r="BP20" s="239">
        <f>IF(BN22=0,0,1)</f>
        <v>0</v>
      </c>
      <c r="BQ20" s="260">
        <f>IF(AL20="",0,IF(AL20&gt;2,1,0))</f>
        <v>0</v>
      </c>
      <c r="BR20" s="261">
        <f>IF(AZ20="",0,IF(AZ20&gt;2,1,0))</f>
        <v>0</v>
      </c>
      <c r="BS20" s="262">
        <f>IF(AJ20=9,IF(AK20&lt;141,1,0),0)</f>
        <v>0</v>
      </c>
      <c r="BT20" s="263">
        <f>IF(AX20=9,IF(AY20&lt;141,1,0),0)</f>
        <v>0</v>
      </c>
      <c r="BU20" s="242">
        <f>IF(AL13=3,0,IF(H20,G20,0))</f>
        <v>0</v>
      </c>
      <c r="BV20" s="238">
        <f>IF(BU20&gt;0,AJ20/3,0)</f>
        <v>0</v>
      </c>
      <c r="BW20" s="238">
        <f>ROUNDUP(BV20,0)</f>
        <v>0</v>
      </c>
      <c r="BX20" s="244">
        <f>IF(MOD(BW20,2)=0,BW20,BW20+1)</f>
        <v>0</v>
      </c>
      <c r="BY20" s="238">
        <f>IF(AJ20&lt;9,"",SUM(BX20-BW20))</f>
        <v>0</v>
      </c>
      <c r="BZ20" s="238">
        <f>IF(BY20=1,AK20,0)</f>
        <v>0</v>
      </c>
      <c r="CA20" s="243" t="str">
        <f>IF(BY20=0,AK20,0)</f>
        <v/>
      </c>
      <c r="CB20" s="238"/>
      <c r="CC20" s="238"/>
      <c r="CD20" s="242">
        <f>IF(AL13=3,0,IF(W20,V20,0))</f>
        <v>0</v>
      </c>
      <c r="CE20" s="238">
        <f>IF(CD20&gt;0,AX20/3,0)</f>
        <v>0</v>
      </c>
      <c r="CF20" s="238">
        <f>ROUNDUP(CE20,0)</f>
        <v>0</v>
      </c>
      <c r="CG20" s="244">
        <f>IF(MOD(CF20,2)=0,CF20,CF20+1)</f>
        <v>0</v>
      </c>
      <c r="CH20" s="238">
        <f>IF(AX20&lt;9,"",SUM(CG20-CF20))</f>
        <v>0</v>
      </c>
      <c r="CI20" s="238">
        <f>IF(CH20=1,AY20,0)</f>
        <v>0</v>
      </c>
      <c r="CJ20" s="243" t="str">
        <f>IF(CH20=0,AY20,0)</f>
        <v/>
      </c>
      <c r="CK20" s="238"/>
      <c r="CL20" s="245">
        <f>IF(COUNT(F20,H20)=1,0,1)</f>
        <v>1</v>
      </c>
      <c r="CM20" s="245">
        <f>IF(COUNT(F20,U20)=1,0,1)</f>
        <v>1</v>
      </c>
      <c r="CN20" s="245">
        <f>IF(COUNT(H20,W20)=1,0,1)</f>
        <v>1</v>
      </c>
      <c r="CO20" s="245">
        <f>IF(COUNT(G20,V20)=2,0,1)</f>
        <v>1</v>
      </c>
      <c r="CP20" s="245">
        <f>IF(COUNT(U20,W20)=1,0,1)</f>
        <v>1</v>
      </c>
      <c r="CQ20" s="245">
        <f>IF(SUM(G20-V20)&gt;3,1,0)</f>
        <v>0</v>
      </c>
      <c r="CR20" s="245">
        <f>IF(SUM(G20-V20)&lt;-3,1,0)</f>
        <v>0</v>
      </c>
      <c r="CS20" s="264">
        <f>IF(AJ20=9,IF(AH20&lt;141,1,0),IF(AH20="",0,IF(AH20&gt;1,0,1)))</f>
        <v>0</v>
      </c>
      <c r="CT20" s="264">
        <f>IF(AX20=9,IF(AV20&lt;141,1,0),IF(AV20="",0,IF(AV20&gt;1,0,1)))</f>
        <v>0</v>
      </c>
      <c r="CU20" s="264">
        <f>IF(AI20="",0,IF(AI20&lt;502,0,1))</f>
        <v>0</v>
      </c>
      <c r="CV20" s="264">
        <f>IF(AW20="",0,IF(AW20&lt;502,0,1))</f>
        <v>0</v>
      </c>
      <c r="CW20" s="264">
        <f>IF(AI20="",IF(AJ20&lt;9,1,0),IF(AJ20&lt;9,1,0))</f>
        <v>0</v>
      </c>
      <c r="CX20" s="264">
        <f>IF(AW20="",IF(AX20&lt;9,1,0),IF(AX20&lt;9,1,0))</f>
        <v>0</v>
      </c>
      <c r="CY20" s="374"/>
      <c r="CZ20" s="374"/>
      <c r="DA20" s="374"/>
      <c r="DB20" s="374"/>
      <c r="DC20" s="265">
        <f>IF(AJ20="",0,SUM(CL20:CX20))</f>
        <v>0</v>
      </c>
      <c r="DD20" s="265">
        <f>IF(AJ20="",0,SUM(CL20,CS20,CU20,CW20))</f>
        <v>0</v>
      </c>
      <c r="DE20" s="265">
        <f>IF(AJ20="",0,SUM(CP20,CT20,CV20,CX20))</f>
        <v>0</v>
      </c>
      <c r="DF20" s="238"/>
      <c r="DG20" s="248">
        <f>IF(AL13=3,0,SUM(G20-V20))</f>
        <v>0</v>
      </c>
      <c r="DH20" s="245">
        <f>IF(F20="",0,1)</f>
        <v>0</v>
      </c>
      <c r="DI20" s="245">
        <f t="shared" si="12"/>
        <v>0</v>
      </c>
      <c r="DJ20" s="245">
        <f t="shared" si="13"/>
        <v>0</v>
      </c>
      <c r="DK20" s="245" t="str">
        <f>IF(G20="","",IF(DJ20=1,"*",""))</f>
        <v/>
      </c>
      <c r="DL20" s="245" t="str">
        <f>IF(AL13=3,"",IF(G20="","",IF(DJ20=-1,"*",IF(DJ20=0,"*",""))))</f>
        <v/>
      </c>
      <c r="DM20" s="245">
        <v>5</v>
      </c>
      <c r="DN20" s="245" t="str">
        <f t="shared" si="14"/>
        <v>5</v>
      </c>
      <c r="DO20" s="245" t="str">
        <f t="shared" si="15"/>
        <v>5</v>
      </c>
      <c r="DP20" s="245">
        <f>SUM(DP16)</f>
        <v>0</v>
      </c>
      <c r="DQ20" s="245">
        <f>SUM(DQ16)</f>
        <v>0</v>
      </c>
      <c r="DR20" s="245">
        <f t="shared" si="21"/>
        <v>0</v>
      </c>
      <c r="DS20" s="245">
        <f t="shared" si="22"/>
        <v>0</v>
      </c>
      <c r="DT20" s="245">
        <f t="shared" si="23"/>
        <v>0</v>
      </c>
      <c r="DU20" s="245">
        <f>IF(V20="",0,IF(DQ20=DS20,0,1))</f>
        <v>0</v>
      </c>
      <c r="DV20" s="267">
        <f t="shared" si="24"/>
        <v>0</v>
      </c>
      <c r="DW20" s="267">
        <f>IF(V20="",0,SUM(DU20))</f>
        <v>0</v>
      </c>
      <c r="DX20" s="238">
        <f>IF(AK20="",0,1)</f>
        <v>0</v>
      </c>
      <c r="DY20" s="238">
        <f>IF(DG20=-3,1,0)</f>
        <v>0</v>
      </c>
      <c r="DZ20" s="238">
        <f>SUM(DX20:DY20)</f>
        <v>0</v>
      </c>
      <c r="EA20" s="238">
        <f>IF(AK20="",1,0)</f>
        <v>1</v>
      </c>
      <c r="EB20" s="238">
        <f>IF(DG20=3,1,0)</f>
        <v>0</v>
      </c>
      <c r="EC20" s="238">
        <f>SUM(EA20:EB20)</f>
        <v>1</v>
      </c>
      <c r="ED20" s="267">
        <f>IF(EC20=2,1,0)</f>
        <v>0</v>
      </c>
      <c r="EE20" s="267">
        <f>IF(DZ20=2,1,0)</f>
        <v>0</v>
      </c>
      <c r="EG20" s="166"/>
      <c r="EH20" s="238"/>
      <c r="EI20" s="238"/>
      <c r="EJ20" s="238"/>
      <c r="EK20" s="238"/>
      <c r="EL20" s="238"/>
      <c r="EM20" s="245">
        <f>IF(AK20="",0,1)</f>
        <v>0</v>
      </c>
      <c r="EN20" s="245">
        <f>SUM(AK20)</f>
        <v>0</v>
      </c>
      <c r="EO20" s="268">
        <f>SUM(AJ20)</f>
        <v>0</v>
      </c>
      <c r="EP20" s="268">
        <f>SUM(G20/3)</f>
        <v>0</v>
      </c>
      <c r="EQ20" s="268" t="e">
        <f>SUM(EO20/EP20)</f>
        <v>#DIV/0!</v>
      </c>
      <c r="ER20" s="268">
        <f>ROUNDDOWN(EP20,0)</f>
        <v>0</v>
      </c>
      <c r="ES20" s="268">
        <f>SUM(EO20,-ER20*3)</f>
        <v>0</v>
      </c>
      <c r="ET20" s="269" t="b">
        <f>MOD(EN20/1,2)=0</f>
        <v>1</v>
      </c>
      <c r="EU20" s="245">
        <f>IF(ET20=FALSE,1,0)</f>
        <v>0</v>
      </c>
      <c r="EV20" s="245">
        <f>IF(EN20=50,0,IF(EN20&lt;40,1,0))</f>
        <v>1</v>
      </c>
      <c r="EW20" s="245">
        <f>SUM(EU20:EV20)</f>
        <v>1</v>
      </c>
      <c r="EX20" s="267">
        <f>IF(EN20=1,1,IF(EN20=50,0,IF(ES20=1,IF(EN20&gt;40,1,0),0)))</f>
        <v>0</v>
      </c>
      <c r="EY20" s="267">
        <f>IF(ES20=1,IF(EW20=2,1,0),0)+EX20+FB20+FE20</f>
        <v>0</v>
      </c>
      <c r="EZ20" s="245">
        <f>IF(EN20=109,1,IF(EN20=108,1,IF(EN20=106,1,IF(EN20=105,1,IF(EN20=103,1,IF(EN20=102,1,IF(EN20=99,1,0)))))))</f>
        <v>0</v>
      </c>
      <c r="FA20" s="245">
        <f>IF(EN20&gt;110,1,0)</f>
        <v>0</v>
      </c>
      <c r="FB20" s="267">
        <f>IF(ES20=2,SUM(EZ20:FA20),0)</f>
        <v>0</v>
      </c>
      <c r="FC20" s="245">
        <f>IF(EN20=159,1,IF(EN20=162,1,IF(EN20=163,1,IF(EN20=165,1,IF(EN20=166,1,IF(EN20=168,1,IF(EN20=169,1,0)))))))</f>
        <v>0</v>
      </c>
      <c r="FD20" s="245">
        <f>IF(EN20&gt;170,1,0)</f>
        <v>0</v>
      </c>
      <c r="FE20" s="267">
        <f>IF(ES20=0,SUM(FC20:FD20),0)</f>
        <v>0</v>
      </c>
      <c r="FF20" s="251">
        <f t="shared" si="16"/>
        <v>0</v>
      </c>
      <c r="FG20" s="238"/>
      <c r="FH20" s="245">
        <f>IF(AY20="",0,1)</f>
        <v>0</v>
      </c>
      <c r="FI20" s="245">
        <f>SUM(AY20)</f>
        <v>0</v>
      </c>
      <c r="FJ20" s="268">
        <f>SUM(AX20)</f>
        <v>0</v>
      </c>
      <c r="FK20" s="268">
        <f>SUM(V20/3)</f>
        <v>0</v>
      </c>
      <c r="FL20" s="268" t="e">
        <f>SUM(FJ20/FK20)</f>
        <v>#DIV/0!</v>
      </c>
      <c r="FM20" s="268">
        <f>ROUNDDOWN(FK20,0)</f>
        <v>0</v>
      </c>
      <c r="FN20" s="268">
        <f>SUM(FJ20,-FM20*3)</f>
        <v>0</v>
      </c>
      <c r="FO20" s="269" t="b">
        <f>MOD(FI20/1,2)=0</f>
        <v>1</v>
      </c>
      <c r="FP20" s="245">
        <f>IF(FO20=FALSE,1,0)</f>
        <v>0</v>
      </c>
      <c r="FQ20" s="245">
        <f>IF(FI20=50,0,IF(FI20&lt;40,1,0))</f>
        <v>1</v>
      </c>
      <c r="FR20" s="245">
        <f>SUM(FP20:FQ20)</f>
        <v>1</v>
      </c>
      <c r="FS20" s="267">
        <f>IF(FI20=1,1,IF(FI20=50,0,IF(FN20=1,IF(FI20&gt;40,1,0),0)))</f>
        <v>0</v>
      </c>
      <c r="FT20" s="267">
        <f>IF(FN20=1,IF(FR20=2,1,0),0)+FS20+FW20+FZ20</f>
        <v>0</v>
      </c>
      <c r="FU20" s="245">
        <f>IF(FI20=109,1,IF(FI20=108,1,IF(FI20=106,1,IF(FI20=105,1,IF(FI20=103,1,IF(FI20=102,1,IF(FI20=99,1,0)))))))</f>
        <v>0</v>
      </c>
      <c r="FV20" s="245">
        <f>IF(FI20&gt;110,1,0)</f>
        <v>0</v>
      </c>
      <c r="FW20" s="267">
        <f>IF(FN20=2,SUM(FU20:FV20),0)</f>
        <v>0</v>
      </c>
      <c r="FX20" s="245">
        <f>IF(FI20=159,1,IF(FI20=162,1,IF(FI20=163,1,IF(FI20=165,1,IF(FI20=166,1,IF(FI20=168,1,IF(FI20=169,1,0)))))))</f>
        <v>0</v>
      </c>
      <c r="FY20" s="245">
        <f>IF(FI20&gt;170,1,0)</f>
        <v>0</v>
      </c>
      <c r="FZ20" s="267">
        <f>IF(FN20=0,SUM(FX20:FY20),0)</f>
        <v>0</v>
      </c>
      <c r="GA20" s="251">
        <f t="shared" si="17"/>
        <v>0</v>
      </c>
      <c r="GC20" s="238" t="str">
        <f>VLOOKUP(AH13,Chema!BL:BR,5,FALSE)</f>
        <v/>
      </c>
      <c r="GD20" s="341"/>
      <c r="GE20" s="343" t="str">
        <f>IF(R24="","",SUM(R24))</f>
        <v/>
      </c>
      <c r="GF20" s="340"/>
      <c r="GG20" s="346"/>
      <c r="GH20" s="343">
        <f>IF(GH19&gt;0,1,0)</f>
        <v>0</v>
      </c>
      <c r="GI20" s="346"/>
      <c r="GJ20" s="343"/>
      <c r="GK20" s="346"/>
      <c r="GL20" s="343">
        <f>IF(GL19&gt;0,1,0)</f>
        <v>0</v>
      </c>
      <c r="GM20" s="343"/>
      <c r="GN20" s="343"/>
      <c r="GO20" s="346"/>
      <c r="GP20" s="343">
        <f>IF(GP19&gt;0,1,0)</f>
        <v>0</v>
      </c>
      <c r="GQ20" s="343"/>
      <c r="GR20" s="343"/>
      <c r="GS20" s="346"/>
      <c r="GT20" s="343">
        <f>IF(GT19&gt;0,1,0)</f>
        <v>0</v>
      </c>
      <c r="GU20" s="343"/>
      <c r="GV20" s="343"/>
      <c r="GW20" s="346"/>
      <c r="GX20" s="343">
        <f>IF(GX19&gt;0,1,0)</f>
        <v>0</v>
      </c>
      <c r="GY20" s="340"/>
      <c r="GZ20" s="343"/>
      <c r="HA20" s="343"/>
      <c r="HB20" s="343" t="str">
        <f>IF(GD16=1,P24,"")</f>
        <v/>
      </c>
      <c r="HC20" s="343" t="str">
        <f>IF(GD16=1,X24,"")</f>
        <v/>
      </c>
      <c r="HD20" s="340"/>
      <c r="HE20" s="340"/>
      <c r="HF20" s="340"/>
      <c r="HG20" s="340">
        <f>IF(HG18=HM16,0,IF(HG18=HM20,0,1))</f>
        <v>0</v>
      </c>
      <c r="HH20" s="340">
        <f>IF(HH17=HH19,1,0)</f>
        <v>1</v>
      </c>
      <c r="HI20" s="340"/>
      <c r="HJ20" s="340"/>
      <c r="HK20" s="340"/>
      <c r="HL20" s="340"/>
      <c r="HM20" s="341">
        <f>COUNT(HI19,HJ19,HK19,HL19,HM19)</f>
        <v>0</v>
      </c>
      <c r="HN20" s="341"/>
      <c r="HO20" s="341"/>
      <c r="HP20" s="341"/>
      <c r="HQ20" s="341"/>
      <c r="HR20" s="341"/>
      <c r="HS20" s="238"/>
      <c r="HT20" s="238"/>
      <c r="HU20" s="238"/>
      <c r="HV20" s="238"/>
      <c r="HX20" s="238"/>
      <c r="HY20" s="238"/>
      <c r="ID20" s="238"/>
    </row>
    <row r="21" spans="1:238" s="234" customFormat="1" ht="6.6" customHeight="1">
      <c r="A21" s="235"/>
      <c r="B21" s="231"/>
      <c r="C21" s="310"/>
      <c r="D21" s="310"/>
      <c r="E21" s="310"/>
      <c r="F21" s="310"/>
      <c r="G21" s="313"/>
      <c r="H21" s="310"/>
      <c r="I21" s="310"/>
      <c r="J21" s="273"/>
      <c r="K21" s="313"/>
      <c r="O21" s="118"/>
      <c r="R21" s="310"/>
      <c r="S21" s="310"/>
      <c r="T21" s="310"/>
      <c r="U21" s="310"/>
      <c r="V21" s="313"/>
      <c r="W21" s="310"/>
      <c r="X21" s="310"/>
      <c r="Y21" s="273"/>
      <c r="Z21" s="308"/>
      <c r="AA21" s="274"/>
      <c r="AD21" s="235"/>
      <c r="AE21" s="237">
        <f>IF(AF21=0,0,1)</f>
        <v>0</v>
      </c>
      <c r="AF21" s="237">
        <f>IF(AL21=0,0,SUM(AL23:AL24,-AL22))</f>
        <v>0</v>
      </c>
      <c r="AG21" s="237"/>
      <c r="AH21" s="275">
        <f>SUM(AH16,AH17,AH18,AH19,AH20)</f>
        <v>0</v>
      </c>
      <c r="AI21" s="275">
        <f t="shared" ref="AI21:AL21" si="27">SUM(AI16,AI17,AI18,AI19,AI20)</f>
        <v>0</v>
      </c>
      <c r="AJ21" s="275">
        <f t="shared" si="27"/>
        <v>0</v>
      </c>
      <c r="AK21" s="275">
        <f>MAX(AK16,AK17,AK18,AK19,AK20)</f>
        <v>0</v>
      </c>
      <c r="AL21" s="275">
        <f t="shared" si="27"/>
        <v>0</v>
      </c>
      <c r="AM21" s="275">
        <f>IF(AK13="D",SUM(AL16,AL17,AL18,AL19,AL20,-AL23,-AL24),0)</f>
        <v>0</v>
      </c>
      <c r="AN21" s="235"/>
      <c r="AO21" s="235"/>
      <c r="AP21" s="235"/>
      <c r="AQ21" s="235"/>
      <c r="AR21" s="235"/>
      <c r="AS21" s="237">
        <f>IF(AT21=0,0,1)</f>
        <v>0</v>
      </c>
      <c r="AT21" s="237">
        <f>IF(AZ21=0,0,SUM(AZ23:AZ24,-AZ22))</f>
        <v>0</v>
      </c>
      <c r="AU21" s="237"/>
      <c r="AV21" s="275">
        <f>SUM(AV16,AV17,AV18,AV19,AV20)</f>
        <v>0</v>
      </c>
      <c r="AW21" s="275">
        <f t="shared" ref="AW21" si="28">SUM(AW16,AW17,AW18,AW19,AW20)</f>
        <v>0</v>
      </c>
      <c r="AX21" s="275">
        <f t="shared" ref="AX21" si="29">SUM(AX16,AX17,AX18,AX19,AX20)</f>
        <v>0</v>
      </c>
      <c r="AY21" s="275">
        <f>MAX(AY16,AY17,AY18,AY19,AY20)</f>
        <v>0</v>
      </c>
      <c r="AZ21" s="257">
        <f t="shared" ref="AZ21" si="30">SUM(AZ16,AZ17,AZ18,AZ19,AZ20)</f>
        <v>0</v>
      </c>
      <c r="BA21" s="275">
        <f>IF(AK13="D",SUM(AZ16,AZ17,AZ18,AZ19,AZ20,-AZ23,-AZ24),0)</f>
        <v>0</v>
      </c>
      <c r="BJ21" s="236"/>
      <c r="BK21" s="238"/>
      <c r="BL21" s="238"/>
      <c r="BM21" s="238"/>
      <c r="BP21" s="238"/>
      <c r="BQ21" s="238"/>
      <c r="BR21" s="238"/>
      <c r="BS21" s="238"/>
      <c r="BT21" s="238"/>
      <c r="BU21" s="238"/>
      <c r="BY21" s="238"/>
      <c r="BZ21" s="238">
        <f>MAX(BZ16,BZ17,BZ18,BZ19,BZ20)</f>
        <v>0</v>
      </c>
      <c r="CA21" s="238">
        <f>MAX(CA16,CA17,CA18,CA19,CA20)</f>
        <v>0</v>
      </c>
      <c r="CB21" s="238"/>
      <c r="CC21" s="238"/>
      <c r="CD21" s="238"/>
      <c r="CG21" s="244"/>
      <c r="CH21" s="238"/>
      <c r="CI21" s="238">
        <f>MAX(CI16,CI17,CI18,CI19,CI20)</f>
        <v>0</v>
      </c>
      <c r="CJ21" s="238">
        <f>MAX(CJ16,CJ17,CJ18,CJ19,CJ20)</f>
        <v>0</v>
      </c>
      <c r="CK21" s="238"/>
      <c r="CL21" s="238"/>
      <c r="CM21" s="238"/>
      <c r="CN21" s="238"/>
      <c r="CO21" s="238"/>
      <c r="CP21" s="238"/>
      <c r="CQ21" s="238"/>
      <c r="CR21" s="238"/>
      <c r="CS21" s="238"/>
      <c r="CT21" s="238"/>
      <c r="CU21" s="238"/>
      <c r="CV21" s="238"/>
      <c r="CW21" s="238"/>
      <c r="CX21" s="238"/>
      <c r="CY21" s="238"/>
      <c r="CZ21" s="238"/>
      <c r="DA21" s="238"/>
      <c r="DB21" s="238"/>
      <c r="DC21" s="238"/>
      <c r="DD21" s="238"/>
      <c r="DE21" s="238"/>
      <c r="DF21" s="238"/>
      <c r="DG21" s="238"/>
      <c r="DH21" s="238"/>
      <c r="DI21" s="238"/>
      <c r="DJ21" s="238"/>
      <c r="DK21" s="238"/>
      <c r="DL21" s="238"/>
      <c r="DM21" s="238"/>
      <c r="DN21" s="238"/>
      <c r="DO21" s="238"/>
      <c r="DP21" s="238"/>
      <c r="DQ21" s="238"/>
      <c r="DR21" s="238"/>
      <c r="DS21" s="238"/>
      <c r="DT21" s="238"/>
      <c r="DU21" s="238"/>
      <c r="DV21" s="238"/>
      <c r="DW21" s="238"/>
      <c r="DX21" s="238"/>
      <c r="DY21" s="238"/>
      <c r="DZ21" s="238"/>
      <c r="EA21" s="238"/>
      <c r="EB21" s="238"/>
      <c r="EC21" s="238"/>
      <c r="ED21" s="238"/>
      <c r="EE21" s="238"/>
      <c r="EF21" s="238"/>
      <c r="EG21" s="238"/>
      <c r="EH21" s="238"/>
      <c r="EI21" s="238"/>
      <c r="EJ21" s="238"/>
      <c r="EK21" s="238"/>
      <c r="EL21" s="238"/>
      <c r="EM21" s="166"/>
      <c r="EN21" s="166"/>
      <c r="EO21" s="166"/>
      <c r="EP21" s="238">
        <f>SUM(EN21-EO21)</f>
        <v>0</v>
      </c>
      <c r="EQ21" s="238"/>
      <c r="ER21" s="238"/>
      <c r="ES21" s="238"/>
      <c r="ET21" s="244"/>
      <c r="EU21" s="238"/>
      <c r="EV21" s="238"/>
      <c r="EW21" s="238"/>
      <c r="EX21" s="238"/>
      <c r="EY21" s="238"/>
      <c r="EZ21" s="238"/>
      <c r="FA21" s="238"/>
      <c r="FB21" s="238"/>
      <c r="FC21" s="238"/>
      <c r="FD21" s="238"/>
      <c r="FE21" s="238"/>
      <c r="FF21" s="238"/>
      <c r="FG21" s="238"/>
      <c r="FH21" s="238"/>
      <c r="FI21" s="238"/>
      <c r="FJ21" s="238"/>
      <c r="FK21" s="238"/>
      <c r="FL21" s="238"/>
      <c r="FM21" s="238"/>
      <c r="FN21" s="238"/>
      <c r="FO21" s="244"/>
      <c r="FP21" s="238"/>
      <c r="FQ21" s="238"/>
      <c r="FR21" s="238"/>
      <c r="FS21" s="238"/>
      <c r="FT21" s="238"/>
      <c r="FU21" s="238"/>
      <c r="FV21" s="238"/>
      <c r="FW21" s="238"/>
      <c r="FX21" s="238"/>
      <c r="FY21" s="238"/>
      <c r="FZ21" s="238"/>
      <c r="GA21" s="238"/>
      <c r="GB21" s="238"/>
      <c r="GC21" s="238"/>
      <c r="GD21" s="341"/>
      <c r="GE21" s="340"/>
      <c r="GF21" s="340"/>
      <c r="GG21" s="340"/>
      <c r="GH21" s="340"/>
      <c r="GI21" s="340"/>
      <c r="GJ21" s="340"/>
      <c r="GK21" s="340"/>
      <c r="GL21" s="340"/>
      <c r="GM21" s="340"/>
      <c r="GN21" s="340"/>
      <c r="GO21" s="340"/>
      <c r="GP21" s="340"/>
      <c r="GQ21" s="340"/>
      <c r="GR21" s="340"/>
      <c r="GS21" s="340"/>
      <c r="GT21" s="340"/>
      <c r="GU21" s="340"/>
      <c r="GV21" s="340"/>
      <c r="GW21" s="340"/>
      <c r="GX21" s="340"/>
      <c r="GY21" s="340"/>
      <c r="GZ21" s="340"/>
      <c r="HA21" s="340"/>
      <c r="HB21" s="340"/>
      <c r="HC21" s="340"/>
      <c r="HD21" s="341"/>
      <c r="HE21" s="341"/>
      <c r="HF21" s="341"/>
      <c r="HG21" s="341"/>
      <c r="HH21" s="341"/>
      <c r="HI21" s="341"/>
      <c r="HJ21" s="341"/>
      <c r="HK21" s="341"/>
      <c r="HL21" s="341"/>
      <c r="HM21" s="341"/>
      <c r="HN21" s="341"/>
      <c r="HO21" s="341"/>
      <c r="HP21" s="341"/>
      <c r="HQ21" s="341"/>
      <c r="HR21" s="341"/>
      <c r="HS21" s="238"/>
      <c r="HT21" s="238"/>
      <c r="HU21" s="238"/>
      <c r="HV21" s="238"/>
      <c r="HX21" s="238"/>
      <c r="HY21" s="238"/>
      <c r="ID21" s="238"/>
    </row>
    <row r="22" spans="1:238" s="234" customFormat="1" ht="20.100000000000001" customHeight="1">
      <c r="A22" s="235"/>
      <c r="B22" s="231"/>
      <c r="C22" s="314" t="s">
        <v>771</v>
      </c>
      <c r="D22" s="276" t="str">
        <f>REPT(Sprache!$K$58,1)</f>
        <v>Spieler</v>
      </c>
      <c r="E22" s="277" t="str">
        <f>REPT(Sprache!$K$33,1)</f>
        <v>Name / Vorname</v>
      </c>
      <c r="F22" s="278"/>
      <c r="G22" s="278"/>
      <c r="H22" s="279"/>
      <c r="I22" s="280"/>
      <c r="J22" s="281" t="str">
        <f>REPT(AM22,1)</f>
        <v/>
      </c>
      <c r="L22" s="306" t="s">
        <v>848</v>
      </c>
      <c r="M22" s="238"/>
      <c r="P22" s="306" t="s">
        <v>848</v>
      </c>
      <c r="R22" s="314" t="s">
        <v>771</v>
      </c>
      <c r="S22" s="276" t="str">
        <f>REPT(Sprache!$K$58,1)</f>
        <v>Spieler</v>
      </c>
      <c r="T22" s="277" t="str">
        <f>REPT(Sprache!$K$33,1)</f>
        <v>Name / Vorname</v>
      </c>
      <c r="U22" s="278"/>
      <c r="V22" s="278"/>
      <c r="W22" s="279"/>
      <c r="X22" s="280"/>
      <c r="Y22" s="281" t="str">
        <f>REPT(BA22,1)</f>
        <v/>
      </c>
      <c r="Z22" s="308"/>
      <c r="AD22" s="235"/>
      <c r="AE22" s="235"/>
      <c r="AF22" s="237" t="s">
        <v>771</v>
      </c>
      <c r="AG22" s="282" t="s">
        <v>877</v>
      </c>
      <c r="AH22" s="283" t="str">
        <f>IF(AH21=0,"",AH21)</f>
        <v/>
      </c>
      <c r="AI22" s="283" t="str">
        <f>IF(AI21=0,"",AI21)</f>
        <v/>
      </c>
      <c r="AJ22" s="283" t="str">
        <f>IF(AJ21=0,"",AJ21)</f>
        <v/>
      </c>
      <c r="AK22" s="283" t="str">
        <f>IF(AK21=0,"",AK21)</f>
        <v/>
      </c>
      <c r="AL22" s="283" t="str">
        <f>IF(AL21=0,"",AL21)</f>
        <v/>
      </c>
      <c r="AM22" s="258" t="str">
        <f>IF(AK13="D",IF(AF21=0,"","X"),"")</f>
        <v/>
      </c>
      <c r="AN22" s="235"/>
      <c r="AO22" s="235"/>
      <c r="AP22" s="284"/>
      <c r="AQ22" s="235"/>
      <c r="AR22" s="235"/>
      <c r="AS22" s="235"/>
      <c r="AT22" s="237" t="s">
        <v>771</v>
      </c>
      <c r="AU22" s="282" t="s">
        <v>877</v>
      </c>
      <c r="AV22" s="283" t="str">
        <f>IF(AV21=0,"",AV21)</f>
        <v/>
      </c>
      <c r="AW22" s="283" t="str">
        <f>IF(AW21=0,"",AW21)</f>
        <v/>
      </c>
      <c r="AX22" s="283" t="str">
        <f>IF(AX21=0,"",AX21)</f>
        <v/>
      </c>
      <c r="AY22" s="283" t="str">
        <f>IF(AY21=0,"",AY21)</f>
        <v/>
      </c>
      <c r="AZ22" s="421" t="str">
        <f>IF(AZ21=0,"",AZ21)</f>
        <v/>
      </c>
      <c r="BA22" s="258" t="str">
        <f>IF(AK13="D",IF(AT21=0,"","X"),"")</f>
        <v/>
      </c>
      <c r="BJ22" s="236"/>
      <c r="BK22" s="238"/>
      <c r="BL22" s="244">
        <f>IF(BM22=0,0,1)</f>
        <v>0</v>
      </c>
      <c r="BM22" s="244">
        <f>SUM(BM16,BM17,BM18,BM19,BM20,HH18,AN23,AN24,BB23,BB24)</f>
        <v>0</v>
      </c>
      <c r="BN22" s="166">
        <f t="shared" ref="BN22:BO22" si="31">SUM(BN16,BN17,BN18,BN19,BN20)</f>
        <v>0</v>
      </c>
      <c r="BO22" s="166">
        <f t="shared" si="31"/>
        <v>0</v>
      </c>
      <c r="BP22" s="244"/>
      <c r="BQ22" s="238"/>
      <c r="BR22" s="238"/>
      <c r="BS22" s="238"/>
      <c r="BT22" s="238"/>
      <c r="BU22" s="238"/>
      <c r="BV22" s="238"/>
      <c r="BW22" s="238"/>
      <c r="BX22" s="236"/>
      <c r="BY22" s="238"/>
      <c r="BZ22" s="238"/>
      <c r="CA22" s="238"/>
      <c r="CB22" s="238"/>
      <c r="CC22" s="238"/>
      <c r="CD22" s="238"/>
      <c r="CE22" s="238"/>
      <c r="CF22" s="238"/>
      <c r="CG22" s="244"/>
      <c r="CH22" s="238"/>
      <c r="CI22" s="238"/>
      <c r="CJ22" s="238"/>
      <c r="CK22" s="238"/>
      <c r="CL22" s="238"/>
      <c r="CM22" s="238"/>
      <c r="CN22" s="238"/>
      <c r="CO22" s="238"/>
      <c r="CP22" s="238"/>
      <c r="CQ22" s="238"/>
      <c r="CR22" s="238"/>
      <c r="CS22" s="238"/>
      <c r="CT22" s="238"/>
      <c r="CU22" s="238"/>
      <c r="CV22" s="238"/>
      <c r="CW22" s="238"/>
      <c r="CX22" s="238"/>
      <c r="CY22" s="238"/>
      <c r="CZ22" s="238"/>
      <c r="DA22" s="238"/>
      <c r="DB22" s="238"/>
      <c r="DC22" s="238"/>
      <c r="DD22" s="238"/>
      <c r="DE22" s="238"/>
      <c r="DF22" s="238"/>
      <c r="DG22" s="238"/>
      <c r="DH22" s="238"/>
      <c r="DI22" s="238"/>
      <c r="DJ22" s="238"/>
      <c r="DK22" s="238"/>
      <c r="DL22" s="238"/>
      <c r="DM22" s="238"/>
      <c r="DN22" s="238"/>
      <c r="DO22" s="238"/>
      <c r="DP22" s="238"/>
      <c r="DQ22" s="238"/>
      <c r="DR22" s="238"/>
      <c r="DS22" s="238"/>
      <c r="DT22" s="238"/>
      <c r="DU22" s="238"/>
      <c r="DV22" s="238"/>
      <c r="DW22" s="238"/>
      <c r="DX22" s="238"/>
      <c r="DY22" s="238"/>
      <c r="DZ22" s="238"/>
      <c r="EA22" s="238"/>
      <c r="EB22" s="238"/>
      <c r="EC22" s="238"/>
      <c r="ED22" s="238"/>
      <c r="EE22" s="238"/>
      <c r="EF22" s="238"/>
      <c r="EG22" s="238"/>
      <c r="EH22" s="238"/>
      <c r="EI22" s="238"/>
      <c r="EJ22" s="238"/>
      <c r="EK22" s="238"/>
      <c r="EL22" s="238"/>
      <c r="EM22" s="238"/>
      <c r="EN22" s="238"/>
      <c r="EO22" s="238"/>
      <c r="EP22" s="238"/>
      <c r="EQ22" s="238"/>
      <c r="ER22" s="238"/>
      <c r="ES22" s="238"/>
      <c r="ET22" s="244"/>
      <c r="EU22" s="238"/>
      <c r="EV22" s="238"/>
      <c r="EW22" s="238"/>
      <c r="EX22" s="238"/>
      <c r="EY22" s="238"/>
      <c r="EZ22" s="238"/>
      <c r="FA22" s="238"/>
      <c r="FB22" s="238"/>
      <c r="FC22" s="238"/>
      <c r="FD22" s="238"/>
      <c r="FE22" s="238"/>
      <c r="FF22" s="238"/>
      <c r="FG22" s="238"/>
      <c r="FH22" s="238"/>
      <c r="FI22" s="238"/>
      <c r="FJ22" s="238"/>
      <c r="FK22" s="238"/>
      <c r="FL22" s="238"/>
      <c r="FM22" s="238"/>
      <c r="FN22" s="238"/>
      <c r="FO22" s="244"/>
      <c r="FP22" s="238"/>
      <c r="FQ22" s="238"/>
      <c r="FR22" s="238"/>
      <c r="FS22" s="238"/>
      <c r="FT22" s="238"/>
      <c r="FU22" s="238"/>
      <c r="FV22" s="238"/>
      <c r="FW22" s="238"/>
      <c r="FX22" s="238"/>
      <c r="FY22" s="238"/>
      <c r="FZ22" s="238"/>
      <c r="GA22" s="238"/>
      <c r="GB22" s="238"/>
      <c r="GC22" s="238"/>
      <c r="GD22" s="341"/>
      <c r="GE22" s="340"/>
      <c r="GF22" s="340"/>
      <c r="GG22" s="340"/>
      <c r="GH22" s="340"/>
      <c r="GI22" s="340"/>
      <c r="GJ22" s="340"/>
      <c r="GK22" s="340"/>
      <c r="GL22" s="340"/>
      <c r="GM22" s="340"/>
      <c r="GN22" s="340"/>
      <c r="GO22" s="340"/>
      <c r="GP22" s="340"/>
      <c r="GQ22" s="340"/>
      <c r="GR22" s="340"/>
      <c r="GS22" s="340"/>
      <c r="GT22" s="340"/>
      <c r="GU22" s="340"/>
      <c r="GV22" s="340"/>
      <c r="GW22" s="340"/>
      <c r="GX22" s="340"/>
      <c r="GY22" s="340"/>
      <c r="GZ22" s="340"/>
      <c r="HA22" s="340"/>
      <c r="HB22" s="340"/>
      <c r="HC22" s="340"/>
      <c r="HD22" s="341"/>
      <c r="HE22" s="341"/>
      <c r="HF22" s="341"/>
      <c r="HG22" s="341"/>
      <c r="HH22" s="341"/>
      <c r="HI22" s="341"/>
      <c r="HJ22" s="341"/>
      <c r="HK22" s="341"/>
      <c r="HL22" s="341"/>
      <c r="HM22" s="341"/>
      <c r="HN22" s="341"/>
      <c r="HO22" s="341"/>
      <c r="HP22" s="341"/>
      <c r="HQ22" s="341"/>
      <c r="HR22" s="341"/>
      <c r="HS22" s="238"/>
      <c r="HT22" s="238"/>
      <c r="HU22" s="238"/>
      <c r="HV22" s="238"/>
      <c r="HX22" s="238"/>
      <c r="HY22" s="238"/>
      <c r="ID22" s="238"/>
    </row>
    <row r="23" spans="1:238" s="234" customFormat="1" ht="20.100000000000001" customHeight="1">
      <c r="A23" s="235"/>
      <c r="B23" s="231"/>
      <c r="C23" s="285" t="str">
        <f>IF(AF23="","",SUM(AF23))</f>
        <v/>
      </c>
      <c r="D23" s="286" t="str">
        <f>IF(AK13="D",1,"")</f>
        <v/>
      </c>
      <c r="E23" s="287" t="str">
        <f>IF(C23="","",VLOOKUP(C23,Licenses!B:C,2,FALSE))</f>
        <v/>
      </c>
      <c r="F23" s="288"/>
      <c r="G23" s="288"/>
      <c r="H23" s="289"/>
      <c r="I23" s="169"/>
      <c r="J23" s="270" t="str">
        <f>REPT(AM23,1)</f>
        <v/>
      </c>
      <c r="L23" s="290" t="str">
        <f>IF(AK13="D",AK23,IF(AK22="","",AK22))</f>
        <v/>
      </c>
      <c r="M23" s="311"/>
      <c r="P23" s="290" t="str">
        <f>IF(AK13="D",AY23,IF(AY22="","",AY22))</f>
        <v/>
      </c>
      <c r="R23" s="291" t="str">
        <f>IF(AT23="","",SUM(AT23))</f>
        <v/>
      </c>
      <c r="S23" s="286" t="str">
        <f>IF(AK13="D",1,"")</f>
        <v/>
      </c>
      <c r="T23" s="292" t="str">
        <f>IF(R23="","",VLOOKUP(R23,Licenses!B:C,2,FALSE))</f>
        <v/>
      </c>
      <c r="U23" s="293"/>
      <c r="V23" s="293"/>
      <c r="W23" s="294"/>
      <c r="X23" s="169"/>
      <c r="Y23" s="270" t="str">
        <f>REPT(BA23,1)</f>
        <v/>
      </c>
      <c r="Z23" s="308"/>
      <c r="AD23" s="235"/>
      <c r="AE23" s="235"/>
      <c r="AF23" s="256" t="str">
        <f>IF(AM13="","",SUM(AM13))</f>
        <v/>
      </c>
      <c r="AG23" s="237"/>
      <c r="AH23" s="256"/>
      <c r="AI23" s="256"/>
      <c r="AJ23" s="256"/>
      <c r="AK23" s="256" t="str">
        <f>IF(BZ21&gt;1,BZ21,"")</f>
        <v/>
      </c>
      <c r="AL23" s="257">
        <f>IF(AK13="D",SUM(I23),0)</f>
        <v>0</v>
      </c>
      <c r="AM23" s="258" t="str">
        <f>IF(AM21=0,IF(AL23&lt;6,"","X"),"X")</f>
        <v/>
      </c>
      <c r="AN23" s="347" t="str">
        <f>IF(AM21=0,IF(AL23&lt;6,"",1),1)</f>
        <v/>
      </c>
      <c r="AO23" s="235"/>
      <c r="AP23" s="236"/>
      <c r="AQ23" s="235"/>
      <c r="AR23" s="235"/>
      <c r="AS23" s="235"/>
      <c r="AT23" s="256" t="str">
        <f>IF(BA13="","",SUM(BA13))</f>
        <v/>
      </c>
      <c r="AU23" s="237"/>
      <c r="AV23" s="256"/>
      <c r="AW23" s="256"/>
      <c r="AX23" s="256"/>
      <c r="AY23" s="256" t="str">
        <f>IF(CI21&gt;1,CI21,"")</f>
        <v/>
      </c>
      <c r="AZ23" s="257">
        <f>IF(AK13="D",SUM(X23),0)</f>
        <v>0</v>
      </c>
      <c r="BA23" s="258" t="str">
        <f>IF(BA21=0,IF(AZ23&lt;6,"","X"),"X")</f>
        <v/>
      </c>
      <c r="BB23" s="347" t="str">
        <f>IF(BA21=0,IF(AZ23&lt;6,"",1),1)</f>
        <v/>
      </c>
      <c r="BC23" s="236"/>
      <c r="BD23" s="236"/>
      <c r="BE23" s="236"/>
      <c r="BF23" s="236"/>
      <c r="BG23" s="236"/>
      <c r="BH23" s="236"/>
      <c r="BI23" s="236"/>
      <c r="BJ23" s="236"/>
      <c r="BK23" s="238"/>
      <c r="BL23" s="238"/>
      <c r="BM23" s="295"/>
      <c r="BN23" s="295"/>
      <c r="BO23" s="295"/>
      <c r="BP23" s="295"/>
      <c r="BQ23" s="295"/>
      <c r="BR23" s="295"/>
      <c r="BS23" s="295"/>
      <c r="BT23" s="295"/>
      <c r="BU23" s="295"/>
      <c r="BV23" s="295"/>
      <c r="BW23" s="295"/>
      <c r="BX23" s="236"/>
      <c r="BY23" s="295"/>
      <c r="BZ23" s="295"/>
      <c r="CA23" s="295"/>
      <c r="CB23" s="295"/>
      <c r="CC23" s="295"/>
      <c r="CD23" s="295"/>
      <c r="CE23" s="295"/>
      <c r="CF23" s="295"/>
      <c r="CG23" s="296"/>
      <c r="CH23" s="295"/>
      <c r="CI23" s="295"/>
      <c r="CJ23" s="295"/>
      <c r="CK23" s="238"/>
      <c r="CL23" s="238"/>
      <c r="CM23" s="238"/>
      <c r="CN23" s="238"/>
      <c r="CO23" s="238"/>
      <c r="CP23" s="238"/>
      <c r="CQ23" s="238"/>
      <c r="CR23" s="238"/>
      <c r="CS23" s="238"/>
      <c r="CT23" s="238"/>
      <c r="CU23" s="238"/>
      <c r="CV23" s="238"/>
      <c r="CW23" s="238"/>
      <c r="CX23" s="238"/>
      <c r="CY23" s="238"/>
      <c r="CZ23" s="238"/>
      <c r="DA23" s="238"/>
      <c r="DB23" s="238"/>
      <c r="DC23" s="238"/>
      <c r="DD23" s="238"/>
      <c r="DE23" s="238"/>
      <c r="DF23" s="238"/>
      <c r="DG23" s="238"/>
      <c r="DH23" s="238"/>
      <c r="DI23" s="238"/>
      <c r="DJ23" s="238"/>
      <c r="DK23" s="238"/>
      <c r="DL23" s="238"/>
      <c r="DM23" s="238"/>
      <c r="DN23" s="238"/>
      <c r="DO23" s="238"/>
      <c r="DP23" s="238"/>
      <c r="DQ23" s="238"/>
      <c r="DR23" s="238"/>
      <c r="DS23" s="238"/>
      <c r="DT23" s="238"/>
      <c r="DU23" s="238"/>
      <c r="DV23" s="238"/>
      <c r="DW23" s="238"/>
      <c r="DX23" s="238"/>
      <c r="DY23" s="238"/>
      <c r="DZ23" s="238"/>
      <c r="EA23" s="238"/>
      <c r="EB23" s="238"/>
      <c r="EC23" s="238"/>
      <c r="ED23" s="238"/>
      <c r="EE23" s="238"/>
      <c r="EF23" s="238"/>
      <c r="EG23" s="238"/>
      <c r="EH23" s="238"/>
      <c r="EI23" s="238"/>
      <c r="EJ23" s="238"/>
      <c r="EK23" s="238"/>
      <c r="EL23" s="238"/>
      <c r="EM23" s="238"/>
      <c r="EN23" s="238"/>
      <c r="EO23" s="238"/>
      <c r="EP23" s="238"/>
      <c r="EQ23" s="238"/>
      <c r="ER23" s="238"/>
      <c r="ES23" s="238"/>
      <c r="ET23" s="244"/>
      <c r="EU23" s="238"/>
      <c r="EV23" s="238"/>
      <c r="EW23" s="238"/>
      <c r="EX23" s="238"/>
      <c r="EY23" s="238"/>
      <c r="EZ23" s="238"/>
      <c r="FA23" s="238"/>
      <c r="FB23" s="238"/>
      <c r="FC23" s="238"/>
      <c r="FD23" s="238"/>
      <c r="FE23" s="238"/>
      <c r="FF23" s="238"/>
      <c r="FG23" s="238"/>
      <c r="FH23" s="238"/>
      <c r="FI23" s="238"/>
      <c r="FJ23" s="238"/>
      <c r="FK23" s="238"/>
      <c r="FL23" s="238"/>
      <c r="FM23" s="238"/>
      <c r="FN23" s="238"/>
      <c r="FO23" s="244"/>
      <c r="FP23" s="238"/>
      <c r="FQ23" s="238"/>
      <c r="FR23" s="238"/>
      <c r="FS23" s="238"/>
      <c r="FT23" s="238"/>
      <c r="FU23" s="238"/>
      <c r="FV23" s="238"/>
      <c r="FW23" s="238"/>
      <c r="FX23" s="238"/>
      <c r="FY23" s="238"/>
      <c r="FZ23" s="238"/>
      <c r="GA23" s="238"/>
      <c r="GB23" s="238"/>
      <c r="GC23" s="238"/>
      <c r="GD23" s="341"/>
      <c r="GE23" s="340"/>
      <c r="GF23" s="340"/>
      <c r="GG23" s="340"/>
      <c r="GH23" s="340"/>
      <c r="GI23" s="340"/>
      <c r="GJ23" s="340"/>
      <c r="GK23" s="340"/>
      <c r="GL23" s="340"/>
      <c r="GM23" s="340"/>
      <c r="GN23" s="340"/>
      <c r="GO23" s="340"/>
      <c r="GP23" s="340"/>
      <c r="GQ23" s="340"/>
      <c r="GR23" s="340"/>
      <c r="GS23" s="340"/>
      <c r="GT23" s="340"/>
      <c r="GU23" s="340"/>
      <c r="GV23" s="340"/>
      <c r="GW23" s="340"/>
      <c r="GX23" s="340"/>
      <c r="GY23" s="340"/>
      <c r="GZ23" s="340"/>
      <c r="HA23" s="340"/>
      <c r="HB23" s="340"/>
      <c r="HC23" s="340"/>
      <c r="HD23" s="341"/>
      <c r="HE23" s="341"/>
      <c r="HF23" s="341"/>
      <c r="HG23" s="341"/>
      <c r="HH23" s="341"/>
      <c r="HI23" s="341"/>
      <c r="HJ23" s="341"/>
      <c r="HK23" s="341"/>
      <c r="HL23" s="341"/>
      <c r="HM23" s="341"/>
      <c r="HN23" s="341"/>
      <c r="HO23" s="341"/>
      <c r="HP23" s="341"/>
      <c r="HQ23" s="341"/>
      <c r="HR23" s="341"/>
      <c r="HS23" s="238"/>
      <c r="HT23" s="238"/>
      <c r="HU23" s="238"/>
      <c r="HV23" s="238"/>
      <c r="HX23" s="238"/>
      <c r="HY23" s="238"/>
      <c r="ID23" s="238"/>
    </row>
    <row r="24" spans="1:238" s="234" customFormat="1" ht="20.100000000000001" customHeight="1">
      <c r="A24" s="235"/>
      <c r="B24" s="231"/>
      <c r="C24" s="336" t="str">
        <f>IF(AF24="","",SUM(AF24))</f>
        <v/>
      </c>
      <c r="D24" s="333" t="str">
        <f>IF(AK13="D",2,"")</f>
        <v/>
      </c>
      <c r="E24" s="337" t="str">
        <f>IF(C24="","",VLOOKUP(C24,Licenses!B:C,2,FALSE))</f>
        <v/>
      </c>
      <c r="F24" s="290"/>
      <c r="G24" s="290"/>
      <c r="H24" s="338"/>
      <c r="I24" s="331"/>
      <c r="J24" s="272" t="str">
        <f>REPT(AM24,1)</f>
        <v/>
      </c>
      <c r="L24" s="315" t="str">
        <f>IF(AK13="D",AK24,"")</f>
        <v/>
      </c>
      <c r="M24" s="311"/>
      <c r="P24" s="315" t="str">
        <f>IF(AK13="D",AY24,"")</f>
        <v/>
      </c>
      <c r="R24" s="332" t="str">
        <f>IF(AT24="","",SUM(AT24))</f>
        <v/>
      </c>
      <c r="S24" s="333" t="str">
        <f>IF(AK13="D",2,"")</f>
        <v/>
      </c>
      <c r="T24" s="334" t="str">
        <f>IF(R24="","",VLOOKUP(R24,Licenses!B:C,2,FALSE))</f>
        <v/>
      </c>
      <c r="U24" s="297"/>
      <c r="V24" s="297"/>
      <c r="W24" s="335"/>
      <c r="X24" s="331"/>
      <c r="Y24" s="272" t="str">
        <f>REPT(BA24,1)</f>
        <v/>
      </c>
      <c r="Z24" s="308"/>
      <c r="AA24" s="238">
        <f>IF(AK13="D",0,1)</f>
        <v>1</v>
      </c>
      <c r="AD24" s="235"/>
      <c r="AE24" s="235"/>
      <c r="AF24" s="256" t="str">
        <f>IF(AM14="","",SUM(AM14))</f>
        <v/>
      </c>
      <c r="AG24" s="237"/>
      <c r="AH24" s="256"/>
      <c r="AI24" s="256"/>
      <c r="AJ24" s="256"/>
      <c r="AK24" s="256" t="str">
        <f>IF(CA21&gt;1,CA21,"")</f>
        <v/>
      </c>
      <c r="AL24" s="257">
        <f>IF(AK13="D",SUM(I24),0)</f>
        <v>0</v>
      </c>
      <c r="AM24" s="258" t="str">
        <f>IF(AM21=0,IF(AL24&lt;6,"","X"),"X")</f>
        <v/>
      </c>
      <c r="AN24" s="347" t="str">
        <f>IF(AM21=0,IF(AL24&lt;6,"",1),1)</f>
        <v/>
      </c>
      <c r="AO24" s="235"/>
      <c r="AP24" s="236"/>
      <c r="AQ24" s="235"/>
      <c r="AR24" s="235"/>
      <c r="AS24" s="235"/>
      <c r="AT24" s="256" t="str">
        <f>IF(BA14="","",SUM(BA14))</f>
        <v/>
      </c>
      <c r="AU24" s="237"/>
      <c r="AV24" s="256"/>
      <c r="AW24" s="256"/>
      <c r="AX24" s="256"/>
      <c r="AY24" s="256" t="str">
        <f>IF(CJ21&gt;1,CJ21,"")</f>
        <v/>
      </c>
      <c r="AZ24" s="257">
        <f>IF(AK13="D",SUM(X24),0)</f>
        <v>0</v>
      </c>
      <c r="BA24" s="258" t="str">
        <f>IF(BA21=0,IF(AZ24&lt;6,"","X"),"X")</f>
        <v/>
      </c>
      <c r="BB24" s="347" t="str">
        <f>IF(BA21=0,IF(AZ24&lt;6,"",1),1)</f>
        <v/>
      </c>
      <c r="BC24" s="236"/>
      <c r="BD24" s="236"/>
      <c r="BE24" s="236"/>
      <c r="BF24" s="236"/>
      <c r="BG24" s="236"/>
      <c r="BH24" s="236"/>
      <c r="BI24" s="236"/>
      <c r="BJ24" s="236"/>
      <c r="BK24" s="238"/>
      <c r="BM24" s="238"/>
      <c r="BN24" s="238"/>
      <c r="BO24" s="238"/>
      <c r="BP24" s="238"/>
      <c r="BQ24" s="238" t="s">
        <v>899</v>
      </c>
      <c r="BR24" s="238"/>
      <c r="BS24" s="238"/>
      <c r="BT24" s="238"/>
      <c r="BU24" s="238"/>
      <c r="BV24" s="238"/>
      <c r="BW24" s="238"/>
      <c r="BX24" s="236"/>
      <c r="BY24" s="238"/>
      <c r="BZ24" s="238"/>
      <c r="CA24" s="238"/>
      <c r="CB24" s="238"/>
      <c r="CC24" s="238"/>
      <c r="CD24" s="238" t="s">
        <v>899</v>
      </c>
      <c r="CE24" s="238"/>
      <c r="CF24" s="238"/>
      <c r="CG24" s="244"/>
      <c r="CH24" s="238"/>
      <c r="CI24" s="238"/>
      <c r="CJ24" s="238"/>
      <c r="CK24" s="238"/>
      <c r="CL24" s="238"/>
      <c r="CM24" s="238"/>
      <c r="CN24" s="238"/>
      <c r="CO24" s="238"/>
      <c r="CP24" s="238"/>
      <c r="CQ24" s="238"/>
      <c r="CR24" s="238"/>
      <c r="CS24" s="238"/>
      <c r="CT24" s="238"/>
      <c r="CU24" s="238"/>
      <c r="CV24" s="238"/>
      <c r="CW24" s="238"/>
      <c r="CX24" s="238"/>
      <c r="CY24" s="238"/>
      <c r="CZ24" s="238"/>
      <c r="DA24" s="238"/>
      <c r="DB24" s="238"/>
      <c r="DC24" s="238"/>
      <c r="DD24" s="238"/>
      <c r="DE24" s="238"/>
      <c r="DF24" s="238"/>
      <c r="DG24" s="238"/>
      <c r="DH24" s="238"/>
      <c r="DI24" s="238"/>
      <c r="DJ24" s="238"/>
      <c r="DK24" s="238"/>
      <c r="DL24" s="238"/>
      <c r="DM24" s="238"/>
      <c r="DN24" s="238"/>
      <c r="DO24" s="238"/>
      <c r="DP24" s="238"/>
      <c r="DQ24" s="238"/>
      <c r="DR24" s="238"/>
      <c r="DS24" s="238"/>
      <c r="DT24" s="238"/>
      <c r="DU24" s="238"/>
      <c r="DV24" s="238"/>
      <c r="DW24" s="238"/>
      <c r="DX24" s="238"/>
      <c r="DY24" s="238"/>
      <c r="DZ24" s="238"/>
      <c r="EA24" s="238"/>
      <c r="EB24" s="238"/>
      <c r="EC24" s="238"/>
      <c r="ED24" s="238"/>
      <c r="EE24" s="238"/>
      <c r="EF24" s="238"/>
      <c r="EG24" s="238"/>
      <c r="EH24" s="238"/>
      <c r="EI24" s="238"/>
      <c r="EJ24" s="238"/>
      <c r="EK24" s="238"/>
      <c r="EL24" s="238"/>
      <c r="EM24" s="238"/>
      <c r="EN24" s="238"/>
      <c r="EO24" s="238"/>
      <c r="EP24" s="238"/>
      <c r="EQ24" s="238"/>
      <c r="ER24" s="238"/>
      <c r="ES24" s="238"/>
      <c r="ET24" s="244"/>
      <c r="EU24" s="238"/>
      <c r="EV24" s="238"/>
      <c r="EW24" s="238"/>
      <c r="EX24" s="238"/>
      <c r="EY24" s="238"/>
      <c r="EZ24" s="238"/>
      <c r="FA24" s="238"/>
      <c r="FB24" s="238"/>
      <c r="FC24" s="238"/>
      <c r="FD24" s="238"/>
      <c r="FE24" s="238"/>
      <c r="FF24" s="238"/>
      <c r="FG24" s="238"/>
      <c r="FH24" s="238"/>
      <c r="FI24" s="238"/>
      <c r="FJ24" s="238"/>
      <c r="FK24" s="238"/>
      <c r="FL24" s="238"/>
      <c r="FM24" s="238"/>
      <c r="FN24" s="238"/>
      <c r="FO24" s="244"/>
      <c r="FP24" s="238"/>
      <c r="FQ24" s="238"/>
      <c r="FR24" s="238"/>
      <c r="FS24" s="238"/>
      <c r="FT24" s="238"/>
      <c r="FU24" s="238"/>
      <c r="FV24" s="238"/>
      <c r="FW24" s="238"/>
      <c r="FX24" s="238"/>
      <c r="FY24" s="238"/>
      <c r="FZ24" s="238"/>
      <c r="GA24" s="238"/>
      <c r="GB24" s="238"/>
      <c r="GC24" s="238"/>
      <c r="GD24" s="341"/>
      <c r="GE24" s="340"/>
      <c r="GF24" s="340"/>
      <c r="GG24" s="340"/>
      <c r="GH24" s="340"/>
      <c r="GI24" s="340"/>
      <c r="GJ24" s="340"/>
      <c r="GK24" s="340"/>
      <c r="GL24" s="340"/>
      <c r="GM24" s="340"/>
      <c r="GN24" s="340"/>
      <c r="GO24" s="340"/>
      <c r="GP24" s="340"/>
      <c r="GQ24" s="340"/>
      <c r="GR24" s="340"/>
      <c r="GS24" s="340"/>
      <c r="GT24" s="340"/>
      <c r="GU24" s="340"/>
      <c r="GV24" s="340"/>
      <c r="GW24" s="340"/>
      <c r="GX24" s="340"/>
      <c r="GY24" s="340"/>
      <c r="GZ24" s="340"/>
      <c r="HA24" s="340"/>
      <c r="HB24" s="340"/>
      <c r="HC24" s="340"/>
      <c r="HD24" s="341"/>
      <c r="HE24" s="341"/>
      <c r="HF24" s="341"/>
      <c r="HG24" s="341"/>
      <c r="HH24" s="341"/>
      <c r="HI24" s="341"/>
      <c r="HJ24" s="341"/>
      <c r="HK24" s="341"/>
      <c r="HL24" s="341"/>
      <c r="HM24" s="341"/>
      <c r="HN24" s="341"/>
      <c r="HO24" s="341"/>
      <c r="HP24" s="341"/>
      <c r="HQ24" s="341"/>
      <c r="HR24" s="341"/>
      <c r="HS24" s="238"/>
      <c r="HT24" s="238"/>
      <c r="HU24" s="238"/>
      <c r="HV24" s="238"/>
      <c r="HX24" s="238"/>
      <c r="HY24" s="238"/>
      <c r="ID24" s="238"/>
    </row>
    <row r="25" spans="1:238" s="234" customFormat="1" ht="20.100000000000001" customHeight="1">
      <c r="A25" s="235"/>
      <c r="B25" s="316"/>
      <c r="C25" s="317"/>
      <c r="D25" s="317"/>
      <c r="E25" s="318"/>
      <c r="F25" s="318"/>
      <c r="G25" s="318"/>
      <c r="H25" s="318"/>
      <c r="I25" s="318"/>
      <c r="J25" s="318"/>
      <c r="K25" s="319"/>
      <c r="L25" s="319"/>
      <c r="M25" s="319"/>
      <c r="N25" s="319"/>
      <c r="O25" s="319"/>
      <c r="P25" s="320"/>
      <c r="Q25" s="319"/>
      <c r="R25" s="317"/>
      <c r="S25" s="318"/>
      <c r="T25" s="318"/>
      <c r="U25" s="318"/>
      <c r="V25" s="318"/>
      <c r="W25" s="318"/>
      <c r="X25" s="318"/>
      <c r="Y25" s="318"/>
      <c r="Z25" s="321"/>
      <c r="AD25" s="235"/>
      <c r="AE25" s="237"/>
      <c r="AF25" s="237"/>
      <c r="AG25" s="237"/>
      <c r="AH25" s="237" t="s">
        <v>921</v>
      </c>
      <c r="AI25" s="237" t="s">
        <v>922</v>
      </c>
      <c r="AJ25" s="298" t="str">
        <f>IF(BS25="","",SUM(AM25)*3)</f>
        <v/>
      </c>
      <c r="AK25" s="299" t="s">
        <v>923</v>
      </c>
      <c r="AL25" s="256"/>
      <c r="AM25" s="256" t="str">
        <f>IF(BS25="","",SUM(BS25))</f>
        <v/>
      </c>
      <c r="AN25" s="235"/>
      <c r="AO25" s="235"/>
      <c r="AP25" s="236"/>
      <c r="AQ25" s="235"/>
      <c r="AR25" s="235"/>
      <c r="AS25" s="237"/>
      <c r="AT25" s="237"/>
      <c r="AU25" s="237"/>
      <c r="AV25" s="237" t="s">
        <v>921</v>
      </c>
      <c r="AW25" s="237" t="s">
        <v>922</v>
      </c>
      <c r="AX25" s="298" t="str">
        <f>IF(BS25="","",SUM(BA25)*3)</f>
        <v/>
      </c>
      <c r="AY25" s="299" t="s">
        <v>923</v>
      </c>
      <c r="AZ25" s="256"/>
      <c r="BA25" s="256" t="str">
        <f>IF(BS25="","",SUM(CF25))</f>
        <v/>
      </c>
      <c r="BB25" s="236"/>
      <c r="BC25" s="236"/>
      <c r="BD25" s="236"/>
      <c r="BE25" s="236"/>
      <c r="BF25" s="236"/>
      <c r="BG25" s="236"/>
      <c r="BH25" s="236"/>
      <c r="BI25" s="236"/>
      <c r="BJ25" s="236"/>
      <c r="BK25" s="373">
        <f>IF(AL13=BQ25,1,0)</f>
        <v>0</v>
      </c>
      <c r="BL25" s="373">
        <f>IF(AL13=CD25,1,0)</f>
        <v>0</v>
      </c>
      <c r="BM25" s="256">
        <f>IF(BN25&gt;2,1,0)</f>
        <v>0</v>
      </c>
      <c r="BN25" s="256">
        <f>COUNT(AH16,AH17,AH18)</f>
        <v>0</v>
      </c>
      <c r="BO25" s="256" t="str">
        <f>IF(AH22="","",SUM(AH22/AJ22))</f>
        <v/>
      </c>
      <c r="BP25" s="256"/>
      <c r="BQ25" s="300">
        <f>COUNT(AK16,AK17,AK18,AK19,AK20)</f>
        <v>0</v>
      </c>
      <c r="BR25" s="256"/>
      <c r="BS25" s="256" t="str">
        <f>IF(BL22=0,IF(AJ17="","",BO25),"")</f>
        <v/>
      </c>
      <c r="BT25" s="236"/>
      <c r="BU25" s="236"/>
      <c r="BV25" s="236"/>
      <c r="BW25" s="236"/>
      <c r="BX25" s="236"/>
      <c r="BZ25" s="256">
        <f>IF(CA25&gt;2,1,0)</f>
        <v>0</v>
      </c>
      <c r="CA25" s="256">
        <f>COUNT(AV16,AV17,AV18)</f>
        <v>0</v>
      </c>
      <c r="CB25" s="256" t="str">
        <f>IF(AV22="","",SUM(AV22/AX22))</f>
        <v/>
      </c>
      <c r="CC25" s="256"/>
      <c r="CD25" s="300">
        <f>COUNT(AY16,AY17,AY18,AY19,AY20)</f>
        <v>0</v>
      </c>
      <c r="CE25" s="256"/>
      <c r="CF25" s="256" t="str">
        <f>IF(BL22=0,IF(AX17="","",CB25),"")</f>
        <v/>
      </c>
      <c r="CG25" s="236"/>
      <c r="CH25" s="188"/>
      <c r="CI25" s="188"/>
      <c r="CJ25" s="196"/>
      <c r="CK25" s="196"/>
      <c r="CL25" s="196"/>
      <c r="CM25" s="196"/>
      <c r="CN25" s="196"/>
      <c r="CO25" s="196"/>
      <c r="CP25" s="196"/>
      <c r="CQ25" s="196"/>
      <c r="CR25" s="196"/>
      <c r="CS25" s="196"/>
      <c r="CT25" s="196"/>
      <c r="CU25" s="196"/>
      <c r="CV25" s="196"/>
      <c r="CW25" s="196"/>
      <c r="CX25" s="196"/>
      <c r="CY25" s="196"/>
      <c r="CZ25" s="196"/>
      <c r="DA25" s="196"/>
      <c r="DB25" s="196"/>
      <c r="DC25" s="196"/>
      <c r="DD25" s="196"/>
      <c r="DE25" s="196"/>
      <c r="DF25" s="196"/>
      <c r="DG25" s="196"/>
      <c r="DH25" s="196"/>
      <c r="DI25" s="196"/>
      <c r="DJ25" s="196"/>
      <c r="DK25" s="196"/>
      <c r="DL25" s="196"/>
      <c r="DM25" s="196"/>
      <c r="DN25" s="196"/>
      <c r="DO25" s="196"/>
      <c r="DP25" s="196"/>
      <c r="DQ25" s="196"/>
      <c r="DR25" s="196"/>
      <c r="DS25" s="196"/>
      <c r="DT25" s="196"/>
      <c r="DU25" s="196"/>
      <c r="DV25" s="196"/>
      <c r="DW25" s="196"/>
      <c r="DX25" s="196"/>
      <c r="DY25" s="196"/>
      <c r="DZ25" s="196"/>
      <c r="EA25" s="196"/>
      <c r="EB25" s="196"/>
      <c r="EC25" s="196"/>
      <c r="ED25" s="196"/>
      <c r="EE25" s="196"/>
      <c r="EF25" s="196"/>
      <c r="EG25" s="196"/>
      <c r="EH25" s="196"/>
      <c r="EI25" s="196"/>
      <c r="EJ25" s="196"/>
      <c r="EK25" s="196"/>
      <c r="EL25" s="196"/>
      <c r="EM25" s="196"/>
      <c r="EN25" s="196"/>
      <c r="EO25" s="196"/>
      <c r="EP25" s="196"/>
      <c r="EQ25" s="196"/>
      <c r="ER25" s="196"/>
      <c r="ES25" s="196"/>
      <c r="ET25" s="301"/>
      <c r="EU25" s="196"/>
      <c r="EV25" s="196"/>
      <c r="EW25" s="196"/>
      <c r="EX25" s="196"/>
      <c r="EY25" s="196"/>
      <c r="EZ25" s="196"/>
      <c r="FA25" s="196"/>
      <c r="FB25" s="196"/>
      <c r="FC25" s="196"/>
      <c r="FD25" s="196"/>
      <c r="FE25" s="196"/>
      <c r="FF25" s="196"/>
      <c r="FG25" s="196"/>
      <c r="FH25" s="196"/>
      <c r="FI25" s="196"/>
      <c r="FJ25" s="196"/>
      <c r="FK25" s="196"/>
      <c r="FL25" s="196"/>
      <c r="FM25" s="196"/>
      <c r="FN25" s="196"/>
      <c r="FO25" s="301"/>
      <c r="FP25" s="196"/>
      <c r="FQ25" s="196"/>
      <c r="FR25" s="196"/>
      <c r="FS25" s="196"/>
      <c r="FT25" s="196"/>
      <c r="FU25" s="196"/>
      <c r="FV25" s="196"/>
      <c r="FW25" s="196"/>
      <c r="FX25" s="196"/>
      <c r="FY25" s="196"/>
      <c r="FZ25" s="196"/>
      <c r="GA25" s="196"/>
      <c r="GB25" s="238"/>
      <c r="GC25" s="238"/>
      <c r="GD25" s="341"/>
      <c r="GE25" s="341"/>
      <c r="GF25" s="341"/>
      <c r="GG25" s="341"/>
      <c r="GH25" s="341"/>
      <c r="GI25" s="341"/>
      <c r="GJ25" s="341"/>
      <c r="GK25" s="341"/>
      <c r="GL25" s="341"/>
      <c r="GM25" s="341"/>
      <c r="GN25" s="341"/>
      <c r="GO25" s="341"/>
      <c r="GP25" s="341"/>
      <c r="GQ25" s="341"/>
      <c r="GR25" s="341"/>
      <c r="GS25" s="341"/>
      <c r="GT25" s="341"/>
      <c r="GU25" s="341"/>
      <c r="GV25" s="341"/>
      <c r="GW25" s="341"/>
      <c r="GX25" s="341"/>
      <c r="GY25" s="341"/>
      <c r="GZ25" s="341"/>
      <c r="HA25" s="341"/>
      <c r="HB25" s="341"/>
      <c r="HC25" s="341"/>
      <c r="HD25" s="341"/>
      <c r="HE25" s="341"/>
      <c r="HF25" s="341"/>
      <c r="HG25" s="341"/>
      <c r="HH25" s="341"/>
      <c r="HI25" s="341"/>
      <c r="HJ25" s="341"/>
      <c r="HK25" s="341"/>
      <c r="HL25" s="341"/>
      <c r="HM25" s="341"/>
      <c r="HN25" s="341"/>
      <c r="HO25" s="341"/>
      <c r="HP25" s="341"/>
      <c r="HQ25" s="341"/>
      <c r="HR25" s="341"/>
      <c r="HS25" s="238"/>
      <c r="HT25" s="238"/>
      <c r="HU25" s="238"/>
      <c r="HV25" s="238"/>
      <c r="HX25" s="238"/>
      <c r="HY25" s="238"/>
      <c r="ID25" s="238"/>
    </row>
    <row r="26" spans="1:238" ht="14.1" customHeight="1">
      <c r="B26" s="214"/>
      <c r="C26" s="171"/>
      <c r="D26" s="171"/>
      <c r="E26" s="171"/>
      <c r="F26" s="171"/>
      <c r="G26" s="171"/>
      <c r="H26" s="171"/>
      <c r="I26" s="171"/>
      <c r="J26" s="171"/>
      <c r="K26" s="171"/>
      <c r="L26" s="171"/>
      <c r="M26" s="171"/>
      <c r="N26" s="171"/>
      <c r="O26" s="171"/>
      <c r="P26" s="171"/>
      <c r="Q26" s="171"/>
      <c r="R26" s="171"/>
      <c r="S26" s="171"/>
      <c r="T26" s="171"/>
      <c r="U26" s="171"/>
      <c r="V26" s="171"/>
      <c r="W26" s="171"/>
      <c r="X26" s="171"/>
      <c r="Y26" s="171"/>
      <c r="Z26" s="302"/>
      <c r="AA26" s="215"/>
      <c r="AB26" s="215"/>
      <c r="AC26" s="215"/>
      <c r="AD26" s="215"/>
      <c r="AE26" s="215"/>
      <c r="AF26" s="215"/>
      <c r="BB26" s="215"/>
      <c r="BC26" s="215"/>
      <c r="BD26" s="215"/>
      <c r="BE26" s="215"/>
      <c r="BF26" s="215"/>
      <c r="BG26" s="215"/>
      <c r="BH26" s="215"/>
      <c r="GD26" s="339"/>
      <c r="GE26" s="339"/>
      <c r="GF26" s="339"/>
      <c r="GG26" s="339"/>
      <c r="GH26" s="339"/>
      <c r="GI26" s="339"/>
      <c r="GJ26" s="339"/>
      <c r="GK26" s="339"/>
      <c r="GL26" s="339"/>
      <c r="GM26" s="339"/>
      <c r="GN26" s="339"/>
      <c r="GO26" s="339"/>
      <c r="GP26" s="339"/>
      <c r="GQ26" s="339"/>
      <c r="GR26" s="339"/>
      <c r="GS26" s="339"/>
      <c r="GT26" s="339"/>
      <c r="GU26" s="339"/>
      <c r="GV26" s="339"/>
      <c r="GW26" s="339"/>
      <c r="GX26" s="339"/>
      <c r="GY26" s="339"/>
      <c r="GZ26" s="339"/>
      <c r="HA26" s="339"/>
      <c r="HB26" s="339"/>
      <c r="HC26" s="339"/>
      <c r="HD26" s="339"/>
      <c r="HE26" s="339"/>
      <c r="HF26" s="339"/>
      <c r="HG26" s="339"/>
      <c r="HH26" s="339"/>
      <c r="HI26" s="339"/>
      <c r="HJ26" s="339"/>
      <c r="HK26" s="339"/>
      <c r="HL26" s="339"/>
      <c r="HM26" s="339"/>
      <c r="HN26" s="339"/>
      <c r="HO26" s="339"/>
      <c r="HP26" s="339"/>
      <c r="HQ26" s="339"/>
      <c r="HR26" s="339"/>
    </row>
    <row r="27" spans="1:238" ht="24" customHeight="1">
      <c r="B27" s="216"/>
      <c r="C27" s="181"/>
      <c r="D27" s="181"/>
      <c r="E27" s="181"/>
      <c r="F27" s="181"/>
      <c r="G27" s="181"/>
      <c r="H27" s="181"/>
      <c r="I27" s="181"/>
      <c r="J27" s="181"/>
      <c r="K27" s="185"/>
      <c r="L27" s="217"/>
      <c r="M27" s="218"/>
      <c r="N27" s="327" t="str">
        <f>CONCATENATE(AG27," ",AH27)</f>
        <v>Spiel 2</v>
      </c>
      <c r="O27" s="218"/>
      <c r="P27" s="219"/>
      <c r="Q27" s="185"/>
      <c r="R27" s="181"/>
      <c r="S27" s="181"/>
      <c r="T27" s="181"/>
      <c r="U27" s="181"/>
      <c r="V27" s="181"/>
      <c r="W27" s="181"/>
      <c r="X27" s="181"/>
      <c r="Y27" s="181"/>
      <c r="Z27" s="303"/>
      <c r="AA27" s="200"/>
      <c r="AB27" s="200"/>
      <c r="AC27" s="200"/>
      <c r="AD27" s="200"/>
      <c r="AE27" s="200"/>
      <c r="AF27" s="200"/>
      <c r="AG27" s="200" t="s">
        <v>863</v>
      </c>
      <c r="AH27" s="220">
        <v>2</v>
      </c>
      <c r="AI27" s="173">
        <f>VLOOKUP(AH27,Chema!R:T,3,FALSE)</f>
        <v>1.2</v>
      </c>
      <c r="AJ27" s="200" t="str">
        <f>VLOOKUP(AH27,Chema!BL:BQ,6,FALSE)</f>
        <v>1.2*</v>
      </c>
      <c r="AK27" s="200" t="str">
        <f>VLOOKUP(AH27,'Matchblatt  FEUILLE DE MATCH'!AI:AJ,2,FALSE)</f>
        <v>S</v>
      </c>
      <c r="AL27" s="200">
        <f>VLOOKUP(AH27,Chema!R:U,4,FALSE)</f>
        <v>5</v>
      </c>
      <c r="AM27" s="215" t="str">
        <f>VLOOKUP(AH27,'Matchblatt  FEUILLE DE MATCH'!AI:AS,10,FALSE)</f>
        <v/>
      </c>
      <c r="AN27" s="215"/>
      <c r="AO27" s="215"/>
      <c r="AP27" s="215"/>
      <c r="AQ27" s="215"/>
      <c r="AR27" s="215"/>
      <c r="AS27" s="215"/>
      <c r="AT27" s="215"/>
      <c r="AU27" s="215"/>
      <c r="AV27" s="215"/>
      <c r="AW27" s="215"/>
      <c r="AX27" s="215"/>
      <c r="AY27" s="215"/>
      <c r="AZ27" s="215"/>
      <c r="BA27" s="215" t="str">
        <f>VLOOKUP(AH27,'Matchblatt  FEUILLE DE MATCH'!AI:AS,11,FALSE)</f>
        <v/>
      </c>
      <c r="BB27" s="200"/>
      <c r="BC27" s="200"/>
      <c r="BD27" s="200"/>
      <c r="BE27" s="200"/>
      <c r="BF27" s="200"/>
      <c r="BG27" s="200"/>
      <c r="BH27" s="200"/>
      <c r="BK27" s="196"/>
      <c r="BL27" s="196"/>
      <c r="BM27" s="196"/>
      <c r="BN27" s="196"/>
      <c r="BO27" s="196"/>
      <c r="BP27" s="196"/>
      <c r="BQ27" s="221" t="s">
        <v>843</v>
      </c>
      <c r="BR27" s="222"/>
      <c r="BS27" s="222"/>
      <c r="BT27" s="223"/>
      <c r="BU27" s="222" t="s">
        <v>843</v>
      </c>
      <c r="BV27" s="222"/>
      <c r="BW27" s="222"/>
      <c r="BX27" s="224"/>
      <c r="BY27" s="222"/>
      <c r="BZ27" s="222"/>
      <c r="CA27" s="222"/>
      <c r="CB27" s="222"/>
      <c r="CC27" s="222"/>
      <c r="CD27" s="222"/>
      <c r="CE27" s="222"/>
      <c r="CF27" s="222"/>
      <c r="CG27" s="224"/>
      <c r="CH27" s="222"/>
      <c r="CI27" s="222"/>
      <c r="CJ27" s="223"/>
      <c r="CK27" s="196"/>
      <c r="CL27" s="196"/>
      <c r="CM27" s="196"/>
      <c r="CN27" s="196"/>
      <c r="CO27" s="196"/>
      <c r="CP27" s="196"/>
      <c r="CQ27" s="196"/>
      <c r="CR27" s="196"/>
      <c r="CS27" s="196"/>
      <c r="CT27" s="196"/>
      <c r="CU27" s="196"/>
      <c r="CV27" s="196"/>
      <c r="CW27" s="196"/>
      <c r="CX27" s="196"/>
      <c r="CY27" s="196"/>
      <c r="CZ27" s="196"/>
      <c r="DA27" s="196"/>
      <c r="DB27" s="196"/>
      <c r="DC27" s="196"/>
      <c r="DD27" s="196"/>
      <c r="DE27" s="196"/>
      <c r="DF27" s="196"/>
      <c r="DG27" s="196"/>
      <c r="DH27" s="196"/>
      <c r="DI27" s="196"/>
      <c r="DJ27" s="196"/>
      <c r="DK27" s="196"/>
      <c r="DL27" s="196"/>
      <c r="DM27" s="196"/>
      <c r="DN27" s="196"/>
      <c r="DO27" s="196"/>
      <c r="DP27" s="196"/>
      <c r="DQ27" s="196"/>
      <c r="DR27" s="196"/>
      <c r="DS27" s="196"/>
      <c r="DT27" s="196"/>
      <c r="DU27" s="196"/>
      <c r="DV27" s="196"/>
      <c r="DW27" s="196"/>
      <c r="DX27" s="196"/>
      <c r="DY27" s="196"/>
      <c r="DZ27" s="196"/>
      <c r="EA27" s="196"/>
      <c r="EB27" s="196"/>
      <c r="EC27" s="196"/>
      <c r="ED27" s="196"/>
      <c r="EE27" s="196"/>
      <c r="EF27" s="196"/>
      <c r="EG27" s="196"/>
      <c r="EH27" s="196"/>
      <c r="EI27" s="196"/>
      <c r="EJ27" s="196"/>
      <c r="EK27" s="196"/>
      <c r="EL27" s="196"/>
      <c r="EM27" s="221" t="s">
        <v>7</v>
      </c>
      <c r="EN27" s="222"/>
      <c r="EO27" s="222"/>
      <c r="EP27" s="222"/>
      <c r="EQ27" s="222"/>
      <c r="ER27" s="222"/>
      <c r="ES27" s="222"/>
      <c r="ET27" s="224"/>
      <c r="EU27" s="222"/>
      <c r="EV27" s="222"/>
      <c r="EW27" s="222"/>
      <c r="EX27" s="222"/>
      <c r="EY27" s="222"/>
      <c r="EZ27" s="222"/>
      <c r="FA27" s="222"/>
      <c r="FB27" s="222"/>
      <c r="FC27" s="222"/>
      <c r="FD27" s="222"/>
      <c r="FE27" s="223"/>
      <c r="FF27" s="196"/>
      <c r="FG27" s="196"/>
      <c r="FH27" s="221" t="s">
        <v>12</v>
      </c>
      <c r="FI27" s="222"/>
      <c r="FJ27" s="222"/>
      <c r="FK27" s="222"/>
      <c r="FL27" s="222"/>
      <c r="FM27" s="222"/>
      <c r="FN27" s="222"/>
      <c r="FO27" s="224"/>
      <c r="FP27" s="222"/>
      <c r="FQ27" s="222"/>
      <c r="FR27" s="222"/>
      <c r="FS27" s="222"/>
      <c r="FT27" s="222"/>
      <c r="FU27" s="222"/>
      <c r="FV27" s="222"/>
      <c r="FW27" s="222"/>
      <c r="FX27" s="222"/>
      <c r="FY27" s="222"/>
      <c r="FZ27" s="223"/>
      <c r="GA27" s="196"/>
      <c r="GD27" s="339"/>
      <c r="GE27" s="339"/>
      <c r="GF27" s="339"/>
      <c r="GG27" s="339"/>
      <c r="GH27" s="339"/>
      <c r="GI27" s="339"/>
      <c r="GJ27" s="339"/>
      <c r="GK27" s="339"/>
      <c r="GL27" s="339"/>
      <c r="GM27" s="339"/>
      <c r="GN27" s="339"/>
      <c r="GO27" s="339"/>
      <c r="GP27" s="339"/>
      <c r="GQ27" s="339"/>
      <c r="GR27" s="339"/>
      <c r="GS27" s="339"/>
      <c r="GT27" s="339"/>
      <c r="GU27" s="339"/>
      <c r="GV27" s="339"/>
      <c r="GW27" s="339"/>
      <c r="GX27" s="339"/>
      <c r="GY27" s="339"/>
      <c r="GZ27" s="339"/>
      <c r="HA27" s="339"/>
      <c r="HB27" s="339"/>
      <c r="HC27" s="339"/>
      <c r="HD27" s="339"/>
      <c r="HE27" s="339"/>
      <c r="HF27" s="339"/>
      <c r="HG27" s="339"/>
      <c r="HH27" s="339"/>
      <c r="HI27" s="339"/>
      <c r="HJ27" s="339"/>
      <c r="HK27" s="339"/>
      <c r="HL27" s="339"/>
      <c r="HM27" s="339"/>
      <c r="HN27" s="339"/>
      <c r="HO27" s="339"/>
      <c r="HP27" s="339"/>
      <c r="HQ27" s="339"/>
      <c r="HR27" s="339"/>
    </row>
    <row r="28" spans="1:238" ht="14.1" customHeight="1">
      <c r="B28" s="225"/>
      <c r="C28" s="304"/>
      <c r="D28" s="304"/>
      <c r="E28" s="304"/>
      <c r="F28" s="304"/>
      <c r="G28" s="304"/>
      <c r="H28" s="304"/>
      <c r="I28" s="304"/>
      <c r="J28" s="304"/>
      <c r="K28" s="166"/>
      <c r="L28" s="166"/>
      <c r="M28" s="166"/>
      <c r="N28" s="304"/>
      <c r="O28" s="304"/>
      <c r="P28" s="166"/>
      <c r="Q28" s="166"/>
      <c r="R28" s="304"/>
      <c r="S28" s="304"/>
      <c r="T28" s="304"/>
      <c r="U28" s="304"/>
      <c r="V28" s="304"/>
      <c r="W28" s="304"/>
      <c r="X28" s="166"/>
      <c r="Y28" s="166"/>
      <c r="Z28" s="305"/>
      <c r="AA28" s="63"/>
      <c r="AB28" s="63"/>
      <c r="AC28" s="63"/>
      <c r="AD28" s="63"/>
      <c r="AE28" s="63"/>
      <c r="AF28" s="63"/>
      <c r="AJ28" s="173" t="str">
        <f>VLOOKUP(AH27,Chema!BL:BR,7,FALSE)</f>
        <v/>
      </c>
      <c r="AL28" s="200"/>
      <c r="AM28" s="200" t="str">
        <f>IF(AK27="D",VLOOKUP(AJ28,'Matchblatt  FEUILLE DE MATCH'!AK:AS,8,FALSE),"")</f>
        <v/>
      </c>
      <c r="AN28" s="200"/>
      <c r="AO28" s="200"/>
      <c r="AP28" s="200"/>
      <c r="AQ28" s="200"/>
      <c r="AR28" s="200"/>
      <c r="AS28" s="200"/>
      <c r="AT28" s="200"/>
      <c r="AU28" s="200"/>
      <c r="AV28" s="200"/>
      <c r="AW28" s="200"/>
      <c r="AX28" s="200"/>
      <c r="AY28" s="200"/>
      <c r="AZ28" s="200"/>
      <c r="BA28" s="200" t="str">
        <f>IF(AK27="D",VLOOKUP(AJ28,'Matchblatt  FEUILLE DE MATCH'!AK:AS,9,FALSE),"")</f>
        <v/>
      </c>
      <c r="BB28" s="63"/>
      <c r="BC28" s="63"/>
      <c r="BD28" s="63"/>
      <c r="BE28" s="63"/>
      <c r="BF28" s="63"/>
      <c r="BG28" s="63"/>
      <c r="BH28" s="63"/>
      <c r="BK28" s="166" t="s">
        <v>7</v>
      </c>
      <c r="BL28" s="166" t="s">
        <v>12</v>
      </c>
      <c r="BM28" s="166"/>
      <c r="BN28" s="166" t="s">
        <v>7</v>
      </c>
      <c r="BO28" s="166" t="s">
        <v>12</v>
      </c>
      <c r="BP28" s="166"/>
      <c r="BQ28" s="226" t="s">
        <v>894</v>
      </c>
      <c r="BR28" s="227" t="s">
        <v>895</v>
      </c>
      <c r="BS28" s="228" t="s">
        <v>896</v>
      </c>
      <c r="BT28" s="229"/>
      <c r="BU28" s="226" t="s">
        <v>7</v>
      </c>
      <c r="BV28" s="166"/>
      <c r="BW28" s="166"/>
      <c r="BX28" s="230"/>
      <c r="BY28" s="166"/>
      <c r="BZ28" s="166"/>
      <c r="CA28" s="227"/>
      <c r="CB28" s="166"/>
      <c r="CC28" s="166"/>
      <c r="CD28" s="226" t="s">
        <v>12</v>
      </c>
      <c r="CE28" s="166"/>
      <c r="CF28" s="166"/>
      <c r="CG28" s="230"/>
      <c r="CH28" s="166"/>
      <c r="CI28" s="166"/>
      <c r="CJ28" s="227"/>
      <c r="CK28" s="166"/>
      <c r="CL28" s="166" t="s">
        <v>897</v>
      </c>
      <c r="CM28" s="166"/>
      <c r="CN28" s="166"/>
      <c r="CO28" s="166"/>
      <c r="CP28" s="166"/>
      <c r="CQ28" s="166"/>
      <c r="CR28" s="166"/>
      <c r="CS28" s="166"/>
      <c r="CT28" s="166"/>
      <c r="CU28" s="166" t="s">
        <v>843</v>
      </c>
      <c r="CV28" s="166"/>
      <c r="CW28" s="166" t="s">
        <v>843</v>
      </c>
      <c r="CX28" s="166"/>
      <c r="CY28" s="166"/>
      <c r="CZ28" s="166"/>
      <c r="DA28" s="166"/>
      <c r="DB28" s="166"/>
      <c r="DC28" s="166"/>
      <c r="DD28" s="166" t="s">
        <v>894</v>
      </c>
      <c r="DE28" s="166" t="s">
        <v>895</v>
      </c>
      <c r="DF28" s="166"/>
      <c r="DG28" s="166" t="s">
        <v>927</v>
      </c>
      <c r="DH28" s="166"/>
      <c r="DI28" s="166"/>
      <c r="DJ28" s="166"/>
      <c r="DK28" s="166"/>
      <c r="DL28" s="166"/>
      <c r="DM28" s="166"/>
      <c r="DN28" s="166" t="s">
        <v>928</v>
      </c>
      <c r="DO28" s="166" t="s">
        <v>929</v>
      </c>
      <c r="DP28" s="166"/>
      <c r="DQ28" s="166"/>
      <c r="DR28" s="166"/>
      <c r="DS28" s="166"/>
      <c r="DT28" s="166"/>
      <c r="DU28" s="166"/>
      <c r="DV28" s="166" t="s">
        <v>894</v>
      </c>
      <c r="DW28" s="166" t="s">
        <v>895</v>
      </c>
      <c r="DX28" s="166"/>
      <c r="DY28" s="166"/>
      <c r="DZ28" s="166"/>
      <c r="EA28" s="166"/>
      <c r="EB28" s="166"/>
      <c r="EC28" s="166"/>
      <c r="ED28" s="166" t="s">
        <v>894</v>
      </c>
      <c r="EE28" s="166" t="s">
        <v>895</v>
      </c>
      <c r="EF28" s="166"/>
      <c r="EG28" s="166"/>
      <c r="EH28" s="166"/>
      <c r="EI28" s="166"/>
      <c r="EJ28" s="166"/>
      <c r="EK28" s="166"/>
      <c r="EL28" s="166"/>
      <c r="EM28" s="166"/>
      <c r="EN28" s="166"/>
      <c r="EO28" s="166"/>
      <c r="EP28" s="166"/>
      <c r="EQ28" s="166"/>
      <c r="ER28" s="166"/>
      <c r="ES28" s="166"/>
      <c r="ET28" s="230"/>
      <c r="EU28" s="166"/>
      <c r="EV28" s="166"/>
      <c r="EW28" s="166"/>
      <c r="EX28" s="166"/>
      <c r="EY28" s="166"/>
      <c r="EZ28" s="166"/>
      <c r="FA28" s="166"/>
      <c r="FB28" s="166"/>
      <c r="FC28" s="166"/>
      <c r="FD28" s="166"/>
      <c r="FE28" s="166"/>
      <c r="FF28" s="166"/>
      <c r="FG28" s="166"/>
      <c r="FH28" s="166"/>
      <c r="FI28" s="166"/>
      <c r="FJ28" s="166"/>
      <c r="FK28" s="166"/>
      <c r="FL28" s="166"/>
      <c r="FM28" s="166"/>
      <c r="FN28" s="166"/>
      <c r="FO28" s="230"/>
      <c r="FP28" s="166"/>
      <c r="FQ28" s="166"/>
      <c r="FR28" s="166"/>
      <c r="FS28" s="166"/>
      <c r="FT28" s="166"/>
      <c r="FU28" s="166"/>
      <c r="FV28" s="166"/>
      <c r="FW28" s="166"/>
      <c r="FX28" s="166"/>
      <c r="FY28" s="166"/>
      <c r="FZ28" s="166"/>
      <c r="GA28" s="166"/>
      <c r="GD28" s="339"/>
      <c r="GE28" s="339"/>
      <c r="GF28" s="339"/>
      <c r="GG28" s="339"/>
      <c r="GH28" s="339"/>
      <c r="GI28" s="339"/>
      <c r="GJ28" s="339"/>
      <c r="GK28" s="339"/>
      <c r="GL28" s="339"/>
      <c r="GM28" s="339"/>
      <c r="GN28" s="339"/>
      <c r="GO28" s="339"/>
      <c r="GP28" s="339"/>
      <c r="GQ28" s="339"/>
      <c r="GR28" s="339"/>
      <c r="GS28" s="339"/>
      <c r="GT28" s="339"/>
      <c r="GU28" s="339"/>
      <c r="GV28" s="339"/>
      <c r="GW28" s="339"/>
      <c r="GX28" s="339"/>
      <c r="GY28" s="339"/>
      <c r="GZ28" s="339"/>
      <c r="HA28" s="339"/>
      <c r="HB28" s="339"/>
      <c r="HC28" s="339"/>
      <c r="HD28" s="339"/>
      <c r="HE28" s="339"/>
      <c r="HF28" s="339"/>
      <c r="HG28" s="339"/>
      <c r="HH28" s="339"/>
      <c r="HI28" s="339"/>
      <c r="HJ28" s="339"/>
      <c r="HK28" s="339"/>
      <c r="HL28" s="339"/>
      <c r="HM28" s="339"/>
      <c r="HN28" s="339"/>
      <c r="HO28" s="339"/>
      <c r="HP28" s="339"/>
      <c r="HQ28" s="339"/>
      <c r="HR28" s="339"/>
    </row>
    <row r="29" spans="1:238" s="234" customFormat="1" ht="20.100000000000001" customHeight="1">
      <c r="A29" s="235"/>
      <c r="B29" s="231"/>
      <c r="C29" s="232" t="str">
        <f>REPT(Sprache!$K$12,1)</f>
        <v>SPIEL</v>
      </c>
      <c r="D29" s="233" t="s">
        <v>869</v>
      </c>
      <c r="E29" s="233" t="str">
        <f>REPT(Sprache!$K$62,1)</f>
        <v>Punkte</v>
      </c>
      <c r="F29" s="233" t="str">
        <f>REPT(Sprache!$K$61,1)</f>
        <v>Rest</v>
      </c>
      <c r="G29" s="233" t="s">
        <v>898</v>
      </c>
      <c r="H29" s="233" t="s">
        <v>848</v>
      </c>
      <c r="I29" s="233">
        <v>180</v>
      </c>
      <c r="J29" s="233" t="str">
        <f>REPT(Sprache!$K$63,1)</f>
        <v>Fehler</v>
      </c>
      <c r="L29" s="306" t="s">
        <v>923</v>
      </c>
      <c r="M29" s="307"/>
      <c r="P29" s="306" t="s">
        <v>923</v>
      </c>
      <c r="R29" s="232" t="str">
        <f>REPT(Sprache!$K$12,1)</f>
        <v>SPIEL</v>
      </c>
      <c r="S29" s="233" t="s">
        <v>869</v>
      </c>
      <c r="T29" s="233" t="str">
        <f>REPT(Sprache!$K$62,1)</f>
        <v>Punkte</v>
      </c>
      <c r="U29" s="233" t="str">
        <f>REPT(Sprache!$K$61,1)</f>
        <v>Rest</v>
      </c>
      <c r="V29" s="233" t="s">
        <v>898</v>
      </c>
      <c r="W29" s="233" t="s">
        <v>848</v>
      </c>
      <c r="X29" s="233">
        <v>180</v>
      </c>
      <c r="Y29" s="233" t="str">
        <f>REPT(Sprache!$K$63,1)</f>
        <v>Fehler</v>
      </c>
      <c r="Z29" s="308"/>
      <c r="AD29" s="235"/>
      <c r="AE29" s="236" t="s">
        <v>966</v>
      </c>
      <c r="AF29" s="236" t="s">
        <v>967</v>
      </c>
      <c r="AG29" s="236" t="s">
        <v>965</v>
      </c>
      <c r="AH29" s="237" t="str">
        <f>LEFT($BM$6,10)</f>
        <v/>
      </c>
      <c r="AI29" s="237" t="str">
        <f>LEFT($BN$6,10)</f>
        <v/>
      </c>
      <c r="AJ29" s="237" t="s">
        <v>898</v>
      </c>
      <c r="AK29" s="237" t="s">
        <v>848</v>
      </c>
      <c r="AL29" s="237">
        <v>180</v>
      </c>
      <c r="AM29" s="237" t="str">
        <f>LEFT($BL$6,50)</f>
        <v/>
      </c>
      <c r="AN29" s="235"/>
      <c r="AO29" s="235"/>
      <c r="AP29" s="235"/>
      <c r="AQ29" s="235"/>
      <c r="AR29" s="235"/>
      <c r="AS29" s="235"/>
      <c r="AT29" s="235"/>
      <c r="AU29" s="235"/>
      <c r="AV29" s="237" t="str">
        <f>LEFT($BM$6,10)</f>
        <v/>
      </c>
      <c r="AW29" s="237" t="str">
        <f>LEFT($BN$6,10)</f>
        <v/>
      </c>
      <c r="AX29" s="237" t="s">
        <v>898</v>
      </c>
      <c r="AY29" s="237" t="s">
        <v>848</v>
      </c>
      <c r="AZ29" s="237">
        <v>180</v>
      </c>
      <c r="BA29" s="237" t="str">
        <f>LEFT($BL$6,50)</f>
        <v/>
      </c>
      <c r="BI29" s="238"/>
      <c r="BJ29" s="238"/>
      <c r="BK29" s="238" t="s">
        <v>165</v>
      </c>
      <c r="BL29" s="238" t="s">
        <v>165</v>
      </c>
      <c r="BM29" s="239" t="s">
        <v>165</v>
      </c>
      <c r="BN29" s="239" t="s">
        <v>899</v>
      </c>
      <c r="BO29" s="239" t="s">
        <v>899</v>
      </c>
      <c r="BP29" s="239" t="s">
        <v>900</v>
      </c>
      <c r="BQ29" s="240" t="s">
        <v>901</v>
      </c>
      <c r="BR29" s="241"/>
      <c r="BS29" s="242" t="s">
        <v>926</v>
      </c>
      <c r="BT29" s="243"/>
      <c r="BU29" s="242" t="s">
        <v>902</v>
      </c>
      <c r="BV29" s="238"/>
      <c r="BW29" s="238"/>
      <c r="BX29" s="244"/>
      <c r="BY29" s="238"/>
      <c r="BZ29" s="238" t="s">
        <v>903</v>
      </c>
      <c r="CA29" s="243" t="s">
        <v>904</v>
      </c>
      <c r="CB29" s="238"/>
      <c r="CC29" s="238"/>
      <c r="CD29" s="242" t="s">
        <v>902</v>
      </c>
      <c r="CE29" s="238"/>
      <c r="CF29" s="238"/>
      <c r="CG29" s="244"/>
      <c r="CH29" s="238"/>
      <c r="CI29" s="238" t="s">
        <v>903</v>
      </c>
      <c r="CJ29" s="243" t="s">
        <v>904</v>
      </c>
      <c r="CK29" s="238"/>
      <c r="CL29" s="245" t="s">
        <v>905</v>
      </c>
      <c r="CM29" s="245" t="s">
        <v>906</v>
      </c>
      <c r="CN29" s="245" t="s">
        <v>907</v>
      </c>
      <c r="CO29" s="245" t="s">
        <v>908</v>
      </c>
      <c r="CP29" s="245" t="s">
        <v>909</v>
      </c>
      <c r="CQ29" s="246" t="s">
        <v>910</v>
      </c>
      <c r="CR29" s="247"/>
      <c r="CS29" s="246" t="s">
        <v>911</v>
      </c>
      <c r="CT29" s="248"/>
      <c r="CU29" s="246" t="s">
        <v>912</v>
      </c>
      <c r="CV29" s="248"/>
      <c r="CW29" s="246" t="s">
        <v>913</v>
      </c>
      <c r="CX29" s="248"/>
      <c r="CY29" s="238"/>
      <c r="CZ29" s="238"/>
      <c r="DA29" s="238"/>
      <c r="DB29" s="238"/>
      <c r="DC29" s="249" t="s">
        <v>165</v>
      </c>
      <c r="DD29" s="249" t="s">
        <v>165</v>
      </c>
      <c r="DE29" s="249" t="s">
        <v>165</v>
      </c>
      <c r="DF29" s="238"/>
      <c r="DG29" s="238" t="s">
        <v>914</v>
      </c>
      <c r="DH29" s="238" t="s">
        <v>930</v>
      </c>
      <c r="DI29" s="238" t="s">
        <v>931</v>
      </c>
      <c r="DK29" s="238" t="s">
        <v>932</v>
      </c>
      <c r="DL29" s="238" t="s">
        <v>933</v>
      </c>
      <c r="DM29" s="238" t="s">
        <v>869</v>
      </c>
      <c r="DN29" s="230" t="s">
        <v>915</v>
      </c>
      <c r="DO29" s="250" t="s">
        <v>915</v>
      </c>
      <c r="DP29" s="322" t="s">
        <v>934</v>
      </c>
      <c r="DQ29" s="238"/>
      <c r="DR29" s="166" t="s">
        <v>894</v>
      </c>
      <c r="DS29" s="166" t="s">
        <v>895</v>
      </c>
      <c r="DT29" s="166" t="s">
        <v>935</v>
      </c>
      <c r="DU29" s="166" t="s">
        <v>936</v>
      </c>
      <c r="DV29" s="251" t="s">
        <v>165</v>
      </c>
      <c r="DW29" s="251" t="s">
        <v>165</v>
      </c>
      <c r="DX29" s="238" t="s">
        <v>916</v>
      </c>
      <c r="DY29" s="238"/>
      <c r="DZ29" s="238"/>
      <c r="EA29" s="238"/>
      <c r="EB29" s="238"/>
      <c r="EC29" s="238"/>
      <c r="ED29" s="251" t="s">
        <v>165</v>
      </c>
      <c r="EE29" s="251" t="s">
        <v>165</v>
      </c>
      <c r="EF29" s="166"/>
      <c r="EG29" s="238"/>
      <c r="EH29" s="238"/>
      <c r="EI29" s="238"/>
      <c r="EJ29" s="238"/>
      <c r="EK29" s="238"/>
      <c r="EL29" s="238"/>
      <c r="EM29" s="238"/>
      <c r="EN29" s="238"/>
      <c r="EO29" s="246" t="s">
        <v>917</v>
      </c>
      <c r="EP29" s="247"/>
      <c r="EQ29" s="247"/>
      <c r="ER29" s="247"/>
      <c r="ES29" s="247"/>
      <c r="ET29" s="252"/>
      <c r="EU29" s="248"/>
      <c r="EV29" s="246" t="s">
        <v>918</v>
      </c>
      <c r="EW29" s="247"/>
      <c r="EX29" s="248"/>
      <c r="EY29" s="251" t="s">
        <v>165</v>
      </c>
      <c r="EZ29" s="246" t="s">
        <v>919</v>
      </c>
      <c r="FA29" s="247"/>
      <c r="FB29" s="248"/>
      <c r="FC29" s="246" t="s">
        <v>920</v>
      </c>
      <c r="FD29" s="247"/>
      <c r="FE29" s="248"/>
      <c r="FF29" s="238"/>
      <c r="FG29" s="238"/>
      <c r="FH29" s="238"/>
      <c r="FI29" s="238"/>
      <c r="FJ29" s="246" t="s">
        <v>917</v>
      </c>
      <c r="FK29" s="247"/>
      <c r="FL29" s="247"/>
      <c r="FM29" s="247"/>
      <c r="FN29" s="247"/>
      <c r="FO29" s="252"/>
      <c r="FP29" s="248"/>
      <c r="FQ29" s="246" t="s">
        <v>918</v>
      </c>
      <c r="FR29" s="247"/>
      <c r="FS29" s="248"/>
      <c r="FT29" s="251" t="s">
        <v>165</v>
      </c>
      <c r="FU29" s="246" t="s">
        <v>919</v>
      </c>
      <c r="FV29" s="247"/>
      <c r="FW29" s="248"/>
      <c r="FX29" s="246" t="s">
        <v>920</v>
      </c>
      <c r="FY29" s="247"/>
      <c r="FZ29" s="248"/>
      <c r="GD29" s="340"/>
      <c r="GE29" s="340"/>
      <c r="GF29" s="341" t="s">
        <v>968</v>
      </c>
      <c r="GG29" s="340"/>
      <c r="GH29" s="340"/>
      <c r="GI29" s="340"/>
      <c r="GJ29" s="341" t="s">
        <v>972</v>
      </c>
      <c r="GK29" s="340"/>
      <c r="GL29" s="340"/>
      <c r="GM29" s="340"/>
      <c r="GN29" s="341" t="s">
        <v>971</v>
      </c>
      <c r="GO29" s="340"/>
      <c r="GP29" s="340"/>
      <c r="GQ29" s="340"/>
      <c r="GR29" s="341" t="s">
        <v>970</v>
      </c>
      <c r="GS29" s="340"/>
      <c r="GT29" s="340"/>
      <c r="GU29" s="340"/>
      <c r="GV29" s="341" t="s">
        <v>969</v>
      </c>
      <c r="GW29" s="340"/>
      <c r="GX29" s="340"/>
      <c r="GY29" s="340"/>
      <c r="GZ29" s="342" t="s">
        <v>973</v>
      </c>
      <c r="HA29" s="340"/>
      <c r="HB29" s="340"/>
      <c r="HC29" s="340"/>
      <c r="HD29" s="342" t="s">
        <v>974</v>
      </c>
      <c r="HE29" s="340"/>
      <c r="HF29" s="340"/>
      <c r="HG29" s="340"/>
      <c r="HH29" s="340"/>
      <c r="HI29" s="340"/>
      <c r="HJ29" s="340"/>
      <c r="HK29" s="340"/>
      <c r="HL29" s="340"/>
      <c r="HM29" s="341"/>
      <c r="HN29" s="341"/>
      <c r="HO29" s="341"/>
      <c r="HP29" s="341"/>
      <c r="HQ29" s="341"/>
      <c r="HR29" s="341"/>
      <c r="HS29" s="238"/>
      <c r="HT29" s="238"/>
      <c r="HU29" s="238"/>
      <c r="HV29" s="238"/>
      <c r="HX29" s="238"/>
      <c r="HY29" s="238"/>
      <c r="HZ29" s="238"/>
      <c r="ID29" s="238"/>
    </row>
    <row r="30" spans="1:238" s="234" customFormat="1" ht="20.100000000000001" customHeight="1">
      <c r="A30" s="235"/>
      <c r="B30" s="231">
        <f>COUNT(AJ31,AJ30)</f>
        <v>0</v>
      </c>
      <c r="C30" s="325" t="str">
        <f>CONCATENATE(BG30,BE30)</f>
        <v>HS</v>
      </c>
      <c r="D30" s="253" t="str">
        <f>REPT(DN30,1)</f>
        <v>1</v>
      </c>
      <c r="E30" s="254" t="str">
        <f>REPT(AH30,1)</f>
        <v/>
      </c>
      <c r="F30" s="168"/>
      <c r="G30" s="168"/>
      <c r="H30" s="168"/>
      <c r="I30" s="169"/>
      <c r="J30" s="255" t="str">
        <f>REPT(AM30,1)</f>
        <v/>
      </c>
      <c r="L30" s="309">
        <f>SUM(BS39)</f>
        <v>0</v>
      </c>
      <c r="M30" s="238"/>
      <c r="N30" s="255" t="str">
        <f>REPT(AP30,1)</f>
        <v/>
      </c>
      <c r="P30" s="309">
        <f>SUM(CF39)</f>
        <v>0</v>
      </c>
      <c r="Q30" s="310"/>
      <c r="R30" s="323" t="str">
        <f>CONCATENATE(BH30,BE30)</f>
        <v>GS</v>
      </c>
      <c r="S30" s="253" t="str">
        <f>REPT(DO30,1)</f>
        <v>1</v>
      </c>
      <c r="T30" s="254" t="str">
        <f>REPT(AV30,1)</f>
        <v/>
      </c>
      <c r="U30" s="168"/>
      <c r="V30" s="168"/>
      <c r="W30" s="168"/>
      <c r="X30" s="169"/>
      <c r="Y30" s="255" t="str">
        <f>REPT(BA30,1)</f>
        <v/>
      </c>
      <c r="Z30" s="308"/>
      <c r="AB30" s="234">
        <f>IF(AY30="",0,IF(AY30&lt;2,1,""))</f>
        <v>0</v>
      </c>
      <c r="AC30" s="238">
        <f>IF(AD30=1,1,IF(AD30=3,1,IF(AD30=2,0,IF(AD30=0,0,0))))</f>
        <v>0</v>
      </c>
      <c r="AD30" s="256">
        <f>SUM(AE30:AG30)</f>
        <v>0</v>
      </c>
      <c r="AE30" s="256">
        <f t="shared" ref="AE30:AE34" si="32">IF(F30="",0,1)</f>
        <v>0</v>
      </c>
      <c r="AF30" s="256">
        <f t="shared" ref="AF30:AF34" si="33">IF(G30="",0,1)</f>
        <v>0</v>
      </c>
      <c r="AG30" s="256">
        <f>IF(H30="",0,1)</f>
        <v>0</v>
      </c>
      <c r="AH30" s="257" t="str">
        <f>IF(AK30="",IF(AI30="","",IF(AI30="",501,501-AI30)),501)</f>
        <v/>
      </c>
      <c r="AI30" s="256" t="str">
        <f>IF(F30&gt;1,F30,IF(F30=0,"",IF(F30="","","")))</f>
        <v/>
      </c>
      <c r="AJ30" s="256" t="str">
        <f>IF(G30&gt;8,G30,IF(G30="","",""))</f>
        <v/>
      </c>
      <c r="AK30" s="256" t="str">
        <f>IF(H30&gt;1,H30,IF(H30="","",""))</f>
        <v/>
      </c>
      <c r="AL30" s="256" t="str">
        <f>IF(I30&gt;0,I30,IF(I30="","",""))</f>
        <v/>
      </c>
      <c r="AM30" s="258" t="str">
        <f>IF(BK30=0,"","X")</f>
        <v/>
      </c>
      <c r="AN30" s="237"/>
      <c r="AO30" s="237"/>
      <c r="AP30" s="258" t="str">
        <f>IF(BM30=0,"","X")</f>
        <v/>
      </c>
      <c r="AQ30" s="236">
        <f>IF(AR30=1,1,IF(AR30=3,1,IF(AR30=2,0,IF(AR30=0,0,0))))</f>
        <v>0</v>
      </c>
      <c r="AR30" s="256">
        <f>SUM(AS30:AU30)</f>
        <v>0</v>
      </c>
      <c r="AS30" s="256">
        <f t="shared" ref="AS30:AS34" si="34">IF(U30="",0,1)</f>
        <v>0</v>
      </c>
      <c r="AT30" s="256">
        <f t="shared" ref="AT30:AT34" si="35">IF(V30="",0,1)</f>
        <v>0</v>
      </c>
      <c r="AU30" s="256">
        <f>IF(W30="",0,1)</f>
        <v>0</v>
      </c>
      <c r="AV30" s="257" t="str">
        <f>IF(AY30="",IF(AW30="","",IF(AW30="",501,501-AW30)),501)</f>
        <v/>
      </c>
      <c r="AW30" s="256" t="str">
        <f>IF(U30&gt;1,U30,IF(U30=0,"",IF(U30="","","")))</f>
        <v/>
      </c>
      <c r="AX30" s="256" t="str">
        <f>IF(V30&gt;8,V30,IF(V30="","",""))</f>
        <v/>
      </c>
      <c r="AY30" s="256" t="str">
        <f>IF(W30&gt;1,W30,IF(W30="","",""))</f>
        <v/>
      </c>
      <c r="AZ30" s="256" t="str">
        <f>IF(X30&gt;0,X30,IF(X30="","",""))</f>
        <v/>
      </c>
      <c r="BA30" s="258" t="str">
        <f>IF(BL30=0,"","X")</f>
        <v/>
      </c>
      <c r="BF30" s="238" t="s">
        <v>894</v>
      </c>
      <c r="BG30" s="238" t="str">
        <f>CONCATENATE(BF30,AK27)</f>
        <v>HS</v>
      </c>
      <c r="BH30" s="238" t="str">
        <f>CONCATENATE(BI30,AK27)</f>
        <v>GS</v>
      </c>
      <c r="BI30" s="238" t="s">
        <v>895</v>
      </c>
      <c r="BJ30" s="238"/>
      <c r="BK30" s="251">
        <f>SUM(DD30,DV30,EY30,ED30,FF30,BQ30,BS30,AC30)</f>
        <v>0</v>
      </c>
      <c r="BL30" s="251">
        <f>SUM(DE30,DW30,EE30,FT30,GA30,BR30,BT30,AQ30)</f>
        <v>0</v>
      </c>
      <c r="BM30" s="259">
        <f>SUM(DC30,BK30:BL30,AC30,AQ30)</f>
        <v>0</v>
      </c>
      <c r="BN30" s="239">
        <f>COUNT(AK30)</f>
        <v>0</v>
      </c>
      <c r="BO30" s="239">
        <f>COUNT(AY30)</f>
        <v>0</v>
      </c>
      <c r="BP30" s="239">
        <f>IF(BN32=0,0,1)</f>
        <v>0</v>
      </c>
      <c r="BQ30" s="260">
        <f>IF(AL30="",0,IF(AL30&gt;2,1,0))</f>
        <v>0</v>
      </c>
      <c r="BR30" s="261">
        <f>IF(AZ30="",0,IF(AZ30&gt;2,1,0))</f>
        <v>0</v>
      </c>
      <c r="BS30" s="262">
        <f>IF(AJ30=9,IF(AK30&lt;141,1,0),0)</f>
        <v>0</v>
      </c>
      <c r="BT30" s="263">
        <f>IF(AX30=9,IF(AY30&lt;141,1,0),0)</f>
        <v>0</v>
      </c>
      <c r="BU30" s="242">
        <f>IF(H30,G30,0)</f>
        <v>0</v>
      </c>
      <c r="BV30" s="238">
        <f>IF(BU30&gt;0,AJ30/3,0)</f>
        <v>0</v>
      </c>
      <c r="BW30" s="238">
        <f>ROUNDUP(BV30,0)</f>
        <v>0</v>
      </c>
      <c r="BX30" s="244">
        <f>IF(MOD(BW30,2)=0,BW30,BW30+1)</f>
        <v>0</v>
      </c>
      <c r="BY30" s="238">
        <f>IF(AJ30&lt;9,"",SUM(BX30-BW30))</f>
        <v>0</v>
      </c>
      <c r="BZ30" s="238">
        <f>IF(BY30=1,AK30,0)</f>
        <v>0</v>
      </c>
      <c r="CA30" s="243" t="str">
        <f>IF(BY30=0,AK30,0)</f>
        <v/>
      </c>
      <c r="CB30" s="238"/>
      <c r="CC30" s="238"/>
      <c r="CD30" s="242">
        <f>IF(W30,V30,0)</f>
        <v>0</v>
      </c>
      <c r="CE30" s="238">
        <f>IF(CD30&gt;0,AX30/3,0)</f>
        <v>0</v>
      </c>
      <c r="CF30" s="238">
        <f>ROUNDUP(CE30,0)</f>
        <v>0</v>
      </c>
      <c r="CG30" s="244">
        <f>IF(MOD(CF30,2)=0,CF30,CF30+1)</f>
        <v>0</v>
      </c>
      <c r="CH30" s="238">
        <f>IF(AX30&lt;9,"",SUM(CG30-CF30))</f>
        <v>0</v>
      </c>
      <c r="CI30" s="238">
        <f>IF(CH30=1,AY30,0)</f>
        <v>0</v>
      </c>
      <c r="CJ30" s="243" t="str">
        <f>IF(CH30=0,AY30,0)</f>
        <v/>
      </c>
      <c r="CK30" s="238"/>
      <c r="CL30" s="245">
        <f>IF(COUNT(F30,H30)=1,0,1)</f>
        <v>1</v>
      </c>
      <c r="CM30" s="245">
        <f>IF(COUNT(F30,U30)=1,0,1)</f>
        <v>1</v>
      </c>
      <c r="CN30" s="245">
        <f>IF(COUNT(H30,W30)=1,0,1)</f>
        <v>1</v>
      </c>
      <c r="CO30" s="245">
        <f>IF(COUNT(G30,V30)=2,0,1)</f>
        <v>1</v>
      </c>
      <c r="CP30" s="245">
        <f>IF(COUNT(U30,W30)=1,0,1)</f>
        <v>1</v>
      </c>
      <c r="CQ30" s="245">
        <f>IF(SUM(G30-V30)&gt;3,1,0)</f>
        <v>0</v>
      </c>
      <c r="CR30" s="245">
        <f>IF(SUM(G30-V30)&lt;-3,1,0)</f>
        <v>0</v>
      </c>
      <c r="CS30" s="264">
        <f>IF(AJ30=9,IF(AH30&lt;141,1,0),IF(AH30="",0,IF(AH30&gt;1,0,1)))</f>
        <v>0</v>
      </c>
      <c r="CT30" s="264">
        <f>IF(AX30=9,IF(AV30&lt;141,1,0),IF(AV30="",0,IF(AV30&gt;1,0,1)))</f>
        <v>0</v>
      </c>
      <c r="CU30" s="264">
        <f>IF(AI30="",0,IF(AI30&lt;502,0,1))</f>
        <v>0</v>
      </c>
      <c r="CV30" s="264">
        <f>IF(AW30="",0,IF(AW30&lt;502,0,1))</f>
        <v>0</v>
      </c>
      <c r="CW30" s="264">
        <f>IF(AI30="",IF(AJ30&lt;9,1,0),IF(AJ30&lt;9,1,0))</f>
        <v>0</v>
      </c>
      <c r="CX30" s="264">
        <f>IF(AW30="",IF(AX30&lt;9,1,0),IF(AX30&lt;9,1,0))</f>
        <v>0</v>
      </c>
      <c r="CY30" s="374"/>
      <c r="CZ30" s="374"/>
      <c r="DA30" s="374"/>
      <c r="DB30" s="374"/>
      <c r="DC30" s="265">
        <f>IF(AJ30="",0,SUM(CL30:CX30))</f>
        <v>0</v>
      </c>
      <c r="DD30" s="265">
        <f>IF(AJ30="",0,SUM(CL30,CS30,CU30,CW30))</f>
        <v>0</v>
      </c>
      <c r="DE30" s="265">
        <f>IF(AJ30="",0,SUM(CP30,CT30,CV30,CX30))</f>
        <v>0</v>
      </c>
      <c r="DF30" s="238"/>
      <c r="DG30" s="248" t="str">
        <f>IF(G30="","",SUM(G30-V30))</f>
        <v/>
      </c>
      <c r="DH30" s="245">
        <f>IF(F30="",0,1)</f>
        <v>0</v>
      </c>
      <c r="DI30" s="245" t="str">
        <f>IF(DG30=0,DH30,DG30)</f>
        <v/>
      </c>
      <c r="DJ30" s="245" t="e">
        <f>SIGN(DI30)</f>
        <v>#VALUE!</v>
      </c>
      <c r="DK30" s="245" t="str">
        <f>IF(G30="","",IF(DJ30=1,"*",""))</f>
        <v/>
      </c>
      <c r="DL30" s="245" t="str">
        <f>IF(G30="","",IF(DJ30=-1,"*",IF(DJ30=0,"*","")))</f>
        <v/>
      </c>
      <c r="DM30" s="245">
        <v>1</v>
      </c>
      <c r="DN30" s="245" t="str">
        <f>CONCATENATE(DM30,DK30)</f>
        <v>1</v>
      </c>
      <c r="DO30" s="245" t="str">
        <f>CONCATENATE(DM30,DL30)</f>
        <v>1</v>
      </c>
      <c r="DP30" s="245">
        <f>IF(DK30="*",1,0)</f>
        <v>0</v>
      </c>
      <c r="DQ30" s="245">
        <f>IF(DL30="*",1,0)</f>
        <v>0</v>
      </c>
      <c r="DR30" s="245"/>
      <c r="DS30" s="245"/>
      <c r="DT30" s="245"/>
      <c r="DU30" s="245"/>
      <c r="DV30" s="266"/>
      <c r="DW30" s="266"/>
      <c r="DX30" s="238">
        <f>IF(AK30="",0,1)</f>
        <v>0</v>
      </c>
      <c r="DY30" s="238">
        <f>IF(DG30=-3,1,0)</f>
        <v>0</v>
      </c>
      <c r="DZ30" s="238">
        <f>SUM(DX30:DY30)</f>
        <v>0</v>
      </c>
      <c r="EA30" s="238">
        <f>IF(AK30="",1,0)</f>
        <v>1</v>
      </c>
      <c r="EB30" s="238">
        <f>IF(DG30=3,1,0)</f>
        <v>0</v>
      </c>
      <c r="EC30" s="238">
        <f>SUM(EA30:EB30)</f>
        <v>1</v>
      </c>
      <c r="ED30" s="267">
        <f>IF(EC30=2,1,0)</f>
        <v>0</v>
      </c>
      <c r="EE30" s="267">
        <f>IF(DZ30=2,1,0)</f>
        <v>0</v>
      </c>
      <c r="EG30" s="166"/>
      <c r="EH30" s="238"/>
      <c r="EI30" s="238"/>
      <c r="EJ30" s="238"/>
      <c r="EK30" s="238"/>
      <c r="EL30" s="238"/>
      <c r="EM30" s="245">
        <f>IF(AK30="",0,1)</f>
        <v>0</v>
      </c>
      <c r="EN30" s="245">
        <f>SUM(AK30)</f>
        <v>0</v>
      </c>
      <c r="EO30" s="268">
        <f>SUM(AJ30)</f>
        <v>0</v>
      </c>
      <c r="EP30" s="268">
        <f>SUM(G30/3)</f>
        <v>0</v>
      </c>
      <c r="EQ30" s="268" t="e">
        <f>SUM(EO30/EP30)</f>
        <v>#DIV/0!</v>
      </c>
      <c r="ER30" s="268">
        <f>ROUNDDOWN(EP30,0)</f>
        <v>0</v>
      </c>
      <c r="ES30" s="268">
        <f>SUM(EO30,-ER30*3)</f>
        <v>0</v>
      </c>
      <c r="ET30" s="269" t="b">
        <f>MOD(EN30/1,2)=0</f>
        <v>1</v>
      </c>
      <c r="EU30" s="245">
        <f>IF(ET30=FALSE,1,0)</f>
        <v>0</v>
      </c>
      <c r="EV30" s="245">
        <f>IF(EN30=50,0,IF(EN30&lt;40,1,0))</f>
        <v>1</v>
      </c>
      <c r="EW30" s="245">
        <f>SUM(EU30:EV30)</f>
        <v>1</v>
      </c>
      <c r="EX30" s="267">
        <f>IF(EN30=1,1,IF(EN30=50,0,IF(ES30=1,IF(EN30&gt;40,1,0),0)))</f>
        <v>0</v>
      </c>
      <c r="EY30" s="267">
        <f>IF(ES30=1,IF(EW30=2,1,0),0)+EX30+FB30+FE30</f>
        <v>0</v>
      </c>
      <c r="EZ30" s="245">
        <f>IF(EN30=109,1,IF(EN30=108,1,IF(EN30=106,1,IF(EN30=105,1,IF(EN30=103,1,IF(EN30=102,1,IF(EN30=99,1,0)))))))</f>
        <v>0</v>
      </c>
      <c r="FA30" s="245">
        <f>IF(EN30&gt;110,1,0)</f>
        <v>0</v>
      </c>
      <c r="FB30" s="267">
        <f>IF(ES30=2,SUM(EZ30:FA30),0)</f>
        <v>0</v>
      </c>
      <c r="FC30" s="245">
        <f>IF(EN30=159,1,IF(EN30=162,1,IF(EN30=163,1,IF(EN30=165,1,IF(EN30=166,1,IF(EN30=168,1,IF(EN30=169,1,0)))))))</f>
        <v>0</v>
      </c>
      <c r="FD30" s="245">
        <f>IF(EN30&gt;170,1,0)</f>
        <v>0</v>
      </c>
      <c r="FE30" s="267">
        <f>IF(ES30=0,SUM(FC30:FD30),0)</f>
        <v>0</v>
      </c>
      <c r="FF30" s="251">
        <f>IF(AJ30="",0,IF(AI30="",0,IF(EO30/ER30-3=0,0,1)))</f>
        <v>0</v>
      </c>
      <c r="FG30" s="238"/>
      <c r="FH30" s="245">
        <f>IF(AY30="",0,1)</f>
        <v>0</v>
      </c>
      <c r="FI30" s="245">
        <f>SUM(AY30)</f>
        <v>0</v>
      </c>
      <c r="FJ30" s="268">
        <f>SUM(AX30)</f>
        <v>0</v>
      </c>
      <c r="FK30" s="268">
        <f>SUM(V30/3)</f>
        <v>0</v>
      </c>
      <c r="FL30" s="268" t="e">
        <f>SUM(FJ30/FK30)</f>
        <v>#DIV/0!</v>
      </c>
      <c r="FM30" s="268">
        <f>ROUNDDOWN(FK30,0)</f>
        <v>0</v>
      </c>
      <c r="FN30" s="268">
        <f>SUM(FJ30,-FM30*3)</f>
        <v>0</v>
      </c>
      <c r="FO30" s="269" t="b">
        <f>MOD(FI30/1,2)=0</f>
        <v>1</v>
      </c>
      <c r="FP30" s="245">
        <f>IF(FO30=FALSE,1,0)</f>
        <v>0</v>
      </c>
      <c r="FQ30" s="245">
        <f>IF(FI30=50,0,IF(FI30&lt;40,1,0))</f>
        <v>1</v>
      </c>
      <c r="FR30" s="245">
        <f>SUM(FP30:FQ30)</f>
        <v>1</v>
      </c>
      <c r="FS30" s="267">
        <f>IF(FI30=1,1,IF(FI30=50,0,IF(FN30=1,IF(FI30&gt;40,1,0),0)))</f>
        <v>0</v>
      </c>
      <c r="FT30" s="267">
        <f>IF(FN30=1,IF(FR30=2,1,0),0)+FS30+FW30+FZ30</f>
        <v>0</v>
      </c>
      <c r="FU30" s="245">
        <f>IF(FI30=109,1,IF(FI30=108,1,IF(FI30=106,1,IF(FI30=105,1,IF(FI30=103,1,IF(FI30=102,1,IF(FI30=99,1,0)))))))</f>
        <v>0</v>
      </c>
      <c r="FV30" s="245">
        <f>IF(FI30&gt;110,1,0)</f>
        <v>0</v>
      </c>
      <c r="FW30" s="267">
        <f>IF(FN30=2,SUM(FU30:FV30),0)</f>
        <v>0</v>
      </c>
      <c r="FX30" s="245">
        <f>IF(FI30=159,1,IF(FI30=162,1,IF(FI30=163,1,IF(FI30=165,1,IF(FI30=166,1,IF(FI30=168,1,IF(FI30=169,1,0)))))))</f>
        <v>0</v>
      </c>
      <c r="FY30" s="245">
        <f>IF(FI30&gt;170,1,0)</f>
        <v>0</v>
      </c>
      <c r="FZ30" s="267">
        <f>IF(FN30=0,SUM(FX30:FY30),0)</f>
        <v>0</v>
      </c>
      <c r="GA30" s="251">
        <f>IF(AX30="",0,IF(AW30="",0,IF(FJ30/FM30-3=0,0,1)))</f>
        <v>0</v>
      </c>
      <c r="GD30" s="341">
        <f>IF(AK27="D",1,0)</f>
        <v>0</v>
      </c>
      <c r="GE30" s="343"/>
      <c r="GF30" s="343" t="s">
        <v>866</v>
      </c>
      <c r="GG30" s="343" t="s">
        <v>868</v>
      </c>
      <c r="GH30" s="343" t="s">
        <v>848</v>
      </c>
      <c r="GI30" s="343">
        <v>180</v>
      </c>
      <c r="GJ30" s="343" t="s">
        <v>866</v>
      </c>
      <c r="GK30" s="343" t="s">
        <v>868</v>
      </c>
      <c r="GL30" s="343" t="s">
        <v>848</v>
      </c>
      <c r="GM30" s="343">
        <v>180</v>
      </c>
      <c r="GN30" s="343" t="s">
        <v>866</v>
      </c>
      <c r="GO30" s="343" t="s">
        <v>868</v>
      </c>
      <c r="GP30" s="343" t="s">
        <v>848</v>
      </c>
      <c r="GQ30" s="343">
        <v>180</v>
      </c>
      <c r="GR30" s="343" t="s">
        <v>866</v>
      </c>
      <c r="GS30" s="343" t="s">
        <v>868</v>
      </c>
      <c r="GT30" s="343" t="s">
        <v>848</v>
      </c>
      <c r="GU30" s="343">
        <v>180</v>
      </c>
      <c r="GV30" s="343" t="s">
        <v>866</v>
      </c>
      <c r="GW30" s="343" t="s">
        <v>868</v>
      </c>
      <c r="GX30" s="343" t="s">
        <v>848</v>
      </c>
      <c r="GY30" s="343">
        <v>180</v>
      </c>
      <c r="GZ30" s="343" t="s">
        <v>866</v>
      </c>
      <c r="HA30" s="343" t="s">
        <v>868</v>
      </c>
      <c r="HB30" s="343" t="s">
        <v>848</v>
      </c>
      <c r="HC30" s="343">
        <v>180</v>
      </c>
      <c r="HD30" s="343" t="s">
        <v>866</v>
      </c>
      <c r="HE30" s="343" t="s">
        <v>868</v>
      </c>
      <c r="HF30" s="341" t="s">
        <v>975</v>
      </c>
      <c r="HG30" s="341" t="s">
        <v>976</v>
      </c>
      <c r="HH30" s="341" t="s">
        <v>899</v>
      </c>
      <c r="HJ30" s="238"/>
      <c r="HK30" s="238"/>
      <c r="HL30" s="238"/>
      <c r="HM30" s="238">
        <f>COUNT(HI31,HJ31,HK31,HL31,HM31)</f>
        <v>0</v>
      </c>
      <c r="HN30" s="341"/>
      <c r="HO30" s="341"/>
      <c r="HP30" s="341"/>
      <c r="HQ30" s="341"/>
      <c r="HR30" s="341"/>
      <c r="HS30" s="238"/>
      <c r="HT30" s="238"/>
      <c r="HU30" s="238"/>
      <c r="HV30" s="238"/>
      <c r="HX30" s="238"/>
      <c r="HY30" s="238"/>
      <c r="ID30" s="238"/>
    </row>
    <row r="31" spans="1:238" s="234" customFormat="1" ht="20.100000000000001" customHeight="1">
      <c r="A31" s="235"/>
      <c r="B31" s="231">
        <f>COUNT(AJ32,AJ31)</f>
        <v>0</v>
      </c>
      <c r="C31" s="326">
        <f>IF(DK30="*",AJ27,AI27)</f>
        <v>1.2</v>
      </c>
      <c r="D31" s="253" t="str">
        <f>REPT(DN31,1)</f>
        <v>2</v>
      </c>
      <c r="E31" s="254" t="str">
        <f>REPT(AH31,1)</f>
        <v/>
      </c>
      <c r="F31" s="168"/>
      <c r="G31" s="168"/>
      <c r="H31" s="168"/>
      <c r="I31" s="169"/>
      <c r="J31" s="270" t="str">
        <f>REPT(AM31,1)</f>
        <v/>
      </c>
      <c r="L31" s="306" t="s">
        <v>922</v>
      </c>
      <c r="M31" s="311"/>
      <c r="N31" s="270" t="str">
        <f>REPT(AP31,1)</f>
        <v/>
      </c>
      <c r="P31" s="306" t="s">
        <v>922</v>
      </c>
      <c r="Q31" s="310"/>
      <c r="R31" s="324">
        <f>IF(DL30="*",AJ27,AI27)</f>
        <v>1.2</v>
      </c>
      <c r="S31" s="253" t="str">
        <f>REPT(DO31,1)</f>
        <v>2</v>
      </c>
      <c r="T31" s="254" t="str">
        <f>REPT(AV31,1)</f>
        <v/>
      </c>
      <c r="U31" s="168"/>
      <c r="V31" s="168"/>
      <c r="W31" s="168"/>
      <c r="X31" s="169"/>
      <c r="Y31" s="270" t="str">
        <f t="shared" ref="Y31:Y33" si="36">REPT(BA31,1)</f>
        <v/>
      </c>
      <c r="Z31" s="308"/>
      <c r="AB31" s="234">
        <f>IF(AY31="",0,IF(AY31&lt;2,1,""))</f>
        <v>0</v>
      </c>
      <c r="AC31" s="238">
        <f t="shared" ref="AC31:AC32" si="37">IF(AD31=1,1,IF(AD31=3,1,IF(AD31=2,0,IF(AD31=0,0,0))))</f>
        <v>0</v>
      </c>
      <c r="AD31" s="256">
        <f t="shared" ref="AD31:AD34" si="38">SUM(AE31:AG31)</f>
        <v>0</v>
      </c>
      <c r="AE31" s="256">
        <f t="shared" si="32"/>
        <v>0</v>
      </c>
      <c r="AF31" s="256">
        <f t="shared" si="33"/>
        <v>0</v>
      </c>
      <c r="AG31" s="256">
        <f t="shared" ref="AG31:AG34" si="39">IF(H31="",0,1)</f>
        <v>0</v>
      </c>
      <c r="AH31" s="257" t="str">
        <f>IF(AK31="",IF(AI31="","",IF(AI31="",501,501-AI31)),501)</f>
        <v/>
      </c>
      <c r="AI31" s="256" t="str">
        <f>IF(F31&gt;1,F31,IF(F31=0,"",IF(F31="","","")))</f>
        <v/>
      </c>
      <c r="AJ31" s="256" t="str">
        <f>IF(G31&gt;8,G31,IF(G31="","",""))</f>
        <v/>
      </c>
      <c r="AK31" s="256" t="str">
        <f>IF(H31&gt;1,H31,IF(H31="","",""))</f>
        <v/>
      </c>
      <c r="AL31" s="256" t="str">
        <f>IF(I31&gt;0,I31,IF(I31="","",""))</f>
        <v/>
      </c>
      <c r="AM31" s="258" t="str">
        <f>IF(BK31=0,"","X")</f>
        <v/>
      </c>
      <c r="AN31" s="237"/>
      <c r="AO31" s="237"/>
      <c r="AP31" s="258" t="str">
        <f>IF(BM31=0,"","X")</f>
        <v/>
      </c>
      <c r="AQ31" s="236">
        <f t="shared" ref="AQ31:AQ32" si="40">IF(AR31=1,1,IF(AR31=3,1,IF(AR31=2,0,IF(AR31=0,0,0))))</f>
        <v>0</v>
      </c>
      <c r="AR31" s="256">
        <f t="shared" ref="AR31:AR34" si="41">SUM(AS31:AU31)</f>
        <v>0</v>
      </c>
      <c r="AS31" s="256">
        <f t="shared" si="34"/>
        <v>0</v>
      </c>
      <c r="AT31" s="256">
        <f t="shared" si="35"/>
        <v>0</v>
      </c>
      <c r="AU31" s="256">
        <f t="shared" ref="AU31:AU34" si="42">IF(W31="",0,1)</f>
        <v>0</v>
      </c>
      <c r="AV31" s="257" t="str">
        <f>IF(AY31="",IF(AW31="","",IF(AW31="",501,501-AW31)),501)</f>
        <v/>
      </c>
      <c r="AW31" s="256" t="str">
        <f>IF(U31&gt;1,U31,IF(U31=0,"",IF(U31="","","")))</f>
        <v/>
      </c>
      <c r="AX31" s="256" t="str">
        <f>IF(V31&gt;8,V31,IF(V31="","",""))</f>
        <v/>
      </c>
      <c r="AY31" s="256" t="str">
        <f>IF(W31&gt;1,W31,IF(W31="","",""))</f>
        <v/>
      </c>
      <c r="AZ31" s="256" t="str">
        <f>IF(X31&gt;0,X31,IF(X31="","",""))</f>
        <v/>
      </c>
      <c r="BA31" s="258" t="str">
        <f>IF(BL31=0,"","X")</f>
        <v/>
      </c>
      <c r="BK31" s="251">
        <f>SUM(DD31,DV31,EY31,ED31,FF31,BQ31,BS31,AC31)</f>
        <v>0</v>
      </c>
      <c r="BL31" s="251">
        <f>SUM(DE31,DW31,EE31,FT31,GA31,BR31,BT31,AQ31)</f>
        <v>0</v>
      </c>
      <c r="BM31" s="259">
        <f t="shared" ref="BM31:BM32" si="43">SUM(DC31,BK31:BL31,AC31,AQ31)</f>
        <v>0</v>
      </c>
      <c r="BN31" s="239">
        <f>COUNT(AK31)</f>
        <v>0</v>
      </c>
      <c r="BO31" s="239">
        <f>COUNT(AY31)</f>
        <v>0</v>
      </c>
      <c r="BP31" s="239">
        <f>IF(BN33=0,0,1)</f>
        <v>0</v>
      </c>
      <c r="BQ31" s="260">
        <f>IF(AL31="",0,IF(AL31&gt;2,1,0))</f>
        <v>0</v>
      </c>
      <c r="BR31" s="261">
        <f>IF(AZ31="",0,IF(AZ31&gt;2,1,0))</f>
        <v>0</v>
      </c>
      <c r="BS31" s="262">
        <f>IF(AJ31=9,IF(AK31&lt;141,1,0),0)</f>
        <v>0</v>
      </c>
      <c r="BT31" s="263">
        <f>IF(AX31=9,IF(AY31&lt;141,1,0),0)</f>
        <v>0</v>
      </c>
      <c r="BU31" s="242">
        <f>IF(H31,G31,0)</f>
        <v>0</v>
      </c>
      <c r="BV31" s="238">
        <f>IF(BU31&gt;0,AJ31/3,0)</f>
        <v>0</v>
      </c>
      <c r="BW31" s="238">
        <f>ROUNDUP(BV31,0)</f>
        <v>0</v>
      </c>
      <c r="BX31" s="244">
        <f>IF(MOD(BW31,2)=0,BW31,BW31+1)</f>
        <v>0</v>
      </c>
      <c r="BY31" s="238">
        <f>IF(AJ31&lt;9,"",SUM(BX31-BW31))</f>
        <v>0</v>
      </c>
      <c r="BZ31" s="238">
        <f>IF(BY31=1,AK31,0)</f>
        <v>0</v>
      </c>
      <c r="CA31" s="243" t="str">
        <f>IF(BY31=0,AK31,0)</f>
        <v/>
      </c>
      <c r="CB31" s="238"/>
      <c r="CC31" s="238"/>
      <c r="CD31" s="242">
        <f>IF(W31,V31,0)</f>
        <v>0</v>
      </c>
      <c r="CE31" s="238">
        <f>IF(CD31&gt;0,AX31/3,0)</f>
        <v>0</v>
      </c>
      <c r="CF31" s="238">
        <f>ROUNDUP(CE31,0)</f>
        <v>0</v>
      </c>
      <c r="CG31" s="244">
        <f>IF(MOD(CF31,2)=0,CF31,CF31+1)</f>
        <v>0</v>
      </c>
      <c r="CH31" s="238">
        <f>IF(AX31&lt;9,"",SUM(CG31-CF31))</f>
        <v>0</v>
      </c>
      <c r="CI31" s="238">
        <f>IF(CH31=1,AY31,0)</f>
        <v>0</v>
      </c>
      <c r="CJ31" s="243" t="str">
        <f>IF(CH31=0,AY31,0)</f>
        <v/>
      </c>
      <c r="CK31" s="238"/>
      <c r="CL31" s="245">
        <f>IF(COUNT(F31,H31)=1,0,1)</f>
        <v>1</v>
      </c>
      <c r="CM31" s="245">
        <f>IF(COUNT(F31,U31)=1,0,1)</f>
        <v>1</v>
      </c>
      <c r="CN31" s="245">
        <f>IF(COUNT(H31,W31)=1,0,1)</f>
        <v>1</v>
      </c>
      <c r="CO31" s="245">
        <f>IF(COUNT(G31,V31)=2,0,1)</f>
        <v>1</v>
      </c>
      <c r="CP31" s="245">
        <f>IF(COUNT(U31,W31)=1,0,1)</f>
        <v>1</v>
      </c>
      <c r="CQ31" s="245">
        <f>IF(SUM(G31-V31)&gt;3,1,0)</f>
        <v>0</v>
      </c>
      <c r="CR31" s="245">
        <f>IF(SUM(G31-V31)&lt;-3,1,0)</f>
        <v>0</v>
      </c>
      <c r="CS31" s="264">
        <f>IF(AJ31=9,IF(AH31&lt;141,1,0),IF(AH31="",0,IF(AH31&gt;1,0,1)))</f>
        <v>0</v>
      </c>
      <c r="CT31" s="264">
        <f>IF(AX31=9,IF(AV31&lt;141,1,0),IF(AV31="",0,IF(AV31&gt;1,0,1)))</f>
        <v>0</v>
      </c>
      <c r="CU31" s="264">
        <f>IF(AI31="",0,IF(AI31&lt;502,0,1))</f>
        <v>0</v>
      </c>
      <c r="CV31" s="264">
        <f>IF(AW31="",0,IF(AW31&lt;502,0,1))</f>
        <v>0</v>
      </c>
      <c r="CW31" s="264">
        <f>IF(AI31="",IF(AJ31&lt;9,1,0),IF(AJ31&lt;9,1,0))</f>
        <v>0</v>
      </c>
      <c r="CX31" s="264">
        <f>IF(AW31="",IF(AX31&lt;9,1,0),IF(AX31&lt;9,1,0))</f>
        <v>0</v>
      </c>
      <c r="CY31" s="374"/>
      <c r="CZ31" s="374"/>
      <c r="DA31" s="374"/>
      <c r="DB31" s="374"/>
      <c r="DC31" s="265">
        <f>IF(AJ31="",0,SUM(CL31:CX31))</f>
        <v>0</v>
      </c>
      <c r="DD31" s="265">
        <f>IF(AJ31="",0,SUM(CL31,CS31,CU31,CW31))</f>
        <v>0</v>
      </c>
      <c r="DE31" s="265">
        <f>IF(AJ31="",0,SUM(CP31,CT31,CV31,CX31))</f>
        <v>0</v>
      </c>
      <c r="DF31" s="238"/>
      <c r="DG31" s="248">
        <f>SUM(G31-V31)</f>
        <v>0</v>
      </c>
      <c r="DH31" s="245">
        <f>IF(F31="",0,1)</f>
        <v>0</v>
      </c>
      <c r="DI31" s="245">
        <f t="shared" ref="DI31:DI34" si="44">IF(DG31=0,DH31,DG31)</f>
        <v>0</v>
      </c>
      <c r="DJ31" s="245">
        <f t="shared" ref="DJ31:DJ34" si="45">SIGN(DI31)</f>
        <v>0</v>
      </c>
      <c r="DK31" s="245" t="str">
        <f>IF(G31="","",IF(DJ31=1,"*",""))</f>
        <v/>
      </c>
      <c r="DL31" s="245" t="str">
        <f>IF(G31="","",IF(DJ31=-1,"*",IF(DJ31=0,"*","")))</f>
        <v/>
      </c>
      <c r="DM31" s="245">
        <v>2</v>
      </c>
      <c r="DN31" s="245" t="str">
        <f t="shared" ref="DN31:DN34" si="46">CONCATENATE(DM31,DK31)</f>
        <v>2</v>
      </c>
      <c r="DO31" s="245" t="str">
        <f t="shared" ref="DO31:DO34" si="47">CONCATENATE(DM31,DL31)</f>
        <v>2</v>
      </c>
      <c r="DP31" s="245">
        <f>SUM(DQ30)</f>
        <v>0</v>
      </c>
      <c r="DQ31" s="245">
        <f>SUM(DP30)</f>
        <v>0</v>
      </c>
      <c r="DR31" s="245">
        <f>IF(DK31="*",1,0)</f>
        <v>0</v>
      </c>
      <c r="DS31" s="245">
        <f>IF(DL31="*",1,0)</f>
        <v>0</v>
      </c>
      <c r="DT31" s="245">
        <f>IF(H21="",0,IF(DP31=DR31,1,0))</f>
        <v>0</v>
      </c>
      <c r="DU31" s="245">
        <f>IF(V31="",0,IF(DQ31=DS31,0,1))</f>
        <v>0</v>
      </c>
      <c r="DV31" s="267">
        <f>SUM(DT31)</f>
        <v>0</v>
      </c>
      <c r="DW31" s="267">
        <f>IF(V31="",0,SUM(DU31))</f>
        <v>0</v>
      </c>
      <c r="DX31" s="238">
        <f>IF(AK31="",0,1)</f>
        <v>0</v>
      </c>
      <c r="DY31" s="238">
        <f>IF(DG31=-3,1,0)</f>
        <v>0</v>
      </c>
      <c r="DZ31" s="238">
        <f>SUM(DX31:DY31)</f>
        <v>0</v>
      </c>
      <c r="EA31" s="238">
        <f>IF(AK31="",1,0)</f>
        <v>1</v>
      </c>
      <c r="EB31" s="238">
        <f>IF(DG31=3,1,0)</f>
        <v>0</v>
      </c>
      <c r="EC31" s="238">
        <f>SUM(EA31:EB31)</f>
        <v>1</v>
      </c>
      <c r="ED31" s="267">
        <f>IF(EC31=2,1,0)</f>
        <v>0</v>
      </c>
      <c r="EE31" s="267">
        <f>IF(DZ31=2,1,0)</f>
        <v>0</v>
      </c>
      <c r="EG31" s="166"/>
      <c r="EH31" s="238"/>
      <c r="EI31" s="238"/>
      <c r="EJ31" s="238"/>
      <c r="EK31" s="238"/>
      <c r="EL31" s="238"/>
      <c r="EM31" s="245">
        <f>IF(AK31="",0,1)</f>
        <v>0</v>
      </c>
      <c r="EN31" s="245">
        <f>SUM(AK31)</f>
        <v>0</v>
      </c>
      <c r="EO31" s="268">
        <f>SUM(AJ31)</f>
        <v>0</v>
      </c>
      <c r="EP31" s="268">
        <f>SUM(G31/3)</f>
        <v>0</v>
      </c>
      <c r="EQ31" s="268" t="e">
        <f>SUM(EO31/EP31)</f>
        <v>#DIV/0!</v>
      </c>
      <c r="ER31" s="268">
        <f>ROUNDDOWN(EP31,0)</f>
        <v>0</v>
      </c>
      <c r="ES31" s="268">
        <f>SUM(EO31,-ER31*3)</f>
        <v>0</v>
      </c>
      <c r="ET31" s="269" t="b">
        <f>MOD(EN31/1,2)=0</f>
        <v>1</v>
      </c>
      <c r="EU31" s="245">
        <f>IF(ET31=FALSE,1,0)</f>
        <v>0</v>
      </c>
      <c r="EV31" s="245">
        <f>IF(EN31=50,0,IF(EN31&lt;40,1,0))</f>
        <v>1</v>
      </c>
      <c r="EW31" s="245">
        <f>SUM(EU31:EV31)</f>
        <v>1</v>
      </c>
      <c r="EX31" s="267">
        <f>IF(EN31=1,1,IF(EN31=50,0,IF(ES31=1,IF(EN31&gt;40,1,0),0)))</f>
        <v>0</v>
      </c>
      <c r="EY31" s="267">
        <f>IF(ES31=1,IF(EW31=2,1,0),0)+EX31+FB31+FE31</f>
        <v>0</v>
      </c>
      <c r="EZ31" s="245">
        <f>IF(EN31=109,1,IF(EN31=108,1,IF(EN31=106,1,IF(EN31=105,1,IF(EN31=103,1,IF(EN31=102,1,IF(EN31=99,1,0)))))))</f>
        <v>0</v>
      </c>
      <c r="FA31" s="245">
        <f>IF(EN31&gt;110,1,0)</f>
        <v>0</v>
      </c>
      <c r="FB31" s="267">
        <f>IF(ES31=2,SUM(EZ31:FA31),0)</f>
        <v>0</v>
      </c>
      <c r="FC31" s="245">
        <f>IF(EN31=159,1,IF(EN31=162,1,IF(EN31=163,1,IF(EN31=165,1,IF(EN31=166,1,IF(EN31=168,1,IF(EN31=169,1,0)))))))</f>
        <v>0</v>
      </c>
      <c r="FD31" s="245">
        <f>IF(EN31&gt;170,1,0)</f>
        <v>0</v>
      </c>
      <c r="FE31" s="267">
        <f>IF(ES31=0,SUM(FC31:FD31),0)</f>
        <v>0</v>
      </c>
      <c r="FF31" s="251">
        <f t="shared" ref="FF31:FF34" si="48">IF(AJ31="",0,IF(AI31="",0,IF(EO31/ER31-3=0,0,1)))</f>
        <v>0</v>
      </c>
      <c r="FG31" s="238"/>
      <c r="FH31" s="245">
        <f>IF(AY31="",0,1)</f>
        <v>0</v>
      </c>
      <c r="FI31" s="245">
        <f>SUM(AY31)</f>
        <v>0</v>
      </c>
      <c r="FJ31" s="268">
        <f>SUM(AX31)</f>
        <v>0</v>
      </c>
      <c r="FK31" s="268">
        <f>SUM(V31/3)</f>
        <v>0</v>
      </c>
      <c r="FL31" s="268" t="e">
        <f>SUM(FJ31/FK31)</f>
        <v>#DIV/0!</v>
      </c>
      <c r="FM31" s="268">
        <f>ROUNDDOWN(FK31,0)</f>
        <v>0</v>
      </c>
      <c r="FN31" s="268">
        <f>SUM(FJ31,-FM31*3)</f>
        <v>0</v>
      </c>
      <c r="FO31" s="269" t="b">
        <f>MOD(FI31/1,2)=0</f>
        <v>1</v>
      </c>
      <c r="FP31" s="245">
        <f>IF(FO31=FALSE,1,0)</f>
        <v>0</v>
      </c>
      <c r="FQ31" s="245">
        <f>IF(FI31=50,0,IF(FI31&lt;40,1,0))</f>
        <v>1</v>
      </c>
      <c r="FR31" s="245">
        <f>SUM(FP31:FQ31)</f>
        <v>1</v>
      </c>
      <c r="FS31" s="267">
        <f>IF(FI31=1,1,IF(FI31=50,0,IF(FN31=1,IF(FI31&gt;40,1,0),0)))</f>
        <v>0</v>
      </c>
      <c r="FT31" s="267">
        <f>IF(FN31=1,IF(FR31=2,1,0),0)+FS31+FW31+FZ31</f>
        <v>0</v>
      </c>
      <c r="FU31" s="245">
        <f>IF(FI31=109,1,IF(FI31=108,1,IF(FI31=106,1,IF(FI31=105,1,IF(FI31=103,1,IF(FI31=102,1,IF(FI31=99,1,0)))))))</f>
        <v>0</v>
      </c>
      <c r="FV31" s="245">
        <f>IF(FI31&gt;110,1,0)</f>
        <v>0</v>
      </c>
      <c r="FW31" s="267">
        <f>IF(FN31=2,SUM(FU31:FV31),0)</f>
        <v>0</v>
      </c>
      <c r="FX31" s="245">
        <f>IF(FI31=159,1,IF(FI31=162,1,IF(FI31=163,1,IF(FI31=165,1,IF(FI31=166,1,IF(FI31=168,1,IF(FI31=169,1,0)))))))</f>
        <v>0</v>
      </c>
      <c r="FY31" s="245">
        <f>IF(FI31&gt;170,1,0)</f>
        <v>0</v>
      </c>
      <c r="FZ31" s="267">
        <f>IF(FN31=0,SUM(FX31:FY31),0)</f>
        <v>0</v>
      </c>
      <c r="GA31" s="251">
        <f t="shared" ref="GA31:GA34" si="49">IF(AX31="",0,IF(AW31="",0,IF(FJ31/FM31-3=0,0,1)))</f>
        <v>0</v>
      </c>
      <c r="GC31" s="238" t="str">
        <f>VLOOKUP(AH27,Chema!BL:BR,2,FALSE)</f>
        <v>HS 1.2</v>
      </c>
      <c r="GD31" s="341">
        <f>IF(E37="FORFAIT",1,0)</f>
        <v>0</v>
      </c>
      <c r="GE31" s="343" t="str">
        <f>IF(C37="","",SUM(C37))</f>
        <v/>
      </c>
      <c r="GF31" s="344">
        <f>SUM(AH30)</f>
        <v>0</v>
      </c>
      <c r="GG31" s="344">
        <f>SUM(AJ30)</f>
        <v>0</v>
      </c>
      <c r="GH31" s="344">
        <f t="shared" ref="GH31" si="50">SUM(AK30)</f>
        <v>0</v>
      </c>
      <c r="GI31" s="344">
        <f t="shared" ref="GI31" si="51">SUM(AL30)</f>
        <v>0</v>
      </c>
      <c r="GJ31" s="344">
        <f>SUM(AH31)</f>
        <v>0</v>
      </c>
      <c r="GK31" s="344">
        <f>SUM(AJ31)</f>
        <v>0</v>
      </c>
      <c r="GL31" s="344">
        <f>SUM(AK31)</f>
        <v>0</v>
      </c>
      <c r="GM31" s="344">
        <f>SUM(AL31)</f>
        <v>0</v>
      </c>
      <c r="GN31" s="344">
        <f>SUM(AH32)</f>
        <v>0</v>
      </c>
      <c r="GO31" s="344">
        <f>SUM(AJ32)</f>
        <v>0</v>
      </c>
      <c r="GP31" s="344">
        <f>SUM(AK32)</f>
        <v>0</v>
      </c>
      <c r="GQ31" s="344">
        <f>SUM(AL32)</f>
        <v>0</v>
      </c>
      <c r="GR31" s="344">
        <f>SUM(AH33)</f>
        <v>0</v>
      </c>
      <c r="GS31" s="344">
        <f>SUM(AJ33)</f>
        <v>0</v>
      </c>
      <c r="GT31" s="344">
        <f>SUM(AK33)</f>
        <v>0</v>
      </c>
      <c r="GU31" s="344">
        <f>SUM(AL33)</f>
        <v>0</v>
      </c>
      <c r="GV31" s="344">
        <f>SUM(AH34)</f>
        <v>0</v>
      </c>
      <c r="GW31" s="344">
        <f>SUM(AJ34)</f>
        <v>0</v>
      </c>
      <c r="GX31" s="344">
        <f>SUM(AK34)</f>
        <v>0</v>
      </c>
      <c r="GY31" s="344">
        <f>SUM(AL34)</f>
        <v>0</v>
      </c>
      <c r="GZ31" s="344">
        <f>SUM(GF31,GJ31,GN31,GR31,GV31)</f>
        <v>0</v>
      </c>
      <c r="HA31" s="344">
        <f t="shared" ref="HA31" si="52">SUM(GG31,GK31,GO31,GS31,GW31)</f>
        <v>0</v>
      </c>
      <c r="HB31" s="344">
        <f>IF(GD30=1,L37,MAX(GH31,GL31,GP31,GT31,GX31))</f>
        <v>0</v>
      </c>
      <c r="HC31" s="344">
        <f>IF(GD30=1,I37,SUM(GI31,GM31,GQ31,GU31,GY31))</f>
        <v>0</v>
      </c>
      <c r="HD31" s="345">
        <f>IF(GD30=1,0,SUM(GF31,GJ31,GN31,GR31,GV31))</f>
        <v>0</v>
      </c>
      <c r="HE31" s="345">
        <f>IF(GD30=1,0,SUM(GG31,GK31,GO31,GS31,GW31))</f>
        <v>0</v>
      </c>
      <c r="HF31" s="341">
        <f>IF(GD30=1,0,MIN(HI31,HJ31,HK31,HL31,HM31))</f>
        <v>0</v>
      </c>
      <c r="HG31" s="341">
        <f>IF(HF31=0,0,COUNTIF(HI31:HM31,HF31))</f>
        <v>0</v>
      </c>
      <c r="HH31" s="341">
        <f>SUM(GH32,GL32,GP32,GT32,GX32)</f>
        <v>0</v>
      </c>
      <c r="HI31" s="343" t="str">
        <f>IF(GH32=1,GG31,"")</f>
        <v/>
      </c>
      <c r="HJ31" s="343" t="str">
        <f>IF(GL32=1,GK31,"")</f>
        <v/>
      </c>
      <c r="HK31" s="343" t="str">
        <f>IF(GP32=1,GO31,"")</f>
        <v/>
      </c>
      <c r="HL31" s="343" t="str">
        <f>IF(GT32=1,GS31,"")</f>
        <v/>
      </c>
      <c r="HM31" s="343" t="str">
        <f>IF(GX32=1,GW31,"")</f>
        <v/>
      </c>
      <c r="HN31" s="341"/>
      <c r="HO31" s="341" t="s">
        <v>928</v>
      </c>
      <c r="HP31" s="341" t="s">
        <v>982</v>
      </c>
      <c r="HQ31" s="341" t="s">
        <v>983</v>
      </c>
      <c r="HR31" s="341" t="s">
        <v>984</v>
      </c>
      <c r="HS31" s="238" t="s">
        <v>932</v>
      </c>
      <c r="HT31" s="238" t="s">
        <v>933</v>
      </c>
      <c r="HU31" s="238" t="s">
        <v>985</v>
      </c>
      <c r="HV31" s="238" t="s">
        <v>986</v>
      </c>
      <c r="HW31" s="238" t="str">
        <f>IFERROR(IF(GD30=0,SUM(HZ32:IA32),""),"")</f>
        <v/>
      </c>
      <c r="HY31" s="238"/>
      <c r="HZ31" s="238" t="s">
        <v>1132</v>
      </c>
      <c r="IA31" s="238" t="s">
        <v>1133</v>
      </c>
      <c r="IB31" s="238" t="s">
        <v>1132</v>
      </c>
      <c r="IC31" s="238" t="s">
        <v>1133</v>
      </c>
      <c r="ID31" s="238"/>
    </row>
    <row r="32" spans="1:238" s="234" customFormat="1" ht="20.100000000000001" customHeight="1">
      <c r="A32" s="235"/>
      <c r="B32" s="231">
        <f>COUNT(AJ33,AJ32)</f>
        <v>0</v>
      </c>
      <c r="C32" s="235"/>
      <c r="D32" s="271" t="str">
        <f>REPT(DN32,1)</f>
        <v>3</v>
      </c>
      <c r="E32" s="254" t="str">
        <f>REPT(AH32,1)</f>
        <v/>
      </c>
      <c r="F32" s="168"/>
      <c r="G32" s="168"/>
      <c r="H32" s="168"/>
      <c r="I32" s="169"/>
      <c r="J32" s="270" t="str">
        <f t="shared" ref="J32:J33" si="53">REPT(AM32,1)</f>
        <v/>
      </c>
      <c r="L32" s="312">
        <f>SUM(L30*3)</f>
        <v>0</v>
      </c>
      <c r="M32" s="307"/>
      <c r="N32" s="270" t="str">
        <f>REPT(AP32,1)</f>
        <v/>
      </c>
      <c r="P32" s="312">
        <f>SUM(P30*3)</f>
        <v>0</v>
      </c>
      <c r="Q32" s="310"/>
      <c r="R32" s="235"/>
      <c r="S32" s="271" t="str">
        <f>REPT(DO32,1)</f>
        <v>3</v>
      </c>
      <c r="T32" s="254" t="str">
        <f>REPT(AV32,1)</f>
        <v/>
      </c>
      <c r="U32" s="168"/>
      <c r="V32" s="168"/>
      <c r="W32" s="168"/>
      <c r="X32" s="169"/>
      <c r="Y32" s="270" t="str">
        <f t="shared" si="36"/>
        <v/>
      </c>
      <c r="Z32" s="308"/>
      <c r="AB32" s="234">
        <f>IF(AY32="",0,IF(AY32&lt;2,1,""))</f>
        <v>0</v>
      </c>
      <c r="AC32" s="238">
        <f t="shared" si="37"/>
        <v>0</v>
      </c>
      <c r="AD32" s="256">
        <f t="shared" si="38"/>
        <v>0</v>
      </c>
      <c r="AE32" s="256">
        <f t="shared" si="32"/>
        <v>0</v>
      </c>
      <c r="AF32" s="256">
        <f t="shared" si="33"/>
        <v>0</v>
      </c>
      <c r="AG32" s="256">
        <f t="shared" si="39"/>
        <v>0</v>
      </c>
      <c r="AH32" s="257" t="str">
        <f>IF(AK32="",IF(AI32="","",IF(AI32="",501,501-AI32)),501)</f>
        <v/>
      </c>
      <c r="AI32" s="256" t="str">
        <f>IF(F32&gt;1,F32,IF(F32=0,"",IF(F32="","","")))</f>
        <v/>
      </c>
      <c r="AJ32" s="256" t="str">
        <f>IF(G32&gt;8,G32,IF(G32="","",""))</f>
        <v/>
      </c>
      <c r="AK32" s="256" t="str">
        <f>IF(H32&gt;1,H32,IF(H32="","",""))</f>
        <v/>
      </c>
      <c r="AL32" s="256" t="str">
        <f>IF(I32&gt;0,I32,IF(I32="","",""))</f>
        <v/>
      </c>
      <c r="AM32" s="258" t="str">
        <f>IF(BK32=0,"","X")</f>
        <v/>
      </c>
      <c r="AN32" s="237"/>
      <c r="AO32" s="237"/>
      <c r="AP32" s="258" t="str">
        <f>IF(BM32=0,"","X")</f>
        <v/>
      </c>
      <c r="AQ32" s="236">
        <f t="shared" si="40"/>
        <v>0</v>
      </c>
      <c r="AR32" s="256">
        <f t="shared" si="41"/>
        <v>0</v>
      </c>
      <c r="AS32" s="256">
        <f t="shared" si="34"/>
        <v>0</v>
      </c>
      <c r="AT32" s="256">
        <f t="shared" si="35"/>
        <v>0</v>
      </c>
      <c r="AU32" s="256">
        <f t="shared" si="42"/>
        <v>0</v>
      </c>
      <c r="AV32" s="257" t="str">
        <f>IF(AY32="",IF(AW32="","",IF(AW32="",501,501-AW32)),501)</f>
        <v/>
      </c>
      <c r="AW32" s="256" t="str">
        <f>IF(U32&gt;1,U32,IF(U32=0,"",IF(U32="","","")))</f>
        <v/>
      </c>
      <c r="AX32" s="256" t="str">
        <f>IF(V32&gt;8,V32,IF(V32="","",""))</f>
        <v/>
      </c>
      <c r="AY32" s="256" t="str">
        <f>IF(W32&gt;1,W32,IF(W32="","",""))</f>
        <v/>
      </c>
      <c r="AZ32" s="256" t="str">
        <f>IF(X32&gt;0,X32,IF(X32="","",""))</f>
        <v/>
      </c>
      <c r="BA32" s="258" t="str">
        <f>IF(BL32=0,"","X")</f>
        <v/>
      </c>
      <c r="BK32" s="251">
        <f>SUM(DD32,DV32,EY32,ED32,FF32,BQ32,BS32,AC32,BK39)</f>
        <v>0</v>
      </c>
      <c r="BL32" s="251">
        <f>SUM(DE32,DW32,EE32,FT32,GA32,BR32,BT32,AQ32,BL39,CZ32)</f>
        <v>0</v>
      </c>
      <c r="BM32" s="259">
        <f t="shared" si="43"/>
        <v>0</v>
      </c>
      <c r="BN32" s="239">
        <f>COUNT(AK32)</f>
        <v>0</v>
      </c>
      <c r="BO32" s="239">
        <f>COUNT(AY32)</f>
        <v>0</v>
      </c>
      <c r="BP32" s="239">
        <f>IF(BN34=0,0,1)</f>
        <v>0</v>
      </c>
      <c r="BQ32" s="260">
        <f>IF(AL32="",0,IF(AL32&gt;2,1,0))</f>
        <v>0</v>
      </c>
      <c r="BR32" s="261">
        <f>IF(AZ32="",0,IF(AZ32&gt;2,1,0))</f>
        <v>0</v>
      </c>
      <c r="BS32" s="262">
        <f>IF(AJ32=9,IF(AK32&lt;141,1,0),0)</f>
        <v>0</v>
      </c>
      <c r="BT32" s="263">
        <f>IF(AX32=9,IF(AY32&lt;141,1,0),0)</f>
        <v>0</v>
      </c>
      <c r="BU32" s="242">
        <f>IF(H32,G32,0)</f>
        <v>0</v>
      </c>
      <c r="BV32" s="238">
        <f>IF(BU32&gt;0,AJ32/3,0)</f>
        <v>0</v>
      </c>
      <c r="BW32" s="238">
        <f>ROUNDUP(BV32,0)</f>
        <v>0</v>
      </c>
      <c r="BX32" s="244">
        <f>IF(MOD(BW32,2)=0,BW32,BW32+1)</f>
        <v>0</v>
      </c>
      <c r="BY32" s="238">
        <f>IF(AJ32&lt;9,"",SUM(BX32-BW32))</f>
        <v>0</v>
      </c>
      <c r="BZ32" s="238">
        <f>IF(BY32=1,AK32,0)</f>
        <v>0</v>
      </c>
      <c r="CA32" s="243" t="str">
        <f>IF(BY32=0,AK32,0)</f>
        <v/>
      </c>
      <c r="CB32" s="238"/>
      <c r="CC32" s="238"/>
      <c r="CD32" s="242">
        <f>IF(W32,V32,0)</f>
        <v>0</v>
      </c>
      <c r="CE32" s="238">
        <f>IF(CD32&gt;0,AX32/3,0)</f>
        <v>0</v>
      </c>
      <c r="CF32" s="238">
        <f>ROUNDUP(CE32,0)</f>
        <v>0</v>
      </c>
      <c r="CG32" s="244">
        <f>IF(MOD(CF32,2)=0,CF32,CF32+1)</f>
        <v>0</v>
      </c>
      <c r="CH32" s="238">
        <f>IF(AX32&lt;9,"",SUM(CG32-CF32))</f>
        <v>0</v>
      </c>
      <c r="CI32" s="238">
        <f>IF(CH32=1,AY32,0)</f>
        <v>0</v>
      </c>
      <c r="CJ32" s="243" t="str">
        <f>IF(CH32=0,AY32,0)</f>
        <v/>
      </c>
      <c r="CK32" s="238"/>
      <c r="CL32" s="245">
        <f>IF(COUNT(F32,H32)=1,0,1)</f>
        <v>1</v>
      </c>
      <c r="CM32" s="245">
        <f>IF(COUNT(F32,U32)=1,0,1)</f>
        <v>1</v>
      </c>
      <c r="CN32" s="245">
        <f>IF(COUNT(H32,W32)=1,0,1)</f>
        <v>1</v>
      </c>
      <c r="CO32" s="245">
        <f>IF(COUNT(G32,V32)=2,0,1)</f>
        <v>1</v>
      </c>
      <c r="CP32" s="245">
        <f>IF(COUNT(U32,W32)=1,0,1)</f>
        <v>1</v>
      </c>
      <c r="CQ32" s="245">
        <f>IF(SUM(G32-V32)&gt;3,1,0)</f>
        <v>0</v>
      </c>
      <c r="CR32" s="245">
        <f>IF(SUM(G32-V32)&lt;-3,1,0)</f>
        <v>0</v>
      </c>
      <c r="CS32" s="264">
        <f>IF(AJ32=9,IF(AH32&lt;141,1,0),IF(AH32="",0,IF(AH32&gt;1,0,1)))</f>
        <v>0</v>
      </c>
      <c r="CT32" s="264">
        <f>IF(AX32=9,IF(AV32&lt;141,1,0),IF(AV32="",0,IF(AV32&gt;1,0,1)))</f>
        <v>0</v>
      </c>
      <c r="CU32" s="264">
        <f>IF(AI32="",0,IF(AI32&lt;502,0,1))</f>
        <v>0</v>
      </c>
      <c r="CV32" s="264">
        <f>IF(AW32="",0,IF(AW32&lt;502,0,1))</f>
        <v>0</v>
      </c>
      <c r="CW32" s="264">
        <f>IF(AI32="",IF(AJ32&lt;9,1,0),IF(AJ32&lt;9,1,0))</f>
        <v>0</v>
      </c>
      <c r="CX32" s="264">
        <f>IF(AW32="",IF(AX32&lt;9,1,0),IF(AX32&lt;9,1,0))</f>
        <v>0</v>
      </c>
      <c r="CY32" s="374">
        <f>COUNT(U30,U31,U32)</f>
        <v>0</v>
      </c>
      <c r="CZ32" s="375">
        <f>IF(AL27=3,IF(CY32&gt;2,1,0),0)</f>
        <v>0</v>
      </c>
      <c r="DA32" s="374"/>
      <c r="DB32" s="374"/>
      <c r="DC32" s="265">
        <f>IF(AJ32="",0,SUM(CL32:CX32))</f>
        <v>0</v>
      </c>
      <c r="DD32" s="265">
        <f>IF(AJ32="",0,SUM(CL32,CS32,CU32,CW32))</f>
        <v>0</v>
      </c>
      <c r="DE32" s="265">
        <f>IF(AJ32="",0,SUM(CP32,CT32,CV32,CX32))</f>
        <v>0</v>
      </c>
      <c r="DF32" s="238"/>
      <c r="DG32" s="248">
        <f>SUM(G32-V32)</f>
        <v>0</v>
      </c>
      <c r="DH32" s="245">
        <f>IF(F32="",0,1)</f>
        <v>0</v>
      </c>
      <c r="DI32" s="245">
        <f t="shared" si="44"/>
        <v>0</v>
      </c>
      <c r="DJ32" s="245">
        <f t="shared" si="45"/>
        <v>0</v>
      </c>
      <c r="DK32" s="245" t="str">
        <f>IF(G32="","",IF(DJ32=1,"*",""))</f>
        <v/>
      </c>
      <c r="DL32" s="245" t="str">
        <f>IF(G32="","",IF(DJ32=-1,"*",IF(DJ32=0,"*","")))</f>
        <v/>
      </c>
      <c r="DM32" s="245">
        <v>3</v>
      </c>
      <c r="DN32" s="245" t="str">
        <f t="shared" si="46"/>
        <v>3</v>
      </c>
      <c r="DO32" s="245" t="str">
        <f t="shared" si="47"/>
        <v>3</v>
      </c>
      <c r="DP32" s="245">
        <f>SUM(DP30)</f>
        <v>0</v>
      </c>
      <c r="DQ32" s="245">
        <f>SUM(DQ30)</f>
        <v>0</v>
      </c>
      <c r="DR32" s="245">
        <f t="shared" ref="DR32:DR34" si="54">IF(DK32="*",1,0)</f>
        <v>0</v>
      </c>
      <c r="DS32" s="245">
        <f t="shared" ref="DS32:DS34" si="55">IF(DL32="*",1,0)</f>
        <v>0</v>
      </c>
      <c r="DT32" s="245">
        <f t="shared" ref="DT32:DT34" si="56">IF(H22="",0,IF(DP32=DR32,1,0))</f>
        <v>0</v>
      </c>
      <c r="DU32" s="245">
        <f>IF(V32="",0,IF(DQ32=DS32,0,1))</f>
        <v>0</v>
      </c>
      <c r="DV32" s="267">
        <f t="shared" ref="DV32:DV34" si="57">SUM(DT32)</f>
        <v>0</v>
      </c>
      <c r="DW32" s="267">
        <f>IF(V32="",0,SUM(DU32))</f>
        <v>0</v>
      </c>
      <c r="DX32" s="238">
        <f>IF(AK32="",0,1)</f>
        <v>0</v>
      </c>
      <c r="DY32" s="238">
        <f>IF(DG32=-3,1,0)</f>
        <v>0</v>
      </c>
      <c r="DZ32" s="238">
        <f>SUM(DX32:DY32)</f>
        <v>0</v>
      </c>
      <c r="EA32" s="238">
        <f>IF(AK32="",1,0)</f>
        <v>1</v>
      </c>
      <c r="EB32" s="238">
        <f>IF(DG32=3,1,0)</f>
        <v>0</v>
      </c>
      <c r="EC32" s="238">
        <f>SUM(EA32:EB32)</f>
        <v>1</v>
      </c>
      <c r="ED32" s="267">
        <f>IF(EC32=2,1,0)</f>
        <v>0</v>
      </c>
      <c r="EE32" s="267">
        <f>IF(DZ32=2,1,0)</f>
        <v>0</v>
      </c>
      <c r="EG32" s="166"/>
      <c r="EH32" s="238"/>
      <c r="EI32" s="238"/>
      <c r="EJ32" s="238"/>
      <c r="EK32" s="238"/>
      <c r="EL32" s="238"/>
      <c r="EM32" s="245">
        <f>IF(AK32="",0,1)</f>
        <v>0</v>
      </c>
      <c r="EN32" s="245">
        <f>SUM(AK32)</f>
        <v>0</v>
      </c>
      <c r="EO32" s="268">
        <f>SUM(AJ32)</f>
        <v>0</v>
      </c>
      <c r="EP32" s="268">
        <f>SUM(G32/3)</f>
        <v>0</v>
      </c>
      <c r="EQ32" s="268" t="e">
        <f>SUM(EO32/EP32)</f>
        <v>#DIV/0!</v>
      </c>
      <c r="ER32" s="268">
        <f>ROUNDDOWN(EP32,0)</f>
        <v>0</v>
      </c>
      <c r="ES32" s="268">
        <f>SUM(EO32,-ER32*3)</f>
        <v>0</v>
      </c>
      <c r="ET32" s="269" t="b">
        <f>MOD(EN32/1,2)=0</f>
        <v>1</v>
      </c>
      <c r="EU32" s="245">
        <f>IF(ET32=FALSE,1,0)</f>
        <v>0</v>
      </c>
      <c r="EV32" s="245">
        <f>IF(EN32=50,0,IF(EN32&lt;40,1,0))</f>
        <v>1</v>
      </c>
      <c r="EW32" s="245">
        <f>SUM(EU32:EV32)</f>
        <v>1</v>
      </c>
      <c r="EX32" s="267">
        <f>IF(EN32=1,1,IF(EN32=50,0,IF(ES32=1,IF(EN32&gt;40,1,0),0)))</f>
        <v>0</v>
      </c>
      <c r="EY32" s="267">
        <f>IF(ES32=1,IF(EW32=2,1,0),0)+EX32+FB32+FE32</f>
        <v>0</v>
      </c>
      <c r="EZ32" s="245">
        <f>IF(EN32=109,1,IF(EN32=108,1,IF(EN32=106,1,IF(EN32=105,1,IF(EN32=103,1,IF(EN32=102,1,IF(EN32=99,1,0)))))))</f>
        <v>0</v>
      </c>
      <c r="FA32" s="245">
        <f>IF(EN32&gt;110,1,0)</f>
        <v>0</v>
      </c>
      <c r="FB32" s="267">
        <f>IF(ES32=2,SUM(EZ32:FA32),0)</f>
        <v>0</v>
      </c>
      <c r="FC32" s="245">
        <f>IF(EN32=159,1,IF(EN32=162,1,IF(EN32=163,1,IF(EN32=165,1,IF(EN32=166,1,IF(EN32=168,1,IF(EN32=169,1,0)))))))</f>
        <v>0</v>
      </c>
      <c r="FD32" s="245">
        <f>IF(EN32&gt;170,1,0)</f>
        <v>0</v>
      </c>
      <c r="FE32" s="267">
        <f>IF(ES32=0,SUM(FC32:FD32),0)</f>
        <v>0</v>
      </c>
      <c r="FF32" s="251">
        <f t="shared" si="48"/>
        <v>0</v>
      </c>
      <c r="FG32" s="238"/>
      <c r="FH32" s="245">
        <f>IF(AY32="",0,1)</f>
        <v>0</v>
      </c>
      <c r="FI32" s="245">
        <f>SUM(AY32)</f>
        <v>0</v>
      </c>
      <c r="FJ32" s="268">
        <f>SUM(AX32)</f>
        <v>0</v>
      </c>
      <c r="FK32" s="268">
        <f>SUM(V32/3)</f>
        <v>0</v>
      </c>
      <c r="FL32" s="268" t="e">
        <f>SUM(FJ32/FK32)</f>
        <v>#DIV/0!</v>
      </c>
      <c r="FM32" s="268">
        <f>ROUNDDOWN(FK32,0)</f>
        <v>0</v>
      </c>
      <c r="FN32" s="268">
        <f>SUM(FJ32,-FM32*3)</f>
        <v>0</v>
      </c>
      <c r="FO32" s="269" t="b">
        <f>MOD(FI32/1,2)=0</f>
        <v>1</v>
      </c>
      <c r="FP32" s="245">
        <f>IF(FO32=FALSE,1,0)</f>
        <v>0</v>
      </c>
      <c r="FQ32" s="245">
        <f>IF(FI32=50,0,IF(FI32&lt;40,1,0))</f>
        <v>1</v>
      </c>
      <c r="FR32" s="245">
        <f>SUM(FP32:FQ32)</f>
        <v>1</v>
      </c>
      <c r="FS32" s="267">
        <f>IF(FI32=1,1,IF(FI32=50,0,IF(FN32=1,IF(FI32&gt;40,1,0),0)))</f>
        <v>0</v>
      </c>
      <c r="FT32" s="267">
        <f>IF(FN32=1,IF(FR32=2,1,0),0)+FS32+FW32+FZ32</f>
        <v>0</v>
      </c>
      <c r="FU32" s="245">
        <f>IF(FI32=109,1,IF(FI32=108,1,IF(FI32=106,1,IF(FI32=105,1,IF(FI32=103,1,IF(FI32=102,1,IF(FI32=99,1,0)))))))</f>
        <v>0</v>
      </c>
      <c r="FV32" s="245">
        <f>IF(FI32&gt;110,1,0)</f>
        <v>0</v>
      </c>
      <c r="FW32" s="267">
        <f>IF(FN32=2,SUM(FU32:FV32),0)</f>
        <v>0</v>
      </c>
      <c r="FX32" s="245">
        <f>IF(FI32=159,1,IF(FI32=162,1,IF(FI32=163,1,IF(FI32=165,1,IF(FI32=166,1,IF(FI32=168,1,IF(FI32=169,1,0)))))))</f>
        <v>0</v>
      </c>
      <c r="FY32" s="245">
        <f>IF(FI32&gt;170,1,0)</f>
        <v>0</v>
      </c>
      <c r="FZ32" s="267">
        <f>IF(FN32=0,SUM(FX32:FY32),0)</f>
        <v>0</v>
      </c>
      <c r="GA32" s="251">
        <f t="shared" si="49"/>
        <v>0</v>
      </c>
      <c r="GC32" s="238" t="str">
        <f>VLOOKUP(AH27,Chema!BL:BR,3,FALSE)</f>
        <v/>
      </c>
      <c r="GD32" s="341"/>
      <c r="GE32" s="343" t="str">
        <f>IF(C38="","",SUM(C38))</f>
        <v/>
      </c>
      <c r="GF32" s="346"/>
      <c r="GG32" s="340"/>
      <c r="GH32" s="343">
        <f>IF(GH31&gt;0,1,0)</f>
        <v>0</v>
      </c>
      <c r="GI32" s="346"/>
      <c r="GJ32" s="343"/>
      <c r="GK32" s="340"/>
      <c r="GL32" s="343">
        <f>IF(GL31&gt;0,1,0)</f>
        <v>0</v>
      </c>
      <c r="GM32" s="343"/>
      <c r="GN32" s="343"/>
      <c r="GO32" s="340"/>
      <c r="GP32" s="343">
        <f>IF(GP31&gt;0,1,0)</f>
        <v>0</v>
      </c>
      <c r="GQ32" s="343"/>
      <c r="GR32" s="343"/>
      <c r="GS32" s="340"/>
      <c r="GT32" s="343">
        <f>IF(GT31&gt;0,1,0)</f>
        <v>0</v>
      </c>
      <c r="GU32" s="343"/>
      <c r="GV32" s="343"/>
      <c r="GW32" s="340"/>
      <c r="GX32" s="343">
        <f>IF(GX31&gt;0,1,0)</f>
        <v>0</v>
      </c>
      <c r="GY32" s="343"/>
      <c r="GZ32" s="343"/>
      <c r="HA32" s="343"/>
      <c r="HB32" s="343" t="str">
        <f>IF(GD30=1,L38,"")</f>
        <v/>
      </c>
      <c r="HC32" s="343" t="str">
        <f>IF(GD30=1,I38,"")</f>
        <v/>
      </c>
      <c r="HD32" s="345"/>
      <c r="HE32" s="340"/>
      <c r="HF32" s="340"/>
      <c r="HG32" s="347">
        <f>IF(GE31="",0,IF(AL27=3,2,IF(AL27=5,3,0)))</f>
        <v>0</v>
      </c>
      <c r="HH32" s="347">
        <f>IF(HK32=0,0,IF(HG34=0,0,1))</f>
        <v>0</v>
      </c>
      <c r="HI32" s="340"/>
      <c r="HJ32" s="340"/>
      <c r="HK32" s="340">
        <f>SUM(HM30,HM34)</f>
        <v>0</v>
      </c>
      <c r="HL32" s="340">
        <f>IF(HK32=0,0,IF(HM30=HG32,1,0))</f>
        <v>0</v>
      </c>
      <c r="HM32" s="340">
        <f>IF(HK32=0,0,IF(HM34=HG32,1,0))</f>
        <v>0</v>
      </c>
      <c r="HN32" s="341" t="str">
        <f>REPT(N27,1)</f>
        <v>Spiel 2</v>
      </c>
      <c r="HO32" s="348" t="str">
        <f>IF(HK32=0,"",IF(HH32=0,SUM(HH31),""))</f>
        <v/>
      </c>
      <c r="HP32" s="348" t="str">
        <f>IF(HK32=0,"",IF(HH32=0,SUM(HH33),""))</f>
        <v/>
      </c>
      <c r="HQ32" s="348" t="e">
        <f>IF(HH32=0,SUM(GZ31/HA31),"")</f>
        <v>#DIV/0!</v>
      </c>
      <c r="HR32" s="348" t="e">
        <f>IF(HH32=0,SUM(GZ33/HA33),"")</f>
        <v>#DIV/0!</v>
      </c>
      <c r="HS32" s="238" t="str">
        <f>REPT(DK30,1)</f>
        <v/>
      </c>
      <c r="HT32" s="238" t="str">
        <f>REPT(DL30,1)</f>
        <v/>
      </c>
      <c r="HU32" s="238">
        <f>IF(HH32=0,HL32,"")</f>
        <v>0</v>
      </c>
      <c r="HV32" s="238">
        <f>IF(HH32=0,HM32,"")</f>
        <v>0</v>
      </c>
      <c r="HW32" s="238" t="s">
        <v>1131</v>
      </c>
      <c r="HY32" s="238"/>
      <c r="HZ32" s="238" t="e">
        <f>IF(AL27=5,IF(HU32=1,SUM(HO32*2-HP32),HO32+HP32-2),"")</f>
        <v>#VALUE!</v>
      </c>
      <c r="IA32" s="238" t="str">
        <f>IF(AL27=3,IF(HU32=1,SUM(HO32-HP32+3),HO32+HP32-1),"")</f>
        <v/>
      </c>
      <c r="IB32" s="238" t="e">
        <f>IF(AL27=5,IF(HV32=1,SUM(HP32*2-HO32),HO32+HP32-2),"")</f>
        <v>#VALUE!</v>
      </c>
      <c r="IC32" s="238" t="str">
        <f>IF(AL27=3,IF(HV32=1,SUM(HP32-HO32+3),HO32+HP32-1),"")</f>
        <v/>
      </c>
      <c r="ID32" s="238">
        <f>SUM(BM36)</f>
        <v>0</v>
      </c>
    </row>
    <row r="33" spans="1:238" s="234" customFormat="1" ht="20.100000000000001" customHeight="1">
      <c r="A33" s="235"/>
      <c r="B33" s="231">
        <f>COUNT(AJ34,AJ33)</f>
        <v>0</v>
      </c>
      <c r="C33" s="235"/>
      <c r="D33" s="328" t="str">
        <f>REPT(DN33,1)</f>
        <v>4</v>
      </c>
      <c r="E33" s="329" t="str">
        <f>REPT(AH33,1)</f>
        <v/>
      </c>
      <c r="F33" s="330"/>
      <c r="G33" s="330"/>
      <c r="H33" s="330"/>
      <c r="I33" s="331"/>
      <c r="J33" s="270" t="str">
        <f t="shared" si="53"/>
        <v/>
      </c>
      <c r="M33" s="311"/>
      <c r="N33" s="270" t="str">
        <f>REPT(AP33,1)</f>
        <v/>
      </c>
      <c r="Q33" s="310"/>
      <c r="R33" s="235"/>
      <c r="S33" s="328" t="str">
        <f>REPT(DO33,1)</f>
        <v>4</v>
      </c>
      <c r="T33" s="329" t="str">
        <f>REPT(AV33,1)</f>
        <v/>
      </c>
      <c r="U33" s="330"/>
      <c r="V33" s="330"/>
      <c r="W33" s="330"/>
      <c r="X33" s="331"/>
      <c r="Y33" s="270" t="str">
        <f t="shared" si="36"/>
        <v/>
      </c>
      <c r="Z33" s="308"/>
      <c r="AA33" s="238">
        <f>SUM(AL27)</f>
        <v>5</v>
      </c>
      <c r="AB33" s="234">
        <f>IF(AY33="",0,IF(AY33&lt;2,1,""))</f>
        <v>0</v>
      </c>
      <c r="AC33" s="238">
        <f>IF(AL27=3,0,IF(AD33=1,1,IF(AD33=3,1,IF(AD33=2,0,IF(AD33=0,0,0)))))</f>
        <v>0</v>
      </c>
      <c r="AD33" s="256">
        <f t="shared" si="38"/>
        <v>0</v>
      </c>
      <c r="AE33" s="256">
        <f t="shared" si="32"/>
        <v>0</v>
      </c>
      <c r="AF33" s="256">
        <f t="shared" si="33"/>
        <v>0</v>
      </c>
      <c r="AG33" s="256">
        <f t="shared" si="39"/>
        <v>0</v>
      </c>
      <c r="AH33" s="257" t="str">
        <f>IF(AL27=3,"",IF(AK33="",IF(AI33="","",IF(AI33="",501,501-AI33)),501))</f>
        <v/>
      </c>
      <c r="AI33" s="256" t="str">
        <f>IF(AL27=3,"",IF(F33&gt;1,F33,IF(F33=0,"",IF(F33="","",""))))</f>
        <v/>
      </c>
      <c r="AJ33" s="256" t="str">
        <f>IF(AL27=3,"",IF(G33&gt;8,G33,IF(G33="","","")))</f>
        <v/>
      </c>
      <c r="AK33" s="256" t="str">
        <f>IF(AL27=3,"",IF(H33&gt;1,H33,IF(H33="","","")))</f>
        <v/>
      </c>
      <c r="AL33" s="256" t="str">
        <f>IF(AL27=3,"",IF(I33&gt;0,I33,IF(I33="","","")))</f>
        <v/>
      </c>
      <c r="AM33" s="258" t="str">
        <f>IF(BK33=0,"","X")</f>
        <v/>
      </c>
      <c r="AN33" s="237"/>
      <c r="AO33" s="237"/>
      <c r="AP33" s="258" t="str">
        <f>IF(BM33=0,"","X")</f>
        <v/>
      </c>
      <c r="AQ33" s="236">
        <f>IF(AL27=3,0,IF(AR33=1,1,IF(AR33=3,1,IF(AR33=2,0,IF(AR33=0,0,0)))))</f>
        <v>0</v>
      </c>
      <c r="AR33" s="256">
        <f t="shared" si="41"/>
        <v>0</v>
      </c>
      <c r="AS33" s="256">
        <f t="shared" si="34"/>
        <v>0</v>
      </c>
      <c r="AT33" s="256">
        <f t="shared" si="35"/>
        <v>0</v>
      </c>
      <c r="AU33" s="256">
        <f t="shared" si="42"/>
        <v>0</v>
      </c>
      <c r="AV33" s="257" t="str">
        <f>IF(AY33="",IF(AW33="","",IF(AW33="",501,501-AW33)),501)</f>
        <v/>
      </c>
      <c r="AW33" s="256" t="str">
        <f>IF(AL27=3,"",IF(U33&gt;1,U33,IF(U33=0,"",IF(U33="","",""))))</f>
        <v/>
      </c>
      <c r="AX33" s="256" t="str">
        <f>IF(AL27=3,"",IF(V33&gt;8,V33,IF(V33="","","")))</f>
        <v/>
      </c>
      <c r="AY33" s="256" t="str">
        <f>IF(AL27=3,"",IF(W33&gt;1,W33,IF(W33="","","")))</f>
        <v/>
      </c>
      <c r="AZ33" s="256" t="str">
        <f>IF(AL27=3,"",IF(X33&gt;0,X33,IF(X33="","","")))</f>
        <v/>
      </c>
      <c r="BA33" s="258" t="str">
        <f>IF(BL33=0,"","X")</f>
        <v/>
      </c>
      <c r="BK33" s="251">
        <f>IF(AL27=3,0,SUM(DD33,DV33,EY33,ED33,FF33,BQ33,BS33,AC33))</f>
        <v>0</v>
      </c>
      <c r="BL33" s="251">
        <f>IF(AL27=3,0,SUM(DE33,DW33,EE33,FT33,GA33,BR33,BT33,AQ33))</f>
        <v>0</v>
      </c>
      <c r="BM33" s="259">
        <f>IF(AL27=3,0,SUM(DC33,BK33:BL33,AC33,AQ33))</f>
        <v>0</v>
      </c>
      <c r="BN33" s="239">
        <f>COUNT(AK33)</f>
        <v>0</v>
      </c>
      <c r="BO33" s="239">
        <f>COUNT(AY33)</f>
        <v>0</v>
      </c>
      <c r="BP33" s="239">
        <f>IF(BZ35=0,0,1)</f>
        <v>0</v>
      </c>
      <c r="BQ33" s="260">
        <f>IF(AL33="",0,IF(AL33&gt;2,1,0))</f>
        <v>0</v>
      </c>
      <c r="BR33" s="261">
        <f>IF(AZ33="",0,IF(AZ33&gt;2,1,0))</f>
        <v>0</v>
      </c>
      <c r="BS33" s="262">
        <f>IF(AJ33=9,IF(AK33&lt;141,1,0),0)</f>
        <v>0</v>
      </c>
      <c r="BT33" s="263">
        <f>IF(AX33=9,IF(AY33&lt;141,1,0),0)</f>
        <v>0</v>
      </c>
      <c r="BU33" s="242">
        <f>IF(AL27=3,0,IF(H33,G33,0))</f>
        <v>0</v>
      </c>
      <c r="BV33" s="238">
        <f>IF(BU33&gt;0,AJ33/3,0)</f>
        <v>0</v>
      </c>
      <c r="BW33" s="238">
        <f>ROUNDUP(BV33,0)</f>
        <v>0</v>
      </c>
      <c r="BX33" s="244">
        <f>IF(MOD(BW33,2)=0,BW33,BW33+1)</f>
        <v>0</v>
      </c>
      <c r="BY33" s="238">
        <f>IF(AJ33&lt;9,"",SUM(BX33-BW33))</f>
        <v>0</v>
      </c>
      <c r="BZ33" s="238">
        <f>IF(BY33=1,AK33,0)</f>
        <v>0</v>
      </c>
      <c r="CA33" s="243" t="str">
        <f>IF(BY33=0,AK33,0)</f>
        <v/>
      </c>
      <c r="CB33" s="238"/>
      <c r="CC33" s="238"/>
      <c r="CD33" s="242">
        <f>IF(AL27=3,0,IF(W33,V33,0))</f>
        <v>0</v>
      </c>
      <c r="CE33" s="238">
        <f>IF(CD33&gt;0,AX33/3,0)</f>
        <v>0</v>
      </c>
      <c r="CF33" s="238">
        <f>ROUNDUP(CE33,0)</f>
        <v>0</v>
      </c>
      <c r="CG33" s="244">
        <f>IF(MOD(CF33,2)=0,CF33,CF33+1)</f>
        <v>0</v>
      </c>
      <c r="CH33" s="238">
        <f>IF(AX33&lt;9,"",SUM(CG33-CF33))</f>
        <v>0</v>
      </c>
      <c r="CI33" s="238">
        <f>IF(CH33=1,AY33,0)</f>
        <v>0</v>
      </c>
      <c r="CJ33" s="243" t="str">
        <f>IF(CH33=0,AY33,0)</f>
        <v/>
      </c>
      <c r="CK33" s="238"/>
      <c r="CL33" s="245">
        <f>IF(COUNT(F33,H33)=1,0,1)</f>
        <v>1</v>
      </c>
      <c r="CM33" s="245">
        <f>IF(COUNT(F33,U33)=1,0,1)</f>
        <v>1</v>
      </c>
      <c r="CN33" s="245">
        <f>IF(COUNT(H33,W33)=1,0,1)</f>
        <v>1</v>
      </c>
      <c r="CO33" s="245">
        <f>IF(COUNT(G33,V33)=2,0,1)</f>
        <v>1</v>
      </c>
      <c r="CP33" s="245">
        <f>IF(COUNT(U33,W33)=1,0,1)</f>
        <v>1</v>
      </c>
      <c r="CQ33" s="245">
        <f>IF(SUM(G33-V33)&gt;3,1,0)</f>
        <v>0</v>
      </c>
      <c r="CR33" s="245">
        <f>IF(SUM(G33-V33)&lt;-3,1,0)</f>
        <v>0</v>
      </c>
      <c r="CS33" s="264">
        <f>IF(AJ33=9,IF(AH33&lt;141,1,0),IF(AH33="",0,IF(AH33&gt;1,0,1)))</f>
        <v>0</v>
      </c>
      <c r="CT33" s="264">
        <f>IF(AX33=9,IF(AV33&lt;141,1,0),IF(AV33="",0,IF(AV33&gt;1,0,1)))</f>
        <v>0</v>
      </c>
      <c r="CU33" s="264">
        <f>IF(AI33="",0,IF(AI33&lt;502,0,1))</f>
        <v>0</v>
      </c>
      <c r="CV33" s="264">
        <f>IF(AW33="",0,IF(AW33&lt;502,0,1))</f>
        <v>0</v>
      </c>
      <c r="CW33" s="264">
        <f>IF(AI33="",IF(AJ33&lt;9,1,0),IF(AJ33&lt;9,1,0))</f>
        <v>0</v>
      </c>
      <c r="CX33" s="264">
        <f>IF(AW33="",IF(AX33&lt;9,1,0),IF(AX33&lt;9,1,0))</f>
        <v>0</v>
      </c>
      <c r="CY33" s="374"/>
      <c r="CZ33" s="374"/>
      <c r="DA33" s="374"/>
      <c r="DB33" s="374"/>
      <c r="DC33" s="265">
        <f>IF(AJ33="",0,SUM(CL33:CX33))</f>
        <v>0</v>
      </c>
      <c r="DD33" s="265">
        <f>IF(AJ33="",0,SUM(CL33,CS33,CU33,CW33))</f>
        <v>0</v>
      </c>
      <c r="DE33" s="265">
        <f>IF(AJ33="",0,SUM(CP33,CT33,CV33,CX33))</f>
        <v>0</v>
      </c>
      <c r="DF33" s="238"/>
      <c r="DG33" s="248">
        <f>IF(AL27=3,0,SUM(G33-V33))</f>
        <v>0</v>
      </c>
      <c r="DH33" s="245">
        <f>IF(F33="",0,1)</f>
        <v>0</v>
      </c>
      <c r="DI33" s="245">
        <f t="shared" si="44"/>
        <v>0</v>
      </c>
      <c r="DJ33" s="245">
        <f t="shared" si="45"/>
        <v>0</v>
      </c>
      <c r="DK33" s="245" t="str">
        <f>IF(G33="","",IF(DJ33=1,"*",""))</f>
        <v/>
      </c>
      <c r="DL33" s="245" t="str">
        <f>IF(AL27=3,"",IF(G33="","",IF(DJ33=-1,"*",IF(DJ33=0,"*",""))))</f>
        <v/>
      </c>
      <c r="DM33" s="245">
        <v>4</v>
      </c>
      <c r="DN33" s="245" t="str">
        <f t="shared" si="46"/>
        <v>4</v>
      </c>
      <c r="DO33" s="245" t="str">
        <f t="shared" si="47"/>
        <v>4</v>
      </c>
      <c r="DP33" s="245">
        <f>SUM(DQ30)</f>
        <v>0</v>
      </c>
      <c r="DQ33" s="245">
        <f>SUM(DP30)</f>
        <v>0</v>
      </c>
      <c r="DR33" s="245">
        <f t="shared" si="54"/>
        <v>0</v>
      </c>
      <c r="DS33" s="245">
        <f t="shared" si="55"/>
        <v>0</v>
      </c>
      <c r="DT33" s="245">
        <f t="shared" si="56"/>
        <v>0</v>
      </c>
      <c r="DU33" s="245">
        <f>IF(V33="",0,IF(DQ33=DS33,0,1))</f>
        <v>0</v>
      </c>
      <c r="DV33" s="267">
        <f t="shared" si="57"/>
        <v>0</v>
      </c>
      <c r="DW33" s="267">
        <f>IF(V33="",0,SUM(DU33))</f>
        <v>0</v>
      </c>
      <c r="DX33" s="238">
        <f>IF(AK33="",0,1)</f>
        <v>0</v>
      </c>
      <c r="DY33" s="238">
        <f>IF(DG33=-3,1,0)</f>
        <v>0</v>
      </c>
      <c r="DZ33" s="238">
        <f>SUM(DX33:DY33)</f>
        <v>0</v>
      </c>
      <c r="EA33" s="238">
        <f>IF(AK33="",1,0)</f>
        <v>1</v>
      </c>
      <c r="EB33" s="238">
        <f>IF(DG33=3,1,0)</f>
        <v>0</v>
      </c>
      <c r="EC33" s="238">
        <f>SUM(EA33:EB33)</f>
        <v>1</v>
      </c>
      <c r="ED33" s="267">
        <f>IF(EC33=2,1,0)</f>
        <v>0</v>
      </c>
      <c r="EE33" s="267">
        <f>IF(DZ33=2,1,0)</f>
        <v>0</v>
      </c>
      <c r="EG33" s="166"/>
      <c r="EH33" s="238"/>
      <c r="EI33" s="238"/>
      <c r="EJ33" s="238"/>
      <c r="EK33" s="238"/>
      <c r="EL33" s="238"/>
      <c r="EM33" s="245">
        <f>IF(AK33="",0,1)</f>
        <v>0</v>
      </c>
      <c r="EN33" s="245">
        <f>SUM(AK33)</f>
        <v>0</v>
      </c>
      <c r="EO33" s="268">
        <f>SUM(AJ33)</f>
        <v>0</v>
      </c>
      <c r="EP33" s="268">
        <f>SUM(G33/3)</f>
        <v>0</v>
      </c>
      <c r="EQ33" s="268" t="e">
        <f>SUM(EO33/EP33)</f>
        <v>#DIV/0!</v>
      </c>
      <c r="ER33" s="268">
        <f>ROUNDDOWN(EP33,0)</f>
        <v>0</v>
      </c>
      <c r="ES33" s="268">
        <f>SUM(EO33,-ER33*3)</f>
        <v>0</v>
      </c>
      <c r="ET33" s="269" t="b">
        <f>MOD(EN33/1,2)=0</f>
        <v>1</v>
      </c>
      <c r="EU33" s="245">
        <f>IF(ET33=FALSE,1,0)</f>
        <v>0</v>
      </c>
      <c r="EV33" s="245">
        <f>IF(EN33=50,0,IF(EN33&lt;40,1,0))</f>
        <v>1</v>
      </c>
      <c r="EW33" s="245">
        <f>SUM(EU33:EV33)</f>
        <v>1</v>
      </c>
      <c r="EX33" s="267">
        <f>IF(EN33=1,1,IF(EN33=50,0,IF(ES33=1,IF(EN33&gt;40,1,0),0)))</f>
        <v>0</v>
      </c>
      <c r="EY33" s="267">
        <f>IF(ES33=1,IF(EW33=2,1,0),0)+EX33+FB33+FE33</f>
        <v>0</v>
      </c>
      <c r="EZ33" s="245">
        <f>IF(EN33=109,1,IF(EN33=108,1,IF(EN33=106,1,IF(EN33=105,1,IF(EN33=103,1,IF(EN33=102,1,IF(EN33=99,1,0)))))))</f>
        <v>0</v>
      </c>
      <c r="FA33" s="245">
        <f>IF(EN33&gt;110,1,0)</f>
        <v>0</v>
      </c>
      <c r="FB33" s="267">
        <f>IF(ES33=2,SUM(EZ33:FA33),0)</f>
        <v>0</v>
      </c>
      <c r="FC33" s="245">
        <f>IF(EN33=159,1,IF(EN33=162,1,IF(EN33=163,1,IF(EN33=165,1,IF(EN33=166,1,IF(EN33=168,1,IF(EN33=169,1,0)))))))</f>
        <v>0</v>
      </c>
      <c r="FD33" s="245">
        <f>IF(EN33&gt;170,1,0)</f>
        <v>0</v>
      </c>
      <c r="FE33" s="267">
        <f>IF(ES33=0,SUM(FC33:FD33),0)</f>
        <v>0</v>
      </c>
      <c r="FF33" s="251">
        <f t="shared" si="48"/>
        <v>0</v>
      </c>
      <c r="FG33" s="238"/>
      <c r="FH33" s="245">
        <f>IF(AY33="",0,1)</f>
        <v>0</v>
      </c>
      <c r="FI33" s="245">
        <f>SUM(AY33)</f>
        <v>0</v>
      </c>
      <c r="FJ33" s="268">
        <f>SUM(AX33)</f>
        <v>0</v>
      </c>
      <c r="FK33" s="268">
        <f>SUM(V33/3)</f>
        <v>0</v>
      </c>
      <c r="FL33" s="268" t="e">
        <f>SUM(FJ33/FK33)</f>
        <v>#DIV/0!</v>
      </c>
      <c r="FM33" s="268">
        <f>ROUNDDOWN(FK33,0)</f>
        <v>0</v>
      </c>
      <c r="FN33" s="268">
        <f>SUM(FJ33,-FM33*3)</f>
        <v>0</v>
      </c>
      <c r="FO33" s="269" t="b">
        <f>MOD(FI33/1,2)=0</f>
        <v>1</v>
      </c>
      <c r="FP33" s="245">
        <f>IF(FO33=FALSE,1,0)</f>
        <v>0</v>
      </c>
      <c r="FQ33" s="245">
        <f>IF(FI33=50,0,IF(FI33&lt;40,1,0))</f>
        <v>1</v>
      </c>
      <c r="FR33" s="245">
        <f>SUM(FP33:FQ33)</f>
        <v>1</v>
      </c>
      <c r="FS33" s="267">
        <f>IF(FI33=1,1,IF(FI33=50,0,IF(FN33=1,IF(FI33&gt;40,1,0),0)))</f>
        <v>0</v>
      </c>
      <c r="FT33" s="267">
        <f>IF(FN33=1,IF(FR33=2,1,0),0)+FS33+FW33+FZ33</f>
        <v>0</v>
      </c>
      <c r="FU33" s="245">
        <f>IF(FI33=109,1,IF(FI33=108,1,IF(FI33=106,1,IF(FI33=105,1,IF(FI33=103,1,IF(FI33=102,1,IF(FI33=99,1,0)))))))</f>
        <v>0</v>
      </c>
      <c r="FV33" s="245">
        <f>IF(FI33&gt;110,1,0)</f>
        <v>0</v>
      </c>
      <c r="FW33" s="267">
        <f>IF(FN33=2,SUM(FU33:FV33),0)</f>
        <v>0</v>
      </c>
      <c r="FX33" s="245">
        <f>IF(FI33=159,1,IF(FI33=162,1,IF(FI33=163,1,IF(FI33=165,1,IF(FI33=166,1,IF(FI33=168,1,IF(FI33=169,1,0)))))))</f>
        <v>0</v>
      </c>
      <c r="FY33" s="245">
        <f>IF(FI33&gt;170,1,0)</f>
        <v>0</v>
      </c>
      <c r="FZ33" s="267">
        <f>IF(FN33=0,SUM(FX33:FY33),0)</f>
        <v>0</v>
      </c>
      <c r="GA33" s="251">
        <f t="shared" si="49"/>
        <v>0</v>
      </c>
      <c r="GC33" s="238" t="str">
        <f>VLOOKUP(AH27,Chema!BL:BR,4,FALSE)</f>
        <v>GS 1.2</v>
      </c>
      <c r="GD33" s="341">
        <f>IF(T37="FORFAIT",1,0)</f>
        <v>0</v>
      </c>
      <c r="GE33" s="343" t="str">
        <f>IF(R37="","",SUM(R37))</f>
        <v/>
      </c>
      <c r="GF33" s="344">
        <f>SUM(AV30)</f>
        <v>0</v>
      </c>
      <c r="GG33" s="344">
        <f>SUM(AX30)</f>
        <v>0</v>
      </c>
      <c r="GH33" s="344">
        <f t="shared" ref="GH33" si="58">SUM(AY30)</f>
        <v>0</v>
      </c>
      <c r="GI33" s="344">
        <f t="shared" ref="GI33" si="59">SUM(AZ30)</f>
        <v>0</v>
      </c>
      <c r="GJ33" s="344">
        <f>SUM(AV31)</f>
        <v>0</v>
      </c>
      <c r="GK33" s="344">
        <f>SUM(AX31)</f>
        <v>0</v>
      </c>
      <c r="GL33" s="344">
        <f>SUM(AY31)</f>
        <v>0</v>
      </c>
      <c r="GM33" s="344">
        <f>SUM(AZ31)</f>
        <v>0</v>
      </c>
      <c r="GN33" s="344">
        <f>SUM(AV32)</f>
        <v>0</v>
      </c>
      <c r="GO33" s="344">
        <f>SUM(AX32)</f>
        <v>0</v>
      </c>
      <c r="GP33" s="344">
        <f>SUM(AY32)</f>
        <v>0</v>
      </c>
      <c r="GQ33" s="344">
        <f>SUM(AZ32)</f>
        <v>0</v>
      </c>
      <c r="GR33" s="344">
        <f>SUM(AV33)</f>
        <v>0</v>
      </c>
      <c r="GS33" s="344">
        <f>SUM(AX33)</f>
        <v>0</v>
      </c>
      <c r="GT33" s="344">
        <f>SUM(AY33)</f>
        <v>0</v>
      </c>
      <c r="GU33" s="344">
        <f>SUM(AZ33)</f>
        <v>0</v>
      </c>
      <c r="GV33" s="344">
        <f>SUM(AV34)</f>
        <v>0</v>
      </c>
      <c r="GW33" s="344">
        <f>SUM(AX34)</f>
        <v>0</v>
      </c>
      <c r="GX33" s="344">
        <f>SUM(AY34)</f>
        <v>0</v>
      </c>
      <c r="GY33" s="344">
        <f>SUM(AZ34)</f>
        <v>0</v>
      </c>
      <c r="GZ33" s="344">
        <f>SUM(GF33,GJ33,GN33,GR33,GV33)</f>
        <v>0</v>
      </c>
      <c r="HA33" s="344">
        <f t="shared" ref="HA33" si="60">SUM(GG33,GK33,GO33,GS33,GW33)</f>
        <v>0</v>
      </c>
      <c r="HB33" s="344">
        <f>IF(GD30=1,P37,MAX(GH33,GL33,GP33,GT33,GX33))</f>
        <v>0</v>
      </c>
      <c r="HC33" s="344">
        <f>IF(GD30=1,X37,SUM(GI33,GM33,GQ33,GU33,GY33))</f>
        <v>0</v>
      </c>
      <c r="HD33" s="345">
        <f>IF(GD30=1,0,SUM(GF33,GJ33,GN33,GR33,GV33))</f>
        <v>0</v>
      </c>
      <c r="HE33" s="345">
        <f>IF(GD30=1,0,SUM(GG33,GK33,GO33,GS33,GW33))</f>
        <v>0</v>
      </c>
      <c r="HF33" s="341">
        <f>IF(GD30=1,0,MIN(HI33,HJ33,HK33,HL33,HM33))</f>
        <v>0</v>
      </c>
      <c r="HG33" s="341">
        <f>IF(HF33=0,0,COUNTIF(HI33:HM33,HF33))</f>
        <v>0</v>
      </c>
      <c r="HH33" s="341">
        <f>SUM(GH34,GL34,GP34,GT34,GX34)</f>
        <v>0</v>
      </c>
      <c r="HI33" s="343" t="str">
        <f>IF(GH34=1,GG33,"")</f>
        <v/>
      </c>
      <c r="HJ33" s="343" t="str">
        <f>IF(GL34=1,GK33,"")</f>
        <v/>
      </c>
      <c r="HK33" s="343" t="str">
        <f>IF(GP34=1,GO33,"")</f>
        <v/>
      </c>
      <c r="HL33" s="343" t="str">
        <f>IF(GT34=1,GS33,"")</f>
        <v/>
      </c>
      <c r="HM33" s="343" t="str">
        <f>IF(GX34=1,GW33,"")</f>
        <v/>
      </c>
      <c r="HN33" s="341"/>
      <c r="HO33" s="341"/>
      <c r="HP33" s="341"/>
      <c r="HQ33" s="341"/>
      <c r="HR33" s="341"/>
      <c r="HS33" s="238"/>
      <c r="HT33" s="238"/>
      <c r="HU33" s="238"/>
      <c r="HV33" s="238"/>
      <c r="HW33" s="238" t="str">
        <f>IFERROR(IF(GD30=0,SUM(IB32:IC32),""),"")</f>
        <v/>
      </c>
      <c r="HY33" s="238"/>
      <c r="ID33" s="238"/>
    </row>
    <row r="34" spans="1:238" s="234" customFormat="1" ht="20.100000000000001" customHeight="1">
      <c r="A34" s="235"/>
      <c r="B34" s="231">
        <f>COUNT(AJ35,AJ34)</f>
        <v>1</v>
      </c>
      <c r="C34" s="235"/>
      <c r="D34" s="271" t="str">
        <f>REPT(DN34,1)</f>
        <v>5</v>
      </c>
      <c r="E34" s="254" t="str">
        <f>REPT(AH34,1)</f>
        <v/>
      </c>
      <c r="F34" s="168"/>
      <c r="G34" s="168"/>
      <c r="H34" s="168"/>
      <c r="I34" s="169"/>
      <c r="J34" s="272" t="str">
        <f>REPT(AM34,1)</f>
        <v/>
      </c>
      <c r="L34" s="310"/>
      <c r="M34" s="310"/>
      <c r="N34" s="272" t="str">
        <f>REPT(AP34,1)</f>
        <v/>
      </c>
      <c r="O34" s="118"/>
      <c r="Q34" s="310"/>
      <c r="R34" s="235"/>
      <c r="S34" s="271" t="str">
        <f>REPT(DO34,1)</f>
        <v>5</v>
      </c>
      <c r="T34" s="254" t="str">
        <f>REPT(AV34,1)</f>
        <v/>
      </c>
      <c r="U34" s="168"/>
      <c r="V34" s="168"/>
      <c r="W34" s="168"/>
      <c r="X34" s="169"/>
      <c r="Y34" s="272" t="str">
        <f>REPT(BA34,1)</f>
        <v/>
      </c>
      <c r="Z34" s="308"/>
      <c r="AA34" s="238">
        <f>SUM(AL27)</f>
        <v>5</v>
      </c>
      <c r="AB34" s="234">
        <f>IF(AY34="",0,IF(AY34&lt;2,1,""))</f>
        <v>0</v>
      </c>
      <c r="AC34" s="238">
        <f>IF(AL27=3,0,IF(AD34=1,1,IF(AD34=3,1,IF(AD34=2,0,IF(AD34=0,0,0)))))</f>
        <v>0</v>
      </c>
      <c r="AD34" s="256">
        <f t="shared" si="38"/>
        <v>0</v>
      </c>
      <c r="AE34" s="256">
        <f t="shared" si="32"/>
        <v>0</v>
      </c>
      <c r="AF34" s="256">
        <f t="shared" si="33"/>
        <v>0</v>
      </c>
      <c r="AG34" s="256">
        <f t="shared" si="39"/>
        <v>0</v>
      </c>
      <c r="AH34" s="257" t="str">
        <f>IF(AL27=3,"",IF(AK34="",IF(AI34="","",IF(AI34="",501,501-AI34)),501))</f>
        <v/>
      </c>
      <c r="AI34" s="256" t="str">
        <f>IF(AL27=3,"",IF(F34&gt;1,F34,IF(F34=0,"",IF(F34="","",""))))</f>
        <v/>
      </c>
      <c r="AJ34" s="256" t="str">
        <f>IF(AL27=3,"",IF(G34&gt;8,G34,IF(G34="","","")))</f>
        <v/>
      </c>
      <c r="AK34" s="256" t="str">
        <f>IF(AL27=3,"",IF(H34&gt;1,H34,IF(H34="","","")))</f>
        <v/>
      </c>
      <c r="AL34" s="256" t="str">
        <f>IF(AL27=3,"",IF(I34&gt;0,I34,IF(I34="","","")))</f>
        <v/>
      </c>
      <c r="AM34" s="258" t="str">
        <f>IF(BK34=0,"","X")</f>
        <v/>
      </c>
      <c r="AN34" s="237"/>
      <c r="AO34" s="237"/>
      <c r="AP34" s="258" t="str">
        <f>IF(BM34=0,"","X")</f>
        <v/>
      </c>
      <c r="AQ34" s="236">
        <f>IF(AL27=3,0,IF(AR34=1,1,IF(AR34=3,1,IF(AR34=2,0,IF(AR34=0,0,0)))))</f>
        <v>0</v>
      </c>
      <c r="AR34" s="256">
        <f t="shared" si="41"/>
        <v>0</v>
      </c>
      <c r="AS34" s="256">
        <f t="shared" si="34"/>
        <v>0</v>
      </c>
      <c r="AT34" s="256">
        <f t="shared" si="35"/>
        <v>0</v>
      </c>
      <c r="AU34" s="256">
        <f t="shared" si="42"/>
        <v>0</v>
      </c>
      <c r="AV34" s="257" t="str">
        <f>IF(AY34="",IF(AW34="","",IF(AW34="",501,501-AW34)),501)</f>
        <v/>
      </c>
      <c r="AW34" s="256" t="str">
        <f>IF(AL27=3,"",IF(U34&gt;1,U34,IF(U34=0,"",IF(U34="","",""))))</f>
        <v/>
      </c>
      <c r="AX34" s="256" t="str">
        <f>IF(AL27=3,"",IF(V34&gt;8,V34,IF(V34="","","")))</f>
        <v/>
      </c>
      <c r="AY34" s="256" t="str">
        <f>IF(AL27=3,"",IF(W34&gt;1,W34,IF(W34="","","")))</f>
        <v/>
      </c>
      <c r="AZ34" s="256" t="str">
        <f>IF(AL27=3,"",IF(X34&gt;0,X34,IF(X34="","","")))</f>
        <v/>
      </c>
      <c r="BA34" s="258" t="str">
        <f>IF(BL34=0,"","X")</f>
        <v/>
      </c>
      <c r="BK34" s="251">
        <f>IF(AL27=3,0,SUM(DD34,DV34,EY34,ED34,FF34,BQ34,BS34,AC34))</f>
        <v>0</v>
      </c>
      <c r="BL34" s="251">
        <f>SUM(DE34,DW34,EE34,FT34,GA34,BR34,BT34,AQ34)</f>
        <v>0</v>
      </c>
      <c r="BM34" s="259">
        <f>IF(AL27=3,0,SUM(DC34,BK34:BL34,AC34,AQ34))</f>
        <v>0</v>
      </c>
      <c r="BN34" s="239">
        <f>COUNT(AK34)</f>
        <v>0</v>
      </c>
      <c r="BO34" s="239">
        <f>COUNT(AY34)</f>
        <v>0</v>
      </c>
      <c r="BP34" s="239">
        <f>IF(BN36=0,0,1)</f>
        <v>0</v>
      </c>
      <c r="BQ34" s="260">
        <f>IF(AL34="",0,IF(AL34&gt;2,1,0))</f>
        <v>0</v>
      </c>
      <c r="BR34" s="261">
        <f>IF(AZ34="",0,IF(AZ34&gt;2,1,0))</f>
        <v>0</v>
      </c>
      <c r="BS34" s="262">
        <f>IF(AJ34=9,IF(AK34&lt;141,1,0),0)</f>
        <v>0</v>
      </c>
      <c r="BT34" s="263">
        <f>IF(AX34=9,IF(AY34&lt;141,1,0),0)</f>
        <v>0</v>
      </c>
      <c r="BU34" s="242">
        <f>IF(AL27=3,0,IF(H34,G34,0))</f>
        <v>0</v>
      </c>
      <c r="BV34" s="238">
        <f>IF(BU34&gt;0,AJ34/3,0)</f>
        <v>0</v>
      </c>
      <c r="BW34" s="238">
        <f>ROUNDUP(BV34,0)</f>
        <v>0</v>
      </c>
      <c r="BX34" s="244">
        <f>IF(MOD(BW34,2)=0,BW34,BW34+1)</f>
        <v>0</v>
      </c>
      <c r="BY34" s="238">
        <f>IF(AJ34&lt;9,"",SUM(BX34-BW34))</f>
        <v>0</v>
      </c>
      <c r="BZ34" s="238">
        <f>IF(BY34=1,AK34,0)</f>
        <v>0</v>
      </c>
      <c r="CA34" s="243" t="str">
        <f>IF(BY34=0,AK34,0)</f>
        <v/>
      </c>
      <c r="CB34" s="238"/>
      <c r="CC34" s="238"/>
      <c r="CD34" s="242">
        <f>IF(AL27=3,0,IF(W34,V34,0))</f>
        <v>0</v>
      </c>
      <c r="CE34" s="238">
        <f>IF(CD34&gt;0,AX34/3,0)</f>
        <v>0</v>
      </c>
      <c r="CF34" s="238">
        <f>ROUNDUP(CE34,0)</f>
        <v>0</v>
      </c>
      <c r="CG34" s="244">
        <f>IF(MOD(CF34,2)=0,CF34,CF34+1)</f>
        <v>0</v>
      </c>
      <c r="CH34" s="238">
        <f>IF(AX34&lt;9,"",SUM(CG34-CF34))</f>
        <v>0</v>
      </c>
      <c r="CI34" s="238">
        <f>IF(CH34=1,AY34,0)</f>
        <v>0</v>
      </c>
      <c r="CJ34" s="243" t="str">
        <f>IF(CH34=0,AY34,0)</f>
        <v/>
      </c>
      <c r="CK34" s="238"/>
      <c r="CL34" s="245">
        <f>IF(COUNT(F34,H34)=1,0,1)</f>
        <v>1</v>
      </c>
      <c r="CM34" s="245">
        <f>IF(COUNT(F34,U34)=1,0,1)</f>
        <v>1</v>
      </c>
      <c r="CN34" s="245">
        <f>IF(COUNT(H34,W34)=1,0,1)</f>
        <v>1</v>
      </c>
      <c r="CO34" s="245">
        <f>IF(COUNT(G34,V34)=2,0,1)</f>
        <v>1</v>
      </c>
      <c r="CP34" s="245">
        <f>IF(COUNT(U34,W34)=1,0,1)</f>
        <v>1</v>
      </c>
      <c r="CQ34" s="245">
        <f>IF(SUM(G34-V34)&gt;3,1,0)</f>
        <v>0</v>
      </c>
      <c r="CR34" s="245">
        <f>IF(SUM(G34-V34)&lt;-3,1,0)</f>
        <v>0</v>
      </c>
      <c r="CS34" s="264">
        <f>IF(AJ34=9,IF(AH34&lt;141,1,0),IF(AH34="",0,IF(AH34&gt;1,0,1)))</f>
        <v>0</v>
      </c>
      <c r="CT34" s="264">
        <f>IF(AX34=9,IF(AV34&lt;141,1,0),IF(AV34="",0,IF(AV34&gt;1,0,1)))</f>
        <v>0</v>
      </c>
      <c r="CU34" s="264">
        <f>IF(AI34="",0,IF(AI34&lt;502,0,1))</f>
        <v>0</v>
      </c>
      <c r="CV34" s="264">
        <f>IF(AW34="",0,IF(AW34&lt;502,0,1))</f>
        <v>0</v>
      </c>
      <c r="CW34" s="264">
        <f>IF(AI34="",IF(AJ34&lt;9,1,0),IF(AJ34&lt;9,1,0))</f>
        <v>0</v>
      </c>
      <c r="CX34" s="264">
        <f>IF(AW34="",IF(AX34&lt;9,1,0),IF(AX34&lt;9,1,0))</f>
        <v>0</v>
      </c>
      <c r="CY34" s="374"/>
      <c r="CZ34" s="374"/>
      <c r="DA34" s="374"/>
      <c r="DB34" s="374"/>
      <c r="DC34" s="265">
        <f>IF(AJ34="",0,SUM(CL34:CX34))</f>
        <v>0</v>
      </c>
      <c r="DD34" s="265">
        <f>IF(AJ34="",0,SUM(CL34,CS34,CU34,CW34))</f>
        <v>0</v>
      </c>
      <c r="DE34" s="265">
        <f>IF(AJ34="",0,SUM(CP34,CT34,CV34,CX34))</f>
        <v>0</v>
      </c>
      <c r="DF34" s="238"/>
      <c r="DG34" s="248">
        <f>IF(AL27=3,0,SUM(G34-V34))</f>
        <v>0</v>
      </c>
      <c r="DH34" s="245">
        <f>IF(F34="",0,1)</f>
        <v>0</v>
      </c>
      <c r="DI34" s="245">
        <f t="shared" si="44"/>
        <v>0</v>
      </c>
      <c r="DJ34" s="245">
        <f t="shared" si="45"/>
        <v>0</v>
      </c>
      <c r="DK34" s="245" t="str">
        <f>IF(G34="","",IF(DJ34=1,"*",""))</f>
        <v/>
      </c>
      <c r="DL34" s="245" t="str">
        <f>IF(AL27=3,"",IF(G34="","",IF(DJ34=-1,"*",IF(DJ34=0,"*",""))))</f>
        <v/>
      </c>
      <c r="DM34" s="245">
        <v>5</v>
      </c>
      <c r="DN34" s="245" t="str">
        <f t="shared" si="46"/>
        <v>5</v>
      </c>
      <c r="DO34" s="245" t="str">
        <f t="shared" si="47"/>
        <v>5</v>
      </c>
      <c r="DP34" s="245">
        <f>SUM(DP30)</f>
        <v>0</v>
      </c>
      <c r="DQ34" s="245">
        <f>SUM(DQ30)</f>
        <v>0</v>
      </c>
      <c r="DR34" s="245">
        <f t="shared" si="54"/>
        <v>0</v>
      </c>
      <c r="DS34" s="245">
        <f t="shared" si="55"/>
        <v>0</v>
      </c>
      <c r="DT34" s="245">
        <f t="shared" si="56"/>
        <v>0</v>
      </c>
      <c r="DU34" s="245">
        <f>IF(V34="",0,IF(DQ34=DS34,0,1))</f>
        <v>0</v>
      </c>
      <c r="DV34" s="267">
        <f t="shared" si="57"/>
        <v>0</v>
      </c>
      <c r="DW34" s="267">
        <f>IF(V34="",0,SUM(DU34))</f>
        <v>0</v>
      </c>
      <c r="DX34" s="238">
        <f>IF(AK34="",0,1)</f>
        <v>0</v>
      </c>
      <c r="DY34" s="238">
        <f>IF(DG34=-3,1,0)</f>
        <v>0</v>
      </c>
      <c r="DZ34" s="238">
        <f>SUM(DX34:DY34)</f>
        <v>0</v>
      </c>
      <c r="EA34" s="238">
        <f>IF(AK34="",1,0)</f>
        <v>1</v>
      </c>
      <c r="EB34" s="238">
        <f>IF(DG34=3,1,0)</f>
        <v>0</v>
      </c>
      <c r="EC34" s="238">
        <f>SUM(EA34:EB34)</f>
        <v>1</v>
      </c>
      <c r="ED34" s="267">
        <f>IF(EC34=2,1,0)</f>
        <v>0</v>
      </c>
      <c r="EE34" s="267">
        <f>IF(DZ34=2,1,0)</f>
        <v>0</v>
      </c>
      <c r="EG34" s="166"/>
      <c r="EH34" s="238"/>
      <c r="EI34" s="238"/>
      <c r="EJ34" s="238"/>
      <c r="EK34" s="238"/>
      <c r="EL34" s="238"/>
      <c r="EM34" s="245">
        <f>IF(AK34="",0,1)</f>
        <v>0</v>
      </c>
      <c r="EN34" s="245">
        <f>SUM(AK34)</f>
        <v>0</v>
      </c>
      <c r="EO34" s="268">
        <f>SUM(AJ34)</f>
        <v>0</v>
      </c>
      <c r="EP34" s="268">
        <f>SUM(G34/3)</f>
        <v>0</v>
      </c>
      <c r="EQ34" s="268" t="e">
        <f>SUM(EO34/EP34)</f>
        <v>#DIV/0!</v>
      </c>
      <c r="ER34" s="268">
        <f>ROUNDDOWN(EP34,0)</f>
        <v>0</v>
      </c>
      <c r="ES34" s="268">
        <f>SUM(EO34,-ER34*3)</f>
        <v>0</v>
      </c>
      <c r="ET34" s="269" t="b">
        <f>MOD(EN34/1,2)=0</f>
        <v>1</v>
      </c>
      <c r="EU34" s="245">
        <f>IF(ET34=FALSE,1,0)</f>
        <v>0</v>
      </c>
      <c r="EV34" s="245">
        <f>IF(EN34=50,0,IF(EN34&lt;40,1,0))</f>
        <v>1</v>
      </c>
      <c r="EW34" s="245">
        <f>SUM(EU34:EV34)</f>
        <v>1</v>
      </c>
      <c r="EX34" s="267">
        <f>IF(EN34=1,1,IF(EN34=50,0,IF(ES34=1,IF(EN34&gt;40,1,0),0)))</f>
        <v>0</v>
      </c>
      <c r="EY34" s="267">
        <f>IF(ES34=1,IF(EW34=2,1,0),0)+EX34+FB34+FE34</f>
        <v>0</v>
      </c>
      <c r="EZ34" s="245">
        <f>IF(EN34=109,1,IF(EN34=108,1,IF(EN34=106,1,IF(EN34=105,1,IF(EN34=103,1,IF(EN34=102,1,IF(EN34=99,1,0)))))))</f>
        <v>0</v>
      </c>
      <c r="FA34" s="245">
        <f>IF(EN34&gt;110,1,0)</f>
        <v>0</v>
      </c>
      <c r="FB34" s="267">
        <f>IF(ES34=2,SUM(EZ34:FA34),0)</f>
        <v>0</v>
      </c>
      <c r="FC34" s="245">
        <f>IF(EN34=159,1,IF(EN34=162,1,IF(EN34=163,1,IF(EN34=165,1,IF(EN34=166,1,IF(EN34=168,1,IF(EN34=169,1,0)))))))</f>
        <v>0</v>
      </c>
      <c r="FD34" s="245">
        <f>IF(EN34&gt;170,1,0)</f>
        <v>0</v>
      </c>
      <c r="FE34" s="267">
        <f>IF(ES34=0,SUM(FC34:FD34),0)</f>
        <v>0</v>
      </c>
      <c r="FF34" s="251">
        <f t="shared" si="48"/>
        <v>0</v>
      </c>
      <c r="FG34" s="238"/>
      <c r="FH34" s="245">
        <f>IF(AY34="",0,1)</f>
        <v>0</v>
      </c>
      <c r="FI34" s="245">
        <f>SUM(AY34)</f>
        <v>0</v>
      </c>
      <c r="FJ34" s="268">
        <f>SUM(AX34)</f>
        <v>0</v>
      </c>
      <c r="FK34" s="268">
        <f>SUM(V34/3)</f>
        <v>0</v>
      </c>
      <c r="FL34" s="268" t="e">
        <f>SUM(FJ34/FK34)</f>
        <v>#DIV/0!</v>
      </c>
      <c r="FM34" s="268">
        <f>ROUNDDOWN(FK34,0)</f>
        <v>0</v>
      </c>
      <c r="FN34" s="268">
        <f>SUM(FJ34,-FM34*3)</f>
        <v>0</v>
      </c>
      <c r="FO34" s="269" t="b">
        <f>MOD(FI34/1,2)=0</f>
        <v>1</v>
      </c>
      <c r="FP34" s="245">
        <f>IF(FO34=FALSE,1,0)</f>
        <v>0</v>
      </c>
      <c r="FQ34" s="245">
        <f>IF(FI34=50,0,IF(FI34&lt;40,1,0))</f>
        <v>1</v>
      </c>
      <c r="FR34" s="245">
        <f>SUM(FP34:FQ34)</f>
        <v>1</v>
      </c>
      <c r="FS34" s="267">
        <f>IF(FI34=1,1,IF(FI34=50,0,IF(FN34=1,IF(FI34&gt;40,1,0),0)))</f>
        <v>0</v>
      </c>
      <c r="FT34" s="267">
        <f>IF(FN34=1,IF(FR34=2,1,0),0)+FS34+FW34+FZ34</f>
        <v>0</v>
      </c>
      <c r="FU34" s="245">
        <f>IF(FI34=109,1,IF(FI34=108,1,IF(FI34=106,1,IF(FI34=105,1,IF(FI34=103,1,IF(FI34=102,1,IF(FI34=99,1,0)))))))</f>
        <v>0</v>
      </c>
      <c r="FV34" s="245">
        <f>IF(FI34&gt;110,1,0)</f>
        <v>0</v>
      </c>
      <c r="FW34" s="267">
        <f>IF(FN34=2,SUM(FU34:FV34),0)</f>
        <v>0</v>
      </c>
      <c r="FX34" s="245">
        <f>IF(FI34=159,1,IF(FI34=162,1,IF(FI34=163,1,IF(FI34=165,1,IF(FI34=166,1,IF(FI34=168,1,IF(FI34=169,1,0)))))))</f>
        <v>0</v>
      </c>
      <c r="FY34" s="245">
        <f>IF(FI34&gt;170,1,0)</f>
        <v>0</v>
      </c>
      <c r="FZ34" s="267">
        <f>IF(FN34=0,SUM(FX34:FY34),0)</f>
        <v>0</v>
      </c>
      <c r="GA34" s="251">
        <f t="shared" si="49"/>
        <v>0</v>
      </c>
      <c r="GC34" s="238" t="str">
        <f>VLOOKUP(AH27,Chema!BL:BR,5,FALSE)</f>
        <v/>
      </c>
      <c r="GD34" s="341"/>
      <c r="GE34" s="343" t="str">
        <f>IF(R38="","",SUM(R38))</f>
        <v/>
      </c>
      <c r="GF34" s="340"/>
      <c r="GG34" s="346"/>
      <c r="GH34" s="343">
        <f>IF(GH33&gt;0,1,0)</f>
        <v>0</v>
      </c>
      <c r="GI34" s="346"/>
      <c r="GJ34" s="343"/>
      <c r="GK34" s="346"/>
      <c r="GL34" s="343">
        <f>IF(GL33&gt;0,1,0)</f>
        <v>0</v>
      </c>
      <c r="GM34" s="343"/>
      <c r="GN34" s="343"/>
      <c r="GO34" s="346"/>
      <c r="GP34" s="343">
        <f>IF(GP33&gt;0,1,0)</f>
        <v>0</v>
      </c>
      <c r="GQ34" s="343"/>
      <c r="GR34" s="343"/>
      <c r="GS34" s="346"/>
      <c r="GT34" s="343">
        <f>IF(GT33&gt;0,1,0)</f>
        <v>0</v>
      </c>
      <c r="GU34" s="343"/>
      <c r="GV34" s="343"/>
      <c r="GW34" s="346"/>
      <c r="GX34" s="343">
        <f>IF(GX33&gt;0,1,0)</f>
        <v>0</v>
      </c>
      <c r="GY34" s="340"/>
      <c r="GZ34" s="343"/>
      <c r="HA34" s="343"/>
      <c r="HB34" s="343" t="str">
        <f>IF(GD30=1,P38,"")</f>
        <v/>
      </c>
      <c r="HC34" s="343" t="str">
        <f>IF(GD30=1,X38,"")</f>
        <v/>
      </c>
      <c r="HD34" s="340"/>
      <c r="HE34" s="340"/>
      <c r="HF34" s="340"/>
      <c r="HG34" s="340">
        <f>IF(HG32=HM30,0,IF(HG32=HM34,0,1))</f>
        <v>0</v>
      </c>
      <c r="HH34" s="340">
        <f>IF(HH31=HH33,1,0)</f>
        <v>1</v>
      </c>
      <c r="HI34" s="340"/>
      <c r="HJ34" s="340"/>
      <c r="HK34" s="340"/>
      <c r="HL34" s="340"/>
      <c r="HM34" s="341">
        <f>COUNT(HI33,HJ33,HK33,HL33,HM33)</f>
        <v>0</v>
      </c>
      <c r="HN34" s="341"/>
      <c r="HO34" s="341"/>
      <c r="HP34" s="341"/>
      <c r="HQ34" s="341"/>
      <c r="HR34" s="341"/>
      <c r="HS34" s="238"/>
      <c r="HT34" s="238"/>
      <c r="HU34" s="238"/>
      <c r="HV34" s="238"/>
      <c r="HX34" s="238"/>
      <c r="HY34" s="238"/>
      <c r="ID34" s="238"/>
    </row>
    <row r="35" spans="1:238" s="234" customFormat="1" ht="6.6" customHeight="1">
      <c r="A35" s="235"/>
      <c r="B35" s="231"/>
      <c r="C35" s="310"/>
      <c r="D35" s="310"/>
      <c r="E35" s="310"/>
      <c r="F35" s="310"/>
      <c r="G35" s="313"/>
      <c r="H35" s="310"/>
      <c r="I35" s="310"/>
      <c r="J35" s="273"/>
      <c r="K35" s="313"/>
      <c r="O35" s="118"/>
      <c r="R35" s="310"/>
      <c r="S35" s="310"/>
      <c r="T35" s="310"/>
      <c r="U35" s="310"/>
      <c r="V35" s="313"/>
      <c r="W35" s="310"/>
      <c r="X35" s="310"/>
      <c r="Y35" s="273"/>
      <c r="Z35" s="308"/>
      <c r="AA35" s="274"/>
      <c r="AD35" s="235"/>
      <c r="AE35" s="237">
        <f>IF(AF35=0,0,1)</f>
        <v>0</v>
      </c>
      <c r="AF35" s="237">
        <f>IF(AL35=0,0,SUM(AL37:AL38,-AL36))</f>
        <v>0</v>
      </c>
      <c r="AG35" s="237"/>
      <c r="AH35" s="275">
        <f>SUM(AH30,AH31,AH32,AH33,AH34)</f>
        <v>0</v>
      </c>
      <c r="AI35" s="275">
        <f t="shared" ref="AI35" si="61">SUM(AI30,AI31,AI32,AI33,AI34)</f>
        <v>0</v>
      </c>
      <c r="AJ35" s="275">
        <f t="shared" ref="AJ35" si="62">SUM(AJ30,AJ31,AJ32,AJ33,AJ34)</f>
        <v>0</v>
      </c>
      <c r="AK35" s="275">
        <f>MAX(AK30,AK31,AK32,AK33,AK34)</f>
        <v>0</v>
      </c>
      <c r="AL35" s="275">
        <f t="shared" ref="AL35" si="63">SUM(AL30,AL31,AL32,AL33,AL34)</f>
        <v>0</v>
      </c>
      <c r="AM35" s="275">
        <f>IF(AK27="D",SUM(AL30,AL31,AL32,AL33,AL34,-AL37,-AL38),0)</f>
        <v>0</v>
      </c>
      <c r="AN35" s="235"/>
      <c r="AO35" s="235"/>
      <c r="AP35" s="235"/>
      <c r="AQ35" s="235"/>
      <c r="AR35" s="235"/>
      <c r="AS35" s="237">
        <f>IF(AT35=0,0,1)</f>
        <v>0</v>
      </c>
      <c r="AT35" s="237">
        <f>IF(AZ35=0,0,SUM(AZ37:AZ38,-AZ36))</f>
        <v>0</v>
      </c>
      <c r="AU35" s="237"/>
      <c r="AV35" s="275">
        <f>SUM(AV30,AV31,AV32,AV33,AV34)</f>
        <v>0</v>
      </c>
      <c r="AW35" s="275">
        <f t="shared" ref="AW35" si="64">SUM(AW30,AW31,AW32,AW33,AW34)</f>
        <v>0</v>
      </c>
      <c r="AX35" s="275">
        <f t="shared" ref="AX35" si="65">SUM(AX30,AX31,AX32,AX33,AX34)</f>
        <v>0</v>
      </c>
      <c r="AY35" s="275">
        <f>MAX(AY30,AY31,AY32,AY33,AY34)</f>
        <v>0</v>
      </c>
      <c r="AZ35" s="275">
        <f t="shared" ref="AZ35" si="66">SUM(AZ30,AZ31,AZ32,AZ33,AZ34)</f>
        <v>0</v>
      </c>
      <c r="BA35" s="275">
        <f>IF(AK27="D",SUM(AZ30,AZ31,AZ32,AZ33,AZ34,-AZ37,-AZ38),0)</f>
        <v>0</v>
      </c>
      <c r="BJ35" s="236"/>
      <c r="BK35" s="238"/>
      <c r="BL35" s="238"/>
      <c r="BM35" s="238"/>
      <c r="BP35" s="238"/>
      <c r="BQ35" s="238"/>
      <c r="BR35" s="238"/>
      <c r="BS35" s="238"/>
      <c r="BT35" s="238"/>
      <c r="BU35" s="238"/>
      <c r="BY35" s="238"/>
      <c r="BZ35" s="238">
        <f>MAX(BZ30,BZ31,BZ32,BZ33,BZ34)</f>
        <v>0</v>
      </c>
      <c r="CA35" s="238">
        <f>MAX(CA30,CA31,CA32,CA33,CA34)</f>
        <v>0</v>
      </c>
      <c r="CB35" s="238"/>
      <c r="CC35" s="238"/>
      <c r="CD35" s="238"/>
      <c r="CG35" s="244"/>
      <c r="CH35" s="238"/>
      <c r="CI35" s="238">
        <f>MAX(CI30,CI31,CI32,CI33,CI34)</f>
        <v>0</v>
      </c>
      <c r="CJ35" s="238">
        <f>MAX(CJ30,CJ31,CJ32,CJ33,CJ34)</f>
        <v>0</v>
      </c>
      <c r="CK35" s="238"/>
      <c r="CL35" s="238"/>
      <c r="CM35" s="238"/>
      <c r="CN35" s="238"/>
      <c r="CO35" s="238"/>
      <c r="CP35" s="238"/>
      <c r="CQ35" s="238"/>
      <c r="CR35" s="238"/>
      <c r="CS35" s="238"/>
      <c r="CT35" s="238"/>
      <c r="CU35" s="238"/>
      <c r="CV35" s="238"/>
      <c r="CW35" s="238"/>
      <c r="CX35" s="238"/>
      <c r="CY35" s="238"/>
      <c r="CZ35" s="238"/>
      <c r="DA35" s="238"/>
      <c r="DB35" s="238"/>
      <c r="DC35" s="238"/>
      <c r="DD35" s="238"/>
      <c r="DE35" s="238"/>
      <c r="DF35" s="238"/>
      <c r="DG35" s="238"/>
      <c r="DH35" s="238"/>
      <c r="DI35" s="238"/>
      <c r="DJ35" s="238"/>
      <c r="DK35" s="238"/>
      <c r="DL35" s="238"/>
      <c r="DM35" s="238"/>
      <c r="DN35" s="238"/>
      <c r="DO35" s="238"/>
      <c r="DP35" s="238"/>
      <c r="DQ35" s="238"/>
      <c r="DR35" s="238"/>
      <c r="DS35" s="238"/>
      <c r="DT35" s="238"/>
      <c r="DU35" s="238"/>
      <c r="DV35" s="238"/>
      <c r="DW35" s="238"/>
      <c r="DX35" s="238"/>
      <c r="DY35" s="238"/>
      <c r="DZ35" s="238"/>
      <c r="EA35" s="238"/>
      <c r="EB35" s="238"/>
      <c r="EC35" s="238"/>
      <c r="ED35" s="238"/>
      <c r="EE35" s="238"/>
      <c r="EF35" s="238"/>
      <c r="EG35" s="238"/>
      <c r="EH35" s="238"/>
      <c r="EI35" s="238"/>
      <c r="EJ35" s="238"/>
      <c r="EK35" s="238"/>
      <c r="EL35" s="238"/>
      <c r="EM35" s="166"/>
      <c r="EN35" s="166"/>
      <c r="EO35" s="166"/>
      <c r="EP35" s="238">
        <f>SUM(EN35-EO35)</f>
        <v>0</v>
      </c>
      <c r="EQ35" s="238"/>
      <c r="ER35" s="238"/>
      <c r="ES35" s="238"/>
      <c r="ET35" s="244"/>
      <c r="EU35" s="238"/>
      <c r="EV35" s="238"/>
      <c r="EW35" s="238"/>
      <c r="EX35" s="238"/>
      <c r="EY35" s="238"/>
      <c r="EZ35" s="238"/>
      <c r="FA35" s="238"/>
      <c r="FB35" s="238"/>
      <c r="FC35" s="238"/>
      <c r="FD35" s="238"/>
      <c r="FE35" s="238"/>
      <c r="FF35" s="238"/>
      <c r="FG35" s="238"/>
      <c r="FH35" s="238"/>
      <c r="FI35" s="238"/>
      <c r="FJ35" s="238"/>
      <c r="FK35" s="238"/>
      <c r="FL35" s="238"/>
      <c r="FM35" s="238"/>
      <c r="FN35" s="238"/>
      <c r="FO35" s="244"/>
      <c r="FP35" s="238"/>
      <c r="FQ35" s="238"/>
      <c r="FR35" s="238"/>
      <c r="FS35" s="238"/>
      <c r="FT35" s="238"/>
      <c r="FU35" s="238"/>
      <c r="FV35" s="238"/>
      <c r="FW35" s="238"/>
      <c r="FX35" s="238"/>
      <c r="FY35" s="238"/>
      <c r="FZ35" s="238"/>
      <c r="GA35" s="238"/>
      <c r="GB35" s="238"/>
      <c r="GC35" s="238"/>
      <c r="GD35" s="341"/>
      <c r="GE35" s="340"/>
      <c r="GF35" s="340"/>
      <c r="GG35" s="340"/>
      <c r="GH35" s="340"/>
      <c r="GI35" s="340"/>
      <c r="GJ35" s="340"/>
      <c r="GK35" s="340"/>
      <c r="GL35" s="340"/>
      <c r="GM35" s="340"/>
      <c r="GN35" s="340"/>
      <c r="GO35" s="340"/>
      <c r="GP35" s="340"/>
      <c r="GQ35" s="340"/>
      <c r="GR35" s="340"/>
      <c r="GS35" s="340"/>
      <c r="GT35" s="340"/>
      <c r="GU35" s="340"/>
      <c r="GV35" s="340"/>
      <c r="GW35" s="340"/>
      <c r="GX35" s="340"/>
      <c r="GY35" s="340"/>
      <c r="GZ35" s="340"/>
      <c r="HA35" s="340"/>
      <c r="HB35" s="340"/>
      <c r="HC35" s="340"/>
      <c r="HD35" s="341"/>
      <c r="HE35" s="341"/>
      <c r="HF35" s="341"/>
      <c r="HG35" s="341"/>
      <c r="HH35" s="341"/>
      <c r="HI35" s="341"/>
      <c r="HJ35" s="341"/>
      <c r="HK35" s="341"/>
      <c r="HL35" s="341"/>
      <c r="HM35" s="341"/>
      <c r="HN35" s="341"/>
      <c r="HO35" s="341"/>
      <c r="HP35" s="341"/>
      <c r="HQ35" s="341"/>
      <c r="HR35" s="341"/>
      <c r="HS35" s="238"/>
      <c r="HT35" s="238"/>
      <c r="HU35" s="238"/>
      <c r="HV35" s="238"/>
      <c r="HX35" s="238"/>
      <c r="HY35" s="238"/>
      <c r="ID35" s="238"/>
    </row>
    <row r="36" spans="1:238" s="234" customFormat="1" ht="20.100000000000001" customHeight="1">
      <c r="A36" s="235"/>
      <c r="B36" s="231"/>
      <c r="C36" s="314" t="s">
        <v>771</v>
      </c>
      <c r="D36" s="276" t="str">
        <f>REPT(Sprache!$K$58,1)</f>
        <v>Spieler</v>
      </c>
      <c r="E36" s="277" t="str">
        <f>REPT(Sprache!$K$33,1)</f>
        <v>Name / Vorname</v>
      </c>
      <c r="F36" s="278"/>
      <c r="G36" s="278"/>
      <c r="H36" s="279"/>
      <c r="I36" s="280"/>
      <c r="J36" s="281" t="str">
        <f>REPT(AM36,1)</f>
        <v/>
      </c>
      <c r="L36" s="306" t="s">
        <v>848</v>
      </c>
      <c r="M36" s="238"/>
      <c r="P36" s="306" t="s">
        <v>848</v>
      </c>
      <c r="R36" s="314" t="s">
        <v>771</v>
      </c>
      <c r="S36" s="276" t="str">
        <f>REPT(Sprache!$K$58,1)</f>
        <v>Spieler</v>
      </c>
      <c r="T36" s="277" t="str">
        <f>REPT(Sprache!$K$33,1)</f>
        <v>Name / Vorname</v>
      </c>
      <c r="U36" s="278"/>
      <c r="V36" s="278"/>
      <c r="W36" s="279"/>
      <c r="X36" s="280"/>
      <c r="Y36" s="281" t="str">
        <f>REPT(BA36,1)</f>
        <v/>
      </c>
      <c r="Z36" s="308"/>
      <c r="AD36" s="235"/>
      <c r="AE36" s="235"/>
      <c r="AF36" s="237" t="s">
        <v>771</v>
      </c>
      <c r="AG36" s="282" t="s">
        <v>877</v>
      </c>
      <c r="AH36" s="283" t="str">
        <f>IF(AH35=0,"",AH35)</f>
        <v/>
      </c>
      <c r="AI36" s="283" t="str">
        <f>IF(AI35=0,"",AI35)</f>
        <v/>
      </c>
      <c r="AJ36" s="283" t="str">
        <f>IF(AJ35=0,"",AJ35)</f>
        <v/>
      </c>
      <c r="AK36" s="283" t="str">
        <f>IF(AK35=0,"",AK35)</f>
        <v/>
      </c>
      <c r="AL36" s="283" t="str">
        <f>IF(AL35=0,"",AL35)</f>
        <v/>
      </c>
      <c r="AM36" s="258" t="str">
        <f>IF(AK27="D",IF(AF35=0,"","X"),"")</f>
        <v/>
      </c>
      <c r="AN36" s="235"/>
      <c r="AO36" s="235"/>
      <c r="AP36" s="284"/>
      <c r="AQ36" s="235"/>
      <c r="AR36" s="235"/>
      <c r="AS36" s="235"/>
      <c r="AT36" s="237" t="s">
        <v>771</v>
      </c>
      <c r="AU36" s="282" t="s">
        <v>877</v>
      </c>
      <c r="AV36" s="283" t="str">
        <f>IF(AV35=0,"",AV35)</f>
        <v/>
      </c>
      <c r="AW36" s="283" t="str">
        <f>IF(AW35=0,"",AW35)</f>
        <v/>
      </c>
      <c r="AX36" s="283" t="str">
        <f>IF(AX35=0,"",AX35)</f>
        <v/>
      </c>
      <c r="AY36" s="283" t="str">
        <f>IF(AY35=0,"",AY35)</f>
        <v/>
      </c>
      <c r="AZ36" s="421" t="str">
        <f>IF(AZ35=0,"",AZ35)</f>
        <v/>
      </c>
      <c r="BA36" s="258" t="str">
        <f>IF(AK27="D",IF(AT35=0,"","X"),"")</f>
        <v/>
      </c>
      <c r="BJ36" s="236"/>
      <c r="BK36" s="238"/>
      <c r="BL36" s="244">
        <f>IF(BM36=0,0,1)</f>
        <v>0</v>
      </c>
      <c r="BM36" s="244">
        <f>SUM(BM30,BM31,BM32,BM33,BM34,HH32,AN37,AN38,BB37,BB38)</f>
        <v>0</v>
      </c>
      <c r="BN36" s="166">
        <f t="shared" ref="BN36:BO36" si="67">SUM(BN30,BN31,BN32,BN33,BN34)</f>
        <v>0</v>
      </c>
      <c r="BO36" s="166">
        <f t="shared" si="67"/>
        <v>0</v>
      </c>
      <c r="BP36" s="244"/>
      <c r="BQ36" s="238"/>
      <c r="BR36" s="238"/>
      <c r="BS36" s="238"/>
      <c r="BT36" s="238"/>
      <c r="BU36" s="238"/>
      <c r="BV36" s="238"/>
      <c r="BW36" s="238"/>
      <c r="BX36" s="236"/>
      <c r="BY36" s="238"/>
      <c r="BZ36" s="238"/>
      <c r="CA36" s="238"/>
      <c r="CB36" s="238"/>
      <c r="CC36" s="238"/>
      <c r="CD36" s="238"/>
      <c r="CE36" s="238"/>
      <c r="CF36" s="238"/>
      <c r="CG36" s="244"/>
      <c r="CH36" s="238"/>
      <c r="CI36" s="238"/>
      <c r="CJ36" s="238"/>
      <c r="CK36" s="238"/>
      <c r="CL36" s="238"/>
      <c r="CM36" s="238"/>
      <c r="CN36" s="238"/>
      <c r="CO36" s="238"/>
      <c r="CP36" s="238"/>
      <c r="CQ36" s="238"/>
      <c r="CR36" s="238"/>
      <c r="CS36" s="238"/>
      <c r="CT36" s="238"/>
      <c r="CU36" s="238"/>
      <c r="CV36" s="238"/>
      <c r="CW36" s="238"/>
      <c r="CX36" s="238"/>
      <c r="CY36" s="238"/>
      <c r="CZ36" s="238"/>
      <c r="DA36" s="238"/>
      <c r="DB36" s="238"/>
      <c r="DC36" s="238"/>
      <c r="DD36" s="238"/>
      <c r="DE36" s="238"/>
      <c r="DF36" s="238"/>
      <c r="DG36" s="238"/>
      <c r="DH36" s="238"/>
      <c r="DI36" s="238"/>
      <c r="DJ36" s="238"/>
      <c r="DK36" s="238"/>
      <c r="DL36" s="238"/>
      <c r="DM36" s="238"/>
      <c r="DN36" s="238"/>
      <c r="DO36" s="238"/>
      <c r="DP36" s="238"/>
      <c r="DQ36" s="238"/>
      <c r="DR36" s="238"/>
      <c r="DS36" s="238"/>
      <c r="DT36" s="238"/>
      <c r="DU36" s="238"/>
      <c r="DV36" s="238"/>
      <c r="DW36" s="238"/>
      <c r="DX36" s="238"/>
      <c r="DY36" s="238"/>
      <c r="DZ36" s="238"/>
      <c r="EA36" s="238"/>
      <c r="EB36" s="238"/>
      <c r="EC36" s="238"/>
      <c r="ED36" s="238"/>
      <c r="EE36" s="238"/>
      <c r="EF36" s="238"/>
      <c r="EG36" s="238"/>
      <c r="EH36" s="238"/>
      <c r="EI36" s="238"/>
      <c r="EJ36" s="238"/>
      <c r="EK36" s="238"/>
      <c r="EL36" s="238"/>
      <c r="EM36" s="238"/>
      <c r="EN36" s="238"/>
      <c r="EO36" s="238"/>
      <c r="EP36" s="238"/>
      <c r="EQ36" s="238"/>
      <c r="ER36" s="238"/>
      <c r="ES36" s="238"/>
      <c r="ET36" s="244"/>
      <c r="EU36" s="238"/>
      <c r="EV36" s="238"/>
      <c r="EW36" s="238"/>
      <c r="EX36" s="238"/>
      <c r="EY36" s="238"/>
      <c r="EZ36" s="238"/>
      <c r="FA36" s="238"/>
      <c r="FB36" s="238"/>
      <c r="FC36" s="238"/>
      <c r="FD36" s="238"/>
      <c r="FE36" s="238"/>
      <c r="FF36" s="238"/>
      <c r="FG36" s="238"/>
      <c r="FH36" s="238"/>
      <c r="FI36" s="238"/>
      <c r="FJ36" s="238"/>
      <c r="FK36" s="238"/>
      <c r="FL36" s="238"/>
      <c r="FM36" s="238"/>
      <c r="FN36" s="238"/>
      <c r="FO36" s="244"/>
      <c r="FP36" s="238"/>
      <c r="FQ36" s="238"/>
      <c r="FR36" s="238"/>
      <c r="FS36" s="238"/>
      <c r="FT36" s="238"/>
      <c r="FU36" s="238"/>
      <c r="FV36" s="238"/>
      <c r="FW36" s="238"/>
      <c r="FX36" s="238"/>
      <c r="FY36" s="238"/>
      <c r="FZ36" s="238"/>
      <c r="GA36" s="238"/>
      <c r="GB36" s="238"/>
      <c r="GC36" s="238"/>
      <c r="GD36" s="341"/>
      <c r="GE36" s="340"/>
      <c r="GF36" s="340"/>
      <c r="GG36" s="340"/>
      <c r="GH36" s="340"/>
      <c r="GI36" s="340"/>
      <c r="GJ36" s="340"/>
      <c r="GK36" s="340"/>
      <c r="GL36" s="340"/>
      <c r="GM36" s="340"/>
      <c r="GN36" s="340"/>
      <c r="GO36" s="340"/>
      <c r="GP36" s="340"/>
      <c r="GQ36" s="340"/>
      <c r="GR36" s="340"/>
      <c r="GS36" s="340"/>
      <c r="GT36" s="340"/>
      <c r="GU36" s="340"/>
      <c r="GV36" s="340"/>
      <c r="GW36" s="340"/>
      <c r="GX36" s="340"/>
      <c r="GY36" s="340"/>
      <c r="GZ36" s="340"/>
      <c r="HA36" s="340"/>
      <c r="HB36" s="340"/>
      <c r="HC36" s="340"/>
      <c r="HD36" s="341"/>
      <c r="HE36" s="341"/>
      <c r="HF36" s="341"/>
      <c r="HG36" s="341"/>
      <c r="HH36" s="341"/>
      <c r="HI36" s="341"/>
      <c r="HJ36" s="341"/>
      <c r="HK36" s="341"/>
      <c r="HL36" s="341"/>
      <c r="HM36" s="341"/>
      <c r="HN36" s="341"/>
      <c r="HO36" s="341"/>
      <c r="HP36" s="341"/>
      <c r="HQ36" s="341"/>
      <c r="HR36" s="341"/>
      <c r="HS36" s="238"/>
      <c r="HT36" s="238"/>
      <c r="HU36" s="238"/>
      <c r="HV36" s="238"/>
      <c r="HX36" s="238"/>
      <c r="HY36" s="238"/>
      <c r="ID36" s="238"/>
    </row>
    <row r="37" spans="1:238" s="234" customFormat="1" ht="20.100000000000001" customHeight="1">
      <c r="A37" s="235"/>
      <c r="B37" s="231"/>
      <c r="C37" s="285" t="str">
        <f>IF(AF37="","",SUM(AF37))</f>
        <v/>
      </c>
      <c r="D37" s="286" t="str">
        <f>IF(AK27="D",1,"")</f>
        <v/>
      </c>
      <c r="E37" s="287" t="str">
        <f>IF(C37="","",VLOOKUP(C37,Licenses!B:C,2,FALSE))</f>
        <v/>
      </c>
      <c r="F37" s="288"/>
      <c r="G37" s="288"/>
      <c r="H37" s="289"/>
      <c r="I37" s="169"/>
      <c r="J37" s="270" t="str">
        <f>REPT(AM37,1)</f>
        <v/>
      </c>
      <c r="L37" s="290" t="str">
        <f>IF(AK27="D",AK37,IF(AK36="","",AK36))</f>
        <v/>
      </c>
      <c r="M37" s="311"/>
      <c r="P37" s="290" t="str">
        <f>IF(AK27="D",AY37,IF(AY36="","",AY36))</f>
        <v/>
      </c>
      <c r="R37" s="291" t="str">
        <f>IF(AT37="","",SUM(AT37))</f>
        <v/>
      </c>
      <c r="S37" s="286" t="str">
        <f>IF(AK27="D",1,"")</f>
        <v/>
      </c>
      <c r="T37" s="292" t="str">
        <f>IF(R37="","",VLOOKUP(R37,Licenses!B:C,2,FALSE))</f>
        <v/>
      </c>
      <c r="U37" s="293"/>
      <c r="V37" s="293"/>
      <c r="W37" s="294"/>
      <c r="X37" s="169"/>
      <c r="Y37" s="270" t="str">
        <f>REPT(BA37,1)</f>
        <v/>
      </c>
      <c r="Z37" s="308"/>
      <c r="AD37" s="235"/>
      <c r="AE37" s="235"/>
      <c r="AF37" s="256" t="str">
        <f>IF(AM27="","",SUM(AM27))</f>
        <v/>
      </c>
      <c r="AG37" s="237"/>
      <c r="AH37" s="256"/>
      <c r="AI37" s="256"/>
      <c r="AJ37" s="256"/>
      <c r="AK37" s="256" t="str">
        <f>IF(BZ35&gt;1,BZ35,"")</f>
        <v/>
      </c>
      <c r="AL37" s="257">
        <f>IF(AK27="D",SUM(I37),0)</f>
        <v>0</v>
      </c>
      <c r="AM37" s="258" t="str">
        <f>IF(AM35=0,IF(AL37&lt;6,"","X"),"X")</f>
        <v/>
      </c>
      <c r="AN37" s="347" t="str">
        <f>IF(AM35=0,IF(AL37&lt;6,"",1),1)</f>
        <v/>
      </c>
      <c r="AO37" s="235"/>
      <c r="AP37" s="236"/>
      <c r="AQ37" s="235"/>
      <c r="AR37" s="235"/>
      <c r="AS37" s="235"/>
      <c r="AT37" s="256" t="str">
        <f>IF(BA27="","",SUM(BA27))</f>
        <v/>
      </c>
      <c r="AU37" s="237"/>
      <c r="AV37" s="256"/>
      <c r="AW37" s="256"/>
      <c r="AX37" s="256"/>
      <c r="AY37" s="256" t="str">
        <f>IF(CI35&gt;1,CI35,"")</f>
        <v/>
      </c>
      <c r="AZ37" s="257">
        <f>IF(AK27="D",SUM(X37),0)</f>
        <v>0</v>
      </c>
      <c r="BA37" s="258" t="str">
        <f>IF(BA35=0,IF(AZ37&lt;6,"","X"),"X")</f>
        <v/>
      </c>
      <c r="BB37" s="347" t="str">
        <f>IF(BA35=0,IF(AZ37&lt;6,"",1),1)</f>
        <v/>
      </c>
      <c r="BC37" s="236"/>
      <c r="BD37" s="236"/>
      <c r="BE37" s="236"/>
      <c r="BF37" s="236"/>
      <c r="BG37" s="236"/>
      <c r="BH37" s="236"/>
      <c r="BI37" s="236"/>
      <c r="BJ37" s="236"/>
      <c r="BK37" s="238"/>
      <c r="BL37" s="238"/>
      <c r="BM37" s="295"/>
      <c r="BN37" s="295"/>
      <c r="BO37" s="295"/>
      <c r="BP37" s="295"/>
      <c r="BQ37" s="295"/>
      <c r="BR37" s="295"/>
      <c r="BS37" s="295"/>
      <c r="BT37" s="295"/>
      <c r="BU37" s="295"/>
      <c r="BV37" s="295"/>
      <c r="BW37" s="295"/>
      <c r="BX37" s="236"/>
      <c r="BY37" s="295"/>
      <c r="BZ37" s="295"/>
      <c r="CA37" s="295"/>
      <c r="CB37" s="295"/>
      <c r="CC37" s="295"/>
      <c r="CD37" s="295"/>
      <c r="CE37" s="295"/>
      <c r="CF37" s="295"/>
      <c r="CG37" s="296"/>
      <c r="CH37" s="295"/>
      <c r="CI37" s="295"/>
      <c r="CJ37" s="295"/>
      <c r="CK37" s="238"/>
      <c r="CL37" s="238"/>
      <c r="CM37" s="238"/>
      <c r="CN37" s="238"/>
      <c r="CO37" s="238"/>
      <c r="CP37" s="238"/>
      <c r="CQ37" s="238"/>
      <c r="CR37" s="238"/>
      <c r="CS37" s="238"/>
      <c r="CT37" s="238"/>
      <c r="CU37" s="238"/>
      <c r="CV37" s="238"/>
      <c r="CW37" s="238"/>
      <c r="CX37" s="238"/>
      <c r="CY37" s="238"/>
      <c r="CZ37" s="238"/>
      <c r="DA37" s="238"/>
      <c r="DB37" s="238"/>
      <c r="DC37" s="238"/>
      <c r="DD37" s="238"/>
      <c r="DE37" s="238"/>
      <c r="DF37" s="238"/>
      <c r="DG37" s="238"/>
      <c r="DH37" s="238"/>
      <c r="DI37" s="238"/>
      <c r="DJ37" s="238"/>
      <c r="DK37" s="238"/>
      <c r="DL37" s="238"/>
      <c r="DM37" s="238"/>
      <c r="DN37" s="238"/>
      <c r="DO37" s="238"/>
      <c r="DP37" s="238"/>
      <c r="DQ37" s="238"/>
      <c r="DR37" s="238"/>
      <c r="DS37" s="238"/>
      <c r="DT37" s="238"/>
      <c r="DU37" s="238"/>
      <c r="DV37" s="238"/>
      <c r="DW37" s="238"/>
      <c r="DX37" s="238"/>
      <c r="DY37" s="238"/>
      <c r="DZ37" s="238"/>
      <c r="EA37" s="238"/>
      <c r="EB37" s="238"/>
      <c r="EC37" s="238"/>
      <c r="ED37" s="238"/>
      <c r="EE37" s="238"/>
      <c r="EF37" s="238"/>
      <c r="EG37" s="238"/>
      <c r="EH37" s="238"/>
      <c r="EI37" s="238"/>
      <c r="EJ37" s="238"/>
      <c r="EK37" s="238"/>
      <c r="EL37" s="238"/>
      <c r="EM37" s="238"/>
      <c r="EN37" s="238"/>
      <c r="EO37" s="238"/>
      <c r="EP37" s="238"/>
      <c r="EQ37" s="238"/>
      <c r="ER37" s="238"/>
      <c r="ES37" s="238"/>
      <c r="ET37" s="244"/>
      <c r="EU37" s="238"/>
      <c r="EV37" s="238"/>
      <c r="EW37" s="238"/>
      <c r="EX37" s="238"/>
      <c r="EY37" s="238"/>
      <c r="EZ37" s="238"/>
      <c r="FA37" s="238"/>
      <c r="FB37" s="238"/>
      <c r="FC37" s="238"/>
      <c r="FD37" s="238"/>
      <c r="FE37" s="238"/>
      <c r="FF37" s="238"/>
      <c r="FG37" s="238"/>
      <c r="FH37" s="238"/>
      <c r="FI37" s="238"/>
      <c r="FJ37" s="238"/>
      <c r="FK37" s="238"/>
      <c r="FL37" s="238"/>
      <c r="FM37" s="238"/>
      <c r="FN37" s="238"/>
      <c r="FO37" s="244"/>
      <c r="FP37" s="238"/>
      <c r="FQ37" s="238"/>
      <c r="FR37" s="238"/>
      <c r="FS37" s="238"/>
      <c r="FT37" s="238"/>
      <c r="FU37" s="238"/>
      <c r="FV37" s="238"/>
      <c r="FW37" s="238"/>
      <c r="FX37" s="238"/>
      <c r="FY37" s="238"/>
      <c r="FZ37" s="238"/>
      <c r="GA37" s="238"/>
      <c r="GB37" s="238"/>
      <c r="GC37" s="238"/>
      <c r="GD37" s="341"/>
      <c r="GE37" s="340"/>
      <c r="GF37" s="340"/>
      <c r="GG37" s="340"/>
      <c r="GH37" s="340"/>
      <c r="GI37" s="340"/>
      <c r="GJ37" s="340"/>
      <c r="GK37" s="340"/>
      <c r="GL37" s="340"/>
      <c r="GM37" s="340"/>
      <c r="GN37" s="340"/>
      <c r="GO37" s="340"/>
      <c r="GP37" s="340"/>
      <c r="GQ37" s="340"/>
      <c r="GR37" s="340"/>
      <c r="GS37" s="340"/>
      <c r="GT37" s="340"/>
      <c r="GU37" s="340"/>
      <c r="GV37" s="340"/>
      <c r="GW37" s="340"/>
      <c r="GX37" s="340"/>
      <c r="GY37" s="340"/>
      <c r="GZ37" s="340"/>
      <c r="HA37" s="340"/>
      <c r="HB37" s="340"/>
      <c r="HC37" s="340"/>
      <c r="HD37" s="341"/>
      <c r="HE37" s="341"/>
      <c r="HF37" s="341"/>
      <c r="HG37" s="341"/>
      <c r="HH37" s="341"/>
      <c r="HI37" s="341"/>
      <c r="HJ37" s="341"/>
      <c r="HK37" s="341"/>
      <c r="HL37" s="341"/>
      <c r="HM37" s="341"/>
      <c r="HN37" s="341"/>
      <c r="HO37" s="341"/>
      <c r="HP37" s="341"/>
      <c r="HQ37" s="341"/>
      <c r="HR37" s="341"/>
      <c r="HS37" s="238"/>
      <c r="HT37" s="238"/>
      <c r="HU37" s="238"/>
      <c r="HV37" s="238"/>
      <c r="HX37" s="238"/>
      <c r="HY37" s="238"/>
      <c r="ID37" s="238"/>
    </row>
    <row r="38" spans="1:238" s="234" customFormat="1" ht="20.100000000000001" customHeight="1">
      <c r="A38" s="235"/>
      <c r="B38" s="231"/>
      <c r="C38" s="336" t="str">
        <f>IF(AF38="","",SUM(AF38))</f>
        <v/>
      </c>
      <c r="D38" s="333" t="str">
        <f>IF(AK27="D",2,"")</f>
        <v/>
      </c>
      <c r="E38" s="337" t="str">
        <f>IF(C38="","",VLOOKUP(C38,Licenses!B:C,2,FALSE))</f>
        <v/>
      </c>
      <c r="F38" s="290"/>
      <c r="G38" s="290"/>
      <c r="H38" s="338"/>
      <c r="I38" s="331"/>
      <c r="J38" s="272" t="str">
        <f>REPT(AM38,1)</f>
        <v/>
      </c>
      <c r="L38" s="315" t="str">
        <f>IF(AK27="D",AK38,"")</f>
        <v/>
      </c>
      <c r="M38" s="311"/>
      <c r="P38" s="315" t="str">
        <f>IF(AK27="D",AY38,"")</f>
        <v/>
      </c>
      <c r="R38" s="332" t="str">
        <f>IF(AT38="","",SUM(AT38))</f>
        <v/>
      </c>
      <c r="S38" s="333" t="str">
        <f>IF(AK27="D",2,"")</f>
        <v/>
      </c>
      <c r="T38" s="334" t="str">
        <f>IF(R38="","",VLOOKUP(R38,Licenses!B:C,2,FALSE))</f>
        <v/>
      </c>
      <c r="U38" s="297"/>
      <c r="V38" s="297"/>
      <c r="W38" s="335"/>
      <c r="X38" s="331"/>
      <c r="Y38" s="272" t="str">
        <f>REPT(BA38,1)</f>
        <v/>
      </c>
      <c r="Z38" s="308"/>
      <c r="AA38" s="238">
        <f>IF(AK27="D",0,1)</f>
        <v>1</v>
      </c>
      <c r="AD38" s="235"/>
      <c r="AE38" s="235"/>
      <c r="AF38" s="256" t="str">
        <f>IF(AM28="","",SUM(AM28))</f>
        <v/>
      </c>
      <c r="AG38" s="237"/>
      <c r="AH38" s="256"/>
      <c r="AI38" s="256"/>
      <c r="AJ38" s="256"/>
      <c r="AK38" s="256" t="str">
        <f>IF(CA35&gt;1,CA35,"")</f>
        <v/>
      </c>
      <c r="AL38" s="257">
        <f>IF(AK27="D",SUM(I38),0)</f>
        <v>0</v>
      </c>
      <c r="AM38" s="258" t="str">
        <f>IF(AM35=0,IF(AL38&lt;6,"","X"),"X")</f>
        <v/>
      </c>
      <c r="AN38" s="347" t="str">
        <f>IF(AM35=0,IF(AL38&lt;6,"",1),1)</f>
        <v/>
      </c>
      <c r="AO38" s="235"/>
      <c r="AP38" s="236"/>
      <c r="AQ38" s="235"/>
      <c r="AR38" s="235"/>
      <c r="AS38" s="235"/>
      <c r="AT38" s="256" t="str">
        <f>IF(BA28="","",SUM(BA28))</f>
        <v/>
      </c>
      <c r="AU38" s="237"/>
      <c r="AV38" s="256"/>
      <c r="AW38" s="256"/>
      <c r="AX38" s="256"/>
      <c r="AY38" s="256" t="str">
        <f>IF(CJ35&gt;1,CJ35,"")</f>
        <v/>
      </c>
      <c r="AZ38" s="257">
        <f>IF(AK27="D",SUM(X38),0)</f>
        <v>0</v>
      </c>
      <c r="BA38" s="258" t="str">
        <f>IF(BA35=0,IF(AZ38&lt;6,"","X"),"X")</f>
        <v/>
      </c>
      <c r="BB38" s="347" t="str">
        <f>IF(BA35=0,IF(AZ38&lt;6,"",1),1)</f>
        <v/>
      </c>
      <c r="BC38" s="236"/>
      <c r="BD38" s="236"/>
      <c r="BE38" s="236"/>
      <c r="BF38" s="236"/>
      <c r="BG38" s="236"/>
      <c r="BH38" s="236"/>
      <c r="BI38" s="236"/>
      <c r="BJ38" s="236"/>
      <c r="BK38" s="238"/>
      <c r="BM38" s="238"/>
      <c r="BN38" s="238"/>
      <c r="BO38" s="238"/>
      <c r="BP38" s="238"/>
      <c r="BQ38" s="238" t="s">
        <v>899</v>
      </c>
      <c r="BR38" s="238"/>
      <c r="BS38" s="238"/>
      <c r="BT38" s="238"/>
      <c r="BU38" s="238"/>
      <c r="BV38" s="238"/>
      <c r="BW38" s="238"/>
      <c r="BX38" s="236"/>
      <c r="BY38" s="238"/>
      <c r="BZ38" s="238"/>
      <c r="CA38" s="238"/>
      <c r="CB38" s="238"/>
      <c r="CC38" s="238"/>
      <c r="CD38" s="238" t="s">
        <v>899</v>
      </c>
      <c r="CE38" s="238"/>
      <c r="CF38" s="238"/>
      <c r="CG38" s="244"/>
      <c r="CH38" s="238"/>
      <c r="CI38" s="238"/>
      <c r="CJ38" s="238"/>
      <c r="CK38" s="238"/>
      <c r="CL38" s="238"/>
      <c r="CM38" s="238"/>
      <c r="CN38" s="238"/>
      <c r="CO38" s="238"/>
      <c r="CP38" s="238"/>
      <c r="CQ38" s="238"/>
      <c r="CR38" s="238"/>
      <c r="CS38" s="238"/>
      <c r="CT38" s="238"/>
      <c r="CU38" s="238"/>
      <c r="CV38" s="238"/>
      <c r="CW38" s="238"/>
      <c r="CX38" s="238"/>
      <c r="CY38" s="238"/>
      <c r="CZ38" s="238"/>
      <c r="DA38" s="238"/>
      <c r="DB38" s="238"/>
      <c r="DC38" s="238"/>
      <c r="DD38" s="238"/>
      <c r="DE38" s="238"/>
      <c r="DF38" s="238"/>
      <c r="DG38" s="238"/>
      <c r="DH38" s="238"/>
      <c r="DI38" s="238"/>
      <c r="DJ38" s="238"/>
      <c r="DK38" s="238"/>
      <c r="DL38" s="238"/>
      <c r="DM38" s="238"/>
      <c r="DN38" s="238"/>
      <c r="DO38" s="238"/>
      <c r="DP38" s="238"/>
      <c r="DQ38" s="238"/>
      <c r="DR38" s="238"/>
      <c r="DS38" s="238"/>
      <c r="DT38" s="238"/>
      <c r="DU38" s="238"/>
      <c r="DV38" s="238"/>
      <c r="DW38" s="238"/>
      <c r="DX38" s="238"/>
      <c r="DY38" s="238"/>
      <c r="DZ38" s="238"/>
      <c r="EA38" s="238"/>
      <c r="EB38" s="238"/>
      <c r="EC38" s="238"/>
      <c r="ED38" s="238"/>
      <c r="EE38" s="238"/>
      <c r="EF38" s="238"/>
      <c r="EG38" s="238"/>
      <c r="EH38" s="238"/>
      <c r="EI38" s="238"/>
      <c r="EJ38" s="238"/>
      <c r="EK38" s="238"/>
      <c r="EL38" s="238"/>
      <c r="EM38" s="238"/>
      <c r="EN38" s="238"/>
      <c r="EO38" s="238"/>
      <c r="EP38" s="238"/>
      <c r="EQ38" s="238"/>
      <c r="ER38" s="238"/>
      <c r="ES38" s="238"/>
      <c r="ET38" s="244"/>
      <c r="EU38" s="238"/>
      <c r="EV38" s="238"/>
      <c r="EW38" s="238"/>
      <c r="EX38" s="238"/>
      <c r="EY38" s="238"/>
      <c r="EZ38" s="238"/>
      <c r="FA38" s="238"/>
      <c r="FB38" s="238"/>
      <c r="FC38" s="238"/>
      <c r="FD38" s="238"/>
      <c r="FE38" s="238"/>
      <c r="FF38" s="238"/>
      <c r="FG38" s="238"/>
      <c r="FH38" s="238"/>
      <c r="FI38" s="238"/>
      <c r="FJ38" s="238"/>
      <c r="FK38" s="238"/>
      <c r="FL38" s="238"/>
      <c r="FM38" s="238"/>
      <c r="FN38" s="238"/>
      <c r="FO38" s="244"/>
      <c r="FP38" s="238"/>
      <c r="FQ38" s="238"/>
      <c r="FR38" s="238"/>
      <c r="FS38" s="238"/>
      <c r="FT38" s="238"/>
      <c r="FU38" s="238"/>
      <c r="FV38" s="238"/>
      <c r="FW38" s="238"/>
      <c r="FX38" s="238"/>
      <c r="FY38" s="238"/>
      <c r="FZ38" s="238"/>
      <c r="GA38" s="238"/>
      <c r="GB38" s="238"/>
      <c r="GC38" s="238"/>
      <c r="GD38" s="341"/>
      <c r="GE38" s="340"/>
      <c r="GF38" s="340"/>
      <c r="GG38" s="340"/>
      <c r="GH38" s="340"/>
      <c r="GI38" s="340"/>
      <c r="GJ38" s="340"/>
      <c r="GK38" s="340"/>
      <c r="GL38" s="340"/>
      <c r="GM38" s="340"/>
      <c r="GN38" s="340"/>
      <c r="GO38" s="340"/>
      <c r="GP38" s="340"/>
      <c r="GQ38" s="340"/>
      <c r="GR38" s="340"/>
      <c r="GS38" s="340"/>
      <c r="GT38" s="340"/>
      <c r="GU38" s="340"/>
      <c r="GV38" s="340"/>
      <c r="GW38" s="340"/>
      <c r="GX38" s="340"/>
      <c r="GY38" s="340"/>
      <c r="GZ38" s="340"/>
      <c r="HA38" s="340"/>
      <c r="HB38" s="340"/>
      <c r="HC38" s="340"/>
      <c r="HD38" s="341"/>
      <c r="HE38" s="341"/>
      <c r="HF38" s="341"/>
      <c r="HG38" s="341"/>
      <c r="HH38" s="341"/>
      <c r="HI38" s="341"/>
      <c r="HJ38" s="341"/>
      <c r="HK38" s="341"/>
      <c r="HL38" s="341"/>
      <c r="HM38" s="341"/>
      <c r="HN38" s="341"/>
      <c r="HO38" s="341"/>
      <c r="HP38" s="341"/>
      <c r="HQ38" s="341"/>
      <c r="HR38" s="341"/>
      <c r="HS38" s="238"/>
      <c r="HT38" s="238"/>
      <c r="HU38" s="238"/>
      <c r="HV38" s="238"/>
      <c r="HX38" s="238"/>
      <c r="HY38" s="238"/>
      <c r="ID38" s="238"/>
    </row>
    <row r="39" spans="1:238" s="234" customFormat="1" ht="20.100000000000001" customHeight="1">
      <c r="A39" s="235"/>
      <c r="B39" s="316"/>
      <c r="C39" s="317"/>
      <c r="D39" s="317"/>
      <c r="E39" s="318"/>
      <c r="F39" s="318"/>
      <c r="G39" s="318"/>
      <c r="H39" s="318"/>
      <c r="I39" s="318"/>
      <c r="J39" s="318"/>
      <c r="K39" s="319"/>
      <c r="L39" s="319"/>
      <c r="M39" s="319"/>
      <c r="N39" s="319"/>
      <c r="O39" s="319"/>
      <c r="P39" s="320"/>
      <c r="Q39" s="319"/>
      <c r="R39" s="317"/>
      <c r="S39" s="318"/>
      <c r="T39" s="318"/>
      <c r="U39" s="318"/>
      <c r="V39" s="318"/>
      <c r="W39" s="318"/>
      <c r="X39" s="318"/>
      <c r="Y39" s="318"/>
      <c r="Z39" s="321"/>
      <c r="AD39" s="235"/>
      <c r="AE39" s="237"/>
      <c r="AF39" s="237"/>
      <c r="AG39" s="237"/>
      <c r="AH39" s="237" t="s">
        <v>921</v>
      </c>
      <c r="AI39" s="237" t="s">
        <v>922</v>
      </c>
      <c r="AJ39" s="298" t="str">
        <f>IF(BS39="","",SUM(AM39)*3)</f>
        <v/>
      </c>
      <c r="AK39" s="299" t="s">
        <v>923</v>
      </c>
      <c r="AL39" s="256"/>
      <c r="AM39" s="256" t="str">
        <f>IF(BS39="","",SUM(BS39))</f>
        <v/>
      </c>
      <c r="AN39" s="235"/>
      <c r="AO39" s="235"/>
      <c r="AP39" s="236"/>
      <c r="AQ39" s="235"/>
      <c r="AR39" s="235"/>
      <c r="AS39" s="237"/>
      <c r="AT39" s="237"/>
      <c r="AU39" s="237"/>
      <c r="AV39" s="237" t="s">
        <v>921</v>
      </c>
      <c r="AW39" s="237" t="s">
        <v>922</v>
      </c>
      <c r="AX39" s="298" t="str">
        <f>IF(BS39="","",SUM(BA39)*3)</f>
        <v/>
      </c>
      <c r="AY39" s="299" t="s">
        <v>923</v>
      </c>
      <c r="AZ39" s="256"/>
      <c r="BA39" s="256" t="str">
        <f>IF(BS39="","",SUM(CF39))</f>
        <v/>
      </c>
      <c r="BB39" s="236"/>
      <c r="BC39" s="236"/>
      <c r="BD39" s="236"/>
      <c r="BE39" s="236"/>
      <c r="BF39" s="236"/>
      <c r="BG39" s="236"/>
      <c r="BH39" s="236"/>
      <c r="BI39" s="236"/>
      <c r="BJ39" s="236"/>
      <c r="BK39" s="373">
        <f>IF(AL27=BQ39,1,0)</f>
        <v>0</v>
      </c>
      <c r="BL39" s="373">
        <f>IF(AL27=CD39,1,0)</f>
        <v>0</v>
      </c>
      <c r="BM39" s="256">
        <f>IF(BN39&gt;2,1,0)</f>
        <v>0</v>
      </c>
      <c r="BN39" s="256">
        <f>COUNT(AH30,AH31,AH32)</f>
        <v>0</v>
      </c>
      <c r="BO39" s="256" t="str">
        <f>IF(AH36="","",SUM(AH36/AJ36))</f>
        <v/>
      </c>
      <c r="BP39" s="256"/>
      <c r="BQ39" s="300">
        <f>COUNT(AK30,AK31,AK32,AK33,AK34)</f>
        <v>0</v>
      </c>
      <c r="BR39" s="256"/>
      <c r="BS39" s="256" t="str">
        <f>IF(BL36=0,IF(AJ31="","",BO39),"")</f>
        <v/>
      </c>
      <c r="BT39" s="236"/>
      <c r="BU39" s="236"/>
      <c r="BV39" s="236"/>
      <c r="BW39" s="236"/>
      <c r="BX39" s="236"/>
      <c r="BY39" s="256">
        <f>IF(CD39&gt;2,1,0)</f>
        <v>0</v>
      </c>
      <c r="BZ39" s="256">
        <f>IF(CA39&gt;2,1,0)</f>
        <v>0</v>
      </c>
      <c r="CA39" s="256">
        <f>COUNT(AV30,AV31,AV32)</f>
        <v>0</v>
      </c>
      <c r="CB39" s="256" t="str">
        <f>IF(AV36="","",SUM(AV36/AX36))</f>
        <v/>
      </c>
      <c r="CC39" s="256"/>
      <c r="CD39" s="300">
        <f>COUNT(AY30,AY31,AY32,AY33,AY34)</f>
        <v>0</v>
      </c>
      <c r="CE39" s="256"/>
      <c r="CF39" s="256" t="str">
        <f>IF(BL36=0,IF(AX31="","",CB39),"")</f>
        <v/>
      </c>
      <c r="CG39" s="236"/>
      <c r="CH39" s="188"/>
      <c r="CI39" s="188"/>
      <c r="CJ39" s="196"/>
      <c r="CK39" s="196"/>
      <c r="CL39" s="196"/>
      <c r="CM39" s="196"/>
      <c r="CN39" s="196"/>
      <c r="CO39" s="196"/>
      <c r="CP39" s="196"/>
      <c r="CQ39" s="196"/>
      <c r="CR39" s="196"/>
      <c r="CS39" s="196"/>
      <c r="CT39" s="196"/>
      <c r="CU39" s="196"/>
      <c r="CV39" s="196"/>
      <c r="CW39" s="196"/>
      <c r="CX39" s="196"/>
      <c r="CY39" s="196"/>
      <c r="CZ39" s="196"/>
      <c r="DA39" s="196"/>
      <c r="DB39" s="196"/>
      <c r="DC39" s="196"/>
      <c r="DD39" s="196"/>
      <c r="DE39" s="196"/>
      <c r="DF39" s="196"/>
      <c r="DG39" s="196"/>
      <c r="DH39" s="196"/>
      <c r="DI39" s="196"/>
      <c r="DJ39" s="196"/>
      <c r="DK39" s="196"/>
      <c r="DL39" s="196"/>
      <c r="DM39" s="196"/>
      <c r="DN39" s="196"/>
      <c r="DO39" s="196"/>
      <c r="DP39" s="196"/>
      <c r="DQ39" s="196"/>
      <c r="DR39" s="196"/>
      <c r="DS39" s="196"/>
      <c r="DT39" s="196"/>
      <c r="DU39" s="196"/>
      <c r="DV39" s="196"/>
      <c r="DW39" s="196"/>
      <c r="DX39" s="196"/>
      <c r="DY39" s="196"/>
      <c r="DZ39" s="196"/>
      <c r="EA39" s="196"/>
      <c r="EB39" s="196"/>
      <c r="EC39" s="196"/>
      <c r="ED39" s="196"/>
      <c r="EE39" s="196"/>
      <c r="EF39" s="196"/>
      <c r="EG39" s="196"/>
      <c r="EH39" s="196"/>
      <c r="EI39" s="196"/>
      <c r="EJ39" s="196"/>
      <c r="EK39" s="196"/>
      <c r="EL39" s="196"/>
      <c r="EM39" s="196"/>
      <c r="EN39" s="196"/>
      <c r="EO39" s="196"/>
      <c r="EP39" s="196"/>
      <c r="EQ39" s="196"/>
      <c r="ER39" s="196"/>
      <c r="ES39" s="196"/>
      <c r="ET39" s="301"/>
      <c r="EU39" s="196"/>
      <c r="EV39" s="196"/>
      <c r="EW39" s="196"/>
      <c r="EX39" s="196"/>
      <c r="EY39" s="196"/>
      <c r="EZ39" s="196"/>
      <c r="FA39" s="196"/>
      <c r="FB39" s="196"/>
      <c r="FC39" s="196"/>
      <c r="FD39" s="196"/>
      <c r="FE39" s="196"/>
      <c r="FF39" s="196"/>
      <c r="FG39" s="196"/>
      <c r="FH39" s="196"/>
      <c r="FI39" s="196"/>
      <c r="FJ39" s="196"/>
      <c r="FK39" s="196"/>
      <c r="FL39" s="196"/>
      <c r="FM39" s="196"/>
      <c r="FN39" s="196"/>
      <c r="FO39" s="301"/>
      <c r="FP39" s="196"/>
      <c r="FQ39" s="196"/>
      <c r="FR39" s="196"/>
      <c r="FS39" s="196"/>
      <c r="FT39" s="196"/>
      <c r="FU39" s="196"/>
      <c r="FV39" s="196"/>
      <c r="FW39" s="196"/>
      <c r="FX39" s="196"/>
      <c r="FY39" s="196"/>
      <c r="FZ39" s="196"/>
      <c r="GA39" s="196"/>
      <c r="GB39" s="238"/>
      <c r="GC39" s="238"/>
      <c r="GD39" s="341"/>
      <c r="GE39" s="341"/>
      <c r="GF39" s="341"/>
      <c r="GG39" s="341"/>
      <c r="GH39" s="341"/>
      <c r="GI39" s="341"/>
      <c r="GJ39" s="341"/>
      <c r="GK39" s="341"/>
      <c r="GL39" s="341"/>
      <c r="GM39" s="341"/>
      <c r="GN39" s="341"/>
      <c r="GO39" s="341"/>
      <c r="GP39" s="341"/>
      <c r="GQ39" s="341"/>
      <c r="GR39" s="341"/>
      <c r="GS39" s="341"/>
      <c r="GT39" s="341"/>
      <c r="GU39" s="341"/>
      <c r="GV39" s="341"/>
      <c r="GW39" s="341"/>
      <c r="GX39" s="341"/>
      <c r="GY39" s="341"/>
      <c r="GZ39" s="341"/>
      <c r="HA39" s="341"/>
      <c r="HB39" s="341"/>
      <c r="HC39" s="341"/>
      <c r="HD39" s="341"/>
      <c r="HE39" s="341"/>
      <c r="HF39" s="341"/>
      <c r="HG39" s="341"/>
      <c r="HH39" s="341"/>
      <c r="HI39" s="341"/>
      <c r="HJ39" s="341"/>
      <c r="HK39" s="341"/>
      <c r="HL39" s="341"/>
      <c r="HM39" s="341"/>
      <c r="HN39" s="341"/>
      <c r="HO39" s="341"/>
      <c r="HP39" s="341"/>
      <c r="HQ39" s="341"/>
      <c r="HR39" s="341"/>
      <c r="HS39" s="238"/>
      <c r="HT39" s="238"/>
      <c r="HU39" s="238"/>
      <c r="HV39" s="238"/>
      <c r="HX39" s="238"/>
      <c r="HY39" s="238"/>
      <c r="ID39" s="238"/>
    </row>
    <row r="40" spans="1:238" ht="14.1" customHeight="1">
      <c r="B40" s="214"/>
      <c r="C40" s="171"/>
      <c r="D40" s="171"/>
      <c r="E40" s="171"/>
      <c r="F40" s="171"/>
      <c r="G40" s="171"/>
      <c r="H40" s="171"/>
      <c r="I40" s="171"/>
      <c r="J40" s="171"/>
      <c r="K40" s="171"/>
      <c r="L40" s="171"/>
      <c r="M40" s="171"/>
      <c r="N40" s="171"/>
      <c r="O40" s="171"/>
      <c r="P40" s="171"/>
      <c r="Q40" s="171"/>
      <c r="R40" s="171"/>
      <c r="S40" s="171"/>
      <c r="T40" s="171"/>
      <c r="U40" s="171"/>
      <c r="V40" s="171"/>
      <c r="W40" s="171"/>
      <c r="X40" s="171"/>
      <c r="Y40" s="171"/>
      <c r="Z40" s="302"/>
      <c r="AA40" s="215"/>
      <c r="AB40" s="215"/>
      <c r="AC40" s="215"/>
      <c r="AD40" s="215"/>
      <c r="AE40" s="215"/>
      <c r="AF40" s="215"/>
      <c r="BB40" s="215"/>
      <c r="BC40" s="215"/>
      <c r="BD40" s="215"/>
      <c r="BE40" s="215"/>
      <c r="BF40" s="215"/>
      <c r="BG40" s="215"/>
      <c r="BH40" s="215"/>
      <c r="GD40" s="339"/>
      <c r="GE40" s="339"/>
      <c r="GF40" s="339"/>
      <c r="GG40" s="339"/>
      <c r="GH40" s="339"/>
      <c r="GI40" s="339"/>
      <c r="GJ40" s="339"/>
      <c r="GK40" s="339"/>
      <c r="GL40" s="339"/>
      <c r="GM40" s="339"/>
      <c r="GN40" s="339"/>
      <c r="GO40" s="339"/>
      <c r="GP40" s="339"/>
      <c r="GQ40" s="339"/>
      <c r="GR40" s="339"/>
      <c r="GS40" s="339"/>
      <c r="GT40" s="339"/>
      <c r="GU40" s="339"/>
      <c r="GV40" s="339"/>
      <c r="GW40" s="339"/>
      <c r="GX40" s="339"/>
      <c r="GY40" s="339"/>
      <c r="GZ40" s="339"/>
      <c r="HA40" s="339"/>
      <c r="HB40" s="339"/>
      <c r="HC40" s="339"/>
      <c r="HD40" s="339"/>
      <c r="HE40" s="339"/>
      <c r="HF40" s="339"/>
      <c r="HG40" s="339"/>
      <c r="HH40" s="339"/>
      <c r="HI40" s="339"/>
      <c r="HJ40" s="339"/>
      <c r="HK40" s="339"/>
      <c r="HL40" s="339"/>
      <c r="HM40" s="339"/>
      <c r="HN40" s="339"/>
      <c r="HO40" s="339"/>
      <c r="HP40" s="339"/>
      <c r="HQ40" s="339"/>
      <c r="HR40" s="339"/>
    </row>
    <row r="41" spans="1:238" ht="24" customHeight="1">
      <c r="B41" s="216"/>
      <c r="C41" s="181"/>
      <c r="D41" s="181"/>
      <c r="E41" s="181"/>
      <c r="F41" s="181"/>
      <c r="G41" s="181"/>
      <c r="H41" s="181"/>
      <c r="I41" s="181"/>
      <c r="J41" s="181"/>
      <c r="K41" s="185"/>
      <c r="L41" s="217"/>
      <c r="M41" s="218"/>
      <c r="N41" s="327" t="str">
        <f>CONCATENATE(AG41," ",AH41)</f>
        <v>Spiel 3</v>
      </c>
      <c r="O41" s="218"/>
      <c r="P41" s="219"/>
      <c r="Q41" s="185"/>
      <c r="R41" s="181"/>
      <c r="S41" s="181"/>
      <c r="T41" s="181"/>
      <c r="U41" s="181"/>
      <c r="V41" s="181"/>
      <c r="W41" s="181"/>
      <c r="X41" s="181"/>
      <c r="Y41" s="181"/>
      <c r="Z41" s="303"/>
      <c r="AA41" s="200"/>
      <c r="AB41" s="200"/>
      <c r="AC41" s="200"/>
      <c r="AD41" s="200"/>
      <c r="AE41" s="200"/>
      <c r="AF41" s="200"/>
      <c r="AG41" s="200" t="s">
        <v>863</v>
      </c>
      <c r="AH41" s="220">
        <v>3</v>
      </c>
      <c r="AI41" s="173">
        <f>VLOOKUP(AH41,Chema!R:T,3,FALSE)</f>
        <v>1.3</v>
      </c>
      <c r="AJ41" s="200" t="str">
        <f>VLOOKUP(AH41,Chema!BL:BQ,6,FALSE)</f>
        <v>1.3*</v>
      </c>
      <c r="AK41" s="200" t="str">
        <f>VLOOKUP(AH41,'Matchblatt  FEUILLE DE MATCH'!AI:AJ,2,FALSE)</f>
        <v>S</v>
      </c>
      <c r="AL41" s="200">
        <f>VLOOKUP(AH41,Chema!R:U,4,FALSE)</f>
        <v>5</v>
      </c>
      <c r="AM41" s="215" t="str">
        <f>VLOOKUP(AH41,'Matchblatt  FEUILLE DE MATCH'!AI:AS,10,FALSE)</f>
        <v/>
      </c>
      <c r="AN41" s="215"/>
      <c r="AO41" s="215"/>
      <c r="AP41" s="215"/>
      <c r="AQ41" s="215"/>
      <c r="AR41" s="215"/>
      <c r="AS41" s="215"/>
      <c r="AT41" s="215"/>
      <c r="AU41" s="215"/>
      <c r="AV41" s="215"/>
      <c r="AW41" s="215"/>
      <c r="AX41" s="215"/>
      <c r="AY41" s="215"/>
      <c r="AZ41" s="215"/>
      <c r="BA41" s="215" t="str">
        <f>VLOOKUP(AH41,'Matchblatt  FEUILLE DE MATCH'!AI:AS,11,FALSE)</f>
        <v/>
      </c>
      <c r="BB41" s="200"/>
      <c r="BC41" s="200"/>
      <c r="BD41" s="200"/>
      <c r="BE41" s="200"/>
      <c r="BF41" s="200"/>
      <c r="BG41" s="200"/>
      <c r="BH41" s="200"/>
      <c r="BK41" s="196"/>
      <c r="BL41" s="196"/>
      <c r="BM41" s="196"/>
      <c r="BN41" s="196"/>
      <c r="BO41" s="196"/>
      <c r="BP41" s="196"/>
      <c r="BQ41" s="221" t="s">
        <v>843</v>
      </c>
      <c r="BR41" s="222"/>
      <c r="BS41" s="222"/>
      <c r="BT41" s="223"/>
      <c r="BU41" s="222" t="s">
        <v>843</v>
      </c>
      <c r="BV41" s="222"/>
      <c r="BW41" s="222"/>
      <c r="BX41" s="224"/>
      <c r="BY41" s="222"/>
      <c r="BZ41" s="222"/>
      <c r="CA41" s="222"/>
      <c r="CB41" s="222"/>
      <c r="CC41" s="222"/>
      <c r="CD41" s="222"/>
      <c r="CE41" s="222"/>
      <c r="CF41" s="222"/>
      <c r="CG41" s="224"/>
      <c r="CH41" s="222"/>
      <c r="CI41" s="222"/>
      <c r="CJ41" s="223"/>
      <c r="CK41" s="196"/>
      <c r="CL41" s="196"/>
      <c r="CM41" s="196"/>
      <c r="CN41" s="196"/>
      <c r="CO41" s="196"/>
      <c r="CP41" s="196"/>
      <c r="CQ41" s="196"/>
      <c r="CR41" s="196"/>
      <c r="CS41" s="196"/>
      <c r="CT41" s="196"/>
      <c r="CU41" s="196"/>
      <c r="CV41" s="196"/>
      <c r="CW41" s="196"/>
      <c r="CX41" s="196"/>
      <c r="CY41" s="196"/>
      <c r="CZ41" s="196"/>
      <c r="DA41" s="196"/>
      <c r="DB41" s="196"/>
      <c r="DC41" s="196"/>
      <c r="DD41" s="196"/>
      <c r="DE41" s="196"/>
      <c r="DF41" s="196"/>
      <c r="DG41" s="196"/>
      <c r="DH41" s="196"/>
      <c r="DI41" s="196"/>
      <c r="DJ41" s="196"/>
      <c r="DK41" s="196"/>
      <c r="DL41" s="196"/>
      <c r="DM41" s="196"/>
      <c r="DN41" s="196"/>
      <c r="DO41" s="196"/>
      <c r="DP41" s="196"/>
      <c r="DQ41" s="196"/>
      <c r="DR41" s="196"/>
      <c r="DS41" s="196"/>
      <c r="DT41" s="196"/>
      <c r="DU41" s="196"/>
      <c r="DV41" s="196"/>
      <c r="DW41" s="196"/>
      <c r="DX41" s="196"/>
      <c r="DY41" s="196"/>
      <c r="DZ41" s="196"/>
      <c r="EA41" s="196"/>
      <c r="EB41" s="196"/>
      <c r="EC41" s="196"/>
      <c r="ED41" s="196"/>
      <c r="EE41" s="196"/>
      <c r="EF41" s="196"/>
      <c r="EG41" s="196"/>
      <c r="EH41" s="196"/>
      <c r="EI41" s="196"/>
      <c r="EJ41" s="196"/>
      <c r="EK41" s="196"/>
      <c r="EL41" s="196"/>
      <c r="EM41" s="221" t="s">
        <v>7</v>
      </c>
      <c r="EN41" s="222"/>
      <c r="EO41" s="222"/>
      <c r="EP41" s="222"/>
      <c r="EQ41" s="222"/>
      <c r="ER41" s="222"/>
      <c r="ES41" s="222"/>
      <c r="ET41" s="224"/>
      <c r="EU41" s="222"/>
      <c r="EV41" s="222"/>
      <c r="EW41" s="222"/>
      <c r="EX41" s="222"/>
      <c r="EY41" s="222"/>
      <c r="EZ41" s="222"/>
      <c r="FA41" s="222"/>
      <c r="FB41" s="222"/>
      <c r="FC41" s="222"/>
      <c r="FD41" s="222"/>
      <c r="FE41" s="223"/>
      <c r="FF41" s="196"/>
      <c r="FG41" s="196"/>
      <c r="FH41" s="221" t="s">
        <v>12</v>
      </c>
      <c r="FI41" s="222"/>
      <c r="FJ41" s="222"/>
      <c r="FK41" s="222"/>
      <c r="FL41" s="222"/>
      <c r="FM41" s="222"/>
      <c r="FN41" s="222"/>
      <c r="FO41" s="224"/>
      <c r="FP41" s="222"/>
      <c r="FQ41" s="222"/>
      <c r="FR41" s="222"/>
      <c r="FS41" s="222"/>
      <c r="FT41" s="222"/>
      <c r="FU41" s="222"/>
      <c r="FV41" s="222"/>
      <c r="FW41" s="222"/>
      <c r="FX41" s="222"/>
      <c r="FY41" s="222"/>
      <c r="FZ41" s="223"/>
      <c r="GA41" s="196"/>
      <c r="GD41" s="339"/>
      <c r="GE41" s="339"/>
      <c r="GF41" s="339"/>
      <c r="GG41" s="339"/>
      <c r="GH41" s="339"/>
      <c r="GI41" s="339"/>
      <c r="GJ41" s="339"/>
      <c r="GK41" s="339"/>
      <c r="GL41" s="339"/>
      <c r="GM41" s="339"/>
      <c r="GN41" s="339"/>
      <c r="GO41" s="339"/>
      <c r="GP41" s="339"/>
      <c r="GQ41" s="339"/>
      <c r="GR41" s="339"/>
      <c r="GS41" s="339"/>
      <c r="GT41" s="339"/>
      <c r="GU41" s="339"/>
      <c r="GV41" s="339"/>
      <c r="GW41" s="339"/>
      <c r="GX41" s="339"/>
      <c r="GY41" s="339"/>
      <c r="GZ41" s="339"/>
      <c r="HA41" s="339"/>
      <c r="HB41" s="339"/>
      <c r="HC41" s="339"/>
      <c r="HD41" s="339"/>
      <c r="HE41" s="339"/>
      <c r="HF41" s="339"/>
      <c r="HG41" s="339"/>
      <c r="HH41" s="339"/>
      <c r="HI41" s="339"/>
      <c r="HJ41" s="339"/>
      <c r="HK41" s="339"/>
      <c r="HL41" s="339"/>
      <c r="HM41" s="339"/>
      <c r="HN41" s="339"/>
      <c r="HO41" s="339"/>
      <c r="HP41" s="339"/>
      <c r="HQ41" s="339"/>
      <c r="HR41" s="339"/>
    </row>
    <row r="42" spans="1:238" ht="14.1" customHeight="1">
      <c r="B42" s="225"/>
      <c r="C42" s="304"/>
      <c r="D42" s="304"/>
      <c r="E42" s="304"/>
      <c r="F42" s="304"/>
      <c r="G42" s="304"/>
      <c r="H42" s="304"/>
      <c r="I42" s="304"/>
      <c r="J42" s="304"/>
      <c r="K42" s="166"/>
      <c r="L42" s="166"/>
      <c r="M42" s="166"/>
      <c r="N42" s="304"/>
      <c r="O42" s="304"/>
      <c r="P42" s="166"/>
      <c r="Q42" s="166"/>
      <c r="R42" s="304"/>
      <c r="S42" s="304"/>
      <c r="T42" s="304"/>
      <c r="U42" s="304"/>
      <c r="V42" s="304"/>
      <c r="W42" s="304"/>
      <c r="X42" s="166"/>
      <c r="Y42" s="166"/>
      <c r="Z42" s="305"/>
      <c r="AA42" s="63"/>
      <c r="AB42" s="63"/>
      <c r="AC42" s="63"/>
      <c r="AD42" s="63"/>
      <c r="AE42" s="63"/>
      <c r="AF42" s="63"/>
      <c r="AJ42" s="173" t="str">
        <f>VLOOKUP(AH41,Chema!BL:BR,7,FALSE)</f>
        <v/>
      </c>
      <c r="AL42" s="200"/>
      <c r="AM42" s="200" t="str">
        <f>IF(AK41="D",VLOOKUP(AJ42,'Matchblatt  FEUILLE DE MATCH'!AK:AS,8,FALSE),"")</f>
        <v/>
      </c>
      <c r="AN42" s="200"/>
      <c r="AO42" s="200"/>
      <c r="AP42" s="200"/>
      <c r="AQ42" s="200"/>
      <c r="AR42" s="200"/>
      <c r="AS42" s="200"/>
      <c r="AT42" s="200"/>
      <c r="AU42" s="200"/>
      <c r="AV42" s="200"/>
      <c r="AW42" s="200"/>
      <c r="AX42" s="200"/>
      <c r="AY42" s="200"/>
      <c r="AZ42" s="200"/>
      <c r="BA42" s="200" t="str">
        <f>IF(AK41="D",VLOOKUP(AJ42,'Matchblatt  FEUILLE DE MATCH'!AK:AS,9,FALSE),"")</f>
        <v/>
      </c>
      <c r="BB42" s="63"/>
      <c r="BC42" s="63"/>
      <c r="BD42" s="63"/>
      <c r="BE42" s="63"/>
      <c r="BF42" s="63"/>
      <c r="BG42" s="63"/>
      <c r="BH42" s="63"/>
      <c r="BK42" s="166" t="s">
        <v>7</v>
      </c>
      <c r="BL42" s="166" t="s">
        <v>12</v>
      </c>
      <c r="BM42" s="166"/>
      <c r="BN42" s="166" t="s">
        <v>7</v>
      </c>
      <c r="BO42" s="166" t="s">
        <v>12</v>
      </c>
      <c r="BP42" s="166"/>
      <c r="BQ42" s="226" t="s">
        <v>894</v>
      </c>
      <c r="BR42" s="227" t="s">
        <v>895</v>
      </c>
      <c r="BS42" s="228" t="s">
        <v>896</v>
      </c>
      <c r="BT42" s="229"/>
      <c r="BU42" s="226" t="s">
        <v>7</v>
      </c>
      <c r="BV42" s="166"/>
      <c r="BW42" s="166"/>
      <c r="BX42" s="230"/>
      <c r="BY42" s="166"/>
      <c r="BZ42" s="166"/>
      <c r="CA42" s="227"/>
      <c r="CB42" s="166"/>
      <c r="CC42" s="166"/>
      <c r="CD42" s="226" t="s">
        <v>12</v>
      </c>
      <c r="CE42" s="166"/>
      <c r="CF42" s="166"/>
      <c r="CG42" s="230"/>
      <c r="CH42" s="166"/>
      <c r="CI42" s="166"/>
      <c r="CJ42" s="227"/>
      <c r="CK42" s="166"/>
      <c r="CL42" s="166" t="s">
        <v>897</v>
      </c>
      <c r="CM42" s="166"/>
      <c r="CN42" s="166"/>
      <c r="CO42" s="166"/>
      <c r="CP42" s="166"/>
      <c r="CQ42" s="166"/>
      <c r="CR42" s="166"/>
      <c r="CS42" s="166"/>
      <c r="CT42" s="166"/>
      <c r="CU42" s="166" t="s">
        <v>843</v>
      </c>
      <c r="CV42" s="166"/>
      <c r="CW42" s="166" t="s">
        <v>843</v>
      </c>
      <c r="CX42" s="166"/>
      <c r="CY42" s="166"/>
      <c r="CZ42" s="166"/>
      <c r="DA42" s="166"/>
      <c r="DB42" s="166"/>
      <c r="DC42" s="166"/>
      <c r="DD42" s="166" t="s">
        <v>894</v>
      </c>
      <c r="DE42" s="166" t="s">
        <v>895</v>
      </c>
      <c r="DF42" s="166"/>
      <c r="DG42" s="166" t="s">
        <v>927</v>
      </c>
      <c r="DH42" s="166"/>
      <c r="DI42" s="166"/>
      <c r="DJ42" s="166"/>
      <c r="DK42" s="166"/>
      <c r="DL42" s="166"/>
      <c r="DM42" s="166"/>
      <c r="DN42" s="166" t="s">
        <v>928</v>
      </c>
      <c r="DO42" s="166" t="s">
        <v>929</v>
      </c>
      <c r="DP42" s="166"/>
      <c r="DQ42" s="166"/>
      <c r="DR42" s="166"/>
      <c r="DS42" s="166"/>
      <c r="DT42" s="166"/>
      <c r="DU42" s="166"/>
      <c r="DV42" s="166" t="s">
        <v>894</v>
      </c>
      <c r="DW42" s="166" t="s">
        <v>895</v>
      </c>
      <c r="DX42" s="166"/>
      <c r="DY42" s="166"/>
      <c r="DZ42" s="166"/>
      <c r="EA42" s="166"/>
      <c r="EB42" s="166"/>
      <c r="EC42" s="166"/>
      <c r="ED42" s="166" t="s">
        <v>894</v>
      </c>
      <c r="EE42" s="166" t="s">
        <v>895</v>
      </c>
      <c r="EF42" s="166"/>
      <c r="EG42" s="166"/>
      <c r="EH42" s="166"/>
      <c r="EI42" s="166"/>
      <c r="EJ42" s="166"/>
      <c r="EK42" s="166"/>
      <c r="EL42" s="166"/>
      <c r="EM42" s="166"/>
      <c r="EN42" s="166"/>
      <c r="EO42" s="166"/>
      <c r="EP42" s="166"/>
      <c r="EQ42" s="166"/>
      <c r="ER42" s="166"/>
      <c r="ES42" s="166"/>
      <c r="ET42" s="230"/>
      <c r="EU42" s="166"/>
      <c r="EV42" s="166"/>
      <c r="EW42" s="166"/>
      <c r="EX42" s="166"/>
      <c r="EY42" s="166"/>
      <c r="EZ42" s="166"/>
      <c r="FA42" s="166"/>
      <c r="FB42" s="166"/>
      <c r="FC42" s="166"/>
      <c r="FD42" s="166"/>
      <c r="FE42" s="166"/>
      <c r="FF42" s="166"/>
      <c r="FG42" s="166"/>
      <c r="FH42" s="166"/>
      <c r="FI42" s="166"/>
      <c r="FJ42" s="166"/>
      <c r="FK42" s="166"/>
      <c r="FL42" s="166"/>
      <c r="FM42" s="166"/>
      <c r="FN42" s="166"/>
      <c r="FO42" s="230"/>
      <c r="FP42" s="166"/>
      <c r="FQ42" s="166"/>
      <c r="FR42" s="166"/>
      <c r="FS42" s="166"/>
      <c r="FT42" s="166"/>
      <c r="FU42" s="166"/>
      <c r="FV42" s="166"/>
      <c r="FW42" s="166"/>
      <c r="FX42" s="166"/>
      <c r="FY42" s="166"/>
      <c r="FZ42" s="166"/>
      <c r="GA42" s="166"/>
      <c r="GD42" s="339"/>
      <c r="GE42" s="339"/>
      <c r="GF42" s="339"/>
      <c r="GG42" s="339"/>
      <c r="GH42" s="339"/>
      <c r="GI42" s="339"/>
      <c r="GJ42" s="339"/>
      <c r="GK42" s="339"/>
      <c r="GL42" s="339"/>
      <c r="GM42" s="339"/>
      <c r="GN42" s="339"/>
      <c r="GO42" s="339"/>
      <c r="GP42" s="339"/>
      <c r="GQ42" s="339"/>
      <c r="GR42" s="339"/>
      <c r="GS42" s="339"/>
      <c r="GT42" s="339"/>
      <c r="GU42" s="339"/>
      <c r="GV42" s="339"/>
      <c r="GW42" s="339"/>
      <c r="GX42" s="339"/>
      <c r="GY42" s="339"/>
      <c r="GZ42" s="339"/>
      <c r="HA42" s="339"/>
      <c r="HB42" s="339"/>
      <c r="HC42" s="339"/>
      <c r="HD42" s="339"/>
      <c r="HE42" s="339"/>
      <c r="HF42" s="339"/>
      <c r="HG42" s="339"/>
      <c r="HH42" s="339"/>
      <c r="HI42" s="339"/>
      <c r="HJ42" s="339"/>
      <c r="HK42" s="339"/>
      <c r="HL42" s="339"/>
      <c r="HM42" s="339"/>
      <c r="HN42" s="339"/>
      <c r="HO42" s="339"/>
      <c r="HP42" s="339"/>
      <c r="HQ42" s="339"/>
      <c r="HR42" s="339"/>
    </row>
    <row r="43" spans="1:238" s="234" customFormat="1" ht="20.100000000000001" customHeight="1">
      <c r="A43" s="235"/>
      <c r="B43" s="231"/>
      <c r="C43" s="232" t="str">
        <f>REPT(Sprache!$K$12,1)</f>
        <v>SPIEL</v>
      </c>
      <c r="D43" s="233" t="s">
        <v>869</v>
      </c>
      <c r="E43" s="233" t="str">
        <f>REPT(Sprache!$K$62,1)</f>
        <v>Punkte</v>
      </c>
      <c r="F43" s="233" t="str">
        <f>REPT(Sprache!$K$61,1)</f>
        <v>Rest</v>
      </c>
      <c r="G43" s="233" t="s">
        <v>898</v>
      </c>
      <c r="H43" s="233" t="s">
        <v>848</v>
      </c>
      <c r="I43" s="233">
        <v>180</v>
      </c>
      <c r="J43" s="233" t="str">
        <f>REPT(Sprache!$K$63,1)</f>
        <v>Fehler</v>
      </c>
      <c r="L43" s="306" t="s">
        <v>923</v>
      </c>
      <c r="M43" s="307"/>
      <c r="P43" s="306" t="s">
        <v>923</v>
      </c>
      <c r="R43" s="232" t="str">
        <f>REPT(Sprache!$K$12,1)</f>
        <v>SPIEL</v>
      </c>
      <c r="S43" s="233" t="s">
        <v>869</v>
      </c>
      <c r="T43" s="233" t="str">
        <f>REPT(Sprache!$K$62,1)</f>
        <v>Punkte</v>
      </c>
      <c r="U43" s="233" t="str">
        <f>REPT(Sprache!$K$61,1)</f>
        <v>Rest</v>
      </c>
      <c r="V43" s="233" t="s">
        <v>898</v>
      </c>
      <c r="W43" s="233" t="s">
        <v>848</v>
      </c>
      <c r="X43" s="233">
        <v>180</v>
      </c>
      <c r="Y43" s="233" t="str">
        <f>REPT(Sprache!$K$63,1)</f>
        <v>Fehler</v>
      </c>
      <c r="Z43" s="308"/>
      <c r="AD43" s="235"/>
      <c r="AE43" s="236" t="s">
        <v>966</v>
      </c>
      <c r="AF43" s="236" t="s">
        <v>967</v>
      </c>
      <c r="AG43" s="236" t="s">
        <v>965</v>
      </c>
      <c r="AH43" s="237" t="str">
        <f>LEFT($BM$6,10)</f>
        <v/>
      </c>
      <c r="AI43" s="237" t="str">
        <f>LEFT($BN$6,10)</f>
        <v/>
      </c>
      <c r="AJ43" s="237" t="s">
        <v>898</v>
      </c>
      <c r="AK43" s="237" t="s">
        <v>848</v>
      </c>
      <c r="AL43" s="237">
        <v>180</v>
      </c>
      <c r="AM43" s="237" t="str">
        <f>LEFT($BL$6,50)</f>
        <v/>
      </c>
      <c r="AN43" s="235"/>
      <c r="AO43" s="235"/>
      <c r="AP43" s="235"/>
      <c r="AQ43" s="235"/>
      <c r="AR43" s="235"/>
      <c r="AS43" s="235"/>
      <c r="AT43" s="235"/>
      <c r="AU43" s="235"/>
      <c r="AV43" s="237" t="str">
        <f>LEFT($BM$6,10)</f>
        <v/>
      </c>
      <c r="AW43" s="237" t="str">
        <f>LEFT($BN$6,10)</f>
        <v/>
      </c>
      <c r="AX43" s="237" t="s">
        <v>898</v>
      </c>
      <c r="AY43" s="237" t="s">
        <v>848</v>
      </c>
      <c r="AZ43" s="237">
        <v>180</v>
      </c>
      <c r="BA43" s="237" t="str">
        <f>LEFT($BL$6,50)</f>
        <v/>
      </c>
      <c r="BI43" s="238"/>
      <c r="BJ43" s="238"/>
      <c r="BK43" s="238" t="s">
        <v>165</v>
      </c>
      <c r="BL43" s="238" t="s">
        <v>165</v>
      </c>
      <c r="BM43" s="239" t="s">
        <v>165</v>
      </c>
      <c r="BN43" s="239" t="s">
        <v>899</v>
      </c>
      <c r="BO43" s="239" t="s">
        <v>899</v>
      </c>
      <c r="BP43" s="239" t="s">
        <v>900</v>
      </c>
      <c r="BQ43" s="240" t="s">
        <v>901</v>
      </c>
      <c r="BR43" s="241"/>
      <c r="BS43" s="242" t="s">
        <v>926</v>
      </c>
      <c r="BT43" s="243"/>
      <c r="BU43" s="242" t="s">
        <v>902</v>
      </c>
      <c r="BV43" s="238"/>
      <c r="BW43" s="238"/>
      <c r="BX43" s="244"/>
      <c r="BY43" s="238"/>
      <c r="BZ43" s="238" t="s">
        <v>903</v>
      </c>
      <c r="CA43" s="243" t="s">
        <v>904</v>
      </c>
      <c r="CB43" s="238"/>
      <c r="CC43" s="238"/>
      <c r="CD43" s="242" t="s">
        <v>902</v>
      </c>
      <c r="CE43" s="238"/>
      <c r="CF43" s="238"/>
      <c r="CG43" s="244"/>
      <c r="CH43" s="238"/>
      <c r="CI43" s="238" t="s">
        <v>903</v>
      </c>
      <c r="CJ43" s="243" t="s">
        <v>904</v>
      </c>
      <c r="CK43" s="238"/>
      <c r="CL43" s="245" t="s">
        <v>905</v>
      </c>
      <c r="CM43" s="245" t="s">
        <v>906</v>
      </c>
      <c r="CN43" s="245" t="s">
        <v>907</v>
      </c>
      <c r="CO43" s="245" t="s">
        <v>908</v>
      </c>
      <c r="CP43" s="245" t="s">
        <v>909</v>
      </c>
      <c r="CQ43" s="246" t="s">
        <v>910</v>
      </c>
      <c r="CR43" s="247"/>
      <c r="CS43" s="246" t="s">
        <v>911</v>
      </c>
      <c r="CT43" s="248"/>
      <c r="CU43" s="246" t="s">
        <v>912</v>
      </c>
      <c r="CV43" s="248"/>
      <c r="CW43" s="246" t="s">
        <v>913</v>
      </c>
      <c r="CX43" s="248"/>
      <c r="CY43" s="238"/>
      <c r="CZ43" s="238"/>
      <c r="DA43" s="238"/>
      <c r="DB43" s="238"/>
      <c r="DC43" s="249" t="s">
        <v>165</v>
      </c>
      <c r="DD43" s="249" t="s">
        <v>165</v>
      </c>
      <c r="DE43" s="249" t="s">
        <v>165</v>
      </c>
      <c r="DF43" s="238"/>
      <c r="DG43" s="238" t="s">
        <v>914</v>
      </c>
      <c r="DH43" s="238" t="s">
        <v>930</v>
      </c>
      <c r="DI43" s="238" t="s">
        <v>931</v>
      </c>
      <c r="DK43" s="238" t="s">
        <v>932</v>
      </c>
      <c r="DL43" s="238" t="s">
        <v>933</v>
      </c>
      <c r="DM43" s="238" t="s">
        <v>869</v>
      </c>
      <c r="DN43" s="230" t="s">
        <v>915</v>
      </c>
      <c r="DO43" s="250" t="s">
        <v>915</v>
      </c>
      <c r="DP43" s="322" t="s">
        <v>934</v>
      </c>
      <c r="DQ43" s="238"/>
      <c r="DR43" s="166" t="s">
        <v>894</v>
      </c>
      <c r="DS43" s="166" t="s">
        <v>895</v>
      </c>
      <c r="DT43" s="166" t="s">
        <v>935</v>
      </c>
      <c r="DU43" s="166" t="s">
        <v>936</v>
      </c>
      <c r="DV43" s="251" t="s">
        <v>165</v>
      </c>
      <c r="DW43" s="251" t="s">
        <v>165</v>
      </c>
      <c r="DX43" s="238" t="s">
        <v>916</v>
      </c>
      <c r="DY43" s="238"/>
      <c r="DZ43" s="238"/>
      <c r="EA43" s="238"/>
      <c r="EB43" s="238"/>
      <c r="EC43" s="238"/>
      <c r="ED43" s="251" t="s">
        <v>165</v>
      </c>
      <c r="EE43" s="251" t="s">
        <v>165</v>
      </c>
      <c r="EF43" s="166"/>
      <c r="EG43" s="238"/>
      <c r="EH43" s="238"/>
      <c r="EI43" s="238"/>
      <c r="EJ43" s="238"/>
      <c r="EK43" s="238"/>
      <c r="EL43" s="238"/>
      <c r="EM43" s="238"/>
      <c r="EN43" s="238"/>
      <c r="EO43" s="246" t="s">
        <v>917</v>
      </c>
      <c r="EP43" s="247"/>
      <c r="EQ43" s="247"/>
      <c r="ER43" s="247"/>
      <c r="ES43" s="247"/>
      <c r="ET43" s="252"/>
      <c r="EU43" s="248"/>
      <c r="EV43" s="246" t="s">
        <v>918</v>
      </c>
      <c r="EW43" s="247"/>
      <c r="EX43" s="248"/>
      <c r="EY43" s="251" t="s">
        <v>165</v>
      </c>
      <c r="EZ43" s="246" t="s">
        <v>919</v>
      </c>
      <c r="FA43" s="247"/>
      <c r="FB43" s="248"/>
      <c r="FC43" s="246" t="s">
        <v>920</v>
      </c>
      <c r="FD43" s="247"/>
      <c r="FE43" s="248"/>
      <c r="FF43" s="238"/>
      <c r="FG43" s="238"/>
      <c r="FH43" s="238"/>
      <c r="FI43" s="238"/>
      <c r="FJ43" s="246" t="s">
        <v>917</v>
      </c>
      <c r="FK43" s="247"/>
      <c r="FL43" s="247"/>
      <c r="FM43" s="247"/>
      <c r="FN43" s="247"/>
      <c r="FO43" s="252"/>
      <c r="FP43" s="248"/>
      <c r="FQ43" s="246" t="s">
        <v>918</v>
      </c>
      <c r="FR43" s="247"/>
      <c r="FS43" s="248"/>
      <c r="FT43" s="251" t="s">
        <v>165</v>
      </c>
      <c r="FU43" s="246" t="s">
        <v>919</v>
      </c>
      <c r="FV43" s="247"/>
      <c r="FW43" s="248"/>
      <c r="FX43" s="246" t="s">
        <v>920</v>
      </c>
      <c r="FY43" s="247"/>
      <c r="FZ43" s="248"/>
      <c r="GD43" s="340"/>
      <c r="GE43" s="340"/>
      <c r="GF43" s="341" t="s">
        <v>968</v>
      </c>
      <c r="GG43" s="340"/>
      <c r="GH43" s="340"/>
      <c r="GI43" s="340"/>
      <c r="GJ43" s="341" t="s">
        <v>972</v>
      </c>
      <c r="GK43" s="340"/>
      <c r="GL43" s="340"/>
      <c r="GM43" s="340"/>
      <c r="GN43" s="341" t="s">
        <v>971</v>
      </c>
      <c r="GO43" s="340"/>
      <c r="GP43" s="340"/>
      <c r="GQ43" s="340"/>
      <c r="GR43" s="341" t="s">
        <v>970</v>
      </c>
      <c r="GS43" s="340"/>
      <c r="GT43" s="340"/>
      <c r="GU43" s="340"/>
      <c r="GV43" s="341" t="s">
        <v>969</v>
      </c>
      <c r="GW43" s="340"/>
      <c r="GX43" s="340"/>
      <c r="GY43" s="340"/>
      <c r="GZ43" s="342" t="s">
        <v>973</v>
      </c>
      <c r="HA43" s="340"/>
      <c r="HB43" s="340"/>
      <c r="HC43" s="340"/>
      <c r="HD43" s="342" t="s">
        <v>974</v>
      </c>
      <c r="HE43" s="340"/>
      <c r="HF43" s="340"/>
      <c r="HG43" s="340"/>
      <c r="HH43" s="340"/>
      <c r="HI43" s="340"/>
      <c r="HJ43" s="340"/>
      <c r="HK43" s="340"/>
      <c r="HL43" s="340"/>
      <c r="HM43" s="341"/>
      <c r="HN43" s="341"/>
      <c r="HO43" s="341"/>
      <c r="HP43" s="341"/>
      <c r="HQ43" s="341"/>
      <c r="HR43" s="341"/>
      <c r="HS43" s="238"/>
      <c r="HT43" s="238"/>
      <c r="HU43" s="238"/>
      <c r="HV43" s="238"/>
      <c r="HX43" s="238"/>
      <c r="HY43" s="238"/>
      <c r="HZ43" s="238"/>
      <c r="ID43" s="238"/>
    </row>
    <row r="44" spans="1:238" s="234" customFormat="1" ht="20.100000000000001" customHeight="1">
      <c r="A44" s="235"/>
      <c r="B44" s="231">
        <f>COUNT(AJ45,AJ44)</f>
        <v>0</v>
      </c>
      <c r="C44" s="325" t="str">
        <f>CONCATENATE(BG44,BE44)</f>
        <v>HS</v>
      </c>
      <c r="D44" s="253" t="str">
        <f>REPT(DN44,1)</f>
        <v>1</v>
      </c>
      <c r="E44" s="254" t="str">
        <f>REPT(AH44,1)</f>
        <v/>
      </c>
      <c r="F44" s="168"/>
      <c r="G44" s="168"/>
      <c r="H44" s="168"/>
      <c r="I44" s="169"/>
      <c r="J44" s="255" t="str">
        <f>REPT(AM44,1)</f>
        <v/>
      </c>
      <c r="L44" s="309">
        <f>SUM(BS53)</f>
        <v>0</v>
      </c>
      <c r="M44" s="238"/>
      <c r="N44" s="255" t="str">
        <f>REPT(AP44,1)</f>
        <v/>
      </c>
      <c r="P44" s="309">
        <f>SUM(CF53)</f>
        <v>0</v>
      </c>
      <c r="Q44" s="310"/>
      <c r="R44" s="323" t="str">
        <f>CONCATENATE(BH44,BE44)</f>
        <v>GS</v>
      </c>
      <c r="S44" s="253" t="str">
        <f>REPT(DO44,1)</f>
        <v>1</v>
      </c>
      <c r="T44" s="254" t="str">
        <f>REPT(AV44,1)</f>
        <v/>
      </c>
      <c r="U44" s="168"/>
      <c r="V44" s="168"/>
      <c r="W44" s="168"/>
      <c r="X44" s="169"/>
      <c r="Y44" s="255" t="str">
        <f>REPT(BA44,1)</f>
        <v/>
      </c>
      <c r="Z44" s="308"/>
      <c r="AB44" s="234">
        <f>IF(AY44="",0,IF(AY44&lt;2,1,""))</f>
        <v>0</v>
      </c>
      <c r="AC44" s="238">
        <f>IF(AD44=1,1,IF(AD44=3,1,IF(AD44=2,0,IF(AD44=0,0,0))))</f>
        <v>0</v>
      </c>
      <c r="AD44" s="256">
        <f>SUM(AE44:AG44)</f>
        <v>0</v>
      </c>
      <c r="AE44" s="256">
        <f t="shared" ref="AE44:AE48" si="68">IF(F44="",0,1)</f>
        <v>0</v>
      </c>
      <c r="AF44" s="256">
        <f t="shared" ref="AF44:AF48" si="69">IF(G44="",0,1)</f>
        <v>0</v>
      </c>
      <c r="AG44" s="256">
        <f>IF(H44="",0,1)</f>
        <v>0</v>
      </c>
      <c r="AH44" s="257" t="str">
        <f>IF(AK44="",IF(AI44="","",IF(AI44="",501,501-AI44)),501)</f>
        <v/>
      </c>
      <c r="AI44" s="256" t="str">
        <f>IF(F44&gt;1,F44,IF(F44=0,"",IF(F44="","","")))</f>
        <v/>
      </c>
      <c r="AJ44" s="256" t="str">
        <f>IF(G44&gt;8,G44,IF(G44="","",""))</f>
        <v/>
      </c>
      <c r="AK44" s="256" t="str">
        <f>IF(H44&gt;1,H44,IF(H44="","",""))</f>
        <v/>
      </c>
      <c r="AL44" s="256" t="str">
        <f>IF(I44&gt;0,I44,IF(I44="","",""))</f>
        <v/>
      </c>
      <c r="AM44" s="258" t="str">
        <f>IF(BK44=0,"","X")</f>
        <v/>
      </c>
      <c r="AN44" s="237"/>
      <c r="AO44" s="237"/>
      <c r="AP44" s="258" t="str">
        <f>IF(BM44=0,"","X")</f>
        <v/>
      </c>
      <c r="AQ44" s="236">
        <f>IF(AR44=1,1,IF(AR44=3,1,IF(AR44=2,0,IF(AR44=0,0,0))))</f>
        <v>0</v>
      </c>
      <c r="AR44" s="256">
        <f>SUM(AS44:AU44)</f>
        <v>0</v>
      </c>
      <c r="AS44" s="256">
        <f t="shared" ref="AS44:AS48" si="70">IF(U44="",0,1)</f>
        <v>0</v>
      </c>
      <c r="AT44" s="256">
        <f t="shared" ref="AT44:AT48" si="71">IF(V44="",0,1)</f>
        <v>0</v>
      </c>
      <c r="AU44" s="256">
        <f>IF(W44="",0,1)</f>
        <v>0</v>
      </c>
      <c r="AV44" s="257" t="str">
        <f>IF(AY44="",IF(AW44="","",IF(AW44="",501,501-AW44)),501)</f>
        <v/>
      </c>
      <c r="AW44" s="256" t="str">
        <f>IF(U44&gt;1,U44,IF(U44=0,"",IF(U44="","","")))</f>
        <v/>
      </c>
      <c r="AX44" s="256" t="str">
        <f>IF(V44&gt;8,V44,IF(V44="","",""))</f>
        <v/>
      </c>
      <c r="AY44" s="256" t="str">
        <f>IF(W44&gt;1,W44,IF(W44="","",""))</f>
        <v/>
      </c>
      <c r="AZ44" s="256" t="str">
        <f>IF(X44&gt;0,X44,IF(X44="","",""))</f>
        <v/>
      </c>
      <c r="BA44" s="258" t="str">
        <f>IF(BL44=0,"","X")</f>
        <v/>
      </c>
      <c r="BF44" s="238" t="s">
        <v>894</v>
      </c>
      <c r="BG44" s="238" t="str">
        <f>CONCATENATE(BF44,AK41)</f>
        <v>HS</v>
      </c>
      <c r="BH44" s="238" t="str">
        <f>CONCATENATE(BI44,AK41)</f>
        <v>GS</v>
      </c>
      <c r="BI44" s="238" t="s">
        <v>895</v>
      </c>
      <c r="BJ44" s="238"/>
      <c r="BK44" s="251">
        <f>SUM(DD44,DV44,EY44,ED44,FF44,BQ44,BS44,AC44)</f>
        <v>0</v>
      </c>
      <c r="BL44" s="251">
        <f>SUM(DE44,DW44,EE44,FT44,GA44,BR44,BT44,AQ44)</f>
        <v>0</v>
      </c>
      <c r="BM44" s="259">
        <f>SUM(DC44,BK44:BL44,AC44,AQ44)</f>
        <v>0</v>
      </c>
      <c r="BN44" s="239">
        <f>COUNT(AK44)</f>
        <v>0</v>
      </c>
      <c r="BO44" s="239">
        <f>COUNT(AY44)</f>
        <v>0</v>
      </c>
      <c r="BP44" s="239">
        <f>IF(BN46=0,0,1)</f>
        <v>0</v>
      </c>
      <c r="BQ44" s="260">
        <f>IF(AL44="",0,IF(AL44&gt;2,1,0))</f>
        <v>0</v>
      </c>
      <c r="BR44" s="261">
        <f>IF(AZ44="",0,IF(AZ44&gt;2,1,0))</f>
        <v>0</v>
      </c>
      <c r="BS44" s="262">
        <f>IF(AJ44=9,IF(AK44&lt;141,1,0),0)</f>
        <v>0</v>
      </c>
      <c r="BT44" s="263">
        <f>IF(AX44=9,IF(AY44&lt;141,1,0),0)</f>
        <v>0</v>
      </c>
      <c r="BU44" s="242">
        <f>IF(H44,G44,0)</f>
        <v>0</v>
      </c>
      <c r="BV44" s="238">
        <f>IF(BU44&gt;0,AJ44/3,0)</f>
        <v>0</v>
      </c>
      <c r="BW44" s="238">
        <f>ROUNDUP(BV44,0)</f>
        <v>0</v>
      </c>
      <c r="BX44" s="244">
        <f>IF(MOD(BW44,2)=0,BW44,BW44+1)</f>
        <v>0</v>
      </c>
      <c r="BY44" s="238">
        <f>IF(AJ44&lt;9,"",SUM(BX44-BW44))</f>
        <v>0</v>
      </c>
      <c r="BZ44" s="238">
        <f>IF(BY44=1,AK44,0)</f>
        <v>0</v>
      </c>
      <c r="CA44" s="243" t="str">
        <f>IF(BY44=0,AK44,0)</f>
        <v/>
      </c>
      <c r="CB44" s="238"/>
      <c r="CC44" s="238"/>
      <c r="CD44" s="242">
        <f>IF(W44,V44,0)</f>
        <v>0</v>
      </c>
      <c r="CE44" s="238">
        <f>IF(CD44&gt;0,AX44/3,0)</f>
        <v>0</v>
      </c>
      <c r="CF44" s="238">
        <f>ROUNDUP(CE44,0)</f>
        <v>0</v>
      </c>
      <c r="CG44" s="244">
        <f>IF(MOD(CF44,2)=0,CF44,CF44+1)</f>
        <v>0</v>
      </c>
      <c r="CH44" s="238">
        <f>IF(AX44&lt;9,"",SUM(CG44-CF44))</f>
        <v>0</v>
      </c>
      <c r="CI44" s="238">
        <f>IF(CH44=1,AY44,0)</f>
        <v>0</v>
      </c>
      <c r="CJ44" s="243" t="str">
        <f>IF(CH44=0,AY44,0)</f>
        <v/>
      </c>
      <c r="CK44" s="238"/>
      <c r="CL44" s="245">
        <f>IF(COUNT(F44,H44)=1,0,1)</f>
        <v>1</v>
      </c>
      <c r="CM44" s="245">
        <f>IF(COUNT(F44,U44)=1,0,1)</f>
        <v>1</v>
      </c>
      <c r="CN44" s="245">
        <f>IF(COUNT(H44,W44)=1,0,1)</f>
        <v>1</v>
      </c>
      <c r="CO44" s="245">
        <f>IF(COUNT(G44,V44)=2,0,1)</f>
        <v>1</v>
      </c>
      <c r="CP44" s="245">
        <f>IF(COUNT(U44,W44)=1,0,1)</f>
        <v>1</v>
      </c>
      <c r="CQ44" s="245">
        <f>IF(SUM(G44-V44)&gt;3,1,0)</f>
        <v>0</v>
      </c>
      <c r="CR44" s="245">
        <f>IF(SUM(G44-V44)&lt;-3,1,0)</f>
        <v>0</v>
      </c>
      <c r="CS44" s="264">
        <f>IF(AJ44=9,IF(AH44&lt;141,1,0),IF(AH44="",0,IF(AH44&gt;1,0,1)))</f>
        <v>0</v>
      </c>
      <c r="CT44" s="264">
        <f>IF(AX44=9,IF(AV44&lt;141,1,0),IF(AV44="",0,IF(AV44&gt;1,0,1)))</f>
        <v>0</v>
      </c>
      <c r="CU44" s="264">
        <f>IF(AI44="",0,IF(AI44&lt;502,0,1))</f>
        <v>0</v>
      </c>
      <c r="CV44" s="264">
        <f>IF(AW44="",0,IF(AW44&lt;502,0,1))</f>
        <v>0</v>
      </c>
      <c r="CW44" s="264">
        <f>IF(AI44="",IF(AJ44&lt;9,1,0),IF(AJ44&lt;9,1,0))</f>
        <v>0</v>
      </c>
      <c r="CX44" s="264">
        <f>IF(AW44="",IF(AX44&lt;9,1,0),IF(AX44&lt;9,1,0))</f>
        <v>0</v>
      </c>
      <c r="CY44" s="374"/>
      <c r="CZ44" s="374"/>
      <c r="DA44" s="374"/>
      <c r="DB44" s="374"/>
      <c r="DC44" s="265">
        <f>IF(AJ44="",0,SUM(CL44:CX44))</f>
        <v>0</v>
      </c>
      <c r="DD44" s="265">
        <f>IF(AJ44="",0,SUM(CL44,CS44,CU44,CW44))</f>
        <v>0</v>
      </c>
      <c r="DE44" s="265">
        <f>IF(AJ44="",0,SUM(CP44,CT44,CV44,CX44))</f>
        <v>0</v>
      </c>
      <c r="DF44" s="238"/>
      <c r="DG44" s="248" t="str">
        <f>IF(G44="","",SUM(G44-V44))</f>
        <v/>
      </c>
      <c r="DH44" s="245">
        <f>IF(F44="",0,1)</f>
        <v>0</v>
      </c>
      <c r="DI44" s="245" t="str">
        <f>IF(DG44=0,DH44,DG44)</f>
        <v/>
      </c>
      <c r="DJ44" s="245" t="e">
        <f>SIGN(DI44)</f>
        <v>#VALUE!</v>
      </c>
      <c r="DK44" s="245" t="str">
        <f>IF(G44="","",IF(DJ44=1,"*",""))</f>
        <v/>
      </c>
      <c r="DL44" s="245" t="str">
        <f>IF(G44="","",IF(DJ44=-1,"*",IF(DJ44=0,"*","")))</f>
        <v/>
      </c>
      <c r="DM44" s="245">
        <v>1</v>
      </c>
      <c r="DN44" s="245" t="str">
        <f>CONCATENATE(DM44,DK44)</f>
        <v>1</v>
      </c>
      <c r="DO44" s="245" t="str">
        <f>CONCATENATE(DM44,DL44)</f>
        <v>1</v>
      </c>
      <c r="DP44" s="245">
        <f>IF(DK44="*",1,0)</f>
        <v>0</v>
      </c>
      <c r="DQ44" s="245">
        <f>IF(DL44="*",1,0)</f>
        <v>0</v>
      </c>
      <c r="DR44" s="245"/>
      <c r="DS44" s="245"/>
      <c r="DT44" s="245"/>
      <c r="DU44" s="245"/>
      <c r="DV44" s="266"/>
      <c r="DW44" s="266"/>
      <c r="DX44" s="238">
        <f>IF(AK44="",0,1)</f>
        <v>0</v>
      </c>
      <c r="DY44" s="238">
        <f>IF(DG44=-3,1,0)</f>
        <v>0</v>
      </c>
      <c r="DZ44" s="238">
        <f>SUM(DX44:DY44)</f>
        <v>0</v>
      </c>
      <c r="EA44" s="238">
        <f>IF(AK44="",1,0)</f>
        <v>1</v>
      </c>
      <c r="EB44" s="238">
        <f>IF(DG44=3,1,0)</f>
        <v>0</v>
      </c>
      <c r="EC44" s="238">
        <f>SUM(EA44:EB44)</f>
        <v>1</v>
      </c>
      <c r="ED44" s="267">
        <f>IF(EC44=2,1,0)</f>
        <v>0</v>
      </c>
      <c r="EE44" s="267">
        <f>IF(DZ44=2,1,0)</f>
        <v>0</v>
      </c>
      <c r="EG44" s="166"/>
      <c r="EH44" s="238"/>
      <c r="EI44" s="238"/>
      <c r="EJ44" s="238"/>
      <c r="EK44" s="238"/>
      <c r="EL44" s="238"/>
      <c r="EM44" s="245">
        <f>IF(AK44="",0,1)</f>
        <v>0</v>
      </c>
      <c r="EN44" s="245">
        <f>SUM(AK44)</f>
        <v>0</v>
      </c>
      <c r="EO44" s="268">
        <f>SUM(AJ44)</f>
        <v>0</v>
      </c>
      <c r="EP44" s="268">
        <f>SUM(G44/3)</f>
        <v>0</v>
      </c>
      <c r="EQ44" s="268" t="e">
        <f>SUM(EO44/EP44)</f>
        <v>#DIV/0!</v>
      </c>
      <c r="ER44" s="268">
        <f>ROUNDDOWN(EP44,0)</f>
        <v>0</v>
      </c>
      <c r="ES44" s="268">
        <f>SUM(EO44,-ER44*3)</f>
        <v>0</v>
      </c>
      <c r="ET44" s="269" t="b">
        <f>MOD(EN44/1,2)=0</f>
        <v>1</v>
      </c>
      <c r="EU44" s="245">
        <f>IF(ET44=FALSE,1,0)</f>
        <v>0</v>
      </c>
      <c r="EV44" s="245">
        <f>IF(EN44=50,0,IF(EN44&lt;40,1,0))</f>
        <v>1</v>
      </c>
      <c r="EW44" s="245">
        <f>SUM(EU44:EV44)</f>
        <v>1</v>
      </c>
      <c r="EX44" s="267">
        <f>IF(EN44=1,1,IF(EN44=50,0,IF(ES44=1,IF(EN44&gt;40,1,0),0)))</f>
        <v>0</v>
      </c>
      <c r="EY44" s="267">
        <f>IF(ES44=1,IF(EW44=2,1,0),0)+EX44+FB44+FE44</f>
        <v>0</v>
      </c>
      <c r="EZ44" s="245">
        <f>IF(EN44=109,1,IF(EN44=108,1,IF(EN44=106,1,IF(EN44=105,1,IF(EN44=103,1,IF(EN44=102,1,IF(EN44=99,1,0)))))))</f>
        <v>0</v>
      </c>
      <c r="FA44" s="245">
        <f>IF(EN44&gt;110,1,0)</f>
        <v>0</v>
      </c>
      <c r="FB44" s="267">
        <f>IF(ES44=2,SUM(EZ44:FA44),0)</f>
        <v>0</v>
      </c>
      <c r="FC44" s="245">
        <f>IF(EN44=159,1,IF(EN44=162,1,IF(EN44=163,1,IF(EN44=165,1,IF(EN44=166,1,IF(EN44=168,1,IF(EN44=169,1,0)))))))</f>
        <v>0</v>
      </c>
      <c r="FD44" s="245">
        <f>IF(EN44&gt;170,1,0)</f>
        <v>0</v>
      </c>
      <c r="FE44" s="267">
        <f>IF(ES44=0,SUM(FC44:FD44),0)</f>
        <v>0</v>
      </c>
      <c r="FF44" s="251">
        <f>IF(AJ44="",0,IF(AI44="",0,IF(EO44/ER44-3=0,0,1)))</f>
        <v>0</v>
      </c>
      <c r="FG44" s="238"/>
      <c r="FH44" s="245">
        <f>IF(AY44="",0,1)</f>
        <v>0</v>
      </c>
      <c r="FI44" s="245">
        <f>SUM(AY44)</f>
        <v>0</v>
      </c>
      <c r="FJ44" s="268">
        <f>SUM(AX44)</f>
        <v>0</v>
      </c>
      <c r="FK44" s="268">
        <f>SUM(V44/3)</f>
        <v>0</v>
      </c>
      <c r="FL44" s="268" t="e">
        <f>SUM(FJ44/FK44)</f>
        <v>#DIV/0!</v>
      </c>
      <c r="FM44" s="268">
        <f>ROUNDDOWN(FK44,0)</f>
        <v>0</v>
      </c>
      <c r="FN44" s="268">
        <f>SUM(FJ44,-FM44*3)</f>
        <v>0</v>
      </c>
      <c r="FO44" s="269" t="b">
        <f>MOD(FI44/1,2)=0</f>
        <v>1</v>
      </c>
      <c r="FP44" s="245">
        <f>IF(FO44=FALSE,1,0)</f>
        <v>0</v>
      </c>
      <c r="FQ44" s="245">
        <f>IF(FI44=50,0,IF(FI44&lt;40,1,0))</f>
        <v>1</v>
      </c>
      <c r="FR44" s="245">
        <f>SUM(FP44:FQ44)</f>
        <v>1</v>
      </c>
      <c r="FS44" s="267">
        <f>IF(FI44=1,1,IF(FI44=50,0,IF(FN44=1,IF(FI44&gt;40,1,0),0)))</f>
        <v>0</v>
      </c>
      <c r="FT44" s="267">
        <f>IF(FN44=1,IF(FR44=2,1,0),0)+FS44+FW44+FZ44</f>
        <v>0</v>
      </c>
      <c r="FU44" s="245">
        <f>IF(FI44=109,1,IF(FI44=108,1,IF(FI44=106,1,IF(FI44=105,1,IF(FI44=103,1,IF(FI44=102,1,IF(FI44=99,1,0)))))))</f>
        <v>0</v>
      </c>
      <c r="FV44" s="245">
        <f>IF(FI44&gt;110,1,0)</f>
        <v>0</v>
      </c>
      <c r="FW44" s="267">
        <f>IF(FN44=2,SUM(FU44:FV44),0)</f>
        <v>0</v>
      </c>
      <c r="FX44" s="245">
        <f>IF(FI44=159,1,IF(FI44=162,1,IF(FI44=163,1,IF(FI44=165,1,IF(FI44=166,1,IF(FI44=168,1,IF(FI44=169,1,0)))))))</f>
        <v>0</v>
      </c>
      <c r="FY44" s="245">
        <f>IF(FI44&gt;170,1,0)</f>
        <v>0</v>
      </c>
      <c r="FZ44" s="267">
        <f>IF(FN44=0,SUM(FX44:FY44),0)</f>
        <v>0</v>
      </c>
      <c r="GA44" s="251">
        <f>IF(AX44="",0,IF(AW44="",0,IF(FJ44/FM44-3=0,0,1)))</f>
        <v>0</v>
      </c>
      <c r="GD44" s="341">
        <f>IF(AK41="D",1,0)</f>
        <v>0</v>
      </c>
      <c r="GE44" s="343"/>
      <c r="GF44" s="343" t="s">
        <v>866</v>
      </c>
      <c r="GG44" s="343" t="s">
        <v>868</v>
      </c>
      <c r="GH44" s="343" t="s">
        <v>848</v>
      </c>
      <c r="GI44" s="343">
        <v>180</v>
      </c>
      <c r="GJ44" s="343" t="s">
        <v>866</v>
      </c>
      <c r="GK44" s="343" t="s">
        <v>868</v>
      </c>
      <c r="GL44" s="343" t="s">
        <v>848</v>
      </c>
      <c r="GM44" s="343">
        <v>180</v>
      </c>
      <c r="GN44" s="343" t="s">
        <v>866</v>
      </c>
      <c r="GO44" s="343" t="s">
        <v>868</v>
      </c>
      <c r="GP44" s="343" t="s">
        <v>848</v>
      </c>
      <c r="GQ44" s="343">
        <v>180</v>
      </c>
      <c r="GR44" s="343" t="s">
        <v>866</v>
      </c>
      <c r="GS44" s="343" t="s">
        <v>868</v>
      </c>
      <c r="GT44" s="343" t="s">
        <v>848</v>
      </c>
      <c r="GU44" s="343">
        <v>180</v>
      </c>
      <c r="GV44" s="343" t="s">
        <v>866</v>
      </c>
      <c r="GW44" s="343" t="s">
        <v>868</v>
      </c>
      <c r="GX44" s="343" t="s">
        <v>848</v>
      </c>
      <c r="GY44" s="343">
        <v>180</v>
      </c>
      <c r="GZ44" s="343" t="s">
        <v>866</v>
      </c>
      <c r="HA44" s="343" t="s">
        <v>868</v>
      </c>
      <c r="HB44" s="343" t="s">
        <v>848</v>
      </c>
      <c r="HC44" s="343">
        <v>180</v>
      </c>
      <c r="HD44" s="343" t="s">
        <v>866</v>
      </c>
      <c r="HE44" s="343" t="s">
        <v>868</v>
      </c>
      <c r="HF44" s="341" t="s">
        <v>975</v>
      </c>
      <c r="HG44" s="341" t="s">
        <v>976</v>
      </c>
      <c r="HH44" s="341" t="s">
        <v>899</v>
      </c>
      <c r="HJ44" s="238"/>
      <c r="HK44" s="238"/>
      <c r="HL44" s="238"/>
      <c r="HM44" s="238">
        <f>COUNT(HI45,HJ45,HK45,HL45,HM45)</f>
        <v>0</v>
      </c>
      <c r="HN44" s="341"/>
      <c r="HO44" s="341"/>
      <c r="HP44" s="341"/>
      <c r="HQ44" s="341"/>
      <c r="HR44" s="341"/>
      <c r="HS44" s="238"/>
      <c r="HT44" s="238"/>
      <c r="HU44" s="238"/>
      <c r="HV44" s="238"/>
      <c r="HX44" s="238"/>
      <c r="HY44" s="238"/>
      <c r="ID44" s="238"/>
    </row>
    <row r="45" spans="1:238" s="234" customFormat="1" ht="20.100000000000001" customHeight="1">
      <c r="A45" s="235"/>
      <c r="B45" s="231">
        <f>COUNT(AJ46,AJ45)</f>
        <v>0</v>
      </c>
      <c r="C45" s="326">
        <f>IF(DK44="*",AJ41,AI41)</f>
        <v>1.3</v>
      </c>
      <c r="D45" s="253" t="str">
        <f>REPT(DN45,1)</f>
        <v>2</v>
      </c>
      <c r="E45" s="254" t="str">
        <f>REPT(AH45,1)</f>
        <v/>
      </c>
      <c r="F45" s="168"/>
      <c r="G45" s="168"/>
      <c r="H45" s="168"/>
      <c r="I45" s="169"/>
      <c r="J45" s="270" t="str">
        <f>REPT(AM45,1)</f>
        <v/>
      </c>
      <c r="L45" s="306" t="s">
        <v>922</v>
      </c>
      <c r="M45" s="311"/>
      <c r="N45" s="270" t="str">
        <f>REPT(AP45,1)</f>
        <v/>
      </c>
      <c r="P45" s="306" t="s">
        <v>922</v>
      </c>
      <c r="Q45" s="310"/>
      <c r="R45" s="324">
        <f>IF(DL44="*",AJ41,AI41)</f>
        <v>1.3</v>
      </c>
      <c r="S45" s="253" t="str">
        <f>REPT(DO45,1)</f>
        <v>2</v>
      </c>
      <c r="T45" s="254" t="str">
        <f>REPT(AV45,1)</f>
        <v/>
      </c>
      <c r="U45" s="168"/>
      <c r="V45" s="168"/>
      <c r="W45" s="168"/>
      <c r="X45" s="169"/>
      <c r="Y45" s="270" t="str">
        <f t="shared" ref="Y45:Y47" si="72">REPT(BA45,1)</f>
        <v/>
      </c>
      <c r="Z45" s="308"/>
      <c r="AB45" s="234">
        <f>IF(AY45="",0,IF(AY45&lt;2,1,""))</f>
        <v>0</v>
      </c>
      <c r="AC45" s="238">
        <f t="shared" ref="AC45:AC46" si="73">IF(AD45=1,1,IF(AD45=3,1,IF(AD45=2,0,IF(AD45=0,0,0))))</f>
        <v>0</v>
      </c>
      <c r="AD45" s="256">
        <f t="shared" ref="AD45:AD48" si="74">SUM(AE45:AG45)</f>
        <v>0</v>
      </c>
      <c r="AE45" s="256">
        <f t="shared" si="68"/>
        <v>0</v>
      </c>
      <c r="AF45" s="256">
        <f t="shared" si="69"/>
        <v>0</v>
      </c>
      <c r="AG45" s="256">
        <f t="shared" ref="AG45:AG48" si="75">IF(H45="",0,1)</f>
        <v>0</v>
      </c>
      <c r="AH45" s="257" t="str">
        <f>IF(AK45="",IF(AI45="","",IF(AI45="",501,501-AI45)),501)</f>
        <v/>
      </c>
      <c r="AI45" s="256" t="str">
        <f>IF(F45&gt;1,F45,IF(F45=0,"",IF(F45="","","")))</f>
        <v/>
      </c>
      <c r="AJ45" s="256" t="str">
        <f>IF(G45&gt;8,G45,IF(G45="","",""))</f>
        <v/>
      </c>
      <c r="AK45" s="256" t="str">
        <f>IF(H45&gt;1,H45,IF(H45="","",""))</f>
        <v/>
      </c>
      <c r="AL45" s="256" t="str">
        <f>IF(I45&gt;0,I45,IF(I45="","",""))</f>
        <v/>
      </c>
      <c r="AM45" s="258" t="str">
        <f>IF(BK45=0,"","X")</f>
        <v/>
      </c>
      <c r="AN45" s="237"/>
      <c r="AO45" s="237"/>
      <c r="AP45" s="258" t="str">
        <f>IF(BM45=0,"","X")</f>
        <v/>
      </c>
      <c r="AQ45" s="236">
        <f t="shared" ref="AQ45:AQ46" si="76">IF(AR45=1,1,IF(AR45=3,1,IF(AR45=2,0,IF(AR45=0,0,0))))</f>
        <v>0</v>
      </c>
      <c r="AR45" s="256">
        <f t="shared" ref="AR45:AR48" si="77">SUM(AS45:AU45)</f>
        <v>0</v>
      </c>
      <c r="AS45" s="256">
        <f t="shared" si="70"/>
        <v>0</v>
      </c>
      <c r="AT45" s="256">
        <f t="shared" si="71"/>
        <v>0</v>
      </c>
      <c r="AU45" s="256">
        <f t="shared" ref="AU45:AU48" si="78">IF(W45="",0,1)</f>
        <v>0</v>
      </c>
      <c r="AV45" s="257" t="str">
        <f>IF(AY45="",IF(AW45="","",IF(AW45="",501,501-AW45)),501)</f>
        <v/>
      </c>
      <c r="AW45" s="256" t="str">
        <f>IF(U45&gt;1,U45,IF(U45=0,"",IF(U45="","","")))</f>
        <v/>
      </c>
      <c r="AX45" s="256" t="str">
        <f>IF(V45&gt;8,V45,IF(V45="","",""))</f>
        <v/>
      </c>
      <c r="AY45" s="256" t="str">
        <f>IF(W45&gt;1,W45,IF(W45="","",""))</f>
        <v/>
      </c>
      <c r="AZ45" s="256" t="str">
        <f>IF(X45&gt;0,X45,IF(X45="","",""))</f>
        <v/>
      </c>
      <c r="BA45" s="258" t="str">
        <f>IF(BL45=0,"","X")</f>
        <v/>
      </c>
      <c r="BK45" s="251">
        <f>SUM(DD45,DV45,EY45,ED45,FF45,BQ45,BS45,AC45)</f>
        <v>0</v>
      </c>
      <c r="BL45" s="251">
        <f>SUM(DE45,DW45,EE45,FT45,GA45,BR45,BT45,AQ45)</f>
        <v>0</v>
      </c>
      <c r="BM45" s="259">
        <f t="shared" ref="BM45:BM46" si="79">SUM(DC45,BK45:BL45,AC45,AQ45)</f>
        <v>0</v>
      </c>
      <c r="BN45" s="239">
        <f>COUNT(AK45)</f>
        <v>0</v>
      </c>
      <c r="BO45" s="239">
        <f>COUNT(AY45)</f>
        <v>0</v>
      </c>
      <c r="BP45" s="239">
        <f>IF(BN47=0,0,1)</f>
        <v>0</v>
      </c>
      <c r="BQ45" s="260">
        <f>IF(AL45="",0,IF(AL45&gt;2,1,0))</f>
        <v>0</v>
      </c>
      <c r="BR45" s="261">
        <f>IF(AZ45="",0,IF(AZ45&gt;2,1,0))</f>
        <v>0</v>
      </c>
      <c r="BS45" s="262">
        <f>IF(AJ45=9,IF(AK45&lt;141,1,0),0)</f>
        <v>0</v>
      </c>
      <c r="BT45" s="263">
        <f>IF(AX45=9,IF(AY45&lt;141,1,0),0)</f>
        <v>0</v>
      </c>
      <c r="BU45" s="242">
        <f>IF(H45,G45,0)</f>
        <v>0</v>
      </c>
      <c r="BV45" s="238">
        <f>IF(BU45&gt;0,AJ45/3,0)</f>
        <v>0</v>
      </c>
      <c r="BW45" s="238">
        <f>ROUNDUP(BV45,0)</f>
        <v>0</v>
      </c>
      <c r="BX45" s="244">
        <f>IF(MOD(BW45,2)=0,BW45,BW45+1)</f>
        <v>0</v>
      </c>
      <c r="BY45" s="238">
        <f>IF(AJ45&lt;9,"",SUM(BX45-BW45))</f>
        <v>0</v>
      </c>
      <c r="BZ45" s="238">
        <f>IF(BY45=1,AK45,0)</f>
        <v>0</v>
      </c>
      <c r="CA45" s="243" t="str">
        <f>IF(BY45=0,AK45,0)</f>
        <v/>
      </c>
      <c r="CB45" s="238"/>
      <c r="CC45" s="238"/>
      <c r="CD45" s="242">
        <f>IF(W45,V45,0)</f>
        <v>0</v>
      </c>
      <c r="CE45" s="238">
        <f>IF(CD45&gt;0,AX45/3,0)</f>
        <v>0</v>
      </c>
      <c r="CF45" s="238">
        <f>ROUNDUP(CE45,0)</f>
        <v>0</v>
      </c>
      <c r="CG45" s="244">
        <f>IF(MOD(CF45,2)=0,CF45,CF45+1)</f>
        <v>0</v>
      </c>
      <c r="CH45" s="238">
        <f>IF(AX45&lt;9,"",SUM(CG45-CF45))</f>
        <v>0</v>
      </c>
      <c r="CI45" s="238">
        <f>IF(CH45=1,AY45,0)</f>
        <v>0</v>
      </c>
      <c r="CJ45" s="243" t="str">
        <f>IF(CH45=0,AY45,0)</f>
        <v/>
      </c>
      <c r="CK45" s="238"/>
      <c r="CL45" s="245">
        <f>IF(COUNT(F45,H45)=1,0,1)</f>
        <v>1</v>
      </c>
      <c r="CM45" s="245">
        <f>IF(COUNT(F45,U45)=1,0,1)</f>
        <v>1</v>
      </c>
      <c r="CN45" s="245">
        <f>IF(COUNT(H45,W45)=1,0,1)</f>
        <v>1</v>
      </c>
      <c r="CO45" s="245">
        <f>IF(COUNT(G45,V45)=2,0,1)</f>
        <v>1</v>
      </c>
      <c r="CP45" s="245">
        <f>IF(COUNT(U45,W45)=1,0,1)</f>
        <v>1</v>
      </c>
      <c r="CQ45" s="245">
        <f>IF(SUM(G45-V45)&gt;3,1,0)</f>
        <v>0</v>
      </c>
      <c r="CR45" s="245">
        <f>IF(SUM(G45-V45)&lt;-3,1,0)</f>
        <v>0</v>
      </c>
      <c r="CS45" s="264">
        <f>IF(AJ45=9,IF(AH45&lt;141,1,0),IF(AH45="",0,IF(AH45&gt;1,0,1)))</f>
        <v>0</v>
      </c>
      <c r="CT45" s="264">
        <f>IF(AX45=9,IF(AV45&lt;141,1,0),IF(AV45="",0,IF(AV45&gt;1,0,1)))</f>
        <v>0</v>
      </c>
      <c r="CU45" s="264">
        <f>IF(AI45="",0,IF(AI45&lt;502,0,1))</f>
        <v>0</v>
      </c>
      <c r="CV45" s="264">
        <f>IF(AW45="",0,IF(AW45&lt;502,0,1))</f>
        <v>0</v>
      </c>
      <c r="CW45" s="264">
        <f>IF(AI45="",IF(AJ45&lt;9,1,0),IF(AJ45&lt;9,1,0))</f>
        <v>0</v>
      </c>
      <c r="CX45" s="264">
        <f>IF(AW45="",IF(AX45&lt;9,1,0),IF(AX45&lt;9,1,0))</f>
        <v>0</v>
      </c>
      <c r="CY45" s="374"/>
      <c r="CZ45" s="374"/>
      <c r="DA45" s="374"/>
      <c r="DB45" s="374"/>
      <c r="DC45" s="265">
        <f>IF(AJ45="",0,SUM(CL45:CX45))</f>
        <v>0</v>
      </c>
      <c r="DD45" s="265">
        <f>IF(AJ45="",0,SUM(CL45,CS45,CU45,CW45))</f>
        <v>0</v>
      </c>
      <c r="DE45" s="265">
        <f>IF(AJ45="",0,SUM(CP45,CT45,CV45,CX45))</f>
        <v>0</v>
      </c>
      <c r="DF45" s="238"/>
      <c r="DG45" s="248">
        <f>SUM(G45-V45)</f>
        <v>0</v>
      </c>
      <c r="DH45" s="245">
        <f>IF(F45="",0,1)</f>
        <v>0</v>
      </c>
      <c r="DI45" s="245">
        <f t="shared" ref="DI45:DI48" si="80">IF(DG45=0,DH45,DG45)</f>
        <v>0</v>
      </c>
      <c r="DJ45" s="245">
        <f t="shared" ref="DJ45:DJ48" si="81">SIGN(DI45)</f>
        <v>0</v>
      </c>
      <c r="DK45" s="245" t="str">
        <f>IF(G45="","",IF(DJ45=1,"*",""))</f>
        <v/>
      </c>
      <c r="DL45" s="245" t="str">
        <f>IF(G45="","",IF(DJ45=-1,"*",IF(DJ45=0,"*","")))</f>
        <v/>
      </c>
      <c r="DM45" s="245">
        <v>2</v>
      </c>
      <c r="DN45" s="245" t="str">
        <f t="shared" ref="DN45:DN48" si="82">CONCATENATE(DM45,DK45)</f>
        <v>2</v>
      </c>
      <c r="DO45" s="245" t="str">
        <f t="shared" ref="DO45:DO48" si="83">CONCATENATE(DM45,DL45)</f>
        <v>2</v>
      </c>
      <c r="DP45" s="245">
        <f>SUM(DQ44)</f>
        <v>0</v>
      </c>
      <c r="DQ45" s="245">
        <f>SUM(DP44)</f>
        <v>0</v>
      </c>
      <c r="DR45" s="245">
        <f>IF(DK45="*",1,0)</f>
        <v>0</v>
      </c>
      <c r="DS45" s="245">
        <f>IF(DL45="*",1,0)</f>
        <v>0</v>
      </c>
      <c r="DT45" s="245">
        <f>IF(H35="",0,IF(DP45=DR45,1,0))</f>
        <v>0</v>
      </c>
      <c r="DU45" s="245">
        <f>IF(V45="",0,IF(DQ45=DS45,0,1))</f>
        <v>0</v>
      </c>
      <c r="DV45" s="267">
        <f>SUM(DT45)</f>
        <v>0</v>
      </c>
      <c r="DW45" s="267">
        <f>IF(V45="",0,SUM(DU45))</f>
        <v>0</v>
      </c>
      <c r="DX45" s="238">
        <f>IF(AK45="",0,1)</f>
        <v>0</v>
      </c>
      <c r="DY45" s="238">
        <f>IF(DG45=-3,1,0)</f>
        <v>0</v>
      </c>
      <c r="DZ45" s="238">
        <f>SUM(DX45:DY45)</f>
        <v>0</v>
      </c>
      <c r="EA45" s="238">
        <f>IF(AK45="",1,0)</f>
        <v>1</v>
      </c>
      <c r="EB45" s="238">
        <f>IF(DG45=3,1,0)</f>
        <v>0</v>
      </c>
      <c r="EC45" s="238">
        <f>SUM(EA45:EB45)</f>
        <v>1</v>
      </c>
      <c r="ED45" s="267">
        <f>IF(EC45=2,1,0)</f>
        <v>0</v>
      </c>
      <c r="EE45" s="267">
        <f>IF(DZ45=2,1,0)</f>
        <v>0</v>
      </c>
      <c r="EG45" s="166"/>
      <c r="EH45" s="238"/>
      <c r="EI45" s="238"/>
      <c r="EJ45" s="238"/>
      <c r="EK45" s="238"/>
      <c r="EL45" s="238"/>
      <c r="EM45" s="245">
        <f>IF(AK45="",0,1)</f>
        <v>0</v>
      </c>
      <c r="EN45" s="245">
        <f>SUM(AK45)</f>
        <v>0</v>
      </c>
      <c r="EO45" s="268">
        <f>SUM(AJ45)</f>
        <v>0</v>
      </c>
      <c r="EP45" s="268">
        <f>SUM(G45/3)</f>
        <v>0</v>
      </c>
      <c r="EQ45" s="268" t="e">
        <f>SUM(EO45/EP45)</f>
        <v>#DIV/0!</v>
      </c>
      <c r="ER45" s="268">
        <f>ROUNDDOWN(EP45,0)</f>
        <v>0</v>
      </c>
      <c r="ES45" s="268">
        <f>SUM(EO45,-ER45*3)</f>
        <v>0</v>
      </c>
      <c r="ET45" s="269" t="b">
        <f>MOD(EN45/1,2)=0</f>
        <v>1</v>
      </c>
      <c r="EU45" s="245">
        <f>IF(ET45=FALSE,1,0)</f>
        <v>0</v>
      </c>
      <c r="EV45" s="245">
        <f>IF(EN45=50,0,IF(EN45&lt;40,1,0))</f>
        <v>1</v>
      </c>
      <c r="EW45" s="245">
        <f>SUM(EU45:EV45)</f>
        <v>1</v>
      </c>
      <c r="EX45" s="267">
        <f>IF(EN45=1,1,IF(EN45=50,0,IF(ES45=1,IF(EN45&gt;40,1,0),0)))</f>
        <v>0</v>
      </c>
      <c r="EY45" s="267">
        <f>IF(ES45=1,IF(EW45=2,1,0),0)+EX45+FB45+FE45</f>
        <v>0</v>
      </c>
      <c r="EZ45" s="245">
        <f>IF(EN45=109,1,IF(EN45=108,1,IF(EN45=106,1,IF(EN45=105,1,IF(EN45=103,1,IF(EN45=102,1,IF(EN45=99,1,0)))))))</f>
        <v>0</v>
      </c>
      <c r="FA45" s="245">
        <f>IF(EN45&gt;110,1,0)</f>
        <v>0</v>
      </c>
      <c r="FB45" s="267">
        <f>IF(ES45=2,SUM(EZ45:FA45),0)</f>
        <v>0</v>
      </c>
      <c r="FC45" s="245">
        <f>IF(EN45=159,1,IF(EN45=162,1,IF(EN45=163,1,IF(EN45=165,1,IF(EN45=166,1,IF(EN45=168,1,IF(EN45=169,1,0)))))))</f>
        <v>0</v>
      </c>
      <c r="FD45" s="245">
        <f>IF(EN45&gt;170,1,0)</f>
        <v>0</v>
      </c>
      <c r="FE45" s="267">
        <f>IF(ES45=0,SUM(FC45:FD45),0)</f>
        <v>0</v>
      </c>
      <c r="FF45" s="251">
        <f t="shared" ref="FF45:FF48" si="84">IF(AJ45="",0,IF(AI45="",0,IF(EO45/ER45-3=0,0,1)))</f>
        <v>0</v>
      </c>
      <c r="FG45" s="238"/>
      <c r="FH45" s="245">
        <f>IF(AY45="",0,1)</f>
        <v>0</v>
      </c>
      <c r="FI45" s="245">
        <f>SUM(AY45)</f>
        <v>0</v>
      </c>
      <c r="FJ45" s="268">
        <f>SUM(AX45)</f>
        <v>0</v>
      </c>
      <c r="FK45" s="268">
        <f>SUM(V45/3)</f>
        <v>0</v>
      </c>
      <c r="FL45" s="268" t="e">
        <f>SUM(FJ45/FK45)</f>
        <v>#DIV/0!</v>
      </c>
      <c r="FM45" s="268">
        <f>ROUNDDOWN(FK45,0)</f>
        <v>0</v>
      </c>
      <c r="FN45" s="268">
        <f>SUM(FJ45,-FM45*3)</f>
        <v>0</v>
      </c>
      <c r="FO45" s="269" t="b">
        <f>MOD(FI45/1,2)=0</f>
        <v>1</v>
      </c>
      <c r="FP45" s="245">
        <f>IF(FO45=FALSE,1,0)</f>
        <v>0</v>
      </c>
      <c r="FQ45" s="245">
        <f>IF(FI45=50,0,IF(FI45&lt;40,1,0))</f>
        <v>1</v>
      </c>
      <c r="FR45" s="245">
        <f>SUM(FP45:FQ45)</f>
        <v>1</v>
      </c>
      <c r="FS45" s="267">
        <f>IF(FI45=1,1,IF(FI45=50,0,IF(FN45=1,IF(FI45&gt;40,1,0),0)))</f>
        <v>0</v>
      </c>
      <c r="FT45" s="267">
        <f>IF(FN45=1,IF(FR45=2,1,0),0)+FS45+FW45+FZ45</f>
        <v>0</v>
      </c>
      <c r="FU45" s="245">
        <f>IF(FI45=109,1,IF(FI45=108,1,IF(FI45=106,1,IF(FI45=105,1,IF(FI45=103,1,IF(FI45=102,1,IF(FI45=99,1,0)))))))</f>
        <v>0</v>
      </c>
      <c r="FV45" s="245">
        <f>IF(FI45&gt;110,1,0)</f>
        <v>0</v>
      </c>
      <c r="FW45" s="267">
        <f>IF(FN45=2,SUM(FU45:FV45),0)</f>
        <v>0</v>
      </c>
      <c r="FX45" s="245">
        <f>IF(FI45=159,1,IF(FI45=162,1,IF(FI45=163,1,IF(FI45=165,1,IF(FI45=166,1,IF(FI45=168,1,IF(FI45=169,1,0)))))))</f>
        <v>0</v>
      </c>
      <c r="FY45" s="245">
        <f>IF(FI45&gt;170,1,0)</f>
        <v>0</v>
      </c>
      <c r="FZ45" s="267">
        <f>IF(FN45=0,SUM(FX45:FY45),0)</f>
        <v>0</v>
      </c>
      <c r="GA45" s="251">
        <f t="shared" ref="GA45:GA48" si="85">IF(AX45="",0,IF(AW45="",0,IF(FJ45/FM45-3=0,0,1)))</f>
        <v>0</v>
      </c>
      <c r="GC45" s="238" t="str">
        <f>VLOOKUP(AH41,Chema!BL:BR,2,FALSE)</f>
        <v>HS 1.3</v>
      </c>
      <c r="GD45" s="341">
        <f>IF(E51="FORFAIT",1,0)</f>
        <v>0</v>
      </c>
      <c r="GE45" s="343" t="str">
        <f>IF(C51="","",SUM(C51))</f>
        <v/>
      </c>
      <c r="GF45" s="344">
        <f>SUM(AH44)</f>
        <v>0</v>
      </c>
      <c r="GG45" s="344">
        <f>SUM(AJ44)</f>
        <v>0</v>
      </c>
      <c r="GH45" s="344">
        <f t="shared" ref="GH45" si="86">SUM(AK44)</f>
        <v>0</v>
      </c>
      <c r="GI45" s="344">
        <f t="shared" ref="GI45" si="87">SUM(AL44)</f>
        <v>0</v>
      </c>
      <c r="GJ45" s="344">
        <f>SUM(AH45)</f>
        <v>0</v>
      </c>
      <c r="GK45" s="344">
        <f>SUM(AJ45)</f>
        <v>0</v>
      </c>
      <c r="GL45" s="344">
        <f>SUM(AK45)</f>
        <v>0</v>
      </c>
      <c r="GM45" s="344">
        <f>SUM(AL45)</f>
        <v>0</v>
      </c>
      <c r="GN45" s="344">
        <f>SUM(AH46)</f>
        <v>0</v>
      </c>
      <c r="GO45" s="344">
        <f>SUM(AJ46)</f>
        <v>0</v>
      </c>
      <c r="GP45" s="344">
        <f>SUM(AK46)</f>
        <v>0</v>
      </c>
      <c r="GQ45" s="344">
        <f>SUM(AL46)</f>
        <v>0</v>
      </c>
      <c r="GR45" s="344">
        <f>SUM(AH47)</f>
        <v>0</v>
      </c>
      <c r="GS45" s="344">
        <f>SUM(AJ47)</f>
        <v>0</v>
      </c>
      <c r="GT45" s="344">
        <f>SUM(AK47)</f>
        <v>0</v>
      </c>
      <c r="GU45" s="344">
        <f>SUM(AL47)</f>
        <v>0</v>
      </c>
      <c r="GV45" s="344">
        <f>SUM(AH48)</f>
        <v>0</v>
      </c>
      <c r="GW45" s="344">
        <f>SUM(AJ48)</f>
        <v>0</v>
      </c>
      <c r="GX45" s="344">
        <f>SUM(AK48)</f>
        <v>0</v>
      </c>
      <c r="GY45" s="344">
        <f>SUM(AL48)</f>
        <v>0</v>
      </c>
      <c r="GZ45" s="344">
        <f>SUM(GF45,GJ45,GN45,GR45,GV45)</f>
        <v>0</v>
      </c>
      <c r="HA45" s="344">
        <f t="shared" ref="HA45" si="88">SUM(GG45,GK45,GO45,GS45,GW45)</f>
        <v>0</v>
      </c>
      <c r="HB45" s="344">
        <f>IF(GD44=1,L51,MAX(GH45,GL45,GP45,GT45,GX45))</f>
        <v>0</v>
      </c>
      <c r="HC45" s="344">
        <f>IF(GD44=1,I51,SUM(GI45,GM45,GQ45,GU45,GY45))</f>
        <v>0</v>
      </c>
      <c r="HD45" s="345">
        <f>IF(GD44=1,0,SUM(GF45,GJ45,GN45,GR45,GV45))</f>
        <v>0</v>
      </c>
      <c r="HE45" s="345">
        <f>IF(GD44=1,0,SUM(GG45,GK45,GO45,GS45,GW45))</f>
        <v>0</v>
      </c>
      <c r="HF45" s="341">
        <f>IF(GD44=1,0,MIN(HI45,HJ45,HK45,HL45,HM45))</f>
        <v>0</v>
      </c>
      <c r="HG45" s="341">
        <f>IF(HF45=0,0,COUNTIF(HI45:HM45,HF45))</f>
        <v>0</v>
      </c>
      <c r="HH45" s="341">
        <f>SUM(GH46,GL46,GP46,GT46,GX46)</f>
        <v>0</v>
      </c>
      <c r="HI45" s="343" t="str">
        <f>IF(GH46=1,GG45,"")</f>
        <v/>
      </c>
      <c r="HJ45" s="343" t="str">
        <f>IF(GL46=1,GK45,"")</f>
        <v/>
      </c>
      <c r="HK45" s="343" t="str">
        <f>IF(GP46=1,GO45,"")</f>
        <v/>
      </c>
      <c r="HL45" s="343" t="str">
        <f>IF(GT46=1,GS45,"")</f>
        <v/>
      </c>
      <c r="HM45" s="343" t="str">
        <f>IF(GX46=1,GW45,"")</f>
        <v/>
      </c>
      <c r="HN45" s="341"/>
      <c r="HO45" s="341" t="s">
        <v>928</v>
      </c>
      <c r="HP45" s="341" t="s">
        <v>982</v>
      </c>
      <c r="HQ45" s="341" t="s">
        <v>983</v>
      </c>
      <c r="HR45" s="341" t="s">
        <v>984</v>
      </c>
      <c r="HS45" s="238" t="s">
        <v>932</v>
      </c>
      <c r="HT45" s="238" t="s">
        <v>933</v>
      </c>
      <c r="HU45" s="238" t="s">
        <v>985</v>
      </c>
      <c r="HV45" s="238" t="s">
        <v>986</v>
      </c>
      <c r="HW45" s="238" t="str">
        <f>IFERROR(IF(GD44=0,SUM(HZ46:IA46),""),"")</f>
        <v/>
      </c>
      <c r="HY45" s="238"/>
      <c r="HZ45" s="238" t="s">
        <v>1132</v>
      </c>
      <c r="IA45" s="238" t="s">
        <v>1133</v>
      </c>
      <c r="IB45" s="238" t="s">
        <v>1132</v>
      </c>
      <c r="IC45" s="238" t="s">
        <v>1133</v>
      </c>
      <c r="ID45" s="238"/>
    </row>
    <row r="46" spans="1:238" s="234" customFormat="1" ht="20.100000000000001" customHeight="1">
      <c r="A46" s="235"/>
      <c r="B46" s="231">
        <f>COUNT(AJ47,AJ46)</f>
        <v>0</v>
      </c>
      <c r="C46" s="235"/>
      <c r="D46" s="271" t="str">
        <f>REPT(DN46,1)</f>
        <v>3</v>
      </c>
      <c r="E46" s="254" t="str">
        <f>REPT(AH46,1)</f>
        <v/>
      </c>
      <c r="F46" s="168"/>
      <c r="G46" s="168"/>
      <c r="H46" s="168"/>
      <c r="I46" s="169"/>
      <c r="J46" s="270" t="str">
        <f t="shared" ref="J46:J47" si="89">REPT(AM46,1)</f>
        <v/>
      </c>
      <c r="L46" s="312">
        <f>SUM(L44*3)</f>
        <v>0</v>
      </c>
      <c r="M46" s="307"/>
      <c r="N46" s="270" t="str">
        <f>REPT(AP46,1)</f>
        <v/>
      </c>
      <c r="P46" s="312">
        <f>SUM(P44*3)</f>
        <v>0</v>
      </c>
      <c r="Q46" s="310"/>
      <c r="R46" s="235"/>
      <c r="S46" s="271" t="str">
        <f>REPT(DO46,1)</f>
        <v>3</v>
      </c>
      <c r="T46" s="254" t="str">
        <f>REPT(AV46,1)</f>
        <v/>
      </c>
      <c r="U46" s="168"/>
      <c r="V46" s="168"/>
      <c r="W46" s="168"/>
      <c r="X46" s="169"/>
      <c r="Y46" s="270" t="str">
        <f t="shared" si="72"/>
        <v/>
      </c>
      <c r="Z46" s="308"/>
      <c r="AB46" s="234">
        <f>IF(AY46="",0,IF(AY46&lt;2,1,""))</f>
        <v>0</v>
      </c>
      <c r="AC46" s="238">
        <f t="shared" si="73"/>
        <v>0</v>
      </c>
      <c r="AD46" s="256">
        <f t="shared" si="74"/>
        <v>0</v>
      </c>
      <c r="AE46" s="256">
        <f t="shared" si="68"/>
        <v>0</v>
      </c>
      <c r="AF46" s="256">
        <f t="shared" si="69"/>
        <v>0</v>
      </c>
      <c r="AG46" s="256">
        <f t="shared" si="75"/>
        <v>0</v>
      </c>
      <c r="AH46" s="257" t="str">
        <f>IF(AK46="",IF(AI46="","",IF(AI46="",501,501-AI46)),501)</f>
        <v/>
      </c>
      <c r="AI46" s="256" t="str">
        <f>IF(F46&gt;1,F46,IF(F46=0,"",IF(F46="","","")))</f>
        <v/>
      </c>
      <c r="AJ46" s="256" t="str">
        <f>IF(G46&gt;8,G46,IF(G46="","",""))</f>
        <v/>
      </c>
      <c r="AK46" s="256" t="str">
        <f>IF(H46&gt;1,H46,IF(H46="","",""))</f>
        <v/>
      </c>
      <c r="AL46" s="256" t="str">
        <f>IF(I46&gt;0,I46,IF(I46="","",""))</f>
        <v/>
      </c>
      <c r="AM46" s="258" t="str">
        <f>IF(BK46=0,"","X")</f>
        <v/>
      </c>
      <c r="AN46" s="237"/>
      <c r="AO46" s="237"/>
      <c r="AP46" s="258" t="str">
        <f>IF(BM46=0,"","X")</f>
        <v/>
      </c>
      <c r="AQ46" s="236">
        <f t="shared" si="76"/>
        <v>0</v>
      </c>
      <c r="AR46" s="256">
        <f t="shared" si="77"/>
        <v>0</v>
      </c>
      <c r="AS46" s="256">
        <f t="shared" si="70"/>
        <v>0</v>
      </c>
      <c r="AT46" s="256">
        <f t="shared" si="71"/>
        <v>0</v>
      </c>
      <c r="AU46" s="256">
        <f t="shared" si="78"/>
        <v>0</v>
      </c>
      <c r="AV46" s="257" t="str">
        <f>IF(AY46="",IF(AW46="","",IF(AW46="",501,501-AW46)),501)</f>
        <v/>
      </c>
      <c r="AW46" s="256" t="str">
        <f>IF(U46&gt;1,U46,IF(U46=0,"",IF(U46="","","")))</f>
        <v/>
      </c>
      <c r="AX46" s="256" t="str">
        <f>IF(V46&gt;8,V46,IF(V46="","",""))</f>
        <v/>
      </c>
      <c r="AY46" s="256" t="str">
        <f>IF(W46&gt;1,W46,IF(W46="","",""))</f>
        <v/>
      </c>
      <c r="AZ46" s="256" t="str">
        <f>IF(X46&gt;0,X46,IF(X46="","",""))</f>
        <v/>
      </c>
      <c r="BA46" s="258" t="str">
        <f>IF(BL46=0,"","X")</f>
        <v/>
      </c>
      <c r="BK46" s="251">
        <f>SUM(DD46,DV46,EY46,ED46,FF46,BQ46,BS46,AC46,BK53)</f>
        <v>0</v>
      </c>
      <c r="BL46" s="251">
        <f>SUM(DE46,DW46,EE46,FT46,GA46,BR46,BT46,AQ46,BL53,CZ46)</f>
        <v>0</v>
      </c>
      <c r="BM46" s="259">
        <f t="shared" si="79"/>
        <v>0</v>
      </c>
      <c r="BN46" s="239">
        <f>COUNT(AK46)</f>
        <v>0</v>
      </c>
      <c r="BO46" s="239">
        <f>COUNT(AY46)</f>
        <v>0</v>
      </c>
      <c r="BP46" s="239">
        <f>IF(BN48=0,0,1)</f>
        <v>0</v>
      </c>
      <c r="BQ46" s="260">
        <f>IF(AL46="",0,IF(AL46&gt;2,1,0))</f>
        <v>0</v>
      </c>
      <c r="BR46" s="261">
        <f>IF(AZ46="",0,IF(AZ46&gt;2,1,0))</f>
        <v>0</v>
      </c>
      <c r="BS46" s="262">
        <f>IF(AJ46=9,IF(AK46&lt;141,1,0),0)</f>
        <v>0</v>
      </c>
      <c r="BT46" s="263">
        <f>IF(AX46=9,IF(AY46&lt;141,1,0),0)</f>
        <v>0</v>
      </c>
      <c r="BU46" s="242">
        <f>IF(H46,G46,0)</f>
        <v>0</v>
      </c>
      <c r="BV46" s="238">
        <f>IF(BU46&gt;0,AJ46/3,0)</f>
        <v>0</v>
      </c>
      <c r="BW46" s="238">
        <f>ROUNDUP(BV46,0)</f>
        <v>0</v>
      </c>
      <c r="BX46" s="244">
        <f>IF(MOD(BW46,2)=0,BW46,BW46+1)</f>
        <v>0</v>
      </c>
      <c r="BY46" s="238">
        <f>IF(AJ46&lt;9,"",SUM(BX46-BW46))</f>
        <v>0</v>
      </c>
      <c r="BZ46" s="238">
        <f>IF(BY46=1,AK46,0)</f>
        <v>0</v>
      </c>
      <c r="CA46" s="243" t="str">
        <f>IF(BY46=0,AK46,0)</f>
        <v/>
      </c>
      <c r="CB46" s="238"/>
      <c r="CC46" s="238"/>
      <c r="CD46" s="242">
        <f>IF(W46,V46,0)</f>
        <v>0</v>
      </c>
      <c r="CE46" s="238">
        <f>IF(CD46&gt;0,AX46/3,0)</f>
        <v>0</v>
      </c>
      <c r="CF46" s="238">
        <f>ROUNDUP(CE46,0)</f>
        <v>0</v>
      </c>
      <c r="CG46" s="244">
        <f>IF(MOD(CF46,2)=0,CF46,CF46+1)</f>
        <v>0</v>
      </c>
      <c r="CH46" s="238">
        <f>IF(AX46&lt;9,"",SUM(CG46-CF46))</f>
        <v>0</v>
      </c>
      <c r="CI46" s="238">
        <f>IF(CH46=1,AY46,0)</f>
        <v>0</v>
      </c>
      <c r="CJ46" s="243" t="str">
        <f>IF(CH46=0,AY46,0)</f>
        <v/>
      </c>
      <c r="CK46" s="238"/>
      <c r="CL46" s="245">
        <f>IF(COUNT(F46,H46)=1,0,1)</f>
        <v>1</v>
      </c>
      <c r="CM46" s="245">
        <f>IF(COUNT(F46,U46)=1,0,1)</f>
        <v>1</v>
      </c>
      <c r="CN46" s="245">
        <f>IF(COUNT(H46,W46)=1,0,1)</f>
        <v>1</v>
      </c>
      <c r="CO46" s="245">
        <f>IF(COUNT(G46,V46)=2,0,1)</f>
        <v>1</v>
      </c>
      <c r="CP46" s="245">
        <f>IF(COUNT(U46,W46)=1,0,1)</f>
        <v>1</v>
      </c>
      <c r="CQ46" s="245">
        <f>IF(SUM(G46-V46)&gt;3,1,0)</f>
        <v>0</v>
      </c>
      <c r="CR46" s="245">
        <f>IF(SUM(G46-V46)&lt;-3,1,0)</f>
        <v>0</v>
      </c>
      <c r="CS46" s="264">
        <f>IF(AJ46=9,IF(AH46&lt;141,1,0),IF(AH46="",0,IF(AH46&gt;1,0,1)))</f>
        <v>0</v>
      </c>
      <c r="CT46" s="264">
        <f>IF(AX46=9,IF(AV46&lt;141,1,0),IF(AV46="",0,IF(AV46&gt;1,0,1)))</f>
        <v>0</v>
      </c>
      <c r="CU46" s="264">
        <f>IF(AI46="",0,IF(AI46&lt;502,0,1))</f>
        <v>0</v>
      </c>
      <c r="CV46" s="264">
        <f>IF(AW46="",0,IF(AW46&lt;502,0,1))</f>
        <v>0</v>
      </c>
      <c r="CW46" s="264">
        <f>IF(AI46="",IF(AJ46&lt;9,1,0),IF(AJ46&lt;9,1,0))</f>
        <v>0</v>
      </c>
      <c r="CX46" s="264">
        <f>IF(AW46="",IF(AX46&lt;9,1,0),IF(AX46&lt;9,1,0))</f>
        <v>0</v>
      </c>
      <c r="CY46" s="374">
        <f>COUNT(U44,U45,U46)</f>
        <v>0</v>
      </c>
      <c r="CZ46" s="375">
        <f>IF(AL41=3,IF(CY46&gt;2,1,0),0)</f>
        <v>0</v>
      </c>
      <c r="DA46" s="374"/>
      <c r="DB46" s="374"/>
      <c r="DC46" s="265">
        <f>IF(AJ46="",0,SUM(CL46:CX46))</f>
        <v>0</v>
      </c>
      <c r="DD46" s="265">
        <f>IF(AJ46="",0,SUM(CL46,CS46,CU46,CW46))</f>
        <v>0</v>
      </c>
      <c r="DE46" s="265">
        <f>IF(AJ46="",0,SUM(CP46,CT46,CV46,CX46))</f>
        <v>0</v>
      </c>
      <c r="DF46" s="238"/>
      <c r="DG46" s="248">
        <f>SUM(G46-V46)</f>
        <v>0</v>
      </c>
      <c r="DH46" s="245">
        <f>IF(F46="",0,1)</f>
        <v>0</v>
      </c>
      <c r="DI46" s="245">
        <f t="shared" si="80"/>
        <v>0</v>
      </c>
      <c r="DJ46" s="245">
        <f t="shared" si="81"/>
        <v>0</v>
      </c>
      <c r="DK46" s="245" t="str">
        <f>IF(G46="","",IF(DJ46=1,"*",""))</f>
        <v/>
      </c>
      <c r="DL46" s="245" t="str">
        <f>IF(G46="","",IF(DJ46=-1,"*",IF(DJ46=0,"*","")))</f>
        <v/>
      </c>
      <c r="DM46" s="245">
        <v>3</v>
      </c>
      <c r="DN46" s="245" t="str">
        <f t="shared" si="82"/>
        <v>3</v>
      </c>
      <c r="DO46" s="245" t="str">
        <f t="shared" si="83"/>
        <v>3</v>
      </c>
      <c r="DP46" s="245">
        <f>SUM(DP44)</f>
        <v>0</v>
      </c>
      <c r="DQ46" s="245">
        <f>SUM(DQ44)</f>
        <v>0</v>
      </c>
      <c r="DR46" s="245">
        <f t="shared" ref="DR46:DR48" si="90">IF(DK46="*",1,0)</f>
        <v>0</v>
      </c>
      <c r="DS46" s="245">
        <f t="shared" ref="DS46:DS48" si="91">IF(DL46="*",1,0)</f>
        <v>0</v>
      </c>
      <c r="DT46" s="245">
        <f t="shared" ref="DT46:DT48" si="92">IF(H36="",0,IF(DP46=DR46,1,0))</f>
        <v>0</v>
      </c>
      <c r="DU46" s="245">
        <f>IF(V46="",0,IF(DQ46=DS46,0,1))</f>
        <v>0</v>
      </c>
      <c r="DV46" s="267">
        <f t="shared" ref="DV46:DV48" si="93">SUM(DT46)</f>
        <v>0</v>
      </c>
      <c r="DW46" s="267">
        <f>IF(V46="",0,SUM(DU46))</f>
        <v>0</v>
      </c>
      <c r="DX46" s="238">
        <f>IF(AK46="",0,1)</f>
        <v>0</v>
      </c>
      <c r="DY46" s="238">
        <f>IF(DG46=-3,1,0)</f>
        <v>0</v>
      </c>
      <c r="DZ46" s="238">
        <f>SUM(DX46:DY46)</f>
        <v>0</v>
      </c>
      <c r="EA46" s="238">
        <f>IF(AK46="",1,0)</f>
        <v>1</v>
      </c>
      <c r="EB46" s="238">
        <f>IF(DG46=3,1,0)</f>
        <v>0</v>
      </c>
      <c r="EC46" s="238">
        <f>SUM(EA46:EB46)</f>
        <v>1</v>
      </c>
      <c r="ED46" s="267">
        <f>IF(EC46=2,1,0)</f>
        <v>0</v>
      </c>
      <c r="EE46" s="267">
        <f>IF(DZ46=2,1,0)</f>
        <v>0</v>
      </c>
      <c r="EG46" s="166"/>
      <c r="EH46" s="238"/>
      <c r="EI46" s="238"/>
      <c r="EJ46" s="238"/>
      <c r="EK46" s="238"/>
      <c r="EL46" s="238"/>
      <c r="EM46" s="245">
        <f>IF(AK46="",0,1)</f>
        <v>0</v>
      </c>
      <c r="EN46" s="245">
        <f>SUM(AK46)</f>
        <v>0</v>
      </c>
      <c r="EO46" s="268">
        <f>SUM(AJ46)</f>
        <v>0</v>
      </c>
      <c r="EP46" s="268">
        <f>SUM(G46/3)</f>
        <v>0</v>
      </c>
      <c r="EQ46" s="268" t="e">
        <f>SUM(EO46/EP46)</f>
        <v>#DIV/0!</v>
      </c>
      <c r="ER46" s="268">
        <f>ROUNDDOWN(EP46,0)</f>
        <v>0</v>
      </c>
      <c r="ES46" s="268">
        <f>SUM(EO46,-ER46*3)</f>
        <v>0</v>
      </c>
      <c r="ET46" s="269" t="b">
        <f>MOD(EN46/1,2)=0</f>
        <v>1</v>
      </c>
      <c r="EU46" s="245">
        <f>IF(ET46=FALSE,1,0)</f>
        <v>0</v>
      </c>
      <c r="EV46" s="245">
        <f>IF(EN46=50,0,IF(EN46&lt;40,1,0))</f>
        <v>1</v>
      </c>
      <c r="EW46" s="245">
        <f>SUM(EU46:EV46)</f>
        <v>1</v>
      </c>
      <c r="EX46" s="267">
        <f>IF(EN46=1,1,IF(EN46=50,0,IF(ES46=1,IF(EN46&gt;40,1,0),0)))</f>
        <v>0</v>
      </c>
      <c r="EY46" s="267">
        <f>IF(ES46=1,IF(EW46=2,1,0),0)+EX46+FB46+FE46</f>
        <v>0</v>
      </c>
      <c r="EZ46" s="245">
        <f>IF(EN46=109,1,IF(EN46=108,1,IF(EN46=106,1,IF(EN46=105,1,IF(EN46=103,1,IF(EN46=102,1,IF(EN46=99,1,0)))))))</f>
        <v>0</v>
      </c>
      <c r="FA46" s="245">
        <f>IF(EN46&gt;110,1,0)</f>
        <v>0</v>
      </c>
      <c r="FB46" s="267">
        <f>IF(ES46=2,SUM(EZ46:FA46),0)</f>
        <v>0</v>
      </c>
      <c r="FC46" s="245">
        <f>IF(EN46=159,1,IF(EN46=162,1,IF(EN46=163,1,IF(EN46=165,1,IF(EN46=166,1,IF(EN46=168,1,IF(EN46=169,1,0)))))))</f>
        <v>0</v>
      </c>
      <c r="FD46" s="245">
        <f>IF(EN46&gt;170,1,0)</f>
        <v>0</v>
      </c>
      <c r="FE46" s="267">
        <f>IF(ES46=0,SUM(FC46:FD46),0)</f>
        <v>0</v>
      </c>
      <c r="FF46" s="251">
        <f t="shared" si="84"/>
        <v>0</v>
      </c>
      <c r="FG46" s="238"/>
      <c r="FH46" s="245">
        <f>IF(AY46="",0,1)</f>
        <v>0</v>
      </c>
      <c r="FI46" s="245">
        <f>SUM(AY46)</f>
        <v>0</v>
      </c>
      <c r="FJ46" s="268">
        <f>SUM(AX46)</f>
        <v>0</v>
      </c>
      <c r="FK46" s="268">
        <f>SUM(V46/3)</f>
        <v>0</v>
      </c>
      <c r="FL46" s="268" t="e">
        <f>SUM(FJ46/FK46)</f>
        <v>#DIV/0!</v>
      </c>
      <c r="FM46" s="268">
        <f>ROUNDDOWN(FK46,0)</f>
        <v>0</v>
      </c>
      <c r="FN46" s="268">
        <f>SUM(FJ46,-FM46*3)</f>
        <v>0</v>
      </c>
      <c r="FO46" s="269" t="b">
        <f>MOD(FI46/1,2)=0</f>
        <v>1</v>
      </c>
      <c r="FP46" s="245">
        <f>IF(FO46=FALSE,1,0)</f>
        <v>0</v>
      </c>
      <c r="FQ46" s="245">
        <f>IF(FI46=50,0,IF(FI46&lt;40,1,0))</f>
        <v>1</v>
      </c>
      <c r="FR46" s="245">
        <f>SUM(FP46:FQ46)</f>
        <v>1</v>
      </c>
      <c r="FS46" s="267">
        <f>IF(FI46=1,1,IF(FI46=50,0,IF(FN46=1,IF(FI46&gt;40,1,0),0)))</f>
        <v>0</v>
      </c>
      <c r="FT46" s="267">
        <f>IF(FN46=1,IF(FR46=2,1,0),0)+FS46+FW46+FZ46</f>
        <v>0</v>
      </c>
      <c r="FU46" s="245">
        <f>IF(FI46=109,1,IF(FI46=108,1,IF(FI46=106,1,IF(FI46=105,1,IF(FI46=103,1,IF(FI46=102,1,IF(FI46=99,1,0)))))))</f>
        <v>0</v>
      </c>
      <c r="FV46" s="245">
        <f>IF(FI46&gt;110,1,0)</f>
        <v>0</v>
      </c>
      <c r="FW46" s="267">
        <f>IF(FN46=2,SUM(FU46:FV46),0)</f>
        <v>0</v>
      </c>
      <c r="FX46" s="245">
        <f>IF(FI46=159,1,IF(FI46=162,1,IF(FI46=163,1,IF(FI46=165,1,IF(FI46=166,1,IF(FI46=168,1,IF(FI46=169,1,0)))))))</f>
        <v>0</v>
      </c>
      <c r="FY46" s="245">
        <f>IF(FI46&gt;170,1,0)</f>
        <v>0</v>
      </c>
      <c r="FZ46" s="267">
        <f>IF(FN46=0,SUM(FX46:FY46),0)</f>
        <v>0</v>
      </c>
      <c r="GA46" s="251">
        <f t="shared" si="85"/>
        <v>0</v>
      </c>
      <c r="GC46" s="238" t="str">
        <f>VLOOKUP(AH41,Chema!BL:BR,3,FALSE)</f>
        <v/>
      </c>
      <c r="GD46" s="341"/>
      <c r="GE46" s="343" t="str">
        <f>IF(C52="","",SUM(C52))</f>
        <v/>
      </c>
      <c r="GF46" s="346"/>
      <c r="GG46" s="340"/>
      <c r="GH46" s="343">
        <f>IF(GH45&gt;0,1,0)</f>
        <v>0</v>
      </c>
      <c r="GI46" s="346"/>
      <c r="GJ46" s="343"/>
      <c r="GK46" s="340"/>
      <c r="GL46" s="343">
        <f>IF(GL45&gt;0,1,0)</f>
        <v>0</v>
      </c>
      <c r="GM46" s="343"/>
      <c r="GN46" s="343"/>
      <c r="GO46" s="340"/>
      <c r="GP46" s="343">
        <f>IF(GP45&gt;0,1,0)</f>
        <v>0</v>
      </c>
      <c r="GQ46" s="343"/>
      <c r="GR46" s="343"/>
      <c r="GS46" s="340"/>
      <c r="GT46" s="343">
        <f>IF(GT45&gt;0,1,0)</f>
        <v>0</v>
      </c>
      <c r="GU46" s="343"/>
      <c r="GV46" s="343"/>
      <c r="GW46" s="340"/>
      <c r="GX46" s="343">
        <f>IF(GX45&gt;0,1,0)</f>
        <v>0</v>
      </c>
      <c r="GY46" s="343"/>
      <c r="GZ46" s="343"/>
      <c r="HA46" s="343"/>
      <c r="HB46" s="343" t="str">
        <f>IF(GD44=1,L52,"")</f>
        <v/>
      </c>
      <c r="HC46" s="343" t="str">
        <f>IF(GD44=1,I52,"")</f>
        <v/>
      </c>
      <c r="HD46" s="345"/>
      <c r="HE46" s="340"/>
      <c r="HF46" s="340"/>
      <c r="HG46" s="347">
        <f>IF(GE45="",0,IF(AL41=3,2,IF(AL41=5,3,0)))</f>
        <v>0</v>
      </c>
      <c r="HH46" s="347">
        <f>IF(HK46=0,0,IF(HG48=0,0,1))</f>
        <v>0</v>
      </c>
      <c r="HI46" s="340"/>
      <c r="HJ46" s="340"/>
      <c r="HK46" s="340">
        <f>SUM(HM44,HM48)</f>
        <v>0</v>
      </c>
      <c r="HL46" s="340">
        <f>IF(HK46=0,0,IF(HM44=HG46,1,0))</f>
        <v>0</v>
      </c>
      <c r="HM46" s="340">
        <f>IF(HK46=0,0,IF(HM48=HG46,1,0))</f>
        <v>0</v>
      </c>
      <c r="HN46" s="341" t="str">
        <f>REPT(N41,1)</f>
        <v>Spiel 3</v>
      </c>
      <c r="HO46" s="348" t="str">
        <f>IF(HK46=0,"",IF(HH46=0,SUM(HH45),""))</f>
        <v/>
      </c>
      <c r="HP46" s="348" t="str">
        <f>IF(HK46=0,"",IF(HH46=0,SUM(HH47),""))</f>
        <v/>
      </c>
      <c r="HQ46" s="348" t="e">
        <f>IF(HH46=0,SUM(GZ45/HA45),"")</f>
        <v>#DIV/0!</v>
      </c>
      <c r="HR46" s="348" t="e">
        <f>IF(HH46=0,SUM(GZ47/HA47),"")</f>
        <v>#DIV/0!</v>
      </c>
      <c r="HS46" s="238" t="str">
        <f>REPT(DK44,1)</f>
        <v/>
      </c>
      <c r="HT46" s="238" t="str">
        <f>REPT(DL44,1)</f>
        <v/>
      </c>
      <c r="HU46" s="238">
        <f>IF(HH46=0,HL46,"")</f>
        <v>0</v>
      </c>
      <c r="HV46" s="238">
        <f>IF(HH46=0,HM46,"")</f>
        <v>0</v>
      </c>
      <c r="HW46" s="238" t="s">
        <v>1131</v>
      </c>
      <c r="HY46" s="238"/>
      <c r="HZ46" s="238" t="e">
        <f>IF(AL41=5,IF(HU46=1,SUM(HO46*2-HP46),HO46+HP46-2),"")</f>
        <v>#VALUE!</v>
      </c>
      <c r="IA46" s="238" t="str">
        <f>IF(AL41=3,IF(HU46=1,SUM(HO46-HP46+3),HO46+HP46-1),"")</f>
        <v/>
      </c>
      <c r="IB46" s="238" t="e">
        <f>IF(AL41=5,IF(HV46=1,SUM(HP46*2-HO46),HO46+HP46-2),"")</f>
        <v>#VALUE!</v>
      </c>
      <c r="IC46" s="238" t="str">
        <f>IF(AL41=3,IF(HV46=1,SUM(HP46-HO46+3),HO46+HP46-1),"")</f>
        <v/>
      </c>
      <c r="ID46" s="238">
        <f>SUM(BM50)</f>
        <v>0</v>
      </c>
    </row>
    <row r="47" spans="1:238" s="234" customFormat="1" ht="20.100000000000001" customHeight="1">
      <c r="A47" s="235"/>
      <c r="B47" s="231">
        <f>COUNT(AJ48,AJ47)</f>
        <v>0</v>
      </c>
      <c r="C47" s="235"/>
      <c r="D47" s="328" t="str">
        <f>REPT(DN47,1)</f>
        <v>4</v>
      </c>
      <c r="E47" s="329" t="str">
        <f>REPT(AH47,1)</f>
        <v/>
      </c>
      <c r="F47" s="330"/>
      <c r="G47" s="330"/>
      <c r="H47" s="330"/>
      <c r="I47" s="331"/>
      <c r="J47" s="270" t="str">
        <f t="shared" si="89"/>
        <v/>
      </c>
      <c r="M47" s="311"/>
      <c r="N47" s="270" t="str">
        <f>REPT(AP47,1)</f>
        <v/>
      </c>
      <c r="Q47" s="310"/>
      <c r="R47" s="235"/>
      <c r="S47" s="328" t="str">
        <f>REPT(DO47,1)</f>
        <v>4</v>
      </c>
      <c r="T47" s="329" t="str">
        <f>REPT(AV47,1)</f>
        <v/>
      </c>
      <c r="U47" s="330"/>
      <c r="V47" s="330"/>
      <c r="W47" s="330"/>
      <c r="X47" s="331"/>
      <c r="Y47" s="270" t="str">
        <f t="shared" si="72"/>
        <v/>
      </c>
      <c r="Z47" s="308"/>
      <c r="AA47" s="238">
        <f>SUM(AL41)</f>
        <v>5</v>
      </c>
      <c r="AB47" s="234">
        <f>IF(AY47="",0,IF(AY47&lt;2,1,""))</f>
        <v>0</v>
      </c>
      <c r="AC47" s="238">
        <f>IF(AL41=3,0,IF(AD47=1,1,IF(AD47=3,1,IF(AD47=2,0,IF(AD47=0,0,0)))))</f>
        <v>0</v>
      </c>
      <c r="AD47" s="256">
        <f t="shared" si="74"/>
        <v>0</v>
      </c>
      <c r="AE47" s="256">
        <f t="shared" si="68"/>
        <v>0</v>
      </c>
      <c r="AF47" s="256">
        <f t="shared" si="69"/>
        <v>0</v>
      </c>
      <c r="AG47" s="256">
        <f t="shared" si="75"/>
        <v>0</v>
      </c>
      <c r="AH47" s="257" t="str">
        <f>IF(AL41=3,"",IF(AK47="",IF(AI47="","",IF(AI47="",501,501-AI47)),501))</f>
        <v/>
      </c>
      <c r="AI47" s="256" t="str">
        <f>IF(AL41=3,"",IF(F47&gt;1,F47,IF(F47=0,"",IF(F47="","",""))))</f>
        <v/>
      </c>
      <c r="AJ47" s="256" t="str">
        <f>IF(AL41=3,"",IF(G47&gt;8,G47,IF(G47="","","")))</f>
        <v/>
      </c>
      <c r="AK47" s="256" t="str">
        <f>IF(AL41=3,"",IF(H47&gt;1,H47,IF(H47="","","")))</f>
        <v/>
      </c>
      <c r="AL47" s="256" t="str">
        <f>IF(AL41=3,"",IF(I47&gt;0,I47,IF(I47="","","")))</f>
        <v/>
      </c>
      <c r="AM47" s="258" t="str">
        <f>IF(BK47=0,"","X")</f>
        <v/>
      </c>
      <c r="AN47" s="237"/>
      <c r="AO47" s="237"/>
      <c r="AP47" s="258" t="str">
        <f>IF(BM47=0,"","X")</f>
        <v/>
      </c>
      <c r="AQ47" s="236">
        <f>IF(AL41=3,0,IF(AR47=1,1,IF(AR47=3,1,IF(AR47=2,0,IF(AR47=0,0,0)))))</f>
        <v>0</v>
      </c>
      <c r="AR47" s="256">
        <f t="shared" si="77"/>
        <v>0</v>
      </c>
      <c r="AS47" s="256">
        <f t="shared" si="70"/>
        <v>0</v>
      </c>
      <c r="AT47" s="256">
        <f t="shared" si="71"/>
        <v>0</v>
      </c>
      <c r="AU47" s="256">
        <f t="shared" si="78"/>
        <v>0</v>
      </c>
      <c r="AV47" s="257" t="str">
        <f>IF(AY47="",IF(AW47="","",IF(AW47="",501,501-AW47)),501)</f>
        <v/>
      </c>
      <c r="AW47" s="256" t="str">
        <f>IF(AL41=3,"",IF(U47&gt;1,U47,IF(U47=0,"",IF(U47="","",""))))</f>
        <v/>
      </c>
      <c r="AX47" s="256" t="str">
        <f>IF(AL41=3,"",IF(V47&gt;8,V47,IF(V47="","","")))</f>
        <v/>
      </c>
      <c r="AY47" s="256" t="str">
        <f>IF(AL41=3,"",IF(W47&gt;1,W47,IF(W47="","","")))</f>
        <v/>
      </c>
      <c r="AZ47" s="256" t="str">
        <f>IF(AL41=3,"",IF(X47&gt;0,X47,IF(X47="","","")))</f>
        <v/>
      </c>
      <c r="BA47" s="258" t="str">
        <f>IF(BL47=0,"","X")</f>
        <v/>
      </c>
      <c r="BK47" s="251">
        <f>IF(AL41=3,0,SUM(DD47,DV47,EY47,ED47,FF47,BQ47,BS47,AC47))</f>
        <v>0</v>
      </c>
      <c r="BL47" s="251">
        <f>IF(AL41=3,0,SUM(DE47,DW47,EE47,FT47,GA47,BR47,BT47,AQ47))</f>
        <v>0</v>
      </c>
      <c r="BM47" s="259">
        <f>IF(AL41=3,0,SUM(DC47,BK47:BL47,AC47,AQ47))</f>
        <v>0</v>
      </c>
      <c r="BN47" s="239">
        <f>COUNT(AK47)</f>
        <v>0</v>
      </c>
      <c r="BO47" s="239">
        <f>COUNT(AY47)</f>
        <v>0</v>
      </c>
      <c r="BP47" s="239">
        <f>IF(BZ49=0,0,1)</f>
        <v>0</v>
      </c>
      <c r="BQ47" s="260">
        <f>IF(AL47="",0,IF(AL47&gt;2,1,0))</f>
        <v>0</v>
      </c>
      <c r="BR47" s="261">
        <f>IF(AZ47="",0,IF(AZ47&gt;2,1,0))</f>
        <v>0</v>
      </c>
      <c r="BS47" s="262">
        <f>IF(AJ47=9,IF(AK47&lt;141,1,0),0)</f>
        <v>0</v>
      </c>
      <c r="BT47" s="263">
        <f>IF(AX47=9,IF(AY47&lt;141,1,0),0)</f>
        <v>0</v>
      </c>
      <c r="BU47" s="242">
        <f>IF(AL41=3,0,IF(H47,G47,0))</f>
        <v>0</v>
      </c>
      <c r="BV47" s="238">
        <f>IF(BU47&gt;0,AJ47/3,0)</f>
        <v>0</v>
      </c>
      <c r="BW47" s="238">
        <f>ROUNDUP(BV47,0)</f>
        <v>0</v>
      </c>
      <c r="BX47" s="244">
        <f>IF(MOD(BW47,2)=0,BW47,BW47+1)</f>
        <v>0</v>
      </c>
      <c r="BY47" s="238">
        <f>IF(AJ47&lt;9,"",SUM(BX47-BW47))</f>
        <v>0</v>
      </c>
      <c r="BZ47" s="238">
        <f>IF(BY47=1,AK47,0)</f>
        <v>0</v>
      </c>
      <c r="CA47" s="243" t="str">
        <f>IF(BY47=0,AK47,0)</f>
        <v/>
      </c>
      <c r="CB47" s="238"/>
      <c r="CC47" s="238"/>
      <c r="CD47" s="242">
        <f>IF(AL41=3,0,IF(W47,V47,0))</f>
        <v>0</v>
      </c>
      <c r="CE47" s="238">
        <f>IF(CD47&gt;0,AX47/3,0)</f>
        <v>0</v>
      </c>
      <c r="CF47" s="238">
        <f>ROUNDUP(CE47,0)</f>
        <v>0</v>
      </c>
      <c r="CG47" s="244">
        <f>IF(MOD(CF47,2)=0,CF47,CF47+1)</f>
        <v>0</v>
      </c>
      <c r="CH47" s="238">
        <f>IF(AX47&lt;9,"",SUM(CG47-CF47))</f>
        <v>0</v>
      </c>
      <c r="CI47" s="238">
        <f>IF(CH47=1,AY47,0)</f>
        <v>0</v>
      </c>
      <c r="CJ47" s="243" t="str">
        <f>IF(CH47=0,AY47,0)</f>
        <v/>
      </c>
      <c r="CK47" s="238"/>
      <c r="CL47" s="245">
        <f>IF(COUNT(F47,H47)=1,0,1)</f>
        <v>1</v>
      </c>
      <c r="CM47" s="245">
        <f>IF(COUNT(F47,U47)=1,0,1)</f>
        <v>1</v>
      </c>
      <c r="CN47" s="245">
        <f>IF(COUNT(H47,W47)=1,0,1)</f>
        <v>1</v>
      </c>
      <c r="CO47" s="245">
        <f>IF(COUNT(G47,V47)=2,0,1)</f>
        <v>1</v>
      </c>
      <c r="CP47" s="245">
        <f>IF(COUNT(U47,W47)=1,0,1)</f>
        <v>1</v>
      </c>
      <c r="CQ47" s="245">
        <f>IF(SUM(G47-V47)&gt;3,1,0)</f>
        <v>0</v>
      </c>
      <c r="CR47" s="245">
        <f>IF(SUM(G47-V47)&lt;-3,1,0)</f>
        <v>0</v>
      </c>
      <c r="CS47" s="264">
        <f>IF(AJ47=9,IF(AH47&lt;141,1,0),IF(AH47="",0,IF(AH47&gt;1,0,1)))</f>
        <v>0</v>
      </c>
      <c r="CT47" s="264">
        <f>IF(AX47=9,IF(AV47&lt;141,1,0),IF(AV47="",0,IF(AV47&gt;1,0,1)))</f>
        <v>0</v>
      </c>
      <c r="CU47" s="264">
        <f>IF(AI47="",0,IF(AI47&lt;502,0,1))</f>
        <v>0</v>
      </c>
      <c r="CV47" s="264">
        <f>IF(AW47="",0,IF(AW47&lt;502,0,1))</f>
        <v>0</v>
      </c>
      <c r="CW47" s="264">
        <f>IF(AI47="",IF(AJ47&lt;9,1,0),IF(AJ47&lt;9,1,0))</f>
        <v>0</v>
      </c>
      <c r="CX47" s="264">
        <f>IF(AW47="",IF(AX47&lt;9,1,0),IF(AX47&lt;9,1,0))</f>
        <v>0</v>
      </c>
      <c r="CY47" s="374"/>
      <c r="CZ47" s="374"/>
      <c r="DA47" s="374"/>
      <c r="DB47" s="374"/>
      <c r="DC47" s="265">
        <f>IF(AJ47="",0,SUM(CL47:CX47))</f>
        <v>0</v>
      </c>
      <c r="DD47" s="265">
        <f>IF(AJ47="",0,SUM(CL47,CS47,CU47,CW47))</f>
        <v>0</v>
      </c>
      <c r="DE47" s="265">
        <f>IF(AJ47="",0,SUM(CP47,CT47,CV47,CX47))</f>
        <v>0</v>
      </c>
      <c r="DF47" s="238"/>
      <c r="DG47" s="248">
        <f>IF(AL41=3,0,SUM(G47-V47))</f>
        <v>0</v>
      </c>
      <c r="DH47" s="245">
        <f>IF(F47="",0,1)</f>
        <v>0</v>
      </c>
      <c r="DI47" s="245">
        <f t="shared" si="80"/>
        <v>0</v>
      </c>
      <c r="DJ47" s="245">
        <f t="shared" si="81"/>
        <v>0</v>
      </c>
      <c r="DK47" s="245" t="str">
        <f>IF(G47="","",IF(DJ47=1,"*",""))</f>
        <v/>
      </c>
      <c r="DL47" s="245" t="str">
        <f>IF(AL41=3,"",IF(G47="","",IF(DJ47=-1,"*",IF(DJ47=0,"*",""))))</f>
        <v/>
      </c>
      <c r="DM47" s="245">
        <v>4</v>
      </c>
      <c r="DN47" s="245" t="str">
        <f t="shared" si="82"/>
        <v>4</v>
      </c>
      <c r="DO47" s="245" t="str">
        <f t="shared" si="83"/>
        <v>4</v>
      </c>
      <c r="DP47" s="245">
        <f>SUM(DQ44)</f>
        <v>0</v>
      </c>
      <c r="DQ47" s="245">
        <f>SUM(DP44)</f>
        <v>0</v>
      </c>
      <c r="DR47" s="245">
        <f t="shared" si="90"/>
        <v>0</v>
      </c>
      <c r="DS47" s="245">
        <f t="shared" si="91"/>
        <v>0</v>
      </c>
      <c r="DT47" s="245">
        <f t="shared" si="92"/>
        <v>0</v>
      </c>
      <c r="DU47" s="245">
        <f>IF(V47="",0,IF(DQ47=DS47,0,1))</f>
        <v>0</v>
      </c>
      <c r="DV47" s="267">
        <f t="shared" si="93"/>
        <v>0</v>
      </c>
      <c r="DW47" s="267">
        <f>IF(V47="",0,SUM(DU47))</f>
        <v>0</v>
      </c>
      <c r="DX47" s="238">
        <f>IF(AK47="",0,1)</f>
        <v>0</v>
      </c>
      <c r="DY47" s="238">
        <f>IF(DG47=-3,1,0)</f>
        <v>0</v>
      </c>
      <c r="DZ47" s="238">
        <f>SUM(DX47:DY47)</f>
        <v>0</v>
      </c>
      <c r="EA47" s="238">
        <f>IF(AK47="",1,0)</f>
        <v>1</v>
      </c>
      <c r="EB47" s="238">
        <f>IF(DG47=3,1,0)</f>
        <v>0</v>
      </c>
      <c r="EC47" s="238">
        <f>SUM(EA47:EB47)</f>
        <v>1</v>
      </c>
      <c r="ED47" s="267">
        <f>IF(EC47=2,1,0)</f>
        <v>0</v>
      </c>
      <c r="EE47" s="267">
        <f>IF(DZ47=2,1,0)</f>
        <v>0</v>
      </c>
      <c r="EG47" s="166"/>
      <c r="EH47" s="238"/>
      <c r="EI47" s="238"/>
      <c r="EJ47" s="238"/>
      <c r="EK47" s="238"/>
      <c r="EL47" s="238"/>
      <c r="EM47" s="245">
        <f>IF(AK47="",0,1)</f>
        <v>0</v>
      </c>
      <c r="EN47" s="245">
        <f>SUM(AK47)</f>
        <v>0</v>
      </c>
      <c r="EO47" s="268">
        <f>SUM(AJ47)</f>
        <v>0</v>
      </c>
      <c r="EP47" s="268">
        <f>SUM(G47/3)</f>
        <v>0</v>
      </c>
      <c r="EQ47" s="268" t="e">
        <f>SUM(EO47/EP47)</f>
        <v>#DIV/0!</v>
      </c>
      <c r="ER47" s="268">
        <f>ROUNDDOWN(EP47,0)</f>
        <v>0</v>
      </c>
      <c r="ES47" s="268">
        <f>SUM(EO47,-ER47*3)</f>
        <v>0</v>
      </c>
      <c r="ET47" s="269" t="b">
        <f>MOD(EN47/1,2)=0</f>
        <v>1</v>
      </c>
      <c r="EU47" s="245">
        <f>IF(ET47=FALSE,1,0)</f>
        <v>0</v>
      </c>
      <c r="EV47" s="245">
        <f>IF(EN47=50,0,IF(EN47&lt;40,1,0))</f>
        <v>1</v>
      </c>
      <c r="EW47" s="245">
        <f>SUM(EU47:EV47)</f>
        <v>1</v>
      </c>
      <c r="EX47" s="267">
        <f>IF(EN47=1,1,IF(EN47=50,0,IF(ES47=1,IF(EN47&gt;40,1,0),0)))</f>
        <v>0</v>
      </c>
      <c r="EY47" s="267">
        <f>IF(ES47=1,IF(EW47=2,1,0),0)+EX47+FB47+FE47</f>
        <v>0</v>
      </c>
      <c r="EZ47" s="245">
        <f>IF(EN47=109,1,IF(EN47=108,1,IF(EN47=106,1,IF(EN47=105,1,IF(EN47=103,1,IF(EN47=102,1,IF(EN47=99,1,0)))))))</f>
        <v>0</v>
      </c>
      <c r="FA47" s="245">
        <f>IF(EN47&gt;110,1,0)</f>
        <v>0</v>
      </c>
      <c r="FB47" s="267">
        <f>IF(ES47=2,SUM(EZ47:FA47),0)</f>
        <v>0</v>
      </c>
      <c r="FC47" s="245">
        <f>IF(EN47=159,1,IF(EN47=162,1,IF(EN47=163,1,IF(EN47=165,1,IF(EN47=166,1,IF(EN47=168,1,IF(EN47=169,1,0)))))))</f>
        <v>0</v>
      </c>
      <c r="FD47" s="245">
        <f>IF(EN47&gt;170,1,0)</f>
        <v>0</v>
      </c>
      <c r="FE47" s="267">
        <f>IF(ES47=0,SUM(FC47:FD47),0)</f>
        <v>0</v>
      </c>
      <c r="FF47" s="251">
        <f t="shared" si="84"/>
        <v>0</v>
      </c>
      <c r="FG47" s="238"/>
      <c r="FH47" s="245">
        <f>IF(AY47="",0,1)</f>
        <v>0</v>
      </c>
      <c r="FI47" s="245">
        <f>SUM(AY47)</f>
        <v>0</v>
      </c>
      <c r="FJ47" s="268">
        <f>SUM(AX47)</f>
        <v>0</v>
      </c>
      <c r="FK47" s="268">
        <f>SUM(V47/3)</f>
        <v>0</v>
      </c>
      <c r="FL47" s="268" t="e">
        <f>SUM(FJ47/FK47)</f>
        <v>#DIV/0!</v>
      </c>
      <c r="FM47" s="268">
        <f>ROUNDDOWN(FK47,0)</f>
        <v>0</v>
      </c>
      <c r="FN47" s="268">
        <f>SUM(FJ47,-FM47*3)</f>
        <v>0</v>
      </c>
      <c r="FO47" s="269" t="b">
        <f>MOD(FI47/1,2)=0</f>
        <v>1</v>
      </c>
      <c r="FP47" s="245">
        <f>IF(FO47=FALSE,1,0)</f>
        <v>0</v>
      </c>
      <c r="FQ47" s="245">
        <f>IF(FI47=50,0,IF(FI47&lt;40,1,0))</f>
        <v>1</v>
      </c>
      <c r="FR47" s="245">
        <f>SUM(FP47:FQ47)</f>
        <v>1</v>
      </c>
      <c r="FS47" s="267">
        <f>IF(FI47=1,1,IF(FI47=50,0,IF(FN47=1,IF(FI47&gt;40,1,0),0)))</f>
        <v>0</v>
      </c>
      <c r="FT47" s="267">
        <f>IF(FN47=1,IF(FR47=2,1,0),0)+FS47+FW47+FZ47</f>
        <v>0</v>
      </c>
      <c r="FU47" s="245">
        <f>IF(FI47=109,1,IF(FI47=108,1,IF(FI47=106,1,IF(FI47=105,1,IF(FI47=103,1,IF(FI47=102,1,IF(FI47=99,1,0)))))))</f>
        <v>0</v>
      </c>
      <c r="FV47" s="245">
        <f>IF(FI47&gt;110,1,0)</f>
        <v>0</v>
      </c>
      <c r="FW47" s="267">
        <f>IF(FN47=2,SUM(FU47:FV47),0)</f>
        <v>0</v>
      </c>
      <c r="FX47" s="245">
        <f>IF(FI47=159,1,IF(FI47=162,1,IF(FI47=163,1,IF(FI47=165,1,IF(FI47=166,1,IF(FI47=168,1,IF(FI47=169,1,0)))))))</f>
        <v>0</v>
      </c>
      <c r="FY47" s="245">
        <f>IF(FI47&gt;170,1,0)</f>
        <v>0</v>
      </c>
      <c r="FZ47" s="267">
        <f>IF(FN47=0,SUM(FX47:FY47),0)</f>
        <v>0</v>
      </c>
      <c r="GA47" s="251">
        <f t="shared" si="85"/>
        <v>0</v>
      </c>
      <c r="GC47" s="238" t="str">
        <f>VLOOKUP(AH41,Chema!BL:BR,4,FALSE)</f>
        <v>GS 1.3</v>
      </c>
      <c r="GD47" s="341">
        <f>IF(T51="FORFAIT",1,0)</f>
        <v>0</v>
      </c>
      <c r="GE47" s="343" t="str">
        <f>IF(R51="","",SUM(R51))</f>
        <v/>
      </c>
      <c r="GF47" s="344">
        <f>SUM(AV44)</f>
        <v>0</v>
      </c>
      <c r="GG47" s="344">
        <f>SUM(AX44)</f>
        <v>0</v>
      </c>
      <c r="GH47" s="344">
        <f t="shared" ref="GH47" si="94">SUM(AY44)</f>
        <v>0</v>
      </c>
      <c r="GI47" s="344">
        <f t="shared" ref="GI47" si="95">SUM(AZ44)</f>
        <v>0</v>
      </c>
      <c r="GJ47" s="344">
        <f>SUM(AV45)</f>
        <v>0</v>
      </c>
      <c r="GK47" s="344">
        <f>SUM(AX45)</f>
        <v>0</v>
      </c>
      <c r="GL47" s="344">
        <f>SUM(AY45)</f>
        <v>0</v>
      </c>
      <c r="GM47" s="344">
        <f>SUM(AZ45)</f>
        <v>0</v>
      </c>
      <c r="GN47" s="344">
        <f>SUM(AV46)</f>
        <v>0</v>
      </c>
      <c r="GO47" s="344">
        <f>SUM(AX46)</f>
        <v>0</v>
      </c>
      <c r="GP47" s="344">
        <f>SUM(AY46)</f>
        <v>0</v>
      </c>
      <c r="GQ47" s="344">
        <f>SUM(AZ46)</f>
        <v>0</v>
      </c>
      <c r="GR47" s="344">
        <f>SUM(AV47)</f>
        <v>0</v>
      </c>
      <c r="GS47" s="344">
        <f>SUM(AX47)</f>
        <v>0</v>
      </c>
      <c r="GT47" s="344">
        <f>SUM(AY47)</f>
        <v>0</v>
      </c>
      <c r="GU47" s="344">
        <f>SUM(AZ47)</f>
        <v>0</v>
      </c>
      <c r="GV47" s="344">
        <f>SUM(AV48)</f>
        <v>0</v>
      </c>
      <c r="GW47" s="344">
        <f>SUM(AX48)</f>
        <v>0</v>
      </c>
      <c r="GX47" s="344">
        <f>SUM(AY48)</f>
        <v>0</v>
      </c>
      <c r="GY47" s="344">
        <f>SUM(AZ48)</f>
        <v>0</v>
      </c>
      <c r="GZ47" s="344">
        <f>SUM(GF47,GJ47,GN47,GR47,GV47)</f>
        <v>0</v>
      </c>
      <c r="HA47" s="344">
        <f t="shared" ref="HA47" si="96">SUM(GG47,GK47,GO47,GS47,GW47)</f>
        <v>0</v>
      </c>
      <c r="HB47" s="344">
        <f>IF(GD44=1,P51,MAX(GH47,GL47,GP47,GT47,GX47))</f>
        <v>0</v>
      </c>
      <c r="HC47" s="344">
        <f>IF(GD44=1,X51,SUM(GI47,GM47,GQ47,GU47,GY47))</f>
        <v>0</v>
      </c>
      <c r="HD47" s="345">
        <f>IF(GD44=1,0,SUM(GF47,GJ47,GN47,GR47,GV47))</f>
        <v>0</v>
      </c>
      <c r="HE47" s="345">
        <f>IF(GD44=1,0,SUM(GG47,GK47,GO47,GS47,GW47))</f>
        <v>0</v>
      </c>
      <c r="HF47" s="341">
        <f>IF(GD44=1,0,MIN(HI47,HJ47,HK47,HL47,HM47))</f>
        <v>0</v>
      </c>
      <c r="HG47" s="341">
        <f>IF(HF47=0,0,COUNTIF(HI47:HM47,HF47))</f>
        <v>0</v>
      </c>
      <c r="HH47" s="341">
        <f>SUM(GH48,GL48,GP48,GT48,GX48)</f>
        <v>0</v>
      </c>
      <c r="HI47" s="343" t="str">
        <f>IF(GH48=1,GG47,"")</f>
        <v/>
      </c>
      <c r="HJ47" s="343" t="str">
        <f>IF(GL48=1,GK47,"")</f>
        <v/>
      </c>
      <c r="HK47" s="343" t="str">
        <f>IF(GP48=1,GO47,"")</f>
        <v/>
      </c>
      <c r="HL47" s="343" t="str">
        <f>IF(GT48=1,GS47,"")</f>
        <v/>
      </c>
      <c r="HM47" s="343" t="str">
        <f>IF(GX48=1,GW47,"")</f>
        <v/>
      </c>
      <c r="HN47" s="341"/>
      <c r="HO47" s="341"/>
      <c r="HP47" s="341"/>
      <c r="HQ47" s="341"/>
      <c r="HR47" s="341"/>
      <c r="HS47" s="238"/>
      <c r="HT47" s="238"/>
      <c r="HU47" s="238"/>
      <c r="HV47" s="238"/>
      <c r="HW47" s="238" t="str">
        <f>IFERROR(IF(GD44=0,SUM(IB46:IC46),""),"")</f>
        <v/>
      </c>
      <c r="HY47" s="238"/>
      <c r="ID47" s="238"/>
    </row>
    <row r="48" spans="1:238" s="234" customFormat="1" ht="20.100000000000001" customHeight="1">
      <c r="A48" s="235"/>
      <c r="B48" s="231">
        <f>COUNT(AJ49,AJ48)</f>
        <v>1</v>
      </c>
      <c r="C48" s="235"/>
      <c r="D48" s="271" t="str">
        <f>REPT(DN48,1)</f>
        <v>5</v>
      </c>
      <c r="E48" s="254" t="str">
        <f>REPT(AH48,1)</f>
        <v/>
      </c>
      <c r="F48" s="168"/>
      <c r="G48" s="168"/>
      <c r="H48" s="168"/>
      <c r="I48" s="169"/>
      <c r="J48" s="272" t="str">
        <f>REPT(AM48,1)</f>
        <v/>
      </c>
      <c r="L48" s="310"/>
      <c r="M48" s="310"/>
      <c r="N48" s="272" t="str">
        <f>REPT(AP48,1)</f>
        <v/>
      </c>
      <c r="O48" s="118"/>
      <c r="Q48" s="310"/>
      <c r="R48" s="235"/>
      <c r="S48" s="271" t="str">
        <f>REPT(DO48,1)</f>
        <v>5</v>
      </c>
      <c r="T48" s="254" t="str">
        <f>REPT(AV48,1)</f>
        <v/>
      </c>
      <c r="U48" s="168"/>
      <c r="V48" s="168"/>
      <c r="W48" s="168"/>
      <c r="X48" s="169"/>
      <c r="Y48" s="272" t="str">
        <f>REPT(BA48,1)</f>
        <v/>
      </c>
      <c r="Z48" s="308"/>
      <c r="AA48" s="238">
        <f>SUM(AL41)</f>
        <v>5</v>
      </c>
      <c r="AB48" s="234">
        <f>IF(AY48="",0,IF(AY48&lt;2,1,""))</f>
        <v>0</v>
      </c>
      <c r="AC48" s="238">
        <f>IF(AL41=3,0,IF(AD48=1,1,IF(AD48=3,1,IF(AD48=2,0,IF(AD48=0,0,0)))))</f>
        <v>0</v>
      </c>
      <c r="AD48" s="256">
        <f t="shared" si="74"/>
        <v>0</v>
      </c>
      <c r="AE48" s="256">
        <f t="shared" si="68"/>
        <v>0</v>
      </c>
      <c r="AF48" s="256">
        <f t="shared" si="69"/>
        <v>0</v>
      </c>
      <c r="AG48" s="256">
        <f t="shared" si="75"/>
        <v>0</v>
      </c>
      <c r="AH48" s="257" t="str">
        <f>IF(AL41=3,"",IF(AK48="",IF(AI48="","",IF(AI48="",501,501-AI48)),501))</f>
        <v/>
      </c>
      <c r="AI48" s="256" t="str">
        <f>IF(AL41=3,"",IF(F48&gt;1,F48,IF(F48=0,"",IF(F48="","",""))))</f>
        <v/>
      </c>
      <c r="AJ48" s="256" t="str">
        <f>IF(AL41=3,"",IF(G48&gt;8,G48,IF(G48="","","")))</f>
        <v/>
      </c>
      <c r="AK48" s="256" t="str">
        <f>IF(AL41=3,"",IF(H48&gt;1,H48,IF(H48="","","")))</f>
        <v/>
      </c>
      <c r="AL48" s="256" t="str">
        <f>IF(AL41=3,"",IF(I48&gt;0,I48,IF(I48="","","")))</f>
        <v/>
      </c>
      <c r="AM48" s="258" t="str">
        <f>IF(BK48=0,"","X")</f>
        <v/>
      </c>
      <c r="AN48" s="237"/>
      <c r="AO48" s="237"/>
      <c r="AP48" s="258" t="str">
        <f>IF(BM48=0,"","X")</f>
        <v/>
      </c>
      <c r="AQ48" s="236">
        <f>IF(AL41=3,0,IF(AR48=1,1,IF(AR48=3,1,IF(AR48=2,0,IF(AR48=0,0,0)))))</f>
        <v>0</v>
      </c>
      <c r="AR48" s="256">
        <f t="shared" si="77"/>
        <v>0</v>
      </c>
      <c r="AS48" s="256">
        <f t="shared" si="70"/>
        <v>0</v>
      </c>
      <c r="AT48" s="256">
        <f t="shared" si="71"/>
        <v>0</v>
      </c>
      <c r="AU48" s="256">
        <f t="shared" si="78"/>
        <v>0</v>
      </c>
      <c r="AV48" s="257" t="str">
        <f>IF(AY48="",IF(AW48="","",IF(AW48="",501,501-AW48)),501)</f>
        <v/>
      </c>
      <c r="AW48" s="256" t="str">
        <f>IF(AL41=3,"",IF(U48&gt;1,U48,IF(U48=0,"",IF(U48="","",""))))</f>
        <v/>
      </c>
      <c r="AX48" s="256" t="str">
        <f>IF(AL41=3,"",IF(V48&gt;8,V48,IF(V48="","","")))</f>
        <v/>
      </c>
      <c r="AY48" s="256" t="str">
        <f>IF(AL41=3,"",IF(W48&gt;1,W48,IF(W48="","","")))</f>
        <v/>
      </c>
      <c r="AZ48" s="256" t="str">
        <f>IF(AL41=3,"",IF(X48&gt;0,X48,IF(X48="","","")))</f>
        <v/>
      </c>
      <c r="BA48" s="258" t="str">
        <f>IF(BL48=0,"","X")</f>
        <v/>
      </c>
      <c r="BK48" s="251">
        <f>IF(AL41=3,0,SUM(DD48,DV48,EY48,ED48,FF48,BQ48,BS48,AC48))</f>
        <v>0</v>
      </c>
      <c r="BL48" s="251">
        <f>SUM(DE48,DW48,EE48,FT48,GA48,BR48,BT48,AQ48)</f>
        <v>0</v>
      </c>
      <c r="BM48" s="259">
        <f>IF(AL41=3,0,SUM(DC48,BK48:BL48,AC48,AQ48))</f>
        <v>0</v>
      </c>
      <c r="BN48" s="239">
        <f>COUNT(AK48)</f>
        <v>0</v>
      </c>
      <c r="BO48" s="239">
        <f>COUNT(AY48)</f>
        <v>0</v>
      </c>
      <c r="BP48" s="239">
        <f>IF(BN50=0,0,1)</f>
        <v>0</v>
      </c>
      <c r="BQ48" s="260">
        <f>IF(AL48="",0,IF(AL48&gt;2,1,0))</f>
        <v>0</v>
      </c>
      <c r="BR48" s="261">
        <f>IF(AZ48="",0,IF(AZ48&gt;2,1,0))</f>
        <v>0</v>
      </c>
      <c r="BS48" s="262">
        <f>IF(AJ48=9,IF(AK48&lt;141,1,0),0)</f>
        <v>0</v>
      </c>
      <c r="BT48" s="263">
        <f>IF(AX48=9,IF(AY48&lt;141,1,0),0)</f>
        <v>0</v>
      </c>
      <c r="BU48" s="242">
        <f>IF(AL41=3,0,IF(H48,G48,0))</f>
        <v>0</v>
      </c>
      <c r="BV48" s="238">
        <f>IF(BU48&gt;0,AJ48/3,0)</f>
        <v>0</v>
      </c>
      <c r="BW48" s="238">
        <f>ROUNDUP(BV48,0)</f>
        <v>0</v>
      </c>
      <c r="BX48" s="244">
        <f>IF(MOD(BW48,2)=0,BW48,BW48+1)</f>
        <v>0</v>
      </c>
      <c r="BY48" s="238">
        <f>IF(AJ48&lt;9,"",SUM(BX48-BW48))</f>
        <v>0</v>
      </c>
      <c r="BZ48" s="238">
        <f>IF(BY48=1,AK48,0)</f>
        <v>0</v>
      </c>
      <c r="CA48" s="243" t="str">
        <f>IF(BY48=0,AK48,0)</f>
        <v/>
      </c>
      <c r="CB48" s="238"/>
      <c r="CC48" s="238"/>
      <c r="CD48" s="242">
        <f>IF(AL41=3,0,IF(W48,V48,0))</f>
        <v>0</v>
      </c>
      <c r="CE48" s="238">
        <f>IF(CD48&gt;0,AX48/3,0)</f>
        <v>0</v>
      </c>
      <c r="CF48" s="238">
        <f>ROUNDUP(CE48,0)</f>
        <v>0</v>
      </c>
      <c r="CG48" s="244">
        <f>IF(MOD(CF48,2)=0,CF48,CF48+1)</f>
        <v>0</v>
      </c>
      <c r="CH48" s="238">
        <f>IF(AX48&lt;9,"",SUM(CG48-CF48))</f>
        <v>0</v>
      </c>
      <c r="CI48" s="238">
        <f>IF(CH48=1,AY48,0)</f>
        <v>0</v>
      </c>
      <c r="CJ48" s="243" t="str">
        <f>IF(CH48=0,AY48,0)</f>
        <v/>
      </c>
      <c r="CK48" s="238"/>
      <c r="CL48" s="245">
        <f>IF(COUNT(F48,H48)=1,0,1)</f>
        <v>1</v>
      </c>
      <c r="CM48" s="245">
        <f>IF(COUNT(F48,U48)=1,0,1)</f>
        <v>1</v>
      </c>
      <c r="CN48" s="245">
        <f>IF(COUNT(H48,W48)=1,0,1)</f>
        <v>1</v>
      </c>
      <c r="CO48" s="245">
        <f>IF(COUNT(G48,V48)=2,0,1)</f>
        <v>1</v>
      </c>
      <c r="CP48" s="245">
        <f>IF(COUNT(U48,W48)=1,0,1)</f>
        <v>1</v>
      </c>
      <c r="CQ48" s="245">
        <f>IF(SUM(G48-V48)&gt;3,1,0)</f>
        <v>0</v>
      </c>
      <c r="CR48" s="245">
        <f>IF(SUM(G48-V48)&lt;-3,1,0)</f>
        <v>0</v>
      </c>
      <c r="CS48" s="264">
        <f>IF(AJ48=9,IF(AH48&lt;141,1,0),IF(AH48="",0,IF(AH48&gt;1,0,1)))</f>
        <v>0</v>
      </c>
      <c r="CT48" s="264">
        <f>IF(AX48=9,IF(AV48&lt;141,1,0),IF(AV48="",0,IF(AV48&gt;1,0,1)))</f>
        <v>0</v>
      </c>
      <c r="CU48" s="264">
        <f>IF(AI48="",0,IF(AI48&lt;502,0,1))</f>
        <v>0</v>
      </c>
      <c r="CV48" s="264">
        <f>IF(AW48="",0,IF(AW48&lt;502,0,1))</f>
        <v>0</v>
      </c>
      <c r="CW48" s="264">
        <f>IF(AI48="",IF(AJ48&lt;9,1,0),IF(AJ48&lt;9,1,0))</f>
        <v>0</v>
      </c>
      <c r="CX48" s="264">
        <f>IF(AW48="",IF(AX48&lt;9,1,0),IF(AX48&lt;9,1,0))</f>
        <v>0</v>
      </c>
      <c r="CY48" s="374"/>
      <c r="CZ48" s="374"/>
      <c r="DA48" s="374"/>
      <c r="DB48" s="374"/>
      <c r="DC48" s="265">
        <f>IF(AJ48="",0,SUM(CL48:CX48))</f>
        <v>0</v>
      </c>
      <c r="DD48" s="265">
        <f>IF(AJ48="",0,SUM(CL48,CS48,CU48,CW48))</f>
        <v>0</v>
      </c>
      <c r="DE48" s="265">
        <f>IF(AJ48="",0,SUM(CP48,CT48,CV48,CX48))</f>
        <v>0</v>
      </c>
      <c r="DF48" s="238"/>
      <c r="DG48" s="248">
        <f>IF(AL41=3,0,SUM(G48-V48))</f>
        <v>0</v>
      </c>
      <c r="DH48" s="245">
        <f>IF(F48="",0,1)</f>
        <v>0</v>
      </c>
      <c r="DI48" s="245">
        <f t="shared" si="80"/>
        <v>0</v>
      </c>
      <c r="DJ48" s="245">
        <f t="shared" si="81"/>
        <v>0</v>
      </c>
      <c r="DK48" s="245" t="str">
        <f>IF(G48="","",IF(DJ48=1,"*",""))</f>
        <v/>
      </c>
      <c r="DL48" s="245" t="str">
        <f>IF(AL41=3,"",IF(G48="","",IF(DJ48=-1,"*",IF(DJ48=0,"*",""))))</f>
        <v/>
      </c>
      <c r="DM48" s="245">
        <v>5</v>
      </c>
      <c r="DN48" s="245" t="str">
        <f t="shared" si="82"/>
        <v>5</v>
      </c>
      <c r="DO48" s="245" t="str">
        <f t="shared" si="83"/>
        <v>5</v>
      </c>
      <c r="DP48" s="245">
        <f>SUM(DP44)</f>
        <v>0</v>
      </c>
      <c r="DQ48" s="245">
        <f>SUM(DQ44)</f>
        <v>0</v>
      </c>
      <c r="DR48" s="245">
        <f t="shared" si="90"/>
        <v>0</v>
      </c>
      <c r="DS48" s="245">
        <f t="shared" si="91"/>
        <v>0</v>
      </c>
      <c r="DT48" s="245">
        <f t="shared" si="92"/>
        <v>0</v>
      </c>
      <c r="DU48" s="245">
        <f>IF(V48="",0,IF(DQ48=DS48,0,1))</f>
        <v>0</v>
      </c>
      <c r="DV48" s="267">
        <f t="shared" si="93"/>
        <v>0</v>
      </c>
      <c r="DW48" s="267">
        <f>IF(V48="",0,SUM(DU48))</f>
        <v>0</v>
      </c>
      <c r="DX48" s="238">
        <f>IF(AK48="",0,1)</f>
        <v>0</v>
      </c>
      <c r="DY48" s="238">
        <f>IF(DG48=-3,1,0)</f>
        <v>0</v>
      </c>
      <c r="DZ48" s="238">
        <f>SUM(DX48:DY48)</f>
        <v>0</v>
      </c>
      <c r="EA48" s="238">
        <f>IF(AK48="",1,0)</f>
        <v>1</v>
      </c>
      <c r="EB48" s="238">
        <f>IF(DG48=3,1,0)</f>
        <v>0</v>
      </c>
      <c r="EC48" s="238">
        <f>SUM(EA48:EB48)</f>
        <v>1</v>
      </c>
      <c r="ED48" s="267">
        <f>IF(EC48=2,1,0)</f>
        <v>0</v>
      </c>
      <c r="EE48" s="267">
        <f>IF(DZ48=2,1,0)</f>
        <v>0</v>
      </c>
      <c r="EG48" s="166"/>
      <c r="EH48" s="238"/>
      <c r="EI48" s="238"/>
      <c r="EJ48" s="238"/>
      <c r="EK48" s="238"/>
      <c r="EL48" s="238"/>
      <c r="EM48" s="245">
        <f>IF(AK48="",0,1)</f>
        <v>0</v>
      </c>
      <c r="EN48" s="245">
        <f>SUM(AK48)</f>
        <v>0</v>
      </c>
      <c r="EO48" s="268">
        <f>SUM(AJ48)</f>
        <v>0</v>
      </c>
      <c r="EP48" s="268">
        <f>SUM(G48/3)</f>
        <v>0</v>
      </c>
      <c r="EQ48" s="268" t="e">
        <f>SUM(EO48/EP48)</f>
        <v>#DIV/0!</v>
      </c>
      <c r="ER48" s="268">
        <f>ROUNDDOWN(EP48,0)</f>
        <v>0</v>
      </c>
      <c r="ES48" s="268">
        <f>SUM(EO48,-ER48*3)</f>
        <v>0</v>
      </c>
      <c r="ET48" s="269" t="b">
        <f>MOD(EN48/1,2)=0</f>
        <v>1</v>
      </c>
      <c r="EU48" s="245">
        <f>IF(ET48=FALSE,1,0)</f>
        <v>0</v>
      </c>
      <c r="EV48" s="245">
        <f>IF(EN48=50,0,IF(EN48&lt;40,1,0))</f>
        <v>1</v>
      </c>
      <c r="EW48" s="245">
        <f>SUM(EU48:EV48)</f>
        <v>1</v>
      </c>
      <c r="EX48" s="267">
        <f>IF(EN48=1,1,IF(EN48=50,0,IF(ES48=1,IF(EN48&gt;40,1,0),0)))</f>
        <v>0</v>
      </c>
      <c r="EY48" s="267">
        <f>IF(ES48=1,IF(EW48=2,1,0),0)+EX48+FB48+FE48</f>
        <v>0</v>
      </c>
      <c r="EZ48" s="245">
        <f>IF(EN48=109,1,IF(EN48=108,1,IF(EN48=106,1,IF(EN48=105,1,IF(EN48=103,1,IF(EN48=102,1,IF(EN48=99,1,0)))))))</f>
        <v>0</v>
      </c>
      <c r="FA48" s="245">
        <f>IF(EN48&gt;110,1,0)</f>
        <v>0</v>
      </c>
      <c r="FB48" s="267">
        <f>IF(ES48=2,SUM(EZ48:FA48),0)</f>
        <v>0</v>
      </c>
      <c r="FC48" s="245">
        <f>IF(EN48=159,1,IF(EN48=162,1,IF(EN48=163,1,IF(EN48=165,1,IF(EN48=166,1,IF(EN48=168,1,IF(EN48=169,1,0)))))))</f>
        <v>0</v>
      </c>
      <c r="FD48" s="245">
        <f>IF(EN48&gt;170,1,0)</f>
        <v>0</v>
      </c>
      <c r="FE48" s="267">
        <f>IF(ES48=0,SUM(FC48:FD48),0)</f>
        <v>0</v>
      </c>
      <c r="FF48" s="251">
        <f t="shared" si="84"/>
        <v>0</v>
      </c>
      <c r="FG48" s="238"/>
      <c r="FH48" s="245">
        <f>IF(AY48="",0,1)</f>
        <v>0</v>
      </c>
      <c r="FI48" s="245">
        <f>SUM(AY48)</f>
        <v>0</v>
      </c>
      <c r="FJ48" s="268">
        <f>SUM(AX48)</f>
        <v>0</v>
      </c>
      <c r="FK48" s="268">
        <f>SUM(V48/3)</f>
        <v>0</v>
      </c>
      <c r="FL48" s="268" t="e">
        <f>SUM(FJ48/FK48)</f>
        <v>#DIV/0!</v>
      </c>
      <c r="FM48" s="268">
        <f>ROUNDDOWN(FK48,0)</f>
        <v>0</v>
      </c>
      <c r="FN48" s="268">
        <f>SUM(FJ48,-FM48*3)</f>
        <v>0</v>
      </c>
      <c r="FO48" s="269" t="b">
        <f>MOD(FI48/1,2)=0</f>
        <v>1</v>
      </c>
      <c r="FP48" s="245">
        <f>IF(FO48=FALSE,1,0)</f>
        <v>0</v>
      </c>
      <c r="FQ48" s="245">
        <f>IF(FI48=50,0,IF(FI48&lt;40,1,0))</f>
        <v>1</v>
      </c>
      <c r="FR48" s="245">
        <f>SUM(FP48:FQ48)</f>
        <v>1</v>
      </c>
      <c r="FS48" s="267">
        <f>IF(FI48=1,1,IF(FI48=50,0,IF(FN48=1,IF(FI48&gt;40,1,0),0)))</f>
        <v>0</v>
      </c>
      <c r="FT48" s="267">
        <f>IF(FN48=1,IF(FR48=2,1,0),0)+FS48+FW48+FZ48</f>
        <v>0</v>
      </c>
      <c r="FU48" s="245">
        <f>IF(FI48=109,1,IF(FI48=108,1,IF(FI48=106,1,IF(FI48=105,1,IF(FI48=103,1,IF(FI48=102,1,IF(FI48=99,1,0)))))))</f>
        <v>0</v>
      </c>
      <c r="FV48" s="245">
        <f>IF(FI48&gt;110,1,0)</f>
        <v>0</v>
      </c>
      <c r="FW48" s="267">
        <f>IF(FN48=2,SUM(FU48:FV48),0)</f>
        <v>0</v>
      </c>
      <c r="FX48" s="245">
        <f>IF(FI48=159,1,IF(FI48=162,1,IF(FI48=163,1,IF(FI48=165,1,IF(FI48=166,1,IF(FI48=168,1,IF(FI48=169,1,0)))))))</f>
        <v>0</v>
      </c>
      <c r="FY48" s="245">
        <f>IF(FI48&gt;170,1,0)</f>
        <v>0</v>
      </c>
      <c r="FZ48" s="267">
        <f>IF(FN48=0,SUM(FX48:FY48),0)</f>
        <v>0</v>
      </c>
      <c r="GA48" s="251">
        <f t="shared" si="85"/>
        <v>0</v>
      </c>
      <c r="GC48" s="238" t="str">
        <f>VLOOKUP(AH41,Chema!BL:BR,5,FALSE)</f>
        <v/>
      </c>
      <c r="GD48" s="341"/>
      <c r="GE48" s="343" t="str">
        <f>IF(R52="","",SUM(R52))</f>
        <v/>
      </c>
      <c r="GF48" s="340"/>
      <c r="GG48" s="346"/>
      <c r="GH48" s="343">
        <f>IF(GH47&gt;0,1,0)</f>
        <v>0</v>
      </c>
      <c r="GI48" s="346"/>
      <c r="GJ48" s="343"/>
      <c r="GK48" s="346"/>
      <c r="GL48" s="343">
        <f>IF(GL47&gt;0,1,0)</f>
        <v>0</v>
      </c>
      <c r="GM48" s="343"/>
      <c r="GN48" s="343"/>
      <c r="GO48" s="346"/>
      <c r="GP48" s="343">
        <f>IF(GP47&gt;0,1,0)</f>
        <v>0</v>
      </c>
      <c r="GQ48" s="343"/>
      <c r="GR48" s="343"/>
      <c r="GS48" s="346"/>
      <c r="GT48" s="343">
        <f>IF(GT47&gt;0,1,0)</f>
        <v>0</v>
      </c>
      <c r="GU48" s="343"/>
      <c r="GV48" s="343"/>
      <c r="GW48" s="346"/>
      <c r="GX48" s="343">
        <f>IF(GX47&gt;0,1,0)</f>
        <v>0</v>
      </c>
      <c r="GY48" s="340"/>
      <c r="GZ48" s="343"/>
      <c r="HA48" s="343"/>
      <c r="HB48" s="343" t="str">
        <f>IF(GD44=1,P52,"")</f>
        <v/>
      </c>
      <c r="HC48" s="343" t="str">
        <f>IF(GD44=1,X52,"")</f>
        <v/>
      </c>
      <c r="HD48" s="340"/>
      <c r="HE48" s="340"/>
      <c r="HF48" s="340"/>
      <c r="HG48" s="340">
        <f>IF(HG46=HM44,0,IF(HG46=HM48,0,1))</f>
        <v>0</v>
      </c>
      <c r="HH48" s="340">
        <f>IF(HH45=HH47,1,0)</f>
        <v>1</v>
      </c>
      <c r="HI48" s="340"/>
      <c r="HJ48" s="340"/>
      <c r="HK48" s="340"/>
      <c r="HL48" s="340"/>
      <c r="HM48" s="341">
        <f>COUNT(HI47,HJ47,HK47,HL47,HM47)</f>
        <v>0</v>
      </c>
      <c r="HN48" s="341"/>
      <c r="HO48" s="341"/>
      <c r="HP48" s="341"/>
      <c r="HQ48" s="341"/>
      <c r="HR48" s="341"/>
      <c r="HS48" s="238"/>
      <c r="HT48" s="238"/>
      <c r="HU48" s="238"/>
      <c r="HV48" s="238"/>
      <c r="HX48" s="238"/>
      <c r="HY48" s="238"/>
      <c r="ID48" s="238"/>
    </row>
    <row r="49" spans="1:238" s="234" customFormat="1" ht="6.6" customHeight="1">
      <c r="A49" s="235"/>
      <c r="B49" s="231"/>
      <c r="C49" s="310"/>
      <c r="D49" s="310"/>
      <c r="E49" s="310"/>
      <c r="F49" s="310"/>
      <c r="G49" s="313"/>
      <c r="H49" s="310"/>
      <c r="I49" s="310"/>
      <c r="J49" s="273"/>
      <c r="K49" s="313"/>
      <c r="O49" s="118"/>
      <c r="R49" s="310"/>
      <c r="S49" s="310"/>
      <c r="T49" s="310"/>
      <c r="U49" s="310"/>
      <c r="V49" s="313"/>
      <c r="W49" s="310"/>
      <c r="X49" s="310"/>
      <c r="Y49" s="273"/>
      <c r="Z49" s="308"/>
      <c r="AA49" s="274"/>
      <c r="AD49" s="235"/>
      <c r="AE49" s="237">
        <f>IF(AF49=0,0,1)</f>
        <v>0</v>
      </c>
      <c r="AF49" s="237">
        <f>IF(AL49=0,0,SUM(AL51:AL52,-AL50))</f>
        <v>0</v>
      </c>
      <c r="AG49" s="237"/>
      <c r="AH49" s="275">
        <f>SUM(AH44,AH45,AH46,AH47,AH48)</f>
        <v>0</v>
      </c>
      <c r="AI49" s="275">
        <f t="shared" ref="AI49" si="97">SUM(AI44,AI45,AI46,AI47,AI48)</f>
        <v>0</v>
      </c>
      <c r="AJ49" s="275">
        <f t="shared" ref="AJ49" si="98">SUM(AJ44,AJ45,AJ46,AJ47,AJ48)</f>
        <v>0</v>
      </c>
      <c r="AK49" s="275">
        <f>MAX(AK44,AK45,AK46,AK47,AK48)</f>
        <v>0</v>
      </c>
      <c r="AL49" s="275">
        <f t="shared" ref="AL49" si="99">SUM(AL44,AL45,AL46,AL47,AL48)</f>
        <v>0</v>
      </c>
      <c r="AM49" s="275">
        <f>IF(AK41="D",SUM(AL44,AL45,AL46,AL47,AL48,-AL51,-AL52),0)</f>
        <v>0</v>
      </c>
      <c r="AN49" s="235"/>
      <c r="AO49" s="235"/>
      <c r="AP49" s="235"/>
      <c r="AQ49" s="235"/>
      <c r="AR49" s="235"/>
      <c r="AS49" s="237">
        <f>IF(AT49=0,0,1)</f>
        <v>0</v>
      </c>
      <c r="AT49" s="237">
        <f>IF(AZ49=0,0,SUM(AZ51:AZ52,-AZ50))</f>
        <v>0</v>
      </c>
      <c r="AU49" s="237"/>
      <c r="AV49" s="275">
        <f>SUM(AV44,AV45,AV46,AV47,AV48)</f>
        <v>0</v>
      </c>
      <c r="AW49" s="275">
        <f t="shared" ref="AW49" si="100">SUM(AW44,AW45,AW46,AW47,AW48)</f>
        <v>0</v>
      </c>
      <c r="AX49" s="275">
        <f t="shared" ref="AX49" si="101">SUM(AX44,AX45,AX46,AX47,AX48)</f>
        <v>0</v>
      </c>
      <c r="AY49" s="275">
        <f>MAX(AY44,AY45,AY46,AY47,AY48)</f>
        <v>0</v>
      </c>
      <c r="AZ49" s="275">
        <f t="shared" ref="AZ49" si="102">SUM(AZ44,AZ45,AZ46,AZ47,AZ48)</f>
        <v>0</v>
      </c>
      <c r="BA49" s="275">
        <f>IF(AK41="D",SUM(AZ44,AZ45,AZ46,AZ47,AZ48,-AZ51,-AZ52),0)</f>
        <v>0</v>
      </c>
      <c r="BJ49" s="236"/>
      <c r="BK49" s="238"/>
      <c r="BL49" s="238"/>
      <c r="BM49" s="238"/>
      <c r="BP49" s="238"/>
      <c r="BQ49" s="238"/>
      <c r="BR49" s="238"/>
      <c r="BS49" s="238"/>
      <c r="BT49" s="238"/>
      <c r="BU49" s="238"/>
      <c r="BY49" s="238"/>
      <c r="BZ49" s="238">
        <f>MAX(BZ44,BZ45,BZ46,BZ47,BZ48)</f>
        <v>0</v>
      </c>
      <c r="CA49" s="238">
        <f>MAX(CA44,CA45,CA46,CA47,CA48)</f>
        <v>0</v>
      </c>
      <c r="CB49" s="238"/>
      <c r="CC49" s="238"/>
      <c r="CD49" s="238"/>
      <c r="CG49" s="244"/>
      <c r="CH49" s="238"/>
      <c r="CI49" s="238">
        <f>MAX(CI44,CI45,CI46,CI47,CI48)</f>
        <v>0</v>
      </c>
      <c r="CJ49" s="238">
        <f>MAX(CJ44,CJ45,CJ46,CJ47,CJ48)</f>
        <v>0</v>
      </c>
      <c r="CK49" s="238"/>
      <c r="CL49" s="238"/>
      <c r="CM49" s="238"/>
      <c r="CN49" s="238"/>
      <c r="CO49" s="238"/>
      <c r="CP49" s="238"/>
      <c r="CQ49" s="238"/>
      <c r="CR49" s="238"/>
      <c r="CS49" s="238"/>
      <c r="CT49" s="238"/>
      <c r="CU49" s="238"/>
      <c r="CV49" s="238"/>
      <c r="CW49" s="238"/>
      <c r="CX49" s="238"/>
      <c r="CY49" s="238"/>
      <c r="CZ49" s="238"/>
      <c r="DA49" s="238"/>
      <c r="DB49" s="238"/>
      <c r="DC49" s="238"/>
      <c r="DD49" s="238"/>
      <c r="DE49" s="238"/>
      <c r="DF49" s="238"/>
      <c r="DG49" s="238"/>
      <c r="DH49" s="238"/>
      <c r="DI49" s="238"/>
      <c r="DJ49" s="238"/>
      <c r="DK49" s="238"/>
      <c r="DL49" s="238"/>
      <c r="DM49" s="238"/>
      <c r="DN49" s="238"/>
      <c r="DO49" s="238"/>
      <c r="DP49" s="238"/>
      <c r="DQ49" s="238"/>
      <c r="DR49" s="238"/>
      <c r="DS49" s="238"/>
      <c r="DT49" s="238"/>
      <c r="DU49" s="238"/>
      <c r="DV49" s="238"/>
      <c r="DW49" s="238"/>
      <c r="DX49" s="238"/>
      <c r="DY49" s="238"/>
      <c r="DZ49" s="238"/>
      <c r="EA49" s="238"/>
      <c r="EB49" s="238"/>
      <c r="EC49" s="238"/>
      <c r="ED49" s="238"/>
      <c r="EE49" s="238"/>
      <c r="EF49" s="238"/>
      <c r="EG49" s="238"/>
      <c r="EH49" s="238"/>
      <c r="EI49" s="238"/>
      <c r="EJ49" s="238"/>
      <c r="EK49" s="238"/>
      <c r="EL49" s="238"/>
      <c r="EM49" s="166"/>
      <c r="EN49" s="166"/>
      <c r="EO49" s="166"/>
      <c r="EP49" s="238">
        <f>SUM(EN49-EO49)</f>
        <v>0</v>
      </c>
      <c r="EQ49" s="238"/>
      <c r="ER49" s="238"/>
      <c r="ES49" s="238"/>
      <c r="ET49" s="244"/>
      <c r="EU49" s="238"/>
      <c r="EV49" s="238"/>
      <c r="EW49" s="238"/>
      <c r="EX49" s="238"/>
      <c r="EY49" s="238"/>
      <c r="EZ49" s="238"/>
      <c r="FA49" s="238"/>
      <c r="FB49" s="238"/>
      <c r="FC49" s="238"/>
      <c r="FD49" s="238"/>
      <c r="FE49" s="238"/>
      <c r="FF49" s="238"/>
      <c r="FG49" s="238"/>
      <c r="FH49" s="238"/>
      <c r="FI49" s="238"/>
      <c r="FJ49" s="238"/>
      <c r="FK49" s="238"/>
      <c r="FL49" s="238"/>
      <c r="FM49" s="238"/>
      <c r="FN49" s="238"/>
      <c r="FO49" s="244"/>
      <c r="FP49" s="238"/>
      <c r="FQ49" s="238"/>
      <c r="FR49" s="238"/>
      <c r="FS49" s="238"/>
      <c r="FT49" s="238"/>
      <c r="FU49" s="238"/>
      <c r="FV49" s="238"/>
      <c r="FW49" s="238"/>
      <c r="FX49" s="238"/>
      <c r="FY49" s="238"/>
      <c r="FZ49" s="238"/>
      <c r="GA49" s="238"/>
      <c r="GB49" s="238"/>
      <c r="GC49" s="238"/>
      <c r="GD49" s="341"/>
      <c r="GE49" s="340"/>
      <c r="GF49" s="340"/>
      <c r="GG49" s="340"/>
      <c r="GH49" s="340"/>
      <c r="GI49" s="340"/>
      <c r="GJ49" s="340"/>
      <c r="GK49" s="340"/>
      <c r="GL49" s="340"/>
      <c r="GM49" s="340"/>
      <c r="GN49" s="340"/>
      <c r="GO49" s="340"/>
      <c r="GP49" s="340"/>
      <c r="GQ49" s="340"/>
      <c r="GR49" s="340"/>
      <c r="GS49" s="340"/>
      <c r="GT49" s="340"/>
      <c r="GU49" s="340"/>
      <c r="GV49" s="340"/>
      <c r="GW49" s="340"/>
      <c r="GX49" s="340"/>
      <c r="GY49" s="340"/>
      <c r="GZ49" s="340"/>
      <c r="HA49" s="340"/>
      <c r="HB49" s="340"/>
      <c r="HC49" s="340"/>
      <c r="HD49" s="341"/>
      <c r="HE49" s="341"/>
      <c r="HF49" s="341"/>
      <c r="HG49" s="341"/>
      <c r="HH49" s="341"/>
      <c r="HI49" s="341"/>
      <c r="HJ49" s="341"/>
      <c r="HK49" s="341"/>
      <c r="HL49" s="341"/>
      <c r="HM49" s="341"/>
      <c r="HN49" s="341"/>
      <c r="HO49" s="341"/>
      <c r="HP49" s="341"/>
      <c r="HQ49" s="341"/>
      <c r="HR49" s="341"/>
      <c r="HS49" s="238"/>
      <c r="HT49" s="238"/>
      <c r="HU49" s="238"/>
      <c r="HV49" s="238"/>
      <c r="HX49" s="238"/>
      <c r="HY49" s="238"/>
      <c r="ID49" s="238"/>
    </row>
    <row r="50" spans="1:238" s="234" customFormat="1" ht="20.100000000000001" customHeight="1">
      <c r="A50" s="235"/>
      <c r="B50" s="231"/>
      <c r="C50" s="314" t="s">
        <v>771</v>
      </c>
      <c r="D50" s="276" t="str">
        <f>REPT(Sprache!$K$58,1)</f>
        <v>Spieler</v>
      </c>
      <c r="E50" s="277" t="str">
        <f>REPT(Sprache!$K$33,1)</f>
        <v>Name / Vorname</v>
      </c>
      <c r="F50" s="278"/>
      <c r="G50" s="278"/>
      <c r="H50" s="279"/>
      <c r="I50" s="280"/>
      <c r="J50" s="281" t="str">
        <f>REPT(AM50,1)</f>
        <v/>
      </c>
      <c r="L50" s="306" t="s">
        <v>848</v>
      </c>
      <c r="M50" s="238"/>
      <c r="P50" s="306" t="s">
        <v>848</v>
      </c>
      <c r="R50" s="314" t="s">
        <v>771</v>
      </c>
      <c r="S50" s="276" t="str">
        <f>REPT(Sprache!$K$58,1)</f>
        <v>Spieler</v>
      </c>
      <c r="T50" s="277" t="str">
        <f>REPT(Sprache!$K$33,1)</f>
        <v>Name / Vorname</v>
      </c>
      <c r="U50" s="278"/>
      <c r="V50" s="278"/>
      <c r="W50" s="279"/>
      <c r="X50" s="280"/>
      <c r="Y50" s="281" t="str">
        <f>REPT(BA50,1)</f>
        <v/>
      </c>
      <c r="Z50" s="308"/>
      <c r="AD50" s="235"/>
      <c r="AE50" s="235"/>
      <c r="AF50" s="237" t="s">
        <v>771</v>
      </c>
      <c r="AG50" s="282" t="s">
        <v>877</v>
      </c>
      <c r="AH50" s="283" t="str">
        <f>IF(AH49=0,"",AH49)</f>
        <v/>
      </c>
      <c r="AI50" s="283" t="str">
        <f>IF(AI49=0,"",AI49)</f>
        <v/>
      </c>
      <c r="AJ50" s="283" t="str">
        <f>IF(AJ49=0,"",AJ49)</f>
        <v/>
      </c>
      <c r="AK50" s="283" t="str">
        <f>IF(AK49=0,"",AK49)</f>
        <v/>
      </c>
      <c r="AL50" s="283" t="str">
        <f>IF(AL49=0,"",AL49)</f>
        <v/>
      </c>
      <c r="AM50" s="258" t="str">
        <f>IF(AK41="D",IF(AF49=0,"","X"),"")</f>
        <v/>
      </c>
      <c r="AN50" s="235"/>
      <c r="AO50" s="235"/>
      <c r="AP50" s="284"/>
      <c r="AQ50" s="235"/>
      <c r="AR50" s="235"/>
      <c r="AS50" s="235"/>
      <c r="AT50" s="237" t="s">
        <v>771</v>
      </c>
      <c r="AU50" s="282" t="s">
        <v>877</v>
      </c>
      <c r="AV50" s="283" t="str">
        <f>IF(AV49=0,"",AV49)</f>
        <v/>
      </c>
      <c r="AW50" s="283" t="str">
        <f>IF(AW49=0,"",AW49)</f>
        <v/>
      </c>
      <c r="AX50" s="283" t="str">
        <f>IF(AX49=0,"",AX49)</f>
        <v/>
      </c>
      <c r="AY50" s="283" t="str">
        <f>IF(AY49=0,"",AY49)</f>
        <v/>
      </c>
      <c r="AZ50" s="421" t="str">
        <f>IF(AZ49=0,"",AZ49)</f>
        <v/>
      </c>
      <c r="BA50" s="258" t="str">
        <f>IF(AK41="D",IF(AT49=0,"","X"),"")</f>
        <v/>
      </c>
      <c r="BJ50" s="236"/>
      <c r="BK50" s="238"/>
      <c r="BL50" s="244">
        <f>IF(BM50=0,0,1)</f>
        <v>0</v>
      </c>
      <c r="BM50" s="244">
        <f>SUM(BM44,BM45,BM46,BM47,BM48,HH46,AN51,AN52,BB51,BB52)</f>
        <v>0</v>
      </c>
      <c r="BN50" s="166">
        <f t="shared" ref="BN50:BO50" si="103">SUM(BN44,BN45,BN46,BN47,BN48)</f>
        <v>0</v>
      </c>
      <c r="BO50" s="166">
        <f t="shared" si="103"/>
        <v>0</v>
      </c>
      <c r="BP50" s="244"/>
      <c r="BQ50" s="238"/>
      <c r="BR50" s="238"/>
      <c r="BS50" s="238"/>
      <c r="BT50" s="238"/>
      <c r="BU50" s="238"/>
      <c r="BV50" s="238"/>
      <c r="BW50" s="238"/>
      <c r="BX50" s="236"/>
      <c r="BY50" s="238"/>
      <c r="BZ50" s="238"/>
      <c r="CA50" s="238"/>
      <c r="CB50" s="238"/>
      <c r="CC50" s="238"/>
      <c r="CD50" s="238"/>
      <c r="CE50" s="238"/>
      <c r="CF50" s="238"/>
      <c r="CG50" s="244"/>
      <c r="CH50" s="238"/>
      <c r="CI50" s="238"/>
      <c r="CJ50" s="238"/>
      <c r="CK50" s="238"/>
      <c r="CL50" s="238"/>
      <c r="CM50" s="238"/>
      <c r="CN50" s="238"/>
      <c r="CO50" s="238"/>
      <c r="CP50" s="238"/>
      <c r="CQ50" s="238"/>
      <c r="CR50" s="238"/>
      <c r="CS50" s="238"/>
      <c r="CT50" s="238"/>
      <c r="CU50" s="238"/>
      <c r="CV50" s="238"/>
      <c r="CW50" s="238"/>
      <c r="CX50" s="238"/>
      <c r="CY50" s="238"/>
      <c r="CZ50" s="238"/>
      <c r="DA50" s="238"/>
      <c r="DB50" s="238"/>
      <c r="DC50" s="238"/>
      <c r="DD50" s="238"/>
      <c r="DE50" s="238"/>
      <c r="DF50" s="238"/>
      <c r="DG50" s="238"/>
      <c r="DH50" s="238"/>
      <c r="DI50" s="238"/>
      <c r="DJ50" s="238"/>
      <c r="DK50" s="238"/>
      <c r="DL50" s="238"/>
      <c r="DM50" s="238"/>
      <c r="DN50" s="238"/>
      <c r="DO50" s="238"/>
      <c r="DP50" s="238"/>
      <c r="DQ50" s="238"/>
      <c r="DR50" s="238"/>
      <c r="DS50" s="238"/>
      <c r="DT50" s="238"/>
      <c r="DU50" s="238"/>
      <c r="DV50" s="238"/>
      <c r="DW50" s="238"/>
      <c r="DX50" s="238"/>
      <c r="DY50" s="238"/>
      <c r="DZ50" s="238"/>
      <c r="EA50" s="238"/>
      <c r="EB50" s="238"/>
      <c r="EC50" s="238"/>
      <c r="ED50" s="238"/>
      <c r="EE50" s="238"/>
      <c r="EF50" s="238"/>
      <c r="EG50" s="238"/>
      <c r="EH50" s="238"/>
      <c r="EI50" s="238"/>
      <c r="EJ50" s="238"/>
      <c r="EK50" s="238"/>
      <c r="EL50" s="238"/>
      <c r="EM50" s="238"/>
      <c r="EN50" s="238"/>
      <c r="EO50" s="238"/>
      <c r="EP50" s="238"/>
      <c r="EQ50" s="238"/>
      <c r="ER50" s="238"/>
      <c r="ES50" s="238"/>
      <c r="ET50" s="244"/>
      <c r="EU50" s="238"/>
      <c r="EV50" s="238"/>
      <c r="EW50" s="238"/>
      <c r="EX50" s="238"/>
      <c r="EY50" s="238"/>
      <c r="EZ50" s="238"/>
      <c r="FA50" s="238"/>
      <c r="FB50" s="238"/>
      <c r="FC50" s="238"/>
      <c r="FD50" s="238"/>
      <c r="FE50" s="238"/>
      <c r="FF50" s="238"/>
      <c r="FG50" s="238"/>
      <c r="FH50" s="238"/>
      <c r="FI50" s="238"/>
      <c r="FJ50" s="238"/>
      <c r="FK50" s="238"/>
      <c r="FL50" s="238"/>
      <c r="FM50" s="238"/>
      <c r="FN50" s="238"/>
      <c r="FO50" s="244"/>
      <c r="FP50" s="238"/>
      <c r="FQ50" s="238"/>
      <c r="FR50" s="238"/>
      <c r="FS50" s="238"/>
      <c r="FT50" s="238"/>
      <c r="FU50" s="238"/>
      <c r="FV50" s="238"/>
      <c r="FW50" s="238"/>
      <c r="FX50" s="238"/>
      <c r="FY50" s="238"/>
      <c r="FZ50" s="238"/>
      <c r="GA50" s="238"/>
      <c r="GB50" s="238"/>
      <c r="GC50" s="238"/>
      <c r="GD50" s="341"/>
      <c r="GE50" s="340"/>
      <c r="GF50" s="340"/>
      <c r="GG50" s="340"/>
      <c r="GH50" s="340"/>
      <c r="GI50" s="340"/>
      <c r="GJ50" s="340"/>
      <c r="GK50" s="340"/>
      <c r="GL50" s="340"/>
      <c r="GM50" s="340"/>
      <c r="GN50" s="340"/>
      <c r="GO50" s="340"/>
      <c r="GP50" s="340"/>
      <c r="GQ50" s="340"/>
      <c r="GR50" s="340"/>
      <c r="GS50" s="340"/>
      <c r="GT50" s="340"/>
      <c r="GU50" s="340"/>
      <c r="GV50" s="340"/>
      <c r="GW50" s="340"/>
      <c r="GX50" s="340"/>
      <c r="GY50" s="340"/>
      <c r="GZ50" s="340"/>
      <c r="HA50" s="340"/>
      <c r="HB50" s="340"/>
      <c r="HC50" s="340"/>
      <c r="HD50" s="341"/>
      <c r="HE50" s="341"/>
      <c r="HF50" s="341"/>
      <c r="HG50" s="341"/>
      <c r="HH50" s="341"/>
      <c r="HI50" s="341"/>
      <c r="HJ50" s="341"/>
      <c r="HK50" s="341"/>
      <c r="HL50" s="341"/>
      <c r="HM50" s="341"/>
      <c r="HN50" s="341"/>
      <c r="HO50" s="341"/>
      <c r="HP50" s="341"/>
      <c r="HQ50" s="341"/>
      <c r="HR50" s="341"/>
      <c r="HS50" s="238"/>
      <c r="HT50" s="238"/>
      <c r="HU50" s="238"/>
      <c r="HV50" s="238"/>
      <c r="HX50" s="238"/>
      <c r="HY50" s="238"/>
      <c r="ID50" s="238"/>
    </row>
    <row r="51" spans="1:238" s="234" customFormat="1" ht="20.100000000000001" customHeight="1">
      <c r="A51" s="235"/>
      <c r="B51" s="231"/>
      <c r="C51" s="285" t="str">
        <f>IF(AF51="","",SUM(AF51))</f>
        <v/>
      </c>
      <c r="D51" s="286" t="str">
        <f>IF(AK41="D",1,"")</f>
        <v/>
      </c>
      <c r="E51" s="287" t="str">
        <f>IF(C51="","",VLOOKUP(C51,Licenses!B:C,2,FALSE))</f>
        <v/>
      </c>
      <c r="F51" s="288"/>
      <c r="G51" s="288"/>
      <c r="H51" s="289"/>
      <c r="I51" s="169"/>
      <c r="J51" s="270" t="str">
        <f>REPT(AM51,1)</f>
        <v/>
      </c>
      <c r="L51" s="290" t="str">
        <f>IF(AK41="D",AK51,IF(AK50="","",AK50))</f>
        <v/>
      </c>
      <c r="M51" s="311"/>
      <c r="P51" s="290" t="str">
        <f>IF(AK41="D",AY51,IF(AY50="","",AY50))</f>
        <v/>
      </c>
      <c r="R51" s="291" t="str">
        <f>IF(AT51="","",SUM(AT51))</f>
        <v/>
      </c>
      <c r="S51" s="286" t="str">
        <f>IF(AK41="D",1,"")</f>
        <v/>
      </c>
      <c r="T51" s="292" t="str">
        <f>IF(R51="","",VLOOKUP(R51,Licenses!B:C,2,FALSE))</f>
        <v/>
      </c>
      <c r="U51" s="293"/>
      <c r="V51" s="293"/>
      <c r="W51" s="294"/>
      <c r="X51" s="169"/>
      <c r="Y51" s="270" t="str">
        <f>REPT(BA51,1)</f>
        <v/>
      </c>
      <c r="Z51" s="308"/>
      <c r="AD51" s="235"/>
      <c r="AE51" s="235"/>
      <c r="AF51" s="256" t="str">
        <f>IF(AM41="","",SUM(AM41))</f>
        <v/>
      </c>
      <c r="AG51" s="237"/>
      <c r="AH51" s="256"/>
      <c r="AI51" s="256"/>
      <c r="AJ51" s="256"/>
      <c r="AK51" s="256" t="str">
        <f>IF(BZ49&gt;1,BZ49,"")</f>
        <v/>
      </c>
      <c r="AL51" s="257">
        <f>IF(AK41="D",SUM(I51),0)</f>
        <v>0</v>
      </c>
      <c r="AM51" s="258" t="str">
        <f>IF(AM49=0,IF(AL51&lt;6,"","X"),"X")</f>
        <v/>
      </c>
      <c r="AN51" s="347" t="str">
        <f>IF(AM49=0,IF(AL51&lt;6,"",1),1)</f>
        <v/>
      </c>
      <c r="AO51" s="235"/>
      <c r="AP51" s="236"/>
      <c r="AQ51" s="235"/>
      <c r="AR51" s="235"/>
      <c r="AS51" s="235"/>
      <c r="AT51" s="256" t="str">
        <f>IF(BA41="","",SUM(BA41))</f>
        <v/>
      </c>
      <c r="AU51" s="237"/>
      <c r="AV51" s="256"/>
      <c r="AW51" s="256"/>
      <c r="AX51" s="256"/>
      <c r="AY51" s="256" t="str">
        <f>IF(CI49&gt;1,CI49,"")</f>
        <v/>
      </c>
      <c r="AZ51" s="257">
        <f>IF(AK41="D",SUM(X51),0)</f>
        <v>0</v>
      </c>
      <c r="BA51" s="258" t="str">
        <f>IF(BA49=0,IF(AZ51&lt;6,"","X"),"X")</f>
        <v/>
      </c>
      <c r="BB51" s="347" t="str">
        <f>IF(BA49=0,IF(AZ51&lt;6,"",1),1)</f>
        <v/>
      </c>
      <c r="BC51" s="236"/>
      <c r="BD51" s="236"/>
      <c r="BE51" s="236"/>
      <c r="BF51" s="236"/>
      <c r="BG51" s="236"/>
      <c r="BH51" s="236"/>
      <c r="BI51" s="236"/>
      <c r="BJ51" s="236"/>
      <c r="BK51" s="238"/>
      <c r="BL51" s="238"/>
      <c r="BM51" s="295"/>
      <c r="BN51" s="295"/>
      <c r="BO51" s="295"/>
      <c r="BP51" s="295"/>
      <c r="BQ51" s="295"/>
      <c r="BR51" s="295"/>
      <c r="BS51" s="295"/>
      <c r="BT51" s="295"/>
      <c r="BU51" s="295"/>
      <c r="BV51" s="295"/>
      <c r="BW51" s="295"/>
      <c r="BX51" s="236"/>
      <c r="BY51" s="295"/>
      <c r="BZ51" s="295"/>
      <c r="CA51" s="295"/>
      <c r="CB51" s="295"/>
      <c r="CC51" s="295"/>
      <c r="CD51" s="295"/>
      <c r="CE51" s="295"/>
      <c r="CF51" s="295"/>
      <c r="CG51" s="296"/>
      <c r="CH51" s="295"/>
      <c r="CI51" s="295"/>
      <c r="CJ51" s="295"/>
      <c r="CK51" s="238"/>
      <c r="CL51" s="238"/>
      <c r="CM51" s="238"/>
      <c r="CN51" s="238"/>
      <c r="CO51" s="238"/>
      <c r="CP51" s="238"/>
      <c r="CQ51" s="238"/>
      <c r="CR51" s="238"/>
      <c r="CS51" s="238"/>
      <c r="CT51" s="238"/>
      <c r="CU51" s="238"/>
      <c r="CV51" s="238"/>
      <c r="CW51" s="238"/>
      <c r="CX51" s="238"/>
      <c r="CY51" s="238"/>
      <c r="CZ51" s="238"/>
      <c r="DA51" s="238"/>
      <c r="DB51" s="238"/>
      <c r="DC51" s="238"/>
      <c r="DD51" s="238"/>
      <c r="DE51" s="238"/>
      <c r="DF51" s="238"/>
      <c r="DG51" s="238"/>
      <c r="DH51" s="238"/>
      <c r="DI51" s="238"/>
      <c r="DJ51" s="238"/>
      <c r="DK51" s="238"/>
      <c r="DL51" s="238"/>
      <c r="DM51" s="238"/>
      <c r="DN51" s="238"/>
      <c r="DO51" s="238"/>
      <c r="DP51" s="238"/>
      <c r="DQ51" s="238"/>
      <c r="DR51" s="238"/>
      <c r="DS51" s="238"/>
      <c r="DT51" s="238"/>
      <c r="DU51" s="238"/>
      <c r="DV51" s="238"/>
      <c r="DW51" s="238"/>
      <c r="DX51" s="238"/>
      <c r="DY51" s="238"/>
      <c r="DZ51" s="238"/>
      <c r="EA51" s="238"/>
      <c r="EB51" s="238"/>
      <c r="EC51" s="238"/>
      <c r="ED51" s="238"/>
      <c r="EE51" s="238"/>
      <c r="EF51" s="238"/>
      <c r="EG51" s="238"/>
      <c r="EH51" s="238"/>
      <c r="EI51" s="238"/>
      <c r="EJ51" s="238"/>
      <c r="EK51" s="238"/>
      <c r="EL51" s="238"/>
      <c r="EM51" s="238"/>
      <c r="EN51" s="238"/>
      <c r="EO51" s="238"/>
      <c r="EP51" s="238"/>
      <c r="EQ51" s="238"/>
      <c r="ER51" s="238"/>
      <c r="ES51" s="238"/>
      <c r="ET51" s="244"/>
      <c r="EU51" s="238"/>
      <c r="EV51" s="238"/>
      <c r="EW51" s="238"/>
      <c r="EX51" s="238"/>
      <c r="EY51" s="238"/>
      <c r="EZ51" s="238"/>
      <c r="FA51" s="238"/>
      <c r="FB51" s="238"/>
      <c r="FC51" s="238"/>
      <c r="FD51" s="238"/>
      <c r="FE51" s="238"/>
      <c r="FF51" s="238"/>
      <c r="FG51" s="238"/>
      <c r="FH51" s="238"/>
      <c r="FI51" s="238"/>
      <c r="FJ51" s="238"/>
      <c r="FK51" s="238"/>
      <c r="FL51" s="238"/>
      <c r="FM51" s="238"/>
      <c r="FN51" s="238"/>
      <c r="FO51" s="244"/>
      <c r="FP51" s="238"/>
      <c r="FQ51" s="238"/>
      <c r="FR51" s="238"/>
      <c r="FS51" s="238"/>
      <c r="FT51" s="238"/>
      <c r="FU51" s="238"/>
      <c r="FV51" s="238"/>
      <c r="FW51" s="238"/>
      <c r="FX51" s="238"/>
      <c r="FY51" s="238"/>
      <c r="FZ51" s="238"/>
      <c r="GA51" s="238"/>
      <c r="GB51" s="238"/>
      <c r="GC51" s="238"/>
      <c r="GD51" s="341"/>
      <c r="GE51" s="340"/>
      <c r="GF51" s="340"/>
      <c r="GG51" s="340"/>
      <c r="GH51" s="340"/>
      <c r="GI51" s="340"/>
      <c r="GJ51" s="340"/>
      <c r="GK51" s="340"/>
      <c r="GL51" s="340"/>
      <c r="GM51" s="340"/>
      <c r="GN51" s="340"/>
      <c r="GO51" s="340"/>
      <c r="GP51" s="340"/>
      <c r="GQ51" s="340"/>
      <c r="GR51" s="340"/>
      <c r="GS51" s="340"/>
      <c r="GT51" s="340"/>
      <c r="GU51" s="340"/>
      <c r="GV51" s="340"/>
      <c r="GW51" s="340"/>
      <c r="GX51" s="340"/>
      <c r="GY51" s="340"/>
      <c r="GZ51" s="340"/>
      <c r="HA51" s="340"/>
      <c r="HB51" s="340"/>
      <c r="HC51" s="340"/>
      <c r="HD51" s="341"/>
      <c r="HE51" s="341"/>
      <c r="HF51" s="341"/>
      <c r="HG51" s="341"/>
      <c r="HH51" s="341"/>
      <c r="HI51" s="341"/>
      <c r="HJ51" s="341"/>
      <c r="HK51" s="341"/>
      <c r="HL51" s="341"/>
      <c r="HM51" s="341"/>
      <c r="HN51" s="341"/>
      <c r="HO51" s="341"/>
      <c r="HP51" s="341"/>
      <c r="HQ51" s="341"/>
      <c r="HR51" s="341"/>
      <c r="HS51" s="238"/>
      <c r="HT51" s="238"/>
      <c r="HU51" s="238"/>
      <c r="HV51" s="238"/>
      <c r="HX51" s="238"/>
      <c r="HY51" s="238"/>
      <c r="ID51" s="238"/>
    </row>
    <row r="52" spans="1:238" s="234" customFormat="1" ht="20.100000000000001" customHeight="1">
      <c r="A52" s="235"/>
      <c r="B52" s="231"/>
      <c r="C52" s="336" t="str">
        <f>IF(AF52="","",SUM(AF52))</f>
        <v/>
      </c>
      <c r="D52" s="333" t="str">
        <f>IF(AK41="D",2,"")</f>
        <v/>
      </c>
      <c r="E52" s="337" t="str">
        <f>IF(C52="","",VLOOKUP(C52,Licenses!B:C,2,FALSE))</f>
        <v/>
      </c>
      <c r="F52" s="290"/>
      <c r="G52" s="290"/>
      <c r="H52" s="338"/>
      <c r="I52" s="331"/>
      <c r="J52" s="272" t="str">
        <f>REPT(AM52,1)</f>
        <v/>
      </c>
      <c r="L52" s="315" t="str">
        <f>IF(AK41="D",AK52,"")</f>
        <v/>
      </c>
      <c r="M52" s="311"/>
      <c r="P52" s="315" t="str">
        <f>IF(AK41="D",AY52,"")</f>
        <v/>
      </c>
      <c r="R52" s="332" t="str">
        <f>IF(AT52="","",SUM(AT52))</f>
        <v/>
      </c>
      <c r="S52" s="333" t="str">
        <f>IF(AK41="D",2,"")</f>
        <v/>
      </c>
      <c r="T52" s="334" t="str">
        <f>IF(R52="","",VLOOKUP(R52,Licenses!B:C,2,FALSE))</f>
        <v/>
      </c>
      <c r="U52" s="297"/>
      <c r="V52" s="297"/>
      <c r="W52" s="335"/>
      <c r="X52" s="331"/>
      <c r="Y52" s="272" t="str">
        <f>REPT(BA52,1)</f>
        <v/>
      </c>
      <c r="Z52" s="308"/>
      <c r="AA52" s="238">
        <f>IF(AK41="D",0,1)</f>
        <v>1</v>
      </c>
      <c r="AD52" s="235"/>
      <c r="AE52" s="235"/>
      <c r="AF52" s="256" t="str">
        <f>IF(AM42="","",SUM(AM42))</f>
        <v/>
      </c>
      <c r="AG52" s="237"/>
      <c r="AH52" s="256"/>
      <c r="AI52" s="256"/>
      <c r="AJ52" s="256"/>
      <c r="AK52" s="256" t="str">
        <f>IF(CA49&gt;1,CA49,"")</f>
        <v/>
      </c>
      <c r="AL52" s="257">
        <f>IF(AK41="D",SUM(I52),0)</f>
        <v>0</v>
      </c>
      <c r="AM52" s="258" t="str">
        <f>IF(AM49=0,IF(AL52&lt;6,"","X"),"X")</f>
        <v/>
      </c>
      <c r="AN52" s="347" t="str">
        <f>IF(AM49=0,IF(AL52&lt;6,"",1),1)</f>
        <v/>
      </c>
      <c r="AO52" s="235"/>
      <c r="AP52" s="236"/>
      <c r="AQ52" s="235"/>
      <c r="AR52" s="235"/>
      <c r="AS52" s="235"/>
      <c r="AT52" s="256" t="str">
        <f>IF(BA42="","",SUM(BA42))</f>
        <v/>
      </c>
      <c r="AU52" s="237"/>
      <c r="AV52" s="256"/>
      <c r="AW52" s="256"/>
      <c r="AX52" s="256"/>
      <c r="AY52" s="256" t="str">
        <f>IF(CJ49&gt;1,CJ49,"")</f>
        <v/>
      </c>
      <c r="AZ52" s="257">
        <f>IF(AK41="D",SUM(X52),0)</f>
        <v>0</v>
      </c>
      <c r="BA52" s="258" t="str">
        <f>IF(BA49=0,IF(AZ52&lt;6,"","X"),"X")</f>
        <v/>
      </c>
      <c r="BB52" s="347" t="str">
        <f>IF(BA49=0,IF(AZ52&lt;6,"",1),1)</f>
        <v/>
      </c>
      <c r="BC52" s="236"/>
      <c r="BD52" s="236"/>
      <c r="BE52" s="236"/>
      <c r="BF52" s="236"/>
      <c r="BG52" s="236"/>
      <c r="BH52" s="236"/>
      <c r="BI52" s="236"/>
      <c r="BJ52" s="236"/>
      <c r="BK52" s="238"/>
      <c r="BM52" s="238"/>
      <c r="BN52" s="238"/>
      <c r="BO52" s="238"/>
      <c r="BP52" s="238"/>
      <c r="BQ52" s="238" t="s">
        <v>899</v>
      </c>
      <c r="BR52" s="238"/>
      <c r="BS52" s="238"/>
      <c r="BT52" s="238"/>
      <c r="BU52" s="238"/>
      <c r="BV52" s="238"/>
      <c r="BW52" s="238"/>
      <c r="BX52" s="236"/>
      <c r="BY52" s="238"/>
      <c r="BZ52" s="238"/>
      <c r="CA52" s="238"/>
      <c r="CB52" s="238"/>
      <c r="CC52" s="238"/>
      <c r="CD52" s="238" t="s">
        <v>899</v>
      </c>
      <c r="CE52" s="238"/>
      <c r="CF52" s="238"/>
      <c r="CG52" s="244"/>
      <c r="CH52" s="238"/>
      <c r="CI52" s="238"/>
      <c r="CJ52" s="238"/>
      <c r="CK52" s="238"/>
      <c r="CL52" s="238"/>
      <c r="CM52" s="238"/>
      <c r="CN52" s="238"/>
      <c r="CO52" s="238"/>
      <c r="CP52" s="238"/>
      <c r="CQ52" s="238"/>
      <c r="CR52" s="238"/>
      <c r="CS52" s="238"/>
      <c r="CT52" s="238"/>
      <c r="CU52" s="238"/>
      <c r="CV52" s="238"/>
      <c r="CW52" s="238"/>
      <c r="CX52" s="238"/>
      <c r="CY52" s="238"/>
      <c r="CZ52" s="238"/>
      <c r="DA52" s="238"/>
      <c r="DB52" s="238"/>
      <c r="DC52" s="238"/>
      <c r="DD52" s="238"/>
      <c r="DE52" s="238"/>
      <c r="DF52" s="238"/>
      <c r="DG52" s="238"/>
      <c r="DH52" s="238"/>
      <c r="DI52" s="238"/>
      <c r="DJ52" s="238"/>
      <c r="DK52" s="238"/>
      <c r="DL52" s="238"/>
      <c r="DM52" s="238"/>
      <c r="DN52" s="238"/>
      <c r="DO52" s="238"/>
      <c r="DP52" s="238"/>
      <c r="DQ52" s="238"/>
      <c r="DR52" s="238"/>
      <c r="DS52" s="238"/>
      <c r="DT52" s="238"/>
      <c r="DU52" s="238"/>
      <c r="DV52" s="238"/>
      <c r="DW52" s="238"/>
      <c r="DX52" s="238"/>
      <c r="DY52" s="238"/>
      <c r="DZ52" s="238"/>
      <c r="EA52" s="238"/>
      <c r="EB52" s="238"/>
      <c r="EC52" s="238"/>
      <c r="ED52" s="238"/>
      <c r="EE52" s="238"/>
      <c r="EF52" s="238"/>
      <c r="EG52" s="238"/>
      <c r="EH52" s="238"/>
      <c r="EI52" s="238"/>
      <c r="EJ52" s="238"/>
      <c r="EK52" s="238"/>
      <c r="EL52" s="238"/>
      <c r="EM52" s="238"/>
      <c r="EN52" s="238"/>
      <c r="EO52" s="238"/>
      <c r="EP52" s="238"/>
      <c r="EQ52" s="238"/>
      <c r="ER52" s="238"/>
      <c r="ES52" s="238"/>
      <c r="ET52" s="244"/>
      <c r="EU52" s="238"/>
      <c r="EV52" s="238"/>
      <c r="EW52" s="238"/>
      <c r="EX52" s="238"/>
      <c r="EY52" s="238"/>
      <c r="EZ52" s="238"/>
      <c r="FA52" s="238"/>
      <c r="FB52" s="238"/>
      <c r="FC52" s="238"/>
      <c r="FD52" s="238"/>
      <c r="FE52" s="238"/>
      <c r="FF52" s="238"/>
      <c r="FG52" s="238"/>
      <c r="FH52" s="238"/>
      <c r="FI52" s="238"/>
      <c r="FJ52" s="238"/>
      <c r="FK52" s="238"/>
      <c r="FL52" s="238"/>
      <c r="FM52" s="238"/>
      <c r="FN52" s="238"/>
      <c r="FO52" s="244"/>
      <c r="FP52" s="238"/>
      <c r="FQ52" s="238"/>
      <c r="FR52" s="238"/>
      <c r="FS52" s="238"/>
      <c r="FT52" s="238"/>
      <c r="FU52" s="238"/>
      <c r="FV52" s="238"/>
      <c r="FW52" s="238"/>
      <c r="FX52" s="238"/>
      <c r="FY52" s="238"/>
      <c r="FZ52" s="238"/>
      <c r="GA52" s="238"/>
      <c r="GB52" s="238"/>
      <c r="GC52" s="238"/>
      <c r="GD52" s="341"/>
      <c r="GE52" s="340"/>
      <c r="GF52" s="340"/>
      <c r="GG52" s="340"/>
      <c r="GH52" s="340"/>
      <c r="GI52" s="340"/>
      <c r="GJ52" s="340"/>
      <c r="GK52" s="340"/>
      <c r="GL52" s="340"/>
      <c r="GM52" s="340"/>
      <c r="GN52" s="340"/>
      <c r="GO52" s="340"/>
      <c r="GP52" s="340"/>
      <c r="GQ52" s="340"/>
      <c r="GR52" s="340"/>
      <c r="GS52" s="340"/>
      <c r="GT52" s="340"/>
      <c r="GU52" s="340"/>
      <c r="GV52" s="340"/>
      <c r="GW52" s="340"/>
      <c r="GX52" s="340"/>
      <c r="GY52" s="340"/>
      <c r="GZ52" s="340"/>
      <c r="HA52" s="340"/>
      <c r="HB52" s="340"/>
      <c r="HC52" s="340"/>
      <c r="HD52" s="341"/>
      <c r="HE52" s="341"/>
      <c r="HF52" s="341"/>
      <c r="HG52" s="341"/>
      <c r="HH52" s="341"/>
      <c r="HI52" s="341"/>
      <c r="HJ52" s="341"/>
      <c r="HK52" s="341"/>
      <c r="HL52" s="341"/>
      <c r="HM52" s="341"/>
      <c r="HN52" s="341"/>
      <c r="HO52" s="341"/>
      <c r="HP52" s="341"/>
      <c r="HQ52" s="341"/>
      <c r="HR52" s="341"/>
      <c r="HS52" s="238"/>
      <c r="HT52" s="238"/>
      <c r="HU52" s="238"/>
      <c r="HV52" s="238"/>
      <c r="HX52" s="238"/>
      <c r="HY52" s="238"/>
      <c r="ID52" s="238"/>
    </row>
    <row r="53" spans="1:238" s="234" customFormat="1" ht="20.100000000000001" customHeight="1">
      <c r="A53" s="235"/>
      <c r="B53" s="316"/>
      <c r="C53" s="317"/>
      <c r="D53" s="317"/>
      <c r="E53" s="318"/>
      <c r="F53" s="318"/>
      <c r="G53" s="318"/>
      <c r="H53" s="318"/>
      <c r="I53" s="318"/>
      <c r="J53" s="318"/>
      <c r="K53" s="319"/>
      <c r="L53" s="319"/>
      <c r="M53" s="319"/>
      <c r="N53" s="319"/>
      <c r="O53" s="319"/>
      <c r="P53" s="320"/>
      <c r="Q53" s="319"/>
      <c r="R53" s="317"/>
      <c r="S53" s="318"/>
      <c r="T53" s="318"/>
      <c r="U53" s="318"/>
      <c r="V53" s="318"/>
      <c r="W53" s="318"/>
      <c r="X53" s="318"/>
      <c r="Y53" s="318"/>
      <c r="Z53" s="321"/>
      <c r="AD53" s="235"/>
      <c r="AE53" s="237"/>
      <c r="AF53" s="237"/>
      <c r="AG53" s="237"/>
      <c r="AH53" s="237" t="s">
        <v>921</v>
      </c>
      <c r="AI53" s="237" t="s">
        <v>922</v>
      </c>
      <c r="AJ53" s="298" t="str">
        <f>IF(BS53="","",SUM(AM53)*3)</f>
        <v/>
      </c>
      <c r="AK53" s="299" t="s">
        <v>923</v>
      </c>
      <c r="AL53" s="256"/>
      <c r="AM53" s="256" t="str">
        <f>IF(BS53="","",SUM(BS53))</f>
        <v/>
      </c>
      <c r="AN53" s="235"/>
      <c r="AO53" s="235"/>
      <c r="AP53" s="236"/>
      <c r="AQ53" s="235"/>
      <c r="AR53" s="235"/>
      <c r="AS53" s="237"/>
      <c r="AT53" s="237"/>
      <c r="AU53" s="237"/>
      <c r="AV53" s="237" t="s">
        <v>921</v>
      </c>
      <c r="AW53" s="237" t="s">
        <v>922</v>
      </c>
      <c r="AX53" s="298" t="str">
        <f>IF(BS53="","",SUM(BA53)*3)</f>
        <v/>
      </c>
      <c r="AY53" s="299" t="s">
        <v>923</v>
      </c>
      <c r="AZ53" s="256"/>
      <c r="BA53" s="256" t="str">
        <f>IF(BS53="","",SUM(CF53))</f>
        <v/>
      </c>
      <c r="BB53" s="236"/>
      <c r="BC53" s="236"/>
      <c r="BD53" s="236"/>
      <c r="BE53" s="236"/>
      <c r="BF53" s="236"/>
      <c r="BG53" s="236"/>
      <c r="BH53" s="236"/>
      <c r="BI53" s="236"/>
      <c r="BJ53" s="236"/>
      <c r="BK53" s="373">
        <f>IF(AL41=BQ53,1,0)</f>
        <v>0</v>
      </c>
      <c r="BL53" s="373">
        <f>IF(AL41=CD53,1,0)</f>
        <v>0</v>
      </c>
      <c r="BM53" s="256">
        <f>IF(BN53&gt;2,1,0)</f>
        <v>0</v>
      </c>
      <c r="BN53" s="256">
        <f>COUNT(AH44,AH45,AH46)</f>
        <v>0</v>
      </c>
      <c r="BO53" s="256" t="str">
        <f>IF(AH50="","",SUM(AH50/AJ50))</f>
        <v/>
      </c>
      <c r="BP53" s="256"/>
      <c r="BQ53" s="300">
        <f>COUNT(AK44,AK45,AK46,AK47,AK48)</f>
        <v>0</v>
      </c>
      <c r="BR53" s="256"/>
      <c r="BS53" s="256" t="str">
        <f>IF(BL50=0,IF(AJ45="","",BO53),"")</f>
        <v/>
      </c>
      <c r="BT53" s="236"/>
      <c r="BU53" s="236"/>
      <c r="BV53" s="236"/>
      <c r="BW53" s="236"/>
      <c r="BX53" s="236"/>
      <c r="BY53" s="256">
        <f>IF(CD53&gt;2,1,0)</f>
        <v>0</v>
      </c>
      <c r="BZ53" s="256">
        <f>IF(CA53&gt;2,1,0)</f>
        <v>0</v>
      </c>
      <c r="CA53" s="256">
        <f>COUNT(AV44,AV45,AV46)</f>
        <v>0</v>
      </c>
      <c r="CB53" s="256" t="str">
        <f>IF(AV50="","",SUM(AV50/AX50))</f>
        <v/>
      </c>
      <c r="CC53" s="256"/>
      <c r="CD53" s="300">
        <f>COUNT(AY44,AY45,AY46,AY47,AY48)</f>
        <v>0</v>
      </c>
      <c r="CE53" s="256"/>
      <c r="CF53" s="256" t="str">
        <f>IF(BL50=0,IF(AX45="","",CB53),"")</f>
        <v/>
      </c>
      <c r="CG53" s="236"/>
      <c r="CH53" s="188"/>
      <c r="CI53" s="188"/>
      <c r="CJ53" s="196"/>
      <c r="CK53" s="196"/>
      <c r="CL53" s="196"/>
      <c r="CM53" s="196"/>
      <c r="CN53" s="196"/>
      <c r="CO53" s="196"/>
      <c r="CP53" s="196"/>
      <c r="CQ53" s="196"/>
      <c r="CR53" s="196"/>
      <c r="CS53" s="196"/>
      <c r="CT53" s="196"/>
      <c r="CU53" s="196"/>
      <c r="CV53" s="196"/>
      <c r="CW53" s="196"/>
      <c r="CX53" s="196"/>
      <c r="CY53" s="196"/>
      <c r="CZ53" s="196"/>
      <c r="DA53" s="196"/>
      <c r="DB53" s="196"/>
      <c r="DC53" s="196"/>
      <c r="DD53" s="196"/>
      <c r="DE53" s="196"/>
      <c r="DF53" s="196"/>
      <c r="DG53" s="196"/>
      <c r="DH53" s="196"/>
      <c r="DI53" s="196"/>
      <c r="DJ53" s="196"/>
      <c r="DK53" s="196"/>
      <c r="DL53" s="196"/>
      <c r="DM53" s="196"/>
      <c r="DN53" s="196"/>
      <c r="DO53" s="196"/>
      <c r="DP53" s="196"/>
      <c r="DQ53" s="196"/>
      <c r="DR53" s="196"/>
      <c r="DS53" s="196"/>
      <c r="DT53" s="196"/>
      <c r="DU53" s="196"/>
      <c r="DV53" s="196"/>
      <c r="DW53" s="196"/>
      <c r="DX53" s="196"/>
      <c r="DY53" s="196"/>
      <c r="DZ53" s="196"/>
      <c r="EA53" s="196"/>
      <c r="EB53" s="196"/>
      <c r="EC53" s="196"/>
      <c r="ED53" s="196"/>
      <c r="EE53" s="196"/>
      <c r="EF53" s="196"/>
      <c r="EG53" s="196"/>
      <c r="EH53" s="196"/>
      <c r="EI53" s="196"/>
      <c r="EJ53" s="196"/>
      <c r="EK53" s="196"/>
      <c r="EL53" s="196"/>
      <c r="EM53" s="196"/>
      <c r="EN53" s="196"/>
      <c r="EO53" s="196"/>
      <c r="EP53" s="196"/>
      <c r="EQ53" s="196"/>
      <c r="ER53" s="196"/>
      <c r="ES53" s="196"/>
      <c r="ET53" s="301"/>
      <c r="EU53" s="196"/>
      <c r="EV53" s="196"/>
      <c r="EW53" s="196"/>
      <c r="EX53" s="196"/>
      <c r="EY53" s="196"/>
      <c r="EZ53" s="196"/>
      <c r="FA53" s="196"/>
      <c r="FB53" s="196"/>
      <c r="FC53" s="196"/>
      <c r="FD53" s="196"/>
      <c r="FE53" s="196"/>
      <c r="FF53" s="196"/>
      <c r="FG53" s="196"/>
      <c r="FH53" s="196"/>
      <c r="FI53" s="196"/>
      <c r="FJ53" s="196"/>
      <c r="FK53" s="196"/>
      <c r="FL53" s="196"/>
      <c r="FM53" s="196"/>
      <c r="FN53" s="196"/>
      <c r="FO53" s="301"/>
      <c r="FP53" s="196"/>
      <c r="FQ53" s="196"/>
      <c r="FR53" s="196"/>
      <c r="FS53" s="196"/>
      <c r="FT53" s="196"/>
      <c r="FU53" s="196"/>
      <c r="FV53" s="196"/>
      <c r="FW53" s="196"/>
      <c r="FX53" s="196"/>
      <c r="FY53" s="196"/>
      <c r="FZ53" s="196"/>
      <c r="GA53" s="196"/>
      <c r="GB53" s="238"/>
      <c r="GC53" s="238"/>
      <c r="GD53" s="341"/>
      <c r="GE53" s="341"/>
      <c r="GF53" s="341"/>
      <c r="GG53" s="341"/>
      <c r="GH53" s="341"/>
      <c r="GI53" s="341"/>
      <c r="GJ53" s="341"/>
      <c r="GK53" s="341"/>
      <c r="GL53" s="341"/>
      <c r="GM53" s="341"/>
      <c r="GN53" s="341"/>
      <c r="GO53" s="341"/>
      <c r="GP53" s="341"/>
      <c r="GQ53" s="341"/>
      <c r="GR53" s="341"/>
      <c r="GS53" s="341"/>
      <c r="GT53" s="341"/>
      <c r="GU53" s="341"/>
      <c r="GV53" s="341"/>
      <c r="GW53" s="341"/>
      <c r="GX53" s="341"/>
      <c r="GY53" s="341"/>
      <c r="GZ53" s="341"/>
      <c r="HA53" s="341"/>
      <c r="HB53" s="341"/>
      <c r="HC53" s="341"/>
      <c r="HD53" s="341"/>
      <c r="HE53" s="341"/>
      <c r="HF53" s="341"/>
      <c r="HG53" s="341"/>
      <c r="HH53" s="341"/>
      <c r="HI53" s="341"/>
      <c r="HJ53" s="341"/>
      <c r="HK53" s="341"/>
      <c r="HL53" s="341"/>
      <c r="HM53" s="341"/>
      <c r="HN53" s="341"/>
      <c r="HO53" s="341"/>
      <c r="HP53" s="341"/>
      <c r="HQ53" s="341"/>
      <c r="HR53" s="341"/>
      <c r="HS53" s="238"/>
      <c r="HT53" s="238"/>
      <c r="HU53" s="238"/>
      <c r="HV53" s="238"/>
      <c r="HX53" s="238"/>
      <c r="HY53" s="238"/>
      <c r="ID53" s="238"/>
    </row>
    <row r="54" spans="1:238" ht="14.1" customHeight="1">
      <c r="B54" s="214"/>
      <c r="C54" s="171"/>
      <c r="D54" s="171"/>
      <c r="E54" s="171"/>
      <c r="F54" s="171"/>
      <c r="G54" s="171"/>
      <c r="H54" s="171"/>
      <c r="I54" s="171"/>
      <c r="J54" s="171"/>
      <c r="K54" s="171"/>
      <c r="L54" s="171"/>
      <c r="M54" s="171"/>
      <c r="N54" s="171"/>
      <c r="O54" s="171"/>
      <c r="P54" s="171"/>
      <c r="Q54" s="171"/>
      <c r="R54" s="171"/>
      <c r="S54" s="171"/>
      <c r="T54" s="171"/>
      <c r="U54" s="171"/>
      <c r="V54" s="171"/>
      <c r="W54" s="171"/>
      <c r="X54" s="171"/>
      <c r="Y54" s="171"/>
      <c r="Z54" s="302"/>
      <c r="AA54" s="215"/>
      <c r="AB54" s="215"/>
      <c r="AC54" s="215"/>
      <c r="AD54" s="215"/>
      <c r="AE54" s="215"/>
      <c r="AF54" s="215"/>
      <c r="BB54" s="215"/>
      <c r="BC54" s="215"/>
      <c r="BD54" s="215"/>
      <c r="BE54" s="215"/>
      <c r="BF54" s="215"/>
      <c r="BG54" s="215"/>
      <c r="BH54" s="215"/>
      <c r="GD54" s="339"/>
      <c r="GE54" s="339"/>
      <c r="GF54" s="339"/>
      <c r="GG54" s="339"/>
      <c r="GH54" s="339"/>
      <c r="GI54" s="339"/>
      <c r="GJ54" s="339"/>
      <c r="GK54" s="339"/>
      <c r="GL54" s="339"/>
      <c r="GM54" s="339"/>
      <c r="GN54" s="339"/>
      <c r="GO54" s="339"/>
      <c r="GP54" s="339"/>
      <c r="GQ54" s="339"/>
      <c r="GR54" s="339"/>
      <c r="GS54" s="339"/>
      <c r="GT54" s="339"/>
      <c r="GU54" s="339"/>
      <c r="GV54" s="339"/>
      <c r="GW54" s="339"/>
      <c r="GX54" s="339"/>
      <c r="GY54" s="339"/>
      <c r="GZ54" s="339"/>
      <c r="HA54" s="339"/>
      <c r="HB54" s="339"/>
      <c r="HC54" s="339"/>
      <c r="HD54" s="339"/>
      <c r="HE54" s="339"/>
      <c r="HF54" s="339"/>
      <c r="HG54" s="339"/>
      <c r="HH54" s="339"/>
      <c r="HI54" s="339"/>
      <c r="HJ54" s="339"/>
      <c r="HK54" s="339"/>
      <c r="HL54" s="339"/>
      <c r="HM54" s="339"/>
      <c r="HN54" s="339"/>
      <c r="HO54" s="339"/>
      <c r="HP54" s="339"/>
      <c r="HQ54" s="339"/>
      <c r="HR54" s="339"/>
    </row>
    <row r="55" spans="1:238" ht="24" customHeight="1">
      <c r="B55" s="216"/>
      <c r="C55" s="181"/>
      <c r="D55" s="181"/>
      <c r="E55" s="181"/>
      <c r="F55" s="181"/>
      <c r="G55" s="181"/>
      <c r="H55" s="181"/>
      <c r="I55" s="181"/>
      <c r="J55" s="181"/>
      <c r="K55" s="185"/>
      <c r="L55" s="217"/>
      <c r="M55" s="218"/>
      <c r="N55" s="327" t="str">
        <f>CONCATENATE(AG55," ",AH55)</f>
        <v>Spiel 4</v>
      </c>
      <c r="O55" s="218"/>
      <c r="P55" s="219"/>
      <c r="Q55" s="185"/>
      <c r="R55" s="181"/>
      <c r="S55" s="181"/>
      <c r="T55" s="181"/>
      <c r="U55" s="181"/>
      <c r="V55" s="181"/>
      <c r="W55" s="181"/>
      <c r="X55" s="181"/>
      <c r="Y55" s="181"/>
      <c r="Z55" s="303"/>
      <c r="AA55" s="200"/>
      <c r="AB55" s="200"/>
      <c r="AC55" s="200"/>
      <c r="AD55" s="200"/>
      <c r="AE55" s="200"/>
      <c r="AF55" s="200"/>
      <c r="AG55" s="200" t="s">
        <v>863</v>
      </c>
      <c r="AH55" s="220">
        <v>4</v>
      </c>
      <c r="AI55" s="173">
        <f>VLOOKUP(AH55,Chema!R:T,3,FALSE)</f>
        <v>1.4</v>
      </c>
      <c r="AJ55" s="200" t="str">
        <f>VLOOKUP(AH55,Chema!BL:BQ,6,FALSE)</f>
        <v>1.4*</v>
      </c>
      <c r="AK55" s="200" t="str">
        <f>VLOOKUP(AH55,'Matchblatt  FEUILLE DE MATCH'!AI:AJ,2,FALSE)</f>
        <v>S</v>
      </c>
      <c r="AL55" s="200">
        <f>VLOOKUP(AH55,Chema!R:U,4,FALSE)</f>
        <v>5</v>
      </c>
      <c r="AM55" s="215" t="str">
        <f>VLOOKUP(AH55,'Matchblatt  FEUILLE DE MATCH'!AI:AS,10,FALSE)</f>
        <v/>
      </c>
      <c r="AN55" s="215"/>
      <c r="AO55" s="215"/>
      <c r="AP55" s="215"/>
      <c r="AQ55" s="215"/>
      <c r="AR55" s="215"/>
      <c r="AS55" s="215"/>
      <c r="AT55" s="215"/>
      <c r="AU55" s="215"/>
      <c r="AV55" s="215"/>
      <c r="AW55" s="215"/>
      <c r="AX55" s="215"/>
      <c r="AY55" s="215"/>
      <c r="AZ55" s="215"/>
      <c r="BA55" s="215" t="str">
        <f>VLOOKUP(AH55,'Matchblatt  FEUILLE DE MATCH'!AI:AS,11,FALSE)</f>
        <v/>
      </c>
      <c r="BB55" s="200"/>
      <c r="BC55" s="200"/>
      <c r="BD55" s="200"/>
      <c r="BE55" s="200"/>
      <c r="BF55" s="200"/>
      <c r="BG55" s="200"/>
      <c r="BH55" s="200"/>
      <c r="BK55" s="196"/>
      <c r="BL55" s="196"/>
      <c r="BM55" s="196"/>
      <c r="BN55" s="196"/>
      <c r="BO55" s="196"/>
      <c r="BP55" s="196"/>
      <c r="BQ55" s="221" t="s">
        <v>843</v>
      </c>
      <c r="BR55" s="222"/>
      <c r="BS55" s="222"/>
      <c r="BT55" s="223"/>
      <c r="BU55" s="222" t="s">
        <v>843</v>
      </c>
      <c r="BV55" s="222"/>
      <c r="BW55" s="222"/>
      <c r="BX55" s="224"/>
      <c r="BY55" s="222"/>
      <c r="BZ55" s="222"/>
      <c r="CA55" s="222"/>
      <c r="CB55" s="222"/>
      <c r="CC55" s="222"/>
      <c r="CD55" s="222"/>
      <c r="CE55" s="222"/>
      <c r="CF55" s="222"/>
      <c r="CG55" s="224"/>
      <c r="CH55" s="222"/>
      <c r="CI55" s="222"/>
      <c r="CJ55" s="223"/>
      <c r="CK55" s="196"/>
      <c r="CL55" s="196"/>
      <c r="CM55" s="196"/>
      <c r="CN55" s="196"/>
      <c r="CO55" s="196"/>
      <c r="CP55" s="196"/>
      <c r="CQ55" s="196"/>
      <c r="CR55" s="196"/>
      <c r="CS55" s="196"/>
      <c r="CT55" s="196"/>
      <c r="CU55" s="196"/>
      <c r="CV55" s="196"/>
      <c r="CW55" s="196"/>
      <c r="CX55" s="196"/>
      <c r="CY55" s="196"/>
      <c r="CZ55" s="196"/>
      <c r="DA55" s="196"/>
      <c r="DB55" s="196"/>
      <c r="DC55" s="196"/>
      <c r="DD55" s="196"/>
      <c r="DE55" s="196"/>
      <c r="DF55" s="196"/>
      <c r="DG55" s="196"/>
      <c r="DH55" s="196"/>
      <c r="DI55" s="196"/>
      <c r="DJ55" s="196"/>
      <c r="DK55" s="196"/>
      <c r="DL55" s="196"/>
      <c r="DM55" s="196"/>
      <c r="DN55" s="196"/>
      <c r="DO55" s="196"/>
      <c r="DP55" s="196"/>
      <c r="DQ55" s="196"/>
      <c r="DR55" s="196"/>
      <c r="DS55" s="196"/>
      <c r="DT55" s="196"/>
      <c r="DU55" s="196"/>
      <c r="DV55" s="196"/>
      <c r="DW55" s="196"/>
      <c r="DX55" s="196"/>
      <c r="DY55" s="196"/>
      <c r="DZ55" s="196"/>
      <c r="EA55" s="196"/>
      <c r="EB55" s="196"/>
      <c r="EC55" s="196"/>
      <c r="ED55" s="196"/>
      <c r="EE55" s="196"/>
      <c r="EF55" s="196"/>
      <c r="EG55" s="196"/>
      <c r="EH55" s="196"/>
      <c r="EI55" s="196"/>
      <c r="EJ55" s="196"/>
      <c r="EK55" s="196"/>
      <c r="EL55" s="196"/>
      <c r="EM55" s="221" t="s">
        <v>7</v>
      </c>
      <c r="EN55" s="222"/>
      <c r="EO55" s="222"/>
      <c r="EP55" s="222"/>
      <c r="EQ55" s="222"/>
      <c r="ER55" s="222"/>
      <c r="ES55" s="222"/>
      <c r="ET55" s="224"/>
      <c r="EU55" s="222"/>
      <c r="EV55" s="222"/>
      <c r="EW55" s="222"/>
      <c r="EX55" s="222"/>
      <c r="EY55" s="222"/>
      <c r="EZ55" s="222"/>
      <c r="FA55" s="222"/>
      <c r="FB55" s="222"/>
      <c r="FC55" s="222"/>
      <c r="FD55" s="222"/>
      <c r="FE55" s="223"/>
      <c r="FF55" s="196"/>
      <c r="FG55" s="196"/>
      <c r="FH55" s="221" t="s">
        <v>12</v>
      </c>
      <c r="FI55" s="222"/>
      <c r="FJ55" s="222"/>
      <c r="FK55" s="222"/>
      <c r="FL55" s="222"/>
      <c r="FM55" s="222"/>
      <c r="FN55" s="222"/>
      <c r="FO55" s="224"/>
      <c r="FP55" s="222"/>
      <c r="FQ55" s="222"/>
      <c r="FR55" s="222"/>
      <c r="FS55" s="222"/>
      <c r="FT55" s="222"/>
      <c r="FU55" s="222"/>
      <c r="FV55" s="222"/>
      <c r="FW55" s="222"/>
      <c r="FX55" s="222"/>
      <c r="FY55" s="222"/>
      <c r="FZ55" s="223"/>
      <c r="GA55" s="196"/>
      <c r="GD55" s="339"/>
      <c r="GE55" s="339"/>
      <c r="GF55" s="339"/>
      <c r="GG55" s="339"/>
      <c r="GH55" s="339"/>
      <c r="GI55" s="339"/>
      <c r="GJ55" s="339"/>
      <c r="GK55" s="339"/>
      <c r="GL55" s="339"/>
      <c r="GM55" s="339"/>
      <c r="GN55" s="339"/>
      <c r="GO55" s="339"/>
      <c r="GP55" s="339"/>
      <c r="GQ55" s="339"/>
      <c r="GR55" s="339"/>
      <c r="GS55" s="339"/>
      <c r="GT55" s="339"/>
      <c r="GU55" s="339"/>
      <c r="GV55" s="339"/>
      <c r="GW55" s="339"/>
      <c r="GX55" s="339"/>
      <c r="GY55" s="339"/>
      <c r="GZ55" s="339"/>
      <c r="HA55" s="339"/>
      <c r="HB55" s="339"/>
      <c r="HC55" s="339"/>
      <c r="HD55" s="339"/>
      <c r="HE55" s="339"/>
      <c r="HF55" s="339"/>
      <c r="HG55" s="339"/>
      <c r="HH55" s="339"/>
      <c r="HI55" s="339"/>
      <c r="HJ55" s="339"/>
      <c r="HK55" s="339"/>
      <c r="HL55" s="339"/>
      <c r="HM55" s="339"/>
      <c r="HN55" s="339"/>
      <c r="HO55" s="339"/>
      <c r="HP55" s="339"/>
      <c r="HQ55" s="339"/>
      <c r="HR55" s="339"/>
    </row>
    <row r="56" spans="1:238" ht="14.1" customHeight="1">
      <c r="B56" s="225"/>
      <c r="C56" s="304"/>
      <c r="D56" s="304"/>
      <c r="E56" s="304"/>
      <c r="F56" s="304"/>
      <c r="G56" s="304"/>
      <c r="H56" s="304"/>
      <c r="I56" s="304"/>
      <c r="J56" s="304"/>
      <c r="K56" s="166"/>
      <c r="L56" s="166"/>
      <c r="M56" s="166"/>
      <c r="N56" s="304"/>
      <c r="O56" s="304"/>
      <c r="P56" s="166"/>
      <c r="Q56" s="166"/>
      <c r="R56" s="304"/>
      <c r="S56" s="304"/>
      <c r="T56" s="304"/>
      <c r="U56" s="304"/>
      <c r="V56" s="304"/>
      <c r="W56" s="304"/>
      <c r="X56" s="166"/>
      <c r="Y56" s="166"/>
      <c r="Z56" s="305"/>
      <c r="AA56" s="63"/>
      <c r="AB56" s="63"/>
      <c r="AC56" s="63"/>
      <c r="AD56" s="63"/>
      <c r="AE56" s="63"/>
      <c r="AF56" s="63"/>
      <c r="AJ56" s="173" t="str">
        <f>VLOOKUP(AH55,Chema!BL:BR,7,FALSE)</f>
        <v/>
      </c>
      <c r="AL56" s="200"/>
      <c r="AM56" s="200" t="str">
        <f>IF(AK55="D",VLOOKUP(AJ56,'Matchblatt  FEUILLE DE MATCH'!AK:AS,8,FALSE),"")</f>
        <v/>
      </c>
      <c r="AN56" s="200"/>
      <c r="AO56" s="200"/>
      <c r="AP56" s="200"/>
      <c r="AQ56" s="200"/>
      <c r="AR56" s="200"/>
      <c r="AS56" s="200"/>
      <c r="AT56" s="200"/>
      <c r="AU56" s="200"/>
      <c r="AV56" s="200"/>
      <c r="AW56" s="200"/>
      <c r="AX56" s="200"/>
      <c r="AY56" s="200"/>
      <c r="AZ56" s="200"/>
      <c r="BA56" s="200" t="str">
        <f>IF(AK55="D",VLOOKUP(AJ56,'Matchblatt  FEUILLE DE MATCH'!AK:AS,9,FALSE),"")</f>
        <v/>
      </c>
      <c r="BB56" s="63"/>
      <c r="BC56" s="63"/>
      <c r="BD56" s="63"/>
      <c r="BE56" s="63"/>
      <c r="BF56" s="63"/>
      <c r="BG56" s="63"/>
      <c r="BH56" s="63"/>
      <c r="BK56" s="166" t="s">
        <v>7</v>
      </c>
      <c r="BL56" s="166" t="s">
        <v>12</v>
      </c>
      <c r="BM56" s="166"/>
      <c r="BN56" s="166" t="s">
        <v>7</v>
      </c>
      <c r="BO56" s="166" t="s">
        <v>12</v>
      </c>
      <c r="BP56" s="166"/>
      <c r="BQ56" s="226" t="s">
        <v>894</v>
      </c>
      <c r="BR56" s="227" t="s">
        <v>895</v>
      </c>
      <c r="BS56" s="228" t="s">
        <v>896</v>
      </c>
      <c r="BT56" s="229"/>
      <c r="BU56" s="226" t="s">
        <v>7</v>
      </c>
      <c r="BV56" s="166"/>
      <c r="BW56" s="166"/>
      <c r="BX56" s="230"/>
      <c r="BY56" s="166"/>
      <c r="BZ56" s="166"/>
      <c r="CA56" s="227"/>
      <c r="CB56" s="166"/>
      <c r="CC56" s="166"/>
      <c r="CD56" s="226" t="s">
        <v>12</v>
      </c>
      <c r="CE56" s="166"/>
      <c r="CF56" s="166"/>
      <c r="CG56" s="230"/>
      <c r="CH56" s="166"/>
      <c r="CI56" s="166"/>
      <c r="CJ56" s="227"/>
      <c r="CK56" s="166"/>
      <c r="CL56" s="166" t="s">
        <v>897</v>
      </c>
      <c r="CM56" s="166"/>
      <c r="CN56" s="166"/>
      <c r="CO56" s="166"/>
      <c r="CP56" s="166"/>
      <c r="CQ56" s="166"/>
      <c r="CR56" s="166"/>
      <c r="CS56" s="166"/>
      <c r="CT56" s="166"/>
      <c r="CU56" s="166" t="s">
        <v>843</v>
      </c>
      <c r="CV56" s="166"/>
      <c r="CW56" s="166" t="s">
        <v>843</v>
      </c>
      <c r="CX56" s="166"/>
      <c r="CY56" s="166"/>
      <c r="CZ56" s="166"/>
      <c r="DA56" s="166"/>
      <c r="DB56" s="166"/>
      <c r="DC56" s="166"/>
      <c r="DD56" s="166" t="s">
        <v>894</v>
      </c>
      <c r="DE56" s="166" t="s">
        <v>895</v>
      </c>
      <c r="DF56" s="166"/>
      <c r="DG56" s="166" t="s">
        <v>927</v>
      </c>
      <c r="DH56" s="166"/>
      <c r="DI56" s="166"/>
      <c r="DJ56" s="166"/>
      <c r="DK56" s="166"/>
      <c r="DL56" s="166"/>
      <c r="DM56" s="166"/>
      <c r="DN56" s="166" t="s">
        <v>928</v>
      </c>
      <c r="DO56" s="166" t="s">
        <v>929</v>
      </c>
      <c r="DP56" s="166"/>
      <c r="DQ56" s="166"/>
      <c r="DR56" s="166"/>
      <c r="DS56" s="166"/>
      <c r="DT56" s="166"/>
      <c r="DU56" s="166"/>
      <c r="DV56" s="166" t="s">
        <v>894</v>
      </c>
      <c r="DW56" s="166" t="s">
        <v>895</v>
      </c>
      <c r="DX56" s="166"/>
      <c r="DY56" s="166"/>
      <c r="DZ56" s="166"/>
      <c r="EA56" s="166"/>
      <c r="EB56" s="166"/>
      <c r="EC56" s="166"/>
      <c r="ED56" s="166" t="s">
        <v>894</v>
      </c>
      <c r="EE56" s="166" t="s">
        <v>895</v>
      </c>
      <c r="EF56" s="166"/>
      <c r="EG56" s="166"/>
      <c r="EH56" s="166"/>
      <c r="EI56" s="166"/>
      <c r="EJ56" s="166"/>
      <c r="EK56" s="166"/>
      <c r="EL56" s="166"/>
      <c r="EM56" s="166"/>
      <c r="EN56" s="166"/>
      <c r="EO56" s="166"/>
      <c r="EP56" s="166"/>
      <c r="EQ56" s="166"/>
      <c r="ER56" s="166"/>
      <c r="ES56" s="166"/>
      <c r="ET56" s="230"/>
      <c r="EU56" s="166"/>
      <c r="EV56" s="166"/>
      <c r="EW56" s="166"/>
      <c r="EX56" s="166"/>
      <c r="EY56" s="166"/>
      <c r="EZ56" s="166"/>
      <c r="FA56" s="166"/>
      <c r="FB56" s="166"/>
      <c r="FC56" s="166"/>
      <c r="FD56" s="166"/>
      <c r="FE56" s="166"/>
      <c r="FF56" s="166"/>
      <c r="FG56" s="166"/>
      <c r="FH56" s="166"/>
      <c r="FI56" s="166"/>
      <c r="FJ56" s="166"/>
      <c r="FK56" s="166"/>
      <c r="FL56" s="166"/>
      <c r="FM56" s="166"/>
      <c r="FN56" s="166"/>
      <c r="FO56" s="230"/>
      <c r="FP56" s="166"/>
      <c r="FQ56" s="166"/>
      <c r="FR56" s="166"/>
      <c r="FS56" s="166"/>
      <c r="FT56" s="166"/>
      <c r="FU56" s="166"/>
      <c r="FV56" s="166"/>
      <c r="FW56" s="166"/>
      <c r="FX56" s="166"/>
      <c r="FY56" s="166"/>
      <c r="FZ56" s="166"/>
      <c r="GA56" s="166"/>
      <c r="GD56" s="339"/>
      <c r="GE56" s="339"/>
      <c r="GF56" s="339"/>
      <c r="GG56" s="339"/>
      <c r="GH56" s="339"/>
      <c r="GI56" s="339"/>
      <c r="GJ56" s="339"/>
      <c r="GK56" s="339"/>
      <c r="GL56" s="339"/>
      <c r="GM56" s="339"/>
      <c r="GN56" s="339"/>
      <c r="GO56" s="339"/>
      <c r="GP56" s="339"/>
      <c r="GQ56" s="339"/>
      <c r="GR56" s="339"/>
      <c r="GS56" s="339"/>
      <c r="GT56" s="339"/>
      <c r="GU56" s="339"/>
      <c r="GV56" s="339"/>
      <c r="GW56" s="339"/>
      <c r="GX56" s="339"/>
      <c r="GY56" s="339"/>
      <c r="GZ56" s="339"/>
      <c r="HA56" s="339"/>
      <c r="HB56" s="339"/>
      <c r="HC56" s="339"/>
      <c r="HD56" s="339"/>
      <c r="HE56" s="339"/>
      <c r="HF56" s="339"/>
      <c r="HG56" s="339"/>
      <c r="HH56" s="339"/>
      <c r="HI56" s="339"/>
      <c r="HJ56" s="339"/>
      <c r="HK56" s="339"/>
      <c r="HL56" s="339"/>
      <c r="HM56" s="339"/>
      <c r="HN56" s="339"/>
      <c r="HO56" s="339"/>
      <c r="HP56" s="339"/>
      <c r="HQ56" s="339"/>
      <c r="HR56" s="339"/>
    </row>
    <row r="57" spans="1:238" s="234" customFormat="1" ht="20.100000000000001" customHeight="1">
      <c r="A57" s="235"/>
      <c r="B57" s="231"/>
      <c r="C57" s="232" t="str">
        <f>REPT(Sprache!$K$12,1)</f>
        <v>SPIEL</v>
      </c>
      <c r="D57" s="233" t="s">
        <v>869</v>
      </c>
      <c r="E57" s="233" t="str">
        <f>REPT(Sprache!$K$62,1)</f>
        <v>Punkte</v>
      </c>
      <c r="F57" s="233" t="str">
        <f>REPT(Sprache!$K$61,1)</f>
        <v>Rest</v>
      </c>
      <c r="G57" s="233" t="s">
        <v>898</v>
      </c>
      <c r="H57" s="233" t="s">
        <v>848</v>
      </c>
      <c r="I57" s="233">
        <v>180</v>
      </c>
      <c r="J57" s="233" t="str">
        <f>REPT(Sprache!$K$63,1)</f>
        <v>Fehler</v>
      </c>
      <c r="L57" s="306" t="s">
        <v>923</v>
      </c>
      <c r="M57" s="307"/>
      <c r="P57" s="306" t="s">
        <v>923</v>
      </c>
      <c r="R57" s="232" t="str">
        <f>REPT(Sprache!$K$12,1)</f>
        <v>SPIEL</v>
      </c>
      <c r="S57" s="233" t="s">
        <v>869</v>
      </c>
      <c r="T57" s="233" t="str">
        <f>REPT(Sprache!$K$62,1)</f>
        <v>Punkte</v>
      </c>
      <c r="U57" s="233" t="str">
        <f>REPT(Sprache!$K$61,1)</f>
        <v>Rest</v>
      </c>
      <c r="V57" s="233" t="s">
        <v>898</v>
      </c>
      <c r="W57" s="233" t="s">
        <v>848</v>
      </c>
      <c r="X57" s="233">
        <v>180</v>
      </c>
      <c r="Y57" s="233" t="str">
        <f>REPT(Sprache!$K$63,1)</f>
        <v>Fehler</v>
      </c>
      <c r="Z57" s="308"/>
      <c r="AD57" s="235"/>
      <c r="AE57" s="236" t="s">
        <v>966</v>
      </c>
      <c r="AF57" s="236" t="s">
        <v>967</v>
      </c>
      <c r="AG57" s="236" t="s">
        <v>965</v>
      </c>
      <c r="AH57" s="237" t="str">
        <f>LEFT($BM$6,10)</f>
        <v/>
      </c>
      <c r="AI57" s="237" t="str">
        <f>LEFT($BN$6,10)</f>
        <v/>
      </c>
      <c r="AJ57" s="237" t="s">
        <v>898</v>
      </c>
      <c r="AK57" s="237" t="s">
        <v>848</v>
      </c>
      <c r="AL57" s="237">
        <v>180</v>
      </c>
      <c r="AM57" s="237" t="str">
        <f>LEFT($BL$6,50)</f>
        <v/>
      </c>
      <c r="AN57" s="235"/>
      <c r="AO57" s="235"/>
      <c r="AP57" s="235"/>
      <c r="AQ57" s="235"/>
      <c r="AR57" s="235"/>
      <c r="AS57" s="235"/>
      <c r="AT57" s="235"/>
      <c r="AU57" s="235"/>
      <c r="AV57" s="237" t="str">
        <f>LEFT($BM$6,10)</f>
        <v/>
      </c>
      <c r="AW57" s="237" t="str">
        <f>LEFT($BN$6,10)</f>
        <v/>
      </c>
      <c r="AX57" s="237" t="s">
        <v>898</v>
      </c>
      <c r="AY57" s="237" t="s">
        <v>848</v>
      </c>
      <c r="AZ57" s="237">
        <v>180</v>
      </c>
      <c r="BA57" s="237" t="str">
        <f>LEFT($BL$6,50)</f>
        <v/>
      </c>
      <c r="BI57" s="238"/>
      <c r="BJ57" s="238"/>
      <c r="BK57" s="238" t="s">
        <v>165</v>
      </c>
      <c r="BL57" s="238" t="s">
        <v>165</v>
      </c>
      <c r="BM57" s="239" t="s">
        <v>165</v>
      </c>
      <c r="BN57" s="239" t="s">
        <v>899</v>
      </c>
      <c r="BO57" s="239" t="s">
        <v>899</v>
      </c>
      <c r="BP57" s="239" t="s">
        <v>900</v>
      </c>
      <c r="BQ57" s="240" t="s">
        <v>901</v>
      </c>
      <c r="BR57" s="241"/>
      <c r="BS57" s="242" t="s">
        <v>926</v>
      </c>
      <c r="BT57" s="243"/>
      <c r="BU57" s="242" t="s">
        <v>902</v>
      </c>
      <c r="BV57" s="238"/>
      <c r="BW57" s="238"/>
      <c r="BX57" s="244"/>
      <c r="BY57" s="238"/>
      <c r="BZ57" s="238" t="s">
        <v>903</v>
      </c>
      <c r="CA57" s="243" t="s">
        <v>904</v>
      </c>
      <c r="CB57" s="238"/>
      <c r="CC57" s="238"/>
      <c r="CD57" s="242" t="s">
        <v>902</v>
      </c>
      <c r="CE57" s="238"/>
      <c r="CF57" s="238"/>
      <c r="CG57" s="244"/>
      <c r="CH57" s="238"/>
      <c r="CI57" s="238" t="s">
        <v>903</v>
      </c>
      <c r="CJ57" s="243" t="s">
        <v>904</v>
      </c>
      <c r="CK57" s="238"/>
      <c r="CL57" s="245" t="s">
        <v>905</v>
      </c>
      <c r="CM57" s="245" t="s">
        <v>906</v>
      </c>
      <c r="CN57" s="245" t="s">
        <v>907</v>
      </c>
      <c r="CO57" s="245" t="s">
        <v>908</v>
      </c>
      <c r="CP57" s="245" t="s">
        <v>909</v>
      </c>
      <c r="CQ57" s="246" t="s">
        <v>910</v>
      </c>
      <c r="CR57" s="247"/>
      <c r="CS57" s="246" t="s">
        <v>911</v>
      </c>
      <c r="CT57" s="248"/>
      <c r="CU57" s="246" t="s">
        <v>912</v>
      </c>
      <c r="CV57" s="248"/>
      <c r="CW57" s="246" t="s">
        <v>913</v>
      </c>
      <c r="CX57" s="248"/>
      <c r="CY57" s="238" t="s">
        <v>1143</v>
      </c>
      <c r="CZ57" s="238"/>
      <c r="DA57" s="238"/>
      <c r="DB57" s="238"/>
      <c r="DC57" s="249" t="s">
        <v>165</v>
      </c>
      <c r="DD57" s="249" t="s">
        <v>165</v>
      </c>
      <c r="DE57" s="249" t="s">
        <v>165</v>
      </c>
      <c r="DF57" s="238"/>
      <c r="DG57" s="238" t="s">
        <v>914</v>
      </c>
      <c r="DH57" s="238" t="s">
        <v>930</v>
      </c>
      <c r="DI57" s="238" t="s">
        <v>931</v>
      </c>
      <c r="DK57" s="238" t="s">
        <v>932</v>
      </c>
      <c r="DL57" s="238" t="s">
        <v>933</v>
      </c>
      <c r="DM57" s="238" t="s">
        <v>869</v>
      </c>
      <c r="DN57" s="230" t="s">
        <v>915</v>
      </c>
      <c r="DO57" s="250" t="s">
        <v>915</v>
      </c>
      <c r="DP57" s="322" t="s">
        <v>934</v>
      </c>
      <c r="DQ57" s="238"/>
      <c r="DR57" s="166" t="s">
        <v>894</v>
      </c>
      <c r="DS57" s="166" t="s">
        <v>895</v>
      </c>
      <c r="DT57" s="166" t="s">
        <v>935</v>
      </c>
      <c r="DU57" s="166" t="s">
        <v>936</v>
      </c>
      <c r="DV57" s="251" t="s">
        <v>165</v>
      </c>
      <c r="DW57" s="251" t="s">
        <v>165</v>
      </c>
      <c r="DX57" s="238" t="s">
        <v>916</v>
      </c>
      <c r="DY57" s="238"/>
      <c r="DZ57" s="238"/>
      <c r="EA57" s="238"/>
      <c r="EB57" s="238"/>
      <c r="EC57" s="238"/>
      <c r="ED57" s="251" t="s">
        <v>165</v>
      </c>
      <c r="EE57" s="251" t="s">
        <v>165</v>
      </c>
      <c r="EF57" s="166"/>
      <c r="EG57" s="238"/>
      <c r="EH57" s="238"/>
      <c r="EI57" s="238"/>
      <c r="EJ57" s="238"/>
      <c r="EK57" s="238"/>
      <c r="EL57" s="238"/>
      <c r="EM57" s="238"/>
      <c r="EN57" s="238"/>
      <c r="EO57" s="246" t="s">
        <v>917</v>
      </c>
      <c r="EP57" s="247"/>
      <c r="EQ57" s="247"/>
      <c r="ER57" s="247"/>
      <c r="ES57" s="247"/>
      <c r="ET57" s="252"/>
      <c r="EU57" s="248"/>
      <c r="EV57" s="246" t="s">
        <v>918</v>
      </c>
      <c r="EW57" s="247"/>
      <c r="EX57" s="248"/>
      <c r="EY57" s="251" t="s">
        <v>165</v>
      </c>
      <c r="EZ57" s="246" t="s">
        <v>919</v>
      </c>
      <c r="FA57" s="247"/>
      <c r="FB57" s="248"/>
      <c r="FC57" s="246" t="s">
        <v>920</v>
      </c>
      <c r="FD57" s="247"/>
      <c r="FE57" s="248"/>
      <c r="FF57" s="238"/>
      <c r="FG57" s="238"/>
      <c r="FH57" s="238"/>
      <c r="FI57" s="238"/>
      <c r="FJ57" s="246" t="s">
        <v>917</v>
      </c>
      <c r="FK57" s="247"/>
      <c r="FL57" s="247"/>
      <c r="FM57" s="247"/>
      <c r="FN57" s="247"/>
      <c r="FO57" s="252"/>
      <c r="FP57" s="248"/>
      <c r="FQ57" s="246" t="s">
        <v>918</v>
      </c>
      <c r="FR57" s="247"/>
      <c r="FS57" s="248"/>
      <c r="FT57" s="251" t="s">
        <v>165</v>
      </c>
      <c r="FU57" s="246" t="s">
        <v>919</v>
      </c>
      <c r="FV57" s="247"/>
      <c r="FW57" s="248"/>
      <c r="FX57" s="246" t="s">
        <v>920</v>
      </c>
      <c r="FY57" s="247"/>
      <c r="FZ57" s="248"/>
      <c r="GD57" s="340"/>
      <c r="GE57" s="340"/>
      <c r="GF57" s="341" t="s">
        <v>968</v>
      </c>
      <c r="GG57" s="340"/>
      <c r="GH57" s="340"/>
      <c r="GI57" s="340"/>
      <c r="GJ57" s="341" t="s">
        <v>972</v>
      </c>
      <c r="GK57" s="340"/>
      <c r="GL57" s="340"/>
      <c r="GM57" s="340"/>
      <c r="GN57" s="341" t="s">
        <v>971</v>
      </c>
      <c r="GO57" s="340"/>
      <c r="GP57" s="340"/>
      <c r="GQ57" s="340"/>
      <c r="GR57" s="341" t="s">
        <v>970</v>
      </c>
      <c r="GS57" s="340"/>
      <c r="GT57" s="340"/>
      <c r="GU57" s="340"/>
      <c r="GV57" s="341" t="s">
        <v>969</v>
      </c>
      <c r="GW57" s="340"/>
      <c r="GX57" s="340"/>
      <c r="GY57" s="340"/>
      <c r="GZ57" s="342" t="s">
        <v>973</v>
      </c>
      <c r="HA57" s="340"/>
      <c r="HB57" s="340"/>
      <c r="HC57" s="340"/>
      <c r="HD57" s="342" t="s">
        <v>974</v>
      </c>
      <c r="HE57" s="340"/>
      <c r="HF57" s="340"/>
      <c r="HG57" s="340"/>
      <c r="HH57" s="340"/>
      <c r="HI57" s="340"/>
      <c r="HJ57" s="340"/>
      <c r="HK57" s="340"/>
      <c r="HL57" s="340"/>
      <c r="HM57" s="341"/>
      <c r="HN57" s="341"/>
      <c r="HO57" s="341"/>
      <c r="HP57" s="341"/>
      <c r="HQ57" s="341"/>
      <c r="HR57" s="341"/>
      <c r="HS57" s="238"/>
      <c r="HT57" s="238"/>
      <c r="HU57" s="238"/>
      <c r="HV57" s="238"/>
      <c r="HX57" s="238"/>
      <c r="HY57" s="238"/>
      <c r="HZ57" s="238"/>
      <c r="ID57" s="238"/>
    </row>
    <row r="58" spans="1:238" s="234" customFormat="1" ht="20.100000000000001" customHeight="1">
      <c r="A58" s="235"/>
      <c r="B58" s="231">
        <f>COUNT(AJ59,AJ58)</f>
        <v>0</v>
      </c>
      <c r="C58" s="325" t="str">
        <f>CONCATENATE(BG58,BE58)</f>
        <v>HS</v>
      </c>
      <c r="D58" s="253" t="str">
        <f>REPT(DN58,1)</f>
        <v>1</v>
      </c>
      <c r="E58" s="254" t="str">
        <f>REPT(AH58,1)</f>
        <v/>
      </c>
      <c r="F58" s="168"/>
      <c r="G58" s="168"/>
      <c r="H58" s="168"/>
      <c r="I58" s="169"/>
      <c r="J58" s="255" t="str">
        <f>REPT(AM58,1)</f>
        <v/>
      </c>
      <c r="L58" s="309">
        <f>SUM(BS67)</f>
        <v>0</v>
      </c>
      <c r="M58" s="238"/>
      <c r="N58" s="255" t="str">
        <f>REPT(AP58,1)</f>
        <v/>
      </c>
      <c r="P58" s="309">
        <f>SUM(CF67)</f>
        <v>0</v>
      </c>
      <c r="Q58" s="310"/>
      <c r="R58" s="323" t="str">
        <f>CONCATENATE(BH58,BE58)</f>
        <v>GS</v>
      </c>
      <c r="S58" s="253" t="str">
        <f>REPT(DO58,1)</f>
        <v>1</v>
      </c>
      <c r="T58" s="254" t="str">
        <f>REPT(AV58,1)</f>
        <v/>
      </c>
      <c r="U58" s="168"/>
      <c r="V58" s="168"/>
      <c r="W58" s="168"/>
      <c r="X58" s="169"/>
      <c r="Y58" s="255" t="str">
        <f>REPT(BA58,1)</f>
        <v/>
      </c>
      <c r="Z58" s="308"/>
      <c r="AB58" s="234">
        <f>IF(AY58="",0,IF(AY58&lt;2,1,""))</f>
        <v>0</v>
      </c>
      <c r="AC58" s="238">
        <f>IF(AD58=1,1,IF(AD58=3,1,IF(AD58=2,0,IF(AD58=0,0,0))))</f>
        <v>0</v>
      </c>
      <c r="AD58" s="256">
        <f>SUM(AE58:AG58)</f>
        <v>0</v>
      </c>
      <c r="AE58" s="256">
        <f t="shared" ref="AE58:AE62" si="104">IF(F58="",0,1)</f>
        <v>0</v>
      </c>
      <c r="AF58" s="256">
        <f t="shared" ref="AF58:AF62" si="105">IF(G58="",0,1)</f>
        <v>0</v>
      </c>
      <c r="AG58" s="256">
        <f>IF(H58="",0,1)</f>
        <v>0</v>
      </c>
      <c r="AH58" s="257" t="str">
        <f>IF(AK58="",IF(AI58="","",IF(AI58="",501,501-AI58)),501)</f>
        <v/>
      </c>
      <c r="AI58" s="256" t="str">
        <f>IF(F58&gt;1,F58,IF(F58=0,"",IF(F58="","","")))</f>
        <v/>
      </c>
      <c r="AJ58" s="256" t="str">
        <f>IF(G58&gt;8,G58,IF(G58="","",""))</f>
        <v/>
      </c>
      <c r="AK58" s="256" t="str">
        <f>IF(H58&gt;1,H58,IF(H58="","",""))</f>
        <v/>
      </c>
      <c r="AL58" s="256" t="str">
        <f>IF(I58&gt;0,I58,IF(I58="","",""))</f>
        <v/>
      </c>
      <c r="AM58" s="258" t="str">
        <f>IF(BK58=0,"","X")</f>
        <v/>
      </c>
      <c r="AN58" s="237"/>
      <c r="AO58" s="237"/>
      <c r="AP58" s="258" t="str">
        <f>IF(BM58=0,"","X")</f>
        <v/>
      </c>
      <c r="AQ58" s="236">
        <f>IF(AR58=1,1,IF(AR58=3,1,IF(AR58=2,0,IF(AR58=0,0,0))))</f>
        <v>0</v>
      </c>
      <c r="AR58" s="256">
        <f>SUM(AS58:AU58)</f>
        <v>0</v>
      </c>
      <c r="AS58" s="256">
        <f t="shared" ref="AS58:AS62" si="106">IF(U58="",0,1)</f>
        <v>0</v>
      </c>
      <c r="AT58" s="256">
        <f t="shared" ref="AT58:AT62" si="107">IF(V58="",0,1)</f>
        <v>0</v>
      </c>
      <c r="AU58" s="256">
        <f>IF(W58="",0,1)</f>
        <v>0</v>
      </c>
      <c r="AV58" s="257" t="str">
        <f>IF(AY58="",IF(AW58="","",IF(AW58="",501,501-AW58)),501)</f>
        <v/>
      </c>
      <c r="AW58" s="256" t="str">
        <f>IF(U58&gt;1,U58,IF(U58=0,"",IF(U58="","","")))</f>
        <v/>
      </c>
      <c r="AX58" s="256" t="str">
        <f>IF(V58&gt;8,V58,IF(V58="","",""))</f>
        <v/>
      </c>
      <c r="AY58" s="256" t="str">
        <f>IF(W58&gt;1,W58,IF(W58="","",""))</f>
        <v/>
      </c>
      <c r="AZ58" s="256" t="str">
        <f>IF(X58&gt;0,X58,IF(X58="","",""))</f>
        <v/>
      </c>
      <c r="BA58" s="258" t="str">
        <f>IF(BL58=0,"","X")</f>
        <v/>
      </c>
      <c r="BF58" s="238" t="s">
        <v>894</v>
      </c>
      <c r="BG58" s="238" t="str">
        <f>CONCATENATE(BF58,AK55)</f>
        <v>HS</v>
      </c>
      <c r="BH58" s="238" t="str">
        <f>CONCATENATE(BI58,AK55)</f>
        <v>GS</v>
      </c>
      <c r="BI58" s="238" t="s">
        <v>895</v>
      </c>
      <c r="BJ58" s="238"/>
      <c r="BK58" s="251">
        <f>SUM(DD58,DV58,EY58,ED58,FF58,BQ58,BS58,AC58)</f>
        <v>0</v>
      </c>
      <c r="BL58" s="251">
        <f>SUM(DE58,DW58,EE58,FT58,GA58,BR58,BT58,AQ58)</f>
        <v>0</v>
      </c>
      <c r="BM58" s="259">
        <f>SUM(DC58,BK58:BL58,AC58,AQ58)</f>
        <v>0</v>
      </c>
      <c r="BN58" s="239">
        <f>COUNT(AK58)</f>
        <v>0</v>
      </c>
      <c r="BO58" s="239">
        <f>COUNT(AY58)</f>
        <v>0</v>
      </c>
      <c r="BP58" s="239">
        <f>IF(BN60=0,0,1)</f>
        <v>0</v>
      </c>
      <c r="BQ58" s="260">
        <f>IF(AL58="",0,IF(AL58&gt;2,1,0))</f>
        <v>0</v>
      </c>
      <c r="BR58" s="261">
        <f>IF(AZ58="",0,IF(AZ58&gt;2,1,0))</f>
        <v>0</v>
      </c>
      <c r="BS58" s="262">
        <f>IF(AJ58=9,IF(AK58&lt;141,1,0),0)</f>
        <v>0</v>
      </c>
      <c r="BT58" s="263">
        <f>IF(AX58=9,IF(AY58&lt;141,1,0),0)</f>
        <v>0</v>
      </c>
      <c r="BU58" s="242">
        <f>IF(H58,G58,0)</f>
        <v>0</v>
      </c>
      <c r="BV58" s="238">
        <f>IF(BU58&gt;0,AJ58/3,0)</f>
        <v>0</v>
      </c>
      <c r="BW58" s="238">
        <f>ROUNDUP(BV58,0)</f>
        <v>0</v>
      </c>
      <c r="BX58" s="244">
        <f>IF(MOD(BW58,2)=0,BW58,BW58+1)</f>
        <v>0</v>
      </c>
      <c r="BY58" s="238">
        <f>IF(AJ58&lt;9,"",SUM(BX58-BW58))</f>
        <v>0</v>
      </c>
      <c r="BZ58" s="238">
        <f>IF(BY58=1,AK58,0)</f>
        <v>0</v>
      </c>
      <c r="CA58" s="243" t="str">
        <f>IF(BY58=0,AK58,0)</f>
        <v/>
      </c>
      <c r="CB58" s="238"/>
      <c r="CC58" s="238"/>
      <c r="CD58" s="242">
        <f>IF(W58,V58,0)</f>
        <v>0</v>
      </c>
      <c r="CE58" s="238">
        <f>IF(CD58&gt;0,AX58/3,0)</f>
        <v>0</v>
      </c>
      <c r="CF58" s="238">
        <f>ROUNDUP(CE58,0)</f>
        <v>0</v>
      </c>
      <c r="CG58" s="244">
        <f>IF(MOD(CF58,2)=0,CF58,CF58+1)</f>
        <v>0</v>
      </c>
      <c r="CH58" s="238">
        <f>IF(AX58&lt;9,"",SUM(CG58-CF58))</f>
        <v>0</v>
      </c>
      <c r="CI58" s="238">
        <f>IF(CH58=1,AY58,0)</f>
        <v>0</v>
      </c>
      <c r="CJ58" s="243" t="str">
        <f>IF(CH58=0,AY58,0)</f>
        <v/>
      </c>
      <c r="CK58" s="238"/>
      <c r="CL58" s="245">
        <f>IF(COUNT(F58,H58)=1,0,1)</f>
        <v>1</v>
      </c>
      <c r="CM58" s="245">
        <f>IF(COUNT(F58,U58)=1,0,1)</f>
        <v>1</v>
      </c>
      <c r="CN58" s="245">
        <f>IF(COUNT(H58,W58)=1,0,1)</f>
        <v>1</v>
      </c>
      <c r="CO58" s="245">
        <f>IF(COUNT(G58,V58)=2,0,1)</f>
        <v>1</v>
      </c>
      <c r="CP58" s="245">
        <f>IF(COUNT(U58,W58)=1,0,1)</f>
        <v>1</v>
      </c>
      <c r="CQ58" s="245">
        <f>IF(SUM(G58-V58)&gt;3,1,0)</f>
        <v>0</v>
      </c>
      <c r="CR58" s="245">
        <f>IF(SUM(G58-V58)&lt;-3,1,0)</f>
        <v>0</v>
      </c>
      <c r="CS58" s="264">
        <f>IF(AJ58=9,IF(AH58&lt;141,1,0),IF(AH58="",0,IF(AH58&gt;1,0,1)))</f>
        <v>0</v>
      </c>
      <c r="CT58" s="264">
        <f>IF(AX58=9,IF(AV58&lt;141,1,0),IF(AV58="",0,IF(AV58&gt;1,0,1)))</f>
        <v>0</v>
      </c>
      <c r="CU58" s="264">
        <f>IF(AI58="",0,IF(AI58&lt;502,0,1))</f>
        <v>0</v>
      </c>
      <c r="CV58" s="264">
        <f>IF(AW58="",0,IF(AW58&lt;502,0,1))</f>
        <v>0</v>
      </c>
      <c r="CW58" s="264">
        <f>IF(AI58="",IF(AJ58&lt;9,1,0),IF(AJ58&lt;9,1,0))</f>
        <v>0</v>
      </c>
      <c r="CX58" s="264">
        <f>IF(AW58="",IF(AX58&lt;9,1,0),IF(AX58&lt;9,1,0))</f>
        <v>0</v>
      </c>
      <c r="CY58" s="374"/>
      <c r="CZ58" s="374"/>
      <c r="DA58" s="374"/>
      <c r="DB58" s="374"/>
      <c r="DC58" s="265">
        <f>IF(AJ58="",0,SUM(CL58:CX58))</f>
        <v>0</v>
      </c>
      <c r="DD58" s="265">
        <f>IF(AJ58="",0,SUM(CL58,CS58,CU58,CW58))</f>
        <v>0</v>
      </c>
      <c r="DE58" s="265">
        <f>IF(AJ58="",0,SUM(CP58,CT58,CV58,CX58))</f>
        <v>0</v>
      </c>
      <c r="DF58" s="238"/>
      <c r="DG58" s="248" t="str">
        <f>IF(G58="","",SUM(G58-V58))</f>
        <v/>
      </c>
      <c r="DH58" s="245">
        <f>IF(F58="",0,1)</f>
        <v>0</v>
      </c>
      <c r="DI58" s="245" t="str">
        <f>IF(DG58=0,DH58,DG58)</f>
        <v/>
      </c>
      <c r="DJ58" s="245" t="e">
        <f>SIGN(DI58)</f>
        <v>#VALUE!</v>
      </c>
      <c r="DK58" s="245" t="str">
        <f>IF(G58="","",IF(DJ58=1,"*",""))</f>
        <v/>
      </c>
      <c r="DL58" s="245" t="str">
        <f>IF(G58="","",IF(DJ58=-1,"*",IF(DJ58=0,"*","")))</f>
        <v/>
      </c>
      <c r="DM58" s="245">
        <v>1</v>
      </c>
      <c r="DN58" s="245" t="str">
        <f>CONCATENATE(DM58,DK58)</f>
        <v>1</v>
      </c>
      <c r="DO58" s="245" t="str">
        <f>CONCATENATE(DM58,DL58)</f>
        <v>1</v>
      </c>
      <c r="DP58" s="245">
        <f>IF(DK58="*",1,0)</f>
        <v>0</v>
      </c>
      <c r="DQ58" s="245">
        <f>IF(DL58="*",1,0)</f>
        <v>0</v>
      </c>
      <c r="DR58" s="245"/>
      <c r="DS58" s="245"/>
      <c r="DT58" s="245"/>
      <c r="DU58" s="245"/>
      <c r="DV58" s="266"/>
      <c r="DW58" s="266"/>
      <c r="DX58" s="238">
        <f>IF(AK58="",0,1)</f>
        <v>0</v>
      </c>
      <c r="DY58" s="238">
        <f>IF(DG58=-3,1,0)</f>
        <v>0</v>
      </c>
      <c r="DZ58" s="238">
        <f>SUM(DX58:DY58)</f>
        <v>0</v>
      </c>
      <c r="EA58" s="238">
        <f>IF(AK58="",1,0)</f>
        <v>1</v>
      </c>
      <c r="EB58" s="238">
        <f>IF(DG58=3,1,0)</f>
        <v>0</v>
      </c>
      <c r="EC58" s="238">
        <f>SUM(EA58:EB58)</f>
        <v>1</v>
      </c>
      <c r="ED58" s="267">
        <f>IF(EC58=2,1,0)</f>
        <v>0</v>
      </c>
      <c r="EE58" s="267">
        <f>IF(DZ58=2,1,0)</f>
        <v>0</v>
      </c>
      <c r="EG58" s="166"/>
      <c r="EH58" s="238"/>
      <c r="EI58" s="238"/>
      <c r="EJ58" s="238"/>
      <c r="EK58" s="238"/>
      <c r="EL58" s="238"/>
      <c r="EM58" s="245">
        <f>IF(AK58="",0,1)</f>
        <v>0</v>
      </c>
      <c r="EN58" s="245">
        <f>SUM(AK58)</f>
        <v>0</v>
      </c>
      <c r="EO58" s="268">
        <f>SUM(AJ58)</f>
        <v>0</v>
      </c>
      <c r="EP58" s="268">
        <f>SUM(G58/3)</f>
        <v>0</v>
      </c>
      <c r="EQ58" s="268" t="e">
        <f>SUM(EO58/EP58)</f>
        <v>#DIV/0!</v>
      </c>
      <c r="ER58" s="268">
        <f>ROUNDDOWN(EP58,0)</f>
        <v>0</v>
      </c>
      <c r="ES58" s="268">
        <f>SUM(EO58,-ER58*3)</f>
        <v>0</v>
      </c>
      <c r="ET58" s="269" t="b">
        <f>MOD(EN58/1,2)=0</f>
        <v>1</v>
      </c>
      <c r="EU58" s="245">
        <f>IF(ET58=FALSE,1,0)</f>
        <v>0</v>
      </c>
      <c r="EV58" s="245">
        <f>IF(EN58=50,0,IF(EN58&lt;40,1,0))</f>
        <v>1</v>
      </c>
      <c r="EW58" s="245">
        <f>SUM(EU58:EV58)</f>
        <v>1</v>
      </c>
      <c r="EX58" s="267">
        <f>IF(EN58=1,1,IF(EN58=50,0,IF(ES58=1,IF(EN58&gt;40,1,0),0)))</f>
        <v>0</v>
      </c>
      <c r="EY58" s="267">
        <f>IF(ES58=1,IF(EW58=2,1,0),0)+EX58+FB58+FE58</f>
        <v>0</v>
      </c>
      <c r="EZ58" s="245">
        <f>IF(EN58=109,1,IF(EN58=108,1,IF(EN58=106,1,IF(EN58=105,1,IF(EN58=103,1,IF(EN58=102,1,IF(EN58=99,1,0)))))))</f>
        <v>0</v>
      </c>
      <c r="FA58" s="245">
        <f>IF(EN58&gt;110,1,0)</f>
        <v>0</v>
      </c>
      <c r="FB58" s="267">
        <f>IF(ES58=2,SUM(EZ58:FA58),0)</f>
        <v>0</v>
      </c>
      <c r="FC58" s="245">
        <f>IF(EN58=159,1,IF(EN58=162,1,IF(EN58=163,1,IF(EN58=165,1,IF(EN58=166,1,IF(EN58=168,1,IF(EN58=169,1,0)))))))</f>
        <v>0</v>
      </c>
      <c r="FD58" s="245">
        <f>IF(EN58&gt;170,1,0)</f>
        <v>0</v>
      </c>
      <c r="FE58" s="267">
        <f>IF(ES58=0,SUM(FC58:FD58),0)</f>
        <v>0</v>
      </c>
      <c r="FF58" s="251">
        <f>IF(AJ58="",0,IF(AI58="",0,IF(EO58/ER58-3=0,0,1)))</f>
        <v>0</v>
      </c>
      <c r="FG58" s="238"/>
      <c r="FH58" s="245">
        <f>IF(AY58="",0,1)</f>
        <v>0</v>
      </c>
      <c r="FI58" s="245">
        <f>SUM(AY58)</f>
        <v>0</v>
      </c>
      <c r="FJ58" s="268">
        <f>SUM(AX58)</f>
        <v>0</v>
      </c>
      <c r="FK58" s="268">
        <f>SUM(V58/3)</f>
        <v>0</v>
      </c>
      <c r="FL58" s="268" t="e">
        <f>SUM(FJ58/FK58)</f>
        <v>#DIV/0!</v>
      </c>
      <c r="FM58" s="268">
        <f>ROUNDDOWN(FK58,0)</f>
        <v>0</v>
      </c>
      <c r="FN58" s="268">
        <f>SUM(FJ58,-FM58*3)</f>
        <v>0</v>
      </c>
      <c r="FO58" s="269" t="b">
        <f>MOD(FI58/1,2)=0</f>
        <v>1</v>
      </c>
      <c r="FP58" s="245">
        <f>IF(FO58=FALSE,1,0)</f>
        <v>0</v>
      </c>
      <c r="FQ58" s="245">
        <f>IF(FI58=50,0,IF(FI58&lt;40,1,0))</f>
        <v>1</v>
      </c>
      <c r="FR58" s="245">
        <f>SUM(FP58:FQ58)</f>
        <v>1</v>
      </c>
      <c r="FS58" s="267">
        <f>IF(FI58=1,1,IF(FI58=50,0,IF(FN58=1,IF(FI58&gt;40,1,0),0)))</f>
        <v>0</v>
      </c>
      <c r="FT58" s="267">
        <f>IF(FN58=1,IF(FR58=2,1,0),0)+FS58+FW58+FZ58</f>
        <v>0</v>
      </c>
      <c r="FU58" s="245">
        <f>IF(FI58=109,1,IF(FI58=108,1,IF(FI58=106,1,IF(FI58=105,1,IF(FI58=103,1,IF(FI58=102,1,IF(FI58=99,1,0)))))))</f>
        <v>0</v>
      </c>
      <c r="FV58" s="245">
        <f>IF(FI58&gt;110,1,0)</f>
        <v>0</v>
      </c>
      <c r="FW58" s="267">
        <f>IF(FN58=2,SUM(FU58:FV58),0)</f>
        <v>0</v>
      </c>
      <c r="FX58" s="245">
        <f>IF(FI58=159,1,IF(FI58=162,1,IF(FI58=163,1,IF(FI58=165,1,IF(FI58=166,1,IF(FI58=168,1,IF(FI58=169,1,0)))))))</f>
        <v>0</v>
      </c>
      <c r="FY58" s="245">
        <f>IF(FI58&gt;170,1,0)</f>
        <v>0</v>
      </c>
      <c r="FZ58" s="267">
        <f>IF(FN58=0,SUM(FX58:FY58),0)</f>
        <v>0</v>
      </c>
      <c r="GA58" s="251">
        <f>IF(AX58="",0,IF(AW58="",0,IF(FJ58/FM58-3=0,0,1)))</f>
        <v>0</v>
      </c>
      <c r="GD58" s="341">
        <f>IF(AK55="D",1,0)</f>
        <v>0</v>
      </c>
      <c r="GE58" s="343"/>
      <c r="GF58" s="343" t="s">
        <v>866</v>
      </c>
      <c r="GG58" s="343" t="s">
        <v>868</v>
      </c>
      <c r="GH58" s="343" t="s">
        <v>848</v>
      </c>
      <c r="GI58" s="343">
        <v>180</v>
      </c>
      <c r="GJ58" s="343" t="s">
        <v>866</v>
      </c>
      <c r="GK58" s="343" t="s">
        <v>868</v>
      </c>
      <c r="GL58" s="343" t="s">
        <v>848</v>
      </c>
      <c r="GM58" s="343">
        <v>180</v>
      </c>
      <c r="GN58" s="343" t="s">
        <v>866</v>
      </c>
      <c r="GO58" s="343" t="s">
        <v>868</v>
      </c>
      <c r="GP58" s="343" t="s">
        <v>848</v>
      </c>
      <c r="GQ58" s="343">
        <v>180</v>
      </c>
      <c r="GR58" s="343" t="s">
        <v>866</v>
      </c>
      <c r="GS58" s="343" t="s">
        <v>868</v>
      </c>
      <c r="GT58" s="343" t="s">
        <v>848</v>
      </c>
      <c r="GU58" s="343">
        <v>180</v>
      </c>
      <c r="GV58" s="343" t="s">
        <v>866</v>
      </c>
      <c r="GW58" s="343" t="s">
        <v>868</v>
      </c>
      <c r="GX58" s="343" t="s">
        <v>848</v>
      </c>
      <c r="GY58" s="343">
        <v>180</v>
      </c>
      <c r="GZ58" s="343" t="s">
        <v>866</v>
      </c>
      <c r="HA58" s="343" t="s">
        <v>868</v>
      </c>
      <c r="HB58" s="343" t="s">
        <v>848</v>
      </c>
      <c r="HC58" s="343">
        <v>180</v>
      </c>
      <c r="HD58" s="343" t="s">
        <v>866</v>
      </c>
      <c r="HE58" s="343" t="s">
        <v>868</v>
      </c>
      <c r="HF58" s="341" t="s">
        <v>975</v>
      </c>
      <c r="HG58" s="341" t="s">
        <v>976</v>
      </c>
      <c r="HH58" s="341" t="s">
        <v>899</v>
      </c>
      <c r="HJ58" s="238"/>
      <c r="HK58" s="238"/>
      <c r="HL58" s="238"/>
      <c r="HM58" s="238">
        <f>COUNT(HI59,HJ59,HK59,HL59,HM59)</f>
        <v>0</v>
      </c>
      <c r="HN58" s="341"/>
      <c r="HO58" s="341"/>
      <c r="HP58" s="341"/>
      <c r="HQ58" s="341"/>
      <c r="HR58" s="341"/>
      <c r="HS58" s="238"/>
      <c r="HT58" s="238"/>
      <c r="HU58" s="238"/>
      <c r="HV58" s="238"/>
      <c r="HX58" s="238"/>
      <c r="HY58" s="238"/>
      <c r="ID58" s="238"/>
    </row>
    <row r="59" spans="1:238" s="234" customFormat="1" ht="20.100000000000001" customHeight="1">
      <c r="A59" s="235"/>
      <c r="B59" s="231">
        <f>COUNT(AJ60,AJ59)</f>
        <v>0</v>
      </c>
      <c r="C59" s="326">
        <f>IF(DK58="*",AJ55,AI55)</f>
        <v>1.4</v>
      </c>
      <c r="D59" s="253" t="str">
        <f>REPT(DN59,1)</f>
        <v>2</v>
      </c>
      <c r="E59" s="254" t="str">
        <f>REPT(AH59,1)</f>
        <v/>
      </c>
      <c r="F59" s="168"/>
      <c r="G59" s="168"/>
      <c r="H59" s="168"/>
      <c r="I59" s="169"/>
      <c r="J59" s="270" t="str">
        <f>REPT(AM59,1)</f>
        <v/>
      </c>
      <c r="L59" s="306" t="s">
        <v>922</v>
      </c>
      <c r="M59" s="311"/>
      <c r="N59" s="270" t="str">
        <f>REPT(AP59,1)</f>
        <v/>
      </c>
      <c r="P59" s="306" t="s">
        <v>922</v>
      </c>
      <c r="Q59" s="310"/>
      <c r="R59" s="324">
        <f>IF(DL58="*",AJ55,AI55)</f>
        <v>1.4</v>
      </c>
      <c r="S59" s="253" t="str">
        <f>REPT(DO59,1)</f>
        <v>2</v>
      </c>
      <c r="T59" s="254" t="str">
        <f>REPT(AV59,1)</f>
        <v/>
      </c>
      <c r="U59" s="168"/>
      <c r="V59" s="168"/>
      <c r="W59" s="168"/>
      <c r="X59" s="169"/>
      <c r="Y59" s="270" t="str">
        <f t="shared" ref="Y59:Y61" si="108">REPT(BA59,1)</f>
        <v/>
      </c>
      <c r="Z59" s="308"/>
      <c r="AB59" s="234">
        <f>IF(AY59="",0,IF(AY59&lt;2,1,""))</f>
        <v>0</v>
      </c>
      <c r="AC59" s="238">
        <f t="shared" ref="AC59:AC60" si="109">IF(AD59=1,1,IF(AD59=3,1,IF(AD59=2,0,IF(AD59=0,0,0))))</f>
        <v>0</v>
      </c>
      <c r="AD59" s="256">
        <f t="shared" ref="AD59:AD62" si="110">SUM(AE59:AG59)</f>
        <v>0</v>
      </c>
      <c r="AE59" s="256">
        <f t="shared" si="104"/>
        <v>0</v>
      </c>
      <c r="AF59" s="256">
        <f t="shared" si="105"/>
        <v>0</v>
      </c>
      <c r="AG59" s="256">
        <f t="shared" ref="AG59:AG62" si="111">IF(H59="",0,1)</f>
        <v>0</v>
      </c>
      <c r="AH59" s="257" t="str">
        <f>IF(AK59="",IF(AI59="","",IF(AI59="",501,501-AI59)),501)</f>
        <v/>
      </c>
      <c r="AI59" s="256" t="str">
        <f>IF(F59&gt;1,F59,IF(F59=0,"",IF(F59="","","")))</f>
        <v/>
      </c>
      <c r="AJ59" s="256" t="str">
        <f>IF(G59&gt;8,G59,IF(G59="","",""))</f>
        <v/>
      </c>
      <c r="AK59" s="256" t="str">
        <f>IF(H59&gt;1,H59,IF(H59="","",""))</f>
        <v/>
      </c>
      <c r="AL59" s="256" t="str">
        <f>IF(I59&gt;0,I59,IF(I59="","",""))</f>
        <v/>
      </c>
      <c r="AM59" s="258" t="str">
        <f>IF(BK59=0,"","X")</f>
        <v/>
      </c>
      <c r="AN59" s="237"/>
      <c r="AO59" s="237"/>
      <c r="AP59" s="258" t="str">
        <f>IF(BM59=0,"","X")</f>
        <v/>
      </c>
      <c r="AQ59" s="236">
        <f t="shared" ref="AQ59:AQ60" si="112">IF(AR59=1,1,IF(AR59=3,1,IF(AR59=2,0,IF(AR59=0,0,0))))</f>
        <v>0</v>
      </c>
      <c r="AR59" s="256">
        <f t="shared" ref="AR59:AR62" si="113">SUM(AS59:AU59)</f>
        <v>0</v>
      </c>
      <c r="AS59" s="256">
        <f t="shared" si="106"/>
        <v>0</v>
      </c>
      <c r="AT59" s="256">
        <f t="shared" si="107"/>
        <v>0</v>
      </c>
      <c r="AU59" s="256">
        <f t="shared" ref="AU59:AU62" si="114">IF(W59="",0,1)</f>
        <v>0</v>
      </c>
      <c r="AV59" s="257" t="str">
        <f>IF(AY59="",IF(AW59="","",IF(AW59="",501,501-AW59)),501)</f>
        <v/>
      </c>
      <c r="AW59" s="256" t="str">
        <f>IF(U59&gt;1,U59,IF(U59=0,"",IF(U59="","","")))</f>
        <v/>
      </c>
      <c r="AX59" s="256" t="str">
        <f>IF(V59&gt;8,V59,IF(V59="","",""))</f>
        <v/>
      </c>
      <c r="AY59" s="256" t="str">
        <f>IF(W59&gt;1,W59,IF(W59="","",""))</f>
        <v/>
      </c>
      <c r="AZ59" s="256" t="str">
        <f>IF(X59&gt;0,X59,IF(X59="","",""))</f>
        <v/>
      </c>
      <c r="BA59" s="258" t="str">
        <f>IF(BL59=0,"","X")</f>
        <v/>
      </c>
      <c r="BK59" s="251">
        <f>SUM(DD59,DV59,EY59,ED59,FF59,BQ59,BS59,AC59)</f>
        <v>0</v>
      </c>
      <c r="BL59" s="251">
        <f>SUM(DE59,DW59,EE59,FT59,GA59,BR59,BT59,AQ59)</f>
        <v>0</v>
      </c>
      <c r="BM59" s="259">
        <f t="shared" ref="BM59:BM60" si="115">SUM(DC59,BK59:BL59,AC59,AQ59)</f>
        <v>0</v>
      </c>
      <c r="BN59" s="239">
        <f>COUNT(AK59)</f>
        <v>0</v>
      </c>
      <c r="BO59" s="239">
        <f>COUNT(AY59)</f>
        <v>0</v>
      </c>
      <c r="BP59" s="239">
        <f>IF(BN61=0,0,1)</f>
        <v>0</v>
      </c>
      <c r="BQ59" s="260">
        <f>IF(AL59="",0,IF(AL59&gt;2,1,0))</f>
        <v>0</v>
      </c>
      <c r="BR59" s="261">
        <f>IF(AZ59="",0,IF(AZ59&gt;2,1,0))</f>
        <v>0</v>
      </c>
      <c r="BS59" s="262">
        <f>IF(AJ59=9,IF(AK59&lt;141,1,0),0)</f>
        <v>0</v>
      </c>
      <c r="BT59" s="263">
        <f>IF(AX59=9,IF(AY59&lt;141,1,0),0)</f>
        <v>0</v>
      </c>
      <c r="BU59" s="242">
        <f>IF(H59,G59,0)</f>
        <v>0</v>
      </c>
      <c r="BV59" s="238">
        <f>IF(BU59&gt;0,AJ59/3,0)</f>
        <v>0</v>
      </c>
      <c r="BW59" s="238">
        <f>ROUNDUP(BV59,0)</f>
        <v>0</v>
      </c>
      <c r="BX59" s="244">
        <f>IF(MOD(BW59,2)=0,BW59,BW59+1)</f>
        <v>0</v>
      </c>
      <c r="BY59" s="238">
        <f>IF(AJ59&lt;9,"",SUM(BX59-BW59))</f>
        <v>0</v>
      </c>
      <c r="BZ59" s="238">
        <f>IF(BY59=1,AK59,0)</f>
        <v>0</v>
      </c>
      <c r="CA59" s="243" t="str">
        <f>IF(BY59=0,AK59,0)</f>
        <v/>
      </c>
      <c r="CB59" s="238"/>
      <c r="CC59" s="238"/>
      <c r="CD59" s="242">
        <f>IF(W59,V59,0)</f>
        <v>0</v>
      </c>
      <c r="CE59" s="238">
        <f>IF(CD59&gt;0,AX59/3,0)</f>
        <v>0</v>
      </c>
      <c r="CF59" s="238">
        <f>ROUNDUP(CE59,0)</f>
        <v>0</v>
      </c>
      <c r="CG59" s="244">
        <f>IF(MOD(CF59,2)=0,CF59,CF59+1)</f>
        <v>0</v>
      </c>
      <c r="CH59" s="238">
        <f>IF(AX59&lt;9,"",SUM(CG59-CF59))</f>
        <v>0</v>
      </c>
      <c r="CI59" s="238">
        <f>IF(CH59=1,AY59,0)</f>
        <v>0</v>
      </c>
      <c r="CJ59" s="243" t="str">
        <f>IF(CH59=0,AY59,0)</f>
        <v/>
      </c>
      <c r="CK59" s="238"/>
      <c r="CL59" s="245">
        <f>IF(COUNT(F59,H59)=1,0,1)</f>
        <v>1</v>
      </c>
      <c r="CM59" s="245">
        <f>IF(COUNT(F59,U59)=1,0,1)</f>
        <v>1</v>
      </c>
      <c r="CN59" s="245">
        <f>IF(COUNT(H59,W59)=1,0,1)</f>
        <v>1</v>
      </c>
      <c r="CO59" s="245">
        <f>IF(COUNT(G59,V59)=2,0,1)</f>
        <v>1</v>
      </c>
      <c r="CP59" s="245">
        <f>IF(COUNT(U59,W59)=1,0,1)</f>
        <v>1</v>
      </c>
      <c r="CQ59" s="245">
        <f>IF(SUM(G59-V59)&gt;3,1,0)</f>
        <v>0</v>
      </c>
      <c r="CR59" s="245">
        <f>IF(SUM(G59-V59)&lt;-3,1,0)</f>
        <v>0</v>
      </c>
      <c r="CS59" s="264">
        <f>IF(AJ59=9,IF(AH59&lt;141,1,0),IF(AH59="",0,IF(AH59&gt;1,0,1)))</f>
        <v>0</v>
      </c>
      <c r="CT59" s="264">
        <f>IF(AX59=9,IF(AV59&lt;141,1,0),IF(AV59="",0,IF(AV59&gt;1,0,1)))</f>
        <v>0</v>
      </c>
      <c r="CU59" s="264">
        <f>IF(AI59="",0,IF(AI59&lt;502,0,1))</f>
        <v>0</v>
      </c>
      <c r="CV59" s="264">
        <f>IF(AW59="",0,IF(AW59&lt;502,0,1))</f>
        <v>0</v>
      </c>
      <c r="CW59" s="264">
        <f>IF(AI59="",IF(AJ59&lt;9,1,0),IF(AJ59&lt;9,1,0))</f>
        <v>0</v>
      </c>
      <c r="CX59" s="264">
        <f>IF(AW59="",IF(AX59&lt;9,1,0),IF(AX59&lt;9,1,0))</f>
        <v>0</v>
      </c>
      <c r="CY59" s="374"/>
      <c r="CZ59" s="374"/>
      <c r="DA59" s="374"/>
      <c r="DB59" s="374"/>
      <c r="DC59" s="265">
        <f>IF(AJ59="",0,SUM(CL59:CX59))</f>
        <v>0</v>
      </c>
      <c r="DD59" s="265">
        <f>IF(AJ59="",0,SUM(CL59,CS59,CU59,CW59))</f>
        <v>0</v>
      </c>
      <c r="DE59" s="265">
        <f>IF(AJ59="",0,SUM(CP59,CT59,CV59,CX59))</f>
        <v>0</v>
      </c>
      <c r="DF59" s="238"/>
      <c r="DG59" s="248">
        <f>SUM(G59-V59)</f>
        <v>0</v>
      </c>
      <c r="DH59" s="245">
        <f>IF(F59="",0,1)</f>
        <v>0</v>
      </c>
      <c r="DI59" s="245">
        <f t="shared" ref="DI59:DI62" si="116">IF(DG59=0,DH59,DG59)</f>
        <v>0</v>
      </c>
      <c r="DJ59" s="245">
        <f t="shared" ref="DJ59:DJ62" si="117">SIGN(DI59)</f>
        <v>0</v>
      </c>
      <c r="DK59" s="245" t="str">
        <f>IF(G59="","",IF(DJ59=1,"*",""))</f>
        <v/>
      </c>
      <c r="DL59" s="245" t="str">
        <f>IF(G59="","",IF(DJ59=-1,"*",IF(DJ59=0,"*","")))</f>
        <v/>
      </c>
      <c r="DM59" s="245">
        <v>2</v>
      </c>
      <c r="DN59" s="245" t="str">
        <f t="shared" ref="DN59:DN62" si="118">CONCATENATE(DM59,DK59)</f>
        <v>2</v>
      </c>
      <c r="DO59" s="245" t="str">
        <f t="shared" ref="DO59:DO62" si="119">CONCATENATE(DM59,DL59)</f>
        <v>2</v>
      </c>
      <c r="DP59" s="245">
        <f>SUM(DQ58)</f>
        <v>0</v>
      </c>
      <c r="DQ59" s="245">
        <f>SUM(DP58)</f>
        <v>0</v>
      </c>
      <c r="DR59" s="245">
        <f>IF(DK59="*",1,0)</f>
        <v>0</v>
      </c>
      <c r="DS59" s="245">
        <f>IF(DL59="*",1,0)</f>
        <v>0</v>
      </c>
      <c r="DT59" s="245">
        <f>IF(H49="",0,IF(DP59=DR59,1,0))</f>
        <v>0</v>
      </c>
      <c r="DU59" s="245">
        <f>IF(V59="",0,IF(DQ59=DS59,0,1))</f>
        <v>0</v>
      </c>
      <c r="DV59" s="267">
        <f>SUM(DT59)</f>
        <v>0</v>
      </c>
      <c r="DW59" s="267">
        <f>IF(V59="",0,SUM(DU59))</f>
        <v>0</v>
      </c>
      <c r="DX59" s="238">
        <f>IF(AK59="",0,1)</f>
        <v>0</v>
      </c>
      <c r="DY59" s="238">
        <f>IF(DG59=-3,1,0)</f>
        <v>0</v>
      </c>
      <c r="DZ59" s="238">
        <f>SUM(DX59:DY59)</f>
        <v>0</v>
      </c>
      <c r="EA59" s="238">
        <f>IF(AK59="",1,0)</f>
        <v>1</v>
      </c>
      <c r="EB59" s="238">
        <f>IF(DG59=3,1,0)</f>
        <v>0</v>
      </c>
      <c r="EC59" s="238">
        <f>SUM(EA59:EB59)</f>
        <v>1</v>
      </c>
      <c r="ED59" s="267">
        <f>IF(EC59=2,1,0)</f>
        <v>0</v>
      </c>
      <c r="EE59" s="267">
        <f>IF(DZ59=2,1,0)</f>
        <v>0</v>
      </c>
      <c r="EG59" s="166"/>
      <c r="EH59" s="238"/>
      <c r="EI59" s="238"/>
      <c r="EJ59" s="238"/>
      <c r="EK59" s="238"/>
      <c r="EL59" s="238"/>
      <c r="EM59" s="245">
        <f>IF(AK59="",0,1)</f>
        <v>0</v>
      </c>
      <c r="EN59" s="245">
        <f>SUM(AK59)</f>
        <v>0</v>
      </c>
      <c r="EO59" s="268">
        <f>SUM(AJ59)</f>
        <v>0</v>
      </c>
      <c r="EP59" s="268">
        <f>SUM(G59/3)</f>
        <v>0</v>
      </c>
      <c r="EQ59" s="268" t="e">
        <f>SUM(EO59/EP59)</f>
        <v>#DIV/0!</v>
      </c>
      <c r="ER59" s="268">
        <f>ROUNDDOWN(EP59,0)</f>
        <v>0</v>
      </c>
      <c r="ES59" s="268">
        <f>SUM(EO59,-ER59*3)</f>
        <v>0</v>
      </c>
      <c r="ET59" s="269" t="b">
        <f>MOD(EN59/1,2)=0</f>
        <v>1</v>
      </c>
      <c r="EU59" s="245">
        <f>IF(ET59=FALSE,1,0)</f>
        <v>0</v>
      </c>
      <c r="EV59" s="245">
        <f>IF(EN59=50,0,IF(EN59&lt;40,1,0))</f>
        <v>1</v>
      </c>
      <c r="EW59" s="245">
        <f>SUM(EU59:EV59)</f>
        <v>1</v>
      </c>
      <c r="EX59" s="267">
        <f>IF(EN59=1,1,IF(EN59=50,0,IF(ES59=1,IF(EN59&gt;40,1,0),0)))</f>
        <v>0</v>
      </c>
      <c r="EY59" s="267">
        <f>IF(ES59=1,IF(EW59=2,1,0),0)+EX59+FB59+FE59</f>
        <v>0</v>
      </c>
      <c r="EZ59" s="245">
        <f>IF(EN59=109,1,IF(EN59=108,1,IF(EN59=106,1,IF(EN59=105,1,IF(EN59=103,1,IF(EN59=102,1,IF(EN59=99,1,0)))))))</f>
        <v>0</v>
      </c>
      <c r="FA59" s="245">
        <f>IF(EN59&gt;110,1,0)</f>
        <v>0</v>
      </c>
      <c r="FB59" s="267">
        <f>IF(ES59=2,SUM(EZ59:FA59),0)</f>
        <v>0</v>
      </c>
      <c r="FC59" s="245">
        <f>IF(EN59=159,1,IF(EN59=162,1,IF(EN59=163,1,IF(EN59=165,1,IF(EN59=166,1,IF(EN59=168,1,IF(EN59=169,1,0)))))))</f>
        <v>0</v>
      </c>
      <c r="FD59" s="245">
        <f>IF(EN59&gt;170,1,0)</f>
        <v>0</v>
      </c>
      <c r="FE59" s="267">
        <f>IF(ES59=0,SUM(FC59:FD59),0)</f>
        <v>0</v>
      </c>
      <c r="FF59" s="251">
        <f t="shared" ref="FF59:FF62" si="120">IF(AJ59="",0,IF(AI59="",0,IF(EO59/ER59-3=0,0,1)))</f>
        <v>0</v>
      </c>
      <c r="FG59" s="238"/>
      <c r="FH59" s="245">
        <f>IF(AY59="",0,1)</f>
        <v>0</v>
      </c>
      <c r="FI59" s="245">
        <f>SUM(AY59)</f>
        <v>0</v>
      </c>
      <c r="FJ59" s="268">
        <f>SUM(AX59)</f>
        <v>0</v>
      </c>
      <c r="FK59" s="268">
        <f>SUM(V59/3)</f>
        <v>0</v>
      </c>
      <c r="FL59" s="268" t="e">
        <f>SUM(FJ59/FK59)</f>
        <v>#DIV/0!</v>
      </c>
      <c r="FM59" s="268">
        <f>ROUNDDOWN(FK59,0)</f>
        <v>0</v>
      </c>
      <c r="FN59" s="268">
        <f>SUM(FJ59,-FM59*3)</f>
        <v>0</v>
      </c>
      <c r="FO59" s="269" t="b">
        <f>MOD(FI59/1,2)=0</f>
        <v>1</v>
      </c>
      <c r="FP59" s="245">
        <f>IF(FO59=FALSE,1,0)</f>
        <v>0</v>
      </c>
      <c r="FQ59" s="245">
        <f>IF(FI59=50,0,IF(FI59&lt;40,1,0))</f>
        <v>1</v>
      </c>
      <c r="FR59" s="245">
        <f>SUM(FP59:FQ59)</f>
        <v>1</v>
      </c>
      <c r="FS59" s="267">
        <f>IF(FI59=1,1,IF(FI59=50,0,IF(FN59=1,IF(FI59&gt;40,1,0),0)))</f>
        <v>0</v>
      </c>
      <c r="FT59" s="267">
        <f>IF(FN59=1,IF(FR59=2,1,0),0)+FS59+FW59+FZ59</f>
        <v>0</v>
      </c>
      <c r="FU59" s="245">
        <f>IF(FI59=109,1,IF(FI59=108,1,IF(FI59=106,1,IF(FI59=105,1,IF(FI59=103,1,IF(FI59=102,1,IF(FI59=99,1,0)))))))</f>
        <v>0</v>
      </c>
      <c r="FV59" s="245">
        <f>IF(FI59&gt;110,1,0)</f>
        <v>0</v>
      </c>
      <c r="FW59" s="267">
        <f>IF(FN59=2,SUM(FU59:FV59),0)</f>
        <v>0</v>
      </c>
      <c r="FX59" s="245">
        <f>IF(FI59=159,1,IF(FI59=162,1,IF(FI59=163,1,IF(FI59=165,1,IF(FI59=166,1,IF(FI59=168,1,IF(FI59=169,1,0)))))))</f>
        <v>0</v>
      </c>
      <c r="FY59" s="245">
        <f>IF(FI59&gt;170,1,0)</f>
        <v>0</v>
      </c>
      <c r="FZ59" s="267">
        <f>IF(FN59=0,SUM(FX59:FY59),0)</f>
        <v>0</v>
      </c>
      <c r="GA59" s="251">
        <f t="shared" ref="GA59:GA62" si="121">IF(AX59="",0,IF(AW59="",0,IF(FJ59/FM59-3=0,0,1)))</f>
        <v>0</v>
      </c>
      <c r="GC59" s="238" t="str">
        <f>VLOOKUP(AH55,Chema!BL:BR,2,FALSE)</f>
        <v>HS 1.4</v>
      </c>
      <c r="GD59" s="341">
        <f>IF(E65="FORFAIT",1,0)</f>
        <v>0</v>
      </c>
      <c r="GE59" s="343" t="str">
        <f>IF(C65="","",SUM(C65))</f>
        <v/>
      </c>
      <c r="GF59" s="344">
        <f>SUM(AH58)</f>
        <v>0</v>
      </c>
      <c r="GG59" s="344">
        <f>SUM(AJ58)</f>
        <v>0</v>
      </c>
      <c r="GH59" s="344">
        <f t="shared" ref="GH59" si="122">SUM(AK58)</f>
        <v>0</v>
      </c>
      <c r="GI59" s="344">
        <f t="shared" ref="GI59" si="123">SUM(AL58)</f>
        <v>0</v>
      </c>
      <c r="GJ59" s="344">
        <f>SUM(AH59)</f>
        <v>0</v>
      </c>
      <c r="GK59" s="344">
        <f>SUM(AJ59)</f>
        <v>0</v>
      </c>
      <c r="GL59" s="344">
        <f>SUM(AK59)</f>
        <v>0</v>
      </c>
      <c r="GM59" s="344">
        <f>SUM(AL59)</f>
        <v>0</v>
      </c>
      <c r="GN59" s="344">
        <f>SUM(AH60)</f>
        <v>0</v>
      </c>
      <c r="GO59" s="344">
        <f>SUM(AJ60)</f>
        <v>0</v>
      </c>
      <c r="GP59" s="344">
        <f>SUM(AK60)</f>
        <v>0</v>
      </c>
      <c r="GQ59" s="344">
        <f>SUM(AL60)</f>
        <v>0</v>
      </c>
      <c r="GR59" s="344">
        <f>SUM(AH61)</f>
        <v>0</v>
      </c>
      <c r="GS59" s="344">
        <f>SUM(AJ61)</f>
        <v>0</v>
      </c>
      <c r="GT59" s="344">
        <f>SUM(AK61)</f>
        <v>0</v>
      </c>
      <c r="GU59" s="344">
        <f>SUM(AL61)</f>
        <v>0</v>
      </c>
      <c r="GV59" s="344">
        <f>SUM(AH62)</f>
        <v>0</v>
      </c>
      <c r="GW59" s="344">
        <f>SUM(AJ62)</f>
        <v>0</v>
      </c>
      <c r="GX59" s="344">
        <f>SUM(AK62)</f>
        <v>0</v>
      </c>
      <c r="GY59" s="344">
        <f>SUM(AL62)</f>
        <v>0</v>
      </c>
      <c r="GZ59" s="344">
        <f>SUM(GF59,GJ59,GN59,GR59,GV59)</f>
        <v>0</v>
      </c>
      <c r="HA59" s="344">
        <f t="shared" ref="HA59" si="124">SUM(GG59,GK59,GO59,GS59,GW59)</f>
        <v>0</v>
      </c>
      <c r="HB59" s="344">
        <f>IF(GD58=1,L65,MAX(GH59,GL59,GP59,GT59,GX59))</f>
        <v>0</v>
      </c>
      <c r="HC59" s="344">
        <f>IF(GD58=1,I65,SUM(GI59,GM59,GQ59,GU59,GY59))</f>
        <v>0</v>
      </c>
      <c r="HD59" s="345">
        <f>IF(GD58=1,0,SUM(GF59,GJ59,GN59,GR59,GV59))</f>
        <v>0</v>
      </c>
      <c r="HE59" s="345">
        <f>IF(GD58=1,0,SUM(GG59,GK59,GO59,GS59,GW59))</f>
        <v>0</v>
      </c>
      <c r="HF59" s="341">
        <f>IF(GD58=1,0,MIN(HI59,HJ59,HK59,HL59,HM59))</f>
        <v>0</v>
      </c>
      <c r="HG59" s="341">
        <f>IF(HF59=0,0,COUNTIF(HI59:HM59,HF59))</f>
        <v>0</v>
      </c>
      <c r="HH59" s="341">
        <f>SUM(GH60,GL60,GP60,GT60,GX60)</f>
        <v>0</v>
      </c>
      <c r="HI59" s="343" t="str">
        <f>IF(GH60=1,GG59,"")</f>
        <v/>
      </c>
      <c r="HJ59" s="343" t="str">
        <f>IF(GL60=1,GK59,"")</f>
        <v/>
      </c>
      <c r="HK59" s="343" t="str">
        <f>IF(GP60=1,GO59,"")</f>
        <v/>
      </c>
      <c r="HL59" s="343" t="str">
        <f>IF(GT60=1,GS59,"")</f>
        <v/>
      </c>
      <c r="HM59" s="343" t="str">
        <f>IF(GX60=1,GW59,"")</f>
        <v/>
      </c>
      <c r="HN59" s="341"/>
      <c r="HO59" s="341" t="s">
        <v>928</v>
      </c>
      <c r="HP59" s="341" t="s">
        <v>982</v>
      </c>
      <c r="HQ59" s="341" t="s">
        <v>983</v>
      </c>
      <c r="HR59" s="341" t="s">
        <v>984</v>
      </c>
      <c r="HS59" s="238" t="s">
        <v>932</v>
      </c>
      <c r="HT59" s="238" t="s">
        <v>933</v>
      </c>
      <c r="HU59" s="238" t="s">
        <v>985</v>
      </c>
      <c r="HV59" s="238" t="s">
        <v>986</v>
      </c>
      <c r="HW59" s="238" t="str">
        <f>IFERROR(IF(GD58=0,SUM(HZ60:IA60),""),"")</f>
        <v/>
      </c>
      <c r="HY59" s="238"/>
      <c r="HZ59" s="238" t="s">
        <v>1132</v>
      </c>
      <c r="IA59" s="238" t="s">
        <v>1133</v>
      </c>
      <c r="IB59" s="238" t="s">
        <v>1132</v>
      </c>
      <c r="IC59" s="238" t="s">
        <v>1133</v>
      </c>
      <c r="ID59" s="238"/>
    </row>
    <row r="60" spans="1:238" s="234" customFormat="1" ht="20.100000000000001" customHeight="1">
      <c r="A60" s="235"/>
      <c r="B60" s="231">
        <f>COUNT(AJ61,AJ60)</f>
        <v>0</v>
      </c>
      <c r="C60" s="235"/>
      <c r="D60" s="271" t="str">
        <f>REPT(DN60,1)</f>
        <v>3</v>
      </c>
      <c r="E60" s="254" t="str">
        <f>REPT(AH60,1)</f>
        <v/>
      </c>
      <c r="F60" s="168"/>
      <c r="G60" s="168"/>
      <c r="H60" s="168"/>
      <c r="I60" s="169"/>
      <c r="J60" s="270" t="str">
        <f t="shared" ref="J60:J61" si="125">REPT(AM60,1)</f>
        <v/>
      </c>
      <c r="L60" s="312">
        <f>SUM(L58*3)</f>
        <v>0</v>
      </c>
      <c r="M60" s="307"/>
      <c r="N60" s="270" t="str">
        <f>REPT(AP60,1)</f>
        <v/>
      </c>
      <c r="P60" s="312">
        <f>SUM(P58*3)</f>
        <v>0</v>
      </c>
      <c r="Q60" s="310"/>
      <c r="R60" s="235"/>
      <c r="S60" s="271" t="str">
        <f>REPT(DO60,1)</f>
        <v>3</v>
      </c>
      <c r="T60" s="254" t="str">
        <f>REPT(AV60,1)</f>
        <v/>
      </c>
      <c r="U60" s="168"/>
      <c r="V60" s="168"/>
      <c r="W60" s="168"/>
      <c r="X60" s="169"/>
      <c r="Y60" s="270" t="str">
        <f t="shared" si="108"/>
        <v/>
      </c>
      <c r="Z60" s="308"/>
      <c r="AB60" s="234">
        <f>IF(AY60="",0,IF(AY60&lt;2,1,""))</f>
        <v>0</v>
      </c>
      <c r="AC60" s="238">
        <f t="shared" si="109"/>
        <v>0</v>
      </c>
      <c r="AD60" s="256">
        <f t="shared" si="110"/>
        <v>0</v>
      </c>
      <c r="AE60" s="256">
        <f t="shared" si="104"/>
        <v>0</v>
      </c>
      <c r="AF60" s="256">
        <f t="shared" si="105"/>
        <v>0</v>
      </c>
      <c r="AG60" s="256">
        <f t="shared" si="111"/>
        <v>0</v>
      </c>
      <c r="AH60" s="257" t="str">
        <f>IF(AK60="",IF(AI60="","",IF(AI60="",501,501-AI60)),501)</f>
        <v/>
      </c>
      <c r="AI60" s="256" t="str">
        <f>IF(F60&gt;1,F60,IF(F60=0,"",IF(F60="","","")))</f>
        <v/>
      </c>
      <c r="AJ60" s="256" t="str">
        <f>IF(G60&gt;8,G60,IF(G60="","",""))</f>
        <v/>
      </c>
      <c r="AK60" s="256" t="str">
        <f>IF(H60&gt;1,H60,IF(H60="","",""))</f>
        <v/>
      </c>
      <c r="AL60" s="256" t="str">
        <f>IF(I60&gt;0,I60,IF(I60="","",""))</f>
        <v/>
      </c>
      <c r="AM60" s="258" t="str">
        <f>IF(BK60=0,"","X")</f>
        <v/>
      </c>
      <c r="AN60" s="237"/>
      <c r="AO60" s="237"/>
      <c r="AP60" s="258" t="str">
        <f>IF(BM60=0,"","X")</f>
        <v/>
      </c>
      <c r="AQ60" s="236">
        <f t="shared" si="112"/>
        <v>0</v>
      </c>
      <c r="AR60" s="256">
        <f t="shared" si="113"/>
        <v>0</v>
      </c>
      <c r="AS60" s="256">
        <f t="shared" si="106"/>
        <v>0</v>
      </c>
      <c r="AT60" s="256">
        <f t="shared" si="107"/>
        <v>0</v>
      </c>
      <c r="AU60" s="256">
        <f t="shared" si="114"/>
        <v>0</v>
      </c>
      <c r="AV60" s="257" t="str">
        <f>IF(AY60="",IF(AW60="","",IF(AW60="",501,501-AW60)),501)</f>
        <v/>
      </c>
      <c r="AW60" s="256" t="str">
        <f>IF(U60&gt;1,U60,IF(U60=0,"",IF(U60="","","")))</f>
        <v/>
      </c>
      <c r="AX60" s="256" t="str">
        <f>IF(V60&gt;8,V60,IF(V60="","",""))</f>
        <v/>
      </c>
      <c r="AY60" s="256" t="str">
        <f>IF(W60&gt;1,W60,IF(W60="","",""))</f>
        <v/>
      </c>
      <c r="AZ60" s="256" t="str">
        <f>IF(X60&gt;0,X60,IF(X60="","",""))</f>
        <v/>
      </c>
      <c r="BA60" s="258" t="str">
        <f>IF(BL60=0,"","X")</f>
        <v/>
      </c>
      <c r="BK60" s="251">
        <f>SUM(DD60,DV60,EY60,ED60,FF60,BQ60,BS60,AC60,BK67)</f>
        <v>0</v>
      </c>
      <c r="BL60" s="251">
        <f>SUM(DE60,DW60,EE60,FT60,GA60,BR60,BT60,AQ60,BL67,CZ60)</f>
        <v>0</v>
      </c>
      <c r="BM60" s="259">
        <f t="shared" si="115"/>
        <v>0</v>
      </c>
      <c r="BN60" s="239">
        <f>COUNT(AK60)</f>
        <v>0</v>
      </c>
      <c r="BO60" s="239">
        <f>COUNT(AY60)</f>
        <v>0</v>
      </c>
      <c r="BP60" s="239">
        <f>IF(BN62=0,0,1)</f>
        <v>0</v>
      </c>
      <c r="BQ60" s="260">
        <f>IF(AL60="",0,IF(AL60&gt;2,1,0))</f>
        <v>0</v>
      </c>
      <c r="BR60" s="261">
        <f>IF(AZ60="",0,IF(AZ60&gt;2,1,0))</f>
        <v>0</v>
      </c>
      <c r="BS60" s="262">
        <f>IF(AJ60=9,IF(AK60&lt;141,1,0),0)</f>
        <v>0</v>
      </c>
      <c r="BT60" s="263">
        <f>IF(AX60=9,IF(AY60&lt;141,1,0),0)</f>
        <v>0</v>
      </c>
      <c r="BU60" s="242">
        <f>IF(H60,G60,0)</f>
        <v>0</v>
      </c>
      <c r="BV60" s="238">
        <f>IF(BU60&gt;0,AJ60/3,0)</f>
        <v>0</v>
      </c>
      <c r="BW60" s="238">
        <f>ROUNDUP(BV60,0)</f>
        <v>0</v>
      </c>
      <c r="BX60" s="244">
        <f>IF(MOD(BW60,2)=0,BW60,BW60+1)</f>
        <v>0</v>
      </c>
      <c r="BY60" s="238">
        <f>IF(AJ60&lt;9,"",SUM(BX60-BW60))</f>
        <v>0</v>
      </c>
      <c r="BZ60" s="238">
        <f>IF(BY60=1,AK60,0)</f>
        <v>0</v>
      </c>
      <c r="CA60" s="243" t="str">
        <f>IF(BY60=0,AK60,0)</f>
        <v/>
      </c>
      <c r="CB60" s="238"/>
      <c r="CC60" s="238"/>
      <c r="CD60" s="242">
        <f>IF(W60,V60,0)</f>
        <v>0</v>
      </c>
      <c r="CE60" s="238">
        <f>IF(CD60&gt;0,AX60/3,0)</f>
        <v>0</v>
      </c>
      <c r="CF60" s="238">
        <f>ROUNDUP(CE60,0)</f>
        <v>0</v>
      </c>
      <c r="CG60" s="244">
        <f>IF(MOD(CF60,2)=0,CF60,CF60+1)</f>
        <v>0</v>
      </c>
      <c r="CH60" s="238">
        <f>IF(AX60&lt;9,"",SUM(CG60-CF60))</f>
        <v>0</v>
      </c>
      <c r="CI60" s="238">
        <f>IF(CH60=1,AY60,0)</f>
        <v>0</v>
      </c>
      <c r="CJ60" s="243" t="str">
        <f>IF(CH60=0,AY60,0)</f>
        <v/>
      </c>
      <c r="CK60" s="238"/>
      <c r="CL60" s="245">
        <f>IF(COUNT(F60,H60)=1,0,1)</f>
        <v>1</v>
      </c>
      <c r="CM60" s="245">
        <f>IF(COUNT(F60,U60)=1,0,1)</f>
        <v>1</v>
      </c>
      <c r="CN60" s="245">
        <f>IF(COUNT(H60,W60)=1,0,1)</f>
        <v>1</v>
      </c>
      <c r="CO60" s="245">
        <f>IF(COUNT(G60,V60)=2,0,1)</f>
        <v>1</v>
      </c>
      <c r="CP60" s="245">
        <f>IF(COUNT(U60,W60)=1,0,1)</f>
        <v>1</v>
      </c>
      <c r="CQ60" s="245">
        <f>IF(SUM(G60-V60)&gt;3,1,0)</f>
        <v>0</v>
      </c>
      <c r="CR60" s="245">
        <f>IF(SUM(G60-V60)&lt;-3,1,0)</f>
        <v>0</v>
      </c>
      <c r="CS60" s="264">
        <f>IF(AJ60=9,IF(AH60&lt;141,1,0),IF(AH60="",0,IF(AH60&gt;1,0,1)))</f>
        <v>0</v>
      </c>
      <c r="CT60" s="264">
        <f>IF(AX60=9,IF(AV60&lt;141,1,0),IF(AV60="",0,IF(AV60&gt;1,0,1)))</f>
        <v>0</v>
      </c>
      <c r="CU60" s="264">
        <f>IF(AI60="",0,IF(AI60&lt;502,0,1))</f>
        <v>0</v>
      </c>
      <c r="CV60" s="264">
        <f>IF(AW60="",0,IF(AW60&lt;502,0,1))</f>
        <v>0</v>
      </c>
      <c r="CW60" s="264">
        <f>IF(AI60="",IF(AJ60&lt;9,1,0),IF(AJ60&lt;9,1,0))</f>
        <v>0</v>
      </c>
      <c r="CX60" s="264">
        <f>IF(AW60="",IF(AX60&lt;9,1,0),IF(AX60&lt;9,1,0))</f>
        <v>0</v>
      </c>
      <c r="CY60" s="374">
        <f>COUNT(U58,U59,U60)</f>
        <v>0</v>
      </c>
      <c r="CZ60" s="375">
        <f>IF(AL55=3,IF(CY60&gt;2,1,0),0)</f>
        <v>0</v>
      </c>
      <c r="DA60" s="374"/>
      <c r="DB60" s="374"/>
      <c r="DC60" s="265">
        <f>IF(AJ60="",0,SUM(CL60:CX60))</f>
        <v>0</v>
      </c>
      <c r="DD60" s="265">
        <f>IF(AJ60="",0,SUM(CL60,CS60,CU60,CW60))</f>
        <v>0</v>
      </c>
      <c r="DE60" s="265">
        <f>IF(AJ60="",0,SUM(CP60,CT60,CV60,CX60))</f>
        <v>0</v>
      </c>
      <c r="DF60" s="238"/>
      <c r="DG60" s="248">
        <f>SUM(G60-V60)</f>
        <v>0</v>
      </c>
      <c r="DH60" s="245">
        <f>IF(F60="",0,1)</f>
        <v>0</v>
      </c>
      <c r="DI60" s="245">
        <f t="shared" si="116"/>
        <v>0</v>
      </c>
      <c r="DJ60" s="245">
        <f t="shared" si="117"/>
        <v>0</v>
      </c>
      <c r="DK60" s="245" t="str">
        <f>IF(G60="","",IF(DJ60=1,"*",""))</f>
        <v/>
      </c>
      <c r="DL60" s="245" t="str">
        <f>IF(G60="","",IF(DJ60=-1,"*",IF(DJ60=0,"*","")))</f>
        <v/>
      </c>
      <c r="DM60" s="245">
        <v>3</v>
      </c>
      <c r="DN60" s="245" t="str">
        <f t="shared" si="118"/>
        <v>3</v>
      </c>
      <c r="DO60" s="245" t="str">
        <f t="shared" si="119"/>
        <v>3</v>
      </c>
      <c r="DP60" s="245">
        <f>SUM(DP58)</f>
        <v>0</v>
      </c>
      <c r="DQ60" s="245">
        <f>SUM(DQ58)</f>
        <v>0</v>
      </c>
      <c r="DR60" s="245">
        <f t="shared" ref="DR60:DR62" si="126">IF(DK60="*",1,0)</f>
        <v>0</v>
      </c>
      <c r="DS60" s="245">
        <f t="shared" ref="DS60:DS62" si="127">IF(DL60="*",1,0)</f>
        <v>0</v>
      </c>
      <c r="DT60" s="245">
        <f t="shared" ref="DT60:DT62" si="128">IF(H50="",0,IF(DP60=DR60,1,0))</f>
        <v>0</v>
      </c>
      <c r="DU60" s="245">
        <f>IF(V60="",0,IF(DQ60=DS60,0,1))</f>
        <v>0</v>
      </c>
      <c r="DV60" s="267">
        <f t="shared" ref="DV60:DV62" si="129">SUM(DT60)</f>
        <v>0</v>
      </c>
      <c r="DW60" s="267">
        <f>IF(V60="",0,SUM(DU60))</f>
        <v>0</v>
      </c>
      <c r="DX60" s="238">
        <f>IF(AK60="",0,1)</f>
        <v>0</v>
      </c>
      <c r="DY60" s="238">
        <f>IF(DG60=-3,1,0)</f>
        <v>0</v>
      </c>
      <c r="DZ60" s="238">
        <f>SUM(DX60:DY60)</f>
        <v>0</v>
      </c>
      <c r="EA60" s="238">
        <f>IF(AK60="",1,0)</f>
        <v>1</v>
      </c>
      <c r="EB60" s="238">
        <f>IF(DG60=3,1,0)</f>
        <v>0</v>
      </c>
      <c r="EC60" s="238">
        <f>SUM(EA60:EB60)</f>
        <v>1</v>
      </c>
      <c r="ED60" s="267">
        <f>IF(EC60=2,1,0)</f>
        <v>0</v>
      </c>
      <c r="EE60" s="267">
        <f>IF(DZ60=2,1,0)</f>
        <v>0</v>
      </c>
      <c r="EG60" s="166"/>
      <c r="EH60" s="238"/>
      <c r="EI60" s="238"/>
      <c r="EJ60" s="238"/>
      <c r="EK60" s="238"/>
      <c r="EL60" s="238"/>
      <c r="EM60" s="245">
        <f>IF(AK60="",0,1)</f>
        <v>0</v>
      </c>
      <c r="EN60" s="245">
        <f>SUM(AK60)</f>
        <v>0</v>
      </c>
      <c r="EO60" s="268">
        <f>SUM(AJ60)</f>
        <v>0</v>
      </c>
      <c r="EP60" s="268">
        <f>SUM(G60/3)</f>
        <v>0</v>
      </c>
      <c r="EQ60" s="268" t="e">
        <f>SUM(EO60/EP60)</f>
        <v>#DIV/0!</v>
      </c>
      <c r="ER60" s="268">
        <f>ROUNDDOWN(EP60,0)</f>
        <v>0</v>
      </c>
      <c r="ES60" s="268">
        <f>SUM(EO60,-ER60*3)</f>
        <v>0</v>
      </c>
      <c r="ET60" s="269" t="b">
        <f>MOD(EN60/1,2)=0</f>
        <v>1</v>
      </c>
      <c r="EU60" s="245">
        <f>IF(ET60=FALSE,1,0)</f>
        <v>0</v>
      </c>
      <c r="EV60" s="245">
        <f>IF(EN60=50,0,IF(EN60&lt;40,1,0))</f>
        <v>1</v>
      </c>
      <c r="EW60" s="245">
        <f>SUM(EU60:EV60)</f>
        <v>1</v>
      </c>
      <c r="EX60" s="267">
        <f>IF(EN60=1,1,IF(EN60=50,0,IF(ES60=1,IF(EN60&gt;40,1,0),0)))</f>
        <v>0</v>
      </c>
      <c r="EY60" s="267">
        <f>IF(ES60=1,IF(EW60=2,1,0),0)+EX60+FB60+FE60</f>
        <v>0</v>
      </c>
      <c r="EZ60" s="245">
        <f>IF(EN60=109,1,IF(EN60=108,1,IF(EN60=106,1,IF(EN60=105,1,IF(EN60=103,1,IF(EN60=102,1,IF(EN60=99,1,0)))))))</f>
        <v>0</v>
      </c>
      <c r="FA60" s="245">
        <f>IF(EN60&gt;110,1,0)</f>
        <v>0</v>
      </c>
      <c r="FB60" s="267">
        <f>IF(ES60=2,SUM(EZ60:FA60),0)</f>
        <v>0</v>
      </c>
      <c r="FC60" s="245">
        <f>IF(EN60=159,1,IF(EN60=162,1,IF(EN60=163,1,IF(EN60=165,1,IF(EN60=166,1,IF(EN60=168,1,IF(EN60=169,1,0)))))))</f>
        <v>0</v>
      </c>
      <c r="FD60" s="245">
        <f>IF(EN60&gt;170,1,0)</f>
        <v>0</v>
      </c>
      <c r="FE60" s="267">
        <f>IF(ES60=0,SUM(FC60:FD60),0)</f>
        <v>0</v>
      </c>
      <c r="FF60" s="251">
        <f t="shared" si="120"/>
        <v>0</v>
      </c>
      <c r="FG60" s="238"/>
      <c r="FH60" s="245">
        <f>IF(AY60="",0,1)</f>
        <v>0</v>
      </c>
      <c r="FI60" s="245">
        <f>SUM(AY60)</f>
        <v>0</v>
      </c>
      <c r="FJ60" s="268">
        <f>SUM(AX60)</f>
        <v>0</v>
      </c>
      <c r="FK60" s="268">
        <f>SUM(V60/3)</f>
        <v>0</v>
      </c>
      <c r="FL60" s="268" t="e">
        <f>SUM(FJ60/FK60)</f>
        <v>#DIV/0!</v>
      </c>
      <c r="FM60" s="268">
        <f>ROUNDDOWN(FK60,0)</f>
        <v>0</v>
      </c>
      <c r="FN60" s="268">
        <f>SUM(FJ60,-FM60*3)</f>
        <v>0</v>
      </c>
      <c r="FO60" s="269" t="b">
        <f>MOD(FI60/1,2)=0</f>
        <v>1</v>
      </c>
      <c r="FP60" s="245">
        <f>IF(FO60=FALSE,1,0)</f>
        <v>0</v>
      </c>
      <c r="FQ60" s="245">
        <f>IF(FI60=50,0,IF(FI60&lt;40,1,0))</f>
        <v>1</v>
      </c>
      <c r="FR60" s="245">
        <f>SUM(FP60:FQ60)</f>
        <v>1</v>
      </c>
      <c r="FS60" s="267">
        <f>IF(FI60=1,1,IF(FI60=50,0,IF(FN60=1,IF(FI60&gt;40,1,0),0)))</f>
        <v>0</v>
      </c>
      <c r="FT60" s="267">
        <f>IF(FN60=1,IF(FR60=2,1,0),0)+FS60+FW60+FZ60</f>
        <v>0</v>
      </c>
      <c r="FU60" s="245">
        <f>IF(FI60=109,1,IF(FI60=108,1,IF(FI60=106,1,IF(FI60=105,1,IF(FI60=103,1,IF(FI60=102,1,IF(FI60=99,1,0)))))))</f>
        <v>0</v>
      </c>
      <c r="FV60" s="245">
        <f>IF(FI60&gt;110,1,0)</f>
        <v>0</v>
      </c>
      <c r="FW60" s="267">
        <f>IF(FN60=2,SUM(FU60:FV60),0)</f>
        <v>0</v>
      </c>
      <c r="FX60" s="245">
        <f>IF(FI60=159,1,IF(FI60=162,1,IF(FI60=163,1,IF(FI60=165,1,IF(FI60=166,1,IF(FI60=168,1,IF(FI60=169,1,0)))))))</f>
        <v>0</v>
      </c>
      <c r="FY60" s="245">
        <f>IF(FI60&gt;170,1,0)</f>
        <v>0</v>
      </c>
      <c r="FZ60" s="267">
        <f>IF(FN60=0,SUM(FX60:FY60),0)</f>
        <v>0</v>
      </c>
      <c r="GA60" s="251">
        <f t="shared" si="121"/>
        <v>0</v>
      </c>
      <c r="GC60" s="238" t="str">
        <f>VLOOKUP(AH55,Chema!BL:BR,3,FALSE)</f>
        <v/>
      </c>
      <c r="GD60" s="341"/>
      <c r="GE60" s="343" t="str">
        <f>IF(C66="","",SUM(C66))</f>
        <v/>
      </c>
      <c r="GF60" s="346"/>
      <c r="GG60" s="340"/>
      <c r="GH60" s="343">
        <f>IF(GH59&gt;0,1,0)</f>
        <v>0</v>
      </c>
      <c r="GI60" s="346"/>
      <c r="GJ60" s="343"/>
      <c r="GK60" s="340"/>
      <c r="GL60" s="343">
        <f>IF(GL59&gt;0,1,0)</f>
        <v>0</v>
      </c>
      <c r="GM60" s="343"/>
      <c r="GN60" s="343"/>
      <c r="GO60" s="340"/>
      <c r="GP60" s="343">
        <f>IF(GP59&gt;0,1,0)</f>
        <v>0</v>
      </c>
      <c r="GQ60" s="343"/>
      <c r="GR60" s="343"/>
      <c r="GS60" s="340"/>
      <c r="GT60" s="343">
        <f>IF(GT59&gt;0,1,0)</f>
        <v>0</v>
      </c>
      <c r="GU60" s="343"/>
      <c r="GV60" s="343"/>
      <c r="GW60" s="340"/>
      <c r="GX60" s="343">
        <f>IF(GX59&gt;0,1,0)</f>
        <v>0</v>
      </c>
      <c r="GY60" s="343"/>
      <c r="GZ60" s="343"/>
      <c r="HA60" s="343"/>
      <c r="HB60" s="343" t="str">
        <f>IF(GD58=1,L66,"")</f>
        <v/>
      </c>
      <c r="HC60" s="343" t="str">
        <f>IF(GD58=1,I66,"")</f>
        <v/>
      </c>
      <c r="HD60" s="345"/>
      <c r="HE60" s="340"/>
      <c r="HF60" s="340"/>
      <c r="HG60" s="347">
        <f>IF(GE59="",0,IF(AL55=3,2,IF(AL55=5,3,0)))</f>
        <v>0</v>
      </c>
      <c r="HH60" s="347">
        <f>IF(HK60=0,0,IF(HG62=0,0,1))</f>
        <v>0</v>
      </c>
      <c r="HI60" s="340"/>
      <c r="HJ60" s="340"/>
      <c r="HK60" s="340">
        <f>SUM(HM58,HM62)</f>
        <v>0</v>
      </c>
      <c r="HL60" s="340">
        <f>IF(HK60=0,0,IF(HM58=HG60,1,0))</f>
        <v>0</v>
      </c>
      <c r="HM60" s="340">
        <f>IF(HK60=0,0,IF(HM62=HG60,1,0))</f>
        <v>0</v>
      </c>
      <c r="HN60" s="341" t="str">
        <f>REPT(N55,1)</f>
        <v>Spiel 4</v>
      </c>
      <c r="HO60" s="348" t="str">
        <f>IF(HK60=0,"",IF(HH60=0,SUM(HH59),""))</f>
        <v/>
      </c>
      <c r="HP60" s="348" t="str">
        <f>IF(HK60=0,"",IF(HH60=0,SUM(HH61),""))</f>
        <v/>
      </c>
      <c r="HQ60" s="348" t="e">
        <f>IF(HH60=0,SUM(GZ59/HA59),"")</f>
        <v>#DIV/0!</v>
      </c>
      <c r="HR60" s="348" t="e">
        <f>IF(HH60=0,SUM(GZ61/HA61),"")</f>
        <v>#DIV/0!</v>
      </c>
      <c r="HS60" s="573" t="str">
        <f>REPT(DK58,1)</f>
        <v/>
      </c>
      <c r="HT60" s="238" t="str">
        <f>REPT(DL58,1)</f>
        <v/>
      </c>
      <c r="HU60" s="573">
        <f>IF(HH60=0,HL60,"")</f>
        <v>0</v>
      </c>
      <c r="HV60" s="238">
        <f>IF(HH60=0,HM60,"")</f>
        <v>0</v>
      </c>
      <c r="HW60" s="238" t="s">
        <v>1131</v>
      </c>
      <c r="HY60" s="238"/>
      <c r="HZ60" s="573" t="e">
        <f>IF(AL55=5,IF(HU60=1,SUM(HO60*2-HP60),HO60+HP60-2),"")</f>
        <v>#VALUE!</v>
      </c>
      <c r="IA60" s="573" t="str">
        <f>IF(AL55=3,IF(HU60=1,SUM(HO60-HP60+3),HO60+HP60-1),"")</f>
        <v/>
      </c>
      <c r="IB60" s="238" t="e">
        <f>IF(AL55=5,IF(HV60=1,SUM(HP60*2-HO60),HO60+HP60-2),"")</f>
        <v>#VALUE!</v>
      </c>
      <c r="IC60" s="238" t="str">
        <f>IF(AL55=3,IF(HV60=1,SUM(HP60-HO60+3),HO60+HP60-1),"")</f>
        <v/>
      </c>
      <c r="ID60" s="238">
        <f>SUM(BM64)</f>
        <v>0</v>
      </c>
    </row>
    <row r="61" spans="1:238" s="234" customFormat="1" ht="20.100000000000001" customHeight="1">
      <c r="A61" s="235"/>
      <c r="B61" s="231">
        <f>COUNT(AJ62,AJ61)</f>
        <v>0</v>
      </c>
      <c r="C61" s="235"/>
      <c r="D61" s="328" t="str">
        <f>REPT(DN61,1)</f>
        <v>4</v>
      </c>
      <c r="E61" s="329" t="str">
        <f>REPT(AH61,1)</f>
        <v/>
      </c>
      <c r="F61" s="330"/>
      <c r="G61" s="330"/>
      <c r="H61" s="330"/>
      <c r="I61" s="331"/>
      <c r="J61" s="270" t="str">
        <f t="shared" si="125"/>
        <v/>
      </c>
      <c r="M61" s="311"/>
      <c r="N61" s="270" t="str">
        <f>REPT(AP61,1)</f>
        <v/>
      </c>
      <c r="Q61" s="310"/>
      <c r="R61" s="235"/>
      <c r="S61" s="328" t="str">
        <f>REPT(DO61,1)</f>
        <v>4</v>
      </c>
      <c r="T61" s="329" t="str">
        <f>REPT(AV61,1)</f>
        <v/>
      </c>
      <c r="U61" s="330"/>
      <c r="V61" s="330"/>
      <c r="W61" s="330"/>
      <c r="X61" s="331"/>
      <c r="Y61" s="270" t="str">
        <f t="shared" si="108"/>
        <v/>
      </c>
      <c r="Z61" s="308"/>
      <c r="AA61" s="238">
        <f>SUM(AL55)</f>
        <v>5</v>
      </c>
      <c r="AB61" s="234">
        <f>IF(AY61="",0,IF(AY61&lt;2,1,""))</f>
        <v>0</v>
      </c>
      <c r="AC61" s="238">
        <f>IF(AL55=3,0,IF(AD61=1,1,IF(AD61=3,1,IF(AD61=2,0,IF(AD61=0,0,0)))))</f>
        <v>0</v>
      </c>
      <c r="AD61" s="256">
        <f t="shared" si="110"/>
        <v>0</v>
      </c>
      <c r="AE61" s="256">
        <f t="shared" si="104"/>
        <v>0</v>
      </c>
      <c r="AF61" s="256">
        <f t="shared" si="105"/>
        <v>0</v>
      </c>
      <c r="AG61" s="256">
        <f t="shared" si="111"/>
        <v>0</v>
      </c>
      <c r="AH61" s="257" t="str">
        <f>IF(AL55=3,"",IF(AK61="",IF(AI61="","",IF(AI61="",501,501-AI61)),501))</f>
        <v/>
      </c>
      <c r="AI61" s="256" t="str">
        <f>IF(AL55=3,"",IF(F61&gt;1,F61,IF(F61=0,"",IF(F61="","",""))))</f>
        <v/>
      </c>
      <c r="AJ61" s="256" t="str">
        <f>IF(AL55=3,"",IF(G61&gt;8,G61,IF(G61="","","")))</f>
        <v/>
      </c>
      <c r="AK61" s="256" t="str">
        <f>IF(AL55=3,"",IF(H61&gt;1,H61,IF(H61="","","")))</f>
        <v/>
      </c>
      <c r="AL61" s="256" t="str">
        <f>IF(AL55=3,"",IF(I61&gt;0,I61,IF(I61="","","")))</f>
        <v/>
      </c>
      <c r="AM61" s="258" t="str">
        <f>IF(BK61=0,"","X")</f>
        <v/>
      </c>
      <c r="AN61" s="237"/>
      <c r="AO61" s="237"/>
      <c r="AP61" s="258" t="str">
        <f>IF(BM61=0,"","X")</f>
        <v/>
      </c>
      <c r="AQ61" s="236">
        <f>IF(AL55=3,0,IF(AR61=1,1,IF(AR61=3,1,IF(AR61=2,0,IF(AR61=0,0,0)))))</f>
        <v>0</v>
      </c>
      <c r="AR61" s="256">
        <f t="shared" si="113"/>
        <v>0</v>
      </c>
      <c r="AS61" s="256">
        <f t="shared" si="106"/>
        <v>0</v>
      </c>
      <c r="AT61" s="256">
        <f t="shared" si="107"/>
        <v>0</v>
      </c>
      <c r="AU61" s="256">
        <f t="shared" si="114"/>
        <v>0</v>
      </c>
      <c r="AV61" s="257" t="str">
        <f>IF(AY61="",IF(AW61="","",IF(AW61="",501,501-AW61)),501)</f>
        <v/>
      </c>
      <c r="AW61" s="256" t="str">
        <f>IF(AL55=3,"",IF(U61&gt;1,U61,IF(U61=0,"",IF(U61="","",""))))</f>
        <v/>
      </c>
      <c r="AX61" s="256" t="str">
        <f>IF(AL55=3,"",IF(V61&gt;8,V61,IF(V61="","","")))</f>
        <v/>
      </c>
      <c r="AY61" s="256" t="str">
        <f>IF(AL55=3,"",IF(W61&gt;1,W61,IF(W61="","","")))</f>
        <v/>
      </c>
      <c r="AZ61" s="256" t="str">
        <f>IF(AL55=3,"",IF(X61&gt;0,X61,IF(X61="","","")))</f>
        <v/>
      </c>
      <c r="BA61" s="258" t="str">
        <f>IF(BL61=0,"","X")</f>
        <v/>
      </c>
      <c r="BK61" s="251">
        <f>IF(AL55=3,0,SUM(DD61,DV61,EY61,ED61,FF61,BQ61,BS61,AC61))</f>
        <v>0</v>
      </c>
      <c r="BL61" s="251">
        <f>IF(AL55=3,0,SUM(DE61,DW61,EE61,FT61,GA61,BR61,BT61,AQ61))</f>
        <v>0</v>
      </c>
      <c r="BM61" s="259">
        <f>IF(AL55=3,0,SUM(DC61,BK61:BL61,AC61,AQ61))</f>
        <v>0</v>
      </c>
      <c r="BN61" s="239">
        <f>COUNT(AK61)</f>
        <v>0</v>
      </c>
      <c r="BO61" s="239">
        <f>COUNT(AY61)</f>
        <v>0</v>
      </c>
      <c r="BP61" s="239">
        <f>IF(BZ63=0,0,1)</f>
        <v>0</v>
      </c>
      <c r="BQ61" s="260">
        <f>IF(AL61="",0,IF(AL61&gt;2,1,0))</f>
        <v>0</v>
      </c>
      <c r="BR61" s="261">
        <f>IF(AZ61="",0,IF(AZ61&gt;2,1,0))</f>
        <v>0</v>
      </c>
      <c r="BS61" s="262">
        <f>IF(AJ61=9,IF(AK61&lt;141,1,0),0)</f>
        <v>0</v>
      </c>
      <c r="BT61" s="263">
        <f>IF(AX61=9,IF(AY61&lt;141,1,0),0)</f>
        <v>0</v>
      </c>
      <c r="BU61" s="242">
        <f>IF(AL55=3,0,IF(H61,G61,0))</f>
        <v>0</v>
      </c>
      <c r="BV61" s="238">
        <f>IF(BU61&gt;0,AJ61/3,0)</f>
        <v>0</v>
      </c>
      <c r="BW61" s="238">
        <f>ROUNDUP(BV61,0)</f>
        <v>0</v>
      </c>
      <c r="BX61" s="244">
        <f>IF(MOD(BW61,2)=0,BW61,BW61+1)</f>
        <v>0</v>
      </c>
      <c r="BY61" s="238">
        <f>IF(AJ61&lt;9,"",SUM(BX61-BW61))</f>
        <v>0</v>
      </c>
      <c r="BZ61" s="238">
        <f>IF(BY61=1,AK61,0)</f>
        <v>0</v>
      </c>
      <c r="CA61" s="243" t="str">
        <f>IF(BY61=0,AK61,0)</f>
        <v/>
      </c>
      <c r="CB61" s="238"/>
      <c r="CC61" s="238"/>
      <c r="CD61" s="242">
        <f>IF(AL55=3,0,IF(W61,V61,0))</f>
        <v>0</v>
      </c>
      <c r="CE61" s="238">
        <f>IF(CD61&gt;0,AX61/3,0)</f>
        <v>0</v>
      </c>
      <c r="CF61" s="238">
        <f>ROUNDUP(CE61,0)</f>
        <v>0</v>
      </c>
      <c r="CG61" s="244">
        <f>IF(MOD(CF61,2)=0,CF61,CF61+1)</f>
        <v>0</v>
      </c>
      <c r="CH61" s="238">
        <f>IF(AX61&lt;9,"",SUM(CG61-CF61))</f>
        <v>0</v>
      </c>
      <c r="CI61" s="238">
        <f>IF(CH61=1,AY61,0)</f>
        <v>0</v>
      </c>
      <c r="CJ61" s="243" t="str">
        <f>IF(CH61=0,AY61,0)</f>
        <v/>
      </c>
      <c r="CK61" s="238"/>
      <c r="CL61" s="245">
        <f>IF(COUNT(F61,H61)=1,0,1)</f>
        <v>1</v>
      </c>
      <c r="CM61" s="245">
        <f>IF(COUNT(F61,U61)=1,0,1)</f>
        <v>1</v>
      </c>
      <c r="CN61" s="245">
        <f>IF(COUNT(H61,W61)=1,0,1)</f>
        <v>1</v>
      </c>
      <c r="CO61" s="245">
        <f>IF(COUNT(G61,V61)=2,0,1)</f>
        <v>1</v>
      </c>
      <c r="CP61" s="245">
        <f>IF(COUNT(U61,W61)=1,0,1)</f>
        <v>1</v>
      </c>
      <c r="CQ61" s="245">
        <f>IF(SUM(G61-V61)&gt;3,1,0)</f>
        <v>0</v>
      </c>
      <c r="CR61" s="245">
        <f>IF(SUM(G61-V61)&lt;-3,1,0)</f>
        <v>0</v>
      </c>
      <c r="CS61" s="264">
        <f>IF(AJ61=9,IF(AH61&lt;141,1,0),IF(AH61="",0,IF(AH61&gt;1,0,1)))</f>
        <v>0</v>
      </c>
      <c r="CT61" s="264">
        <f>IF(AX61=9,IF(AV61&lt;141,1,0),IF(AV61="",0,IF(AV61&gt;1,0,1)))</f>
        <v>0</v>
      </c>
      <c r="CU61" s="264">
        <f>IF(AI61="",0,IF(AI61&lt;502,0,1))</f>
        <v>0</v>
      </c>
      <c r="CV61" s="264">
        <f>IF(AW61="",0,IF(AW61&lt;502,0,1))</f>
        <v>0</v>
      </c>
      <c r="CW61" s="264">
        <f>IF(AI61="",IF(AJ61&lt;9,1,0),IF(AJ61&lt;9,1,0))</f>
        <v>0</v>
      </c>
      <c r="CX61" s="264">
        <f>IF(AW61="",IF(AX61&lt;9,1,0),IF(AX61&lt;9,1,0))</f>
        <v>0</v>
      </c>
      <c r="CY61" s="374"/>
      <c r="CZ61" s="374"/>
      <c r="DA61" s="374"/>
      <c r="DB61" s="374"/>
      <c r="DC61" s="265">
        <f>IF(AJ61="",0,SUM(CL61:CX61))</f>
        <v>0</v>
      </c>
      <c r="DD61" s="265">
        <f>IF(AJ61="",0,SUM(CL61,CS61,CU61,CW61))</f>
        <v>0</v>
      </c>
      <c r="DE61" s="265">
        <f>IF(AJ61="",0,SUM(CP61,CT61,CV61,CX61))</f>
        <v>0</v>
      </c>
      <c r="DF61" s="238"/>
      <c r="DG61" s="248">
        <f>IF(AL55=3,0,SUM(G61-V61))</f>
        <v>0</v>
      </c>
      <c r="DH61" s="245">
        <f>IF(F61="",0,1)</f>
        <v>0</v>
      </c>
      <c r="DI61" s="245">
        <f t="shared" si="116"/>
        <v>0</v>
      </c>
      <c r="DJ61" s="245">
        <f t="shared" si="117"/>
        <v>0</v>
      </c>
      <c r="DK61" s="245" t="str">
        <f>IF(G61="","",IF(DJ61=1,"*",""))</f>
        <v/>
      </c>
      <c r="DL61" s="245" t="str">
        <f>IF(AL55=3,"",IF(G61="","",IF(DJ61=-1,"*",IF(DJ61=0,"*",""))))</f>
        <v/>
      </c>
      <c r="DM61" s="245">
        <v>4</v>
      </c>
      <c r="DN61" s="245" t="str">
        <f t="shared" si="118"/>
        <v>4</v>
      </c>
      <c r="DO61" s="245" t="str">
        <f t="shared" si="119"/>
        <v>4</v>
      </c>
      <c r="DP61" s="245">
        <f>SUM(DQ58)</f>
        <v>0</v>
      </c>
      <c r="DQ61" s="245">
        <f>SUM(DP58)</f>
        <v>0</v>
      </c>
      <c r="DR61" s="245">
        <f t="shared" si="126"/>
        <v>0</v>
      </c>
      <c r="DS61" s="245">
        <f t="shared" si="127"/>
        <v>0</v>
      </c>
      <c r="DT61" s="245">
        <f t="shared" si="128"/>
        <v>0</v>
      </c>
      <c r="DU61" s="245">
        <f>IF(V61="",0,IF(DQ61=DS61,0,1))</f>
        <v>0</v>
      </c>
      <c r="DV61" s="267">
        <f t="shared" si="129"/>
        <v>0</v>
      </c>
      <c r="DW61" s="267">
        <f>IF(V61="",0,SUM(DU61))</f>
        <v>0</v>
      </c>
      <c r="DX61" s="238">
        <f>IF(AK61="",0,1)</f>
        <v>0</v>
      </c>
      <c r="DY61" s="238">
        <f>IF(DG61=-3,1,0)</f>
        <v>0</v>
      </c>
      <c r="DZ61" s="238">
        <f>SUM(DX61:DY61)</f>
        <v>0</v>
      </c>
      <c r="EA61" s="238">
        <f>IF(AK61="",1,0)</f>
        <v>1</v>
      </c>
      <c r="EB61" s="238">
        <f>IF(DG61=3,1,0)</f>
        <v>0</v>
      </c>
      <c r="EC61" s="238">
        <f>SUM(EA61:EB61)</f>
        <v>1</v>
      </c>
      <c r="ED61" s="267">
        <f>IF(EC61=2,1,0)</f>
        <v>0</v>
      </c>
      <c r="EE61" s="267">
        <f>IF(DZ61=2,1,0)</f>
        <v>0</v>
      </c>
      <c r="EG61" s="166"/>
      <c r="EH61" s="238"/>
      <c r="EI61" s="238"/>
      <c r="EJ61" s="238"/>
      <c r="EK61" s="238"/>
      <c r="EL61" s="238"/>
      <c r="EM61" s="245">
        <f>IF(AK61="",0,1)</f>
        <v>0</v>
      </c>
      <c r="EN61" s="245">
        <f>SUM(AK61)</f>
        <v>0</v>
      </c>
      <c r="EO61" s="268">
        <f>SUM(AJ61)</f>
        <v>0</v>
      </c>
      <c r="EP61" s="268">
        <f>SUM(G61/3)</f>
        <v>0</v>
      </c>
      <c r="EQ61" s="268" t="e">
        <f>SUM(EO61/EP61)</f>
        <v>#DIV/0!</v>
      </c>
      <c r="ER61" s="268">
        <f>ROUNDDOWN(EP61,0)</f>
        <v>0</v>
      </c>
      <c r="ES61" s="268">
        <f>SUM(EO61,-ER61*3)</f>
        <v>0</v>
      </c>
      <c r="ET61" s="269" t="b">
        <f>MOD(EN61/1,2)=0</f>
        <v>1</v>
      </c>
      <c r="EU61" s="245">
        <f>IF(ET61=FALSE,1,0)</f>
        <v>0</v>
      </c>
      <c r="EV61" s="245">
        <f>IF(EN61=50,0,IF(EN61&lt;40,1,0))</f>
        <v>1</v>
      </c>
      <c r="EW61" s="245">
        <f>SUM(EU61:EV61)</f>
        <v>1</v>
      </c>
      <c r="EX61" s="267">
        <f>IF(EN61=1,1,IF(EN61=50,0,IF(ES61=1,IF(EN61&gt;40,1,0),0)))</f>
        <v>0</v>
      </c>
      <c r="EY61" s="267">
        <f>IF(ES61=1,IF(EW61=2,1,0),0)+EX61+FB61+FE61</f>
        <v>0</v>
      </c>
      <c r="EZ61" s="245">
        <f>IF(EN61=109,1,IF(EN61=108,1,IF(EN61=106,1,IF(EN61=105,1,IF(EN61=103,1,IF(EN61=102,1,IF(EN61=99,1,0)))))))</f>
        <v>0</v>
      </c>
      <c r="FA61" s="245">
        <f>IF(EN61&gt;110,1,0)</f>
        <v>0</v>
      </c>
      <c r="FB61" s="267">
        <f>IF(ES61=2,SUM(EZ61:FA61),0)</f>
        <v>0</v>
      </c>
      <c r="FC61" s="245">
        <f>IF(EN61=159,1,IF(EN61=162,1,IF(EN61=163,1,IF(EN61=165,1,IF(EN61=166,1,IF(EN61=168,1,IF(EN61=169,1,0)))))))</f>
        <v>0</v>
      </c>
      <c r="FD61" s="245">
        <f>IF(EN61&gt;170,1,0)</f>
        <v>0</v>
      </c>
      <c r="FE61" s="267">
        <f>IF(ES61=0,SUM(FC61:FD61),0)</f>
        <v>0</v>
      </c>
      <c r="FF61" s="251">
        <f t="shared" si="120"/>
        <v>0</v>
      </c>
      <c r="FG61" s="238"/>
      <c r="FH61" s="245">
        <f>IF(AY61="",0,1)</f>
        <v>0</v>
      </c>
      <c r="FI61" s="245">
        <f>SUM(AY61)</f>
        <v>0</v>
      </c>
      <c r="FJ61" s="268">
        <f>SUM(AX61)</f>
        <v>0</v>
      </c>
      <c r="FK61" s="268">
        <f>SUM(V61/3)</f>
        <v>0</v>
      </c>
      <c r="FL61" s="268" t="e">
        <f>SUM(FJ61/FK61)</f>
        <v>#DIV/0!</v>
      </c>
      <c r="FM61" s="268">
        <f>ROUNDDOWN(FK61,0)</f>
        <v>0</v>
      </c>
      <c r="FN61" s="268">
        <f>SUM(FJ61,-FM61*3)</f>
        <v>0</v>
      </c>
      <c r="FO61" s="269" t="b">
        <f>MOD(FI61/1,2)=0</f>
        <v>1</v>
      </c>
      <c r="FP61" s="245">
        <f>IF(FO61=FALSE,1,0)</f>
        <v>0</v>
      </c>
      <c r="FQ61" s="245">
        <f>IF(FI61=50,0,IF(FI61&lt;40,1,0))</f>
        <v>1</v>
      </c>
      <c r="FR61" s="245">
        <f>SUM(FP61:FQ61)</f>
        <v>1</v>
      </c>
      <c r="FS61" s="267">
        <f>IF(FI61=1,1,IF(FI61=50,0,IF(FN61=1,IF(FI61&gt;40,1,0),0)))</f>
        <v>0</v>
      </c>
      <c r="FT61" s="267">
        <f>IF(FN61=1,IF(FR61=2,1,0),0)+FS61+FW61+FZ61</f>
        <v>0</v>
      </c>
      <c r="FU61" s="245">
        <f>IF(FI61=109,1,IF(FI61=108,1,IF(FI61=106,1,IF(FI61=105,1,IF(FI61=103,1,IF(FI61=102,1,IF(FI61=99,1,0)))))))</f>
        <v>0</v>
      </c>
      <c r="FV61" s="245">
        <f>IF(FI61&gt;110,1,0)</f>
        <v>0</v>
      </c>
      <c r="FW61" s="267">
        <f>IF(FN61=2,SUM(FU61:FV61),0)</f>
        <v>0</v>
      </c>
      <c r="FX61" s="245">
        <f>IF(FI61=159,1,IF(FI61=162,1,IF(FI61=163,1,IF(FI61=165,1,IF(FI61=166,1,IF(FI61=168,1,IF(FI61=169,1,0)))))))</f>
        <v>0</v>
      </c>
      <c r="FY61" s="245">
        <f>IF(FI61&gt;170,1,0)</f>
        <v>0</v>
      </c>
      <c r="FZ61" s="267">
        <f>IF(FN61=0,SUM(FX61:FY61),0)</f>
        <v>0</v>
      </c>
      <c r="GA61" s="251">
        <f t="shared" si="121"/>
        <v>0</v>
      </c>
      <c r="GC61" s="238" t="str">
        <f>VLOOKUP(AH55,Chema!BL:BR,4,FALSE)</f>
        <v>GS 1.4</v>
      </c>
      <c r="GD61" s="341">
        <f>IF(T65="FORFAIT",1,0)</f>
        <v>0</v>
      </c>
      <c r="GE61" s="343" t="str">
        <f>IF(R65="","",SUM(R65))</f>
        <v/>
      </c>
      <c r="GF61" s="344">
        <f>SUM(AV58)</f>
        <v>0</v>
      </c>
      <c r="GG61" s="344">
        <f>SUM(AX58)</f>
        <v>0</v>
      </c>
      <c r="GH61" s="344">
        <f t="shared" ref="GH61" si="130">SUM(AY58)</f>
        <v>0</v>
      </c>
      <c r="GI61" s="344">
        <f t="shared" ref="GI61" si="131">SUM(AZ58)</f>
        <v>0</v>
      </c>
      <c r="GJ61" s="344">
        <f>SUM(AV59)</f>
        <v>0</v>
      </c>
      <c r="GK61" s="344">
        <f>SUM(AX59)</f>
        <v>0</v>
      </c>
      <c r="GL61" s="344">
        <f>SUM(AY59)</f>
        <v>0</v>
      </c>
      <c r="GM61" s="344">
        <f>SUM(AZ59)</f>
        <v>0</v>
      </c>
      <c r="GN61" s="344">
        <f>SUM(AV60)</f>
        <v>0</v>
      </c>
      <c r="GO61" s="344">
        <f>SUM(AX60)</f>
        <v>0</v>
      </c>
      <c r="GP61" s="344">
        <f>SUM(AY60)</f>
        <v>0</v>
      </c>
      <c r="GQ61" s="344">
        <f>SUM(AZ60)</f>
        <v>0</v>
      </c>
      <c r="GR61" s="344">
        <f>SUM(AV61)</f>
        <v>0</v>
      </c>
      <c r="GS61" s="344">
        <f>SUM(AX61)</f>
        <v>0</v>
      </c>
      <c r="GT61" s="344">
        <f>SUM(AY61)</f>
        <v>0</v>
      </c>
      <c r="GU61" s="344">
        <f>SUM(AZ61)</f>
        <v>0</v>
      </c>
      <c r="GV61" s="344">
        <f>SUM(AV62)</f>
        <v>0</v>
      </c>
      <c r="GW61" s="344">
        <f>SUM(AX62)</f>
        <v>0</v>
      </c>
      <c r="GX61" s="344">
        <f>SUM(AY62)</f>
        <v>0</v>
      </c>
      <c r="GY61" s="344">
        <f>SUM(AZ62)</f>
        <v>0</v>
      </c>
      <c r="GZ61" s="344">
        <f>SUM(GF61,GJ61,GN61,GR61,GV61)</f>
        <v>0</v>
      </c>
      <c r="HA61" s="344">
        <f t="shared" ref="HA61" si="132">SUM(GG61,GK61,GO61,GS61,GW61)</f>
        <v>0</v>
      </c>
      <c r="HB61" s="344">
        <f>IF(GD58=1,P65,MAX(GH61,GL61,GP61,GT61,GX61))</f>
        <v>0</v>
      </c>
      <c r="HC61" s="344">
        <f>IF(GD58=1,X65,SUM(GI61,GM61,GQ61,GU61,GY61))</f>
        <v>0</v>
      </c>
      <c r="HD61" s="345">
        <f>IF(GD58=1,0,SUM(GF61,GJ61,GN61,GR61,GV61))</f>
        <v>0</v>
      </c>
      <c r="HE61" s="345">
        <f>IF(GD58=1,0,SUM(GG61,GK61,GO61,GS61,GW61))</f>
        <v>0</v>
      </c>
      <c r="HF61" s="341">
        <f>IF(GD58=1,0,MIN(HI61,HJ61,HK61,HL61,HM61))</f>
        <v>0</v>
      </c>
      <c r="HG61" s="341">
        <f>IF(HF61=0,0,COUNTIF(HI61:HM61,HF61))</f>
        <v>0</v>
      </c>
      <c r="HH61" s="341">
        <f>SUM(GH62,GL62,GP62,GT62,GX62)</f>
        <v>0</v>
      </c>
      <c r="HI61" s="343" t="str">
        <f>IF(GH62=1,GG61,"")</f>
        <v/>
      </c>
      <c r="HJ61" s="343" t="str">
        <f>IF(GL62=1,GK61,"")</f>
        <v/>
      </c>
      <c r="HK61" s="343" t="str">
        <f>IF(GP62=1,GO61,"")</f>
        <v/>
      </c>
      <c r="HL61" s="343" t="str">
        <f>IF(GT62=1,GS61,"")</f>
        <v/>
      </c>
      <c r="HM61" s="343" t="str">
        <f>IF(GX62=1,GW61,"")</f>
        <v/>
      </c>
      <c r="HN61" s="341"/>
      <c r="HO61" s="341"/>
      <c r="HP61" s="341"/>
      <c r="HQ61" s="341"/>
      <c r="HR61" s="341"/>
      <c r="HS61" s="238"/>
      <c r="HT61" s="238"/>
      <c r="HU61" s="238"/>
      <c r="HV61" s="238"/>
      <c r="HW61" s="238" t="str">
        <f>IFERROR(IF(GD58=0,SUM(IB60:IC60),""),"")</f>
        <v/>
      </c>
      <c r="HY61" s="238"/>
      <c r="ID61" s="238"/>
    </row>
    <row r="62" spans="1:238" s="234" customFormat="1" ht="20.100000000000001" customHeight="1">
      <c r="A62" s="235"/>
      <c r="B62" s="231">
        <f>COUNT(AJ63,AJ62)</f>
        <v>1</v>
      </c>
      <c r="C62" s="235"/>
      <c r="D62" s="271" t="str">
        <f>REPT(DN62,1)</f>
        <v>5</v>
      </c>
      <c r="E62" s="254" t="str">
        <f>REPT(AH62,1)</f>
        <v/>
      </c>
      <c r="F62" s="168"/>
      <c r="G62" s="168"/>
      <c r="H62" s="168"/>
      <c r="I62" s="169"/>
      <c r="J62" s="272" t="str">
        <f>REPT(AM62,1)</f>
        <v/>
      </c>
      <c r="L62" s="310"/>
      <c r="M62" s="310"/>
      <c r="N62" s="272" t="str">
        <f>REPT(AP62,1)</f>
        <v/>
      </c>
      <c r="O62" s="118"/>
      <c r="Q62" s="310"/>
      <c r="R62" s="235"/>
      <c r="S62" s="271" t="str">
        <f>REPT(DO62,1)</f>
        <v>5</v>
      </c>
      <c r="T62" s="254" t="str">
        <f>REPT(AV62,1)</f>
        <v/>
      </c>
      <c r="U62" s="168"/>
      <c r="V62" s="168"/>
      <c r="W62" s="168"/>
      <c r="X62" s="169"/>
      <c r="Y62" s="272" t="str">
        <f>REPT(BA62,1)</f>
        <v/>
      </c>
      <c r="Z62" s="308"/>
      <c r="AA62" s="238">
        <f>SUM(AL55)</f>
        <v>5</v>
      </c>
      <c r="AB62" s="234">
        <f>IF(AY62="",0,IF(AY62&lt;2,1,""))</f>
        <v>0</v>
      </c>
      <c r="AC62" s="238">
        <f>IF(AL55=3,0,IF(AD62=1,1,IF(AD62=3,1,IF(AD62=2,0,IF(AD62=0,0,0)))))</f>
        <v>0</v>
      </c>
      <c r="AD62" s="256">
        <f t="shared" si="110"/>
        <v>0</v>
      </c>
      <c r="AE62" s="256">
        <f t="shared" si="104"/>
        <v>0</v>
      </c>
      <c r="AF62" s="256">
        <f t="shared" si="105"/>
        <v>0</v>
      </c>
      <c r="AG62" s="256">
        <f t="shared" si="111"/>
        <v>0</v>
      </c>
      <c r="AH62" s="257" t="str">
        <f>IF(AL55=3,"",IF(AK62="",IF(AI62="","",IF(AI62="",501,501-AI62)),501))</f>
        <v/>
      </c>
      <c r="AI62" s="256" t="str">
        <f>IF(AL55=3,"",IF(F62&gt;1,F62,IF(F62=0,"",IF(F62="","",""))))</f>
        <v/>
      </c>
      <c r="AJ62" s="256" t="str">
        <f>IF(AL55=3,"",IF(G62&gt;8,G62,IF(G62="","","")))</f>
        <v/>
      </c>
      <c r="AK62" s="256" t="str">
        <f>IF(AL55=3,"",IF(H62&gt;1,H62,IF(H62="","","")))</f>
        <v/>
      </c>
      <c r="AL62" s="256" t="str">
        <f>IF(AL55=3,"",IF(I62&gt;0,I62,IF(I62="","","")))</f>
        <v/>
      </c>
      <c r="AM62" s="258" t="str">
        <f>IF(BK62=0,"","X")</f>
        <v/>
      </c>
      <c r="AN62" s="237"/>
      <c r="AO62" s="237"/>
      <c r="AP62" s="258" t="str">
        <f>IF(BM62=0,"","X")</f>
        <v/>
      </c>
      <c r="AQ62" s="236">
        <f>IF(AL55=3,0,IF(AR62=1,1,IF(AR62=3,1,IF(AR62=2,0,IF(AR62=0,0,0)))))</f>
        <v>0</v>
      </c>
      <c r="AR62" s="256">
        <f t="shared" si="113"/>
        <v>0</v>
      </c>
      <c r="AS62" s="256">
        <f t="shared" si="106"/>
        <v>0</v>
      </c>
      <c r="AT62" s="256">
        <f t="shared" si="107"/>
        <v>0</v>
      </c>
      <c r="AU62" s="256">
        <f t="shared" si="114"/>
        <v>0</v>
      </c>
      <c r="AV62" s="257" t="str">
        <f>IF(AY62="",IF(AW62="","",IF(AW62="",501,501-AW62)),501)</f>
        <v/>
      </c>
      <c r="AW62" s="256" t="str">
        <f>IF(AL55=3,"",IF(U62&gt;1,U62,IF(U62=0,"",IF(U62="","",""))))</f>
        <v/>
      </c>
      <c r="AX62" s="256" t="str">
        <f>IF(AL55=3,"",IF(V62&gt;8,V62,IF(V62="","","")))</f>
        <v/>
      </c>
      <c r="AY62" s="256" t="str">
        <f>IF(AL55=3,"",IF(W62&gt;1,W62,IF(W62="","","")))</f>
        <v/>
      </c>
      <c r="AZ62" s="256" t="str">
        <f>IF(AL55=3,"",IF(X62&gt;0,X62,IF(X62="","","")))</f>
        <v/>
      </c>
      <c r="BA62" s="258" t="str">
        <f>IF(BL62=0,"","X")</f>
        <v/>
      </c>
      <c r="BK62" s="251">
        <f>IF(AL55=3,0,SUM(DD62,DV62,EY62,ED62,FF62,BQ62,BS62,AC62))</f>
        <v>0</v>
      </c>
      <c r="BL62" s="251">
        <f>SUM(DE62,DW62,EE62,FT62,GA62,BR62,BT62,AQ62)</f>
        <v>0</v>
      </c>
      <c r="BM62" s="259">
        <f>IF(AL55=3,0,SUM(DC62,BK62:BL62,AC62,AQ62))</f>
        <v>0</v>
      </c>
      <c r="BN62" s="239">
        <f>COUNT(AK62)</f>
        <v>0</v>
      </c>
      <c r="BO62" s="239">
        <f>COUNT(AY62)</f>
        <v>0</v>
      </c>
      <c r="BP62" s="239">
        <f>IF(BN64=0,0,1)</f>
        <v>0</v>
      </c>
      <c r="BQ62" s="260">
        <f>IF(AL62="",0,IF(AL62&gt;2,1,0))</f>
        <v>0</v>
      </c>
      <c r="BR62" s="261">
        <f>IF(AZ62="",0,IF(AZ62&gt;2,1,0))</f>
        <v>0</v>
      </c>
      <c r="BS62" s="262">
        <f>IF(AJ62=9,IF(AK62&lt;141,1,0),0)</f>
        <v>0</v>
      </c>
      <c r="BT62" s="263">
        <f>IF(AX62=9,IF(AY62&lt;141,1,0),0)</f>
        <v>0</v>
      </c>
      <c r="BU62" s="242">
        <f>IF(AL55=3,0,IF(H62,G62,0))</f>
        <v>0</v>
      </c>
      <c r="BV62" s="238">
        <f>IF(BU62&gt;0,AJ62/3,0)</f>
        <v>0</v>
      </c>
      <c r="BW62" s="238">
        <f>ROUNDUP(BV62,0)</f>
        <v>0</v>
      </c>
      <c r="BX62" s="244">
        <f>IF(MOD(BW62,2)=0,BW62,BW62+1)</f>
        <v>0</v>
      </c>
      <c r="BY62" s="238">
        <f>IF(AJ62&lt;9,"",SUM(BX62-BW62))</f>
        <v>0</v>
      </c>
      <c r="BZ62" s="238">
        <f>IF(BY62=1,AK62,0)</f>
        <v>0</v>
      </c>
      <c r="CA62" s="243" t="str">
        <f>IF(BY62=0,AK62,0)</f>
        <v/>
      </c>
      <c r="CB62" s="238"/>
      <c r="CC62" s="238"/>
      <c r="CD62" s="242">
        <f>IF(AL55=3,0,IF(W62,V62,0))</f>
        <v>0</v>
      </c>
      <c r="CE62" s="238">
        <f>IF(CD62&gt;0,AX62/3,0)</f>
        <v>0</v>
      </c>
      <c r="CF62" s="238">
        <f>ROUNDUP(CE62,0)</f>
        <v>0</v>
      </c>
      <c r="CG62" s="244">
        <f>IF(MOD(CF62,2)=0,CF62,CF62+1)</f>
        <v>0</v>
      </c>
      <c r="CH62" s="238">
        <f>IF(AX62&lt;9,"",SUM(CG62-CF62))</f>
        <v>0</v>
      </c>
      <c r="CI62" s="238">
        <f>IF(CH62=1,AY62,0)</f>
        <v>0</v>
      </c>
      <c r="CJ62" s="243" t="str">
        <f>IF(CH62=0,AY62,0)</f>
        <v/>
      </c>
      <c r="CK62" s="238"/>
      <c r="CL62" s="245">
        <f>IF(COUNT(F62,H62)=1,0,1)</f>
        <v>1</v>
      </c>
      <c r="CM62" s="245">
        <f>IF(COUNT(F62,U62)=1,0,1)</f>
        <v>1</v>
      </c>
      <c r="CN62" s="245">
        <f>IF(COUNT(H62,W62)=1,0,1)</f>
        <v>1</v>
      </c>
      <c r="CO62" s="245">
        <f>IF(COUNT(G62,V62)=2,0,1)</f>
        <v>1</v>
      </c>
      <c r="CP62" s="245">
        <f>IF(COUNT(U62,W62)=1,0,1)</f>
        <v>1</v>
      </c>
      <c r="CQ62" s="245">
        <f>IF(SUM(G62-V62)&gt;3,1,0)</f>
        <v>0</v>
      </c>
      <c r="CR62" s="245">
        <f>IF(SUM(G62-V62)&lt;-3,1,0)</f>
        <v>0</v>
      </c>
      <c r="CS62" s="264">
        <f>IF(AJ62=9,IF(AH62&lt;141,1,0),IF(AH62="",0,IF(AH62&gt;1,0,1)))</f>
        <v>0</v>
      </c>
      <c r="CT62" s="264">
        <f>IF(AX62=9,IF(AV62&lt;141,1,0),IF(AV62="",0,IF(AV62&gt;1,0,1)))</f>
        <v>0</v>
      </c>
      <c r="CU62" s="264">
        <f>IF(AI62="",0,IF(AI62&lt;502,0,1))</f>
        <v>0</v>
      </c>
      <c r="CV62" s="264">
        <f>IF(AW62="",0,IF(AW62&lt;502,0,1))</f>
        <v>0</v>
      </c>
      <c r="CW62" s="264">
        <f>IF(AI62="",IF(AJ62&lt;9,1,0),IF(AJ62&lt;9,1,0))</f>
        <v>0</v>
      </c>
      <c r="CX62" s="264">
        <f>IF(AW62="",IF(AX62&lt;9,1,0),IF(AX62&lt;9,1,0))</f>
        <v>0</v>
      </c>
      <c r="CY62" s="374"/>
      <c r="CZ62" s="374"/>
      <c r="DA62" s="374"/>
      <c r="DB62" s="374"/>
      <c r="DC62" s="265">
        <f>IF(AJ62="",0,SUM(CL62:CX62))</f>
        <v>0</v>
      </c>
      <c r="DD62" s="265">
        <f>IF(AJ62="",0,SUM(CL62,CS62,CU62,CW62))</f>
        <v>0</v>
      </c>
      <c r="DE62" s="265">
        <f>IF(AJ62="",0,SUM(CP62,CT62,CV62,CX62))</f>
        <v>0</v>
      </c>
      <c r="DF62" s="238"/>
      <c r="DG62" s="248">
        <f>IF(AL55=3,0,SUM(G62-V62))</f>
        <v>0</v>
      </c>
      <c r="DH62" s="245">
        <f>IF(F62="",0,1)</f>
        <v>0</v>
      </c>
      <c r="DI62" s="245">
        <f t="shared" si="116"/>
        <v>0</v>
      </c>
      <c r="DJ62" s="245">
        <f t="shared" si="117"/>
        <v>0</v>
      </c>
      <c r="DK62" s="245" t="str">
        <f>IF(G62="","",IF(DJ62=1,"*",""))</f>
        <v/>
      </c>
      <c r="DL62" s="245" t="str">
        <f>IF(AL55=3,"",IF(G62="","",IF(DJ62=-1,"*",IF(DJ62=0,"*",""))))</f>
        <v/>
      </c>
      <c r="DM62" s="245">
        <v>5</v>
      </c>
      <c r="DN62" s="245" t="str">
        <f t="shared" si="118"/>
        <v>5</v>
      </c>
      <c r="DO62" s="245" t="str">
        <f t="shared" si="119"/>
        <v>5</v>
      </c>
      <c r="DP62" s="245">
        <f>SUM(DP58)</f>
        <v>0</v>
      </c>
      <c r="DQ62" s="245">
        <f>SUM(DQ58)</f>
        <v>0</v>
      </c>
      <c r="DR62" s="245">
        <f t="shared" si="126"/>
        <v>0</v>
      </c>
      <c r="DS62" s="245">
        <f t="shared" si="127"/>
        <v>0</v>
      </c>
      <c r="DT62" s="245">
        <f t="shared" si="128"/>
        <v>0</v>
      </c>
      <c r="DU62" s="245">
        <f>IF(V62="",0,IF(DQ62=DS62,0,1))</f>
        <v>0</v>
      </c>
      <c r="DV62" s="267">
        <f t="shared" si="129"/>
        <v>0</v>
      </c>
      <c r="DW62" s="267">
        <f>IF(V62="",0,SUM(DU62))</f>
        <v>0</v>
      </c>
      <c r="DX62" s="238">
        <f>IF(AK62="",0,1)</f>
        <v>0</v>
      </c>
      <c r="DY62" s="238">
        <f>IF(DG62=-3,1,0)</f>
        <v>0</v>
      </c>
      <c r="DZ62" s="238">
        <f>SUM(DX62:DY62)</f>
        <v>0</v>
      </c>
      <c r="EA62" s="238">
        <f>IF(AK62="",1,0)</f>
        <v>1</v>
      </c>
      <c r="EB62" s="238">
        <f>IF(DG62=3,1,0)</f>
        <v>0</v>
      </c>
      <c r="EC62" s="238">
        <f>SUM(EA62:EB62)</f>
        <v>1</v>
      </c>
      <c r="ED62" s="267">
        <f>IF(EC62=2,1,0)</f>
        <v>0</v>
      </c>
      <c r="EE62" s="267">
        <f>IF(DZ62=2,1,0)</f>
        <v>0</v>
      </c>
      <c r="EG62" s="166"/>
      <c r="EH62" s="238"/>
      <c r="EI62" s="238"/>
      <c r="EJ62" s="238"/>
      <c r="EK62" s="238"/>
      <c r="EL62" s="238"/>
      <c r="EM62" s="245">
        <f>IF(AK62="",0,1)</f>
        <v>0</v>
      </c>
      <c r="EN62" s="245">
        <f>SUM(AK62)</f>
        <v>0</v>
      </c>
      <c r="EO62" s="268">
        <f>SUM(AJ62)</f>
        <v>0</v>
      </c>
      <c r="EP62" s="268">
        <f>SUM(G62/3)</f>
        <v>0</v>
      </c>
      <c r="EQ62" s="268" t="e">
        <f>SUM(EO62/EP62)</f>
        <v>#DIV/0!</v>
      </c>
      <c r="ER62" s="268">
        <f>ROUNDDOWN(EP62,0)</f>
        <v>0</v>
      </c>
      <c r="ES62" s="268">
        <f>SUM(EO62,-ER62*3)</f>
        <v>0</v>
      </c>
      <c r="ET62" s="269" t="b">
        <f>MOD(EN62/1,2)=0</f>
        <v>1</v>
      </c>
      <c r="EU62" s="245">
        <f>IF(ET62=FALSE,1,0)</f>
        <v>0</v>
      </c>
      <c r="EV62" s="245">
        <f>IF(EN62=50,0,IF(EN62&lt;40,1,0))</f>
        <v>1</v>
      </c>
      <c r="EW62" s="245">
        <f>SUM(EU62:EV62)</f>
        <v>1</v>
      </c>
      <c r="EX62" s="267">
        <f>IF(EN62=1,1,IF(EN62=50,0,IF(ES62=1,IF(EN62&gt;40,1,0),0)))</f>
        <v>0</v>
      </c>
      <c r="EY62" s="267">
        <f>IF(ES62=1,IF(EW62=2,1,0),0)+EX62+FB62+FE62</f>
        <v>0</v>
      </c>
      <c r="EZ62" s="245">
        <f>IF(EN62=109,1,IF(EN62=108,1,IF(EN62=106,1,IF(EN62=105,1,IF(EN62=103,1,IF(EN62=102,1,IF(EN62=99,1,0)))))))</f>
        <v>0</v>
      </c>
      <c r="FA62" s="245">
        <f>IF(EN62&gt;110,1,0)</f>
        <v>0</v>
      </c>
      <c r="FB62" s="267">
        <f>IF(ES62=2,SUM(EZ62:FA62),0)</f>
        <v>0</v>
      </c>
      <c r="FC62" s="245">
        <f>IF(EN62=159,1,IF(EN62=162,1,IF(EN62=163,1,IF(EN62=165,1,IF(EN62=166,1,IF(EN62=168,1,IF(EN62=169,1,0)))))))</f>
        <v>0</v>
      </c>
      <c r="FD62" s="245">
        <f>IF(EN62&gt;170,1,0)</f>
        <v>0</v>
      </c>
      <c r="FE62" s="267">
        <f>IF(ES62=0,SUM(FC62:FD62),0)</f>
        <v>0</v>
      </c>
      <c r="FF62" s="251">
        <f t="shared" si="120"/>
        <v>0</v>
      </c>
      <c r="FG62" s="238"/>
      <c r="FH62" s="245">
        <f>IF(AY62="",0,1)</f>
        <v>0</v>
      </c>
      <c r="FI62" s="245">
        <f>SUM(AY62)</f>
        <v>0</v>
      </c>
      <c r="FJ62" s="268">
        <f>SUM(AX62)</f>
        <v>0</v>
      </c>
      <c r="FK62" s="268">
        <f>SUM(V62/3)</f>
        <v>0</v>
      </c>
      <c r="FL62" s="268" t="e">
        <f>SUM(FJ62/FK62)</f>
        <v>#DIV/0!</v>
      </c>
      <c r="FM62" s="268">
        <f>ROUNDDOWN(FK62,0)</f>
        <v>0</v>
      </c>
      <c r="FN62" s="268">
        <f>SUM(FJ62,-FM62*3)</f>
        <v>0</v>
      </c>
      <c r="FO62" s="269" t="b">
        <f>MOD(FI62/1,2)=0</f>
        <v>1</v>
      </c>
      <c r="FP62" s="245">
        <f>IF(FO62=FALSE,1,0)</f>
        <v>0</v>
      </c>
      <c r="FQ62" s="245">
        <f>IF(FI62=50,0,IF(FI62&lt;40,1,0))</f>
        <v>1</v>
      </c>
      <c r="FR62" s="245">
        <f>SUM(FP62:FQ62)</f>
        <v>1</v>
      </c>
      <c r="FS62" s="267">
        <f>IF(FI62=1,1,IF(FI62=50,0,IF(FN62=1,IF(FI62&gt;40,1,0),0)))</f>
        <v>0</v>
      </c>
      <c r="FT62" s="267">
        <f>IF(FN62=1,IF(FR62=2,1,0),0)+FS62+FW62+FZ62</f>
        <v>0</v>
      </c>
      <c r="FU62" s="245">
        <f>IF(FI62=109,1,IF(FI62=108,1,IF(FI62=106,1,IF(FI62=105,1,IF(FI62=103,1,IF(FI62=102,1,IF(FI62=99,1,0)))))))</f>
        <v>0</v>
      </c>
      <c r="FV62" s="245">
        <f>IF(FI62&gt;110,1,0)</f>
        <v>0</v>
      </c>
      <c r="FW62" s="267">
        <f>IF(FN62=2,SUM(FU62:FV62),0)</f>
        <v>0</v>
      </c>
      <c r="FX62" s="245">
        <f>IF(FI62=159,1,IF(FI62=162,1,IF(FI62=163,1,IF(FI62=165,1,IF(FI62=166,1,IF(FI62=168,1,IF(FI62=169,1,0)))))))</f>
        <v>0</v>
      </c>
      <c r="FY62" s="245">
        <f>IF(FI62&gt;170,1,0)</f>
        <v>0</v>
      </c>
      <c r="FZ62" s="267">
        <f>IF(FN62=0,SUM(FX62:FY62),0)</f>
        <v>0</v>
      </c>
      <c r="GA62" s="251">
        <f t="shared" si="121"/>
        <v>0</v>
      </c>
      <c r="GC62" s="238" t="str">
        <f>VLOOKUP(AH55,Chema!BL:BR,5,FALSE)</f>
        <v/>
      </c>
      <c r="GD62" s="341"/>
      <c r="GE62" s="343" t="str">
        <f>IF(R66="","",SUM(R66))</f>
        <v/>
      </c>
      <c r="GF62" s="340"/>
      <c r="GG62" s="346"/>
      <c r="GH62" s="343">
        <f>IF(GH61&gt;0,1,0)</f>
        <v>0</v>
      </c>
      <c r="GI62" s="346"/>
      <c r="GJ62" s="343"/>
      <c r="GK62" s="346"/>
      <c r="GL62" s="343">
        <f>IF(GL61&gt;0,1,0)</f>
        <v>0</v>
      </c>
      <c r="GM62" s="343"/>
      <c r="GN62" s="343"/>
      <c r="GO62" s="346"/>
      <c r="GP62" s="343">
        <f>IF(GP61&gt;0,1,0)</f>
        <v>0</v>
      </c>
      <c r="GQ62" s="343"/>
      <c r="GR62" s="343"/>
      <c r="GS62" s="346"/>
      <c r="GT62" s="343">
        <f>IF(GT61&gt;0,1,0)</f>
        <v>0</v>
      </c>
      <c r="GU62" s="343"/>
      <c r="GV62" s="343"/>
      <c r="GW62" s="346"/>
      <c r="GX62" s="343">
        <f>IF(GX61&gt;0,1,0)</f>
        <v>0</v>
      </c>
      <c r="GY62" s="340"/>
      <c r="GZ62" s="343"/>
      <c r="HA62" s="343"/>
      <c r="HB62" s="343" t="str">
        <f>IF(GD58=1,P66,"")</f>
        <v/>
      </c>
      <c r="HC62" s="343" t="str">
        <f>IF(GD58=1,X66,"")</f>
        <v/>
      </c>
      <c r="HD62" s="340"/>
      <c r="HE62" s="340"/>
      <c r="HF62" s="340"/>
      <c r="HG62" s="340">
        <f>IF(HG60=HM58,0,IF(HG60=HM62,0,1))</f>
        <v>0</v>
      </c>
      <c r="HH62" s="340">
        <f>IF(HH59=HH61,1,0)</f>
        <v>1</v>
      </c>
      <c r="HI62" s="340"/>
      <c r="HJ62" s="340"/>
      <c r="HK62" s="340"/>
      <c r="HL62" s="340"/>
      <c r="HM62" s="341">
        <f>COUNT(HI61,HJ61,HK61,HL61,HM61)</f>
        <v>0</v>
      </c>
      <c r="HN62" s="341"/>
      <c r="HO62" s="341"/>
      <c r="HP62" s="341"/>
      <c r="HQ62" s="341"/>
      <c r="HR62" s="341"/>
      <c r="HS62" s="238"/>
      <c r="HT62" s="238"/>
      <c r="HU62" s="238"/>
      <c r="HV62" s="238"/>
      <c r="HX62" s="238"/>
      <c r="HY62" s="238"/>
      <c r="ID62" s="238"/>
    </row>
    <row r="63" spans="1:238" s="234" customFormat="1" ht="6.6" customHeight="1">
      <c r="A63" s="235"/>
      <c r="B63" s="231"/>
      <c r="C63" s="310"/>
      <c r="D63" s="310"/>
      <c r="E63" s="310"/>
      <c r="F63" s="310"/>
      <c r="G63" s="313"/>
      <c r="H63" s="310"/>
      <c r="I63" s="310"/>
      <c r="J63" s="273"/>
      <c r="K63" s="313"/>
      <c r="O63" s="118"/>
      <c r="R63" s="310"/>
      <c r="S63" s="310"/>
      <c r="T63" s="310"/>
      <c r="U63" s="310"/>
      <c r="V63" s="313"/>
      <c r="W63" s="310"/>
      <c r="X63" s="310"/>
      <c r="Y63" s="273"/>
      <c r="Z63" s="308"/>
      <c r="AA63" s="274"/>
      <c r="AD63" s="235"/>
      <c r="AE63" s="237">
        <f>IF(AF63=0,0,1)</f>
        <v>0</v>
      </c>
      <c r="AF63" s="237">
        <f>IF(AL63=0,0,SUM(AL65:AL66,-AL64))</f>
        <v>0</v>
      </c>
      <c r="AG63" s="237"/>
      <c r="AH63" s="275">
        <f>SUM(AH58,AH59,AH60,AH61,AH62)</f>
        <v>0</v>
      </c>
      <c r="AI63" s="275">
        <f t="shared" ref="AI63" si="133">SUM(AI58,AI59,AI60,AI61,AI62)</f>
        <v>0</v>
      </c>
      <c r="AJ63" s="275">
        <f t="shared" ref="AJ63" si="134">SUM(AJ58,AJ59,AJ60,AJ61,AJ62)</f>
        <v>0</v>
      </c>
      <c r="AK63" s="275">
        <f>MAX(AK58,AK59,AK60,AK61,AK62)</f>
        <v>0</v>
      </c>
      <c r="AL63" s="275">
        <f t="shared" ref="AL63" si="135">SUM(AL58,AL59,AL60,AL61,AL62)</f>
        <v>0</v>
      </c>
      <c r="AM63" s="275">
        <f>IF(AK55="D",SUM(AL58,AL59,AL60,AL61,AL62,-AL65,-AL66),0)</f>
        <v>0</v>
      </c>
      <c r="AN63" s="235"/>
      <c r="AO63" s="235"/>
      <c r="AP63" s="235"/>
      <c r="AQ63" s="235"/>
      <c r="AR63" s="235"/>
      <c r="AS63" s="237">
        <f>IF(AT63=0,0,1)</f>
        <v>0</v>
      </c>
      <c r="AT63" s="237">
        <f>IF(AZ63=0,0,SUM(AZ65:AZ66,-AZ64))</f>
        <v>0</v>
      </c>
      <c r="AU63" s="237"/>
      <c r="AV63" s="275">
        <f>SUM(AV58,AV59,AV60,AV61,AV62)</f>
        <v>0</v>
      </c>
      <c r="AW63" s="275">
        <f t="shared" ref="AW63" si="136">SUM(AW58,AW59,AW60,AW61,AW62)</f>
        <v>0</v>
      </c>
      <c r="AX63" s="275">
        <f t="shared" ref="AX63" si="137">SUM(AX58,AX59,AX60,AX61,AX62)</f>
        <v>0</v>
      </c>
      <c r="AY63" s="275">
        <f>MAX(AY58,AY59,AY60,AY61,AY62)</f>
        <v>0</v>
      </c>
      <c r="AZ63" s="275">
        <f t="shared" ref="AZ63" si="138">SUM(AZ58,AZ59,AZ60,AZ61,AZ62)</f>
        <v>0</v>
      </c>
      <c r="BA63" s="275">
        <f>IF(AK55="D",SUM(AZ58,AZ59,AZ60,AZ61,AZ62,-AZ65,-AZ66),0)</f>
        <v>0</v>
      </c>
      <c r="BJ63" s="236"/>
      <c r="BK63" s="238"/>
      <c r="BL63" s="238"/>
      <c r="BM63" s="238"/>
      <c r="BP63" s="238"/>
      <c r="BQ63" s="238"/>
      <c r="BR63" s="238"/>
      <c r="BS63" s="238"/>
      <c r="BT63" s="238"/>
      <c r="BU63" s="238"/>
      <c r="BY63" s="238"/>
      <c r="BZ63" s="238">
        <f>MAX(BZ58,BZ59,BZ60,BZ61,BZ62)</f>
        <v>0</v>
      </c>
      <c r="CA63" s="238">
        <f>MAX(CA58,CA59,CA60,CA61,CA62)</f>
        <v>0</v>
      </c>
      <c r="CB63" s="238"/>
      <c r="CC63" s="238"/>
      <c r="CD63" s="238"/>
      <c r="CG63" s="244"/>
      <c r="CH63" s="238"/>
      <c r="CI63" s="238">
        <f>MAX(CI58,CI59,CI60,CI61,CI62)</f>
        <v>0</v>
      </c>
      <c r="CJ63" s="238">
        <f>MAX(CJ58,CJ59,CJ60,CJ61,CJ62)</f>
        <v>0</v>
      </c>
      <c r="CK63" s="238"/>
      <c r="CL63" s="238"/>
      <c r="CM63" s="238"/>
      <c r="CN63" s="238"/>
      <c r="CO63" s="238"/>
      <c r="CP63" s="238"/>
      <c r="CQ63" s="238"/>
      <c r="CR63" s="238"/>
      <c r="CS63" s="238"/>
      <c r="CT63" s="238"/>
      <c r="CU63" s="238"/>
      <c r="CV63" s="238"/>
      <c r="CW63" s="238"/>
      <c r="CX63" s="238"/>
      <c r="CY63" s="238"/>
      <c r="CZ63" s="238"/>
      <c r="DA63" s="238"/>
      <c r="DB63" s="238"/>
      <c r="DC63" s="238"/>
      <c r="DD63" s="238"/>
      <c r="DE63" s="238"/>
      <c r="DF63" s="238"/>
      <c r="DG63" s="238"/>
      <c r="DH63" s="238"/>
      <c r="DI63" s="238"/>
      <c r="DJ63" s="238"/>
      <c r="DK63" s="238"/>
      <c r="DL63" s="238"/>
      <c r="DM63" s="238"/>
      <c r="DN63" s="238"/>
      <c r="DO63" s="238"/>
      <c r="DP63" s="238"/>
      <c r="DQ63" s="238"/>
      <c r="DR63" s="238"/>
      <c r="DS63" s="238"/>
      <c r="DT63" s="238"/>
      <c r="DU63" s="238"/>
      <c r="DV63" s="238"/>
      <c r="DW63" s="238"/>
      <c r="DX63" s="238"/>
      <c r="DY63" s="238"/>
      <c r="DZ63" s="238"/>
      <c r="EA63" s="238"/>
      <c r="EB63" s="238"/>
      <c r="EC63" s="238"/>
      <c r="ED63" s="238"/>
      <c r="EE63" s="238"/>
      <c r="EF63" s="238"/>
      <c r="EG63" s="238"/>
      <c r="EH63" s="238"/>
      <c r="EI63" s="238"/>
      <c r="EJ63" s="238"/>
      <c r="EK63" s="238"/>
      <c r="EL63" s="238"/>
      <c r="EM63" s="166"/>
      <c r="EN63" s="166"/>
      <c r="EO63" s="166"/>
      <c r="EP63" s="238">
        <f>SUM(EN63-EO63)</f>
        <v>0</v>
      </c>
      <c r="EQ63" s="238"/>
      <c r="ER63" s="238"/>
      <c r="ES63" s="238"/>
      <c r="ET63" s="244"/>
      <c r="EU63" s="238"/>
      <c r="EV63" s="238"/>
      <c r="EW63" s="238"/>
      <c r="EX63" s="238"/>
      <c r="EY63" s="238"/>
      <c r="EZ63" s="238"/>
      <c r="FA63" s="238"/>
      <c r="FB63" s="238"/>
      <c r="FC63" s="238"/>
      <c r="FD63" s="238"/>
      <c r="FE63" s="238"/>
      <c r="FF63" s="238"/>
      <c r="FG63" s="238"/>
      <c r="FH63" s="238"/>
      <c r="FI63" s="238"/>
      <c r="FJ63" s="238"/>
      <c r="FK63" s="238"/>
      <c r="FL63" s="238"/>
      <c r="FM63" s="238"/>
      <c r="FN63" s="238"/>
      <c r="FO63" s="244"/>
      <c r="FP63" s="238"/>
      <c r="FQ63" s="238"/>
      <c r="FR63" s="238"/>
      <c r="FS63" s="238"/>
      <c r="FT63" s="238"/>
      <c r="FU63" s="238"/>
      <c r="FV63" s="238"/>
      <c r="FW63" s="238"/>
      <c r="FX63" s="238"/>
      <c r="FY63" s="238"/>
      <c r="FZ63" s="238"/>
      <c r="GA63" s="238"/>
      <c r="GB63" s="238"/>
      <c r="GC63" s="238"/>
      <c r="GD63" s="341"/>
      <c r="GE63" s="340"/>
      <c r="GF63" s="340"/>
      <c r="GG63" s="340"/>
      <c r="GH63" s="340"/>
      <c r="GI63" s="340"/>
      <c r="GJ63" s="340"/>
      <c r="GK63" s="340"/>
      <c r="GL63" s="340"/>
      <c r="GM63" s="340"/>
      <c r="GN63" s="340"/>
      <c r="GO63" s="340"/>
      <c r="GP63" s="340"/>
      <c r="GQ63" s="340"/>
      <c r="GR63" s="340"/>
      <c r="GS63" s="340"/>
      <c r="GT63" s="340"/>
      <c r="GU63" s="340"/>
      <c r="GV63" s="340"/>
      <c r="GW63" s="340"/>
      <c r="GX63" s="340"/>
      <c r="GY63" s="340"/>
      <c r="GZ63" s="340"/>
      <c r="HA63" s="340"/>
      <c r="HB63" s="340"/>
      <c r="HC63" s="340"/>
      <c r="HD63" s="341"/>
      <c r="HE63" s="341"/>
      <c r="HF63" s="341"/>
      <c r="HG63" s="341"/>
      <c r="HH63" s="341"/>
      <c r="HI63" s="341"/>
      <c r="HJ63" s="341"/>
      <c r="HK63" s="341"/>
      <c r="HL63" s="341"/>
      <c r="HM63" s="341"/>
      <c r="HN63" s="341"/>
      <c r="HO63" s="341"/>
      <c r="HP63" s="341"/>
      <c r="HQ63" s="341"/>
      <c r="HR63" s="341"/>
      <c r="HS63" s="238"/>
      <c r="HT63" s="238"/>
      <c r="HU63" s="238"/>
      <c r="HV63" s="238"/>
      <c r="HX63" s="238"/>
      <c r="HY63" s="238"/>
      <c r="ID63" s="238"/>
    </row>
    <row r="64" spans="1:238" s="234" customFormat="1" ht="20.100000000000001" customHeight="1">
      <c r="A64" s="235"/>
      <c r="B64" s="231"/>
      <c r="C64" s="314" t="s">
        <v>771</v>
      </c>
      <c r="D64" s="276" t="str">
        <f>REPT(Sprache!$K$58,1)</f>
        <v>Spieler</v>
      </c>
      <c r="E64" s="277" t="str">
        <f>REPT(Sprache!$K$33,1)</f>
        <v>Name / Vorname</v>
      </c>
      <c r="F64" s="278"/>
      <c r="G64" s="278"/>
      <c r="H64" s="279"/>
      <c r="I64" s="280"/>
      <c r="J64" s="281" t="str">
        <f>REPT(AM64,1)</f>
        <v/>
      </c>
      <c r="L64" s="306" t="s">
        <v>848</v>
      </c>
      <c r="M64" s="238"/>
      <c r="P64" s="306" t="s">
        <v>848</v>
      </c>
      <c r="R64" s="314" t="s">
        <v>771</v>
      </c>
      <c r="S64" s="276" t="str">
        <f>REPT(Sprache!$K$58,1)</f>
        <v>Spieler</v>
      </c>
      <c r="T64" s="277" t="str">
        <f>REPT(Sprache!$K$33,1)</f>
        <v>Name / Vorname</v>
      </c>
      <c r="U64" s="278"/>
      <c r="V64" s="278"/>
      <c r="W64" s="279"/>
      <c r="X64" s="280"/>
      <c r="Y64" s="281" t="str">
        <f>REPT(BA64,1)</f>
        <v/>
      </c>
      <c r="Z64" s="308"/>
      <c r="AD64" s="235"/>
      <c r="AE64" s="235"/>
      <c r="AF64" s="237" t="s">
        <v>771</v>
      </c>
      <c r="AG64" s="282" t="s">
        <v>877</v>
      </c>
      <c r="AH64" s="283" t="str">
        <f>IF(AH63=0,"",AH63)</f>
        <v/>
      </c>
      <c r="AI64" s="283" t="str">
        <f>IF(AI63=0,"",AI63)</f>
        <v/>
      </c>
      <c r="AJ64" s="283" t="str">
        <f>IF(AJ63=0,"",AJ63)</f>
        <v/>
      </c>
      <c r="AK64" s="283" t="str">
        <f>IF(AK63=0,"",AK63)</f>
        <v/>
      </c>
      <c r="AL64" s="283" t="str">
        <f>IF(AL63=0,"",AL63)</f>
        <v/>
      </c>
      <c r="AM64" s="258" t="str">
        <f>IF(AK55="D",IF(AF63=0,"","X"),"")</f>
        <v/>
      </c>
      <c r="AN64" s="235"/>
      <c r="AO64" s="235"/>
      <c r="AP64" s="284"/>
      <c r="AQ64" s="235"/>
      <c r="AR64" s="235"/>
      <c r="AS64" s="235"/>
      <c r="AT64" s="237" t="s">
        <v>771</v>
      </c>
      <c r="AU64" s="282" t="s">
        <v>877</v>
      </c>
      <c r="AV64" s="283" t="str">
        <f>IF(AV63=0,"",AV63)</f>
        <v/>
      </c>
      <c r="AW64" s="283" t="str">
        <f>IF(AW63=0,"",AW63)</f>
        <v/>
      </c>
      <c r="AX64" s="283" t="str">
        <f>IF(AX63=0,"",AX63)</f>
        <v/>
      </c>
      <c r="AY64" s="283" t="str">
        <f>IF(AY63=0,"",AY63)</f>
        <v/>
      </c>
      <c r="AZ64" s="421" t="str">
        <f>IF(AZ63=0,"",AZ63)</f>
        <v/>
      </c>
      <c r="BA64" s="258" t="str">
        <f>IF(AK55="D",IF(AT63=0,"","X"),"")</f>
        <v/>
      </c>
      <c r="BJ64" s="236"/>
      <c r="BK64" s="238"/>
      <c r="BL64" s="244">
        <f>IF(BM64=0,0,1)</f>
        <v>0</v>
      </c>
      <c r="BM64" s="244">
        <f>SUM(BM58,BM59,BM60,BM61,BM62,HH60,AN65,AN66,BB65,BB66)</f>
        <v>0</v>
      </c>
      <c r="BN64" s="166">
        <f t="shared" ref="BN64:BO64" si="139">SUM(BN58,BN59,BN60,BN61,BN62)</f>
        <v>0</v>
      </c>
      <c r="BO64" s="166">
        <f t="shared" si="139"/>
        <v>0</v>
      </c>
      <c r="BP64" s="244"/>
      <c r="BQ64" s="238"/>
      <c r="BR64" s="238"/>
      <c r="BS64" s="238"/>
      <c r="BT64" s="238"/>
      <c r="BU64" s="238"/>
      <c r="BV64" s="238"/>
      <c r="BW64" s="238"/>
      <c r="BX64" s="236"/>
      <c r="BY64" s="238"/>
      <c r="BZ64" s="238"/>
      <c r="CA64" s="238"/>
      <c r="CB64" s="238"/>
      <c r="CC64" s="238"/>
      <c r="CD64" s="238"/>
      <c r="CE64" s="238"/>
      <c r="CF64" s="238"/>
      <c r="CG64" s="244"/>
      <c r="CH64" s="238"/>
      <c r="CI64" s="238"/>
      <c r="CJ64" s="238"/>
      <c r="CK64" s="238"/>
      <c r="CL64" s="238"/>
      <c r="CM64" s="238"/>
      <c r="CN64" s="238"/>
      <c r="CO64" s="238"/>
      <c r="CP64" s="238"/>
      <c r="CQ64" s="238"/>
      <c r="CR64" s="238"/>
      <c r="CS64" s="238"/>
      <c r="CT64" s="238"/>
      <c r="CU64" s="238"/>
      <c r="CV64" s="238"/>
      <c r="CW64" s="238"/>
      <c r="CX64" s="238"/>
      <c r="CY64" s="238"/>
      <c r="CZ64" s="238"/>
      <c r="DA64" s="238"/>
      <c r="DB64" s="238"/>
      <c r="DC64" s="238"/>
      <c r="DD64" s="238"/>
      <c r="DE64" s="238"/>
      <c r="DF64" s="238"/>
      <c r="DG64" s="238"/>
      <c r="DH64" s="238"/>
      <c r="DI64" s="238"/>
      <c r="DJ64" s="238"/>
      <c r="DK64" s="238"/>
      <c r="DL64" s="238"/>
      <c r="DM64" s="238"/>
      <c r="DN64" s="238"/>
      <c r="DO64" s="238"/>
      <c r="DP64" s="238"/>
      <c r="DQ64" s="238"/>
      <c r="DR64" s="238"/>
      <c r="DS64" s="238"/>
      <c r="DT64" s="238"/>
      <c r="DU64" s="238"/>
      <c r="DV64" s="238"/>
      <c r="DW64" s="238"/>
      <c r="DX64" s="238"/>
      <c r="DY64" s="238"/>
      <c r="DZ64" s="238"/>
      <c r="EA64" s="238"/>
      <c r="EB64" s="238"/>
      <c r="EC64" s="238"/>
      <c r="ED64" s="238"/>
      <c r="EE64" s="238"/>
      <c r="EF64" s="238"/>
      <c r="EG64" s="238"/>
      <c r="EH64" s="238"/>
      <c r="EI64" s="238"/>
      <c r="EJ64" s="238"/>
      <c r="EK64" s="238"/>
      <c r="EL64" s="238"/>
      <c r="EM64" s="238"/>
      <c r="EN64" s="238"/>
      <c r="EO64" s="238"/>
      <c r="EP64" s="238"/>
      <c r="EQ64" s="238"/>
      <c r="ER64" s="238"/>
      <c r="ES64" s="238"/>
      <c r="ET64" s="244"/>
      <c r="EU64" s="238"/>
      <c r="EV64" s="238"/>
      <c r="EW64" s="238"/>
      <c r="EX64" s="238"/>
      <c r="EY64" s="238"/>
      <c r="EZ64" s="238"/>
      <c r="FA64" s="238"/>
      <c r="FB64" s="238"/>
      <c r="FC64" s="238"/>
      <c r="FD64" s="238"/>
      <c r="FE64" s="238"/>
      <c r="FF64" s="238"/>
      <c r="FG64" s="238"/>
      <c r="FH64" s="238"/>
      <c r="FI64" s="238"/>
      <c r="FJ64" s="238"/>
      <c r="FK64" s="238"/>
      <c r="FL64" s="238"/>
      <c r="FM64" s="238"/>
      <c r="FN64" s="238"/>
      <c r="FO64" s="244"/>
      <c r="FP64" s="238"/>
      <c r="FQ64" s="238"/>
      <c r="FR64" s="238"/>
      <c r="FS64" s="238"/>
      <c r="FT64" s="238"/>
      <c r="FU64" s="238"/>
      <c r="FV64" s="238"/>
      <c r="FW64" s="238"/>
      <c r="FX64" s="238"/>
      <c r="FY64" s="238"/>
      <c r="FZ64" s="238"/>
      <c r="GA64" s="238"/>
      <c r="GB64" s="238"/>
      <c r="GC64" s="238"/>
      <c r="GD64" s="341"/>
      <c r="GE64" s="340"/>
      <c r="GF64" s="340"/>
      <c r="GG64" s="340"/>
      <c r="GH64" s="340"/>
      <c r="GI64" s="340"/>
      <c r="GJ64" s="340"/>
      <c r="GK64" s="340"/>
      <c r="GL64" s="340"/>
      <c r="GM64" s="340"/>
      <c r="GN64" s="340"/>
      <c r="GO64" s="340"/>
      <c r="GP64" s="340"/>
      <c r="GQ64" s="340"/>
      <c r="GR64" s="340"/>
      <c r="GS64" s="340"/>
      <c r="GT64" s="340"/>
      <c r="GU64" s="340"/>
      <c r="GV64" s="340"/>
      <c r="GW64" s="340"/>
      <c r="GX64" s="340"/>
      <c r="GY64" s="340"/>
      <c r="GZ64" s="340"/>
      <c r="HA64" s="340"/>
      <c r="HB64" s="340"/>
      <c r="HC64" s="340"/>
      <c r="HD64" s="341"/>
      <c r="HE64" s="341"/>
      <c r="HF64" s="341"/>
      <c r="HG64" s="341"/>
      <c r="HH64" s="341"/>
      <c r="HI64" s="341"/>
      <c r="HJ64" s="341"/>
      <c r="HK64" s="341"/>
      <c r="HL64" s="341"/>
      <c r="HM64" s="341"/>
      <c r="HN64" s="341"/>
      <c r="HO64" s="341"/>
      <c r="HP64" s="341"/>
      <c r="HQ64" s="341"/>
      <c r="HR64" s="341"/>
      <c r="HS64" s="238"/>
      <c r="HT64" s="238"/>
      <c r="HU64" s="238"/>
      <c r="HV64" s="238"/>
      <c r="HX64" s="238"/>
      <c r="HY64" s="238"/>
      <c r="ID64" s="238"/>
    </row>
    <row r="65" spans="1:238" s="234" customFormat="1" ht="20.100000000000001" customHeight="1">
      <c r="A65" s="235"/>
      <c r="B65" s="231"/>
      <c r="C65" s="285" t="str">
        <f>IF(AF65="","",SUM(AF65))</f>
        <v/>
      </c>
      <c r="D65" s="286" t="str">
        <f>IF(AK55="D",1,"")</f>
        <v/>
      </c>
      <c r="E65" s="287" t="str">
        <f>IF(C65="","",VLOOKUP(C65,Licenses!B:C,2,FALSE))</f>
        <v/>
      </c>
      <c r="F65" s="288"/>
      <c r="G65" s="288"/>
      <c r="H65" s="289"/>
      <c r="I65" s="169"/>
      <c r="J65" s="270" t="str">
        <f>REPT(AM65,1)</f>
        <v/>
      </c>
      <c r="L65" s="290" t="str">
        <f>IF(AK55="D",AK65,IF(AK64="","",AK64))</f>
        <v/>
      </c>
      <c r="M65" s="311"/>
      <c r="P65" s="290" t="str">
        <f>IF(AK55="D",AY65,IF(AY64="","",AY64))</f>
        <v/>
      </c>
      <c r="R65" s="291" t="str">
        <f>IF(AT65="","",SUM(AT65))</f>
        <v/>
      </c>
      <c r="S65" s="286" t="str">
        <f>IF(AK55="D",1,"")</f>
        <v/>
      </c>
      <c r="T65" s="292" t="str">
        <f>IF(R65="","",VLOOKUP(R65,Licenses!B:C,2,FALSE))</f>
        <v/>
      </c>
      <c r="U65" s="293"/>
      <c r="V65" s="293"/>
      <c r="W65" s="294"/>
      <c r="X65" s="169"/>
      <c r="Y65" s="270" t="str">
        <f>REPT(BA65,1)</f>
        <v/>
      </c>
      <c r="Z65" s="308"/>
      <c r="AD65" s="235"/>
      <c r="AE65" s="235"/>
      <c r="AF65" s="256" t="str">
        <f>IF(AM55="","",SUM(AM55))</f>
        <v/>
      </c>
      <c r="AG65" s="237"/>
      <c r="AH65" s="256"/>
      <c r="AI65" s="256"/>
      <c r="AJ65" s="256"/>
      <c r="AK65" s="256" t="str">
        <f>IF(BZ63&gt;1,BZ63,"")</f>
        <v/>
      </c>
      <c r="AL65" s="257">
        <f>IF(AK55="D",SUM(I65),0)</f>
        <v>0</v>
      </c>
      <c r="AM65" s="258" t="str">
        <f>IF(AM63=0,IF(AL65&lt;6,"","X"),"X")</f>
        <v/>
      </c>
      <c r="AN65" s="347" t="str">
        <f>IF(AM63=0,IF(AL65&lt;6,"",1),1)</f>
        <v/>
      </c>
      <c r="AO65" s="235"/>
      <c r="AP65" s="236"/>
      <c r="AQ65" s="235"/>
      <c r="AR65" s="235"/>
      <c r="AS65" s="235"/>
      <c r="AT65" s="256" t="str">
        <f>IF(BA55="","",SUM(BA55))</f>
        <v/>
      </c>
      <c r="AU65" s="237"/>
      <c r="AV65" s="256"/>
      <c r="AW65" s="256"/>
      <c r="AX65" s="256"/>
      <c r="AY65" s="256" t="str">
        <f>IF(CI63&gt;1,CI63,"")</f>
        <v/>
      </c>
      <c r="AZ65" s="257">
        <f>IF(AK55="D",SUM(X65),0)</f>
        <v>0</v>
      </c>
      <c r="BA65" s="258" t="str">
        <f>IF(BA63=0,IF(AZ65&lt;6,"","X"),"X")</f>
        <v/>
      </c>
      <c r="BB65" s="347" t="str">
        <f>IF(BA63=0,IF(AZ65&lt;6,"",1),1)</f>
        <v/>
      </c>
      <c r="BC65" s="236"/>
      <c r="BD65" s="236"/>
      <c r="BE65" s="236"/>
      <c r="BF65" s="236"/>
      <c r="BG65" s="236"/>
      <c r="BH65" s="236"/>
      <c r="BI65" s="236"/>
      <c r="BJ65" s="236"/>
      <c r="BK65" s="238"/>
      <c r="BL65" s="238"/>
      <c r="BM65" s="295"/>
      <c r="BN65" s="295"/>
      <c r="BO65" s="295"/>
      <c r="BP65" s="295"/>
      <c r="BQ65" s="295"/>
      <c r="BR65" s="295"/>
      <c r="BS65" s="295"/>
      <c r="BT65" s="295"/>
      <c r="BU65" s="295"/>
      <c r="BV65" s="295"/>
      <c r="BW65" s="295"/>
      <c r="BX65" s="236"/>
      <c r="BY65" s="295"/>
      <c r="BZ65" s="295"/>
      <c r="CA65" s="295"/>
      <c r="CB65" s="295"/>
      <c r="CC65" s="295"/>
      <c r="CD65" s="295"/>
      <c r="CE65" s="295"/>
      <c r="CF65" s="295"/>
      <c r="CG65" s="296"/>
      <c r="CH65" s="295"/>
      <c r="CI65" s="295"/>
      <c r="CJ65" s="295"/>
      <c r="CK65" s="238"/>
      <c r="CL65" s="238"/>
      <c r="CM65" s="238"/>
      <c r="CN65" s="238"/>
      <c r="CO65" s="238"/>
      <c r="CP65" s="238"/>
      <c r="CQ65" s="238"/>
      <c r="CR65" s="238"/>
      <c r="CS65" s="238"/>
      <c r="CT65" s="238"/>
      <c r="CU65" s="238"/>
      <c r="CV65" s="238"/>
      <c r="CW65" s="238"/>
      <c r="CX65" s="238"/>
      <c r="CY65" s="238"/>
      <c r="CZ65" s="238"/>
      <c r="DA65" s="238"/>
      <c r="DB65" s="238"/>
      <c r="DC65" s="238"/>
      <c r="DD65" s="238"/>
      <c r="DE65" s="238"/>
      <c r="DF65" s="238"/>
      <c r="DG65" s="238"/>
      <c r="DH65" s="238"/>
      <c r="DI65" s="238"/>
      <c r="DJ65" s="238"/>
      <c r="DK65" s="238"/>
      <c r="DL65" s="238"/>
      <c r="DM65" s="238"/>
      <c r="DN65" s="238"/>
      <c r="DO65" s="238"/>
      <c r="DP65" s="238"/>
      <c r="DQ65" s="238"/>
      <c r="DR65" s="238"/>
      <c r="DS65" s="238"/>
      <c r="DT65" s="238"/>
      <c r="DU65" s="238"/>
      <c r="DV65" s="238"/>
      <c r="DW65" s="238"/>
      <c r="DX65" s="238"/>
      <c r="DY65" s="238"/>
      <c r="DZ65" s="238"/>
      <c r="EA65" s="238"/>
      <c r="EB65" s="238"/>
      <c r="EC65" s="238"/>
      <c r="ED65" s="238"/>
      <c r="EE65" s="238"/>
      <c r="EF65" s="238"/>
      <c r="EG65" s="238"/>
      <c r="EH65" s="238"/>
      <c r="EI65" s="238"/>
      <c r="EJ65" s="238"/>
      <c r="EK65" s="238"/>
      <c r="EL65" s="238"/>
      <c r="EM65" s="238"/>
      <c r="EN65" s="238"/>
      <c r="EO65" s="238"/>
      <c r="EP65" s="238"/>
      <c r="EQ65" s="238"/>
      <c r="ER65" s="238"/>
      <c r="ES65" s="238"/>
      <c r="ET65" s="244"/>
      <c r="EU65" s="238"/>
      <c r="EV65" s="238"/>
      <c r="EW65" s="238"/>
      <c r="EX65" s="238"/>
      <c r="EY65" s="238"/>
      <c r="EZ65" s="238"/>
      <c r="FA65" s="238"/>
      <c r="FB65" s="238"/>
      <c r="FC65" s="238"/>
      <c r="FD65" s="238"/>
      <c r="FE65" s="238"/>
      <c r="FF65" s="238"/>
      <c r="FG65" s="238"/>
      <c r="FH65" s="238"/>
      <c r="FI65" s="238"/>
      <c r="FJ65" s="238"/>
      <c r="FK65" s="238"/>
      <c r="FL65" s="238"/>
      <c r="FM65" s="238"/>
      <c r="FN65" s="238"/>
      <c r="FO65" s="244"/>
      <c r="FP65" s="238"/>
      <c r="FQ65" s="238"/>
      <c r="FR65" s="238"/>
      <c r="FS65" s="238"/>
      <c r="FT65" s="238"/>
      <c r="FU65" s="238"/>
      <c r="FV65" s="238"/>
      <c r="FW65" s="238"/>
      <c r="FX65" s="238"/>
      <c r="FY65" s="238"/>
      <c r="FZ65" s="238"/>
      <c r="GA65" s="238"/>
      <c r="GB65" s="238"/>
      <c r="GC65" s="238"/>
      <c r="GD65" s="341"/>
      <c r="GE65" s="340"/>
      <c r="GF65" s="340"/>
      <c r="GG65" s="340"/>
      <c r="GH65" s="340"/>
      <c r="GI65" s="340"/>
      <c r="GJ65" s="340"/>
      <c r="GK65" s="340"/>
      <c r="GL65" s="340"/>
      <c r="GM65" s="340"/>
      <c r="GN65" s="340"/>
      <c r="GO65" s="340"/>
      <c r="GP65" s="340"/>
      <c r="GQ65" s="340"/>
      <c r="GR65" s="340"/>
      <c r="GS65" s="340"/>
      <c r="GT65" s="340"/>
      <c r="GU65" s="340"/>
      <c r="GV65" s="340"/>
      <c r="GW65" s="340"/>
      <c r="GX65" s="340"/>
      <c r="GY65" s="340"/>
      <c r="GZ65" s="340"/>
      <c r="HA65" s="340"/>
      <c r="HB65" s="340"/>
      <c r="HC65" s="340"/>
      <c r="HD65" s="341"/>
      <c r="HE65" s="341"/>
      <c r="HF65" s="341"/>
      <c r="HG65" s="341"/>
      <c r="HH65" s="341"/>
      <c r="HI65" s="341"/>
      <c r="HJ65" s="341"/>
      <c r="HK65" s="341"/>
      <c r="HL65" s="341"/>
      <c r="HM65" s="341"/>
      <c r="HN65" s="341"/>
      <c r="HO65" s="341"/>
      <c r="HP65" s="341"/>
      <c r="HQ65" s="341"/>
      <c r="HR65" s="341"/>
      <c r="HS65" s="238"/>
      <c r="HT65" s="238"/>
      <c r="HU65" s="238"/>
      <c r="HV65" s="238"/>
      <c r="HX65" s="238"/>
      <c r="HY65" s="238"/>
      <c r="ID65" s="238"/>
    </row>
    <row r="66" spans="1:238" s="234" customFormat="1" ht="20.100000000000001" customHeight="1">
      <c r="A66" s="235"/>
      <c r="B66" s="231"/>
      <c r="C66" s="336" t="str">
        <f>IF(AF66="","",SUM(AF66))</f>
        <v/>
      </c>
      <c r="D66" s="333" t="str">
        <f>IF(AK55="D",2,"")</f>
        <v/>
      </c>
      <c r="E66" s="337" t="str">
        <f>IF(C66="","",VLOOKUP(C66,Licenses!B:C,2,FALSE))</f>
        <v/>
      </c>
      <c r="F66" s="290"/>
      <c r="G66" s="290"/>
      <c r="H66" s="338"/>
      <c r="I66" s="331"/>
      <c r="J66" s="272" t="str">
        <f>REPT(AM66,1)</f>
        <v/>
      </c>
      <c r="L66" s="315" t="str">
        <f>IF(AK55="D",AK66,"")</f>
        <v/>
      </c>
      <c r="M66" s="311"/>
      <c r="P66" s="315" t="str">
        <f>IF(AK55="D",AY66,"")</f>
        <v/>
      </c>
      <c r="R66" s="332" t="str">
        <f>IF(AT66="","",SUM(AT66))</f>
        <v/>
      </c>
      <c r="S66" s="333" t="str">
        <f>IF(AK55="D",2,"")</f>
        <v/>
      </c>
      <c r="T66" s="334" t="str">
        <f>IF(R66="","",VLOOKUP(R66,Licenses!B:C,2,FALSE))</f>
        <v/>
      </c>
      <c r="U66" s="297"/>
      <c r="V66" s="297"/>
      <c r="W66" s="335"/>
      <c r="X66" s="331"/>
      <c r="Y66" s="272" t="str">
        <f>REPT(BA66,1)</f>
        <v/>
      </c>
      <c r="Z66" s="308"/>
      <c r="AA66" s="238">
        <f>IF(AK55="D",0,1)</f>
        <v>1</v>
      </c>
      <c r="AD66" s="235"/>
      <c r="AE66" s="235"/>
      <c r="AF66" s="256" t="str">
        <f>IF(AM56="","",SUM(AM56))</f>
        <v/>
      </c>
      <c r="AG66" s="237"/>
      <c r="AH66" s="256"/>
      <c r="AI66" s="256"/>
      <c r="AJ66" s="256"/>
      <c r="AK66" s="256" t="str">
        <f>IF(CA63&gt;1,CA63,"")</f>
        <v/>
      </c>
      <c r="AL66" s="257">
        <f>IF(AK55="D",SUM(I66),0)</f>
        <v>0</v>
      </c>
      <c r="AM66" s="258" t="str">
        <f>IF(AM63=0,IF(AL66&lt;6,"","X"),"X")</f>
        <v/>
      </c>
      <c r="AN66" s="347" t="str">
        <f>IF(AM63=0,IF(AL66&lt;6,"",1),1)</f>
        <v/>
      </c>
      <c r="AO66" s="235"/>
      <c r="AP66" s="236"/>
      <c r="AQ66" s="235"/>
      <c r="AR66" s="235"/>
      <c r="AS66" s="235"/>
      <c r="AT66" s="256" t="str">
        <f>IF(BA56="","",SUM(BA56))</f>
        <v/>
      </c>
      <c r="AU66" s="237"/>
      <c r="AV66" s="256"/>
      <c r="AW66" s="256"/>
      <c r="AX66" s="256"/>
      <c r="AY66" s="256" t="str">
        <f>IF(CJ63&gt;1,CJ63,"")</f>
        <v/>
      </c>
      <c r="AZ66" s="257">
        <f>IF(AK55="D",SUM(X66),0)</f>
        <v>0</v>
      </c>
      <c r="BA66" s="258" t="str">
        <f>IF(BA63=0,IF(AZ66&lt;6,"","X"),"X")</f>
        <v/>
      </c>
      <c r="BB66" s="347" t="str">
        <f>IF(BA63=0,IF(AZ66&lt;6,"",1),1)</f>
        <v/>
      </c>
      <c r="BC66" s="236"/>
      <c r="BD66" s="236"/>
      <c r="BE66" s="236"/>
      <c r="BF66" s="236"/>
      <c r="BG66" s="236"/>
      <c r="BH66" s="236"/>
      <c r="BI66" s="236"/>
      <c r="BJ66" s="236"/>
      <c r="BK66" s="238"/>
      <c r="BM66" s="238"/>
      <c r="BN66" s="238"/>
      <c r="BO66" s="238"/>
      <c r="BP66" s="238"/>
      <c r="BQ66" s="238" t="s">
        <v>899</v>
      </c>
      <c r="BR66" s="238"/>
      <c r="BS66" s="238"/>
      <c r="BT66" s="238"/>
      <c r="BU66" s="238"/>
      <c r="BV66" s="238"/>
      <c r="BW66" s="238"/>
      <c r="BX66" s="236"/>
      <c r="BY66" s="238"/>
      <c r="BZ66" s="238"/>
      <c r="CA66" s="238"/>
      <c r="CB66" s="238"/>
      <c r="CC66" s="238"/>
      <c r="CD66" s="238" t="s">
        <v>899</v>
      </c>
      <c r="CE66" s="238"/>
      <c r="CF66" s="238"/>
      <c r="CG66" s="244"/>
      <c r="CH66" s="238"/>
      <c r="CI66" s="238"/>
      <c r="CJ66" s="238"/>
      <c r="CK66" s="238"/>
      <c r="CL66" s="238"/>
      <c r="CM66" s="238"/>
      <c r="CN66" s="238"/>
      <c r="CO66" s="238"/>
      <c r="CP66" s="238"/>
      <c r="CQ66" s="238"/>
      <c r="CR66" s="238"/>
      <c r="CS66" s="238"/>
      <c r="CT66" s="238"/>
      <c r="CU66" s="238"/>
      <c r="CV66" s="238"/>
      <c r="CW66" s="238"/>
      <c r="CX66" s="238"/>
      <c r="CY66" s="238"/>
      <c r="CZ66" s="238"/>
      <c r="DA66" s="238"/>
      <c r="DB66" s="238"/>
      <c r="DC66" s="238"/>
      <c r="DD66" s="238"/>
      <c r="DE66" s="238"/>
      <c r="DF66" s="238"/>
      <c r="DG66" s="238"/>
      <c r="DH66" s="238"/>
      <c r="DI66" s="238"/>
      <c r="DJ66" s="238"/>
      <c r="DK66" s="238"/>
      <c r="DL66" s="238"/>
      <c r="DM66" s="238"/>
      <c r="DN66" s="238"/>
      <c r="DO66" s="238"/>
      <c r="DP66" s="238"/>
      <c r="DQ66" s="238"/>
      <c r="DR66" s="238"/>
      <c r="DS66" s="238"/>
      <c r="DT66" s="238"/>
      <c r="DU66" s="238"/>
      <c r="DV66" s="238"/>
      <c r="DW66" s="238"/>
      <c r="DX66" s="238"/>
      <c r="DY66" s="238"/>
      <c r="DZ66" s="238"/>
      <c r="EA66" s="238"/>
      <c r="EB66" s="238"/>
      <c r="EC66" s="238"/>
      <c r="ED66" s="238"/>
      <c r="EE66" s="238"/>
      <c r="EF66" s="238"/>
      <c r="EG66" s="238"/>
      <c r="EH66" s="238"/>
      <c r="EI66" s="238"/>
      <c r="EJ66" s="238"/>
      <c r="EK66" s="238"/>
      <c r="EL66" s="238"/>
      <c r="EM66" s="238"/>
      <c r="EN66" s="238"/>
      <c r="EO66" s="238"/>
      <c r="EP66" s="238"/>
      <c r="EQ66" s="238"/>
      <c r="ER66" s="238"/>
      <c r="ES66" s="238"/>
      <c r="ET66" s="244"/>
      <c r="EU66" s="238"/>
      <c r="EV66" s="238"/>
      <c r="EW66" s="238"/>
      <c r="EX66" s="238"/>
      <c r="EY66" s="238"/>
      <c r="EZ66" s="238"/>
      <c r="FA66" s="238"/>
      <c r="FB66" s="238"/>
      <c r="FC66" s="238"/>
      <c r="FD66" s="238"/>
      <c r="FE66" s="238"/>
      <c r="FF66" s="238"/>
      <c r="FG66" s="238"/>
      <c r="FH66" s="238"/>
      <c r="FI66" s="238"/>
      <c r="FJ66" s="238"/>
      <c r="FK66" s="238"/>
      <c r="FL66" s="238"/>
      <c r="FM66" s="238"/>
      <c r="FN66" s="238"/>
      <c r="FO66" s="244"/>
      <c r="FP66" s="238"/>
      <c r="FQ66" s="238"/>
      <c r="FR66" s="238"/>
      <c r="FS66" s="238"/>
      <c r="FT66" s="238"/>
      <c r="FU66" s="238"/>
      <c r="FV66" s="238"/>
      <c r="FW66" s="238"/>
      <c r="FX66" s="238"/>
      <c r="FY66" s="238"/>
      <c r="FZ66" s="238"/>
      <c r="GA66" s="238"/>
      <c r="GB66" s="238"/>
      <c r="GC66" s="238"/>
      <c r="GD66" s="341"/>
      <c r="GE66" s="340"/>
      <c r="GF66" s="340"/>
      <c r="GG66" s="340"/>
      <c r="GH66" s="340"/>
      <c r="GI66" s="340"/>
      <c r="GJ66" s="340"/>
      <c r="GK66" s="340"/>
      <c r="GL66" s="340"/>
      <c r="GM66" s="340"/>
      <c r="GN66" s="340"/>
      <c r="GO66" s="340"/>
      <c r="GP66" s="340"/>
      <c r="GQ66" s="340"/>
      <c r="GR66" s="340"/>
      <c r="GS66" s="340"/>
      <c r="GT66" s="340"/>
      <c r="GU66" s="340"/>
      <c r="GV66" s="340"/>
      <c r="GW66" s="340"/>
      <c r="GX66" s="340"/>
      <c r="GY66" s="340"/>
      <c r="GZ66" s="340"/>
      <c r="HA66" s="340"/>
      <c r="HB66" s="340"/>
      <c r="HC66" s="340"/>
      <c r="HD66" s="341"/>
      <c r="HE66" s="341"/>
      <c r="HF66" s="341"/>
      <c r="HG66" s="341"/>
      <c r="HH66" s="341"/>
      <c r="HI66" s="341"/>
      <c r="HJ66" s="341"/>
      <c r="HK66" s="341"/>
      <c r="HL66" s="341"/>
      <c r="HM66" s="341"/>
      <c r="HN66" s="341"/>
      <c r="HO66" s="341"/>
      <c r="HP66" s="341"/>
      <c r="HQ66" s="341"/>
      <c r="HR66" s="341"/>
      <c r="HS66" s="238"/>
      <c r="HT66" s="238"/>
      <c r="HU66" s="238"/>
      <c r="HV66" s="238"/>
      <c r="HX66" s="238"/>
      <c r="HY66" s="238"/>
      <c r="ID66" s="238"/>
    </row>
    <row r="67" spans="1:238" s="234" customFormat="1" ht="20.100000000000001" customHeight="1">
      <c r="A67" s="235"/>
      <c r="B67" s="316"/>
      <c r="C67" s="317"/>
      <c r="D67" s="317"/>
      <c r="E67" s="318"/>
      <c r="F67" s="318"/>
      <c r="G67" s="318"/>
      <c r="H67" s="318"/>
      <c r="I67" s="318"/>
      <c r="J67" s="318"/>
      <c r="K67" s="319"/>
      <c r="L67" s="319"/>
      <c r="M67" s="319"/>
      <c r="N67" s="319"/>
      <c r="O67" s="319"/>
      <c r="P67" s="320"/>
      <c r="Q67" s="319"/>
      <c r="R67" s="317"/>
      <c r="S67" s="318"/>
      <c r="T67" s="318"/>
      <c r="U67" s="318"/>
      <c r="V67" s="318"/>
      <c r="W67" s="318"/>
      <c r="X67" s="318"/>
      <c r="Y67" s="318"/>
      <c r="Z67" s="321"/>
      <c r="AD67" s="235"/>
      <c r="AE67" s="237"/>
      <c r="AF67" s="237"/>
      <c r="AG67" s="237"/>
      <c r="AH67" s="237" t="s">
        <v>921</v>
      </c>
      <c r="AI67" s="237" t="s">
        <v>922</v>
      </c>
      <c r="AJ67" s="298" t="str">
        <f>IF(BS67="","",SUM(AM67)*3)</f>
        <v/>
      </c>
      <c r="AK67" s="299" t="s">
        <v>923</v>
      </c>
      <c r="AL67" s="256"/>
      <c r="AM67" s="256" t="str">
        <f>IF(BS67="","",SUM(BS67))</f>
        <v/>
      </c>
      <c r="AN67" s="235"/>
      <c r="AO67" s="235"/>
      <c r="AP67" s="236"/>
      <c r="AQ67" s="235"/>
      <c r="AR67" s="235"/>
      <c r="AS67" s="237"/>
      <c r="AT67" s="237"/>
      <c r="AU67" s="237"/>
      <c r="AV67" s="237" t="s">
        <v>921</v>
      </c>
      <c r="AW67" s="237" t="s">
        <v>922</v>
      </c>
      <c r="AX67" s="298" t="str">
        <f>IF(BS67="","",SUM(BA67)*3)</f>
        <v/>
      </c>
      <c r="AY67" s="299" t="s">
        <v>923</v>
      </c>
      <c r="AZ67" s="256"/>
      <c r="BA67" s="256" t="str">
        <f>IF(BS67="","",SUM(CF67))</f>
        <v/>
      </c>
      <c r="BB67" s="236"/>
      <c r="BC67" s="236"/>
      <c r="BD67" s="236"/>
      <c r="BE67" s="236"/>
      <c r="BF67" s="236"/>
      <c r="BG67" s="236"/>
      <c r="BH67" s="236"/>
      <c r="BI67" s="236"/>
      <c r="BJ67" s="236"/>
      <c r="BK67" s="373">
        <f>IF(AL55=BQ67,1,0)</f>
        <v>0</v>
      </c>
      <c r="BL67" s="373">
        <f>IF(AL55=CD67,1,0)</f>
        <v>0</v>
      </c>
      <c r="BM67" s="256">
        <f>IF(BN67&gt;2,1,0)</f>
        <v>0</v>
      </c>
      <c r="BN67" s="256">
        <f>COUNT(AH58,AH59,AH60)</f>
        <v>0</v>
      </c>
      <c r="BO67" s="256" t="str">
        <f>IF(AH64="","",SUM(AH64/AJ64))</f>
        <v/>
      </c>
      <c r="BP67" s="256"/>
      <c r="BQ67" s="300">
        <f>COUNT(AK58,AK59,AK60,AK61,AK62)</f>
        <v>0</v>
      </c>
      <c r="BR67" s="256"/>
      <c r="BS67" s="256" t="str">
        <f>IF(BL64=0,IF(AJ59="","",BO67),"")</f>
        <v/>
      </c>
      <c r="BT67" s="236"/>
      <c r="BU67" s="236"/>
      <c r="BV67" s="236"/>
      <c r="BW67" s="236"/>
      <c r="BX67" s="236"/>
      <c r="BY67" s="256">
        <f>IF(CD67&gt;2,1,0)</f>
        <v>0</v>
      </c>
      <c r="BZ67" s="256">
        <f>IF(CA67&gt;2,1,0)</f>
        <v>0</v>
      </c>
      <c r="CA67" s="256">
        <f>COUNT(AV58,AV59,AV60)</f>
        <v>0</v>
      </c>
      <c r="CB67" s="256" t="str">
        <f>IF(AV64="","",SUM(AV64/AX64))</f>
        <v/>
      </c>
      <c r="CC67" s="256"/>
      <c r="CD67" s="300">
        <f>COUNT(AY58,AY59,AY60,AY61,AY62)</f>
        <v>0</v>
      </c>
      <c r="CE67" s="256"/>
      <c r="CF67" s="256" t="str">
        <f>IF(BL64=0,IF(AX59="","",CB67),"")</f>
        <v/>
      </c>
      <c r="CG67" s="236"/>
      <c r="CH67" s="188"/>
      <c r="CI67" s="188"/>
      <c r="CJ67" s="196"/>
      <c r="CK67" s="196"/>
      <c r="CL67" s="196"/>
      <c r="CM67" s="196"/>
      <c r="CN67" s="196"/>
      <c r="CO67" s="196"/>
      <c r="CP67" s="196"/>
      <c r="CQ67" s="196"/>
      <c r="CR67" s="196"/>
      <c r="CS67" s="196"/>
      <c r="CT67" s="196"/>
      <c r="CU67" s="196"/>
      <c r="CV67" s="196"/>
      <c r="CW67" s="196"/>
      <c r="CX67" s="196"/>
      <c r="CY67" s="196"/>
      <c r="CZ67" s="196"/>
      <c r="DA67" s="196"/>
      <c r="DB67" s="196"/>
      <c r="DC67" s="196"/>
      <c r="DD67" s="196"/>
      <c r="DE67" s="196"/>
      <c r="DF67" s="196"/>
      <c r="DG67" s="196"/>
      <c r="DH67" s="196"/>
      <c r="DI67" s="196"/>
      <c r="DJ67" s="196"/>
      <c r="DK67" s="196"/>
      <c r="DL67" s="196"/>
      <c r="DM67" s="196"/>
      <c r="DN67" s="196"/>
      <c r="DO67" s="196"/>
      <c r="DP67" s="196"/>
      <c r="DQ67" s="196"/>
      <c r="DR67" s="196"/>
      <c r="DS67" s="196"/>
      <c r="DT67" s="196"/>
      <c r="DU67" s="196"/>
      <c r="DV67" s="196"/>
      <c r="DW67" s="196"/>
      <c r="DX67" s="196"/>
      <c r="DY67" s="196"/>
      <c r="DZ67" s="196"/>
      <c r="EA67" s="196"/>
      <c r="EB67" s="196"/>
      <c r="EC67" s="196"/>
      <c r="ED67" s="196"/>
      <c r="EE67" s="196"/>
      <c r="EF67" s="196"/>
      <c r="EG67" s="196"/>
      <c r="EH67" s="196"/>
      <c r="EI67" s="196"/>
      <c r="EJ67" s="196"/>
      <c r="EK67" s="196"/>
      <c r="EL67" s="196"/>
      <c r="EM67" s="196"/>
      <c r="EN67" s="196"/>
      <c r="EO67" s="196"/>
      <c r="EP67" s="196"/>
      <c r="EQ67" s="196"/>
      <c r="ER67" s="196"/>
      <c r="ES67" s="196"/>
      <c r="ET67" s="301"/>
      <c r="EU67" s="196"/>
      <c r="EV67" s="196"/>
      <c r="EW67" s="196"/>
      <c r="EX67" s="196"/>
      <c r="EY67" s="196"/>
      <c r="EZ67" s="196"/>
      <c r="FA67" s="196"/>
      <c r="FB67" s="196"/>
      <c r="FC67" s="196"/>
      <c r="FD67" s="196"/>
      <c r="FE67" s="196"/>
      <c r="FF67" s="196"/>
      <c r="FG67" s="196"/>
      <c r="FH67" s="196"/>
      <c r="FI67" s="196"/>
      <c r="FJ67" s="196"/>
      <c r="FK67" s="196"/>
      <c r="FL67" s="196"/>
      <c r="FM67" s="196"/>
      <c r="FN67" s="196"/>
      <c r="FO67" s="301"/>
      <c r="FP67" s="196"/>
      <c r="FQ67" s="196"/>
      <c r="FR67" s="196"/>
      <c r="FS67" s="196"/>
      <c r="FT67" s="196"/>
      <c r="FU67" s="196"/>
      <c r="FV67" s="196"/>
      <c r="FW67" s="196"/>
      <c r="FX67" s="196"/>
      <c r="FY67" s="196"/>
      <c r="FZ67" s="196"/>
      <c r="GA67" s="196"/>
      <c r="GB67" s="238"/>
      <c r="GC67" s="238"/>
      <c r="GD67" s="341"/>
      <c r="GE67" s="341"/>
      <c r="GF67" s="341"/>
      <c r="GG67" s="341"/>
      <c r="GH67" s="341"/>
      <c r="GI67" s="341"/>
      <c r="GJ67" s="341"/>
      <c r="GK67" s="341"/>
      <c r="GL67" s="341"/>
      <c r="GM67" s="341"/>
      <c r="GN67" s="341"/>
      <c r="GO67" s="341"/>
      <c r="GP67" s="341"/>
      <c r="GQ67" s="341"/>
      <c r="GR67" s="341"/>
      <c r="GS67" s="341"/>
      <c r="GT67" s="341"/>
      <c r="GU67" s="341"/>
      <c r="GV67" s="341"/>
      <c r="GW67" s="341"/>
      <c r="GX67" s="341"/>
      <c r="GY67" s="341"/>
      <c r="GZ67" s="341"/>
      <c r="HA67" s="341"/>
      <c r="HB67" s="341"/>
      <c r="HC67" s="341"/>
      <c r="HD67" s="341"/>
      <c r="HE67" s="341"/>
      <c r="HF67" s="341"/>
      <c r="HG67" s="341"/>
      <c r="HH67" s="341"/>
      <c r="HI67" s="341"/>
      <c r="HJ67" s="341"/>
      <c r="HK67" s="341"/>
      <c r="HL67" s="341"/>
      <c r="HM67" s="341"/>
      <c r="HN67" s="341"/>
      <c r="HO67" s="341"/>
      <c r="HP67" s="341"/>
      <c r="HQ67" s="341"/>
      <c r="HR67" s="341"/>
      <c r="HS67" s="238"/>
      <c r="HT67" s="238"/>
      <c r="HU67" s="238"/>
      <c r="HV67" s="238"/>
      <c r="HX67" s="238"/>
      <c r="HY67" s="238"/>
      <c r="ID67" s="238"/>
    </row>
    <row r="68" spans="1:238" ht="14.1" customHeight="1">
      <c r="B68" s="214"/>
      <c r="C68" s="171"/>
      <c r="D68" s="171"/>
      <c r="E68" s="171"/>
      <c r="F68" s="171"/>
      <c r="G68" s="171"/>
      <c r="H68" s="171"/>
      <c r="I68" s="171"/>
      <c r="J68" s="171"/>
      <c r="K68" s="171"/>
      <c r="L68" s="171"/>
      <c r="M68" s="171"/>
      <c r="N68" s="171"/>
      <c r="O68" s="171"/>
      <c r="P68" s="171"/>
      <c r="Q68" s="171"/>
      <c r="R68" s="171"/>
      <c r="S68" s="171"/>
      <c r="T68" s="171"/>
      <c r="U68" s="171"/>
      <c r="V68" s="171"/>
      <c r="W68" s="171"/>
      <c r="X68" s="171"/>
      <c r="Y68" s="171"/>
      <c r="Z68" s="302"/>
      <c r="AA68" s="215"/>
      <c r="AB68" s="215"/>
      <c r="AC68" s="215"/>
      <c r="AD68" s="215"/>
      <c r="AE68" s="215"/>
      <c r="AF68" s="215"/>
      <c r="BB68" s="215"/>
      <c r="BC68" s="215"/>
      <c r="BD68" s="215"/>
      <c r="BE68" s="215"/>
      <c r="BF68" s="215"/>
      <c r="BG68" s="215"/>
      <c r="BH68" s="215"/>
      <c r="GD68" s="339"/>
      <c r="GE68" s="339"/>
      <c r="GF68" s="339"/>
      <c r="GG68" s="339"/>
      <c r="GH68" s="339"/>
      <c r="GI68" s="339"/>
      <c r="GJ68" s="339"/>
      <c r="GK68" s="339"/>
      <c r="GL68" s="339"/>
      <c r="GM68" s="339"/>
      <c r="GN68" s="339"/>
      <c r="GO68" s="339"/>
      <c r="GP68" s="339"/>
      <c r="GQ68" s="339"/>
      <c r="GR68" s="339"/>
      <c r="GS68" s="339"/>
      <c r="GT68" s="339"/>
      <c r="GU68" s="339"/>
      <c r="GV68" s="339"/>
      <c r="GW68" s="339"/>
      <c r="GX68" s="339"/>
      <c r="GY68" s="339"/>
      <c r="GZ68" s="339"/>
      <c r="HA68" s="339"/>
      <c r="HB68" s="339"/>
      <c r="HC68" s="339"/>
      <c r="HD68" s="339"/>
      <c r="HE68" s="339"/>
      <c r="HF68" s="339"/>
      <c r="HG68" s="339"/>
      <c r="HH68" s="339"/>
      <c r="HI68" s="339"/>
      <c r="HJ68" s="339"/>
      <c r="HK68" s="339"/>
      <c r="HL68" s="339"/>
      <c r="HM68" s="339"/>
      <c r="HN68" s="339"/>
      <c r="HO68" s="339"/>
      <c r="HP68" s="339"/>
      <c r="HQ68" s="339"/>
      <c r="HR68" s="339"/>
    </row>
    <row r="69" spans="1:238" ht="24" customHeight="1">
      <c r="B69" s="216"/>
      <c r="C69" s="181"/>
      <c r="D69" s="181"/>
      <c r="E69" s="181"/>
      <c r="F69" s="181"/>
      <c r="G69" s="181"/>
      <c r="H69" s="181"/>
      <c r="I69" s="181"/>
      <c r="J69" s="181"/>
      <c r="K69" s="185"/>
      <c r="L69" s="217"/>
      <c r="M69" s="218"/>
      <c r="N69" s="327" t="str">
        <f>CONCATENATE(AG69," ",AH69)</f>
        <v>Spiel 5</v>
      </c>
      <c r="O69" s="218"/>
      <c r="P69" s="219"/>
      <c r="Q69" s="185"/>
      <c r="R69" s="181"/>
      <c r="S69" s="181"/>
      <c r="T69" s="181"/>
      <c r="U69" s="181"/>
      <c r="V69" s="181"/>
      <c r="W69" s="181"/>
      <c r="X69" s="181"/>
      <c r="Y69" s="181"/>
      <c r="Z69" s="303"/>
      <c r="AA69" s="200"/>
      <c r="AB69" s="200"/>
      <c r="AC69" s="200"/>
      <c r="AD69" s="200"/>
      <c r="AE69" s="200"/>
      <c r="AF69" s="200"/>
      <c r="AG69" s="200" t="s">
        <v>863</v>
      </c>
      <c r="AH69" s="220">
        <v>5</v>
      </c>
      <c r="AI69" s="173">
        <f>VLOOKUP(AH69,Chema!R:T,3,FALSE)</f>
        <v>1.5</v>
      </c>
      <c r="AJ69" s="200" t="str">
        <f>VLOOKUP(AH69,Chema!BL:BQ,6,FALSE)</f>
        <v>1.5*</v>
      </c>
      <c r="AK69" s="200" t="str">
        <f>VLOOKUP(AH69,'Matchblatt  FEUILLE DE MATCH'!AI:AJ,2,FALSE)</f>
        <v>S</v>
      </c>
      <c r="AL69" s="200">
        <f>VLOOKUP(AH69,Chema!R:U,4,FALSE)</f>
        <v>5</v>
      </c>
      <c r="AM69" s="215" t="str">
        <f>VLOOKUP(AH69,'Matchblatt  FEUILLE DE MATCH'!AI:AS,10,FALSE)</f>
        <v/>
      </c>
      <c r="AN69" s="215"/>
      <c r="AO69" s="215"/>
      <c r="AP69" s="215"/>
      <c r="AQ69" s="215"/>
      <c r="AR69" s="215"/>
      <c r="AS69" s="215"/>
      <c r="AT69" s="215"/>
      <c r="AU69" s="215"/>
      <c r="AV69" s="215"/>
      <c r="AW69" s="215"/>
      <c r="AX69" s="215"/>
      <c r="AY69" s="215"/>
      <c r="AZ69" s="215"/>
      <c r="BA69" s="215" t="str">
        <f>VLOOKUP(AH69,'Matchblatt  FEUILLE DE MATCH'!AI:AS,11,FALSE)</f>
        <v/>
      </c>
      <c r="BB69" s="200"/>
      <c r="BC69" s="200"/>
      <c r="BD69" s="200"/>
      <c r="BE69" s="200"/>
      <c r="BF69" s="200"/>
      <c r="BG69" s="200"/>
      <c r="BH69" s="200"/>
      <c r="BK69" s="196"/>
      <c r="BL69" s="196"/>
      <c r="BM69" s="196"/>
      <c r="BN69" s="196"/>
      <c r="BO69" s="196"/>
      <c r="BP69" s="196"/>
      <c r="BQ69" s="221" t="s">
        <v>843</v>
      </c>
      <c r="BR69" s="222"/>
      <c r="BS69" s="222"/>
      <c r="BT69" s="223"/>
      <c r="BU69" s="222" t="s">
        <v>843</v>
      </c>
      <c r="BV69" s="222"/>
      <c r="BW69" s="222"/>
      <c r="BX69" s="224"/>
      <c r="BY69" s="222"/>
      <c r="BZ69" s="222"/>
      <c r="CA69" s="222"/>
      <c r="CB69" s="222"/>
      <c r="CC69" s="222"/>
      <c r="CD69" s="222"/>
      <c r="CE69" s="222"/>
      <c r="CF69" s="222"/>
      <c r="CG69" s="224"/>
      <c r="CH69" s="222"/>
      <c r="CI69" s="222"/>
      <c r="CJ69" s="223"/>
      <c r="CK69" s="196"/>
      <c r="CL69" s="196"/>
      <c r="CM69" s="196"/>
      <c r="CN69" s="196"/>
      <c r="CO69" s="196"/>
      <c r="CP69" s="196"/>
      <c r="CQ69" s="196"/>
      <c r="CR69" s="196"/>
      <c r="CS69" s="196"/>
      <c r="CT69" s="196"/>
      <c r="CU69" s="196"/>
      <c r="CV69" s="196"/>
      <c r="CW69" s="196"/>
      <c r="CX69" s="196"/>
      <c r="CY69" s="196"/>
      <c r="CZ69" s="196"/>
      <c r="DA69" s="196"/>
      <c r="DB69" s="196"/>
      <c r="DC69" s="196"/>
      <c r="DD69" s="196"/>
      <c r="DE69" s="196"/>
      <c r="DF69" s="196"/>
      <c r="DG69" s="196"/>
      <c r="DH69" s="196"/>
      <c r="DI69" s="196"/>
      <c r="DJ69" s="196"/>
      <c r="DK69" s="196"/>
      <c r="DL69" s="196"/>
      <c r="DM69" s="196"/>
      <c r="DN69" s="196"/>
      <c r="DO69" s="196"/>
      <c r="DP69" s="196"/>
      <c r="DQ69" s="196"/>
      <c r="DR69" s="196"/>
      <c r="DS69" s="196"/>
      <c r="DT69" s="196"/>
      <c r="DU69" s="196"/>
      <c r="DV69" s="196"/>
      <c r="DW69" s="196"/>
      <c r="DX69" s="196"/>
      <c r="DY69" s="196"/>
      <c r="DZ69" s="196"/>
      <c r="EA69" s="196"/>
      <c r="EB69" s="196"/>
      <c r="EC69" s="196"/>
      <c r="ED69" s="196"/>
      <c r="EE69" s="196"/>
      <c r="EF69" s="196"/>
      <c r="EG69" s="196"/>
      <c r="EH69" s="196"/>
      <c r="EI69" s="196"/>
      <c r="EJ69" s="196"/>
      <c r="EK69" s="196"/>
      <c r="EL69" s="196"/>
      <c r="EM69" s="221" t="s">
        <v>7</v>
      </c>
      <c r="EN69" s="222"/>
      <c r="EO69" s="222"/>
      <c r="EP69" s="222"/>
      <c r="EQ69" s="222"/>
      <c r="ER69" s="222"/>
      <c r="ES69" s="222"/>
      <c r="ET69" s="224"/>
      <c r="EU69" s="222"/>
      <c r="EV69" s="222"/>
      <c r="EW69" s="222"/>
      <c r="EX69" s="222"/>
      <c r="EY69" s="222"/>
      <c r="EZ69" s="222"/>
      <c r="FA69" s="222"/>
      <c r="FB69" s="222"/>
      <c r="FC69" s="222"/>
      <c r="FD69" s="222"/>
      <c r="FE69" s="223"/>
      <c r="FF69" s="196"/>
      <c r="FG69" s="196"/>
      <c r="FH69" s="221" t="s">
        <v>12</v>
      </c>
      <c r="FI69" s="222"/>
      <c r="FJ69" s="222"/>
      <c r="FK69" s="222"/>
      <c r="FL69" s="222"/>
      <c r="FM69" s="222"/>
      <c r="FN69" s="222"/>
      <c r="FO69" s="224"/>
      <c r="FP69" s="222"/>
      <c r="FQ69" s="222"/>
      <c r="FR69" s="222"/>
      <c r="FS69" s="222"/>
      <c r="FT69" s="222"/>
      <c r="FU69" s="222"/>
      <c r="FV69" s="222"/>
      <c r="FW69" s="222"/>
      <c r="FX69" s="222"/>
      <c r="FY69" s="222"/>
      <c r="FZ69" s="223"/>
      <c r="GA69" s="196"/>
      <c r="GD69" s="339"/>
      <c r="GE69" s="339"/>
      <c r="GF69" s="339"/>
      <c r="GG69" s="339"/>
      <c r="GH69" s="339"/>
      <c r="GI69" s="339"/>
      <c r="GJ69" s="339"/>
      <c r="GK69" s="339"/>
      <c r="GL69" s="339"/>
      <c r="GM69" s="339"/>
      <c r="GN69" s="339"/>
      <c r="GO69" s="339"/>
      <c r="GP69" s="339"/>
      <c r="GQ69" s="339"/>
      <c r="GR69" s="339"/>
      <c r="GS69" s="339"/>
      <c r="GT69" s="339"/>
      <c r="GU69" s="339"/>
      <c r="GV69" s="339"/>
      <c r="GW69" s="339"/>
      <c r="GX69" s="339"/>
      <c r="GY69" s="339"/>
      <c r="GZ69" s="339"/>
      <c r="HA69" s="339"/>
      <c r="HB69" s="339"/>
      <c r="HC69" s="339"/>
      <c r="HD69" s="339"/>
      <c r="HE69" s="339"/>
      <c r="HF69" s="339"/>
      <c r="HG69" s="339"/>
      <c r="HH69" s="339"/>
      <c r="HI69" s="339"/>
      <c r="HJ69" s="339"/>
      <c r="HK69" s="339"/>
      <c r="HL69" s="339"/>
      <c r="HM69" s="339"/>
      <c r="HN69" s="339"/>
      <c r="HO69" s="339"/>
      <c r="HP69" s="339"/>
      <c r="HQ69" s="339"/>
      <c r="HR69" s="339"/>
    </row>
    <row r="70" spans="1:238" ht="14.1" customHeight="1">
      <c r="B70" s="225"/>
      <c r="C70" s="304"/>
      <c r="D70" s="304"/>
      <c r="E70" s="304"/>
      <c r="F70" s="304"/>
      <c r="G70" s="304"/>
      <c r="H70" s="304"/>
      <c r="I70" s="304"/>
      <c r="J70" s="304"/>
      <c r="K70" s="166"/>
      <c r="L70" s="166"/>
      <c r="M70" s="166"/>
      <c r="N70" s="304"/>
      <c r="O70" s="304"/>
      <c r="P70" s="166"/>
      <c r="Q70" s="166"/>
      <c r="R70" s="304"/>
      <c r="S70" s="304"/>
      <c r="T70" s="304"/>
      <c r="U70" s="304"/>
      <c r="V70" s="304"/>
      <c r="W70" s="304"/>
      <c r="X70" s="166"/>
      <c r="Y70" s="166"/>
      <c r="Z70" s="305"/>
      <c r="AA70" s="63"/>
      <c r="AB70" s="63"/>
      <c r="AC70" s="63"/>
      <c r="AD70" s="63"/>
      <c r="AE70" s="63"/>
      <c r="AF70" s="63"/>
      <c r="AJ70" s="173" t="str">
        <f>VLOOKUP(AH69,Chema!BL:BR,7,FALSE)</f>
        <v/>
      </c>
      <c r="AL70" s="200"/>
      <c r="AM70" s="200" t="str">
        <f>IF(AK69="D",VLOOKUP(AJ70,'Matchblatt  FEUILLE DE MATCH'!AK:AS,8,FALSE),"")</f>
        <v/>
      </c>
      <c r="AN70" s="200"/>
      <c r="AO70" s="200"/>
      <c r="AP70" s="200"/>
      <c r="AQ70" s="200"/>
      <c r="AR70" s="200"/>
      <c r="AS70" s="200"/>
      <c r="AT70" s="200"/>
      <c r="AU70" s="200"/>
      <c r="AV70" s="200"/>
      <c r="AW70" s="200"/>
      <c r="AX70" s="200"/>
      <c r="AY70" s="200"/>
      <c r="AZ70" s="200"/>
      <c r="BA70" s="200" t="str">
        <f>IF(AK69="D",VLOOKUP(AJ70,'Matchblatt  FEUILLE DE MATCH'!AK:AS,9,FALSE),"")</f>
        <v/>
      </c>
      <c r="BB70" s="63"/>
      <c r="BC70" s="63"/>
      <c r="BD70" s="63"/>
      <c r="BE70" s="63"/>
      <c r="BF70" s="63"/>
      <c r="BG70" s="63"/>
      <c r="BH70" s="63"/>
      <c r="BK70" s="166" t="s">
        <v>7</v>
      </c>
      <c r="BL70" s="166" t="s">
        <v>12</v>
      </c>
      <c r="BM70" s="166"/>
      <c r="BN70" s="166" t="s">
        <v>7</v>
      </c>
      <c r="BO70" s="166" t="s">
        <v>12</v>
      </c>
      <c r="BP70" s="166"/>
      <c r="BQ70" s="226" t="s">
        <v>894</v>
      </c>
      <c r="BR70" s="227" t="s">
        <v>895</v>
      </c>
      <c r="BS70" s="228" t="s">
        <v>896</v>
      </c>
      <c r="BT70" s="229"/>
      <c r="BU70" s="226" t="s">
        <v>7</v>
      </c>
      <c r="BV70" s="166"/>
      <c r="BW70" s="166"/>
      <c r="BX70" s="230"/>
      <c r="BY70" s="166"/>
      <c r="BZ70" s="166"/>
      <c r="CA70" s="227"/>
      <c r="CB70" s="166"/>
      <c r="CC70" s="166"/>
      <c r="CD70" s="226" t="s">
        <v>12</v>
      </c>
      <c r="CE70" s="166"/>
      <c r="CF70" s="166"/>
      <c r="CG70" s="230"/>
      <c r="CH70" s="166"/>
      <c r="CI70" s="166"/>
      <c r="CJ70" s="227"/>
      <c r="CK70" s="166"/>
      <c r="CL70" s="166" t="s">
        <v>897</v>
      </c>
      <c r="CM70" s="166"/>
      <c r="CN70" s="166"/>
      <c r="CO70" s="166"/>
      <c r="CP70" s="166"/>
      <c r="CQ70" s="166"/>
      <c r="CR70" s="166"/>
      <c r="CS70" s="166"/>
      <c r="CT70" s="166"/>
      <c r="CU70" s="166" t="s">
        <v>843</v>
      </c>
      <c r="CV70" s="166"/>
      <c r="CW70" s="166" t="s">
        <v>843</v>
      </c>
      <c r="CX70" s="166"/>
      <c r="CY70" s="166"/>
      <c r="CZ70" s="166"/>
      <c r="DA70" s="166"/>
      <c r="DB70" s="166"/>
      <c r="DC70" s="166"/>
      <c r="DD70" s="166" t="s">
        <v>894</v>
      </c>
      <c r="DE70" s="166" t="s">
        <v>895</v>
      </c>
      <c r="DF70" s="166"/>
      <c r="DG70" s="166" t="s">
        <v>927</v>
      </c>
      <c r="DH70" s="166"/>
      <c r="DI70" s="166"/>
      <c r="DJ70" s="166"/>
      <c r="DK70" s="166"/>
      <c r="DL70" s="166"/>
      <c r="DM70" s="166"/>
      <c r="DN70" s="166" t="s">
        <v>928</v>
      </c>
      <c r="DO70" s="166" t="s">
        <v>929</v>
      </c>
      <c r="DP70" s="166"/>
      <c r="DQ70" s="166"/>
      <c r="DR70" s="166"/>
      <c r="DS70" s="166"/>
      <c r="DT70" s="166"/>
      <c r="DU70" s="166"/>
      <c r="DV70" s="166" t="s">
        <v>894</v>
      </c>
      <c r="DW70" s="166" t="s">
        <v>895</v>
      </c>
      <c r="DX70" s="166"/>
      <c r="DY70" s="166"/>
      <c r="DZ70" s="166"/>
      <c r="EA70" s="166"/>
      <c r="EB70" s="166"/>
      <c r="EC70" s="166"/>
      <c r="ED70" s="166" t="s">
        <v>894</v>
      </c>
      <c r="EE70" s="166" t="s">
        <v>895</v>
      </c>
      <c r="EF70" s="166"/>
      <c r="EG70" s="166"/>
      <c r="EH70" s="166"/>
      <c r="EI70" s="166"/>
      <c r="EJ70" s="166"/>
      <c r="EK70" s="166"/>
      <c r="EL70" s="166"/>
      <c r="EM70" s="166"/>
      <c r="EN70" s="166"/>
      <c r="EO70" s="166"/>
      <c r="EP70" s="166"/>
      <c r="EQ70" s="166"/>
      <c r="ER70" s="166"/>
      <c r="ES70" s="166"/>
      <c r="ET70" s="230"/>
      <c r="EU70" s="166"/>
      <c r="EV70" s="166"/>
      <c r="EW70" s="166"/>
      <c r="EX70" s="166"/>
      <c r="EY70" s="166"/>
      <c r="EZ70" s="166"/>
      <c r="FA70" s="166"/>
      <c r="FB70" s="166"/>
      <c r="FC70" s="166"/>
      <c r="FD70" s="166"/>
      <c r="FE70" s="166"/>
      <c r="FF70" s="166"/>
      <c r="FG70" s="166"/>
      <c r="FH70" s="166"/>
      <c r="FI70" s="166"/>
      <c r="FJ70" s="166"/>
      <c r="FK70" s="166"/>
      <c r="FL70" s="166"/>
      <c r="FM70" s="166"/>
      <c r="FN70" s="166"/>
      <c r="FO70" s="230"/>
      <c r="FP70" s="166"/>
      <c r="FQ70" s="166"/>
      <c r="FR70" s="166"/>
      <c r="FS70" s="166"/>
      <c r="FT70" s="166"/>
      <c r="FU70" s="166"/>
      <c r="FV70" s="166"/>
      <c r="FW70" s="166"/>
      <c r="FX70" s="166"/>
      <c r="FY70" s="166"/>
      <c r="FZ70" s="166"/>
      <c r="GA70" s="166"/>
      <c r="GD70" s="339"/>
      <c r="GE70" s="339"/>
      <c r="GF70" s="339"/>
      <c r="GG70" s="339"/>
      <c r="GH70" s="339"/>
      <c r="GI70" s="339"/>
      <c r="GJ70" s="339"/>
      <c r="GK70" s="339"/>
      <c r="GL70" s="339"/>
      <c r="GM70" s="339"/>
      <c r="GN70" s="339"/>
      <c r="GO70" s="339"/>
      <c r="GP70" s="339"/>
      <c r="GQ70" s="339"/>
      <c r="GR70" s="339"/>
      <c r="GS70" s="339"/>
      <c r="GT70" s="339"/>
      <c r="GU70" s="339"/>
      <c r="GV70" s="339"/>
      <c r="GW70" s="339"/>
      <c r="GX70" s="339"/>
      <c r="GY70" s="339"/>
      <c r="GZ70" s="339"/>
      <c r="HA70" s="339"/>
      <c r="HB70" s="339"/>
      <c r="HC70" s="339"/>
      <c r="HD70" s="339"/>
      <c r="HE70" s="339"/>
      <c r="HF70" s="339"/>
      <c r="HG70" s="339"/>
      <c r="HH70" s="339"/>
      <c r="HI70" s="339"/>
      <c r="HJ70" s="339"/>
      <c r="HK70" s="339"/>
      <c r="HL70" s="339"/>
      <c r="HM70" s="339"/>
      <c r="HN70" s="339"/>
      <c r="HO70" s="339"/>
      <c r="HP70" s="339"/>
      <c r="HQ70" s="339"/>
      <c r="HR70" s="339"/>
    </row>
    <row r="71" spans="1:238" s="234" customFormat="1" ht="20.100000000000001" customHeight="1">
      <c r="A71" s="235"/>
      <c r="B71" s="231"/>
      <c r="C71" s="232" t="str">
        <f>REPT(Sprache!$K$12,1)</f>
        <v>SPIEL</v>
      </c>
      <c r="D71" s="233" t="s">
        <v>869</v>
      </c>
      <c r="E71" s="233" t="str">
        <f>REPT(Sprache!$K$62,1)</f>
        <v>Punkte</v>
      </c>
      <c r="F71" s="233" t="str">
        <f>REPT(Sprache!$K$61,1)</f>
        <v>Rest</v>
      </c>
      <c r="G71" s="233" t="s">
        <v>898</v>
      </c>
      <c r="H71" s="233" t="s">
        <v>848</v>
      </c>
      <c r="I71" s="233">
        <v>180</v>
      </c>
      <c r="J71" s="233" t="str">
        <f>REPT(Sprache!$K$63,1)</f>
        <v>Fehler</v>
      </c>
      <c r="L71" s="306" t="s">
        <v>923</v>
      </c>
      <c r="M71" s="307"/>
      <c r="P71" s="306" t="s">
        <v>923</v>
      </c>
      <c r="R71" s="232" t="str">
        <f>REPT(Sprache!$K$12,1)</f>
        <v>SPIEL</v>
      </c>
      <c r="S71" s="233" t="s">
        <v>869</v>
      </c>
      <c r="T71" s="233" t="str">
        <f>REPT(Sprache!$K$62,1)</f>
        <v>Punkte</v>
      </c>
      <c r="U71" s="233" t="str">
        <f>REPT(Sprache!$K$61,1)</f>
        <v>Rest</v>
      </c>
      <c r="V71" s="233" t="s">
        <v>898</v>
      </c>
      <c r="W71" s="233" t="s">
        <v>848</v>
      </c>
      <c r="X71" s="233">
        <v>180</v>
      </c>
      <c r="Y71" s="233" t="str">
        <f>REPT(Sprache!$K$63,1)</f>
        <v>Fehler</v>
      </c>
      <c r="Z71" s="308"/>
      <c r="AD71" s="235"/>
      <c r="AE71" s="236" t="s">
        <v>966</v>
      </c>
      <c r="AF71" s="236" t="s">
        <v>967</v>
      </c>
      <c r="AG71" s="236" t="s">
        <v>965</v>
      </c>
      <c r="AH71" s="237" t="str">
        <f>LEFT($BM$6,10)</f>
        <v/>
      </c>
      <c r="AI71" s="237" t="str">
        <f>LEFT($BN$6,10)</f>
        <v/>
      </c>
      <c r="AJ71" s="237" t="s">
        <v>898</v>
      </c>
      <c r="AK71" s="237" t="s">
        <v>848</v>
      </c>
      <c r="AL71" s="237">
        <v>180</v>
      </c>
      <c r="AM71" s="237" t="str">
        <f>LEFT($BL$6,50)</f>
        <v/>
      </c>
      <c r="AN71" s="235"/>
      <c r="AO71" s="235"/>
      <c r="AP71" s="235"/>
      <c r="AQ71" s="235"/>
      <c r="AR71" s="235"/>
      <c r="AS71" s="235"/>
      <c r="AT71" s="235"/>
      <c r="AU71" s="235"/>
      <c r="AV71" s="237" t="str">
        <f>LEFT($BM$6,10)</f>
        <v/>
      </c>
      <c r="AW71" s="237" t="str">
        <f>LEFT($BN$6,10)</f>
        <v/>
      </c>
      <c r="AX71" s="237" t="s">
        <v>898</v>
      </c>
      <c r="AY71" s="237" t="s">
        <v>848</v>
      </c>
      <c r="AZ71" s="237">
        <v>180</v>
      </c>
      <c r="BA71" s="237" t="str">
        <f>LEFT($BL$6,50)</f>
        <v/>
      </c>
      <c r="BI71" s="238"/>
      <c r="BJ71" s="238"/>
      <c r="BK71" s="238" t="s">
        <v>165</v>
      </c>
      <c r="BL71" s="238" t="s">
        <v>165</v>
      </c>
      <c r="BM71" s="239" t="s">
        <v>165</v>
      </c>
      <c r="BN71" s="239" t="s">
        <v>899</v>
      </c>
      <c r="BO71" s="239" t="s">
        <v>899</v>
      </c>
      <c r="BP71" s="239" t="s">
        <v>900</v>
      </c>
      <c r="BQ71" s="240" t="s">
        <v>901</v>
      </c>
      <c r="BR71" s="241"/>
      <c r="BS71" s="242" t="s">
        <v>926</v>
      </c>
      <c r="BT71" s="243"/>
      <c r="BU71" s="242" t="s">
        <v>902</v>
      </c>
      <c r="BV71" s="238"/>
      <c r="BW71" s="238"/>
      <c r="BX71" s="244"/>
      <c r="BY71" s="238"/>
      <c r="BZ71" s="238" t="s">
        <v>903</v>
      </c>
      <c r="CA71" s="243" t="s">
        <v>904</v>
      </c>
      <c r="CB71" s="238"/>
      <c r="CC71" s="238"/>
      <c r="CD71" s="242" t="s">
        <v>902</v>
      </c>
      <c r="CE71" s="238"/>
      <c r="CF71" s="238"/>
      <c r="CG71" s="244"/>
      <c r="CH71" s="238"/>
      <c r="CI71" s="238" t="s">
        <v>903</v>
      </c>
      <c r="CJ71" s="243" t="s">
        <v>904</v>
      </c>
      <c r="CK71" s="238"/>
      <c r="CL71" s="245" t="s">
        <v>905</v>
      </c>
      <c r="CM71" s="245" t="s">
        <v>906</v>
      </c>
      <c r="CN71" s="245" t="s">
        <v>907</v>
      </c>
      <c r="CO71" s="245" t="s">
        <v>908</v>
      </c>
      <c r="CP71" s="245" t="s">
        <v>909</v>
      </c>
      <c r="CQ71" s="246" t="s">
        <v>910</v>
      </c>
      <c r="CR71" s="247"/>
      <c r="CS71" s="246" t="s">
        <v>911</v>
      </c>
      <c r="CT71" s="248"/>
      <c r="CU71" s="246" t="s">
        <v>912</v>
      </c>
      <c r="CV71" s="248"/>
      <c r="CW71" s="246" t="s">
        <v>913</v>
      </c>
      <c r="CX71" s="248"/>
      <c r="CY71" s="238"/>
      <c r="CZ71" s="238"/>
      <c r="DA71" s="238"/>
      <c r="DB71" s="238"/>
      <c r="DC71" s="249" t="s">
        <v>165</v>
      </c>
      <c r="DD71" s="249" t="s">
        <v>165</v>
      </c>
      <c r="DE71" s="249" t="s">
        <v>165</v>
      </c>
      <c r="DF71" s="238"/>
      <c r="DG71" s="238" t="s">
        <v>914</v>
      </c>
      <c r="DH71" s="238" t="s">
        <v>930</v>
      </c>
      <c r="DI71" s="238" t="s">
        <v>931</v>
      </c>
      <c r="DK71" s="238" t="s">
        <v>932</v>
      </c>
      <c r="DL71" s="238" t="s">
        <v>933</v>
      </c>
      <c r="DM71" s="238" t="s">
        <v>869</v>
      </c>
      <c r="DN71" s="230" t="s">
        <v>915</v>
      </c>
      <c r="DO71" s="250" t="s">
        <v>915</v>
      </c>
      <c r="DP71" s="322" t="s">
        <v>934</v>
      </c>
      <c r="DQ71" s="238"/>
      <c r="DR71" s="166" t="s">
        <v>894</v>
      </c>
      <c r="DS71" s="166" t="s">
        <v>895</v>
      </c>
      <c r="DT71" s="166" t="s">
        <v>935</v>
      </c>
      <c r="DU71" s="166" t="s">
        <v>936</v>
      </c>
      <c r="DV71" s="251" t="s">
        <v>165</v>
      </c>
      <c r="DW71" s="251" t="s">
        <v>165</v>
      </c>
      <c r="DX71" s="238" t="s">
        <v>916</v>
      </c>
      <c r="DY71" s="238"/>
      <c r="DZ71" s="238"/>
      <c r="EA71" s="238"/>
      <c r="EB71" s="238"/>
      <c r="EC71" s="238"/>
      <c r="ED71" s="251" t="s">
        <v>165</v>
      </c>
      <c r="EE71" s="251" t="s">
        <v>165</v>
      </c>
      <c r="EF71" s="166"/>
      <c r="EG71" s="238"/>
      <c r="EH71" s="238"/>
      <c r="EI71" s="238"/>
      <c r="EJ71" s="238"/>
      <c r="EK71" s="238"/>
      <c r="EL71" s="238"/>
      <c r="EM71" s="238"/>
      <c r="EN71" s="238"/>
      <c r="EO71" s="246" t="s">
        <v>917</v>
      </c>
      <c r="EP71" s="247"/>
      <c r="EQ71" s="247"/>
      <c r="ER71" s="247"/>
      <c r="ES71" s="247"/>
      <c r="ET71" s="252"/>
      <c r="EU71" s="248"/>
      <c r="EV71" s="246" t="s">
        <v>918</v>
      </c>
      <c r="EW71" s="247"/>
      <c r="EX71" s="248"/>
      <c r="EY71" s="251" t="s">
        <v>165</v>
      </c>
      <c r="EZ71" s="246" t="s">
        <v>919</v>
      </c>
      <c r="FA71" s="247"/>
      <c r="FB71" s="248"/>
      <c r="FC71" s="246" t="s">
        <v>920</v>
      </c>
      <c r="FD71" s="247"/>
      <c r="FE71" s="248"/>
      <c r="FF71" s="238"/>
      <c r="FG71" s="238"/>
      <c r="FH71" s="238"/>
      <c r="FI71" s="238"/>
      <c r="FJ71" s="246" t="s">
        <v>917</v>
      </c>
      <c r="FK71" s="247"/>
      <c r="FL71" s="247"/>
      <c r="FM71" s="247"/>
      <c r="FN71" s="247"/>
      <c r="FO71" s="252"/>
      <c r="FP71" s="248"/>
      <c r="FQ71" s="246" t="s">
        <v>918</v>
      </c>
      <c r="FR71" s="247"/>
      <c r="FS71" s="248"/>
      <c r="FT71" s="251" t="s">
        <v>165</v>
      </c>
      <c r="FU71" s="246" t="s">
        <v>919</v>
      </c>
      <c r="FV71" s="247"/>
      <c r="FW71" s="248"/>
      <c r="FX71" s="246" t="s">
        <v>920</v>
      </c>
      <c r="FY71" s="247"/>
      <c r="FZ71" s="248"/>
      <c r="GD71" s="340"/>
      <c r="GE71" s="340"/>
      <c r="GF71" s="341" t="s">
        <v>968</v>
      </c>
      <c r="GG71" s="340"/>
      <c r="GH71" s="340"/>
      <c r="GI71" s="340"/>
      <c r="GJ71" s="341" t="s">
        <v>972</v>
      </c>
      <c r="GK71" s="340"/>
      <c r="GL71" s="340"/>
      <c r="GM71" s="340"/>
      <c r="GN71" s="341" t="s">
        <v>971</v>
      </c>
      <c r="GO71" s="340"/>
      <c r="GP71" s="340"/>
      <c r="GQ71" s="340"/>
      <c r="GR71" s="341" t="s">
        <v>970</v>
      </c>
      <c r="GS71" s="340"/>
      <c r="GT71" s="340"/>
      <c r="GU71" s="340"/>
      <c r="GV71" s="341" t="s">
        <v>969</v>
      </c>
      <c r="GW71" s="340"/>
      <c r="GX71" s="340"/>
      <c r="GY71" s="340"/>
      <c r="GZ71" s="342" t="s">
        <v>973</v>
      </c>
      <c r="HA71" s="340"/>
      <c r="HB71" s="340"/>
      <c r="HC71" s="340"/>
      <c r="HD71" s="342" t="s">
        <v>974</v>
      </c>
      <c r="HE71" s="340"/>
      <c r="HF71" s="340"/>
      <c r="HG71" s="340"/>
      <c r="HH71" s="340"/>
      <c r="HI71" s="340"/>
      <c r="HJ71" s="340"/>
      <c r="HK71" s="340"/>
      <c r="HL71" s="340"/>
      <c r="HM71" s="341"/>
      <c r="HN71" s="341"/>
      <c r="HO71" s="341"/>
      <c r="HP71" s="341"/>
      <c r="HQ71" s="341"/>
      <c r="HR71" s="341"/>
      <c r="HS71" s="238"/>
      <c r="HT71" s="238"/>
      <c r="HU71" s="238"/>
      <c r="HV71" s="238"/>
      <c r="HX71" s="238"/>
      <c r="HY71" s="238"/>
      <c r="HZ71" s="238"/>
      <c r="ID71" s="238"/>
    </row>
    <row r="72" spans="1:238" s="234" customFormat="1" ht="20.100000000000001" customHeight="1">
      <c r="A72" s="235"/>
      <c r="B72" s="231">
        <f>COUNT(AJ73,AJ72)</f>
        <v>0</v>
      </c>
      <c r="C72" s="325" t="str">
        <f>CONCATENATE(BG72,BE72)</f>
        <v>HS</v>
      </c>
      <c r="D72" s="253" t="str">
        <f>REPT(DN72,1)</f>
        <v>1</v>
      </c>
      <c r="E72" s="254" t="str">
        <f>REPT(AH72,1)</f>
        <v/>
      </c>
      <c r="F72" s="168"/>
      <c r="G72" s="168"/>
      <c r="H72" s="168"/>
      <c r="I72" s="169"/>
      <c r="J72" s="255" t="str">
        <f>REPT(AM72,1)</f>
        <v/>
      </c>
      <c r="L72" s="309">
        <f>SUM(BS81)</f>
        <v>0</v>
      </c>
      <c r="M72" s="238"/>
      <c r="N72" s="255" t="str">
        <f>REPT(AP72,1)</f>
        <v/>
      </c>
      <c r="P72" s="309">
        <f>SUM(CF81)</f>
        <v>0</v>
      </c>
      <c r="Q72" s="310"/>
      <c r="R72" s="323" t="str">
        <f>CONCATENATE(BH72,BE72)</f>
        <v>GS</v>
      </c>
      <c r="S72" s="253" t="str">
        <f>REPT(DO72,1)</f>
        <v>1</v>
      </c>
      <c r="T72" s="254" t="str">
        <f>REPT(AV72,1)</f>
        <v/>
      </c>
      <c r="U72" s="168"/>
      <c r="V72" s="168"/>
      <c r="W72" s="168"/>
      <c r="X72" s="169"/>
      <c r="Y72" s="255" t="str">
        <f>REPT(BA72,1)</f>
        <v/>
      </c>
      <c r="Z72" s="308"/>
      <c r="AB72" s="234">
        <f>IF(AY72="",0,IF(AY72&lt;2,1,""))</f>
        <v>0</v>
      </c>
      <c r="AC72" s="238">
        <f>IF(AD72=1,1,IF(AD72=3,1,IF(AD72=2,0,IF(AD72=0,0,0))))</f>
        <v>0</v>
      </c>
      <c r="AD72" s="256">
        <f>SUM(AE72:AG72)</f>
        <v>0</v>
      </c>
      <c r="AE72" s="256">
        <f t="shared" ref="AE72:AE76" si="140">IF(F72="",0,1)</f>
        <v>0</v>
      </c>
      <c r="AF72" s="256">
        <f t="shared" ref="AF72:AF76" si="141">IF(G72="",0,1)</f>
        <v>0</v>
      </c>
      <c r="AG72" s="256">
        <f>IF(H72="",0,1)</f>
        <v>0</v>
      </c>
      <c r="AH72" s="257" t="str">
        <f>IF(AK72="",IF(AI72="","",IF(AI72="",501,501-AI72)),501)</f>
        <v/>
      </c>
      <c r="AI72" s="256" t="str">
        <f>IF(F72&gt;1,F72,IF(F72=0,"",IF(F72="","","")))</f>
        <v/>
      </c>
      <c r="AJ72" s="256" t="str">
        <f>IF(G72&gt;8,G72,IF(G72="","",""))</f>
        <v/>
      </c>
      <c r="AK72" s="256" t="str">
        <f>IF(H72&gt;1,H72,IF(H72="","",""))</f>
        <v/>
      </c>
      <c r="AL72" s="256" t="str">
        <f>IF(I72&gt;0,I72,IF(I72="","",""))</f>
        <v/>
      </c>
      <c r="AM72" s="258" t="str">
        <f>IF(BK72=0,"","X")</f>
        <v/>
      </c>
      <c r="AN72" s="237"/>
      <c r="AO72" s="237"/>
      <c r="AP72" s="258" t="str">
        <f>IF(BM72=0,"","X")</f>
        <v/>
      </c>
      <c r="AQ72" s="236">
        <f>IF(AR72=1,1,IF(AR72=3,1,IF(AR72=2,0,IF(AR72=0,0,0))))</f>
        <v>0</v>
      </c>
      <c r="AR72" s="256">
        <f>SUM(AS72:AU72)</f>
        <v>0</v>
      </c>
      <c r="AS72" s="256">
        <f t="shared" ref="AS72:AS76" si="142">IF(U72="",0,1)</f>
        <v>0</v>
      </c>
      <c r="AT72" s="256">
        <f t="shared" ref="AT72:AT76" si="143">IF(V72="",0,1)</f>
        <v>0</v>
      </c>
      <c r="AU72" s="256">
        <f>IF(W72="",0,1)</f>
        <v>0</v>
      </c>
      <c r="AV72" s="257" t="str">
        <f>IF(AY72="",IF(AW72="","",IF(AW72="",501,501-AW72)),501)</f>
        <v/>
      </c>
      <c r="AW72" s="256" t="str">
        <f>IF(U72&gt;1,U72,IF(U72=0,"",IF(U72="","","")))</f>
        <v/>
      </c>
      <c r="AX72" s="256" t="str">
        <f>IF(V72&gt;8,V72,IF(V72="","",""))</f>
        <v/>
      </c>
      <c r="AY72" s="256" t="str">
        <f>IF(W72&gt;1,W72,IF(W72="","",""))</f>
        <v/>
      </c>
      <c r="AZ72" s="256" t="str">
        <f>IF(X72&gt;0,X72,IF(X72="","",""))</f>
        <v/>
      </c>
      <c r="BA72" s="258" t="str">
        <f>IF(BL72=0,"","X")</f>
        <v/>
      </c>
      <c r="BF72" s="238" t="s">
        <v>894</v>
      </c>
      <c r="BG72" s="238" t="str">
        <f>CONCATENATE(BF72,AK69)</f>
        <v>HS</v>
      </c>
      <c r="BH72" s="238" t="str">
        <f>CONCATENATE(BI72,AK69)</f>
        <v>GS</v>
      </c>
      <c r="BI72" s="238" t="s">
        <v>895</v>
      </c>
      <c r="BJ72" s="238"/>
      <c r="BK72" s="251">
        <f>SUM(DD72,DV72,EY72,ED72,FF72,BQ72,BS72,AC72)</f>
        <v>0</v>
      </c>
      <c r="BL72" s="251">
        <f>SUM(DE72,DW72,EE72,FT72,GA72,BR72,BT72,AQ72)</f>
        <v>0</v>
      </c>
      <c r="BM72" s="259">
        <f>SUM(DC72,BK72:BL72,AC72,AQ72)</f>
        <v>0</v>
      </c>
      <c r="BN72" s="239">
        <f>COUNT(AK72)</f>
        <v>0</v>
      </c>
      <c r="BO72" s="239">
        <f>COUNT(AY72)</f>
        <v>0</v>
      </c>
      <c r="BP72" s="239">
        <f>IF(BN74=0,0,1)</f>
        <v>0</v>
      </c>
      <c r="BQ72" s="260">
        <f>IF(AL72="",0,IF(AL72&gt;2,1,0))</f>
        <v>0</v>
      </c>
      <c r="BR72" s="261">
        <f>IF(AZ72="",0,IF(AZ72&gt;2,1,0))</f>
        <v>0</v>
      </c>
      <c r="BS72" s="262">
        <f>IF(AJ72=9,IF(AK72&lt;141,1,0),0)</f>
        <v>0</v>
      </c>
      <c r="BT72" s="263">
        <f>IF(AX72=9,IF(AY72&lt;141,1,0),0)</f>
        <v>0</v>
      </c>
      <c r="BU72" s="242">
        <f>IF(H72,G72,0)</f>
        <v>0</v>
      </c>
      <c r="BV72" s="238">
        <f>IF(BU72&gt;0,AJ72/3,0)</f>
        <v>0</v>
      </c>
      <c r="BW72" s="238">
        <f>ROUNDUP(BV72,0)</f>
        <v>0</v>
      </c>
      <c r="BX72" s="244">
        <f>IF(MOD(BW72,2)=0,BW72,BW72+1)</f>
        <v>0</v>
      </c>
      <c r="BY72" s="238">
        <f>IF(AJ72&lt;9,"",SUM(BX72-BW72))</f>
        <v>0</v>
      </c>
      <c r="BZ72" s="238">
        <f>IF(BY72=1,AK72,0)</f>
        <v>0</v>
      </c>
      <c r="CA72" s="243" t="str">
        <f>IF(BY72=0,AK72,0)</f>
        <v/>
      </c>
      <c r="CB72" s="238"/>
      <c r="CC72" s="238"/>
      <c r="CD72" s="242">
        <f>IF(W72,V72,0)</f>
        <v>0</v>
      </c>
      <c r="CE72" s="238">
        <f>IF(CD72&gt;0,AX72/3,0)</f>
        <v>0</v>
      </c>
      <c r="CF72" s="238">
        <f>ROUNDUP(CE72,0)</f>
        <v>0</v>
      </c>
      <c r="CG72" s="244">
        <f>IF(MOD(CF72,2)=0,CF72,CF72+1)</f>
        <v>0</v>
      </c>
      <c r="CH72" s="238">
        <f>IF(AX72&lt;9,"",SUM(CG72-CF72))</f>
        <v>0</v>
      </c>
      <c r="CI72" s="238">
        <f>IF(CH72=1,AY72,0)</f>
        <v>0</v>
      </c>
      <c r="CJ72" s="243" t="str">
        <f>IF(CH72=0,AY72,0)</f>
        <v/>
      </c>
      <c r="CK72" s="238"/>
      <c r="CL72" s="245">
        <f>IF(COUNT(F72,H72)=1,0,1)</f>
        <v>1</v>
      </c>
      <c r="CM72" s="245">
        <f>IF(COUNT(F72,U72)=1,0,1)</f>
        <v>1</v>
      </c>
      <c r="CN72" s="245">
        <f>IF(COUNT(H72,W72)=1,0,1)</f>
        <v>1</v>
      </c>
      <c r="CO72" s="245">
        <f>IF(COUNT(G72,V72)=2,0,1)</f>
        <v>1</v>
      </c>
      <c r="CP72" s="245">
        <f>IF(COUNT(U72,W72)=1,0,1)</f>
        <v>1</v>
      </c>
      <c r="CQ72" s="245">
        <f>IF(SUM(G72-V72)&gt;3,1,0)</f>
        <v>0</v>
      </c>
      <c r="CR72" s="245">
        <f>IF(SUM(G72-V72)&lt;-3,1,0)</f>
        <v>0</v>
      </c>
      <c r="CS72" s="264">
        <f>IF(AJ72=9,IF(AH72&lt;141,1,0),IF(AH72="",0,IF(AH72&gt;1,0,1)))</f>
        <v>0</v>
      </c>
      <c r="CT72" s="264">
        <f>IF(AX72=9,IF(AV72&lt;141,1,0),IF(AV72="",0,IF(AV72&gt;1,0,1)))</f>
        <v>0</v>
      </c>
      <c r="CU72" s="264">
        <f>IF(AI72="",0,IF(AI72&lt;502,0,1))</f>
        <v>0</v>
      </c>
      <c r="CV72" s="264">
        <f>IF(AW72="",0,IF(AW72&lt;502,0,1))</f>
        <v>0</v>
      </c>
      <c r="CW72" s="264">
        <f>IF(AI72="",IF(AJ72&lt;9,1,0),IF(AJ72&lt;9,1,0))</f>
        <v>0</v>
      </c>
      <c r="CX72" s="264">
        <f>IF(AW72="",IF(AX72&lt;9,1,0),IF(AX72&lt;9,1,0))</f>
        <v>0</v>
      </c>
      <c r="CY72" s="374"/>
      <c r="CZ72" s="374"/>
      <c r="DA72" s="374"/>
      <c r="DB72" s="374"/>
      <c r="DC72" s="265">
        <f>IF(AJ72="",0,SUM(CL72:CX72))</f>
        <v>0</v>
      </c>
      <c r="DD72" s="265">
        <f>IF(AJ72="",0,SUM(CL72,CS72,CU72,CW72))</f>
        <v>0</v>
      </c>
      <c r="DE72" s="265">
        <f>IF(AJ72="",0,SUM(CP72,CT72,CV72,CX72))</f>
        <v>0</v>
      </c>
      <c r="DF72" s="238"/>
      <c r="DG72" s="248" t="str">
        <f>IF(G72="","",SUM(G72-V72))</f>
        <v/>
      </c>
      <c r="DH72" s="245">
        <f>IF(F72="",0,1)</f>
        <v>0</v>
      </c>
      <c r="DI72" s="245" t="str">
        <f>IF(DG72=0,DH72,DG72)</f>
        <v/>
      </c>
      <c r="DJ72" s="245" t="e">
        <f>SIGN(DI72)</f>
        <v>#VALUE!</v>
      </c>
      <c r="DK72" s="245" t="str">
        <f>IF(G72="","",IF(DJ72=1,"*",""))</f>
        <v/>
      </c>
      <c r="DL72" s="245" t="str">
        <f>IF(G72="","",IF(DJ72=-1,"*",IF(DJ72=0,"*","")))</f>
        <v/>
      </c>
      <c r="DM72" s="245">
        <v>1</v>
      </c>
      <c r="DN72" s="245" t="str">
        <f>CONCATENATE(DM72,DK72)</f>
        <v>1</v>
      </c>
      <c r="DO72" s="245" t="str">
        <f>CONCATENATE(DM72,DL72)</f>
        <v>1</v>
      </c>
      <c r="DP72" s="245">
        <f>IF(DK72="*",1,0)</f>
        <v>0</v>
      </c>
      <c r="DQ72" s="245">
        <f>IF(DL72="*",1,0)</f>
        <v>0</v>
      </c>
      <c r="DR72" s="245"/>
      <c r="DS72" s="245"/>
      <c r="DT72" s="245"/>
      <c r="DU72" s="245"/>
      <c r="DV72" s="266"/>
      <c r="DW72" s="266"/>
      <c r="DX72" s="238">
        <f>IF(AK72="",0,1)</f>
        <v>0</v>
      </c>
      <c r="DY72" s="238">
        <f>IF(DG72=-3,1,0)</f>
        <v>0</v>
      </c>
      <c r="DZ72" s="238">
        <f>SUM(DX72:DY72)</f>
        <v>0</v>
      </c>
      <c r="EA72" s="238">
        <f>IF(AK72="",1,0)</f>
        <v>1</v>
      </c>
      <c r="EB72" s="238">
        <f>IF(DG72=3,1,0)</f>
        <v>0</v>
      </c>
      <c r="EC72" s="238">
        <f>SUM(EA72:EB72)</f>
        <v>1</v>
      </c>
      <c r="ED72" s="267">
        <f>IF(EC72=2,1,0)</f>
        <v>0</v>
      </c>
      <c r="EE72" s="267">
        <f>IF(DZ72=2,1,0)</f>
        <v>0</v>
      </c>
      <c r="EG72" s="166"/>
      <c r="EH72" s="238"/>
      <c r="EI72" s="238"/>
      <c r="EJ72" s="238"/>
      <c r="EK72" s="238"/>
      <c r="EL72" s="238"/>
      <c r="EM72" s="245">
        <f>IF(AK72="",0,1)</f>
        <v>0</v>
      </c>
      <c r="EN72" s="245">
        <f>SUM(AK72)</f>
        <v>0</v>
      </c>
      <c r="EO72" s="268">
        <f>SUM(AJ72)</f>
        <v>0</v>
      </c>
      <c r="EP72" s="268">
        <f>SUM(G72/3)</f>
        <v>0</v>
      </c>
      <c r="EQ72" s="268" t="e">
        <f>SUM(EO72/EP72)</f>
        <v>#DIV/0!</v>
      </c>
      <c r="ER72" s="268">
        <f>ROUNDDOWN(EP72,0)</f>
        <v>0</v>
      </c>
      <c r="ES72" s="268">
        <f>SUM(EO72,-ER72*3)</f>
        <v>0</v>
      </c>
      <c r="ET72" s="269" t="b">
        <f>MOD(EN72/1,2)=0</f>
        <v>1</v>
      </c>
      <c r="EU72" s="245">
        <f>IF(ET72=FALSE,1,0)</f>
        <v>0</v>
      </c>
      <c r="EV72" s="245">
        <f>IF(EN72=50,0,IF(EN72&lt;40,1,0))</f>
        <v>1</v>
      </c>
      <c r="EW72" s="245">
        <f>SUM(EU72:EV72)</f>
        <v>1</v>
      </c>
      <c r="EX72" s="267">
        <f>IF(EN72=1,1,IF(EN72=50,0,IF(ES72=1,IF(EN72&gt;40,1,0),0)))</f>
        <v>0</v>
      </c>
      <c r="EY72" s="267">
        <f>IF(ES72=1,IF(EW72=2,1,0),0)+EX72+FB72+FE72</f>
        <v>0</v>
      </c>
      <c r="EZ72" s="245">
        <f>IF(EN72=109,1,IF(EN72=108,1,IF(EN72=106,1,IF(EN72=105,1,IF(EN72=103,1,IF(EN72=102,1,IF(EN72=99,1,0)))))))</f>
        <v>0</v>
      </c>
      <c r="FA72" s="245">
        <f>IF(EN72&gt;110,1,0)</f>
        <v>0</v>
      </c>
      <c r="FB72" s="267">
        <f>IF(ES72=2,SUM(EZ72:FA72),0)</f>
        <v>0</v>
      </c>
      <c r="FC72" s="245">
        <f>IF(EN72=159,1,IF(EN72=162,1,IF(EN72=163,1,IF(EN72=165,1,IF(EN72=166,1,IF(EN72=168,1,IF(EN72=169,1,0)))))))</f>
        <v>0</v>
      </c>
      <c r="FD72" s="245">
        <f>IF(EN72&gt;170,1,0)</f>
        <v>0</v>
      </c>
      <c r="FE72" s="267">
        <f>IF(ES72=0,SUM(FC72:FD72),0)</f>
        <v>0</v>
      </c>
      <c r="FF72" s="251">
        <f>IF(AJ72="",0,IF(AI72="",0,IF(EO72/ER72-3=0,0,1)))</f>
        <v>0</v>
      </c>
      <c r="FG72" s="238"/>
      <c r="FH72" s="245">
        <f>IF(AY72="",0,1)</f>
        <v>0</v>
      </c>
      <c r="FI72" s="245">
        <f>SUM(AY72)</f>
        <v>0</v>
      </c>
      <c r="FJ72" s="268">
        <f>SUM(AX72)</f>
        <v>0</v>
      </c>
      <c r="FK72" s="268">
        <f>SUM(V72/3)</f>
        <v>0</v>
      </c>
      <c r="FL72" s="268" t="e">
        <f>SUM(FJ72/FK72)</f>
        <v>#DIV/0!</v>
      </c>
      <c r="FM72" s="268">
        <f>ROUNDDOWN(FK72,0)</f>
        <v>0</v>
      </c>
      <c r="FN72" s="268">
        <f>SUM(FJ72,-FM72*3)</f>
        <v>0</v>
      </c>
      <c r="FO72" s="269" t="b">
        <f>MOD(FI72/1,2)=0</f>
        <v>1</v>
      </c>
      <c r="FP72" s="245">
        <f>IF(FO72=FALSE,1,0)</f>
        <v>0</v>
      </c>
      <c r="FQ72" s="245">
        <f>IF(FI72=50,0,IF(FI72&lt;40,1,0))</f>
        <v>1</v>
      </c>
      <c r="FR72" s="245">
        <f>SUM(FP72:FQ72)</f>
        <v>1</v>
      </c>
      <c r="FS72" s="267">
        <f>IF(FI72=1,1,IF(FI72=50,0,IF(FN72=1,IF(FI72&gt;40,1,0),0)))</f>
        <v>0</v>
      </c>
      <c r="FT72" s="267">
        <f>IF(FN72=1,IF(FR72=2,1,0),0)+FS72+FW72+FZ72</f>
        <v>0</v>
      </c>
      <c r="FU72" s="245">
        <f>IF(FI72=109,1,IF(FI72=108,1,IF(FI72=106,1,IF(FI72=105,1,IF(FI72=103,1,IF(FI72=102,1,IF(FI72=99,1,0)))))))</f>
        <v>0</v>
      </c>
      <c r="FV72" s="245">
        <f>IF(FI72&gt;110,1,0)</f>
        <v>0</v>
      </c>
      <c r="FW72" s="267">
        <f>IF(FN72=2,SUM(FU72:FV72),0)</f>
        <v>0</v>
      </c>
      <c r="FX72" s="245">
        <f>IF(FI72=159,1,IF(FI72=162,1,IF(FI72=163,1,IF(FI72=165,1,IF(FI72=166,1,IF(FI72=168,1,IF(FI72=169,1,0)))))))</f>
        <v>0</v>
      </c>
      <c r="FY72" s="245">
        <f>IF(FI72&gt;170,1,0)</f>
        <v>0</v>
      </c>
      <c r="FZ72" s="267">
        <f>IF(FN72=0,SUM(FX72:FY72),0)</f>
        <v>0</v>
      </c>
      <c r="GA72" s="251">
        <f>IF(AX72="",0,IF(AW72="",0,IF(FJ72/FM72-3=0,0,1)))</f>
        <v>0</v>
      </c>
      <c r="GD72" s="341">
        <f>IF(AK69="D",1,0)</f>
        <v>0</v>
      </c>
      <c r="GE72" s="343"/>
      <c r="GF72" s="343" t="s">
        <v>866</v>
      </c>
      <c r="GG72" s="343" t="s">
        <v>868</v>
      </c>
      <c r="GH72" s="343" t="s">
        <v>848</v>
      </c>
      <c r="GI72" s="343">
        <v>180</v>
      </c>
      <c r="GJ72" s="343" t="s">
        <v>866</v>
      </c>
      <c r="GK72" s="343" t="s">
        <v>868</v>
      </c>
      <c r="GL72" s="343" t="s">
        <v>848</v>
      </c>
      <c r="GM72" s="343">
        <v>180</v>
      </c>
      <c r="GN72" s="343" t="s">
        <v>866</v>
      </c>
      <c r="GO72" s="343" t="s">
        <v>868</v>
      </c>
      <c r="GP72" s="343" t="s">
        <v>848</v>
      </c>
      <c r="GQ72" s="343">
        <v>180</v>
      </c>
      <c r="GR72" s="343" t="s">
        <v>866</v>
      </c>
      <c r="GS72" s="343" t="s">
        <v>868</v>
      </c>
      <c r="GT72" s="343" t="s">
        <v>848</v>
      </c>
      <c r="GU72" s="343">
        <v>180</v>
      </c>
      <c r="GV72" s="343" t="s">
        <v>866</v>
      </c>
      <c r="GW72" s="343" t="s">
        <v>868</v>
      </c>
      <c r="GX72" s="343" t="s">
        <v>848</v>
      </c>
      <c r="GY72" s="343">
        <v>180</v>
      </c>
      <c r="GZ72" s="343" t="s">
        <v>866</v>
      </c>
      <c r="HA72" s="343" t="s">
        <v>868</v>
      </c>
      <c r="HB72" s="343" t="s">
        <v>848</v>
      </c>
      <c r="HC72" s="343">
        <v>180</v>
      </c>
      <c r="HD72" s="343" t="s">
        <v>866</v>
      </c>
      <c r="HE72" s="343" t="s">
        <v>868</v>
      </c>
      <c r="HF72" s="341" t="s">
        <v>975</v>
      </c>
      <c r="HG72" s="341" t="s">
        <v>976</v>
      </c>
      <c r="HH72" s="341" t="s">
        <v>899</v>
      </c>
      <c r="HJ72" s="238"/>
      <c r="HK72" s="238"/>
      <c r="HL72" s="238"/>
      <c r="HM72" s="238">
        <f>COUNT(HI73,HJ73,HK73,HL73,HM73)</f>
        <v>0</v>
      </c>
      <c r="HN72" s="341"/>
      <c r="HO72" s="341"/>
      <c r="HP72" s="341"/>
      <c r="HQ72" s="341"/>
      <c r="HR72" s="341"/>
      <c r="HS72" s="238"/>
      <c r="HT72" s="238"/>
      <c r="HU72" s="238"/>
      <c r="HV72" s="238"/>
      <c r="HX72" s="238"/>
      <c r="HY72" s="238"/>
      <c r="ID72" s="238"/>
    </row>
    <row r="73" spans="1:238" s="234" customFormat="1" ht="20.100000000000001" customHeight="1">
      <c r="A73" s="235"/>
      <c r="B73" s="231">
        <f>COUNT(AJ74,AJ73)</f>
        <v>0</v>
      </c>
      <c r="C73" s="326">
        <f>IF(DK72="*",AJ69,AI69)</f>
        <v>1.5</v>
      </c>
      <c r="D73" s="253" t="str">
        <f>REPT(DN73,1)</f>
        <v>2</v>
      </c>
      <c r="E73" s="254" t="str">
        <f>REPT(AH73,1)</f>
        <v/>
      </c>
      <c r="F73" s="168"/>
      <c r="G73" s="168"/>
      <c r="H73" s="168"/>
      <c r="I73" s="169"/>
      <c r="J73" s="270" t="str">
        <f>REPT(AM73,1)</f>
        <v/>
      </c>
      <c r="L73" s="306" t="s">
        <v>922</v>
      </c>
      <c r="M73" s="311"/>
      <c r="N73" s="270" t="str">
        <f>REPT(AP73,1)</f>
        <v/>
      </c>
      <c r="P73" s="306" t="s">
        <v>922</v>
      </c>
      <c r="Q73" s="310"/>
      <c r="R73" s="324">
        <f>IF(DL72="*",AJ69,AI69)</f>
        <v>1.5</v>
      </c>
      <c r="S73" s="253" t="str">
        <f>REPT(DO73,1)</f>
        <v>2</v>
      </c>
      <c r="T73" s="254" t="str">
        <f>REPT(AV73,1)</f>
        <v/>
      </c>
      <c r="U73" s="168"/>
      <c r="V73" s="168"/>
      <c r="W73" s="168"/>
      <c r="X73" s="169"/>
      <c r="Y73" s="270" t="str">
        <f t="shared" ref="Y73:Y75" si="144">REPT(BA73,1)</f>
        <v/>
      </c>
      <c r="Z73" s="308"/>
      <c r="AB73" s="234">
        <f>IF(AY73="",0,IF(AY73&lt;2,1,""))</f>
        <v>0</v>
      </c>
      <c r="AC73" s="238">
        <f t="shared" ref="AC73:AC74" si="145">IF(AD73=1,1,IF(AD73=3,1,IF(AD73=2,0,IF(AD73=0,0,0))))</f>
        <v>0</v>
      </c>
      <c r="AD73" s="256">
        <f t="shared" ref="AD73:AD76" si="146">SUM(AE73:AG73)</f>
        <v>0</v>
      </c>
      <c r="AE73" s="256">
        <f t="shared" si="140"/>
        <v>0</v>
      </c>
      <c r="AF73" s="256">
        <f t="shared" si="141"/>
        <v>0</v>
      </c>
      <c r="AG73" s="256">
        <f t="shared" ref="AG73:AG76" si="147">IF(H73="",0,1)</f>
        <v>0</v>
      </c>
      <c r="AH73" s="257" t="str">
        <f>IF(AK73="",IF(AI73="","",IF(AI73="",501,501-AI73)),501)</f>
        <v/>
      </c>
      <c r="AI73" s="256" t="str">
        <f>IF(F73&gt;1,F73,IF(F73=0,"",IF(F73="","","")))</f>
        <v/>
      </c>
      <c r="AJ73" s="256" t="str">
        <f>IF(G73&gt;8,G73,IF(G73="","",""))</f>
        <v/>
      </c>
      <c r="AK73" s="256" t="str">
        <f>IF(H73&gt;1,H73,IF(H73="","",""))</f>
        <v/>
      </c>
      <c r="AL73" s="256" t="str">
        <f>IF(I73&gt;0,I73,IF(I73="","",""))</f>
        <v/>
      </c>
      <c r="AM73" s="258" t="str">
        <f>IF(BK73=0,"","X")</f>
        <v/>
      </c>
      <c r="AN73" s="237"/>
      <c r="AO73" s="237"/>
      <c r="AP73" s="258" t="str">
        <f>IF(BM73=0,"","X")</f>
        <v/>
      </c>
      <c r="AQ73" s="236">
        <f t="shared" ref="AQ73:AQ74" si="148">IF(AR73=1,1,IF(AR73=3,1,IF(AR73=2,0,IF(AR73=0,0,0))))</f>
        <v>0</v>
      </c>
      <c r="AR73" s="256">
        <f t="shared" ref="AR73:AR76" si="149">SUM(AS73:AU73)</f>
        <v>0</v>
      </c>
      <c r="AS73" s="256">
        <f t="shared" si="142"/>
        <v>0</v>
      </c>
      <c r="AT73" s="256">
        <f t="shared" si="143"/>
        <v>0</v>
      </c>
      <c r="AU73" s="256">
        <f t="shared" ref="AU73:AU76" si="150">IF(W73="",0,1)</f>
        <v>0</v>
      </c>
      <c r="AV73" s="257" t="str">
        <f>IF(AY73="",IF(AW73="","",IF(AW73="",501,501-AW73)),501)</f>
        <v/>
      </c>
      <c r="AW73" s="256" t="str">
        <f>IF(U73&gt;1,U73,IF(U73=0,"",IF(U73="","","")))</f>
        <v/>
      </c>
      <c r="AX73" s="256" t="str">
        <f>IF(V73&gt;8,V73,IF(V73="","",""))</f>
        <v/>
      </c>
      <c r="AY73" s="256" t="str">
        <f>IF(W73&gt;1,W73,IF(W73="","",""))</f>
        <v/>
      </c>
      <c r="AZ73" s="256" t="str">
        <f>IF(X73&gt;0,X73,IF(X73="","",""))</f>
        <v/>
      </c>
      <c r="BA73" s="258" t="str">
        <f>IF(BL73=0,"","X")</f>
        <v/>
      </c>
      <c r="BK73" s="251">
        <f>SUM(DD73,DV73,EY73,ED73,FF73,BQ73,BS73,AC73)</f>
        <v>0</v>
      </c>
      <c r="BL73" s="251">
        <f>SUM(DE73,DW73,EE73,FT73,GA73,BR73,BT73,AQ73)</f>
        <v>0</v>
      </c>
      <c r="BM73" s="259">
        <f t="shared" ref="BM73:BM74" si="151">SUM(DC73,BK73:BL73,AC73,AQ73)</f>
        <v>0</v>
      </c>
      <c r="BN73" s="239">
        <f>COUNT(AK73)</f>
        <v>0</v>
      </c>
      <c r="BO73" s="239">
        <f>COUNT(AY73)</f>
        <v>0</v>
      </c>
      <c r="BP73" s="239">
        <f>IF(BN75=0,0,1)</f>
        <v>0</v>
      </c>
      <c r="BQ73" s="260">
        <f>IF(AL73="",0,IF(AL73&gt;2,1,0))</f>
        <v>0</v>
      </c>
      <c r="BR73" s="261">
        <f>IF(AZ73="",0,IF(AZ73&gt;2,1,0))</f>
        <v>0</v>
      </c>
      <c r="BS73" s="262">
        <f>IF(AJ73=9,IF(AK73&lt;141,1,0),0)</f>
        <v>0</v>
      </c>
      <c r="BT73" s="263">
        <f>IF(AX73=9,IF(AY73&lt;141,1,0),0)</f>
        <v>0</v>
      </c>
      <c r="BU73" s="242">
        <f>IF(H73,G73,0)</f>
        <v>0</v>
      </c>
      <c r="BV73" s="238">
        <f>IF(BU73&gt;0,AJ73/3,0)</f>
        <v>0</v>
      </c>
      <c r="BW73" s="238">
        <f>ROUNDUP(BV73,0)</f>
        <v>0</v>
      </c>
      <c r="BX73" s="244">
        <f>IF(MOD(BW73,2)=0,BW73,BW73+1)</f>
        <v>0</v>
      </c>
      <c r="BY73" s="238">
        <f>IF(AJ73&lt;9,"",SUM(BX73-BW73))</f>
        <v>0</v>
      </c>
      <c r="BZ73" s="238">
        <f>IF(BY73=1,AK73,0)</f>
        <v>0</v>
      </c>
      <c r="CA73" s="243" t="str">
        <f>IF(BY73=0,AK73,0)</f>
        <v/>
      </c>
      <c r="CB73" s="238"/>
      <c r="CC73" s="238"/>
      <c r="CD73" s="242">
        <f>IF(W73,V73,0)</f>
        <v>0</v>
      </c>
      <c r="CE73" s="238">
        <f>IF(CD73&gt;0,AX73/3,0)</f>
        <v>0</v>
      </c>
      <c r="CF73" s="238">
        <f>ROUNDUP(CE73,0)</f>
        <v>0</v>
      </c>
      <c r="CG73" s="244">
        <f>IF(MOD(CF73,2)=0,CF73,CF73+1)</f>
        <v>0</v>
      </c>
      <c r="CH73" s="238">
        <f>IF(AX73&lt;9,"",SUM(CG73-CF73))</f>
        <v>0</v>
      </c>
      <c r="CI73" s="238">
        <f>IF(CH73=1,AY73,0)</f>
        <v>0</v>
      </c>
      <c r="CJ73" s="243" t="str">
        <f>IF(CH73=0,AY73,0)</f>
        <v/>
      </c>
      <c r="CK73" s="238"/>
      <c r="CL73" s="245">
        <f>IF(COUNT(F73,H73)=1,0,1)</f>
        <v>1</v>
      </c>
      <c r="CM73" s="245">
        <f>IF(COUNT(F73,U73)=1,0,1)</f>
        <v>1</v>
      </c>
      <c r="CN73" s="245">
        <f>IF(COUNT(H73,W73)=1,0,1)</f>
        <v>1</v>
      </c>
      <c r="CO73" s="245">
        <f>IF(COUNT(G73,V73)=2,0,1)</f>
        <v>1</v>
      </c>
      <c r="CP73" s="245">
        <f>IF(COUNT(U73,W73)=1,0,1)</f>
        <v>1</v>
      </c>
      <c r="CQ73" s="245">
        <f>IF(SUM(G73-V73)&gt;3,1,0)</f>
        <v>0</v>
      </c>
      <c r="CR73" s="245">
        <f>IF(SUM(G73-V73)&lt;-3,1,0)</f>
        <v>0</v>
      </c>
      <c r="CS73" s="264">
        <f>IF(AJ73=9,IF(AH73&lt;141,1,0),IF(AH73="",0,IF(AH73&gt;1,0,1)))</f>
        <v>0</v>
      </c>
      <c r="CT73" s="264">
        <f>IF(AX73=9,IF(AV73&lt;141,1,0),IF(AV73="",0,IF(AV73&gt;1,0,1)))</f>
        <v>0</v>
      </c>
      <c r="CU73" s="264">
        <f>IF(AI73="",0,IF(AI73&lt;502,0,1))</f>
        <v>0</v>
      </c>
      <c r="CV73" s="264">
        <f>IF(AW73="",0,IF(AW73&lt;502,0,1))</f>
        <v>0</v>
      </c>
      <c r="CW73" s="264">
        <f>IF(AI73="",IF(AJ73&lt;9,1,0),IF(AJ73&lt;9,1,0))</f>
        <v>0</v>
      </c>
      <c r="CX73" s="264">
        <f>IF(AW73="",IF(AX73&lt;9,1,0),IF(AX73&lt;9,1,0))</f>
        <v>0</v>
      </c>
      <c r="CY73" s="374"/>
      <c r="CZ73" s="374"/>
      <c r="DA73" s="374"/>
      <c r="DB73" s="374"/>
      <c r="DC73" s="265">
        <f>IF(AJ73="",0,SUM(CL73:CX73))</f>
        <v>0</v>
      </c>
      <c r="DD73" s="265">
        <f>IF(AJ73="",0,SUM(CL73,CS73,CU73,CW73))</f>
        <v>0</v>
      </c>
      <c r="DE73" s="265">
        <f>IF(AJ73="",0,SUM(CP73,CT73,CV73,CX73))</f>
        <v>0</v>
      </c>
      <c r="DF73" s="238"/>
      <c r="DG73" s="248">
        <f>SUM(G73-V73)</f>
        <v>0</v>
      </c>
      <c r="DH73" s="245">
        <f>IF(F73="",0,1)</f>
        <v>0</v>
      </c>
      <c r="DI73" s="245">
        <f t="shared" ref="DI73:DI76" si="152">IF(DG73=0,DH73,DG73)</f>
        <v>0</v>
      </c>
      <c r="DJ73" s="245">
        <f t="shared" ref="DJ73:DJ76" si="153">SIGN(DI73)</f>
        <v>0</v>
      </c>
      <c r="DK73" s="245" t="str">
        <f>IF(G73="","",IF(DJ73=1,"*",""))</f>
        <v/>
      </c>
      <c r="DL73" s="245" t="str">
        <f>IF(G73="","",IF(DJ73=-1,"*",IF(DJ73=0,"*","")))</f>
        <v/>
      </c>
      <c r="DM73" s="245">
        <v>2</v>
      </c>
      <c r="DN73" s="245" t="str">
        <f t="shared" ref="DN73:DN76" si="154">CONCATENATE(DM73,DK73)</f>
        <v>2</v>
      </c>
      <c r="DO73" s="245" t="str">
        <f t="shared" ref="DO73:DO76" si="155">CONCATENATE(DM73,DL73)</f>
        <v>2</v>
      </c>
      <c r="DP73" s="245">
        <f>SUM(DQ72)</f>
        <v>0</v>
      </c>
      <c r="DQ73" s="245">
        <f>SUM(DP72)</f>
        <v>0</v>
      </c>
      <c r="DR73" s="245">
        <f>IF(DK73="*",1,0)</f>
        <v>0</v>
      </c>
      <c r="DS73" s="245">
        <f>IF(DL73="*",1,0)</f>
        <v>0</v>
      </c>
      <c r="DT73" s="245">
        <f>IF(H63="",0,IF(DP73=DR73,1,0))</f>
        <v>0</v>
      </c>
      <c r="DU73" s="245">
        <f>IF(V73="",0,IF(DQ73=DS73,0,1))</f>
        <v>0</v>
      </c>
      <c r="DV73" s="267">
        <f>SUM(DT73)</f>
        <v>0</v>
      </c>
      <c r="DW73" s="267">
        <f>IF(V73="",0,SUM(DU73))</f>
        <v>0</v>
      </c>
      <c r="DX73" s="238">
        <f>IF(AK73="",0,1)</f>
        <v>0</v>
      </c>
      <c r="DY73" s="238">
        <f>IF(DG73=-3,1,0)</f>
        <v>0</v>
      </c>
      <c r="DZ73" s="238">
        <f>SUM(DX73:DY73)</f>
        <v>0</v>
      </c>
      <c r="EA73" s="238">
        <f>IF(AK73="",1,0)</f>
        <v>1</v>
      </c>
      <c r="EB73" s="238">
        <f>IF(DG73=3,1,0)</f>
        <v>0</v>
      </c>
      <c r="EC73" s="238">
        <f>SUM(EA73:EB73)</f>
        <v>1</v>
      </c>
      <c r="ED73" s="267">
        <f>IF(EC73=2,1,0)</f>
        <v>0</v>
      </c>
      <c r="EE73" s="267">
        <f>IF(DZ73=2,1,0)</f>
        <v>0</v>
      </c>
      <c r="EG73" s="166"/>
      <c r="EH73" s="238"/>
      <c r="EI73" s="238"/>
      <c r="EJ73" s="238"/>
      <c r="EK73" s="238"/>
      <c r="EL73" s="238"/>
      <c r="EM73" s="245">
        <f>IF(AK73="",0,1)</f>
        <v>0</v>
      </c>
      <c r="EN73" s="245">
        <f>SUM(AK73)</f>
        <v>0</v>
      </c>
      <c r="EO73" s="268">
        <f>SUM(AJ73)</f>
        <v>0</v>
      </c>
      <c r="EP73" s="268">
        <f>SUM(G73/3)</f>
        <v>0</v>
      </c>
      <c r="EQ73" s="268" t="e">
        <f>SUM(EO73/EP73)</f>
        <v>#DIV/0!</v>
      </c>
      <c r="ER73" s="268">
        <f>ROUNDDOWN(EP73,0)</f>
        <v>0</v>
      </c>
      <c r="ES73" s="268">
        <f>SUM(EO73,-ER73*3)</f>
        <v>0</v>
      </c>
      <c r="ET73" s="269" t="b">
        <f>MOD(EN73/1,2)=0</f>
        <v>1</v>
      </c>
      <c r="EU73" s="245">
        <f>IF(ET73=FALSE,1,0)</f>
        <v>0</v>
      </c>
      <c r="EV73" s="245">
        <f>IF(EN73=50,0,IF(EN73&lt;40,1,0))</f>
        <v>1</v>
      </c>
      <c r="EW73" s="245">
        <f>SUM(EU73:EV73)</f>
        <v>1</v>
      </c>
      <c r="EX73" s="267">
        <f>IF(EN73=1,1,IF(EN73=50,0,IF(ES73=1,IF(EN73&gt;40,1,0),0)))</f>
        <v>0</v>
      </c>
      <c r="EY73" s="267">
        <f>IF(ES73=1,IF(EW73=2,1,0),0)+EX73+FB73+FE73</f>
        <v>0</v>
      </c>
      <c r="EZ73" s="245">
        <f>IF(EN73=109,1,IF(EN73=108,1,IF(EN73=106,1,IF(EN73=105,1,IF(EN73=103,1,IF(EN73=102,1,IF(EN73=99,1,0)))))))</f>
        <v>0</v>
      </c>
      <c r="FA73" s="245">
        <f>IF(EN73&gt;110,1,0)</f>
        <v>0</v>
      </c>
      <c r="FB73" s="267">
        <f>IF(ES73=2,SUM(EZ73:FA73),0)</f>
        <v>0</v>
      </c>
      <c r="FC73" s="245">
        <f>IF(EN73=159,1,IF(EN73=162,1,IF(EN73=163,1,IF(EN73=165,1,IF(EN73=166,1,IF(EN73=168,1,IF(EN73=169,1,0)))))))</f>
        <v>0</v>
      </c>
      <c r="FD73" s="245">
        <f>IF(EN73&gt;170,1,0)</f>
        <v>0</v>
      </c>
      <c r="FE73" s="267">
        <f>IF(ES73=0,SUM(FC73:FD73),0)</f>
        <v>0</v>
      </c>
      <c r="FF73" s="251">
        <f t="shared" ref="FF73:FF76" si="156">IF(AJ73="",0,IF(AI73="",0,IF(EO73/ER73-3=0,0,1)))</f>
        <v>0</v>
      </c>
      <c r="FG73" s="238"/>
      <c r="FH73" s="245">
        <f>IF(AY73="",0,1)</f>
        <v>0</v>
      </c>
      <c r="FI73" s="245">
        <f>SUM(AY73)</f>
        <v>0</v>
      </c>
      <c r="FJ73" s="268">
        <f>SUM(AX73)</f>
        <v>0</v>
      </c>
      <c r="FK73" s="268">
        <f>SUM(V73/3)</f>
        <v>0</v>
      </c>
      <c r="FL73" s="268" t="e">
        <f>SUM(FJ73/FK73)</f>
        <v>#DIV/0!</v>
      </c>
      <c r="FM73" s="268">
        <f>ROUNDDOWN(FK73,0)</f>
        <v>0</v>
      </c>
      <c r="FN73" s="268">
        <f>SUM(FJ73,-FM73*3)</f>
        <v>0</v>
      </c>
      <c r="FO73" s="269" t="b">
        <f>MOD(FI73/1,2)=0</f>
        <v>1</v>
      </c>
      <c r="FP73" s="245">
        <f>IF(FO73=FALSE,1,0)</f>
        <v>0</v>
      </c>
      <c r="FQ73" s="245">
        <f>IF(FI73=50,0,IF(FI73&lt;40,1,0))</f>
        <v>1</v>
      </c>
      <c r="FR73" s="245">
        <f>SUM(FP73:FQ73)</f>
        <v>1</v>
      </c>
      <c r="FS73" s="267">
        <f>IF(FI73=1,1,IF(FI73=50,0,IF(FN73=1,IF(FI73&gt;40,1,0),0)))</f>
        <v>0</v>
      </c>
      <c r="FT73" s="267">
        <f>IF(FN73=1,IF(FR73=2,1,0),0)+FS73+FW73+FZ73</f>
        <v>0</v>
      </c>
      <c r="FU73" s="245">
        <f>IF(FI73=109,1,IF(FI73=108,1,IF(FI73=106,1,IF(FI73=105,1,IF(FI73=103,1,IF(FI73=102,1,IF(FI73=99,1,0)))))))</f>
        <v>0</v>
      </c>
      <c r="FV73" s="245">
        <f>IF(FI73&gt;110,1,0)</f>
        <v>0</v>
      </c>
      <c r="FW73" s="267">
        <f>IF(FN73=2,SUM(FU73:FV73),0)</f>
        <v>0</v>
      </c>
      <c r="FX73" s="245">
        <f>IF(FI73=159,1,IF(FI73=162,1,IF(FI73=163,1,IF(FI73=165,1,IF(FI73=166,1,IF(FI73=168,1,IF(FI73=169,1,0)))))))</f>
        <v>0</v>
      </c>
      <c r="FY73" s="245">
        <f>IF(FI73&gt;170,1,0)</f>
        <v>0</v>
      </c>
      <c r="FZ73" s="267">
        <f>IF(FN73=0,SUM(FX73:FY73),0)</f>
        <v>0</v>
      </c>
      <c r="GA73" s="251">
        <f t="shared" ref="GA73:GA76" si="157">IF(AX73="",0,IF(AW73="",0,IF(FJ73/FM73-3=0,0,1)))</f>
        <v>0</v>
      </c>
      <c r="GC73" s="238" t="str">
        <f>VLOOKUP(AH69,Chema!BL:BR,2,FALSE)</f>
        <v>HS 1.5</v>
      </c>
      <c r="GD73" s="341">
        <f>IF(E79="FORFAIT",1,0)</f>
        <v>0</v>
      </c>
      <c r="GE73" s="343" t="str">
        <f>IF(C79="","",SUM(C79))</f>
        <v/>
      </c>
      <c r="GF73" s="344">
        <f>SUM(AH72)</f>
        <v>0</v>
      </c>
      <c r="GG73" s="344">
        <f>SUM(AJ72)</f>
        <v>0</v>
      </c>
      <c r="GH73" s="344">
        <f t="shared" ref="GH73" si="158">SUM(AK72)</f>
        <v>0</v>
      </c>
      <c r="GI73" s="344">
        <f t="shared" ref="GI73" si="159">SUM(AL72)</f>
        <v>0</v>
      </c>
      <c r="GJ73" s="344">
        <f>SUM(AH73)</f>
        <v>0</v>
      </c>
      <c r="GK73" s="344">
        <f>SUM(AJ73)</f>
        <v>0</v>
      </c>
      <c r="GL73" s="344">
        <f>SUM(AK73)</f>
        <v>0</v>
      </c>
      <c r="GM73" s="344">
        <f>SUM(AL73)</f>
        <v>0</v>
      </c>
      <c r="GN73" s="344">
        <f>SUM(AH74)</f>
        <v>0</v>
      </c>
      <c r="GO73" s="344">
        <f>SUM(AJ74)</f>
        <v>0</v>
      </c>
      <c r="GP73" s="344">
        <f>SUM(AK74)</f>
        <v>0</v>
      </c>
      <c r="GQ73" s="344">
        <f>SUM(AL74)</f>
        <v>0</v>
      </c>
      <c r="GR73" s="344">
        <f>SUM(AH75)</f>
        <v>0</v>
      </c>
      <c r="GS73" s="344">
        <f>SUM(AJ75)</f>
        <v>0</v>
      </c>
      <c r="GT73" s="344">
        <f>SUM(AK75)</f>
        <v>0</v>
      </c>
      <c r="GU73" s="344">
        <f>SUM(AL75)</f>
        <v>0</v>
      </c>
      <c r="GV73" s="344">
        <f>SUM(AH76)</f>
        <v>0</v>
      </c>
      <c r="GW73" s="344">
        <f>SUM(AJ76)</f>
        <v>0</v>
      </c>
      <c r="GX73" s="344">
        <f>SUM(AK76)</f>
        <v>0</v>
      </c>
      <c r="GY73" s="344">
        <f>SUM(AL76)</f>
        <v>0</v>
      </c>
      <c r="GZ73" s="344">
        <f>SUM(GF73,GJ73,GN73,GR73,GV73)</f>
        <v>0</v>
      </c>
      <c r="HA73" s="344">
        <f t="shared" ref="HA73" si="160">SUM(GG73,GK73,GO73,GS73,GW73)</f>
        <v>0</v>
      </c>
      <c r="HB73" s="344">
        <f>IF(GD72=1,L79,MAX(GH73,GL73,GP73,GT73,GX73))</f>
        <v>0</v>
      </c>
      <c r="HC73" s="344">
        <f>IF(GD72=1,I79,SUM(GI73,GM73,GQ73,GU73,GY73))</f>
        <v>0</v>
      </c>
      <c r="HD73" s="345">
        <f>IF(GD72=1,0,SUM(GF73,GJ73,GN73,GR73,GV73))</f>
        <v>0</v>
      </c>
      <c r="HE73" s="345">
        <f>IF(GD72=1,0,SUM(GG73,GK73,GO73,GS73,GW73))</f>
        <v>0</v>
      </c>
      <c r="HF73" s="341">
        <f>IF(GD72=1,0,MIN(HI73,HJ73,HK73,HL73,HM73))</f>
        <v>0</v>
      </c>
      <c r="HG73" s="341">
        <f>IF(HF73=0,0,COUNTIF(HI73:HM73,HF73))</f>
        <v>0</v>
      </c>
      <c r="HH73" s="341">
        <f>SUM(GH74,GL74,GP74,GT74,GX74)</f>
        <v>0</v>
      </c>
      <c r="HI73" s="343" t="str">
        <f>IF(GH74=1,GG73,"")</f>
        <v/>
      </c>
      <c r="HJ73" s="343" t="str">
        <f>IF(GL74=1,GK73,"")</f>
        <v/>
      </c>
      <c r="HK73" s="343" t="str">
        <f>IF(GP74=1,GO73,"")</f>
        <v/>
      </c>
      <c r="HL73" s="343" t="str">
        <f>IF(GT74=1,GS73,"")</f>
        <v/>
      </c>
      <c r="HM73" s="343" t="str">
        <f>IF(GX74=1,GW73,"")</f>
        <v/>
      </c>
      <c r="HN73" s="341"/>
      <c r="HO73" s="341" t="s">
        <v>928</v>
      </c>
      <c r="HP73" s="341" t="s">
        <v>982</v>
      </c>
      <c r="HQ73" s="341" t="s">
        <v>983</v>
      </c>
      <c r="HR73" s="341" t="s">
        <v>984</v>
      </c>
      <c r="HS73" s="238" t="s">
        <v>932</v>
      </c>
      <c r="HT73" s="238" t="s">
        <v>933</v>
      </c>
      <c r="HU73" s="238" t="s">
        <v>985</v>
      </c>
      <c r="HV73" s="238" t="s">
        <v>986</v>
      </c>
      <c r="HW73" s="238" t="str">
        <f>IFERROR(IF(GD72=0,SUM(HZ74:IA74),""),"")</f>
        <v/>
      </c>
      <c r="HY73" s="238"/>
      <c r="HZ73" s="238" t="s">
        <v>1132</v>
      </c>
      <c r="IA73" s="238" t="s">
        <v>1133</v>
      </c>
      <c r="IB73" s="238" t="s">
        <v>1132</v>
      </c>
      <c r="IC73" s="238" t="s">
        <v>1133</v>
      </c>
      <c r="ID73" s="238"/>
    </row>
    <row r="74" spans="1:238" s="234" customFormat="1" ht="20.100000000000001" customHeight="1">
      <c r="A74" s="235"/>
      <c r="B74" s="231">
        <f>COUNT(AJ75,AJ74)</f>
        <v>0</v>
      </c>
      <c r="C74" s="235"/>
      <c r="D74" s="271" t="str">
        <f>REPT(DN74,1)</f>
        <v>3</v>
      </c>
      <c r="E74" s="254" t="str">
        <f>REPT(AH74,1)</f>
        <v/>
      </c>
      <c r="F74" s="168"/>
      <c r="G74" s="168"/>
      <c r="H74" s="168"/>
      <c r="I74" s="169"/>
      <c r="J74" s="270" t="str">
        <f t="shared" ref="J74:J75" si="161">REPT(AM74,1)</f>
        <v/>
      </c>
      <c r="L74" s="312">
        <f>SUM(L72*3)</f>
        <v>0</v>
      </c>
      <c r="M74" s="307"/>
      <c r="N74" s="270" t="str">
        <f>REPT(AP74,1)</f>
        <v/>
      </c>
      <c r="P74" s="312">
        <f>SUM(P72*3)</f>
        <v>0</v>
      </c>
      <c r="Q74" s="310"/>
      <c r="R74" s="235"/>
      <c r="S74" s="271" t="str">
        <f>REPT(DO74,1)</f>
        <v>3</v>
      </c>
      <c r="T74" s="254" t="str">
        <f>REPT(AV74,1)</f>
        <v/>
      </c>
      <c r="U74" s="168"/>
      <c r="V74" s="168"/>
      <c r="W74" s="168"/>
      <c r="X74" s="169"/>
      <c r="Y74" s="270" t="str">
        <f t="shared" si="144"/>
        <v/>
      </c>
      <c r="Z74" s="308"/>
      <c r="AB74" s="234">
        <f>IF(AY74="",0,IF(AY74&lt;2,1,""))</f>
        <v>0</v>
      </c>
      <c r="AC74" s="238">
        <f t="shared" si="145"/>
        <v>0</v>
      </c>
      <c r="AD74" s="256">
        <f t="shared" si="146"/>
        <v>0</v>
      </c>
      <c r="AE74" s="256">
        <f t="shared" si="140"/>
        <v>0</v>
      </c>
      <c r="AF74" s="256">
        <f t="shared" si="141"/>
        <v>0</v>
      </c>
      <c r="AG74" s="256">
        <f t="shared" si="147"/>
        <v>0</v>
      </c>
      <c r="AH74" s="257" t="str">
        <f>IF(AK74="",IF(AI74="","",IF(AI74="",501,501-AI74)),501)</f>
        <v/>
      </c>
      <c r="AI74" s="256" t="str">
        <f>IF(F74&gt;1,F74,IF(F74=0,"",IF(F74="","","")))</f>
        <v/>
      </c>
      <c r="AJ74" s="256" t="str">
        <f>IF(G74&gt;8,G74,IF(G74="","",""))</f>
        <v/>
      </c>
      <c r="AK74" s="256" t="str">
        <f>IF(H74&gt;1,H74,IF(H74="","",""))</f>
        <v/>
      </c>
      <c r="AL74" s="256" t="str">
        <f>IF(I74&gt;0,I74,IF(I74="","",""))</f>
        <v/>
      </c>
      <c r="AM74" s="258" t="str">
        <f>IF(BK74=0,"","X")</f>
        <v/>
      </c>
      <c r="AN74" s="237"/>
      <c r="AO74" s="237"/>
      <c r="AP74" s="258" t="str">
        <f>IF(BM74=0,"","X")</f>
        <v/>
      </c>
      <c r="AQ74" s="236">
        <f t="shared" si="148"/>
        <v>0</v>
      </c>
      <c r="AR74" s="256">
        <f t="shared" si="149"/>
        <v>0</v>
      </c>
      <c r="AS74" s="256">
        <f t="shared" si="142"/>
        <v>0</v>
      </c>
      <c r="AT74" s="256">
        <f t="shared" si="143"/>
        <v>0</v>
      </c>
      <c r="AU74" s="256">
        <f t="shared" si="150"/>
        <v>0</v>
      </c>
      <c r="AV74" s="257" t="str">
        <f>IF(AY74="",IF(AW74="","",IF(AW74="",501,501-AW74)),501)</f>
        <v/>
      </c>
      <c r="AW74" s="256" t="str">
        <f>IF(U74&gt;1,U74,IF(U74=0,"",IF(U74="","","")))</f>
        <v/>
      </c>
      <c r="AX74" s="256" t="str">
        <f>IF(V74&gt;8,V74,IF(V74="","",""))</f>
        <v/>
      </c>
      <c r="AY74" s="256" t="str">
        <f>IF(W74&gt;1,W74,IF(W74="","",""))</f>
        <v/>
      </c>
      <c r="AZ74" s="256" t="str">
        <f>IF(X74&gt;0,X74,IF(X74="","",""))</f>
        <v/>
      </c>
      <c r="BA74" s="258" t="str">
        <f>IF(BL74=0,"","X")</f>
        <v/>
      </c>
      <c r="BK74" s="251">
        <f>SUM(DD74,DV74,EY74,ED74,FF74,BQ74,BS74,AC74,BK81)</f>
        <v>0</v>
      </c>
      <c r="BL74" s="251">
        <f>SUM(DE74,DW74,EE74,FT74,GA74,BR74,BT74,AQ74,BL81,CZ74)</f>
        <v>0</v>
      </c>
      <c r="BM74" s="259">
        <f t="shared" si="151"/>
        <v>0</v>
      </c>
      <c r="BN74" s="239">
        <f>COUNT(AK74)</f>
        <v>0</v>
      </c>
      <c r="BO74" s="239">
        <f>COUNT(AY74)</f>
        <v>0</v>
      </c>
      <c r="BP74" s="239">
        <f>IF(BN76=0,0,1)</f>
        <v>0</v>
      </c>
      <c r="BQ74" s="260">
        <f>IF(AL74="",0,IF(AL74&gt;2,1,0))</f>
        <v>0</v>
      </c>
      <c r="BR74" s="261">
        <f>IF(AZ74="",0,IF(AZ74&gt;2,1,0))</f>
        <v>0</v>
      </c>
      <c r="BS74" s="262">
        <f>IF(AJ74=9,IF(AK74&lt;141,1,0),0)</f>
        <v>0</v>
      </c>
      <c r="BT74" s="263">
        <f>IF(AX74=9,IF(AY74&lt;141,1,0),0)</f>
        <v>0</v>
      </c>
      <c r="BU74" s="242">
        <f>IF(H74,G74,0)</f>
        <v>0</v>
      </c>
      <c r="BV74" s="238">
        <f>IF(BU74&gt;0,AJ74/3,0)</f>
        <v>0</v>
      </c>
      <c r="BW74" s="238">
        <f>ROUNDUP(BV74,0)</f>
        <v>0</v>
      </c>
      <c r="BX74" s="244">
        <f>IF(MOD(BW74,2)=0,BW74,BW74+1)</f>
        <v>0</v>
      </c>
      <c r="BY74" s="238">
        <f>IF(AJ74&lt;9,"",SUM(BX74-BW74))</f>
        <v>0</v>
      </c>
      <c r="BZ74" s="238">
        <f>IF(BY74=1,AK74,0)</f>
        <v>0</v>
      </c>
      <c r="CA74" s="243" t="str">
        <f>IF(BY74=0,AK74,0)</f>
        <v/>
      </c>
      <c r="CB74" s="238"/>
      <c r="CC74" s="238"/>
      <c r="CD74" s="242">
        <f>IF(W74,V74,0)</f>
        <v>0</v>
      </c>
      <c r="CE74" s="238">
        <f>IF(CD74&gt;0,AX74/3,0)</f>
        <v>0</v>
      </c>
      <c r="CF74" s="238">
        <f>ROUNDUP(CE74,0)</f>
        <v>0</v>
      </c>
      <c r="CG74" s="244">
        <f>IF(MOD(CF74,2)=0,CF74,CF74+1)</f>
        <v>0</v>
      </c>
      <c r="CH74" s="238">
        <f>IF(AX74&lt;9,"",SUM(CG74-CF74))</f>
        <v>0</v>
      </c>
      <c r="CI74" s="238">
        <f>IF(CH74=1,AY74,0)</f>
        <v>0</v>
      </c>
      <c r="CJ74" s="243" t="str">
        <f>IF(CH74=0,AY74,0)</f>
        <v/>
      </c>
      <c r="CK74" s="238"/>
      <c r="CL74" s="245">
        <f>IF(COUNT(F74,H74)=1,0,1)</f>
        <v>1</v>
      </c>
      <c r="CM74" s="245">
        <f>IF(COUNT(F74,U74)=1,0,1)</f>
        <v>1</v>
      </c>
      <c r="CN74" s="245">
        <f>IF(COUNT(H74,W74)=1,0,1)</f>
        <v>1</v>
      </c>
      <c r="CO74" s="245">
        <f>IF(COUNT(G74,V74)=2,0,1)</f>
        <v>1</v>
      </c>
      <c r="CP74" s="245">
        <f>IF(COUNT(U74,W74)=1,0,1)</f>
        <v>1</v>
      </c>
      <c r="CQ74" s="245">
        <f>IF(SUM(G74-V74)&gt;3,1,0)</f>
        <v>0</v>
      </c>
      <c r="CR74" s="245">
        <f>IF(SUM(G74-V74)&lt;-3,1,0)</f>
        <v>0</v>
      </c>
      <c r="CS74" s="264">
        <f>IF(AJ74=9,IF(AH74&lt;141,1,0),IF(AH74="",0,IF(AH74&gt;1,0,1)))</f>
        <v>0</v>
      </c>
      <c r="CT74" s="264">
        <f>IF(AX74=9,IF(AV74&lt;141,1,0),IF(AV74="",0,IF(AV74&gt;1,0,1)))</f>
        <v>0</v>
      </c>
      <c r="CU74" s="264">
        <f>IF(AI74="",0,IF(AI74&lt;502,0,1))</f>
        <v>0</v>
      </c>
      <c r="CV74" s="264">
        <f>IF(AW74="",0,IF(AW74&lt;502,0,1))</f>
        <v>0</v>
      </c>
      <c r="CW74" s="264">
        <f>IF(AI74="",IF(AJ74&lt;9,1,0),IF(AJ74&lt;9,1,0))</f>
        <v>0</v>
      </c>
      <c r="CX74" s="264">
        <f>IF(AW74="",IF(AX74&lt;9,1,0),IF(AX74&lt;9,1,0))</f>
        <v>0</v>
      </c>
      <c r="CY74" s="374">
        <f>COUNT(U72,U73,U74)</f>
        <v>0</v>
      </c>
      <c r="CZ74" s="375">
        <f>IF(AL69=3,IF(CY74&gt;2,1,0),0)</f>
        <v>0</v>
      </c>
      <c r="DA74" s="374"/>
      <c r="DB74" s="374"/>
      <c r="DC74" s="265">
        <f>IF(AJ74="",0,SUM(CL74:CX74))</f>
        <v>0</v>
      </c>
      <c r="DD74" s="265">
        <f>IF(AJ74="",0,SUM(CL74,CS74,CU74,CW74))</f>
        <v>0</v>
      </c>
      <c r="DE74" s="265">
        <f>IF(AJ74="",0,SUM(CP74,CT74,CV74,CX74))</f>
        <v>0</v>
      </c>
      <c r="DF74" s="238"/>
      <c r="DG74" s="248">
        <f>SUM(G74-V74)</f>
        <v>0</v>
      </c>
      <c r="DH74" s="245">
        <f>IF(F74="",0,1)</f>
        <v>0</v>
      </c>
      <c r="DI74" s="245">
        <f t="shared" si="152"/>
        <v>0</v>
      </c>
      <c r="DJ74" s="245">
        <f t="shared" si="153"/>
        <v>0</v>
      </c>
      <c r="DK74" s="245" t="str">
        <f>IF(G74="","",IF(DJ74=1,"*",""))</f>
        <v/>
      </c>
      <c r="DL74" s="245" t="str">
        <f>IF(G74="","",IF(DJ74=-1,"*",IF(DJ74=0,"*","")))</f>
        <v/>
      </c>
      <c r="DM74" s="245">
        <v>3</v>
      </c>
      <c r="DN74" s="245" t="str">
        <f t="shared" si="154"/>
        <v>3</v>
      </c>
      <c r="DO74" s="245" t="str">
        <f t="shared" si="155"/>
        <v>3</v>
      </c>
      <c r="DP74" s="245">
        <f>SUM(DP72)</f>
        <v>0</v>
      </c>
      <c r="DQ74" s="245">
        <f>SUM(DQ72)</f>
        <v>0</v>
      </c>
      <c r="DR74" s="245">
        <f t="shared" ref="DR74:DR76" si="162">IF(DK74="*",1,0)</f>
        <v>0</v>
      </c>
      <c r="DS74" s="245">
        <f t="shared" ref="DS74:DS76" si="163">IF(DL74="*",1,0)</f>
        <v>0</v>
      </c>
      <c r="DT74" s="245">
        <f t="shared" ref="DT74:DT76" si="164">IF(H64="",0,IF(DP74=DR74,1,0))</f>
        <v>0</v>
      </c>
      <c r="DU74" s="245">
        <f>IF(V74="",0,IF(DQ74=DS74,0,1))</f>
        <v>0</v>
      </c>
      <c r="DV74" s="267">
        <f t="shared" ref="DV74:DV76" si="165">SUM(DT74)</f>
        <v>0</v>
      </c>
      <c r="DW74" s="267">
        <f>IF(V74="",0,SUM(DU74))</f>
        <v>0</v>
      </c>
      <c r="DX74" s="238">
        <f>IF(AK74="",0,1)</f>
        <v>0</v>
      </c>
      <c r="DY74" s="238">
        <f>IF(DG74=-3,1,0)</f>
        <v>0</v>
      </c>
      <c r="DZ74" s="238">
        <f>SUM(DX74:DY74)</f>
        <v>0</v>
      </c>
      <c r="EA74" s="238">
        <f>IF(AK74="",1,0)</f>
        <v>1</v>
      </c>
      <c r="EB74" s="238">
        <f>IF(DG74=3,1,0)</f>
        <v>0</v>
      </c>
      <c r="EC74" s="238">
        <f>SUM(EA74:EB74)</f>
        <v>1</v>
      </c>
      <c r="ED74" s="267">
        <f>IF(EC74=2,1,0)</f>
        <v>0</v>
      </c>
      <c r="EE74" s="267">
        <f>IF(DZ74=2,1,0)</f>
        <v>0</v>
      </c>
      <c r="EG74" s="166"/>
      <c r="EH74" s="238"/>
      <c r="EI74" s="238"/>
      <c r="EJ74" s="238"/>
      <c r="EK74" s="238"/>
      <c r="EL74" s="238"/>
      <c r="EM74" s="245">
        <f>IF(AK74="",0,1)</f>
        <v>0</v>
      </c>
      <c r="EN74" s="245">
        <f>SUM(AK74)</f>
        <v>0</v>
      </c>
      <c r="EO74" s="268">
        <f>SUM(AJ74)</f>
        <v>0</v>
      </c>
      <c r="EP74" s="268">
        <f>SUM(G74/3)</f>
        <v>0</v>
      </c>
      <c r="EQ74" s="268" t="e">
        <f>SUM(EO74/EP74)</f>
        <v>#DIV/0!</v>
      </c>
      <c r="ER74" s="268">
        <f>ROUNDDOWN(EP74,0)</f>
        <v>0</v>
      </c>
      <c r="ES74" s="268">
        <f>SUM(EO74,-ER74*3)</f>
        <v>0</v>
      </c>
      <c r="ET74" s="269" t="b">
        <f>MOD(EN74/1,2)=0</f>
        <v>1</v>
      </c>
      <c r="EU74" s="245">
        <f>IF(ET74=FALSE,1,0)</f>
        <v>0</v>
      </c>
      <c r="EV74" s="245">
        <f>IF(EN74=50,0,IF(EN74&lt;40,1,0))</f>
        <v>1</v>
      </c>
      <c r="EW74" s="245">
        <f>SUM(EU74:EV74)</f>
        <v>1</v>
      </c>
      <c r="EX74" s="267">
        <f>IF(EN74=1,1,IF(EN74=50,0,IF(ES74=1,IF(EN74&gt;40,1,0),0)))</f>
        <v>0</v>
      </c>
      <c r="EY74" s="267">
        <f>IF(ES74=1,IF(EW74=2,1,0),0)+EX74+FB74+FE74</f>
        <v>0</v>
      </c>
      <c r="EZ74" s="245">
        <f>IF(EN74=109,1,IF(EN74=108,1,IF(EN74=106,1,IF(EN74=105,1,IF(EN74=103,1,IF(EN74=102,1,IF(EN74=99,1,0)))))))</f>
        <v>0</v>
      </c>
      <c r="FA74" s="245">
        <f>IF(EN74&gt;110,1,0)</f>
        <v>0</v>
      </c>
      <c r="FB74" s="267">
        <f>IF(ES74=2,SUM(EZ74:FA74),0)</f>
        <v>0</v>
      </c>
      <c r="FC74" s="245">
        <f>IF(EN74=159,1,IF(EN74=162,1,IF(EN74=163,1,IF(EN74=165,1,IF(EN74=166,1,IF(EN74=168,1,IF(EN74=169,1,0)))))))</f>
        <v>0</v>
      </c>
      <c r="FD74" s="245">
        <f>IF(EN74&gt;170,1,0)</f>
        <v>0</v>
      </c>
      <c r="FE74" s="267">
        <f>IF(ES74=0,SUM(FC74:FD74),0)</f>
        <v>0</v>
      </c>
      <c r="FF74" s="251">
        <f t="shared" si="156"/>
        <v>0</v>
      </c>
      <c r="FG74" s="238"/>
      <c r="FH74" s="245">
        <f>IF(AY74="",0,1)</f>
        <v>0</v>
      </c>
      <c r="FI74" s="245">
        <f>SUM(AY74)</f>
        <v>0</v>
      </c>
      <c r="FJ74" s="268">
        <f>SUM(AX74)</f>
        <v>0</v>
      </c>
      <c r="FK74" s="268">
        <f>SUM(V74/3)</f>
        <v>0</v>
      </c>
      <c r="FL74" s="268" t="e">
        <f>SUM(FJ74/FK74)</f>
        <v>#DIV/0!</v>
      </c>
      <c r="FM74" s="268">
        <f>ROUNDDOWN(FK74,0)</f>
        <v>0</v>
      </c>
      <c r="FN74" s="268">
        <f>SUM(FJ74,-FM74*3)</f>
        <v>0</v>
      </c>
      <c r="FO74" s="269" t="b">
        <f>MOD(FI74/1,2)=0</f>
        <v>1</v>
      </c>
      <c r="FP74" s="245">
        <f>IF(FO74=FALSE,1,0)</f>
        <v>0</v>
      </c>
      <c r="FQ74" s="245">
        <f>IF(FI74=50,0,IF(FI74&lt;40,1,0))</f>
        <v>1</v>
      </c>
      <c r="FR74" s="245">
        <f>SUM(FP74:FQ74)</f>
        <v>1</v>
      </c>
      <c r="FS74" s="267">
        <f>IF(FI74=1,1,IF(FI74=50,0,IF(FN74=1,IF(FI74&gt;40,1,0),0)))</f>
        <v>0</v>
      </c>
      <c r="FT74" s="267">
        <f>IF(FN74=1,IF(FR74=2,1,0),0)+FS74+FW74+FZ74</f>
        <v>0</v>
      </c>
      <c r="FU74" s="245">
        <f>IF(FI74=109,1,IF(FI74=108,1,IF(FI74=106,1,IF(FI74=105,1,IF(FI74=103,1,IF(FI74=102,1,IF(FI74=99,1,0)))))))</f>
        <v>0</v>
      </c>
      <c r="FV74" s="245">
        <f>IF(FI74&gt;110,1,0)</f>
        <v>0</v>
      </c>
      <c r="FW74" s="267">
        <f>IF(FN74=2,SUM(FU74:FV74),0)</f>
        <v>0</v>
      </c>
      <c r="FX74" s="245">
        <f>IF(FI74=159,1,IF(FI74=162,1,IF(FI74=163,1,IF(FI74=165,1,IF(FI74=166,1,IF(FI74=168,1,IF(FI74=169,1,0)))))))</f>
        <v>0</v>
      </c>
      <c r="FY74" s="245">
        <f>IF(FI74&gt;170,1,0)</f>
        <v>0</v>
      </c>
      <c r="FZ74" s="267">
        <f>IF(FN74=0,SUM(FX74:FY74),0)</f>
        <v>0</v>
      </c>
      <c r="GA74" s="251">
        <f t="shared" si="157"/>
        <v>0</v>
      </c>
      <c r="GC74" s="238" t="str">
        <f>VLOOKUP(AH69,Chema!BL:BR,3,FALSE)</f>
        <v/>
      </c>
      <c r="GD74" s="341"/>
      <c r="GE74" s="343" t="str">
        <f>IF(C80="","",SUM(C80))</f>
        <v/>
      </c>
      <c r="GF74" s="346"/>
      <c r="GG74" s="340"/>
      <c r="GH74" s="343">
        <f>IF(GH73&gt;0,1,0)</f>
        <v>0</v>
      </c>
      <c r="GI74" s="346"/>
      <c r="GJ74" s="343"/>
      <c r="GK74" s="340"/>
      <c r="GL74" s="343">
        <f>IF(GL73&gt;0,1,0)</f>
        <v>0</v>
      </c>
      <c r="GM74" s="343"/>
      <c r="GN74" s="343"/>
      <c r="GO74" s="340"/>
      <c r="GP74" s="343">
        <f>IF(GP73&gt;0,1,0)</f>
        <v>0</v>
      </c>
      <c r="GQ74" s="343"/>
      <c r="GR74" s="343"/>
      <c r="GS74" s="340"/>
      <c r="GT74" s="343">
        <f>IF(GT73&gt;0,1,0)</f>
        <v>0</v>
      </c>
      <c r="GU74" s="343"/>
      <c r="GV74" s="343"/>
      <c r="GW74" s="340"/>
      <c r="GX74" s="343">
        <f>IF(GX73&gt;0,1,0)</f>
        <v>0</v>
      </c>
      <c r="GY74" s="343"/>
      <c r="GZ74" s="343"/>
      <c r="HA74" s="343"/>
      <c r="HB74" s="343" t="str">
        <f>IF(GD72=1,L80,"")</f>
        <v/>
      </c>
      <c r="HC74" s="343" t="str">
        <f>IF(GD72=1,I80,"")</f>
        <v/>
      </c>
      <c r="HD74" s="345"/>
      <c r="HE74" s="340"/>
      <c r="HF74" s="340"/>
      <c r="HG74" s="347">
        <f>IF(GE73="",0,IF(AL69=3,2,IF(AL69=5,3,0)))</f>
        <v>0</v>
      </c>
      <c r="HH74" s="347">
        <f>IF(HK74=0,0,IF(HG76=0,0,1))</f>
        <v>0</v>
      </c>
      <c r="HI74" s="340"/>
      <c r="HJ74" s="340"/>
      <c r="HK74" s="340">
        <f>SUM(HM72,HM76)</f>
        <v>0</v>
      </c>
      <c r="HL74" s="340">
        <f>IF(HK74=0,0,IF(HM72=HG74,1,0))</f>
        <v>0</v>
      </c>
      <c r="HM74" s="340">
        <f>IF(HK74=0,0,IF(HM76=HG74,1,0))</f>
        <v>0</v>
      </c>
      <c r="HN74" s="341" t="str">
        <f>REPT(N69,1)</f>
        <v>Spiel 5</v>
      </c>
      <c r="HO74" s="348" t="str">
        <f>IF(HK74=0,"",IF(HH74=0,SUM(HH73),""))</f>
        <v/>
      </c>
      <c r="HP74" s="348" t="str">
        <f>IF(HK74=0,"",IF(HH74=0,SUM(HH75),""))</f>
        <v/>
      </c>
      <c r="HQ74" s="348" t="e">
        <f>IF(HH74=0,SUM(GZ73/HA73),"")</f>
        <v>#DIV/0!</v>
      </c>
      <c r="HR74" s="348" t="e">
        <f>IF(HH74=0,SUM(GZ75/HA75),"")</f>
        <v>#DIV/0!</v>
      </c>
      <c r="HS74" s="238" t="str">
        <f>REPT(DK72,1)</f>
        <v/>
      </c>
      <c r="HT74" s="238" t="str">
        <f>REPT(DL72,1)</f>
        <v/>
      </c>
      <c r="HU74" s="238">
        <f>IF(HH74=0,HL74,"")</f>
        <v>0</v>
      </c>
      <c r="HV74" s="238">
        <f>IF(HH74=0,HM74,"")</f>
        <v>0</v>
      </c>
      <c r="HW74" s="238" t="s">
        <v>1131</v>
      </c>
      <c r="HY74" s="238"/>
      <c r="HZ74" s="238" t="e">
        <f>IF(AL69=5,IF(HU74=1,SUM(HO74*2-HP74),HO74+HP74-2),"")</f>
        <v>#VALUE!</v>
      </c>
      <c r="IA74" s="238" t="str">
        <f>IF(AL69=3,IF(HU74=1,SUM(HO74-HP74+3),HO74+HP74-1),"")</f>
        <v/>
      </c>
      <c r="IB74" s="238" t="e">
        <f>IF(AL69=5,IF(HV74=1,SUM(HP74*2-HO74),HO74+HP74-2),"")</f>
        <v>#VALUE!</v>
      </c>
      <c r="IC74" s="238" t="str">
        <f>IF(AL69=3,IF(HV74=1,SUM(HP74-HO74+3),HO74+HP74-1),"")</f>
        <v/>
      </c>
      <c r="ID74" s="238">
        <f>SUM(BM78)</f>
        <v>0</v>
      </c>
    </row>
    <row r="75" spans="1:238" s="234" customFormat="1" ht="20.100000000000001" customHeight="1">
      <c r="A75" s="235"/>
      <c r="B75" s="231">
        <f>COUNT(AJ76,AJ75)</f>
        <v>0</v>
      </c>
      <c r="C75" s="235"/>
      <c r="D75" s="328" t="str">
        <f>REPT(DN75,1)</f>
        <v>4</v>
      </c>
      <c r="E75" s="329" t="str">
        <f>REPT(AH75,1)</f>
        <v/>
      </c>
      <c r="F75" s="330"/>
      <c r="G75" s="330"/>
      <c r="H75" s="330"/>
      <c r="I75" s="331"/>
      <c r="J75" s="270" t="str">
        <f t="shared" si="161"/>
        <v/>
      </c>
      <c r="M75" s="311"/>
      <c r="N75" s="270" t="str">
        <f>REPT(AP75,1)</f>
        <v/>
      </c>
      <c r="Q75" s="310"/>
      <c r="R75" s="235"/>
      <c r="S75" s="328" t="str">
        <f>REPT(DO75,1)</f>
        <v>4</v>
      </c>
      <c r="T75" s="329" t="str">
        <f>REPT(AV75,1)</f>
        <v/>
      </c>
      <c r="U75" s="330"/>
      <c r="V75" s="330"/>
      <c r="W75" s="330"/>
      <c r="X75" s="331"/>
      <c r="Y75" s="270" t="str">
        <f t="shared" si="144"/>
        <v/>
      </c>
      <c r="Z75" s="308"/>
      <c r="AA75" s="238">
        <f>SUM(AL69)</f>
        <v>5</v>
      </c>
      <c r="AB75" s="234">
        <f>IF(AY75="",0,IF(AY75&lt;2,1,""))</f>
        <v>0</v>
      </c>
      <c r="AC75" s="238">
        <f>IF(AL69=3,0,IF(AD75=1,1,IF(AD75=3,1,IF(AD75=2,0,IF(AD75=0,0,0)))))</f>
        <v>0</v>
      </c>
      <c r="AD75" s="256">
        <f t="shared" si="146"/>
        <v>0</v>
      </c>
      <c r="AE75" s="256">
        <f t="shared" si="140"/>
        <v>0</v>
      </c>
      <c r="AF75" s="256">
        <f t="shared" si="141"/>
        <v>0</v>
      </c>
      <c r="AG75" s="256">
        <f t="shared" si="147"/>
        <v>0</v>
      </c>
      <c r="AH75" s="257" t="str">
        <f>IF(AL69=3,"",IF(AK75="",IF(AI75="","",IF(AI75="",501,501-AI75)),501))</f>
        <v/>
      </c>
      <c r="AI75" s="256" t="str">
        <f>IF(AL69=3,"",IF(F75&gt;1,F75,IF(F75=0,"",IF(F75="","",""))))</f>
        <v/>
      </c>
      <c r="AJ75" s="256" t="str">
        <f>IF(AL69=3,"",IF(G75&gt;8,G75,IF(G75="","","")))</f>
        <v/>
      </c>
      <c r="AK75" s="256" t="str">
        <f>IF(AL69=3,"",IF(H75&gt;1,H75,IF(H75="","","")))</f>
        <v/>
      </c>
      <c r="AL75" s="256" t="str">
        <f>IF(AL69=3,"",IF(I75&gt;0,I75,IF(I75="","","")))</f>
        <v/>
      </c>
      <c r="AM75" s="258" t="str">
        <f>IF(BK75=0,"","X")</f>
        <v/>
      </c>
      <c r="AN75" s="237"/>
      <c r="AO75" s="237"/>
      <c r="AP75" s="258" t="str">
        <f>IF(BM75=0,"","X")</f>
        <v/>
      </c>
      <c r="AQ75" s="236">
        <f>IF(AL69=3,0,IF(AR75=1,1,IF(AR75=3,1,IF(AR75=2,0,IF(AR75=0,0,0)))))</f>
        <v>0</v>
      </c>
      <c r="AR75" s="256">
        <f t="shared" si="149"/>
        <v>0</v>
      </c>
      <c r="AS75" s="256">
        <f t="shared" si="142"/>
        <v>0</v>
      </c>
      <c r="AT75" s="256">
        <f t="shared" si="143"/>
        <v>0</v>
      </c>
      <c r="AU75" s="256">
        <f t="shared" si="150"/>
        <v>0</v>
      </c>
      <c r="AV75" s="257" t="str">
        <f>IF(AY75="",IF(AW75="","",IF(AW75="",501,501-AW75)),501)</f>
        <v/>
      </c>
      <c r="AW75" s="256" t="str">
        <f>IF(AL69=3,"",IF(U75&gt;1,U75,IF(U75=0,"",IF(U75="","",""))))</f>
        <v/>
      </c>
      <c r="AX75" s="256" t="str">
        <f>IF(AL69=3,"",IF(V75&gt;8,V75,IF(V75="","","")))</f>
        <v/>
      </c>
      <c r="AY75" s="256" t="str">
        <f>IF(AL69=3,"",IF(W75&gt;1,W75,IF(W75="","","")))</f>
        <v/>
      </c>
      <c r="AZ75" s="256" t="str">
        <f>IF(AL69=3,"",IF(X75&gt;0,X75,IF(X75="","","")))</f>
        <v/>
      </c>
      <c r="BA75" s="258" t="str">
        <f>IF(BL75=0,"","X")</f>
        <v/>
      </c>
      <c r="BK75" s="251">
        <f>IF(AL69=3,0,SUM(DD75,DV75,EY75,ED75,FF75,BQ75,BS75,AC75))</f>
        <v>0</v>
      </c>
      <c r="BL75" s="251">
        <f>IF(AL69=3,0,SUM(DE75,DW75,EE75,FT75,GA75,BR75,BT75,AQ75))</f>
        <v>0</v>
      </c>
      <c r="BM75" s="259">
        <f>IF(AL69=3,0,SUM(DC75,BK75:BL75,AC75,AQ75))</f>
        <v>0</v>
      </c>
      <c r="BN75" s="239">
        <f>COUNT(AK75)</f>
        <v>0</v>
      </c>
      <c r="BO75" s="239">
        <f>COUNT(AY75)</f>
        <v>0</v>
      </c>
      <c r="BP75" s="239">
        <f>IF(BZ77=0,0,1)</f>
        <v>0</v>
      </c>
      <c r="BQ75" s="260">
        <f>IF(AL75="",0,IF(AL75&gt;2,1,0))</f>
        <v>0</v>
      </c>
      <c r="BR75" s="261">
        <f>IF(AZ75="",0,IF(AZ75&gt;2,1,0))</f>
        <v>0</v>
      </c>
      <c r="BS75" s="262">
        <f>IF(AJ75=9,IF(AK75&lt;141,1,0),0)</f>
        <v>0</v>
      </c>
      <c r="BT75" s="263">
        <f>IF(AX75=9,IF(AY75&lt;141,1,0),0)</f>
        <v>0</v>
      </c>
      <c r="BU75" s="242">
        <f>IF(AL69=3,0,IF(H75,G75,0))</f>
        <v>0</v>
      </c>
      <c r="BV75" s="238">
        <f>IF(BU75&gt;0,AJ75/3,0)</f>
        <v>0</v>
      </c>
      <c r="BW75" s="238">
        <f>ROUNDUP(BV75,0)</f>
        <v>0</v>
      </c>
      <c r="BX75" s="244">
        <f>IF(MOD(BW75,2)=0,BW75,BW75+1)</f>
        <v>0</v>
      </c>
      <c r="BY75" s="238">
        <f>IF(AJ75&lt;9,"",SUM(BX75-BW75))</f>
        <v>0</v>
      </c>
      <c r="BZ75" s="238">
        <f>IF(BY75=1,AK75,0)</f>
        <v>0</v>
      </c>
      <c r="CA75" s="243" t="str">
        <f>IF(BY75=0,AK75,0)</f>
        <v/>
      </c>
      <c r="CB75" s="238"/>
      <c r="CC75" s="238"/>
      <c r="CD75" s="242">
        <f>IF(AL69=3,0,IF(W75,V75,0))</f>
        <v>0</v>
      </c>
      <c r="CE75" s="238">
        <f>IF(CD75&gt;0,AX75/3,0)</f>
        <v>0</v>
      </c>
      <c r="CF75" s="238">
        <f>ROUNDUP(CE75,0)</f>
        <v>0</v>
      </c>
      <c r="CG75" s="244">
        <f>IF(MOD(CF75,2)=0,CF75,CF75+1)</f>
        <v>0</v>
      </c>
      <c r="CH75" s="238">
        <f>IF(AX75&lt;9,"",SUM(CG75-CF75))</f>
        <v>0</v>
      </c>
      <c r="CI75" s="238">
        <f>IF(CH75=1,AY75,0)</f>
        <v>0</v>
      </c>
      <c r="CJ75" s="243" t="str">
        <f>IF(CH75=0,AY75,0)</f>
        <v/>
      </c>
      <c r="CK75" s="238"/>
      <c r="CL75" s="245">
        <f>IF(COUNT(F75,H75)=1,0,1)</f>
        <v>1</v>
      </c>
      <c r="CM75" s="245">
        <f>IF(COUNT(F75,U75)=1,0,1)</f>
        <v>1</v>
      </c>
      <c r="CN75" s="245">
        <f>IF(COUNT(H75,W75)=1,0,1)</f>
        <v>1</v>
      </c>
      <c r="CO75" s="245">
        <f>IF(COUNT(G75,V75)=2,0,1)</f>
        <v>1</v>
      </c>
      <c r="CP75" s="245">
        <f>IF(COUNT(U75,W75)=1,0,1)</f>
        <v>1</v>
      </c>
      <c r="CQ75" s="245">
        <f>IF(SUM(G75-V75)&gt;3,1,0)</f>
        <v>0</v>
      </c>
      <c r="CR75" s="245">
        <f>IF(SUM(G75-V75)&lt;-3,1,0)</f>
        <v>0</v>
      </c>
      <c r="CS75" s="264">
        <f>IF(AJ75=9,IF(AH75&lt;141,1,0),IF(AH75="",0,IF(AH75&gt;1,0,1)))</f>
        <v>0</v>
      </c>
      <c r="CT75" s="264">
        <f>IF(AX75=9,IF(AV75&lt;141,1,0),IF(AV75="",0,IF(AV75&gt;1,0,1)))</f>
        <v>0</v>
      </c>
      <c r="CU75" s="264">
        <f>IF(AI75="",0,IF(AI75&lt;502,0,1))</f>
        <v>0</v>
      </c>
      <c r="CV75" s="264">
        <f>IF(AW75="",0,IF(AW75&lt;502,0,1))</f>
        <v>0</v>
      </c>
      <c r="CW75" s="264">
        <f>IF(AI75="",IF(AJ75&lt;9,1,0),IF(AJ75&lt;9,1,0))</f>
        <v>0</v>
      </c>
      <c r="CX75" s="264">
        <f>IF(AW75="",IF(AX75&lt;9,1,0),IF(AX75&lt;9,1,0))</f>
        <v>0</v>
      </c>
      <c r="CY75" s="374"/>
      <c r="CZ75" s="374"/>
      <c r="DA75" s="374"/>
      <c r="DB75" s="374"/>
      <c r="DC75" s="265">
        <f>IF(AJ75="",0,SUM(CL75:CX75))</f>
        <v>0</v>
      </c>
      <c r="DD75" s="265">
        <f>IF(AJ75="",0,SUM(CL75,CS75,CU75,CW75))</f>
        <v>0</v>
      </c>
      <c r="DE75" s="265">
        <f>IF(AJ75="",0,SUM(CP75,CT75,CV75,CX75))</f>
        <v>0</v>
      </c>
      <c r="DF75" s="238"/>
      <c r="DG75" s="248">
        <f>IF(AL69=3,0,SUM(G75-V75))</f>
        <v>0</v>
      </c>
      <c r="DH75" s="245">
        <f>IF(F75="",0,1)</f>
        <v>0</v>
      </c>
      <c r="DI75" s="245">
        <f t="shared" si="152"/>
        <v>0</v>
      </c>
      <c r="DJ75" s="245">
        <f t="shared" si="153"/>
        <v>0</v>
      </c>
      <c r="DK75" s="245" t="str">
        <f>IF(G75="","",IF(DJ75=1,"*",""))</f>
        <v/>
      </c>
      <c r="DL75" s="245" t="str">
        <f>IF(AL69=3,"",IF(G75="","",IF(DJ75=-1,"*",IF(DJ75=0,"*",""))))</f>
        <v/>
      </c>
      <c r="DM75" s="245">
        <v>4</v>
      </c>
      <c r="DN75" s="245" t="str">
        <f t="shared" si="154"/>
        <v>4</v>
      </c>
      <c r="DO75" s="245" t="str">
        <f t="shared" si="155"/>
        <v>4</v>
      </c>
      <c r="DP75" s="245">
        <f>SUM(DQ72)</f>
        <v>0</v>
      </c>
      <c r="DQ75" s="245">
        <f>SUM(DP72)</f>
        <v>0</v>
      </c>
      <c r="DR75" s="245">
        <f t="shared" si="162"/>
        <v>0</v>
      </c>
      <c r="DS75" s="245">
        <f t="shared" si="163"/>
        <v>0</v>
      </c>
      <c r="DT75" s="245">
        <f t="shared" si="164"/>
        <v>0</v>
      </c>
      <c r="DU75" s="245">
        <f>IF(V75="",0,IF(DQ75=DS75,0,1))</f>
        <v>0</v>
      </c>
      <c r="DV75" s="267">
        <f t="shared" si="165"/>
        <v>0</v>
      </c>
      <c r="DW75" s="267">
        <f>IF(V75="",0,SUM(DU75))</f>
        <v>0</v>
      </c>
      <c r="DX75" s="238">
        <f>IF(AK75="",0,1)</f>
        <v>0</v>
      </c>
      <c r="DY75" s="238">
        <f>IF(DG75=-3,1,0)</f>
        <v>0</v>
      </c>
      <c r="DZ75" s="238">
        <f>SUM(DX75:DY75)</f>
        <v>0</v>
      </c>
      <c r="EA75" s="238">
        <f>IF(AK75="",1,0)</f>
        <v>1</v>
      </c>
      <c r="EB75" s="238">
        <f>IF(DG75=3,1,0)</f>
        <v>0</v>
      </c>
      <c r="EC75" s="238">
        <f>SUM(EA75:EB75)</f>
        <v>1</v>
      </c>
      <c r="ED75" s="267">
        <f>IF(EC75=2,1,0)</f>
        <v>0</v>
      </c>
      <c r="EE75" s="267">
        <f>IF(DZ75=2,1,0)</f>
        <v>0</v>
      </c>
      <c r="EG75" s="166"/>
      <c r="EH75" s="238"/>
      <c r="EI75" s="238"/>
      <c r="EJ75" s="238"/>
      <c r="EK75" s="238"/>
      <c r="EL75" s="238"/>
      <c r="EM75" s="245">
        <f>IF(AK75="",0,1)</f>
        <v>0</v>
      </c>
      <c r="EN75" s="245">
        <f>SUM(AK75)</f>
        <v>0</v>
      </c>
      <c r="EO75" s="268">
        <f>SUM(AJ75)</f>
        <v>0</v>
      </c>
      <c r="EP75" s="268">
        <f>SUM(G75/3)</f>
        <v>0</v>
      </c>
      <c r="EQ75" s="268" t="e">
        <f>SUM(EO75/EP75)</f>
        <v>#DIV/0!</v>
      </c>
      <c r="ER75" s="268">
        <f>ROUNDDOWN(EP75,0)</f>
        <v>0</v>
      </c>
      <c r="ES75" s="268">
        <f>SUM(EO75,-ER75*3)</f>
        <v>0</v>
      </c>
      <c r="ET75" s="269" t="b">
        <f>MOD(EN75/1,2)=0</f>
        <v>1</v>
      </c>
      <c r="EU75" s="245">
        <f>IF(ET75=FALSE,1,0)</f>
        <v>0</v>
      </c>
      <c r="EV75" s="245">
        <f>IF(EN75=50,0,IF(EN75&lt;40,1,0))</f>
        <v>1</v>
      </c>
      <c r="EW75" s="245">
        <f>SUM(EU75:EV75)</f>
        <v>1</v>
      </c>
      <c r="EX75" s="267">
        <f>IF(EN75=1,1,IF(EN75=50,0,IF(ES75=1,IF(EN75&gt;40,1,0),0)))</f>
        <v>0</v>
      </c>
      <c r="EY75" s="267">
        <f>IF(ES75=1,IF(EW75=2,1,0),0)+EX75+FB75+FE75</f>
        <v>0</v>
      </c>
      <c r="EZ75" s="245">
        <f>IF(EN75=109,1,IF(EN75=108,1,IF(EN75=106,1,IF(EN75=105,1,IF(EN75=103,1,IF(EN75=102,1,IF(EN75=99,1,0)))))))</f>
        <v>0</v>
      </c>
      <c r="FA75" s="245">
        <f>IF(EN75&gt;110,1,0)</f>
        <v>0</v>
      </c>
      <c r="FB75" s="267">
        <f>IF(ES75=2,SUM(EZ75:FA75),0)</f>
        <v>0</v>
      </c>
      <c r="FC75" s="245">
        <f>IF(EN75=159,1,IF(EN75=162,1,IF(EN75=163,1,IF(EN75=165,1,IF(EN75=166,1,IF(EN75=168,1,IF(EN75=169,1,0)))))))</f>
        <v>0</v>
      </c>
      <c r="FD75" s="245">
        <f>IF(EN75&gt;170,1,0)</f>
        <v>0</v>
      </c>
      <c r="FE75" s="267">
        <f>IF(ES75=0,SUM(FC75:FD75),0)</f>
        <v>0</v>
      </c>
      <c r="FF75" s="251">
        <f t="shared" si="156"/>
        <v>0</v>
      </c>
      <c r="FG75" s="238"/>
      <c r="FH75" s="245">
        <f>IF(AY75="",0,1)</f>
        <v>0</v>
      </c>
      <c r="FI75" s="245">
        <f>SUM(AY75)</f>
        <v>0</v>
      </c>
      <c r="FJ75" s="268">
        <f>SUM(AX75)</f>
        <v>0</v>
      </c>
      <c r="FK75" s="268">
        <f>SUM(V75/3)</f>
        <v>0</v>
      </c>
      <c r="FL75" s="268" t="e">
        <f>SUM(FJ75/FK75)</f>
        <v>#DIV/0!</v>
      </c>
      <c r="FM75" s="268">
        <f>ROUNDDOWN(FK75,0)</f>
        <v>0</v>
      </c>
      <c r="FN75" s="268">
        <f>SUM(FJ75,-FM75*3)</f>
        <v>0</v>
      </c>
      <c r="FO75" s="269" t="b">
        <f>MOD(FI75/1,2)=0</f>
        <v>1</v>
      </c>
      <c r="FP75" s="245">
        <f>IF(FO75=FALSE,1,0)</f>
        <v>0</v>
      </c>
      <c r="FQ75" s="245">
        <f>IF(FI75=50,0,IF(FI75&lt;40,1,0))</f>
        <v>1</v>
      </c>
      <c r="FR75" s="245">
        <f>SUM(FP75:FQ75)</f>
        <v>1</v>
      </c>
      <c r="FS75" s="267">
        <f>IF(FI75=1,1,IF(FI75=50,0,IF(FN75=1,IF(FI75&gt;40,1,0),0)))</f>
        <v>0</v>
      </c>
      <c r="FT75" s="267">
        <f>IF(FN75=1,IF(FR75=2,1,0),0)+FS75+FW75+FZ75</f>
        <v>0</v>
      </c>
      <c r="FU75" s="245">
        <f>IF(FI75=109,1,IF(FI75=108,1,IF(FI75=106,1,IF(FI75=105,1,IF(FI75=103,1,IF(FI75=102,1,IF(FI75=99,1,0)))))))</f>
        <v>0</v>
      </c>
      <c r="FV75" s="245">
        <f>IF(FI75&gt;110,1,0)</f>
        <v>0</v>
      </c>
      <c r="FW75" s="267">
        <f>IF(FN75=2,SUM(FU75:FV75),0)</f>
        <v>0</v>
      </c>
      <c r="FX75" s="245">
        <f>IF(FI75=159,1,IF(FI75=162,1,IF(FI75=163,1,IF(FI75=165,1,IF(FI75=166,1,IF(FI75=168,1,IF(FI75=169,1,0)))))))</f>
        <v>0</v>
      </c>
      <c r="FY75" s="245">
        <f>IF(FI75&gt;170,1,0)</f>
        <v>0</v>
      </c>
      <c r="FZ75" s="267">
        <f>IF(FN75=0,SUM(FX75:FY75),0)</f>
        <v>0</v>
      </c>
      <c r="GA75" s="251">
        <f t="shared" si="157"/>
        <v>0</v>
      </c>
      <c r="GC75" s="238" t="str">
        <f>VLOOKUP(AH69,Chema!BL:BR,4,FALSE)</f>
        <v>GS 1.5</v>
      </c>
      <c r="GD75" s="341">
        <f>IF(T79="FORFAIT",1,0)</f>
        <v>0</v>
      </c>
      <c r="GE75" s="343" t="str">
        <f>IF(R79="","",SUM(R79))</f>
        <v/>
      </c>
      <c r="GF75" s="344">
        <f>SUM(AV72)</f>
        <v>0</v>
      </c>
      <c r="GG75" s="344">
        <f>SUM(AX72)</f>
        <v>0</v>
      </c>
      <c r="GH75" s="344">
        <f t="shared" ref="GH75" si="166">SUM(AY72)</f>
        <v>0</v>
      </c>
      <c r="GI75" s="344">
        <f t="shared" ref="GI75" si="167">SUM(AZ72)</f>
        <v>0</v>
      </c>
      <c r="GJ75" s="344">
        <f>SUM(AV73)</f>
        <v>0</v>
      </c>
      <c r="GK75" s="344">
        <f>SUM(AX73)</f>
        <v>0</v>
      </c>
      <c r="GL75" s="344">
        <f>SUM(AY73)</f>
        <v>0</v>
      </c>
      <c r="GM75" s="344">
        <f>SUM(AZ73)</f>
        <v>0</v>
      </c>
      <c r="GN75" s="344">
        <f>SUM(AV74)</f>
        <v>0</v>
      </c>
      <c r="GO75" s="344">
        <f>SUM(AX74)</f>
        <v>0</v>
      </c>
      <c r="GP75" s="344">
        <f>SUM(AY74)</f>
        <v>0</v>
      </c>
      <c r="GQ75" s="344">
        <f>SUM(AZ74)</f>
        <v>0</v>
      </c>
      <c r="GR75" s="344">
        <f>SUM(AV75)</f>
        <v>0</v>
      </c>
      <c r="GS75" s="344">
        <f>SUM(AX75)</f>
        <v>0</v>
      </c>
      <c r="GT75" s="344">
        <f>SUM(AY75)</f>
        <v>0</v>
      </c>
      <c r="GU75" s="344">
        <f>SUM(AZ75)</f>
        <v>0</v>
      </c>
      <c r="GV75" s="344">
        <f>SUM(AV76)</f>
        <v>0</v>
      </c>
      <c r="GW75" s="344">
        <f>SUM(AX76)</f>
        <v>0</v>
      </c>
      <c r="GX75" s="344">
        <f>SUM(AY76)</f>
        <v>0</v>
      </c>
      <c r="GY75" s="344">
        <f>SUM(AZ76)</f>
        <v>0</v>
      </c>
      <c r="GZ75" s="344">
        <f>SUM(GF75,GJ75,GN75,GR75,GV75)</f>
        <v>0</v>
      </c>
      <c r="HA75" s="344">
        <f t="shared" ref="HA75" si="168">SUM(GG75,GK75,GO75,GS75,GW75)</f>
        <v>0</v>
      </c>
      <c r="HB75" s="344">
        <f>IF(GD72=1,P79,MAX(GH75,GL75,GP75,GT75,GX75))</f>
        <v>0</v>
      </c>
      <c r="HC75" s="344">
        <f>IF(GD72=1,X79,SUM(GI75,GM75,GQ75,GU75,GY75))</f>
        <v>0</v>
      </c>
      <c r="HD75" s="345">
        <f>IF(GD72=1,0,SUM(GF75,GJ75,GN75,GR75,GV75))</f>
        <v>0</v>
      </c>
      <c r="HE75" s="345">
        <f>IF(GD72=1,0,SUM(GG75,GK75,GO75,GS75,GW75))</f>
        <v>0</v>
      </c>
      <c r="HF75" s="341">
        <f>IF(GD72=1,0,MIN(HI75,HJ75,HK75,HL75,HM75))</f>
        <v>0</v>
      </c>
      <c r="HG75" s="341">
        <f>IF(HF75=0,0,COUNTIF(HI75:HM75,HF75))</f>
        <v>0</v>
      </c>
      <c r="HH75" s="341">
        <f>SUM(GH76,GL76,GP76,GT76,GX76)</f>
        <v>0</v>
      </c>
      <c r="HI75" s="343" t="str">
        <f>IF(GH76=1,GG75,"")</f>
        <v/>
      </c>
      <c r="HJ75" s="343" t="str">
        <f>IF(GL76=1,GK75,"")</f>
        <v/>
      </c>
      <c r="HK75" s="343" t="str">
        <f>IF(GP76=1,GO75,"")</f>
        <v/>
      </c>
      <c r="HL75" s="343" t="str">
        <f>IF(GT76=1,GS75,"")</f>
        <v/>
      </c>
      <c r="HM75" s="343" t="str">
        <f>IF(GX76=1,GW75,"")</f>
        <v/>
      </c>
      <c r="HN75" s="341"/>
      <c r="HO75" s="341"/>
      <c r="HP75" s="341"/>
      <c r="HQ75" s="341"/>
      <c r="HR75" s="341"/>
      <c r="HS75" s="238"/>
      <c r="HT75" s="238"/>
      <c r="HU75" s="238"/>
      <c r="HV75" s="238"/>
      <c r="HW75" s="238" t="str">
        <f>IFERROR(IF(GD72=0,SUM(IB74:IC74),""),"")</f>
        <v/>
      </c>
      <c r="HY75" s="238"/>
      <c r="ID75" s="238"/>
    </row>
    <row r="76" spans="1:238" s="234" customFormat="1" ht="20.100000000000001" customHeight="1">
      <c r="A76" s="235"/>
      <c r="B76" s="231">
        <f>COUNT(AJ77,AJ76)</f>
        <v>1</v>
      </c>
      <c r="C76" s="235"/>
      <c r="D76" s="271" t="str">
        <f>REPT(DN76,1)</f>
        <v>5</v>
      </c>
      <c r="E76" s="254" t="str">
        <f>REPT(AH76,1)</f>
        <v/>
      </c>
      <c r="F76" s="168"/>
      <c r="G76" s="168"/>
      <c r="H76" s="168"/>
      <c r="I76" s="169"/>
      <c r="J76" s="272" t="str">
        <f>REPT(AM76,1)</f>
        <v/>
      </c>
      <c r="L76" s="310"/>
      <c r="M76" s="310"/>
      <c r="N76" s="272" t="str">
        <f>REPT(AP76,1)</f>
        <v/>
      </c>
      <c r="O76" s="118"/>
      <c r="Q76" s="310"/>
      <c r="R76" s="235"/>
      <c r="S76" s="271" t="str">
        <f>REPT(DO76,1)</f>
        <v>5</v>
      </c>
      <c r="T76" s="254" t="str">
        <f>REPT(AV76,1)</f>
        <v/>
      </c>
      <c r="U76" s="168"/>
      <c r="V76" s="168"/>
      <c r="W76" s="168"/>
      <c r="X76" s="169"/>
      <c r="Y76" s="272" t="str">
        <f>REPT(BA76,1)</f>
        <v/>
      </c>
      <c r="Z76" s="308"/>
      <c r="AA76" s="238">
        <f>SUM(AL69)</f>
        <v>5</v>
      </c>
      <c r="AB76" s="234">
        <f>IF(AY76="",0,IF(AY76&lt;2,1,""))</f>
        <v>0</v>
      </c>
      <c r="AC76" s="238">
        <f>IF(AL69=3,0,IF(AD76=1,1,IF(AD76=3,1,IF(AD76=2,0,IF(AD76=0,0,0)))))</f>
        <v>0</v>
      </c>
      <c r="AD76" s="256">
        <f t="shared" si="146"/>
        <v>0</v>
      </c>
      <c r="AE76" s="256">
        <f t="shared" si="140"/>
        <v>0</v>
      </c>
      <c r="AF76" s="256">
        <f t="shared" si="141"/>
        <v>0</v>
      </c>
      <c r="AG76" s="256">
        <f t="shared" si="147"/>
        <v>0</v>
      </c>
      <c r="AH76" s="257" t="str">
        <f>IF(AL69=3,"",IF(AK76="",IF(AI76="","",IF(AI76="",501,501-AI76)),501))</f>
        <v/>
      </c>
      <c r="AI76" s="256" t="str">
        <f>IF(AL69=3,"",IF(F76&gt;1,F76,IF(F76=0,"",IF(F76="","",""))))</f>
        <v/>
      </c>
      <c r="AJ76" s="256" t="str">
        <f>IF(AL69=3,"",IF(G76&gt;8,G76,IF(G76="","","")))</f>
        <v/>
      </c>
      <c r="AK76" s="256" t="str">
        <f>IF(AL69=3,"",IF(H76&gt;1,H76,IF(H76="","","")))</f>
        <v/>
      </c>
      <c r="AL76" s="256" t="str">
        <f>IF(AL69=3,"",IF(I76&gt;0,I76,IF(I76="","","")))</f>
        <v/>
      </c>
      <c r="AM76" s="258" t="str">
        <f>IF(BK76=0,"","X")</f>
        <v/>
      </c>
      <c r="AN76" s="237"/>
      <c r="AO76" s="237"/>
      <c r="AP76" s="258" t="str">
        <f>IF(BM76=0,"","X")</f>
        <v/>
      </c>
      <c r="AQ76" s="236">
        <f>IF(AL69=3,0,IF(AR76=1,1,IF(AR76=3,1,IF(AR76=2,0,IF(AR76=0,0,0)))))</f>
        <v>0</v>
      </c>
      <c r="AR76" s="256">
        <f t="shared" si="149"/>
        <v>0</v>
      </c>
      <c r="AS76" s="256">
        <f t="shared" si="142"/>
        <v>0</v>
      </c>
      <c r="AT76" s="256">
        <f t="shared" si="143"/>
        <v>0</v>
      </c>
      <c r="AU76" s="256">
        <f t="shared" si="150"/>
        <v>0</v>
      </c>
      <c r="AV76" s="257" t="str">
        <f>IF(AY76="",IF(AW76="","",IF(AW76="",501,501-AW76)),501)</f>
        <v/>
      </c>
      <c r="AW76" s="256" t="str">
        <f>IF(AL69=3,"",IF(U76&gt;1,U76,IF(U76=0,"",IF(U76="","",""))))</f>
        <v/>
      </c>
      <c r="AX76" s="256" t="str">
        <f>IF(AL69=3,"",IF(V76&gt;8,V76,IF(V76="","","")))</f>
        <v/>
      </c>
      <c r="AY76" s="256" t="str">
        <f>IF(AL69=3,"",IF(W76&gt;1,W76,IF(W76="","","")))</f>
        <v/>
      </c>
      <c r="AZ76" s="256" t="str">
        <f>IF(AL69=3,"",IF(X76&gt;0,X76,IF(X76="","","")))</f>
        <v/>
      </c>
      <c r="BA76" s="258" t="str">
        <f>IF(BL76=0,"","X")</f>
        <v/>
      </c>
      <c r="BK76" s="251">
        <f>IF(AL69=3,0,SUM(DD76,DV76,EY76,ED76,FF76,BQ76,BS76,AC76))</f>
        <v>0</v>
      </c>
      <c r="BL76" s="251">
        <f>SUM(DE76,DW76,EE76,FT76,GA76,BR76,BT76,AQ76)</f>
        <v>0</v>
      </c>
      <c r="BM76" s="259">
        <f>IF(AL69=3,0,SUM(DC76,BK76:BL76,AC76,AQ76))</f>
        <v>0</v>
      </c>
      <c r="BN76" s="239">
        <f>COUNT(AK76)</f>
        <v>0</v>
      </c>
      <c r="BO76" s="239">
        <f>COUNT(AY76)</f>
        <v>0</v>
      </c>
      <c r="BP76" s="239">
        <f>IF(BN78=0,0,1)</f>
        <v>0</v>
      </c>
      <c r="BQ76" s="260">
        <f>IF(AL76="",0,IF(AL76&gt;2,1,0))</f>
        <v>0</v>
      </c>
      <c r="BR76" s="261">
        <f>IF(AZ76="",0,IF(AZ76&gt;2,1,0))</f>
        <v>0</v>
      </c>
      <c r="BS76" s="262">
        <f>IF(AJ76=9,IF(AK76&lt;141,1,0),0)</f>
        <v>0</v>
      </c>
      <c r="BT76" s="263">
        <f>IF(AX76=9,IF(AY76&lt;141,1,0),0)</f>
        <v>0</v>
      </c>
      <c r="BU76" s="242">
        <f>IF(AL69=3,0,IF(H76,G76,0))</f>
        <v>0</v>
      </c>
      <c r="BV76" s="238">
        <f>IF(BU76&gt;0,AJ76/3,0)</f>
        <v>0</v>
      </c>
      <c r="BW76" s="238">
        <f>ROUNDUP(BV76,0)</f>
        <v>0</v>
      </c>
      <c r="BX76" s="244">
        <f>IF(MOD(BW76,2)=0,BW76,BW76+1)</f>
        <v>0</v>
      </c>
      <c r="BY76" s="238">
        <f>IF(AJ76&lt;9,"",SUM(BX76-BW76))</f>
        <v>0</v>
      </c>
      <c r="BZ76" s="238">
        <f>IF(BY76=1,AK76,0)</f>
        <v>0</v>
      </c>
      <c r="CA76" s="243" t="str">
        <f>IF(BY76=0,AK76,0)</f>
        <v/>
      </c>
      <c r="CB76" s="238"/>
      <c r="CC76" s="238"/>
      <c r="CD76" s="242">
        <f>IF(AL69=3,0,IF(W76,V76,0))</f>
        <v>0</v>
      </c>
      <c r="CE76" s="238">
        <f>IF(CD76&gt;0,AX76/3,0)</f>
        <v>0</v>
      </c>
      <c r="CF76" s="238">
        <f>ROUNDUP(CE76,0)</f>
        <v>0</v>
      </c>
      <c r="CG76" s="244">
        <f>IF(MOD(CF76,2)=0,CF76,CF76+1)</f>
        <v>0</v>
      </c>
      <c r="CH76" s="238">
        <f>IF(AX76&lt;9,"",SUM(CG76-CF76))</f>
        <v>0</v>
      </c>
      <c r="CI76" s="238">
        <f>IF(CH76=1,AY76,0)</f>
        <v>0</v>
      </c>
      <c r="CJ76" s="243" t="str">
        <f>IF(CH76=0,AY76,0)</f>
        <v/>
      </c>
      <c r="CK76" s="238"/>
      <c r="CL76" s="245">
        <f>IF(COUNT(F76,H76)=1,0,1)</f>
        <v>1</v>
      </c>
      <c r="CM76" s="245">
        <f>IF(COUNT(F76,U76)=1,0,1)</f>
        <v>1</v>
      </c>
      <c r="CN76" s="245">
        <f>IF(COUNT(H76,W76)=1,0,1)</f>
        <v>1</v>
      </c>
      <c r="CO76" s="245">
        <f>IF(COUNT(G76,V76)=2,0,1)</f>
        <v>1</v>
      </c>
      <c r="CP76" s="245">
        <f>IF(COUNT(U76,W76)=1,0,1)</f>
        <v>1</v>
      </c>
      <c r="CQ76" s="245">
        <f>IF(SUM(G76-V76)&gt;3,1,0)</f>
        <v>0</v>
      </c>
      <c r="CR76" s="245">
        <f>IF(SUM(G76-V76)&lt;-3,1,0)</f>
        <v>0</v>
      </c>
      <c r="CS76" s="264">
        <f>IF(AJ76=9,IF(AH76&lt;141,1,0),IF(AH76="",0,IF(AH76&gt;1,0,1)))</f>
        <v>0</v>
      </c>
      <c r="CT76" s="264">
        <f>IF(AX76=9,IF(AV76&lt;141,1,0),IF(AV76="",0,IF(AV76&gt;1,0,1)))</f>
        <v>0</v>
      </c>
      <c r="CU76" s="264">
        <f>IF(AI76="",0,IF(AI76&lt;502,0,1))</f>
        <v>0</v>
      </c>
      <c r="CV76" s="264">
        <f>IF(AW76="",0,IF(AW76&lt;502,0,1))</f>
        <v>0</v>
      </c>
      <c r="CW76" s="264">
        <f>IF(AI76="",IF(AJ76&lt;9,1,0),IF(AJ76&lt;9,1,0))</f>
        <v>0</v>
      </c>
      <c r="CX76" s="264">
        <f>IF(AW76="",IF(AX76&lt;9,1,0),IF(AX76&lt;9,1,0))</f>
        <v>0</v>
      </c>
      <c r="CY76" s="374"/>
      <c r="CZ76" s="374"/>
      <c r="DA76" s="374"/>
      <c r="DB76" s="374"/>
      <c r="DC76" s="265">
        <f>IF(AJ76="",0,SUM(CL76:CX76))</f>
        <v>0</v>
      </c>
      <c r="DD76" s="265">
        <f>IF(AJ76="",0,SUM(CL76,CS76,CU76,CW76))</f>
        <v>0</v>
      </c>
      <c r="DE76" s="265">
        <f>IF(AJ76="",0,SUM(CP76,CT76,CV76,CX76))</f>
        <v>0</v>
      </c>
      <c r="DF76" s="238"/>
      <c r="DG76" s="248">
        <f>IF(AL69=3,0,SUM(G76-V76))</f>
        <v>0</v>
      </c>
      <c r="DH76" s="245">
        <f>IF(F76="",0,1)</f>
        <v>0</v>
      </c>
      <c r="DI76" s="245">
        <f t="shared" si="152"/>
        <v>0</v>
      </c>
      <c r="DJ76" s="245">
        <f t="shared" si="153"/>
        <v>0</v>
      </c>
      <c r="DK76" s="245" t="str">
        <f>IF(G76="","",IF(DJ76=1,"*",""))</f>
        <v/>
      </c>
      <c r="DL76" s="245" t="str">
        <f>IF(AL69=3,"",IF(G76="","",IF(DJ76=-1,"*",IF(DJ76=0,"*",""))))</f>
        <v/>
      </c>
      <c r="DM76" s="245">
        <v>5</v>
      </c>
      <c r="DN76" s="245" t="str">
        <f t="shared" si="154"/>
        <v>5</v>
      </c>
      <c r="DO76" s="245" t="str">
        <f t="shared" si="155"/>
        <v>5</v>
      </c>
      <c r="DP76" s="245">
        <f>SUM(DP72)</f>
        <v>0</v>
      </c>
      <c r="DQ76" s="245">
        <f>SUM(DQ72)</f>
        <v>0</v>
      </c>
      <c r="DR76" s="245">
        <f t="shared" si="162"/>
        <v>0</v>
      </c>
      <c r="DS76" s="245">
        <f t="shared" si="163"/>
        <v>0</v>
      </c>
      <c r="DT76" s="245">
        <f t="shared" si="164"/>
        <v>0</v>
      </c>
      <c r="DU76" s="245">
        <f>IF(V76="",0,IF(DQ76=DS76,0,1))</f>
        <v>0</v>
      </c>
      <c r="DV76" s="267">
        <f t="shared" si="165"/>
        <v>0</v>
      </c>
      <c r="DW76" s="267">
        <f>IF(V76="",0,SUM(DU76))</f>
        <v>0</v>
      </c>
      <c r="DX76" s="238">
        <f>IF(AK76="",0,1)</f>
        <v>0</v>
      </c>
      <c r="DY76" s="238">
        <f>IF(DG76=-3,1,0)</f>
        <v>0</v>
      </c>
      <c r="DZ76" s="238">
        <f>SUM(DX76:DY76)</f>
        <v>0</v>
      </c>
      <c r="EA76" s="238">
        <f>IF(AK76="",1,0)</f>
        <v>1</v>
      </c>
      <c r="EB76" s="238">
        <f>IF(DG76=3,1,0)</f>
        <v>0</v>
      </c>
      <c r="EC76" s="238">
        <f>SUM(EA76:EB76)</f>
        <v>1</v>
      </c>
      <c r="ED76" s="267">
        <f>IF(EC76=2,1,0)</f>
        <v>0</v>
      </c>
      <c r="EE76" s="267">
        <f>IF(DZ76=2,1,0)</f>
        <v>0</v>
      </c>
      <c r="EG76" s="166"/>
      <c r="EH76" s="238"/>
      <c r="EI76" s="238"/>
      <c r="EJ76" s="238"/>
      <c r="EK76" s="238"/>
      <c r="EL76" s="238"/>
      <c r="EM76" s="245">
        <f>IF(AK76="",0,1)</f>
        <v>0</v>
      </c>
      <c r="EN76" s="245">
        <f>SUM(AK76)</f>
        <v>0</v>
      </c>
      <c r="EO76" s="268">
        <f>SUM(AJ76)</f>
        <v>0</v>
      </c>
      <c r="EP76" s="268">
        <f>SUM(G76/3)</f>
        <v>0</v>
      </c>
      <c r="EQ76" s="268" t="e">
        <f>SUM(EO76/EP76)</f>
        <v>#DIV/0!</v>
      </c>
      <c r="ER76" s="268">
        <f>ROUNDDOWN(EP76,0)</f>
        <v>0</v>
      </c>
      <c r="ES76" s="268">
        <f>SUM(EO76,-ER76*3)</f>
        <v>0</v>
      </c>
      <c r="ET76" s="269" t="b">
        <f>MOD(EN76/1,2)=0</f>
        <v>1</v>
      </c>
      <c r="EU76" s="245">
        <f>IF(ET76=FALSE,1,0)</f>
        <v>0</v>
      </c>
      <c r="EV76" s="245">
        <f>IF(EN76=50,0,IF(EN76&lt;40,1,0))</f>
        <v>1</v>
      </c>
      <c r="EW76" s="245">
        <f>SUM(EU76:EV76)</f>
        <v>1</v>
      </c>
      <c r="EX76" s="267">
        <f>IF(EN76=1,1,IF(EN76=50,0,IF(ES76=1,IF(EN76&gt;40,1,0),0)))</f>
        <v>0</v>
      </c>
      <c r="EY76" s="267">
        <f>IF(ES76=1,IF(EW76=2,1,0),0)+EX76+FB76+FE76</f>
        <v>0</v>
      </c>
      <c r="EZ76" s="245">
        <f>IF(EN76=109,1,IF(EN76=108,1,IF(EN76=106,1,IF(EN76=105,1,IF(EN76=103,1,IF(EN76=102,1,IF(EN76=99,1,0)))))))</f>
        <v>0</v>
      </c>
      <c r="FA76" s="245">
        <f>IF(EN76&gt;110,1,0)</f>
        <v>0</v>
      </c>
      <c r="FB76" s="267">
        <f>IF(ES76=2,SUM(EZ76:FA76),0)</f>
        <v>0</v>
      </c>
      <c r="FC76" s="245">
        <f>IF(EN76=159,1,IF(EN76=162,1,IF(EN76=163,1,IF(EN76=165,1,IF(EN76=166,1,IF(EN76=168,1,IF(EN76=169,1,0)))))))</f>
        <v>0</v>
      </c>
      <c r="FD76" s="245">
        <f>IF(EN76&gt;170,1,0)</f>
        <v>0</v>
      </c>
      <c r="FE76" s="267">
        <f>IF(ES76=0,SUM(FC76:FD76),0)</f>
        <v>0</v>
      </c>
      <c r="FF76" s="251">
        <f t="shared" si="156"/>
        <v>0</v>
      </c>
      <c r="FG76" s="238"/>
      <c r="FH76" s="245">
        <f>IF(AY76="",0,1)</f>
        <v>0</v>
      </c>
      <c r="FI76" s="245">
        <f>SUM(AY76)</f>
        <v>0</v>
      </c>
      <c r="FJ76" s="268">
        <f>SUM(AX76)</f>
        <v>0</v>
      </c>
      <c r="FK76" s="268">
        <f>SUM(V76/3)</f>
        <v>0</v>
      </c>
      <c r="FL76" s="268" t="e">
        <f>SUM(FJ76/FK76)</f>
        <v>#DIV/0!</v>
      </c>
      <c r="FM76" s="268">
        <f>ROUNDDOWN(FK76,0)</f>
        <v>0</v>
      </c>
      <c r="FN76" s="268">
        <f>SUM(FJ76,-FM76*3)</f>
        <v>0</v>
      </c>
      <c r="FO76" s="269" t="b">
        <f>MOD(FI76/1,2)=0</f>
        <v>1</v>
      </c>
      <c r="FP76" s="245">
        <f>IF(FO76=FALSE,1,0)</f>
        <v>0</v>
      </c>
      <c r="FQ76" s="245">
        <f>IF(FI76=50,0,IF(FI76&lt;40,1,0))</f>
        <v>1</v>
      </c>
      <c r="FR76" s="245">
        <f>SUM(FP76:FQ76)</f>
        <v>1</v>
      </c>
      <c r="FS76" s="267">
        <f>IF(FI76=1,1,IF(FI76=50,0,IF(FN76=1,IF(FI76&gt;40,1,0),0)))</f>
        <v>0</v>
      </c>
      <c r="FT76" s="267">
        <f>IF(FN76=1,IF(FR76=2,1,0),0)+FS76+FW76+FZ76</f>
        <v>0</v>
      </c>
      <c r="FU76" s="245">
        <f>IF(FI76=109,1,IF(FI76=108,1,IF(FI76=106,1,IF(FI76=105,1,IF(FI76=103,1,IF(FI76=102,1,IF(FI76=99,1,0)))))))</f>
        <v>0</v>
      </c>
      <c r="FV76" s="245">
        <f>IF(FI76&gt;110,1,0)</f>
        <v>0</v>
      </c>
      <c r="FW76" s="267">
        <f>IF(FN76=2,SUM(FU76:FV76),0)</f>
        <v>0</v>
      </c>
      <c r="FX76" s="245">
        <f>IF(FI76=159,1,IF(FI76=162,1,IF(FI76=163,1,IF(FI76=165,1,IF(FI76=166,1,IF(FI76=168,1,IF(FI76=169,1,0)))))))</f>
        <v>0</v>
      </c>
      <c r="FY76" s="245">
        <f>IF(FI76&gt;170,1,0)</f>
        <v>0</v>
      </c>
      <c r="FZ76" s="267">
        <f>IF(FN76=0,SUM(FX76:FY76),0)</f>
        <v>0</v>
      </c>
      <c r="GA76" s="251">
        <f t="shared" si="157"/>
        <v>0</v>
      </c>
      <c r="GC76" s="238" t="str">
        <f>VLOOKUP(AH69,Chema!BL:BR,5,FALSE)</f>
        <v/>
      </c>
      <c r="GD76" s="341"/>
      <c r="GE76" s="343" t="str">
        <f>IF(R80="","",SUM(R80))</f>
        <v/>
      </c>
      <c r="GF76" s="340"/>
      <c r="GG76" s="346"/>
      <c r="GH76" s="343">
        <f>IF(GH75&gt;0,1,0)</f>
        <v>0</v>
      </c>
      <c r="GI76" s="346"/>
      <c r="GJ76" s="343"/>
      <c r="GK76" s="346"/>
      <c r="GL76" s="343">
        <f>IF(GL75&gt;0,1,0)</f>
        <v>0</v>
      </c>
      <c r="GM76" s="343"/>
      <c r="GN76" s="343"/>
      <c r="GO76" s="346"/>
      <c r="GP76" s="343">
        <f>IF(GP75&gt;0,1,0)</f>
        <v>0</v>
      </c>
      <c r="GQ76" s="343"/>
      <c r="GR76" s="343"/>
      <c r="GS76" s="346"/>
      <c r="GT76" s="343">
        <f>IF(GT75&gt;0,1,0)</f>
        <v>0</v>
      </c>
      <c r="GU76" s="343"/>
      <c r="GV76" s="343"/>
      <c r="GW76" s="346"/>
      <c r="GX76" s="343">
        <f>IF(GX75&gt;0,1,0)</f>
        <v>0</v>
      </c>
      <c r="GY76" s="340"/>
      <c r="GZ76" s="343"/>
      <c r="HA76" s="343"/>
      <c r="HB76" s="343" t="str">
        <f>IF(GD72=1,P80,"")</f>
        <v/>
      </c>
      <c r="HC76" s="343" t="str">
        <f>IF(GD72=1,X80,"")</f>
        <v/>
      </c>
      <c r="HD76" s="340"/>
      <c r="HE76" s="340"/>
      <c r="HF76" s="340"/>
      <c r="HG76" s="340">
        <f>IF(HG74=HM72,0,IF(HG74=HM76,0,1))</f>
        <v>0</v>
      </c>
      <c r="HH76" s="340">
        <f>IF(HH73=HH75,1,0)</f>
        <v>1</v>
      </c>
      <c r="HI76" s="340"/>
      <c r="HJ76" s="340"/>
      <c r="HK76" s="340"/>
      <c r="HL76" s="340"/>
      <c r="HM76" s="341">
        <f>COUNT(HI75,HJ75,HK75,HL75,HM75)</f>
        <v>0</v>
      </c>
      <c r="HN76" s="341"/>
      <c r="HO76" s="341"/>
      <c r="HP76" s="341"/>
      <c r="HQ76" s="341"/>
      <c r="HR76" s="341"/>
      <c r="HS76" s="238"/>
      <c r="HT76" s="238"/>
      <c r="HU76" s="238"/>
      <c r="HV76" s="238"/>
      <c r="HX76" s="238"/>
      <c r="HY76" s="238"/>
      <c r="ID76" s="238"/>
    </row>
    <row r="77" spans="1:238" s="234" customFormat="1" ht="6.6" customHeight="1">
      <c r="A77" s="235"/>
      <c r="B77" s="231"/>
      <c r="C77" s="310"/>
      <c r="D77" s="310"/>
      <c r="E77" s="310"/>
      <c r="F77" s="310"/>
      <c r="G77" s="313"/>
      <c r="H77" s="310"/>
      <c r="I77" s="310"/>
      <c r="J77" s="273"/>
      <c r="K77" s="313"/>
      <c r="O77" s="118"/>
      <c r="R77" s="310"/>
      <c r="S77" s="310"/>
      <c r="T77" s="310"/>
      <c r="U77" s="310"/>
      <c r="V77" s="313"/>
      <c r="W77" s="310"/>
      <c r="X77" s="310"/>
      <c r="Y77" s="273"/>
      <c r="Z77" s="308"/>
      <c r="AA77" s="274"/>
      <c r="AD77" s="235"/>
      <c r="AE77" s="237">
        <f>IF(AF77=0,0,1)</f>
        <v>0</v>
      </c>
      <c r="AF77" s="237">
        <f>IF(AL77=0,0,SUM(AL79:AL80,-AL78))</f>
        <v>0</v>
      </c>
      <c r="AG77" s="237"/>
      <c r="AH77" s="275">
        <f>SUM(AH72,AH73,AH74,AH75,AH76)</f>
        <v>0</v>
      </c>
      <c r="AI77" s="275">
        <f t="shared" ref="AI77" si="169">SUM(AI72,AI73,AI74,AI75,AI76)</f>
        <v>0</v>
      </c>
      <c r="AJ77" s="275">
        <f t="shared" ref="AJ77" si="170">SUM(AJ72,AJ73,AJ74,AJ75,AJ76)</f>
        <v>0</v>
      </c>
      <c r="AK77" s="275">
        <f>MAX(AK72,AK73,AK74,AK75,AK76)</f>
        <v>0</v>
      </c>
      <c r="AL77" s="275">
        <f t="shared" ref="AL77" si="171">SUM(AL72,AL73,AL74,AL75,AL76)</f>
        <v>0</v>
      </c>
      <c r="AM77" s="275">
        <f>IF(AK69="D",SUM(AL72,AL73,AL74,AL75,AL76,-AL79,-AL80),0)</f>
        <v>0</v>
      </c>
      <c r="AN77" s="235"/>
      <c r="AO77" s="235"/>
      <c r="AP77" s="235"/>
      <c r="AQ77" s="235"/>
      <c r="AR77" s="235"/>
      <c r="AS77" s="237">
        <f>IF(AT77=0,0,1)</f>
        <v>0</v>
      </c>
      <c r="AT77" s="237">
        <f>IF(AZ77=0,0,SUM(AZ79:AZ80,-AZ78))</f>
        <v>0</v>
      </c>
      <c r="AU77" s="237"/>
      <c r="AV77" s="275">
        <f>SUM(AV72,AV73,AV74,AV75,AV76)</f>
        <v>0</v>
      </c>
      <c r="AW77" s="275">
        <f t="shared" ref="AW77" si="172">SUM(AW72,AW73,AW74,AW75,AW76)</f>
        <v>0</v>
      </c>
      <c r="AX77" s="275">
        <f t="shared" ref="AX77" si="173">SUM(AX72,AX73,AX74,AX75,AX76)</f>
        <v>0</v>
      </c>
      <c r="AY77" s="275">
        <f>MAX(AY72,AY73,AY74,AY75,AY76)</f>
        <v>0</v>
      </c>
      <c r="AZ77" s="275">
        <f t="shared" ref="AZ77" si="174">SUM(AZ72,AZ73,AZ74,AZ75,AZ76)</f>
        <v>0</v>
      </c>
      <c r="BA77" s="275">
        <f>IF(AK69="D",SUM(AZ72,AZ73,AZ74,AZ75,AZ76,-AZ79,-AZ80),0)</f>
        <v>0</v>
      </c>
      <c r="BJ77" s="236"/>
      <c r="BK77" s="238"/>
      <c r="BL77" s="238"/>
      <c r="BM77" s="238"/>
      <c r="BP77" s="238"/>
      <c r="BQ77" s="238"/>
      <c r="BR77" s="238"/>
      <c r="BS77" s="238"/>
      <c r="BT77" s="238"/>
      <c r="BU77" s="238"/>
      <c r="BY77" s="238"/>
      <c r="BZ77" s="238">
        <f>MAX(BZ72,BZ73,BZ74,BZ75,BZ76)</f>
        <v>0</v>
      </c>
      <c r="CA77" s="238">
        <f>MAX(CA72,CA73,CA74,CA75,CA76)</f>
        <v>0</v>
      </c>
      <c r="CB77" s="238"/>
      <c r="CC77" s="238"/>
      <c r="CD77" s="238"/>
      <c r="CG77" s="244"/>
      <c r="CH77" s="238"/>
      <c r="CI77" s="238">
        <f>MAX(CI72,CI73,CI74,CI75,CI76)</f>
        <v>0</v>
      </c>
      <c r="CJ77" s="238">
        <f>MAX(CJ72,CJ73,CJ74,CJ75,CJ76)</f>
        <v>0</v>
      </c>
      <c r="CK77" s="238"/>
      <c r="CL77" s="238"/>
      <c r="CM77" s="238"/>
      <c r="CN77" s="238"/>
      <c r="CO77" s="238"/>
      <c r="CP77" s="238"/>
      <c r="CQ77" s="238"/>
      <c r="CR77" s="238"/>
      <c r="CS77" s="238"/>
      <c r="CT77" s="238"/>
      <c r="CU77" s="238"/>
      <c r="CV77" s="238"/>
      <c r="CW77" s="238"/>
      <c r="CX77" s="238"/>
      <c r="CY77" s="238"/>
      <c r="CZ77" s="238"/>
      <c r="DA77" s="238"/>
      <c r="DB77" s="238"/>
      <c r="DC77" s="238"/>
      <c r="DD77" s="238"/>
      <c r="DE77" s="238"/>
      <c r="DF77" s="238"/>
      <c r="DG77" s="238"/>
      <c r="DH77" s="238"/>
      <c r="DI77" s="238"/>
      <c r="DJ77" s="238"/>
      <c r="DK77" s="238"/>
      <c r="DL77" s="238"/>
      <c r="DM77" s="238"/>
      <c r="DN77" s="238"/>
      <c r="DO77" s="238"/>
      <c r="DP77" s="238"/>
      <c r="DQ77" s="238"/>
      <c r="DR77" s="238"/>
      <c r="DS77" s="238"/>
      <c r="DT77" s="238"/>
      <c r="DU77" s="238"/>
      <c r="DV77" s="238"/>
      <c r="DW77" s="238"/>
      <c r="DX77" s="238"/>
      <c r="DY77" s="238"/>
      <c r="DZ77" s="238"/>
      <c r="EA77" s="238"/>
      <c r="EB77" s="238"/>
      <c r="EC77" s="238"/>
      <c r="ED77" s="238"/>
      <c r="EE77" s="238"/>
      <c r="EF77" s="238"/>
      <c r="EG77" s="238"/>
      <c r="EH77" s="238"/>
      <c r="EI77" s="238"/>
      <c r="EJ77" s="238"/>
      <c r="EK77" s="238"/>
      <c r="EL77" s="238"/>
      <c r="EM77" s="166"/>
      <c r="EN77" s="166"/>
      <c r="EO77" s="166"/>
      <c r="EP77" s="238">
        <f>SUM(EN77-EO77)</f>
        <v>0</v>
      </c>
      <c r="EQ77" s="238"/>
      <c r="ER77" s="238"/>
      <c r="ES77" s="238"/>
      <c r="ET77" s="244"/>
      <c r="EU77" s="238"/>
      <c r="EV77" s="238"/>
      <c r="EW77" s="238"/>
      <c r="EX77" s="238"/>
      <c r="EY77" s="238"/>
      <c r="EZ77" s="238"/>
      <c r="FA77" s="238"/>
      <c r="FB77" s="238"/>
      <c r="FC77" s="238"/>
      <c r="FD77" s="238"/>
      <c r="FE77" s="238"/>
      <c r="FF77" s="238"/>
      <c r="FG77" s="238"/>
      <c r="FH77" s="238"/>
      <c r="FI77" s="238"/>
      <c r="FJ77" s="238"/>
      <c r="FK77" s="238"/>
      <c r="FL77" s="238"/>
      <c r="FM77" s="238"/>
      <c r="FN77" s="238"/>
      <c r="FO77" s="244"/>
      <c r="FP77" s="238"/>
      <c r="FQ77" s="238"/>
      <c r="FR77" s="238"/>
      <c r="FS77" s="238"/>
      <c r="FT77" s="238"/>
      <c r="FU77" s="238"/>
      <c r="FV77" s="238"/>
      <c r="FW77" s="238"/>
      <c r="FX77" s="238"/>
      <c r="FY77" s="238"/>
      <c r="FZ77" s="238"/>
      <c r="GA77" s="238"/>
      <c r="GB77" s="238"/>
      <c r="GC77" s="238"/>
      <c r="GD77" s="341"/>
      <c r="GE77" s="340"/>
      <c r="GF77" s="340"/>
      <c r="GG77" s="340"/>
      <c r="GH77" s="340"/>
      <c r="GI77" s="340"/>
      <c r="GJ77" s="340"/>
      <c r="GK77" s="340"/>
      <c r="GL77" s="340"/>
      <c r="GM77" s="340"/>
      <c r="GN77" s="340"/>
      <c r="GO77" s="340"/>
      <c r="GP77" s="340"/>
      <c r="GQ77" s="340"/>
      <c r="GR77" s="340"/>
      <c r="GS77" s="340"/>
      <c r="GT77" s="340"/>
      <c r="GU77" s="340"/>
      <c r="GV77" s="340"/>
      <c r="GW77" s="340"/>
      <c r="GX77" s="340"/>
      <c r="GY77" s="340"/>
      <c r="GZ77" s="340"/>
      <c r="HA77" s="340"/>
      <c r="HB77" s="340"/>
      <c r="HC77" s="340"/>
      <c r="HD77" s="341"/>
      <c r="HE77" s="341"/>
      <c r="HF77" s="341"/>
      <c r="HG77" s="341"/>
      <c r="HH77" s="341"/>
      <c r="HI77" s="341"/>
      <c r="HJ77" s="341"/>
      <c r="HK77" s="341"/>
      <c r="HL77" s="341"/>
      <c r="HM77" s="341"/>
      <c r="HN77" s="341"/>
      <c r="HO77" s="341"/>
      <c r="HP77" s="341"/>
      <c r="HQ77" s="341"/>
      <c r="HR77" s="341"/>
      <c r="HS77" s="238"/>
      <c r="HT77" s="238"/>
      <c r="HU77" s="238"/>
      <c r="HV77" s="238"/>
      <c r="HX77" s="238"/>
      <c r="HY77" s="238"/>
      <c r="ID77" s="238"/>
    </row>
    <row r="78" spans="1:238" s="234" customFormat="1" ht="20.100000000000001" customHeight="1">
      <c r="A78" s="235"/>
      <c r="B78" s="231"/>
      <c r="C78" s="314" t="s">
        <v>771</v>
      </c>
      <c r="D78" s="276" t="str">
        <f>REPT(Sprache!$K$58,1)</f>
        <v>Spieler</v>
      </c>
      <c r="E78" s="277" t="str">
        <f>REPT(Sprache!$K$33,1)</f>
        <v>Name / Vorname</v>
      </c>
      <c r="F78" s="278"/>
      <c r="G78" s="278"/>
      <c r="H78" s="279"/>
      <c r="I78" s="280"/>
      <c r="J78" s="281" t="str">
        <f>REPT(AM78,1)</f>
        <v/>
      </c>
      <c r="L78" s="306" t="s">
        <v>848</v>
      </c>
      <c r="M78" s="238"/>
      <c r="P78" s="306" t="s">
        <v>848</v>
      </c>
      <c r="R78" s="314" t="s">
        <v>771</v>
      </c>
      <c r="S78" s="276" t="str">
        <f>REPT(Sprache!$K$58,1)</f>
        <v>Spieler</v>
      </c>
      <c r="T78" s="277" t="str">
        <f>REPT(Sprache!$K$33,1)</f>
        <v>Name / Vorname</v>
      </c>
      <c r="U78" s="278"/>
      <c r="V78" s="278"/>
      <c r="W78" s="279"/>
      <c r="X78" s="280"/>
      <c r="Y78" s="281" t="str">
        <f>REPT(BA78,1)</f>
        <v/>
      </c>
      <c r="Z78" s="308"/>
      <c r="AD78" s="235"/>
      <c r="AE78" s="235"/>
      <c r="AF78" s="237" t="s">
        <v>771</v>
      </c>
      <c r="AG78" s="282" t="s">
        <v>877</v>
      </c>
      <c r="AH78" s="283" t="str">
        <f>IF(AH77=0,"",AH77)</f>
        <v/>
      </c>
      <c r="AI78" s="283" t="str">
        <f>IF(AI77=0,"",AI77)</f>
        <v/>
      </c>
      <c r="AJ78" s="283" t="str">
        <f>IF(AJ77=0,"",AJ77)</f>
        <v/>
      </c>
      <c r="AK78" s="283" t="str">
        <f>IF(AK77=0,"",AK77)</f>
        <v/>
      </c>
      <c r="AL78" s="283" t="str">
        <f>IF(AL77=0,"",AL77)</f>
        <v/>
      </c>
      <c r="AM78" s="258" t="str">
        <f>IF(AK69="D",IF(AF77=0,"","X"),"")</f>
        <v/>
      </c>
      <c r="AN78" s="235"/>
      <c r="AO78" s="235"/>
      <c r="AP78" s="284"/>
      <c r="AQ78" s="235"/>
      <c r="AR78" s="235"/>
      <c r="AS78" s="235"/>
      <c r="AT78" s="237" t="s">
        <v>771</v>
      </c>
      <c r="AU78" s="282" t="s">
        <v>877</v>
      </c>
      <c r="AV78" s="283" t="str">
        <f>IF(AV77=0,"",AV77)</f>
        <v/>
      </c>
      <c r="AW78" s="283" t="str">
        <f>IF(AW77=0,"",AW77)</f>
        <v/>
      </c>
      <c r="AX78" s="283" t="str">
        <f>IF(AX77=0,"",AX77)</f>
        <v/>
      </c>
      <c r="AY78" s="283" t="str">
        <f>IF(AY77=0,"",AY77)</f>
        <v/>
      </c>
      <c r="AZ78" s="421" t="str">
        <f>IF(AZ77=0,"",AZ77)</f>
        <v/>
      </c>
      <c r="BA78" s="258" t="str">
        <f>IF(AK69="D",IF(AT77=0,"","X"),"")</f>
        <v/>
      </c>
      <c r="BJ78" s="236"/>
      <c r="BK78" s="238"/>
      <c r="BL78" s="244">
        <f>IF(BM78=0,0,1)</f>
        <v>0</v>
      </c>
      <c r="BM78" s="244">
        <f>SUM(BM72,BM73,BM74,BM75,BM76,HH74,AN79,AN80,BB79,BB80)</f>
        <v>0</v>
      </c>
      <c r="BN78" s="166">
        <f t="shared" ref="BN78:BO78" si="175">SUM(BN72,BN73,BN74,BN75,BN76)</f>
        <v>0</v>
      </c>
      <c r="BO78" s="166">
        <f t="shared" si="175"/>
        <v>0</v>
      </c>
      <c r="BP78" s="244"/>
      <c r="BQ78" s="238"/>
      <c r="BR78" s="238"/>
      <c r="BS78" s="238"/>
      <c r="BT78" s="238"/>
      <c r="BU78" s="238"/>
      <c r="BV78" s="238"/>
      <c r="BW78" s="238"/>
      <c r="BX78" s="236"/>
      <c r="BY78" s="238"/>
      <c r="BZ78" s="238"/>
      <c r="CA78" s="238"/>
      <c r="CB78" s="238"/>
      <c r="CC78" s="238"/>
      <c r="CD78" s="238"/>
      <c r="CE78" s="238"/>
      <c r="CF78" s="238"/>
      <c r="CG78" s="244"/>
      <c r="CH78" s="238"/>
      <c r="CI78" s="238"/>
      <c r="CJ78" s="238"/>
      <c r="CK78" s="238"/>
      <c r="CL78" s="238"/>
      <c r="CM78" s="238"/>
      <c r="CN78" s="238"/>
      <c r="CO78" s="238"/>
      <c r="CP78" s="238"/>
      <c r="CQ78" s="238"/>
      <c r="CR78" s="238"/>
      <c r="CS78" s="238"/>
      <c r="CT78" s="238"/>
      <c r="CU78" s="238"/>
      <c r="CV78" s="238"/>
      <c r="CW78" s="238"/>
      <c r="CX78" s="238"/>
      <c r="CY78" s="238"/>
      <c r="CZ78" s="238"/>
      <c r="DA78" s="238"/>
      <c r="DB78" s="238"/>
      <c r="DC78" s="238"/>
      <c r="DD78" s="238"/>
      <c r="DE78" s="238"/>
      <c r="DF78" s="238"/>
      <c r="DG78" s="238"/>
      <c r="DH78" s="238"/>
      <c r="DI78" s="238"/>
      <c r="DJ78" s="238"/>
      <c r="DK78" s="238"/>
      <c r="DL78" s="238"/>
      <c r="DM78" s="238"/>
      <c r="DN78" s="238"/>
      <c r="DO78" s="238"/>
      <c r="DP78" s="238"/>
      <c r="DQ78" s="238"/>
      <c r="DR78" s="238"/>
      <c r="DS78" s="238"/>
      <c r="DT78" s="238"/>
      <c r="DU78" s="238"/>
      <c r="DV78" s="238"/>
      <c r="DW78" s="238"/>
      <c r="DX78" s="238"/>
      <c r="DY78" s="238"/>
      <c r="DZ78" s="238"/>
      <c r="EA78" s="238"/>
      <c r="EB78" s="238"/>
      <c r="EC78" s="238"/>
      <c r="ED78" s="238"/>
      <c r="EE78" s="238"/>
      <c r="EF78" s="238"/>
      <c r="EG78" s="238"/>
      <c r="EH78" s="238"/>
      <c r="EI78" s="238"/>
      <c r="EJ78" s="238"/>
      <c r="EK78" s="238"/>
      <c r="EL78" s="238"/>
      <c r="EM78" s="238"/>
      <c r="EN78" s="238"/>
      <c r="EO78" s="238"/>
      <c r="EP78" s="238"/>
      <c r="EQ78" s="238"/>
      <c r="ER78" s="238"/>
      <c r="ES78" s="238"/>
      <c r="ET78" s="244"/>
      <c r="EU78" s="238"/>
      <c r="EV78" s="238"/>
      <c r="EW78" s="238"/>
      <c r="EX78" s="238"/>
      <c r="EY78" s="238"/>
      <c r="EZ78" s="238"/>
      <c r="FA78" s="238"/>
      <c r="FB78" s="238"/>
      <c r="FC78" s="238"/>
      <c r="FD78" s="238"/>
      <c r="FE78" s="238"/>
      <c r="FF78" s="238"/>
      <c r="FG78" s="238"/>
      <c r="FH78" s="238"/>
      <c r="FI78" s="238"/>
      <c r="FJ78" s="238"/>
      <c r="FK78" s="238"/>
      <c r="FL78" s="238"/>
      <c r="FM78" s="238"/>
      <c r="FN78" s="238"/>
      <c r="FO78" s="244"/>
      <c r="FP78" s="238"/>
      <c r="FQ78" s="238"/>
      <c r="FR78" s="238"/>
      <c r="FS78" s="238"/>
      <c r="FT78" s="238"/>
      <c r="FU78" s="238"/>
      <c r="FV78" s="238"/>
      <c r="FW78" s="238"/>
      <c r="FX78" s="238"/>
      <c r="FY78" s="238"/>
      <c r="FZ78" s="238"/>
      <c r="GA78" s="238"/>
      <c r="GB78" s="238"/>
      <c r="GC78" s="238"/>
      <c r="GD78" s="341"/>
      <c r="GE78" s="340"/>
      <c r="GF78" s="340"/>
      <c r="GG78" s="340"/>
      <c r="GH78" s="340"/>
      <c r="GI78" s="340"/>
      <c r="GJ78" s="340"/>
      <c r="GK78" s="340"/>
      <c r="GL78" s="340"/>
      <c r="GM78" s="340"/>
      <c r="GN78" s="340"/>
      <c r="GO78" s="340"/>
      <c r="GP78" s="340"/>
      <c r="GQ78" s="340"/>
      <c r="GR78" s="340"/>
      <c r="GS78" s="340"/>
      <c r="GT78" s="340"/>
      <c r="GU78" s="340"/>
      <c r="GV78" s="340"/>
      <c r="GW78" s="340"/>
      <c r="GX78" s="340"/>
      <c r="GY78" s="340"/>
      <c r="GZ78" s="340"/>
      <c r="HA78" s="340"/>
      <c r="HB78" s="340"/>
      <c r="HC78" s="340"/>
      <c r="HD78" s="341"/>
      <c r="HE78" s="341"/>
      <c r="HF78" s="341"/>
      <c r="HG78" s="341"/>
      <c r="HH78" s="341"/>
      <c r="HI78" s="341"/>
      <c r="HJ78" s="341"/>
      <c r="HK78" s="341"/>
      <c r="HL78" s="341"/>
      <c r="HM78" s="341"/>
      <c r="HN78" s="341"/>
      <c r="HO78" s="341"/>
      <c r="HP78" s="341"/>
      <c r="HQ78" s="341"/>
      <c r="HR78" s="341"/>
      <c r="HS78" s="238"/>
      <c r="HT78" s="238"/>
      <c r="HU78" s="238"/>
      <c r="HV78" s="238"/>
      <c r="HX78" s="238"/>
      <c r="HY78" s="238"/>
      <c r="ID78" s="238"/>
    </row>
    <row r="79" spans="1:238" s="234" customFormat="1" ht="20.100000000000001" customHeight="1">
      <c r="A79" s="235"/>
      <c r="B79" s="231"/>
      <c r="C79" s="285" t="str">
        <f>IF(AF79="","",SUM(AF79))</f>
        <v/>
      </c>
      <c r="D79" s="286" t="str">
        <f>IF(AK69="D",1,"")</f>
        <v/>
      </c>
      <c r="E79" s="287" t="str">
        <f>IF(C79="","",VLOOKUP(C79,Licenses!B:C,2,FALSE))</f>
        <v/>
      </c>
      <c r="F79" s="288"/>
      <c r="G79" s="288"/>
      <c r="H79" s="289"/>
      <c r="I79" s="169"/>
      <c r="J79" s="270" t="str">
        <f>REPT(AM79,1)</f>
        <v/>
      </c>
      <c r="L79" s="290" t="str">
        <f>IF(AK69="D",AK79,IF(AK78="","",AK78))</f>
        <v/>
      </c>
      <c r="M79" s="311"/>
      <c r="P79" s="290" t="str">
        <f>IF(AK69="D",AY79,IF(AY78="","",AY78))</f>
        <v/>
      </c>
      <c r="R79" s="291" t="str">
        <f>IF(AT79="","",SUM(AT79))</f>
        <v/>
      </c>
      <c r="S79" s="286" t="str">
        <f>IF(AK69="D",1,"")</f>
        <v/>
      </c>
      <c r="T79" s="292" t="str">
        <f>IF(R79="","",VLOOKUP(R79,Licenses!B:C,2,FALSE))</f>
        <v/>
      </c>
      <c r="U79" s="293"/>
      <c r="V79" s="293"/>
      <c r="W79" s="294"/>
      <c r="X79" s="169"/>
      <c r="Y79" s="270" t="str">
        <f>REPT(BA79,1)</f>
        <v/>
      </c>
      <c r="Z79" s="308"/>
      <c r="AD79" s="235"/>
      <c r="AE79" s="235"/>
      <c r="AF79" s="256" t="str">
        <f>IF(AM69="","",SUM(AM69))</f>
        <v/>
      </c>
      <c r="AG79" s="237"/>
      <c r="AH79" s="256"/>
      <c r="AI79" s="256"/>
      <c r="AJ79" s="256"/>
      <c r="AK79" s="256" t="str">
        <f>IF(BZ77&gt;1,BZ77,"")</f>
        <v/>
      </c>
      <c r="AL79" s="257">
        <f>IF(AK69="D",SUM(I79),0)</f>
        <v>0</v>
      </c>
      <c r="AM79" s="258" t="str">
        <f>IF(AM77=0,IF(AL79&lt;6,"","X"),"X")</f>
        <v/>
      </c>
      <c r="AN79" s="347" t="str">
        <f>IF(AM77=0,IF(AL79&lt;6,"",1),1)</f>
        <v/>
      </c>
      <c r="AO79" s="235"/>
      <c r="AP79" s="236"/>
      <c r="AQ79" s="235"/>
      <c r="AR79" s="235"/>
      <c r="AS79" s="235"/>
      <c r="AT79" s="256" t="str">
        <f>IF(BA69="","",SUM(BA69))</f>
        <v/>
      </c>
      <c r="AU79" s="237"/>
      <c r="AV79" s="256"/>
      <c r="AW79" s="256"/>
      <c r="AX79" s="256"/>
      <c r="AY79" s="256" t="str">
        <f>IF(CI77&gt;1,CI77,"")</f>
        <v/>
      </c>
      <c r="AZ79" s="257">
        <f>IF(AK69="D",SUM(X79),0)</f>
        <v>0</v>
      </c>
      <c r="BA79" s="258" t="str">
        <f>IF(BA77=0,IF(AZ79&lt;6,"","X"),"X")</f>
        <v/>
      </c>
      <c r="BB79" s="347" t="str">
        <f>IF(BA77=0,IF(AZ79&lt;6,"",1),1)</f>
        <v/>
      </c>
      <c r="BC79" s="236"/>
      <c r="BD79" s="236"/>
      <c r="BE79" s="236"/>
      <c r="BF79" s="236"/>
      <c r="BG79" s="236"/>
      <c r="BH79" s="236"/>
      <c r="BI79" s="236"/>
      <c r="BJ79" s="236"/>
      <c r="BK79" s="238"/>
      <c r="BL79" s="238"/>
      <c r="BM79" s="295"/>
      <c r="BN79" s="295"/>
      <c r="BO79" s="295"/>
      <c r="BP79" s="295"/>
      <c r="BQ79" s="295"/>
      <c r="BR79" s="295"/>
      <c r="BS79" s="295"/>
      <c r="BT79" s="295"/>
      <c r="BU79" s="295"/>
      <c r="BV79" s="295"/>
      <c r="BW79" s="295"/>
      <c r="BX79" s="236"/>
      <c r="BY79" s="295"/>
      <c r="BZ79" s="295"/>
      <c r="CA79" s="295"/>
      <c r="CB79" s="295"/>
      <c r="CC79" s="295"/>
      <c r="CD79" s="295"/>
      <c r="CE79" s="295"/>
      <c r="CF79" s="295"/>
      <c r="CG79" s="296"/>
      <c r="CH79" s="295"/>
      <c r="CI79" s="295"/>
      <c r="CJ79" s="295"/>
      <c r="CK79" s="238"/>
      <c r="CL79" s="238"/>
      <c r="CM79" s="238"/>
      <c r="CN79" s="238"/>
      <c r="CO79" s="238"/>
      <c r="CP79" s="238"/>
      <c r="CQ79" s="238"/>
      <c r="CR79" s="238"/>
      <c r="CS79" s="238"/>
      <c r="CT79" s="238"/>
      <c r="CU79" s="238"/>
      <c r="CV79" s="238"/>
      <c r="CW79" s="238"/>
      <c r="CX79" s="238"/>
      <c r="CY79" s="238"/>
      <c r="CZ79" s="238"/>
      <c r="DA79" s="238"/>
      <c r="DB79" s="238"/>
      <c r="DC79" s="238"/>
      <c r="DD79" s="238"/>
      <c r="DE79" s="238"/>
      <c r="DF79" s="238"/>
      <c r="DG79" s="238"/>
      <c r="DH79" s="238"/>
      <c r="DI79" s="238"/>
      <c r="DJ79" s="238"/>
      <c r="DK79" s="238"/>
      <c r="DL79" s="238"/>
      <c r="DM79" s="238"/>
      <c r="DN79" s="238"/>
      <c r="DO79" s="238"/>
      <c r="DP79" s="238"/>
      <c r="DQ79" s="238"/>
      <c r="DR79" s="238"/>
      <c r="DS79" s="238"/>
      <c r="DT79" s="238"/>
      <c r="DU79" s="238"/>
      <c r="DV79" s="238"/>
      <c r="DW79" s="238"/>
      <c r="DX79" s="238"/>
      <c r="DY79" s="238"/>
      <c r="DZ79" s="238"/>
      <c r="EA79" s="238"/>
      <c r="EB79" s="238"/>
      <c r="EC79" s="238"/>
      <c r="ED79" s="238"/>
      <c r="EE79" s="238"/>
      <c r="EF79" s="238"/>
      <c r="EG79" s="238"/>
      <c r="EH79" s="238"/>
      <c r="EI79" s="238"/>
      <c r="EJ79" s="238"/>
      <c r="EK79" s="238"/>
      <c r="EL79" s="238"/>
      <c r="EM79" s="238"/>
      <c r="EN79" s="238"/>
      <c r="EO79" s="238"/>
      <c r="EP79" s="238"/>
      <c r="EQ79" s="238"/>
      <c r="ER79" s="238"/>
      <c r="ES79" s="238"/>
      <c r="ET79" s="244"/>
      <c r="EU79" s="238"/>
      <c r="EV79" s="238"/>
      <c r="EW79" s="238"/>
      <c r="EX79" s="238"/>
      <c r="EY79" s="238"/>
      <c r="EZ79" s="238"/>
      <c r="FA79" s="238"/>
      <c r="FB79" s="238"/>
      <c r="FC79" s="238"/>
      <c r="FD79" s="238"/>
      <c r="FE79" s="238"/>
      <c r="FF79" s="238"/>
      <c r="FG79" s="238"/>
      <c r="FH79" s="238"/>
      <c r="FI79" s="238"/>
      <c r="FJ79" s="238"/>
      <c r="FK79" s="238"/>
      <c r="FL79" s="238"/>
      <c r="FM79" s="238"/>
      <c r="FN79" s="238"/>
      <c r="FO79" s="244"/>
      <c r="FP79" s="238"/>
      <c r="FQ79" s="238"/>
      <c r="FR79" s="238"/>
      <c r="FS79" s="238"/>
      <c r="FT79" s="238"/>
      <c r="FU79" s="238"/>
      <c r="FV79" s="238"/>
      <c r="FW79" s="238"/>
      <c r="FX79" s="238"/>
      <c r="FY79" s="238"/>
      <c r="FZ79" s="238"/>
      <c r="GA79" s="238"/>
      <c r="GB79" s="238"/>
      <c r="GC79" s="238"/>
      <c r="GD79" s="341"/>
      <c r="GE79" s="340"/>
      <c r="GF79" s="340"/>
      <c r="GG79" s="340"/>
      <c r="GH79" s="340"/>
      <c r="GI79" s="340"/>
      <c r="GJ79" s="340"/>
      <c r="GK79" s="340"/>
      <c r="GL79" s="340"/>
      <c r="GM79" s="340"/>
      <c r="GN79" s="340"/>
      <c r="GO79" s="340"/>
      <c r="GP79" s="340"/>
      <c r="GQ79" s="340"/>
      <c r="GR79" s="340"/>
      <c r="GS79" s="340"/>
      <c r="GT79" s="340"/>
      <c r="GU79" s="340"/>
      <c r="GV79" s="340"/>
      <c r="GW79" s="340"/>
      <c r="GX79" s="340"/>
      <c r="GY79" s="340"/>
      <c r="GZ79" s="340"/>
      <c r="HA79" s="340"/>
      <c r="HB79" s="340"/>
      <c r="HC79" s="340"/>
      <c r="HD79" s="341"/>
      <c r="HE79" s="341"/>
      <c r="HF79" s="341"/>
      <c r="HG79" s="341"/>
      <c r="HH79" s="341"/>
      <c r="HI79" s="341"/>
      <c r="HJ79" s="341"/>
      <c r="HK79" s="341"/>
      <c r="HL79" s="341"/>
      <c r="HM79" s="341"/>
      <c r="HN79" s="341"/>
      <c r="HO79" s="341"/>
      <c r="HP79" s="341"/>
      <c r="HQ79" s="341"/>
      <c r="HR79" s="341"/>
      <c r="HS79" s="238"/>
      <c r="HT79" s="238"/>
      <c r="HU79" s="238"/>
      <c r="HV79" s="238"/>
      <c r="HX79" s="238"/>
      <c r="HY79" s="238"/>
      <c r="ID79" s="238"/>
    </row>
    <row r="80" spans="1:238" s="234" customFormat="1" ht="20.100000000000001" customHeight="1">
      <c r="A80" s="235"/>
      <c r="B80" s="231"/>
      <c r="C80" s="336" t="str">
        <f>IF(AF80="","",SUM(AF80))</f>
        <v/>
      </c>
      <c r="D80" s="333" t="str">
        <f>IF(AK69="D",2,"")</f>
        <v/>
      </c>
      <c r="E80" s="337" t="str">
        <f>IF(C80="","",VLOOKUP(C80,Licenses!B:C,2,FALSE))</f>
        <v/>
      </c>
      <c r="F80" s="290"/>
      <c r="G80" s="290"/>
      <c r="H80" s="338"/>
      <c r="I80" s="331"/>
      <c r="J80" s="272" t="str">
        <f>REPT(AM80,1)</f>
        <v/>
      </c>
      <c r="L80" s="315" t="str">
        <f>IF(AK69="D",AK80,"")</f>
        <v/>
      </c>
      <c r="M80" s="311"/>
      <c r="P80" s="315" t="str">
        <f>IF(AK69="D",AY80,"")</f>
        <v/>
      </c>
      <c r="R80" s="332" t="str">
        <f>IF(AT80="","",SUM(AT80))</f>
        <v/>
      </c>
      <c r="S80" s="333" t="str">
        <f>IF(AK69="D",2,"")</f>
        <v/>
      </c>
      <c r="T80" s="334" t="str">
        <f>IF(R80="","",VLOOKUP(R80,Licenses!B:C,2,FALSE))</f>
        <v/>
      </c>
      <c r="U80" s="297"/>
      <c r="V80" s="297"/>
      <c r="W80" s="335"/>
      <c r="X80" s="331"/>
      <c r="Y80" s="272" t="str">
        <f>REPT(BA80,1)</f>
        <v/>
      </c>
      <c r="Z80" s="308"/>
      <c r="AA80" s="238">
        <f>IF(AK69="D",0,1)</f>
        <v>1</v>
      </c>
      <c r="AD80" s="235"/>
      <c r="AE80" s="235"/>
      <c r="AF80" s="256" t="str">
        <f>IF(AM70="","",SUM(AM70))</f>
        <v/>
      </c>
      <c r="AG80" s="237"/>
      <c r="AH80" s="256"/>
      <c r="AI80" s="256"/>
      <c r="AJ80" s="256"/>
      <c r="AK80" s="256" t="str">
        <f>IF(CA77&gt;1,CA77,"")</f>
        <v/>
      </c>
      <c r="AL80" s="257">
        <f>IF(AK69="D",SUM(I80),0)</f>
        <v>0</v>
      </c>
      <c r="AM80" s="258" t="str">
        <f>IF(AM77=0,IF(AL80&lt;6,"","X"),"X")</f>
        <v/>
      </c>
      <c r="AN80" s="347" t="str">
        <f>IF(AM77=0,IF(AL80&lt;6,"",1),1)</f>
        <v/>
      </c>
      <c r="AO80" s="235"/>
      <c r="AP80" s="236"/>
      <c r="AQ80" s="235"/>
      <c r="AR80" s="235"/>
      <c r="AS80" s="235"/>
      <c r="AT80" s="256" t="str">
        <f>IF(BA70="","",SUM(BA70))</f>
        <v/>
      </c>
      <c r="AU80" s="237"/>
      <c r="AV80" s="256"/>
      <c r="AW80" s="256"/>
      <c r="AX80" s="256"/>
      <c r="AY80" s="256" t="str">
        <f>IF(CJ77&gt;1,CJ77,"")</f>
        <v/>
      </c>
      <c r="AZ80" s="257">
        <f>IF(AK69="D",SUM(X80),0)</f>
        <v>0</v>
      </c>
      <c r="BA80" s="258" t="str">
        <f>IF(BA77=0,IF(AZ80&lt;6,"","X"),"X")</f>
        <v/>
      </c>
      <c r="BB80" s="347" t="str">
        <f>IF(BA77=0,IF(AZ80&lt;6,"",1),1)</f>
        <v/>
      </c>
      <c r="BC80" s="236"/>
      <c r="BD80" s="236"/>
      <c r="BE80" s="236"/>
      <c r="BF80" s="236"/>
      <c r="BG80" s="236"/>
      <c r="BH80" s="236"/>
      <c r="BI80" s="236"/>
      <c r="BJ80" s="236"/>
      <c r="BK80" s="238"/>
      <c r="BM80" s="238"/>
      <c r="BN80" s="238"/>
      <c r="BO80" s="238"/>
      <c r="BP80" s="238"/>
      <c r="BQ80" s="238" t="s">
        <v>899</v>
      </c>
      <c r="BR80" s="238"/>
      <c r="BS80" s="238"/>
      <c r="BT80" s="238"/>
      <c r="BU80" s="238"/>
      <c r="BV80" s="238"/>
      <c r="BW80" s="238"/>
      <c r="BX80" s="236"/>
      <c r="BY80" s="238"/>
      <c r="BZ80" s="238"/>
      <c r="CA80" s="238"/>
      <c r="CB80" s="238"/>
      <c r="CC80" s="238"/>
      <c r="CD80" s="238" t="s">
        <v>899</v>
      </c>
      <c r="CE80" s="238"/>
      <c r="CF80" s="238"/>
      <c r="CG80" s="244"/>
      <c r="CH80" s="238"/>
      <c r="CI80" s="238"/>
      <c r="CJ80" s="238"/>
      <c r="CK80" s="238"/>
      <c r="CL80" s="238"/>
      <c r="CM80" s="238"/>
      <c r="CN80" s="238"/>
      <c r="CO80" s="238"/>
      <c r="CP80" s="238"/>
      <c r="CQ80" s="238"/>
      <c r="CR80" s="238"/>
      <c r="CS80" s="238"/>
      <c r="CT80" s="238"/>
      <c r="CU80" s="238"/>
      <c r="CV80" s="238"/>
      <c r="CW80" s="238"/>
      <c r="CX80" s="238"/>
      <c r="CY80" s="238"/>
      <c r="CZ80" s="238"/>
      <c r="DA80" s="238"/>
      <c r="DB80" s="238"/>
      <c r="DC80" s="238"/>
      <c r="DD80" s="238"/>
      <c r="DE80" s="238"/>
      <c r="DF80" s="238"/>
      <c r="DG80" s="238"/>
      <c r="DH80" s="238"/>
      <c r="DI80" s="238"/>
      <c r="DJ80" s="238"/>
      <c r="DK80" s="238"/>
      <c r="DL80" s="238"/>
      <c r="DM80" s="238"/>
      <c r="DN80" s="238"/>
      <c r="DO80" s="238"/>
      <c r="DP80" s="238"/>
      <c r="DQ80" s="238"/>
      <c r="DR80" s="238"/>
      <c r="DS80" s="238"/>
      <c r="DT80" s="238"/>
      <c r="DU80" s="238"/>
      <c r="DV80" s="238"/>
      <c r="DW80" s="238"/>
      <c r="DX80" s="238"/>
      <c r="DY80" s="238"/>
      <c r="DZ80" s="238"/>
      <c r="EA80" s="238"/>
      <c r="EB80" s="238"/>
      <c r="EC80" s="238"/>
      <c r="ED80" s="238"/>
      <c r="EE80" s="238"/>
      <c r="EF80" s="238"/>
      <c r="EG80" s="238"/>
      <c r="EH80" s="238"/>
      <c r="EI80" s="238"/>
      <c r="EJ80" s="238"/>
      <c r="EK80" s="238"/>
      <c r="EL80" s="238"/>
      <c r="EM80" s="238"/>
      <c r="EN80" s="238"/>
      <c r="EO80" s="238"/>
      <c r="EP80" s="238"/>
      <c r="EQ80" s="238"/>
      <c r="ER80" s="238"/>
      <c r="ES80" s="238"/>
      <c r="ET80" s="244"/>
      <c r="EU80" s="238"/>
      <c r="EV80" s="238"/>
      <c r="EW80" s="238"/>
      <c r="EX80" s="238"/>
      <c r="EY80" s="238"/>
      <c r="EZ80" s="238"/>
      <c r="FA80" s="238"/>
      <c r="FB80" s="238"/>
      <c r="FC80" s="238"/>
      <c r="FD80" s="238"/>
      <c r="FE80" s="238"/>
      <c r="FF80" s="238"/>
      <c r="FG80" s="238"/>
      <c r="FH80" s="238"/>
      <c r="FI80" s="238"/>
      <c r="FJ80" s="238"/>
      <c r="FK80" s="238"/>
      <c r="FL80" s="238"/>
      <c r="FM80" s="238"/>
      <c r="FN80" s="238"/>
      <c r="FO80" s="244"/>
      <c r="FP80" s="238"/>
      <c r="FQ80" s="238"/>
      <c r="FR80" s="238"/>
      <c r="FS80" s="238"/>
      <c r="FT80" s="238"/>
      <c r="FU80" s="238"/>
      <c r="FV80" s="238"/>
      <c r="FW80" s="238"/>
      <c r="FX80" s="238"/>
      <c r="FY80" s="238"/>
      <c r="FZ80" s="238"/>
      <c r="GA80" s="238"/>
      <c r="GB80" s="238"/>
      <c r="GC80" s="238"/>
      <c r="GD80" s="341"/>
      <c r="GE80" s="340"/>
      <c r="GF80" s="340"/>
      <c r="GG80" s="340"/>
      <c r="GH80" s="340"/>
      <c r="GI80" s="340"/>
      <c r="GJ80" s="340"/>
      <c r="GK80" s="340"/>
      <c r="GL80" s="340"/>
      <c r="GM80" s="340"/>
      <c r="GN80" s="340"/>
      <c r="GO80" s="340"/>
      <c r="GP80" s="340"/>
      <c r="GQ80" s="340"/>
      <c r="GR80" s="340"/>
      <c r="GS80" s="340"/>
      <c r="GT80" s="340"/>
      <c r="GU80" s="340"/>
      <c r="GV80" s="340"/>
      <c r="GW80" s="340"/>
      <c r="GX80" s="340"/>
      <c r="GY80" s="340"/>
      <c r="GZ80" s="340"/>
      <c r="HA80" s="340"/>
      <c r="HB80" s="340"/>
      <c r="HC80" s="340"/>
      <c r="HD80" s="341"/>
      <c r="HE80" s="341"/>
      <c r="HF80" s="341"/>
      <c r="HG80" s="341"/>
      <c r="HH80" s="341"/>
      <c r="HI80" s="341"/>
      <c r="HJ80" s="341"/>
      <c r="HK80" s="341"/>
      <c r="HL80" s="341"/>
      <c r="HM80" s="341"/>
      <c r="HN80" s="341"/>
      <c r="HO80" s="341"/>
      <c r="HP80" s="341"/>
      <c r="HQ80" s="341"/>
      <c r="HR80" s="341"/>
      <c r="HS80" s="238"/>
      <c r="HT80" s="238"/>
      <c r="HU80" s="238"/>
      <c r="HV80" s="238"/>
      <c r="HX80" s="238"/>
      <c r="HY80" s="238"/>
      <c r="ID80" s="238"/>
    </row>
    <row r="81" spans="1:238" s="234" customFormat="1" ht="20.100000000000001" customHeight="1">
      <c r="A81" s="235"/>
      <c r="B81" s="316"/>
      <c r="C81" s="317"/>
      <c r="D81" s="317"/>
      <c r="E81" s="318"/>
      <c r="F81" s="318"/>
      <c r="G81" s="318"/>
      <c r="H81" s="318"/>
      <c r="I81" s="318"/>
      <c r="J81" s="318"/>
      <c r="K81" s="319"/>
      <c r="L81" s="319"/>
      <c r="M81" s="319"/>
      <c r="N81" s="319"/>
      <c r="O81" s="319"/>
      <c r="P81" s="320"/>
      <c r="Q81" s="319"/>
      <c r="R81" s="317"/>
      <c r="S81" s="318"/>
      <c r="T81" s="318"/>
      <c r="U81" s="318"/>
      <c r="V81" s="318"/>
      <c r="W81" s="318"/>
      <c r="X81" s="318"/>
      <c r="Y81" s="318"/>
      <c r="Z81" s="321"/>
      <c r="AD81" s="235"/>
      <c r="AE81" s="237"/>
      <c r="AF81" s="237"/>
      <c r="AG81" s="237"/>
      <c r="AH81" s="237" t="s">
        <v>921</v>
      </c>
      <c r="AI81" s="237" t="s">
        <v>922</v>
      </c>
      <c r="AJ81" s="298" t="str">
        <f>IF(BS81="","",SUM(AM81)*3)</f>
        <v/>
      </c>
      <c r="AK81" s="299" t="s">
        <v>923</v>
      </c>
      <c r="AL81" s="256"/>
      <c r="AM81" s="256" t="str">
        <f>IF(BS81="","",SUM(BS81))</f>
        <v/>
      </c>
      <c r="AN81" s="235"/>
      <c r="AO81" s="235"/>
      <c r="AP81" s="236"/>
      <c r="AQ81" s="235"/>
      <c r="AR81" s="235"/>
      <c r="AS81" s="237"/>
      <c r="AT81" s="237"/>
      <c r="AU81" s="237"/>
      <c r="AV81" s="237" t="s">
        <v>921</v>
      </c>
      <c r="AW81" s="237" t="s">
        <v>922</v>
      </c>
      <c r="AX81" s="298" t="str">
        <f>IF(BS81="","",SUM(BA81)*3)</f>
        <v/>
      </c>
      <c r="AY81" s="299" t="s">
        <v>923</v>
      </c>
      <c r="AZ81" s="256"/>
      <c r="BA81" s="256" t="str">
        <f>IF(BS81="","",SUM(CF81))</f>
        <v/>
      </c>
      <c r="BB81" s="236"/>
      <c r="BC81" s="236"/>
      <c r="BD81" s="236"/>
      <c r="BE81" s="236"/>
      <c r="BF81" s="236"/>
      <c r="BG81" s="236"/>
      <c r="BH81" s="236"/>
      <c r="BI81" s="236"/>
      <c r="BJ81" s="236"/>
      <c r="BK81" s="373">
        <f>IF(AL69=BQ81,1,0)</f>
        <v>0</v>
      </c>
      <c r="BL81" s="373">
        <f>IF(AL69=CD81,1,0)</f>
        <v>0</v>
      </c>
      <c r="BM81" s="256">
        <f>IF(BN81&gt;2,1,0)</f>
        <v>0</v>
      </c>
      <c r="BN81" s="256">
        <f>COUNT(AH72,AH73,AH74)</f>
        <v>0</v>
      </c>
      <c r="BO81" s="256" t="str">
        <f>IF(AH78="","",SUM(AH78/AJ78))</f>
        <v/>
      </c>
      <c r="BP81" s="256"/>
      <c r="BQ81" s="300">
        <f>COUNT(AK72,AK73,AK74,AK75,AK76)</f>
        <v>0</v>
      </c>
      <c r="BR81" s="256"/>
      <c r="BS81" s="256" t="str">
        <f>IF(BL78=0,IF(AJ73="","",BO81),"")</f>
        <v/>
      </c>
      <c r="BT81" s="236"/>
      <c r="BU81" s="236"/>
      <c r="BV81" s="236"/>
      <c r="BW81" s="236"/>
      <c r="BX81" s="236"/>
      <c r="BY81" s="256">
        <f>IF(CD81&gt;2,1,0)</f>
        <v>0</v>
      </c>
      <c r="BZ81" s="256">
        <f>IF(CA81&gt;2,1,0)</f>
        <v>0</v>
      </c>
      <c r="CA81" s="256">
        <f>COUNT(AV72,AV73,AV74)</f>
        <v>0</v>
      </c>
      <c r="CB81" s="256" t="str">
        <f>IF(AV78="","",SUM(AV78/AX78))</f>
        <v/>
      </c>
      <c r="CC81" s="256"/>
      <c r="CD81" s="300">
        <f>COUNT(AY72,AY73,AY74,AY75,AY76)</f>
        <v>0</v>
      </c>
      <c r="CE81" s="256"/>
      <c r="CF81" s="256" t="str">
        <f>IF(BL78=0,IF(AX73="","",CB81),"")</f>
        <v/>
      </c>
      <c r="CG81" s="236"/>
      <c r="CH81" s="188"/>
      <c r="CI81" s="188"/>
      <c r="CJ81" s="196"/>
      <c r="CK81" s="196"/>
      <c r="CL81" s="196"/>
      <c r="CM81" s="196"/>
      <c r="CN81" s="196"/>
      <c r="CO81" s="196"/>
      <c r="CP81" s="196"/>
      <c r="CQ81" s="196"/>
      <c r="CR81" s="196"/>
      <c r="CS81" s="196"/>
      <c r="CT81" s="196"/>
      <c r="CU81" s="196"/>
      <c r="CV81" s="196"/>
      <c r="CW81" s="196"/>
      <c r="CX81" s="196"/>
      <c r="CY81" s="196"/>
      <c r="CZ81" s="196"/>
      <c r="DA81" s="196"/>
      <c r="DB81" s="196"/>
      <c r="DC81" s="196"/>
      <c r="DD81" s="196"/>
      <c r="DE81" s="196"/>
      <c r="DF81" s="196"/>
      <c r="DG81" s="196"/>
      <c r="DH81" s="196"/>
      <c r="DI81" s="196"/>
      <c r="DJ81" s="196"/>
      <c r="DK81" s="196"/>
      <c r="DL81" s="196"/>
      <c r="DM81" s="196"/>
      <c r="DN81" s="196"/>
      <c r="DO81" s="196"/>
      <c r="DP81" s="196"/>
      <c r="DQ81" s="196"/>
      <c r="DR81" s="196"/>
      <c r="DS81" s="196"/>
      <c r="DT81" s="196"/>
      <c r="DU81" s="196"/>
      <c r="DV81" s="196"/>
      <c r="DW81" s="196"/>
      <c r="DX81" s="196"/>
      <c r="DY81" s="196"/>
      <c r="DZ81" s="196"/>
      <c r="EA81" s="196"/>
      <c r="EB81" s="196"/>
      <c r="EC81" s="196"/>
      <c r="ED81" s="196"/>
      <c r="EE81" s="196"/>
      <c r="EF81" s="196"/>
      <c r="EG81" s="196"/>
      <c r="EH81" s="196"/>
      <c r="EI81" s="196"/>
      <c r="EJ81" s="196"/>
      <c r="EK81" s="196"/>
      <c r="EL81" s="196"/>
      <c r="EM81" s="196"/>
      <c r="EN81" s="196"/>
      <c r="EO81" s="196"/>
      <c r="EP81" s="196"/>
      <c r="EQ81" s="196"/>
      <c r="ER81" s="196"/>
      <c r="ES81" s="196"/>
      <c r="ET81" s="301"/>
      <c r="EU81" s="196"/>
      <c r="EV81" s="196"/>
      <c r="EW81" s="196"/>
      <c r="EX81" s="196"/>
      <c r="EY81" s="196"/>
      <c r="EZ81" s="196"/>
      <c r="FA81" s="196"/>
      <c r="FB81" s="196"/>
      <c r="FC81" s="196"/>
      <c r="FD81" s="196"/>
      <c r="FE81" s="196"/>
      <c r="FF81" s="196"/>
      <c r="FG81" s="196"/>
      <c r="FH81" s="196"/>
      <c r="FI81" s="196"/>
      <c r="FJ81" s="196"/>
      <c r="FK81" s="196"/>
      <c r="FL81" s="196"/>
      <c r="FM81" s="196"/>
      <c r="FN81" s="196"/>
      <c r="FO81" s="301"/>
      <c r="FP81" s="196"/>
      <c r="FQ81" s="196"/>
      <c r="FR81" s="196"/>
      <c r="FS81" s="196"/>
      <c r="FT81" s="196"/>
      <c r="FU81" s="196"/>
      <c r="FV81" s="196"/>
      <c r="FW81" s="196"/>
      <c r="FX81" s="196"/>
      <c r="FY81" s="196"/>
      <c r="FZ81" s="196"/>
      <c r="GA81" s="196"/>
      <c r="GB81" s="238"/>
      <c r="GC81" s="238"/>
      <c r="GD81" s="341"/>
      <c r="GE81" s="341"/>
      <c r="GF81" s="341"/>
      <c r="GG81" s="341"/>
      <c r="GH81" s="341"/>
      <c r="GI81" s="341"/>
      <c r="GJ81" s="341"/>
      <c r="GK81" s="341"/>
      <c r="GL81" s="341"/>
      <c r="GM81" s="341"/>
      <c r="GN81" s="341"/>
      <c r="GO81" s="341"/>
      <c r="GP81" s="341"/>
      <c r="GQ81" s="341"/>
      <c r="GR81" s="341"/>
      <c r="GS81" s="341"/>
      <c r="GT81" s="341"/>
      <c r="GU81" s="341"/>
      <c r="GV81" s="341"/>
      <c r="GW81" s="341"/>
      <c r="GX81" s="341"/>
      <c r="GY81" s="341"/>
      <c r="GZ81" s="341"/>
      <c r="HA81" s="341"/>
      <c r="HB81" s="341"/>
      <c r="HC81" s="341"/>
      <c r="HD81" s="341"/>
      <c r="HE81" s="341"/>
      <c r="HF81" s="341"/>
      <c r="HG81" s="341"/>
      <c r="HH81" s="341"/>
      <c r="HI81" s="341"/>
      <c r="HJ81" s="341"/>
      <c r="HK81" s="341"/>
      <c r="HL81" s="341"/>
      <c r="HM81" s="341"/>
      <c r="HN81" s="341"/>
      <c r="HO81" s="341"/>
      <c r="HP81" s="341"/>
      <c r="HQ81" s="341"/>
      <c r="HR81" s="341"/>
      <c r="HS81" s="238"/>
      <c r="HT81" s="238"/>
      <c r="HU81" s="238"/>
      <c r="HV81" s="238"/>
      <c r="HX81" s="238"/>
      <c r="HY81" s="238"/>
      <c r="ID81" s="238"/>
    </row>
    <row r="82" spans="1:238" ht="14.1" customHeight="1">
      <c r="B82" s="214"/>
      <c r="C82" s="171"/>
      <c r="D82" s="171"/>
      <c r="E82" s="171"/>
      <c r="F82" s="171"/>
      <c r="G82" s="171"/>
      <c r="H82" s="171"/>
      <c r="I82" s="171"/>
      <c r="J82" s="171"/>
      <c r="K82" s="171"/>
      <c r="L82" s="171"/>
      <c r="M82" s="171"/>
      <c r="N82" s="171"/>
      <c r="O82" s="171"/>
      <c r="P82" s="171"/>
      <c r="Q82" s="171"/>
      <c r="R82" s="171"/>
      <c r="S82" s="171"/>
      <c r="T82" s="171"/>
      <c r="U82" s="171"/>
      <c r="V82" s="171"/>
      <c r="W82" s="171"/>
      <c r="X82" s="171"/>
      <c r="Y82" s="171"/>
      <c r="Z82" s="302"/>
      <c r="AA82" s="215"/>
      <c r="AB82" s="215"/>
      <c r="AC82" s="215"/>
      <c r="AD82" s="215"/>
      <c r="AE82" s="215"/>
      <c r="AF82" s="215"/>
      <c r="BB82" s="215"/>
      <c r="BC82" s="215"/>
      <c r="BD82" s="215"/>
      <c r="BE82" s="215"/>
      <c r="BF82" s="215"/>
      <c r="BG82" s="215"/>
      <c r="BH82" s="215"/>
      <c r="GD82" s="339"/>
      <c r="GE82" s="339"/>
      <c r="GF82" s="339"/>
      <c r="GG82" s="339"/>
      <c r="GH82" s="339"/>
      <c r="GI82" s="339"/>
      <c r="GJ82" s="339"/>
      <c r="GK82" s="339"/>
      <c r="GL82" s="339"/>
      <c r="GM82" s="339"/>
      <c r="GN82" s="339"/>
      <c r="GO82" s="339"/>
      <c r="GP82" s="339"/>
      <c r="GQ82" s="339"/>
      <c r="GR82" s="339"/>
      <c r="GS82" s="339"/>
      <c r="GT82" s="339"/>
      <c r="GU82" s="339"/>
      <c r="GV82" s="339"/>
      <c r="GW82" s="339"/>
      <c r="GX82" s="339"/>
      <c r="GY82" s="339"/>
      <c r="GZ82" s="339"/>
      <c r="HA82" s="339"/>
      <c r="HB82" s="339"/>
      <c r="HC82" s="339"/>
      <c r="HD82" s="339"/>
      <c r="HE82" s="339"/>
      <c r="HF82" s="339"/>
      <c r="HG82" s="339"/>
      <c r="HH82" s="339"/>
      <c r="HI82" s="339"/>
      <c r="HJ82" s="339"/>
      <c r="HK82" s="339"/>
      <c r="HL82" s="339"/>
      <c r="HM82" s="339"/>
      <c r="HN82" s="339"/>
      <c r="HO82" s="339"/>
      <c r="HP82" s="339"/>
      <c r="HQ82" s="339"/>
      <c r="HR82" s="339"/>
    </row>
    <row r="83" spans="1:238" ht="24" customHeight="1">
      <c r="B83" s="216"/>
      <c r="C83" s="181"/>
      <c r="D83" s="181"/>
      <c r="E83" s="181"/>
      <c r="F83" s="181"/>
      <c r="G83" s="181"/>
      <c r="H83" s="181"/>
      <c r="I83" s="181"/>
      <c r="J83" s="181"/>
      <c r="K83" s="185"/>
      <c r="L83" s="217"/>
      <c r="M83" s="218"/>
      <c r="N83" s="327" t="str">
        <f>CONCATENATE(AG83," ",AH83)</f>
        <v>Spiel 6</v>
      </c>
      <c r="O83" s="218"/>
      <c r="P83" s="219"/>
      <c r="Q83" s="185"/>
      <c r="R83" s="181"/>
      <c r="S83" s="181"/>
      <c r="T83" s="181"/>
      <c r="U83" s="181"/>
      <c r="V83" s="181"/>
      <c r="W83" s="181"/>
      <c r="X83" s="181"/>
      <c r="Y83" s="181"/>
      <c r="Z83" s="303"/>
      <c r="AA83" s="200"/>
      <c r="AB83" s="200"/>
      <c r="AC83" s="200"/>
      <c r="AD83" s="200"/>
      <c r="AE83" s="200"/>
      <c r="AF83" s="200"/>
      <c r="AG83" s="200" t="s">
        <v>863</v>
      </c>
      <c r="AH83" s="220">
        <v>6</v>
      </c>
      <c r="AI83" s="173">
        <f>VLOOKUP(AH83,Chema!R:T,3,FALSE)</f>
        <v>1.6</v>
      </c>
      <c r="AJ83" s="200" t="str">
        <f>VLOOKUP(AH83,Chema!BL:BQ,6,FALSE)</f>
        <v>1.6*</v>
      </c>
      <c r="AK83" s="200" t="str">
        <f>VLOOKUP(AH83,'Matchblatt  FEUILLE DE MATCH'!AI:AJ,2,FALSE)</f>
        <v>S</v>
      </c>
      <c r="AL83" s="200">
        <f>VLOOKUP(AH83,Chema!R:U,4,FALSE)</f>
        <v>5</v>
      </c>
      <c r="AM83" s="215" t="str">
        <f>VLOOKUP(AH83,'Matchblatt  FEUILLE DE MATCH'!AI:AS,10,FALSE)</f>
        <v/>
      </c>
      <c r="AN83" s="215"/>
      <c r="AO83" s="215"/>
      <c r="AP83" s="215"/>
      <c r="AQ83" s="215"/>
      <c r="AR83" s="215"/>
      <c r="AS83" s="215"/>
      <c r="AT83" s="215"/>
      <c r="AU83" s="215"/>
      <c r="AV83" s="215"/>
      <c r="AW83" s="215"/>
      <c r="AX83" s="215"/>
      <c r="AY83" s="215"/>
      <c r="AZ83" s="215"/>
      <c r="BA83" s="215" t="str">
        <f>VLOOKUP(AH83,'Matchblatt  FEUILLE DE MATCH'!AI:AS,11,FALSE)</f>
        <v/>
      </c>
      <c r="BB83" s="200"/>
      <c r="BC83" s="200"/>
      <c r="BD83" s="200"/>
      <c r="BE83" s="200"/>
      <c r="BF83" s="200"/>
      <c r="BG83" s="200"/>
      <c r="BH83" s="200"/>
      <c r="BK83" s="196"/>
      <c r="BL83" s="196"/>
      <c r="BM83" s="196"/>
      <c r="BN83" s="196"/>
      <c r="BO83" s="196"/>
      <c r="BP83" s="196"/>
      <c r="BQ83" s="221" t="s">
        <v>843</v>
      </c>
      <c r="BR83" s="222"/>
      <c r="BS83" s="222"/>
      <c r="BT83" s="223"/>
      <c r="BU83" s="222" t="s">
        <v>843</v>
      </c>
      <c r="BV83" s="222"/>
      <c r="BW83" s="222"/>
      <c r="BX83" s="224"/>
      <c r="BY83" s="222"/>
      <c r="BZ83" s="222"/>
      <c r="CA83" s="222"/>
      <c r="CB83" s="222"/>
      <c r="CC83" s="222"/>
      <c r="CD83" s="222"/>
      <c r="CE83" s="222"/>
      <c r="CF83" s="222"/>
      <c r="CG83" s="224"/>
      <c r="CH83" s="222"/>
      <c r="CI83" s="222"/>
      <c r="CJ83" s="223"/>
      <c r="CK83" s="196"/>
      <c r="CL83" s="196"/>
      <c r="CM83" s="196"/>
      <c r="CN83" s="196"/>
      <c r="CO83" s="196"/>
      <c r="CP83" s="196"/>
      <c r="CQ83" s="196"/>
      <c r="CR83" s="196"/>
      <c r="CS83" s="196"/>
      <c r="CT83" s="196"/>
      <c r="CU83" s="196"/>
      <c r="CV83" s="196"/>
      <c r="CW83" s="196"/>
      <c r="CX83" s="196"/>
      <c r="CY83" s="196"/>
      <c r="CZ83" s="196"/>
      <c r="DA83" s="196"/>
      <c r="DB83" s="196"/>
      <c r="DC83" s="196"/>
      <c r="DD83" s="196"/>
      <c r="DE83" s="196"/>
      <c r="DF83" s="196"/>
      <c r="DG83" s="196"/>
      <c r="DH83" s="196"/>
      <c r="DI83" s="196"/>
      <c r="DJ83" s="196"/>
      <c r="DK83" s="196"/>
      <c r="DL83" s="196"/>
      <c r="DM83" s="196"/>
      <c r="DN83" s="196"/>
      <c r="DO83" s="196"/>
      <c r="DP83" s="196"/>
      <c r="DQ83" s="196"/>
      <c r="DR83" s="196"/>
      <c r="DS83" s="196"/>
      <c r="DT83" s="196"/>
      <c r="DU83" s="196"/>
      <c r="DV83" s="196"/>
      <c r="DW83" s="196"/>
      <c r="DX83" s="196"/>
      <c r="DY83" s="196"/>
      <c r="DZ83" s="196"/>
      <c r="EA83" s="196"/>
      <c r="EB83" s="196"/>
      <c r="EC83" s="196"/>
      <c r="ED83" s="196"/>
      <c r="EE83" s="196"/>
      <c r="EF83" s="196"/>
      <c r="EG83" s="196"/>
      <c r="EH83" s="196"/>
      <c r="EI83" s="196"/>
      <c r="EJ83" s="196"/>
      <c r="EK83" s="196"/>
      <c r="EL83" s="196"/>
      <c r="EM83" s="221" t="s">
        <v>7</v>
      </c>
      <c r="EN83" s="222"/>
      <c r="EO83" s="222"/>
      <c r="EP83" s="222"/>
      <c r="EQ83" s="222"/>
      <c r="ER83" s="222"/>
      <c r="ES83" s="222"/>
      <c r="ET83" s="224"/>
      <c r="EU83" s="222"/>
      <c r="EV83" s="222"/>
      <c r="EW83" s="222"/>
      <c r="EX83" s="222"/>
      <c r="EY83" s="222"/>
      <c r="EZ83" s="222"/>
      <c r="FA83" s="222"/>
      <c r="FB83" s="222"/>
      <c r="FC83" s="222"/>
      <c r="FD83" s="222"/>
      <c r="FE83" s="223"/>
      <c r="FF83" s="196"/>
      <c r="FG83" s="196"/>
      <c r="FH83" s="221" t="s">
        <v>12</v>
      </c>
      <c r="FI83" s="222"/>
      <c r="FJ83" s="222"/>
      <c r="FK83" s="222"/>
      <c r="FL83" s="222"/>
      <c r="FM83" s="222"/>
      <c r="FN83" s="222"/>
      <c r="FO83" s="224"/>
      <c r="FP83" s="222"/>
      <c r="FQ83" s="222"/>
      <c r="FR83" s="222"/>
      <c r="FS83" s="222"/>
      <c r="FT83" s="222"/>
      <c r="FU83" s="222"/>
      <c r="FV83" s="222"/>
      <c r="FW83" s="222"/>
      <c r="FX83" s="222"/>
      <c r="FY83" s="222"/>
      <c r="FZ83" s="223"/>
      <c r="GA83" s="196"/>
      <c r="GD83" s="339"/>
      <c r="GE83" s="339"/>
      <c r="GF83" s="339"/>
      <c r="GG83" s="339"/>
      <c r="GH83" s="339"/>
      <c r="GI83" s="339"/>
      <c r="GJ83" s="339"/>
      <c r="GK83" s="339"/>
      <c r="GL83" s="339"/>
      <c r="GM83" s="339"/>
      <c r="GN83" s="339"/>
      <c r="GO83" s="339"/>
      <c r="GP83" s="339"/>
      <c r="GQ83" s="339"/>
      <c r="GR83" s="339"/>
      <c r="GS83" s="339"/>
      <c r="GT83" s="339"/>
      <c r="GU83" s="339"/>
      <c r="GV83" s="339"/>
      <c r="GW83" s="339"/>
      <c r="GX83" s="339"/>
      <c r="GY83" s="339"/>
      <c r="GZ83" s="339"/>
      <c r="HA83" s="339"/>
      <c r="HB83" s="339"/>
      <c r="HC83" s="339"/>
      <c r="HD83" s="339"/>
      <c r="HE83" s="339"/>
      <c r="HF83" s="339"/>
      <c r="HG83" s="339"/>
      <c r="HH83" s="339"/>
      <c r="HI83" s="339"/>
      <c r="HJ83" s="339"/>
      <c r="HK83" s="339"/>
      <c r="HL83" s="339"/>
      <c r="HM83" s="339"/>
      <c r="HN83" s="339"/>
      <c r="HO83" s="339"/>
      <c r="HP83" s="339"/>
      <c r="HQ83" s="339"/>
      <c r="HR83" s="339"/>
    </row>
    <row r="84" spans="1:238" ht="14.1" customHeight="1">
      <c r="B84" s="225"/>
      <c r="C84" s="304"/>
      <c r="D84" s="304"/>
      <c r="E84" s="304"/>
      <c r="F84" s="304"/>
      <c r="G84" s="304"/>
      <c r="H84" s="304"/>
      <c r="I84" s="304"/>
      <c r="J84" s="304"/>
      <c r="K84" s="166"/>
      <c r="L84" s="166"/>
      <c r="M84" s="166"/>
      <c r="N84" s="304"/>
      <c r="O84" s="304"/>
      <c r="P84" s="166"/>
      <c r="Q84" s="166"/>
      <c r="R84" s="304"/>
      <c r="S84" s="304"/>
      <c r="T84" s="304"/>
      <c r="U84" s="304"/>
      <c r="V84" s="304"/>
      <c r="W84" s="304"/>
      <c r="X84" s="166"/>
      <c r="Y84" s="166"/>
      <c r="Z84" s="305"/>
      <c r="AA84" s="63"/>
      <c r="AB84" s="63"/>
      <c r="AC84" s="63"/>
      <c r="AD84" s="63"/>
      <c r="AE84" s="63"/>
      <c r="AF84" s="63"/>
      <c r="AJ84" s="173" t="str">
        <f>VLOOKUP(AH83,Chema!BL:BR,7,FALSE)</f>
        <v/>
      </c>
      <c r="AL84" s="200"/>
      <c r="AM84" s="200" t="str">
        <f>IF(AK83="D",VLOOKUP(AJ84,'Matchblatt  FEUILLE DE MATCH'!AK:AS,8,FALSE),"")</f>
        <v/>
      </c>
      <c r="AN84" s="200"/>
      <c r="AO84" s="200"/>
      <c r="AP84" s="200"/>
      <c r="AQ84" s="200"/>
      <c r="AR84" s="200"/>
      <c r="AS84" s="200"/>
      <c r="AT84" s="200"/>
      <c r="AU84" s="200"/>
      <c r="AV84" s="200"/>
      <c r="AW84" s="200"/>
      <c r="AX84" s="200"/>
      <c r="AY84" s="200"/>
      <c r="AZ84" s="200"/>
      <c r="BA84" s="200" t="str">
        <f>IF(AK83="D",VLOOKUP(AJ84,'Matchblatt  FEUILLE DE MATCH'!AK:AS,9,FALSE),"")</f>
        <v/>
      </c>
      <c r="BB84" s="63"/>
      <c r="BC84" s="63"/>
      <c r="BD84" s="63"/>
      <c r="BE84" s="63"/>
      <c r="BF84" s="63"/>
      <c r="BG84" s="63"/>
      <c r="BH84" s="63"/>
      <c r="BK84" s="166" t="s">
        <v>7</v>
      </c>
      <c r="BL84" s="166" t="s">
        <v>12</v>
      </c>
      <c r="BM84" s="166"/>
      <c r="BN84" s="166" t="s">
        <v>7</v>
      </c>
      <c r="BO84" s="166" t="s">
        <v>12</v>
      </c>
      <c r="BP84" s="166"/>
      <c r="BQ84" s="226" t="s">
        <v>894</v>
      </c>
      <c r="BR84" s="227" t="s">
        <v>895</v>
      </c>
      <c r="BS84" s="228" t="s">
        <v>896</v>
      </c>
      <c r="BT84" s="229"/>
      <c r="BU84" s="226" t="s">
        <v>7</v>
      </c>
      <c r="BV84" s="166"/>
      <c r="BW84" s="166"/>
      <c r="BX84" s="230"/>
      <c r="BY84" s="166"/>
      <c r="BZ84" s="166"/>
      <c r="CA84" s="227"/>
      <c r="CB84" s="166"/>
      <c r="CC84" s="166"/>
      <c r="CD84" s="226" t="s">
        <v>12</v>
      </c>
      <c r="CE84" s="166"/>
      <c r="CF84" s="166"/>
      <c r="CG84" s="230"/>
      <c r="CH84" s="166"/>
      <c r="CI84" s="166"/>
      <c r="CJ84" s="227"/>
      <c r="CK84" s="166"/>
      <c r="CL84" s="166" t="s">
        <v>897</v>
      </c>
      <c r="CM84" s="166"/>
      <c r="CN84" s="166"/>
      <c r="CO84" s="166"/>
      <c r="CP84" s="166"/>
      <c r="CQ84" s="166"/>
      <c r="CR84" s="166"/>
      <c r="CS84" s="166"/>
      <c r="CT84" s="166"/>
      <c r="CU84" s="166" t="s">
        <v>843</v>
      </c>
      <c r="CV84" s="166"/>
      <c r="CW84" s="166" t="s">
        <v>843</v>
      </c>
      <c r="CX84" s="166"/>
      <c r="CY84" s="166"/>
      <c r="CZ84" s="166"/>
      <c r="DA84" s="166"/>
      <c r="DB84" s="166"/>
      <c r="DC84" s="166"/>
      <c r="DD84" s="166" t="s">
        <v>894</v>
      </c>
      <c r="DE84" s="166" t="s">
        <v>895</v>
      </c>
      <c r="DF84" s="166"/>
      <c r="DG84" s="166" t="s">
        <v>927</v>
      </c>
      <c r="DH84" s="166"/>
      <c r="DI84" s="166"/>
      <c r="DJ84" s="166"/>
      <c r="DK84" s="166"/>
      <c r="DL84" s="166"/>
      <c r="DM84" s="166"/>
      <c r="DN84" s="166" t="s">
        <v>928</v>
      </c>
      <c r="DO84" s="166" t="s">
        <v>929</v>
      </c>
      <c r="DP84" s="166"/>
      <c r="DQ84" s="166"/>
      <c r="DR84" s="166"/>
      <c r="DS84" s="166"/>
      <c r="DT84" s="166"/>
      <c r="DU84" s="166"/>
      <c r="DV84" s="166" t="s">
        <v>894</v>
      </c>
      <c r="DW84" s="166" t="s">
        <v>895</v>
      </c>
      <c r="DX84" s="166"/>
      <c r="DY84" s="166"/>
      <c r="DZ84" s="166"/>
      <c r="EA84" s="166"/>
      <c r="EB84" s="166"/>
      <c r="EC84" s="166"/>
      <c r="ED84" s="166" t="s">
        <v>894</v>
      </c>
      <c r="EE84" s="166" t="s">
        <v>895</v>
      </c>
      <c r="EF84" s="166"/>
      <c r="EG84" s="166"/>
      <c r="EH84" s="166"/>
      <c r="EI84" s="166"/>
      <c r="EJ84" s="166"/>
      <c r="EK84" s="166"/>
      <c r="EL84" s="166"/>
      <c r="EM84" s="166"/>
      <c r="EN84" s="166"/>
      <c r="EO84" s="166"/>
      <c r="EP84" s="166"/>
      <c r="EQ84" s="166"/>
      <c r="ER84" s="166"/>
      <c r="ES84" s="166"/>
      <c r="ET84" s="230"/>
      <c r="EU84" s="166"/>
      <c r="EV84" s="166"/>
      <c r="EW84" s="166"/>
      <c r="EX84" s="166"/>
      <c r="EY84" s="166"/>
      <c r="EZ84" s="166"/>
      <c r="FA84" s="166"/>
      <c r="FB84" s="166"/>
      <c r="FC84" s="166"/>
      <c r="FD84" s="166"/>
      <c r="FE84" s="166"/>
      <c r="FF84" s="166"/>
      <c r="FG84" s="166"/>
      <c r="FH84" s="166"/>
      <c r="FI84" s="166"/>
      <c r="FJ84" s="166"/>
      <c r="FK84" s="166"/>
      <c r="FL84" s="166"/>
      <c r="FM84" s="166"/>
      <c r="FN84" s="166"/>
      <c r="FO84" s="230"/>
      <c r="FP84" s="166"/>
      <c r="FQ84" s="166"/>
      <c r="FR84" s="166"/>
      <c r="FS84" s="166"/>
      <c r="FT84" s="166"/>
      <c r="FU84" s="166"/>
      <c r="FV84" s="166"/>
      <c r="FW84" s="166"/>
      <c r="FX84" s="166"/>
      <c r="FY84" s="166"/>
      <c r="FZ84" s="166"/>
      <c r="GA84" s="166"/>
      <c r="GD84" s="339"/>
      <c r="GE84" s="339"/>
      <c r="GF84" s="339"/>
      <c r="GG84" s="339"/>
      <c r="GH84" s="339"/>
      <c r="GI84" s="339"/>
      <c r="GJ84" s="339"/>
      <c r="GK84" s="339"/>
      <c r="GL84" s="339"/>
      <c r="GM84" s="339"/>
      <c r="GN84" s="339"/>
      <c r="GO84" s="339"/>
      <c r="GP84" s="339"/>
      <c r="GQ84" s="339"/>
      <c r="GR84" s="339"/>
      <c r="GS84" s="339"/>
      <c r="GT84" s="339"/>
      <c r="GU84" s="339"/>
      <c r="GV84" s="339"/>
      <c r="GW84" s="339"/>
      <c r="GX84" s="339"/>
      <c r="GY84" s="339"/>
      <c r="GZ84" s="339"/>
      <c r="HA84" s="339"/>
      <c r="HB84" s="339"/>
      <c r="HC84" s="339"/>
      <c r="HD84" s="339"/>
      <c r="HE84" s="339"/>
      <c r="HF84" s="339"/>
      <c r="HG84" s="339"/>
      <c r="HH84" s="339"/>
      <c r="HI84" s="339"/>
      <c r="HJ84" s="339"/>
      <c r="HK84" s="339"/>
      <c r="HL84" s="339"/>
      <c r="HM84" s="339"/>
      <c r="HN84" s="339"/>
      <c r="HO84" s="339"/>
      <c r="HP84" s="339"/>
      <c r="HQ84" s="339"/>
      <c r="HR84" s="339"/>
    </row>
    <row r="85" spans="1:238" s="234" customFormat="1" ht="20.100000000000001" customHeight="1">
      <c r="A85" s="235"/>
      <c r="B85" s="231"/>
      <c r="C85" s="232" t="str">
        <f>REPT(Sprache!$K$12,1)</f>
        <v>SPIEL</v>
      </c>
      <c r="D85" s="233" t="s">
        <v>869</v>
      </c>
      <c r="E85" s="233" t="str">
        <f>REPT(Sprache!$K$62,1)</f>
        <v>Punkte</v>
      </c>
      <c r="F85" s="233" t="str">
        <f>REPT(Sprache!$K$61,1)</f>
        <v>Rest</v>
      </c>
      <c r="G85" s="233" t="s">
        <v>898</v>
      </c>
      <c r="H85" s="233" t="s">
        <v>848</v>
      </c>
      <c r="I85" s="233">
        <v>180</v>
      </c>
      <c r="J85" s="233" t="str">
        <f>REPT(Sprache!$K$63,1)</f>
        <v>Fehler</v>
      </c>
      <c r="L85" s="306" t="s">
        <v>923</v>
      </c>
      <c r="M85" s="307"/>
      <c r="P85" s="306" t="s">
        <v>923</v>
      </c>
      <c r="R85" s="232" t="str">
        <f>REPT(Sprache!$K$12,1)</f>
        <v>SPIEL</v>
      </c>
      <c r="S85" s="233" t="s">
        <v>869</v>
      </c>
      <c r="T85" s="233" t="str">
        <f>REPT(Sprache!$K$62,1)</f>
        <v>Punkte</v>
      </c>
      <c r="U85" s="233" t="str">
        <f>REPT(Sprache!$K$61,1)</f>
        <v>Rest</v>
      </c>
      <c r="V85" s="233" t="s">
        <v>898</v>
      </c>
      <c r="W85" s="233" t="s">
        <v>848</v>
      </c>
      <c r="X85" s="233">
        <v>180</v>
      </c>
      <c r="Y85" s="233" t="str">
        <f>REPT(Sprache!$K$63,1)</f>
        <v>Fehler</v>
      </c>
      <c r="Z85" s="308"/>
      <c r="AD85" s="235"/>
      <c r="AE85" s="236" t="s">
        <v>966</v>
      </c>
      <c r="AF85" s="236" t="s">
        <v>967</v>
      </c>
      <c r="AG85" s="236" t="s">
        <v>965</v>
      </c>
      <c r="AH85" s="237" t="str">
        <f>LEFT($BM$6,10)</f>
        <v/>
      </c>
      <c r="AI85" s="237" t="str">
        <f>LEFT($BN$6,10)</f>
        <v/>
      </c>
      <c r="AJ85" s="237" t="s">
        <v>898</v>
      </c>
      <c r="AK85" s="237" t="s">
        <v>848</v>
      </c>
      <c r="AL85" s="237">
        <v>180</v>
      </c>
      <c r="AM85" s="237" t="str">
        <f>LEFT($BL$6,50)</f>
        <v/>
      </c>
      <c r="AN85" s="235"/>
      <c r="AO85" s="235"/>
      <c r="AP85" s="235"/>
      <c r="AQ85" s="235"/>
      <c r="AR85" s="235"/>
      <c r="AS85" s="235"/>
      <c r="AT85" s="235"/>
      <c r="AU85" s="235"/>
      <c r="AV85" s="237" t="str">
        <f>LEFT($BM$6,10)</f>
        <v/>
      </c>
      <c r="AW85" s="237" t="str">
        <f>LEFT($BN$6,10)</f>
        <v/>
      </c>
      <c r="AX85" s="237" t="s">
        <v>898</v>
      </c>
      <c r="AY85" s="237" t="s">
        <v>848</v>
      </c>
      <c r="AZ85" s="237">
        <v>180</v>
      </c>
      <c r="BA85" s="237" t="str">
        <f>LEFT($BL$6,50)</f>
        <v/>
      </c>
      <c r="BI85" s="238"/>
      <c r="BJ85" s="238"/>
      <c r="BK85" s="238" t="s">
        <v>165</v>
      </c>
      <c r="BL85" s="238" t="s">
        <v>165</v>
      </c>
      <c r="BM85" s="239" t="s">
        <v>165</v>
      </c>
      <c r="BN85" s="239" t="s">
        <v>899</v>
      </c>
      <c r="BO85" s="239" t="s">
        <v>899</v>
      </c>
      <c r="BP85" s="239" t="s">
        <v>900</v>
      </c>
      <c r="BQ85" s="240" t="s">
        <v>901</v>
      </c>
      <c r="BR85" s="241"/>
      <c r="BS85" s="242" t="s">
        <v>926</v>
      </c>
      <c r="BT85" s="243"/>
      <c r="BU85" s="242" t="s">
        <v>902</v>
      </c>
      <c r="BV85" s="238"/>
      <c r="BW85" s="238"/>
      <c r="BX85" s="244"/>
      <c r="BY85" s="238"/>
      <c r="BZ85" s="238" t="s">
        <v>903</v>
      </c>
      <c r="CA85" s="243" t="s">
        <v>904</v>
      </c>
      <c r="CB85" s="238"/>
      <c r="CC85" s="238"/>
      <c r="CD85" s="242" t="s">
        <v>902</v>
      </c>
      <c r="CE85" s="238"/>
      <c r="CF85" s="238"/>
      <c r="CG85" s="244"/>
      <c r="CH85" s="238"/>
      <c r="CI85" s="238" t="s">
        <v>903</v>
      </c>
      <c r="CJ85" s="243" t="s">
        <v>904</v>
      </c>
      <c r="CK85" s="238"/>
      <c r="CL85" s="245" t="s">
        <v>905</v>
      </c>
      <c r="CM85" s="245" t="s">
        <v>906</v>
      </c>
      <c r="CN85" s="245" t="s">
        <v>907</v>
      </c>
      <c r="CO85" s="245" t="s">
        <v>908</v>
      </c>
      <c r="CP85" s="245" t="s">
        <v>909</v>
      </c>
      <c r="CQ85" s="246" t="s">
        <v>910</v>
      </c>
      <c r="CR85" s="247"/>
      <c r="CS85" s="246" t="s">
        <v>911</v>
      </c>
      <c r="CT85" s="248"/>
      <c r="CU85" s="246" t="s">
        <v>912</v>
      </c>
      <c r="CV85" s="248"/>
      <c r="CW85" s="246" t="s">
        <v>913</v>
      </c>
      <c r="CX85" s="248"/>
      <c r="CY85" s="238"/>
      <c r="CZ85" s="238"/>
      <c r="DA85" s="238"/>
      <c r="DB85" s="238"/>
      <c r="DC85" s="249" t="s">
        <v>165</v>
      </c>
      <c r="DD85" s="249" t="s">
        <v>165</v>
      </c>
      <c r="DE85" s="249" t="s">
        <v>165</v>
      </c>
      <c r="DF85" s="238"/>
      <c r="DG85" s="238" t="s">
        <v>914</v>
      </c>
      <c r="DH85" s="238" t="s">
        <v>930</v>
      </c>
      <c r="DI85" s="238" t="s">
        <v>931</v>
      </c>
      <c r="DK85" s="238" t="s">
        <v>932</v>
      </c>
      <c r="DL85" s="238" t="s">
        <v>933</v>
      </c>
      <c r="DM85" s="238" t="s">
        <v>869</v>
      </c>
      <c r="DN85" s="230" t="s">
        <v>915</v>
      </c>
      <c r="DO85" s="250" t="s">
        <v>915</v>
      </c>
      <c r="DP85" s="322" t="s">
        <v>934</v>
      </c>
      <c r="DQ85" s="238"/>
      <c r="DR85" s="166" t="s">
        <v>894</v>
      </c>
      <c r="DS85" s="166" t="s">
        <v>895</v>
      </c>
      <c r="DT85" s="166" t="s">
        <v>935</v>
      </c>
      <c r="DU85" s="166" t="s">
        <v>936</v>
      </c>
      <c r="DV85" s="251" t="s">
        <v>165</v>
      </c>
      <c r="DW85" s="251" t="s">
        <v>165</v>
      </c>
      <c r="DX85" s="238" t="s">
        <v>916</v>
      </c>
      <c r="DY85" s="238"/>
      <c r="DZ85" s="238"/>
      <c r="EA85" s="238"/>
      <c r="EB85" s="238"/>
      <c r="EC85" s="238"/>
      <c r="ED85" s="251" t="s">
        <v>165</v>
      </c>
      <c r="EE85" s="251" t="s">
        <v>165</v>
      </c>
      <c r="EF85" s="166"/>
      <c r="EG85" s="238"/>
      <c r="EH85" s="238"/>
      <c r="EI85" s="238"/>
      <c r="EJ85" s="238"/>
      <c r="EK85" s="238"/>
      <c r="EL85" s="238"/>
      <c r="EM85" s="238"/>
      <c r="EN85" s="238"/>
      <c r="EO85" s="246" t="s">
        <v>917</v>
      </c>
      <c r="EP85" s="247"/>
      <c r="EQ85" s="247"/>
      <c r="ER85" s="247"/>
      <c r="ES85" s="247"/>
      <c r="ET85" s="252"/>
      <c r="EU85" s="248"/>
      <c r="EV85" s="246" t="s">
        <v>918</v>
      </c>
      <c r="EW85" s="247"/>
      <c r="EX85" s="248"/>
      <c r="EY85" s="251" t="s">
        <v>165</v>
      </c>
      <c r="EZ85" s="246" t="s">
        <v>919</v>
      </c>
      <c r="FA85" s="247"/>
      <c r="FB85" s="248"/>
      <c r="FC85" s="246" t="s">
        <v>920</v>
      </c>
      <c r="FD85" s="247"/>
      <c r="FE85" s="248"/>
      <c r="FF85" s="238"/>
      <c r="FG85" s="238"/>
      <c r="FH85" s="238"/>
      <c r="FI85" s="238"/>
      <c r="FJ85" s="246" t="s">
        <v>917</v>
      </c>
      <c r="FK85" s="247"/>
      <c r="FL85" s="247"/>
      <c r="FM85" s="247"/>
      <c r="FN85" s="247"/>
      <c r="FO85" s="252"/>
      <c r="FP85" s="248"/>
      <c r="FQ85" s="246" t="s">
        <v>918</v>
      </c>
      <c r="FR85" s="247"/>
      <c r="FS85" s="248"/>
      <c r="FT85" s="251" t="s">
        <v>165</v>
      </c>
      <c r="FU85" s="246" t="s">
        <v>919</v>
      </c>
      <c r="FV85" s="247"/>
      <c r="FW85" s="248"/>
      <c r="FX85" s="246" t="s">
        <v>920</v>
      </c>
      <c r="FY85" s="247"/>
      <c r="FZ85" s="248"/>
      <c r="GD85" s="340"/>
      <c r="GE85" s="340"/>
      <c r="GF85" s="341" t="s">
        <v>968</v>
      </c>
      <c r="GG85" s="340"/>
      <c r="GH85" s="340"/>
      <c r="GI85" s="340"/>
      <c r="GJ85" s="341" t="s">
        <v>972</v>
      </c>
      <c r="GK85" s="340"/>
      <c r="GL85" s="340"/>
      <c r="GM85" s="340"/>
      <c r="GN85" s="341" t="s">
        <v>971</v>
      </c>
      <c r="GO85" s="340"/>
      <c r="GP85" s="340"/>
      <c r="GQ85" s="340"/>
      <c r="GR85" s="341" t="s">
        <v>970</v>
      </c>
      <c r="GS85" s="340"/>
      <c r="GT85" s="340"/>
      <c r="GU85" s="340"/>
      <c r="GV85" s="341" t="s">
        <v>969</v>
      </c>
      <c r="GW85" s="340"/>
      <c r="GX85" s="340"/>
      <c r="GY85" s="340"/>
      <c r="GZ85" s="342" t="s">
        <v>973</v>
      </c>
      <c r="HA85" s="340"/>
      <c r="HB85" s="340"/>
      <c r="HC85" s="340"/>
      <c r="HD85" s="342" t="s">
        <v>974</v>
      </c>
      <c r="HE85" s="340"/>
      <c r="HF85" s="340"/>
      <c r="HG85" s="340"/>
      <c r="HH85" s="340"/>
      <c r="HI85" s="340"/>
      <c r="HJ85" s="340"/>
      <c r="HK85" s="340"/>
      <c r="HL85" s="340"/>
      <c r="HM85" s="341"/>
      <c r="HN85" s="341"/>
      <c r="HO85" s="341"/>
      <c r="HP85" s="341"/>
      <c r="HQ85" s="341"/>
      <c r="HR85" s="341"/>
      <c r="HS85" s="238"/>
      <c r="HT85" s="238"/>
      <c r="HU85" s="238"/>
      <c r="HV85" s="238"/>
      <c r="HX85" s="238"/>
      <c r="HY85" s="238"/>
      <c r="HZ85" s="238"/>
      <c r="ID85" s="238"/>
    </row>
    <row r="86" spans="1:238" s="234" customFormat="1" ht="20.100000000000001" customHeight="1">
      <c r="A86" s="235"/>
      <c r="B86" s="231">
        <f>COUNT(AJ87,AJ86)</f>
        <v>0</v>
      </c>
      <c r="C86" s="325" t="str">
        <f>CONCATENATE(BG86,BE86)</f>
        <v>HS</v>
      </c>
      <c r="D86" s="253" t="str">
        <f>REPT(DN86,1)</f>
        <v>1</v>
      </c>
      <c r="E86" s="254" t="str">
        <f>REPT(AH86,1)</f>
        <v/>
      </c>
      <c r="F86" s="168"/>
      <c r="G86" s="168"/>
      <c r="H86" s="168"/>
      <c r="I86" s="169"/>
      <c r="J86" s="255" t="str">
        <f>REPT(AM86,1)</f>
        <v/>
      </c>
      <c r="L86" s="309">
        <f>SUM(BS95)</f>
        <v>0</v>
      </c>
      <c r="M86" s="238"/>
      <c r="N86" s="255" t="str">
        <f>REPT(AP86,1)</f>
        <v/>
      </c>
      <c r="P86" s="309">
        <f>SUM(CF95)</f>
        <v>0</v>
      </c>
      <c r="Q86" s="310"/>
      <c r="R86" s="323" t="str">
        <f>CONCATENATE(BH86,BE86)</f>
        <v>GS</v>
      </c>
      <c r="S86" s="253" t="str">
        <f>REPT(DO86,1)</f>
        <v>1</v>
      </c>
      <c r="T86" s="254" t="str">
        <f>REPT(AV86,1)</f>
        <v/>
      </c>
      <c r="U86" s="168"/>
      <c r="V86" s="168"/>
      <c r="W86" s="168"/>
      <c r="X86" s="169"/>
      <c r="Y86" s="255" t="str">
        <f>REPT(BA86,1)</f>
        <v/>
      </c>
      <c r="Z86" s="308"/>
      <c r="AB86" s="234">
        <f>IF(AY86="",0,IF(AY86&lt;2,1,""))</f>
        <v>0</v>
      </c>
      <c r="AC86" s="238">
        <f>IF(AD86=1,1,IF(AD86=3,1,IF(AD86=2,0,IF(AD86=0,0,0))))</f>
        <v>0</v>
      </c>
      <c r="AD86" s="256">
        <f>SUM(AE86:AG86)</f>
        <v>0</v>
      </c>
      <c r="AE86" s="256">
        <f t="shared" ref="AE86:AE90" si="176">IF(F86="",0,1)</f>
        <v>0</v>
      </c>
      <c r="AF86" s="256">
        <f t="shared" ref="AF86:AF90" si="177">IF(G86="",0,1)</f>
        <v>0</v>
      </c>
      <c r="AG86" s="256">
        <f>IF(H86="",0,1)</f>
        <v>0</v>
      </c>
      <c r="AH86" s="257" t="str">
        <f>IF(AK86="",IF(AI86="","",IF(AI86="",501,501-AI86)),501)</f>
        <v/>
      </c>
      <c r="AI86" s="256" t="str">
        <f>IF(F86&gt;1,F86,IF(F86=0,"",IF(F86="","","")))</f>
        <v/>
      </c>
      <c r="AJ86" s="256" t="str">
        <f>IF(G86&gt;8,G86,IF(G86="","",""))</f>
        <v/>
      </c>
      <c r="AK86" s="256" t="str">
        <f>IF(H86&gt;1,H86,IF(H86="","",""))</f>
        <v/>
      </c>
      <c r="AL86" s="256" t="str">
        <f>IF(I86&gt;0,I86,IF(I86="","",""))</f>
        <v/>
      </c>
      <c r="AM86" s="258" t="str">
        <f>IF(BK86=0,"","X")</f>
        <v/>
      </c>
      <c r="AN86" s="237"/>
      <c r="AO86" s="237"/>
      <c r="AP86" s="258" t="str">
        <f>IF(BM86=0,"","X")</f>
        <v/>
      </c>
      <c r="AQ86" s="236">
        <f>IF(AR86=1,1,IF(AR86=3,1,IF(AR86=2,0,IF(AR86=0,0,0))))</f>
        <v>0</v>
      </c>
      <c r="AR86" s="256">
        <f>SUM(AS86:AU86)</f>
        <v>0</v>
      </c>
      <c r="AS86" s="256">
        <f t="shared" ref="AS86:AS90" si="178">IF(U86="",0,1)</f>
        <v>0</v>
      </c>
      <c r="AT86" s="256">
        <f t="shared" ref="AT86:AT90" si="179">IF(V86="",0,1)</f>
        <v>0</v>
      </c>
      <c r="AU86" s="256">
        <f>IF(W86="",0,1)</f>
        <v>0</v>
      </c>
      <c r="AV86" s="257" t="str">
        <f>IF(AY86="",IF(AW86="","",IF(AW86="",501,501-AW86)),501)</f>
        <v/>
      </c>
      <c r="AW86" s="256" t="str">
        <f>IF(U86&gt;1,U86,IF(U86=0,"",IF(U86="","","")))</f>
        <v/>
      </c>
      <c r="AX86" s="256" t="str">
        <f>IF(V86&gt;8,V86,IF(V86="","",""))</f>
        <v/>
      </c>
      <c r="AY86" s="256" t="str">
        <f>IF(W86&gt;1,W86,IF(W86="","",""))</f>
        <v/>
      </c>
      <c r="AZ86" s="256" t="str">
        <f>IF(X86&gt;0,X86,IF(X86="","",""))</f>
        <v/>
      </c>
      <c r="BA86" s="258" t="str">
        <f>IF(BL86=0,"","X")</f>
        <v/>
      </c>
      <c r="BF86" s="238" t="s">
        <v>894</v>
      </c>
      <c r="BG86" s="238" t="str">
        <f>CONCATENATE(BF86,AK83)</f>
        <v>HS</v>
      </c>
      <c r="BH86" s="238" t="str">
        <f>CONCATENATE(BI86,AK83)</f>
        <v>GS</v>
      </c>
      <c r="BI86" s="238" t="s">
        <v>895</v>
      </c>
      <c r="BJ86" s="238"/>
      <c r="BK86" s="251">
        <f>SUM(DD86,DV86,EY86,ED86,FF86,BQ86,BS86,AC86)</f>
        <v>0</v>
      </c>
      <c r="BL86" s="251">
        <f>SUM(DE86,DW86,EE86,FT86,GA86,BR86,BT86,AQ86)</f>
        <v>0</v>
      </c>
      <c r="BM86" s="259">
        <f>SUM(DC86,BK86:BL86,AC86,AQ86)</f>
        <v>0</v>
      </c>
      <c r="BN86" s="239">
        <f>COUNT(AK86)</f>
        <v>0</v>
      </c>
      <c r="BO86" s="239">
        <f>COUNT(AY86)</f>
        <v>0</v>
      </c>
      <c r="BP86" s="239">
        <f>IF(BN88=0,0,1)</f>
        <v>0</v>
      </c>
      <c r="BQ86" s="260">
        <f>IF(AL86="",0,IF(AL86&gt;2,1,0))</f>
        <v>0</v>
      </c>
      <c r="BR86" s="261">
        <f>IF(AZ86="",0,IF(AZ86&gt;2,1,0))</f>
        <v>0</v>
      </c>
      <c r="BS86" s="262">
        <f>IF(AJ86=9,IF(AK86&lt;141,1,0),0)</f>
        <v>0</v>
      </c>
      <c r="BT86" s="263">
        <f>IF(AX86=9,IF(AY86&lt;141,1,0),0)</f>
        <v>0</v>
      </c>
      <c r="BU86" s="242">
        <f>IF(H86,G86,0)</f>
        <v>0</v>
      </c>
      <c r="BV86" s="238">
        <f>IF(BU86&gt;0,AJ86/3,0)</f>
        <v>0</v>
      </c>
      <c r="BW86" s="238">
        <f>ROUNDUP(BV86,0)</f>
        <v>0</v>
      </c>
      <c r="BX86" s="244">
        <f>IF(MOD(BW86,2)=0,BW86,BW86+1)</f>
        <v>0</v>
      </c>
      <c r="BY86" s="238">
        <f>IF(AJ86&lt;9,"",SUM(BX86-BW86))</f>
        <v>0</v>
      </c>
      <c r="BZ86" s="238">
        <f>IF(BY86=1,AK86,0)</f>
        <v>0</v>
      </c>
      <c r="CA86" s="243" t="str">
        <f>IF(BY86=0,AK86,0)</f>
        <v/>
      </c>
      <c r="CB86" s="238"/>
      <c r="CC86" s="238"/>
      <c r="CD86" s="242">
        <f>IF(W86,V86,0)</f>
        <v>0</v>
      </c>
      <c r="CE86" s="238">
        <f>IF(CD86&gt;0,AX86/3,0)</f>
        <v>0</v>
      </c>
      <c r="CF86" s="238">
        <f>ROUNDUP(CE86,0)</f>
        <v>0</v>
      </c>
      <c r="CG86" s="244">
        <f>IF(MOD(CF86,2)=0,CF86,CF86+1)</f>
        <v>0</v>
      </c>
      <c r="CH86" s="238">
        <f>IF(AX86&lt;9,"",SUM(CG86-CF86))</f>
        <v>0</v>
      </c>
      <c r="CI86" s="238">
        <f>IF(CH86=1,AY86,0)</f>
        <v>0</v>
      </c>
      <c r="CJ86" s="243" t="str">
        <f>IF(CH86=0,AY86,0)</f>
        <v/>
      </c>
      <c r="CK86" s="238"/>
      <c r="CL86" s="245">
        <f>IF(COUNT(F86,H86)=1,0,1)</f>
        <v>1</v>
      </c>
      <c r="CM86" s="245">
        <f>IF(COUNT(F86,U86)=1,0,1)</f>
        <v>1</v>
      </c>
      <c r="CN86" s="245">
        <f>IF(COUNT(H86,W86)=1,0,1)</f>
        <v>1</v>
      </c>
      <c r="CO86" s="245">
        <f>IF(COUNT(G86,V86)=2,0,1)</f>
        <v>1</v>
      </c>
      <c r="CP86" s="245">
        <f>IF(COUNT(U86,W86)=1,0,1)</f>
        <v>1</v>
      </c>
      <c r="CQ86" s="245">
        <f>IF(SUM(G86-V86)&gt;3,1,0)</f>
        <v>0</v>
      </c>
      <c r="CR86" s="245">
        <f>IF(SUM(G86-V86)&lt;-3,1,0)</f>
        <v>0</v>
      </c>
      <c r="CS86" s="264">
        <f>IF(AJ86=9,IF(AH86&lt;141,1,0),IF(AH86="",0,IF(AH86&gt;1,0,1)))</f>
        <v>0</v>
      </c>
      <c r="CT86" s="264">
        <f>IF(AX86=9,IF(AV86&lt;141,1,0),IF(AV86="",0,IF(AV86&gt;1,0,1)))</f>
        <v>0</v>
      </c>
      <c r="CU86" s="264">
        <f>IF(AI86="",0,IF(AI86&lt;502,0,1))</f>
        <v>0</v>
      </c>
      <c r="CV86" s="264">
        <f>IF(AW86="",0,IF(AW86&lt;502,0,1))</f>
        <v>0</v>
      </c>
      <c r="CW86" s="264">
        <f>IF(AI86="",IF(AJ86&lt;9,1,0),IF(AJ86&lt;9,1,0))</f>
        <v>0</v>
      </c>
      <c r="CX86" s="264">
        <f>IF(AW86="",IF(AX86&lt;9,1,0),IF(AX86&lt;9,1,0))</f>
        <v>0</v>
      </c>
      <c r="CY86" s="374"/>
      <c r="CZ86" s="374"/>
      <c r="DA86" s="374"/>
      <c r="DB86" s="374"/>
      <c r="DC86" s="265">
        <f>IF(AJ86="",0,SUM(CL86:CX86))</f>
        <v>0</v>
      </c>
      <c r="DD86" s="265">
        <f>IF(AJ86="",0,SUM(CL86,CS86,CU86,CW86))</f>
        <v>0</v>
      </c>
      <c r="DE86" s="265">
        <f>IF(AJ86="",0,SUM(CP86,CT86,CV86,CX86))</f>
        <v>0</v>
      </c>
      <c r="DF86" s="238"/>
      <c r="DG86" s="248" t="str">
        <f>IF(G86="","",SUM(G86-V86))</f>
        <v/>
      </c>
      <c r="DH86" s="245">
        <f>IF(F86="",0,1)</f>
        <v>0</v>
      </c>
      <c r="DI86" s="245" t="str">
        <f>IF(DG86=0,DH86,DG86)</f>
        <v/>
      </c>
      <c r="DJ86" s="245" t="e">
        <f>SIGN(DI86)</f>
        <v>#VALUE!</v>
      </c>
      <c r="DK86" s="245" t="str">
        <f>IF(G86="","",IF(DJ86=1,"*",""))</f>
        <v/>
      </c>
      <c r="DL86" s="245" t="str">
        <f>IF(G86="","",IF(DJ86=-1,"*",IF(DJ86=0,"*","")))</f>
        <v/>
      </c>
      <c r="DM86" s="245">
        <v>1</v>
      </c>
      <c r="DN86" s="245" t="str">
        <f>CONCATENATE(DM86,DK86)</f>
        <v>1</v>
      </c>
      <c r="DO86" s="245" t="str">
        <f>CONCATENATE(DM86,DL86)</f>
        <v>1</v>
      </c>
      <c r="DP86" s="245">
        <f>IF(DK86="*",1,0)</f>
        <v>0</v>
      </c>
      <c r="DQ86" s="245">
        <f>IF(DL86="*",1,0)</f>
        <v>0</v>
      </c>
      <c r="DR86" s="245"/>
      <c r="DS86" s="245"/>
      <c r="DT86" s="245"/>
      <c r="DU86" s="245"/>
      <c r="DV86" s="266"/>
      <c r="DW86" s="266"/>
      <c r="DX86" s="238">
        <f>IF(AK86="",0,1)</f>
        <v>0</v>
      </c>
      <c r="DY86" s="238">
        <f>IF(DG86=-3,1,0)</f>
        <v>0</v>
      </c>
      <c r="DZ86" s="238">
        <f>SUM(DX86:DY86)</f>
        <v>0</v>
      </c>
      <c r="EA86" s="238">
        <f>IF(AK86="",1,0)</f>
        <v>1</v>
      </c>
      <c r="EB86" s="238">
        <f>IF(DG86=3,1,0)</f>
        <v>0</v>
      </c>
      <c r="EC86" s="238">
        <f>SUM(EA86:EB86)</f>
        <v>1</v>
      </c>
      <c r="ED86" s="267">
        <f>IF(EC86=2,1,0)</f>
        <v>0</v>
      </c>
      <c r="EE86" s="267">
        <f>IF(DZ86=2,1,0)</f>
        <v>0</v>
      </c>
      <c r="EG86" s="166"/>
      <c r="EH86" s="238"/>
      <c r="EI86" s="238"/>
      <c r="EJ86" s="238"/>
      <c r="EK86" s="238"/>
      <c r="EL86" s="238"/>
      <c r="EM86" s="245">
        <f>IF(AK86="",0,1)</f>
        <v>0</v>
      </c>
      <c r="EN86" s="245">
        <f>SUM(AK86)</f>
        <v>0</v>
      </c>
      <c r="EO86" s="268">
        <f>SUM(AJ86)</f>
        <v>0</v>
      </c>
      <c r="EP86" s="268">
        <f>SUM(G86/3)</f>
        <v>0</v>
      </c>
      <c r="EQ86" s="268" t="e">
        <f>SUM(EO86/EP86)</f>
        <v>#DIV/0!</v>
      </c>
      <c r="ER86" s="268">
        <f>ROUNDDOWN(EP86,0)</f>
        <v>0</v>
      </c>
      <c r="ES86" s="268">
        <f>SUM(EO86,-ER86*3)</f>
        <v>0</v>
      </c>
      <c r="ET86" s="269" t="b">
        <f>MOD(EN86/1,2)=0</f>
        <v>1</v>
      </c>
      <c r="EU86" s="245">
        <f>IF(ET86=FALSE,1,0)</f>
        <v>0</v>
      </c>
      <c r="EV86" s="245">
        <f>IF(EN86=50,0,IF(EN86&lt;40,1,0))</f>
        <v>1</v>
      </c>
      <c r="EW86" s="245">
        <f>SUM(EU86:EV86)</f>
        <v>1</v>
      </c>
      <c r="EX86" s="267">
        <f>IF(EN86=1,1,IF(EN86=50,0,IF(ES86=1,IF(EN86&gt;40,1,0),0)))</f>
        <v>0</v>
      </c>
      <c r="EY86" s="267">
        <f>IF(ES86=1,IF(EW86=2,1,0),0)+EX86+FB86+FE86</f>
        <v>0</v>
      </c>
      <c r="EZ86" s="245">
        <f>IF(EN86=109,1,IF(EN86=108,1,IF(EN86=106,1,IF(EN86=105,1,IF(EN86=103,1,IF(EN86=102,1,IF(EN86=99,1,0)))))))</f>
        <v>0</v>
      </c>
      <c r="FA86" s="245">
        <f>IF(EN86&gt;110,1,0)</f>
        <v>0</v>
      </c>
      <c r="FB86" s="267">
        <f>IF(ES86=2,SUM(EZ86:FA86),0)</f>
        <v>0</v>
      </c>
      <c r="FC86" s="245">
        <f>IF(EN86=159,1,IF(EN86=162,1,IF(EN86=163,1,IF(EN86=165,1,IF(EN86=166,1,IF(EN86=168,1,IF(EN86=169,1,0)))))))</f>
        <v>0</v>
      </c>
      <c r="FD86" s="245">
        <f>IF(EN86&gt;170,1,0)</f>
        <v>0</v>
      </c>
      <c r="FE86" s="267">
        <f>IF(ES86=0,SUM(FC86:FD86),0)</f>
        <v>0</v>
      </c>
      <c r="FF86" s="251">
        <f>IF(AJ86="",0,IF(AI86="",0,IF(EO86/ER86-3=0,0,1)))</f>
        <v>0</v>
      </c>
      <c r="FG86" s="238"/>
      <c r="FH86" s="245">
        <f>IF(AY86="",0,1)</f>
        <v>0</v>
      </c>
      <c r="FI86" s="245">
        <f>SUM(AY86)</f>
        <v>0</v>
      </c>
      <c r="FJ86" s="268">
        <f>SUM(AX86)</f>
        <v>0</v>
      </c>
      <c r="FK86" s="268">
        <f>SUM(V86/3)</f>
        <v>0</v>
      </c>
      <c r="FL86" s="268" t="e">
        <f>SUM(FJ86/FK86)</f>
        <v>#DIV/0!</v>
      </c>
      <c r="FM86" s="268">
        <f>ROUNDDOWN(FK86,0)</f>
        <v>0</v>
      </c>
      <c r="FN86" s="268">
        <f>SUM(FJ86,-FM86*3)</f>
        <v>0</v>
      </c>
      <c r="FO86" s="269" t="b">
        <f>MOD(FI86/1,2)=0</f>
        <v>1</v>
      </c>
      <c r="FP86" s="245">
        <f>IF(FO86=FALSE,1,0)</f>
        <v>0</v>
      </c>
      <c r="FQ86" s="245">
        <f>IF(FI86=50,0,IF(FI86&lt;40,1,0))</f>
        <v>1</v>
      </c>
      <c r="FR86" s="245">
        <f>SUM(FP86:FQ86)</f>
        <v>1</v>
      </c>
      <c r="FS86" s="267">
        <f>IF(FI86=1,1,IF(FI86=50,0,IF(FN86=1,IF(FI86&gt;40,1,0),0)))</f>
        <v>0</v>
      </c>
      <c r="FT86" s="267">
        <f>IF(FN86=1,IF(FR86=2,1,0),0)+FS86+FW86+FZ86</f>
        <v>0</v>
      </c>
      <c r="FU86" s="245">
        <f>IF(FI86=109,1,IF(FI86=108,1,IF(FI86=106,1,IF(FI86=105,1,IF(FI86=103,1,IF(FI86=102,1,IF(FI86=99,1,0)))))))</f>
        <v>0</v>
      </c>
      <c r="FV86" s="245">
        <f>IF(FI86&gt;110,1,0)</f>
        <v>0</v>
      </c>
      <c r="FW86" s="267">
        <f>IF(FN86=2,SUM(FU86:FV86),0)</f>
        <v>0</v>
      </c>
      <c r="FX86" s="245">
        <f>IF(FI86=159,1,IF(FI86=162,1,IF(FI86=163,1,IF(FI86=165,1,IF(FI86=166,1,IF(FI86=168,1,IF(FI86=169,1,0)))))))</f>
        <v>0</v>
      </c>
      <c r="FY86" s="245">
        <f>IF(FI86&gt;170,1,0)</f>
        <v>0</v>
      </c>
      <c r="FZ86" s="267">
        <f>IF(FN86=0,SUM(FX86:FY86),0)</f>
        <v>0</v>
      </c>
      <c r="GA86" s="251">
        <f>IF(AX86="",0,IF(AW86="",0,IF(FJ86/FM86-3=0,0,1)))</f>
        <v>0</v>
      </c>
      <c r="GD86" s="341">
        <f>IF(AK83="D",1,0)</f>
        <v>0</v>
      </c>
      <c r="GE86" s="343"/>
      <c r="GF86" s="343" t="s">
        <v>866</v>
      </c>
      <c r="GG86" s="343" t="s">
        <v>868</v>
      </c>
      <c r="GH86" s="343" t="s">
        <v>848</v>
      </c>
      <c r="GI86" s="343">
        <v>180</v>
      </c>
      <c r="GJ86" s="343" t="s">
        <v>866</v>
      </c>
      <c r="GK86" s="343" t="s">
        <v>868</v>
      </c>
      <c r="GL86" s="343" t="s">
        <v>848</v>
      </c>
      <c r="GM86" s="343">
        <v>180</v>
      </c>
      <c r="GN86" s="343" t="s">
        <v>866</v>
      </c>
      <c r="GO86" s="343" t="s">
        <v>868</v>
      </c>
      <c r="GP86" s="343" t="s">
        <v>848</v>
      </c>
      <c r="GQ86" s="343">
        <v>180</v>
      </c>
      <c r="GR86" s="343" t="s">
        <v>866</v>
      </c>
      <c r="GS86" s="343" t="s">
        <v>868</v>
      </c>
      <c r="GT86" s="343" t="s">
        <v>848</v>
      </c>
      <c r="GU86" s="343">
        <v>180</v>
      </c>
      <c r="GV86" s="343" t="s">
        <v>866</v>
      </c>
      <c r="GW86" s="343" t="s">
        <v>868</v>
      </c>
      <c r="GX86" s="343" t="s">
        <v>848</v>
      </c>
      <c r="GY86" s="343">
        <v>180</v>
      </c>
      <c r="GZ86" s="343" t="s">
        <v>866</v>
      </c>
      <c r="HA86" s="343" t="s">
        <v>868</v>
      </c>
      <c r="HB86" s="343" t="s">
        <v>848</v>
      </c>
      <c r="HC86" s="343">
        <v>180</v>
      </c>
      <c r="HD86" s="343" t="s">
        <v>866</v>
      </c>
      <c r="HE86" s="343" t="s">
        <v>868</v>
      </c>
      <c r="HF86" s="341" t="s">
        <v>975</v>
      </c>
      <c r="HG86" s="341" t="s">
        <v>976</v>
      </c>
      <c r="HH86" s="341" t="s">
        <v>899</v>
      </c>
      <c r="HJ86" s="238"/>
      <c r="HK86" s="238"/>
      <c r="HL86" s="238"/>
      <c r="HM86" s="238">
        <f>COUNT(HI87,HJ87,HK87,HL87,HM87)</f>
        <v>0</v>
      </c>
      <c r="HN86" s="341"/>
      <c r="HO86" s="341"/>
      <c r="HP86" s="341"/>
      <c r="HQ86" s="341"/>
      <c r="HR86" s="341"/>
      <c r="HS86" s="238"/>
      <c r="HT86" s="238"/>
      <c r="HU86" s="238"/>
      <c r="HV86" s="238"/>
      <c r="HX86" s="238"/>
      <c r="HY86" s="238"/>
      <c r="ID86" s="238"/>
    </row>
    <row r="87" spans="1:238" s="234" customFormat="1" ht="20.100000000000001" customHeight="1">
      <c r="A87" s="235"/>
      <c r="B87" s="231">
        <f>COUNT(AJ88,AJ87)</f>
        <v>0</v>
      </c>
      <c r="C87" s="326">
        <f>IF(DK86="*",AJ83,AI83)</f>
        <v>1.6</v>
      </c>
      <c r="D87" s="253" t="str">
        <f>REPT(DN87,1)</f>
        <v>2</v>
      </c>
      <c r="E87" s="254" t="str">
        <f>REPT(AH87,1)</f>
        <v/>
      </c>
      <c r="F87" s="168"/>
      <c r="G87" s="168"/>
      <c r="H87" s="168"/>
      <c r="I87" s="169"/>
      <c r="J87" s="270" t="str">
        <f>REPT(AM87,1)</f>
        <v/>
      </c>
      <c r="L87" s="306" t="s">
        <v>922</v>
      </c>
      <c r="M87" s="311"/>
      <c r="N87" s="270" t="str">
        <f>REPT(AP87,1)</f>
        <v/>
      </c>
      <c r="P87" s="306" t="s">
        <v>922</v>
      </c>
      <c r="Q87" s="310"/>
      <c r="R87" s="324">
        <f>IF(DL86="*",AJ83,AI83)</f>
        <v>1.6</v>
      </c>
      <c r="S87" s="253" t="str">
        <f>REPT(DO87,1)</f>
        <v>2</v>
      </c>
      <c r="T87" s="254" t="str">
        <f>REPT(AV87,1)</f>
        <v/>
      </c>
      <c r="U87" s="168"/>
      <c r="V87" s="168"/>
      <c r="W87" s="168"/>
      <c r="X87" s="169"/>
      <c r="Y87" s="270" t="str">
        <f t="shared" ref="Y87:Y89" si="180">REPT(BA87,1)</f>
        <v/>
      </c>
      <c r="Z87" s="308"/>
      <c r="AB87" s="234">
        <f>IF(AY87="",0,IF(AY87&lt;2,1,""))</f>
        <v>0</v>
      </c>
      <c r="AC87" s="238">
        <f t="shared" ref="AC87:AC88" si="181">IF(AD87=1,1,IF(AD87=3,1,IF(AD87=2,0,IF(AD87=0,0,0))))</f>
        <v>0</v>
      </c>
      <c r="AD87" s="256">
        <f t="shared" ref="AD87:AD90" si="182">SUM(AE87:AG87)</f>
        <v>0</v>
      </c>
      <c r="AE87" s="256">
        <f t="shared" si="176"/>
        <v>0</v>
      </c>
      <c r="AF87" s="256">
        <f t="shared" si="177"/>
        <v>0</v>
      </c>
      <c r="AG87" s="256">
        <f t="shared" ref="AG87:AG90" si="183">IF(H87="",0,1)</f>
        <v>0</v>
      </c>
      <c r="AH87" s="257" t="str">
        <f>IF(AK87="",IF(AI87="","",IF(AI87="",501,501-AI87)),501)</f>
        <v/>
      </c>
      <c r="AI87" s="256" t="str">
        <f>IF(F87&gt;1,F87,IF(F87=0,"",IF(F87="","","")))</f>
        <v/>
      </c>
      <c r="AJ87" s="256" t="str">
        <f>IF(G87&gt;8,G87,IF(G87="","",""))</f>
        <v/>
      </c>
      <c r="AK87" s="256" t="str">
        <f>IF(H87&gt;1,H87,IF(H87="","",""))</f>
        <v/>
      </c>
      <c r="AL87" s="256" t="str">
        <f>IF(I87&gt;0,I87,IF(I87="","",""))</f>
        <v/>
      </c>
      <c r="AM87" s="258" t="str">
        <f>IF(BK87=0,"","X")</f>
        <v/>
      </c>
      <c r="AN87" s="237"/>
      <c r="AO87" s="237"/>
      <c r="AP87" s="258" t="str">
        <f>IF(BM87=0,"","X")</f>
        <v/>
      </c>
      <c r="AQ87" s="236">
        <f t="shared" ref="AQ87:AQ88" si="184">IF(AR87=1,1,IF(AR87=3,1,IF(AR87=2,0,IF(AR87=0,0,0))))</f>
        <v>0</v>
      </c>
      <c r="AR87" s="256">
        <f t="shared" ref="AR87:AR90" si="185">SUM(AS87:AU87)</f>
        <v>0</v>
      </c>
      <c r="AS87" s="256">
        <f t="shared" si="178"/>
        <v>0</v>
      </c>
      <c r="AT87" s="256">
        <f t="shared" si="179"/>
        <v>0</v>
      </c>
      <c r="AU87" s="256">
        <f t="shared" ref="AU87:AU90" si="186">IF(W87="",0,1)</f>
        <v>0</v>
      </c>
      <c r="AV87" s="257" t="str">
        <f>IF(AY87="",IF(AW87="","",IF(AW87="",501,501-AW87)),501)</f>
        <v/>
      </c>
      <c r="AW87" s="256" t="str">
        <f>IF(U87&gt;1,U87,IF(U87=0,"",IF(U87="","","")))</f>
        <v/>
      </c>
      <c r="AX87" s="256" t="str">
        <f>IF(V87&gt;8,V87,IF(V87="","",""))</f>
        <v/>
      </c>
      <c r="AY87" s="256" t="str">
        <f>IF(W87&gt;1,W87,IF(W87="","",""))</f>
        <v/>
      </c>
      <c r="AZ87" s="256" t="str">
        <f>IF(X87&gt;0,X87,IF(X87="","",""))</f>
        <v/>
      </c>
      <c r="BA87" s="258" t="str">
        <f>IF(BL87=0,"","X")</f>
        <v/>
      </c>
      <c r="BK87" s="251">
        <f>SUM(DD87,DV87,EY87,ED87,FF87,BQ87,BS87,AC87)</f>
        <v>0</v>
      </c>
      <c r="BL87" s="251">
        <f>SUM(DE87,DW87,EE87,FT87,GA87,BR87,BT87,AQ87)</f>
        <v>0</v>
      </c>
      <c r="BM87" s="259">
        <f t="shared" ref="BM87:BM88" si="187">SUM(DC87,BK87:BL87,AC87,AQ87)</f>
        <v>0</v>
      </c>
      <c r="BN87" s="239">
        <f>COUNT(AK87)</f>
        <v>0</v>
      </c>
      <c r="BO87" s="239">
        <f>COUNT(AY87)</f>
        <v>0</v>
      </c>
      <c r="BP87" s="239">
        <f>IF(BN89=0,0,1)</f>
        <v>0</v>
      </c>
      <c r="BQ87" s="260">
        <f>IF(AL87="",0,IF(AL87&gt;2,1,0))</f>
        <v>0</v>
      </c>
      <c r="BR87" s="261">
        <f>IF(AZ87="",0,IF(AZ87&gt;2,1,0))</f>
        <v>0</v>
      </c>
      <c r="BS87" s="262">
        <f>IF(AJ87=9,IF(AK87&lt;141,1,0),0)</f>
        <v>0</v>
      </c>
      <c r="BT87" s="263">
        <f>IF(AX87=9,IF(AY87&lt;141,1,0),0)</f>
        <v>0</v>
      </c>
      <c r="BU87" s="242">
        <f>IF(H87,G87,0)</f>
        <v>0</v>
      </c>
      <c r="BV87" s="238">
        <f>IF(BU87&gt;0,AJ87/3,0)</f>
        <v>0</v>
      </c>
      <c r="BW87" s="238">
        <f>ROUNDUP(BV87,0)</f>
        <v>0</v>
      </c>
      <c r="BX87" s="244">
        <f>IF(MOD(BW87,2)=0,BW87,BW87+1)</f>
        <v>0</v>
      </c>
      <c r="BY87" s="238">
        <f>IF(AJ87&lt;9,"",SUM(BX87-BW87))</f>
        <v>0</v>
      </c>
      <c r="BZ87" s="238">
        <f>IF(BY87=1,AK87,0)</f>
        <v>0</v>
      </c>
      <c r="CA87" s="243" t="str">
        <f>IF(BY87=0,AK87,0)</f>
        <v/>
      </c>
      <c r="CB87" s="238"/>
      <c r="CC87" s="238"/>
      <c r="CD87" s="242">
        <f>IF(W87,V87,0)</f>
        <v>0</v>
      </c>
      <c r="CE87" s="238">
        <f>IF(CD87&gt;0,AX87/3,0)</f>
        <v>0</v>
      </c>
      <c r="CF87" s="238">
        <f>ROUNDUP(CE87,0)</f>
        <v>0</v>
      </c>
      <c r="CG87" s="244">
        <f>IF(MOD(CF87,2)=0,CF87,CF87+1)</f>
        <v>0</v>
      </c>
      <c r="CH87" s="238">
        <f>IF(AX87&lt;9,"",SUM(CG87-CF87))</f>
        <v>0</v>
      </c>
      <c r="CI87" s="238">
        <f>IF(CH87=1,AY87,0)</f>
        <v>0</v>
      </c>
      <c r="CJ87" s="243" t="str">
        <f>IF(CH87=0,AY87,0)</f>
        <v/>
      </c>
      <c r="CK87" s="238"/>
      <c r="CL87" s="245">
        <f>IF(COUNT(F87,H87)=1,0,1)</f>
        <v>1</v>
      </c>
      <c r="CM87" s="245">
        <f>IF(COUNT(F87,U87)=1,0,1)</f>
        <v>1</v>
      </c>
      <c r="CN87" s="245">
        <f>IF(COUNT(H87,W87)=1,0,1)</f>
        <v>1</v>
      </c>
      <c r="CO87" s="245">
        <f>IF(COUNT(G87,V87)=2,0,1)</f>
        <v>1</v>
      </c>
      <c r="CP87" s="245">
        <f>IF(COUNT(U87,W87)=1,0,1)</f>
        <v>1</v>
      </c>
      <c r="CQ87" s="245">
        <f>IF(SUM(G87-V87)&gt;3,1,0)</f>
        <v>0</v>
      </c>
      <c r="CR87" s="245">
        <f>IF(SUM(G87-V87)&lt;-3,1,0)</f>
        <v>0</v>
      </c>
      <c r="CS87" s="264">
        <f>IF(AJ87=9,IF(AH87&lt;141,1,0),IF(AH87="",0,IF(AH87&gt;1,0,1)))</f>
        <v>0</v>
      </c>
      <c r="CT87" s="264">
        <f>IF(AX87=9,IF(AV87&lt;141,1,0),IF(AV87="",0,IF(AV87&gt;1,0,1)))</f>
        <v>0</v>
      </c>
      <c r="CU87" s="264">
        <f>IF(AI87="",0,IF(AI87&lt;502,0,1))</f>
        <v>0</v>
      </c>
      <c r="CV87" s="264">
        <f>IF(AW87="",0,IF(AW87&lt;502,0,1))</f>
        <v>0</v>
      </c>
      <c r="CW87" s="264">
        <f>IF(AI87="",IF(AJ87&lt;9,1,0),IF(AJ87&lt;9,1,0))</f>
        <v>0</v>
      </c>
      <c r="CX87" s="264">
        <f>IF(AW87="",IF(AX87&lt;9,1,0),IF(AX87&lt;9,1,0))</f>
        <v>0</v>
      </c>
      <c r="CY87" s="374"/>
      <c r="CZ87" s="374"/>
      <c r="DA87" s="374"/>
      <c r="DB87" s="374"/>
      <c r="DC87" s="265">
        <f>IF(AJ87="",0,SUM(CL87:CX87))</f>
        <v>0</v>
      </c>
      <c r="DD87" s="265">
        <f>IF(AJ87="",0,SUM(CL87,CS87,CU87,CW87))</f>
        <v>0</v>
      </c>
      <c r="DE87" s="265">
        <f>IF(AJ87="",0,SUM(CP87,CT87,CV87,CX87))</f>
        <v>0</v>
      </c>
      <c r="DF87" s="238"/>
      <c r="DG87" s="248">
        <f>SUM(G87-V87)</f>
        <v>0</v>
      </c>
      <c r="DH87" s="245">
        <f>IF(F87="",0,1)</f>
        <v>0</v>
      </c>
      <c r="DI87" s="245">
        <f t="shared" ref="DI87:DI90" si="188">IF(DG87=0,DH87,DG87)</f>
        <v>0</v>
      </c>
      <c r="DJ87" s="245">
        <f t="shared" ref="DJ87:DJ90" si="189">SIGN(DI87)</f>
        <v>0</v>
      </c>
      <c r="DK87" s="245" t="str">
        <f>IF(G87="","",IF(DJ87=1,"*",""))</f>
        <v/>
      </c>
      <c r="DL87" s="245" t="str">
        <f>IF(G87="","",IF(DJ87=-1,"*",IF(DJ87=0,"*","")))</f>
        <v/>
      </c>
      <c r="DM87" s="245">
        <v>2</v>
      </c>
      <c r="DN87" s="245" t="str">
        <f t="shared" ref="DN87:DN90" si="190">CONCATENATE(DM87,DK87)</f>
        <v>2</v>
      </c>
      <c r="DO87" s="245" t="str">
        <f t="shared" ref="DO87:DO90" si="191">CONCATENATE(DM87,DL87)</f>
        <v>2</v>
      </c>
      <c r="DP87" s="245">
        <f>SUM(DQ86)</f>
        <v>0</v>
      </c>
      <c r="DQ87" s="245">
        <f>SUM(DP86)</f>
        <v>0</v>
      </c>
      <c r="DR87" s="245">
        <f>IF(DK87="*",1,0)</f>
        <v>0</v>
      </c>
      <c r="DS87" s="245">
        <f>IF(DL87="*",1,0)</f>
        <v>0</v>
      </c>
      <c r="DT87" s="245">
        <f>IF(H77="",0,IF(DP87=DR87,1,0))</f>
        <v>0</v>
      </c>
      <c r="DU87" s="245">
        <f>IF(V87="",0,IF(DQ87=DS87,0,1))</f>
        <v>0</v>
      </c>
      <c r="DV87" s="267">
        <f>SUM(DT87)</f>
        <v>0</v>
      </c>
      <c r="DW87" s="267">
        <f>IF(V87="",0,SUM(DU87))</f>
        <v>0</v>
      </c>
      <c r="DX87" s="238">
        <f>IF(AK87="",0,1)</f>
        <v>0</v>
      </c>
      <c r="DY87" s="238">
        <f>IF(DG87=-3,1,0)</f>
        <v>0</v>
      </c>
      <c r="DZ87" s="238">
        <f>SUM(DX87:DY87)</f>
        <v>0</v>
      </c>
      <c r="EA87" s="238">
        <f>IF(AK87="",1,0)</f>
        <v>1</v>
      </c>
      <c r="EB87" s="238">
        <f>IF(DG87=3,1,0)</f>
        <v>0</v>
      </c>
      <c r="EC87" s="238">
        <f>SUM(EA87:EB87)</f>
        <v>1</v>
      </c>
      <c r="ED87" s="267">
        <f>IF(EC87=2,1,0)</f>
        <v>0</v>
      </c>
      <c r="EE87" s="267">
        <f>IF(DZ87=2,1,0)</f>
        <v>0</v>
      </c>
      <c r="EG87" s="166"/>
      <c r="EH87" s="238"/>
      <c r="EI87" s="238"/>
      <c r="EJ87" s="238"/>
      <c r="EK87" s="238"/>
      <c r="EL87" s="238"/>
      <c r="EM87" s="245">
        <f>IF(AK87="",0,1)</f>
        <v>0</v>
      </c>
      <c r="EN87" s="245">
        <f>SUM(AK87)</f>
        <v>0</v>
      </c>
      <c r="EO87" s="268">
        <f>SUM(AJ87)</f>
        <v>0</v>
      </c>
      <c r="EP87" s="268">
        <f>SUM(G87/3)</f>
        <v>0</v>
      </c>
      <c r="EQ87" s="268" t="e">
        <f>SUM(EO87/EP87)</f>
        <v>#DIV/0!</v>
      </c>
      <c r="ER87" s="268">
        <f>ROUNDDOWN(EP87,0)</f>
        <v>0</v>
      </c>
      <c r="ES87" s="268">
        <f>SUM(EO87,-ER87*3)</f>
        <v>0</v>
      </c>
      <c r="ET87" s="269" t="b">
        <f>MOD(EN87/1,2)=0</f>
        <v>1</v>
      </c>
      <c r="EU87" s="245">
        <f>IF(ET87=FALSE,1,0)</f>
        <v>0</v>
      </c>
      <c r="EV87" s="245">
        <f>IF(EN87=50,0,IF(EN87&lt;40,1,0))</f>
        <v>1</v>
      </c>
      <c r="EW87" s="245">
        <f>SUM(EU87:EV87)</f>
        <v>1</v>
      </c>
      <c r="EX87" s="267">
        <f>IF(EN87=1,1,IF(EN87=50,0,IF(ES87=1,IF(EN87&gt;40,1,0),0)))</f>
        <v>0</v>
      </c>
      <c r="EY87" s="267">
        <f>IF(ES87=1,IF(EW87=2,1,0),0)+EX87+FB87+FE87</f>
        <v>0</v>
      </c>
      <c r="EZ87" s="245">
        <f>IF(EN87=109,1,IF(EN87=108,1,IF(EN87=106,1,IF(EN87=105,1,IF(EN87=103,1,IF(EN87=102,1,IF(EN87=99,1,0)))))))</f>
        <v>0</v>
      </c>
      <c r="FA87" s="245">
        <f>IF(EN87&gt;110,1,0)</f>
        <v>0</v>
      </c>
      <c r="FB87" s="267">
        <f>IF(ES87=2,SUM(EZ87:FA87),0)</f>
        <v>0</v>
      </c>
      <c r="FC87" s="245">
        <f>IF(EN87=159,1,IF(EN87=162,1,IF(EN87=163,1,IF(EN87=165,1,IF(EN87=166,1,IF(EN87=168,1,IF(EN87=169,1,0)))))))</f>
        <v>0</v>
      </c>
      <c r="FD87" s="245">
        <f>IF(EN87&gt;170,1,0)</f>
        <v>0</v>
      </c>
      <c r="FE87" s="267">
        <f>IF(ES87=0,SUM(FC87:FD87),0)</f>
        <v>0</v>
      </c>
      <c r="FF87" s="251">
        <f t="shared" ref="FF87:FF90" si="192">IF(AJ87="",0,IF(AI87="",0,IF(EO87/ER87-3=0,0,1)))</f>
        <v>0</v>
      </c>
      <c r="FG87" s="238"/>
      <c r="FH87" s="245">
        <f>IF(AY87="",0,1)</f>
        <v>0</v>
      </c>
      <c r="FI87" s="245">
        <f>SUM(AY87)</f>
        <v>0</v>
      </c>
      <c r="FJ87" s="268">
        <f>SUM(AX87)</f>
        <v>0</v>
      </c>
      <c r="FK87" s="268">
        <f>SUM(V87/3)</f>
        <v>0</v>
      </c>
      <c r="FL87" s="268" t="e">
        <f>SUM(FJ87/FK87)</f>
        <v>#DIV/0!</v>
      </c>
      <c r="FM87" s="268">
        <f>ROUNDDOWN(FK87,0)</f>
        <v>0</v>
      </c>
      <c r="FN87" s="268">
        <f>SUM(FJ87,-FM87*3)</f>
        <v>0</v>
      </c>
      <c r="FO87" s="269" t="b">
        <f>MOD(FI87/1,2)=0</f>
        <v>1</v>
      </c>
      <c r="FP87" s="245">
        <f>IF(FO87=FALSE,1,0)</f>
        <v>0</v>
      </c>
      <c r="FQ87" s="245">
        <f>IF(FI87=50,0,IF(FI87&lt;40,1,0))</f>
        <v>1</v>
      </c>
      <c r="FR87" s="245">
        <f>SUM(FP87:FQ87)</f>
        <v>1</v>
      </c>
      <c r="FS87" s="267">
        <f>IF(FI87=1,1,IF(FI87=50,0,IF(FN87=1,IF(FI87&gt;40,1,0),0)))</f>
        <v>0</v>
      </c>
      <c r="FT87" s="267">
        <f>IF(FN87=1,IF(FR87=2,1,0),0)+FS87+FW87+FZ87</f>
        <v>0</v>
      </c>
      <c r="FU87" s="245">
        <f>IF(FI87=109,1,IF(FI87=108,1,IF(FI87=106,1,IF(FI87=105,1,IF(FI87=103,1,IF(FI87=102,1,IF(FI87=99,1,0)))))))</f>
        <v>0</v>
      </c>
      <c r="FV87" s="245">
        <f>IF(FI87&gt;110,1,0)</f>
        <v>0</v>
      </c>
      <c r="FW87" s="267">
        <f>IF(FN87=2,SUM(FU87:FV87),0)</f>
        <v>0</v>
      </c>
      <c r="FX87" s="245">
        <f>IF(FI87=159,1,IF(FI87=162,1,IF(FI87=163,1,IF(FI87=165,1,IF(FI87=166,1,IF(FI87=168,1,IF(FI87=169,1,0)))))))</f>
        <v>0</v>
      </c>
      <c r="FY87" s="245">
        <f>IF(FI87&gt;170,1,0)</f>
        <v>0</v>
      </c>
      <c r="FZ87" s="267">
        <f>IF(FN87=0,SUM(FX87:FY87),0)</f>
        <v>0</v>
      </c>
      <c r="GA87" s="251">
        <f t="shared" ref="GA87:GA90" si="193">IF(AX87="",0,IF(AW87="",0,IF(FJ87/FM87-3=0,0,1)))</f>
        <v>0</v>
      </c>
      <c r="GC87" s="238" t="str">
        <f>VLOOKUP(AH83,Chema!BL:BR,2,FALSE)</f>
        <v>HS 1.6</v>
      </c>
      <c r="GD87" s="341">
        <f>IF(E93="FORFAIT",1,0)</f>
        <v>0</v>
      </c>
      <c r="GE87" s="343" t="str">
        <f>IF(C93="","",SUM(C93))</f>
        <v/>
      </c>
      <c r="GF87" s="344">
        <f>SUM(AH86)</f>
        <v>0</v>
      </c>
      <c r="GG87" s="344">
        <f>SUM(AJ86)</f>
        <v>0</v>
      </c>
      <c r="GH87" s="344">
        <f t="shared" ref="GH87" si="194">SUM(AK86)</f>
        <v>0</v>
      </c>
      <c r="GI87" s="344">
        <f t="shared" ref="GI87" si="195">SUM(AL86)</f>
        <v>0</v>
      </c>
      <c r="GJ87" s="344">
        <f>SUM(AH87)</f>
        <v>0</v>
      </c>
      <c r="GK87" s="344">
        <f>SUM(AJ87)</f>
        <v>0</v>
      </c>
      <c r="GL87" s="344">
        <f>SUM(AK87)</f>
        <v>0</v>
      </c>
      <c r="GM87" s="344">
        <f>SUM(AL87)</f>
        <v>0</v>
      </c>
      <c r="GN87" s="344">
        <f>SUM(AH88)</f>
        <v>0</v>
      </c>
      <c r="GO87" s="344">
        <f>SUM(AJ88)</f>
        <v>0</v>
      </c>
      <c r="GP87" s="344">
        <f>SUM(AK88)</f>
        <v>0</v>
      </c>
      <c r="GQ87" s="344">
        <f>SUM(AL88)</f>
        <v>0</v>
      </c>
      <c r="GR87" s="344">
        <f>SUM(AH89)</f>
        <v>0</v>
      </c>
      <c r="GS87" s="344">
        <f>SUM(AJ89)</f>
        <v>0</v>
      </c>
      <c r="GT87" s="344">
        <f>SUM(AK89)</f>
        <v>0</v>
      </c>
      <c r="GU87" s="344">
        <f>SUM(AL89)</f>
        <v>0</v>
      </c>
      <c r="GV87" s="344">
        <f>SUM(AH90)</f>
        <v>0</v>
      </c>
      <c r="GW87" s="344">
        <f>SUM(AJ90)</f>
        <v>0</v>
      </c>
      <c r="GX87" s="344">
        <f>SUM(AK90)</f>
        <v>0</v>
      </c>
      <c r="GY87" s="344">
        <f>SUM(AL90)</f>
        <v>0</v>
      </c>
      <c r="GZ87" s="344">
        <f>SUM(GF87,GJ87,GN87,GR87,GV87)</f>
        <v>0</v>
      </c>
      <c r="HA87" s="344">
        <f t="shared" ref="HA87" si="196">SUM(GG87,GK87,GO87,GS87,GW87)</f>
        <v>0</v>
      </c>
      <c r="HB87" s="344">
        <f>IF(GD86=1,L93,MAX(GH87,GL87,GP87,GT87,GX87))</f>
        <v>0</v>
      </c>
      <c r="HC87" s="344">
        <f>IF(GD86=1,I93,SUM(GI87,GM87,GQ87,GU87,GY87))</f>
        <v>0</v>
      </c>
      <c r="HD87" s="345">
        <f>IF(GD86=1,0,SUM(GF87,GJ87,GN87,GR87,GV87))</f>
        <v>0</v>
      </c>
      <c r="HE87" s="345">
        <f>IF(GD86=1,0,SUM(GG87,GK87,GO87,GS87,GW87))</f>
        <v>0</v>
      </c>
      <c r="HF87" s="341">
        <f>IF(GD86=1,0,MIN(HI87,HJ87,HK87,HL87,HM87))</f>
        <v>0</v>
      </c>
      <c r="HG87" s="341">
        <f>IF(HF87=0,0,COUNTIF(HI87:HM87,HF87))</f>
        <v>0</v>
      </c>
      <c r="HH87" s="341">
        <f>SUM(GH88,GL88,GP88,GT88,GX88)</f>
        <v>0</v>
      </c>
      <c r="HI87" s="343" t="str">
        <f>IF(GH88=1,GG87,"")</f>
        <v/>
      </c>
      <c r="HJ87" s="343" t="str">
        <f>IF(GL88=1,GK87,"")</f>
        <v/>
      </c>
      <c r="HK87" s="343" t="str">
        <f>IF(GP88=1,GO87,"")</f>
        <v/>
      </c>
      <c r="HL87" s="343" t="str">
        <f>IF(GT88=1,GS87,"")</f>
        <v/>
      </c>
      <c r="HM87" s="343" t="str">
        <f>IF(GX88=1,GW87,"")</f>
        <v/>
      </c>
      <c r="HN87" s="341"/>
      <c r="HO87" s="341" t="s">
        <v>928</v>
      </c>
      <c r="HP87" s="341" t="s">
        <v>982</v>
      </c>
      <c r="HQ87" s="341" t="s">
        <v>983</v>
      </c>
      <c r="HR87" s="341" t="s">
        <v>984</v>
      </c>
      <c r="HS87" s="238" t="s">
        <v>932</v>
      </c>
      <c r="HT87" s="238" t="s">
        <v>933</v>
      </c>
      <c r="HU87" s="238" t="s">
        <v>985</v>
      </c>
      <c r="HV87" s="238" t="s">
        <v>986</v>
      </c>
      <c r="HW87" s="238" t="str">
        <f>IFERROR(IF(GD86=0,SUM(HZ88:IA88),""),"")</f>
        <v/>
      </c>
      <c r="HY87" s="238"/>
      <c r="HZ87" s="238" t="s">
        <v>1132</v>
      </c>
      <c r="IA87" s="238" t="s">
        <v>1133</v>
      </c>
      <c r="IB87" s="238" t="s">
        <v>1132</v>
      </c>
      <c r="IC87" s="238" t="s">
        <v>1133</v>
      </c>
      <c r="ID87" s="238"/>
    </row>
    <row r="88" spans="1:238" s="234" customFormat="1" ht="20.100000000000001" customHeight="1">
      <c r="A88" s="235"/>
      <c r="B88" s="231">
        <f>COUNT(AJ89,AJ88)</f>
        <v>0</v>
      </c>
      <c r="C88" s="235"/>
      <c r="D88" s="271" t="str">
        <f>REPT(DN88,1)</f>
        <v>3</v>
      </c>
      <c r="E88" s="254" t="str">
        <f>REPT(AH88,1)</f>
        <v/>
      </c>
      <c r="F88" s="168"/>
      <c r="G88" s="168"/>
      <c r="H88" s="168"/>
      <c r="I88" s="169"/>
      <c r="J88" s="270" t="str">
        <f t="shared" ref="J88:J89" si="197">REPT(AM88,1)</f>
        <v/>
      </c>
      <c r="L88" s="312">
        <f>SUM(L86*3)</f>
        <v>0</v>
      </c>
      <c r="M88" s="307"/>
      <c r="N88" s="270" t="str">
        <f>REPT(AP88,1)</f>
        <v/>
      </c>
      <c r="P88" s="312">
        <f>SUM(P86*3)</f>
        <v>0</v>
      </c>
      <c r="Q88" s="310"/>
      <c r="R88" s="235"/>
      <c r="S88" s="271" t="str">
        <f>REPT(DO88,1)</f>
        <v>3</v>
      </c>
      <c r="T88" s="254" t="str">
        <f>REPT(AV88,1)</f>
        <v/>
      </c>
      <c r="U88" s="168"/>
      <c r="V88" s="168"/>
      <c r="W88" s="168"/>
      <c r="X88" s="169"/>
      <c r="Y88" s="270" t="str">
        <f t="shared" si="180"/>
        <v/>
      </c>
      <c r="Z88" s="308"/>
      <c r="AB88" s="234">
        <f>IF(AY88="",0,IF(AY88&lt;2,1,""))</f>
        <v>0</v>
      </c>
      <c r="AC88" s="238">
        <f t="shared" si="181"/>
        <v>0</v>
      </c>
      <c r="AD88" s="256">
        <f t="shared" si="182"/>
        <v>0</v>
      </c>
      <c r="AE88" s="256">
        <f t="shared" si="176"/>
        <v>0</v>
      </c>
      <c r="AF88" s="256">
        <f t="shared" si="177"/>
        <v>0</v>
      </c>
      <c r="AG88" s="256">
        <f t="shared" si="183"/>
        <v>0</v>
      </c>
      <c r="AH88" s="257" t="str">
        <f>IF(AK88="",IF(AI88="","",IF(AI88="",501,501-AI88)),501)</f>
        <v/>
      </c>
      <c r="AI88" s="256" t="str">
        <f>IF(F88&gt;1,F88,IF(F88=0,"",IF(F88="","","")))</f>
        <v/>
      </c>
      <c r="AJ88" s="256" t="str">
        <f>IF(G88&gt;8,G88,IF(G88="","",""))</f>
        <v/>
      </c>
      <c r="AK88" s="256" t="str">
        <f>IF(H88&gt;1,H88,IF(H88="","",""))</f>
        <v/>
      </c>
      <c r="AL88" s="256" t="str">
        <f>IF(I88&gt;0,I88,IF(I88="","",""))</f>
        <v/>
      </c>
      <c r="AM88" s="258" t="str">
        <f>IF(BK88=0,"","X")</f>
        <v/>
      </c>
      <c r="AN88" s="237"/>
      <c r="AO88" s="237"/>
      <c r="AP88" s="258" t="str">
        <f>IF(BM88=0,"","X")</f>
        <v/>
      </c>
      <c r="AQ88" s="236">
        <f t="shared" si="184"/>
        <v>0</v>
      </c>
      <c r="AR88" s="256">
        <f t="shared" si="185"/>
        <v>0</v>
      </c>
      <c r="AS88" s="256">
        <f t="shared" si="178"/>
        <v>0</v>
      </c>
      <c r="AT88" s="256">
        <f t="shared" si="179"/>
        <v>0</v>
      </c>
      <c r="AU88" s="256">
        <f t="shared" si="186"/>
        <v>0</v>
      </c>
      <c r="AV88" s="257" t="str">
        <f>IF(AY88="",IF(AW88="","",IF(AW88="",501,501-AW88)),501)</f>
        <v/>
      </c>
      <c r="AW88" s="256" t="str">
        <f>IF(U88&gt;1,U88,IF(U88=0,"",IF(U88="","","")))</f>
        <v/>
      </c>
      <c r="AX88" s="256" t="str">
        <f>IF(V88&gt;8,V88,IF(V88="","",""))</f>
        <v/>
      </c>
      <c r="AY88" s="256" t="str">
        <f>IF(W88&gt;1,W88,IF(W88="","",""))</f>
        <v/>
      </c>
      <c r="AZ88" s="256" t="str">
        <f>IF(X88&gt;0,X88,IF(X88="","",""))</f>
        <v/>
      </c>
      <c r="BA88" s="258" t="str">
        <f>IF(BL88=0,"","X")</f>
        <v/>
      </c>
      <c r="BK88" s="251">
        <f>SUM(DD88,DV88,EY88,ED88,FF88,BQ88,BS88,AC88,BK95)</f>
        <v>0</v>
      </c>
      <c r="BL88" s="251">
        <f>SUM(DE88,DW88,EE88,FT88,GA88,BR88,BT88,AQ88,BL95,CZ88)</f>
        <v>0</v>
      </c>
      <c r="BM88" s="259">
        <f t="shared" si="187"/>
        <v>0</v>
      </c>
      <c r="BN88" s="239">
        <f>COUNT(AK88)</f>
        <v>0</v>
      </c>
      <c r="BO88" s="239">
        <f>COUNT(AY88)</f>
        <v>0</v>
      </c>
      <c r="BP88" s="239">
        <f>IF(BN90=0,0,1)</f>
        <v>0</v>
      </c>
      <c r="BQ88" s="260">
        <f>IF(AL88="",0,IF(AL88&gt;2,1,0))</f>
        <v>0</v>
      </c>
      <c r="BR88" s="261">
        <f>IF(AZ88="",0,IF(AZ88&gt;2,1,0))</f>
        <v>0</v>
      </c>
      <c r="BS88" s="262">
        <f>IF(AJ88=9,IF(AK88&lt;141,1,0),0)</f>
        <v>0</v>
      </c>
      <c r="BT88" s="263">
        <f>IF(AX88=9,IF(AY88&lt;141,1,0),0)</f>
        <v>0</v>
      </c>
      <c r="BU88" s="242">
        <f>IF(H88,G88,0)</f>
        <v>0</v>
      </c>
      <c r="BV88" s="238">
        <f>IF(BU88&gt;0,AJ88/3,0)</f>
        <v>0</v>
      </c>
      <c r="BW88" s="238">
        <f>ROUNDUP(BV88,0)</f>
        <v>0</v>
      </c>
      <c r="BX88" s="244">
        <f>IF(MOD(BW88,2)=0,BW88,BW88+1)</f>
        <v>0</v>
      </c>
      <c r="BY88" s="238">
        <f>IF(AJ88&lt;9,"",SUM(BX88-BW88))</f>
        <v>0</v>
      </c>
      <c r="BZ88" s="238">
        <f>IF(BY88=1,AK88,0)</f>
        <v>0</v>
      </c>
      <c r="CA88" s="243" t="str">
        <f>IF(BY88=0,AK88,0)</f>
        <v/>
      </c>
      <c r="CB88" s="238"/>
      <c r="CC88" s="238"/>
      <c r="CD88" s="242">
        <f>IF(W88,V88,0)</f>
        <v>0</v>
      </c>
      <c r="CE88" s="238">
        <f>IF(CD88&gt;0,AX88/3,0)</f>
        <v>0</v>
      </c>
      <c r="CF88" s="238">
        <f>ROUNDUP(CE88,0)</f>
        <v>0</v>
      </c>
      <c r="CG88" s="244">
        <f>IF(MOD(CF88,2)=0,CF88,CF88+1)</f>
        <v>0</v>
      </c>
      <c r="CH88" s="238">
        <f>IF(AX88&lt;9,"",SUM(CG88-CF88))</f>
        <v>0</v>
      </c>
      <c r="CI88" s="238">
        <f>IF(CH88=1,AY88,0)</f>
        <v>0</v>
      </c>
      <c r="CJ88" s="243" t="str">
        <f>IF(CH88=0,AY88,0)</f>
        <v/>
      </c>
      <c r="CK88" s="238"/>
      <c r="CL88" s="245">
        <f>IF(COUNT(F88,H88)=1,0,1)</f>
        <v>1</v>
      </c>
      <c r="CM88" s="245">
        <f>IF(COUNT(F88,U88)=1,0,1)</f>
        <v>1</v>
      </c>
      <c r="CN88" s="245">
        <f>IF(COUNT(H88,W88)=1,0,1)</f>
        <v>1</v>
      </c>
      <c r="CO88" s="245">
        <f>IF(COUNT(G88,V88)=2,0,1)</f>
        <v>1</v>
      </c>
      <c r="CP88" s="245">
        <f>IF(COUNT(U88,W88)=1,0,1)</f>
        <v>1</v>
      </c>
      <c r="CQ88" s="245">
        <f>IF(SUM(G88-V88)&gt;3,1,0)</f>
        <v>0</v>
      </c>
      <c r="CR88" s="245">
        <f>IF(SUM(G88-V88)&lt;-3,1,0)</f>
        <v>0</v>
      </c>
      <c r="CS88" s="264">
        <f>IF(AJ88=9,IF(AH88&lt;141,1,0),IF(AH88="",0,IF(AH88&gt;1,0,1)))</f>
        <v>0</v>
      </c>
      <c r="CT88" s="264">
        <f>IF(AX88=9,IF(AV88&lt;141,1,0),IF(AV88="",0,IF(AV88&gt;1,0,1)))</f>
        <v>0</v>
      </c>
      <c r="CU88" s="264">
        <f>IF(AI88="",0,IF(AI88&lt;502,0,1))</f>
        <v>0</v>
      </c>
      <c r="CV88" s="264">
        <f>IF(AW88="",0,IF(AW88&lt;502,0,1))</f>
        <v>0</v>
      </c>
      <c r="CW88" s="264">
        <f>IF(AI88="",IF(AJ88&lt;9,1,0),IF(AJ88&lt;9,1,0))</f>
        <v>0</v>
      </c>
      <c r="CX88" s="264">
        <f>IF(AW88="",IF(AX88&lt;9,1,0),IF(AX88&lt;9,1,0))</f>
        <v>0</v>
      </c>
      <c r="CY88" s="374">
        <f>COUNT(U86,U87,U88)</f>
        <v>0</v>
      </c>
      <c r="CZ88" s="375">
        <f>IF(AL83=3,IF(CY88&gt;2,1,0),0)</f>
        <v>0</v>
      </c>
      <c r="DA88" s="374"/>
      <c r="DB88" s="374"/>
      <c r="DC88" s="265">
        <f>IF(AJ88="",0,SUM(CL88:CX88))</f>
        <v>0</v>
      </c>
      <c r="DD88" s="265">
        <f>IF(AJ88="",0,SUM(CL88,CS88,CU88,CW88))</f>
        <v>0</v>
      </c>
      <c r="DE88" s="265">
        <f>IF(AJ88="",0,SUM(CP88,CT88,CV88,CX88))</f>
        <v>0</v>
      </c>
      <c r="DF88" s="238"/>
      <c r="DG88" s="248">
        <f>SUM(G88-V88)</f>
        <v>0</v>
      </c>
      <c r="DH88" s="245">
        <f>IF(F88="",0,1)</f>
        <v>0</v>
      </c>
      <c r="DI88" s="245">
        <f t="shared" si="188"/>
        <v>0</v>
      </c>
      <c r="DJ88" s="245">
        <f t="shared" si="189"/>
        <v>0</v>
      </c>
      <c r="DK88" s="245" t="str">
        <f>IF(G88="","",IF(DJ88=1,"*",""))</f>
        <v/>
      </c>
      <c r="DL88" s="245" t="str">
        <f>IF(G88="","",IF(DJ88=-1,"*",IF(DJ88=0,"*","")))</f>
        <v/>
      </c>
      <c r="DM88" s="245">
        <v>3</v>
      </c>
      <c r="DN88" s="245" t="str">
        <f t="shared" si="190"/>
        <v>3</v>
      </c>
      <c r="DO88" s="245" t="str">
        <f t="shared" si="191"/>
        <v>3</v>
      </c>
      <c r="DP88" s="245">
        <f>SUM(DP86)</f>
        <v>0</v>
      </c>
      <c r="DQ88" s="245">
        <f>SUM(DQ86)</f>
        <v>0</v>
      </c>
      <c r="DR88" s="245">
        <f t="shared" ref="DR88:DR90" si="198">IF(DK88="*",1,0)</f>
        <v>0</v>
      </c>
      <c r="DS88" s="245">
        <f t="shared" ref="DS88:DS90" si="199">IF(DL88="*",1,0)</f>
        <v>0</v>
      </c>
      <c r="DT88" s="245">
        <f t="shared" ref="DT88:DT90" si="200">IF(H78="",0,IF(DP88=DR88,1,0))</f>
        <v>0</v>
      </c>
      <c r="DU88" s="245">
        <f>IF(V88="",0,IF(DQ88=DS88,0,1))</f>
        <v>0</v>
      </c>
      <c r="DV88" s="267">
        <f t="shared" ref="DV88:DV90" si="201">SUM(DT88)</f>
        <v>0</v>
      </c>
      <c r="DW88" s="267">
        <f>IF(V88="",0,SUM(DU88))</f>
        <v>0</v>
      </c>
      <c r="DX88" s="238">
        <f>IF(AK88="",0,1)</f>
        <v>0</v>
      </c>
      <c r="DY88" s="238">
        <f>IF(DG88=-3,1,0)</f>
        <v>0</v>
      </c>
      <c r="DZ88" s="238">
        <f>SUM(DX88:DY88)</f>
        <v>0</v>
      </c>
      <c r="EA88" s="238">
        <f>IF(AK88="",1,0)</f>
        <v>1</v>
      </c>
      <c r="EB88" s="238">
        <f>IF(DG88=3,1,0)</f>
        <v>0</v>
      </c>
      <c r="EC88" s="238">
        <f>SUM(EA88:EB88)</f>
        <v>1</v>
      </c>
      <c r="ED88" s="267">
        <f>IF(EC88=2,1,0)</f>
        <v>0</v>
      </c>
      <c r="EE88" s="267">
        <f>IF(DZ88=2,1,0)</f>
        <v>0</v>
      </c>
      <c r="EG88" s="166"/>
      <c r="EH88" s="238"/>
      <c r="EI88" s="238"/>
      <c r="EJ88" s="238"/>
      <c r="EK88" s="238"/>
      <c r="EL88" s="238"/>
      <c r="EM88" s="245">
        <f>IF(AK88="",0,1)</f>
        <v>0</v>
      </c>
      <c r="EN88" s="245">
        <f>SUM(AK88)</f>
        <v>0</v>
      </c>
      <c r="EO88" s="268">
        <f>SUM(AJ88)</f>
        <v>0</v>
      </c>
      <c r="EP88" s="268">
        <f>SUM(G88/3)</f>
        <v>0</v>
      </c>
      <c r="EQ88" s="268" t="e">
        <f>SUM(EO88/EP88)</f>
        <v>#DIV/0!</v>
      </c>
      <c r="ER88" s="268">
        <f>ROUNDDOWN(EP88,0)</f>
        <v>0</v>
      </c>
      <c r="ES88" s="268">
        <f>SUM(EO88,-ER88*3)</f>
        <v>0</v>
      </c>
      <c r="ET88" s="269" t="b">
        <f>MOD(EN88/1,2)=0</f>
        <v>1</v>
      </c>
      <c r="EU88" s="245">
        <f>IF(ET88=FALSE,1,0)</f>
        <v>0</v>
      </c>
      <c r="EV88" s="245">
        <f>IF(EN88=50,0,IF(EN88&lt;40,1,0))</f>
        <v>1</v>
      </c>
      <c r="EW88" s="245">
        <f>SUM(EU88:EV88)</f>
        <v>1</v>
      </c>
      <c r="EX88" s="267">
        <f>IF(EN88=1,1,IF(EN88=50,0,IF(ES88=1,IF(EN88&gt;40,1,0),0)))</f>
        <v>0</v>
      </c>
      <c r="EY88" s="267">
        <f>IF(ES88=1,IF(EW88=2,1,0),0)+EX88+FB88+FE88</f>
        <v>0</v>
      </c>
      <c r="EZ88" s="245">
        <f>IF(EN88=109,1,IF(EN88=108,1,IF(EN88=106,1,IF(EN88=105,1,IF(EN88=103,1,IF(EN88=102,1,IF(EN88=99,1,0)))))))</f>
        <v>0</v>
      </c>
      <c r="FA88" s="245">
        <f>IF(EN88&gt;110,1,0)</f>
        <v>0</v>
      </c>
      <c r="FB88" s="267">
        <f>IF(ES88=2,SUM(EZ88:FA88),0)</f>
        <v>0</v>
      </c>
      <c r="FC88" s="245">
        <f>IF(EN88=159,1,IF(EN88=162,1,IF(EN88=163,1,IF(EN88=165,1,IF(EN88=166,1,IF(EN88=168,1,IF(EN88=169,1,0)))))))</f>
        <v>0</v>
      </c>
      <c r="FD88" s="245">
        <f>IF(EN88&gt;170,1,0)</f>
        <v>0</v>
      </c>
      <c r="FE88" s="267">
        <f>IF(ES88=0,SUM(FC88:FD88),0)</f>
        <v>0</v>
      </c>
      <c r="FF88" s="251">
        <f t="shared" si="192"/>
        <v>0</v>
      </c>
      <c r="FG88" s="238"/>
      <c r="FH88" s="245">
        <f>IF(AY88="",0,1)</f>
        <v>0</v>
      </c>
      <c r="FI88" s="245">
        <f>SUM(AY88)</f>
        <v>0</v>
      </c>
      <c r="FJ88" s="268">
        <f>SUM(AX88)</f>
        <v>0</v>
      </c>
      <c r="FK88" s="268">
        <f>SUM(V88/3)</f>
        <v>0</v>
      </c>
      <c r="FL88" s="268" t="e">
        <f>SUM(FJ88/FK88)</f>
        <v>#DIV/0!</v>
      </c>
      <c r="FM88" s="268">
        <f>ROUNDDOWN(FK88,0)</f>
        <v>0</v>
      </c>
      <c r="FN88" s="268">
        <f>SUM(FJ88,-FM88*3)</f>
        <v>0</v>
      </c>
      <c r="FO88" s="269" t="b">
        <f>MOD(FI88/1,2)=0</f>
        <v>1</v>
      </c>
      <c r="FP88" s="245">
        <f>IF(FO88=FALSE,1,0)</f>
        <v>0</v>
      </c>
      <c r="FQ88" s="245">
        <f>IF(FI88=50,0,IF(FI88&lt;40,1,0))</f>
        <v>1</v>
      </c>
      <c r="FR88" s="245">
        <f>SUM(FP88:FQ88)</f>
        <v>1</v>
      </c>
      <c r="FS88" s="267">
        <f>IF(FI88=1,1,IF(FI88=50,0,IF(FN88=1,IF(FI88&gt;40,1,0),0)))</f>
        <v>0</v>
      </c>
      <c r="FT88" s="267">
        <f>IF(FN88=1,IF(FR88=2,1,0),0)+FS88+FW88+FZ88</f>
        <v>0</v>
      </c>
      <c r="FU88" s="245">
        <f>IF(FI88=109,1,IF(FI88=108,1,IF(FI88=106,1,IF(FI88=105,1,IF(FI88=103,1,IF(FI88=102,1,IF(FI88=99,1,0)))))))</f>
        <v>0</v>
      </c>
      <c r="FV88" s="245">
        <f>IF(FI88&gt;110,1,0)</f>
        <v>0</v>
      </c>
      <c r="FW88" s="267">
        <f>IF(FN88=2,SUM(FU88:FV88),0)</f>
        <v>0</v>
      </c>
      <c r="FX88" s="245">
        <f>IF(FI88=159,1,IF(FI88=162,1,IF(FI88=163,1,IF(FI88=165,1,IF(FI88=166,1,IF(FI88=168,1,IF(FI88=169,1,0)))))))</f>
        <v>0</v>
      </c>
      <c r="FY88" s="245">
        <f>IF(FI88&gt;170,1,0)</f>
        <v>0</v>
      </c>
      <c r="FZ88" s="267">
        <f>IF(FN88=0,SUM(FX88:FY88),0)</f>
        <v>0</v>
      </c>
      <c r="GA88" s="251">
        <f t="shared" si="193"/>
        <v>0</v>
      </c>
      <c r="GC88" s="238" t="str">
        <f>VLOOKUP(AH83,Chema!BL:BR,3,FALSE)</f>
        <v/>
      </c>
      <c r="GD88" s="341"/>
      <c r="GE88" s="343" t="str">
        <f>IF(C94="","",SUM(C94))</f>
        <v/>
      </c>
      <c r="GF88" s="346"/>
      <c r="GG88" s="340"/>
      <c r="GH88" s="343">
        <f>IF(GH87&gt;0,1,0)</f>
        <v>0</v>
      </c>
      <c r="GI88" s="346"/>
      <c r="GJ88" s="343"/>
      <c r="GK88" s="340"/>
      <c r="GL88" s="343">
        <f>IF(GL87&gt;0,1,0)</f>
        <v>0</v>
      </c>
      <c r="GM88" s="343"/>
      <c r="GN88" s="343"/>
      <c r="GO88" s="340"/>
      <c r="GP88" s="343">
        <f>IF(GP87&gt;0,1,0)</f>
        <v>0</v>
      </c>
      <c r="GQ88" s="343"/>
      <c r="GR88" s="343"/>
      <c r="GS88" s="340"/>
      <c r="GT88" s="343">
        <f>IF(GT87&gt;0,1,0)</f>
        <v>0</v>
      </c>
      <c r="GU88" s="343"/>
      <c r="GV88" s="343"/>
      <c r="GW88" s="340"/>
      <c r="GX88" s="343">
        <f>IF(GX87&gt;0,1,0)</f>
        <v>0</v>
      </c>
      <c r="GY88" s="343"/>
      <c r="GZ88" s="343"/>
      <c r="HA88" s="343"/>
      <c r="HB88" s="343" t="str">
        <f>IF(GD86=1,L94,"")</f>
        <v/>
      </c>
      <c r="HC88" s="343" t="str">
        <f>IF(GD86=1,I94,"")</f>
        <v/>
      </c>
      <c r="HD88" s="345"/>
      <c r="HE88" s="340"/>
      <c r="HF88" s="340"/>
      <c r="HG88" s="347">
        <f>IF(GE87="",0,IF(AL83=3,2,IF(AL83=5,3,0)))</f>
        <v>0</v>
      </c>
      <c r="HH88" s="347">
        <f>IF(HK88=0,0,IF(HG90=0,0,1))</f>
        <v>0</v>
      </c>
      <c r="HI88" s="340"/>
      <c r="HJ88" s="340"/>
      <c r="HK88" s="340">
        <f>SUM(HM86,HM90)</f>
        <v>0</v>
      </c>
      <c r="HL88" s="340">
        <f>IF(HK88=0,0,IF(HM86=HG88,1,0))</f>
        <v>0</v>
      </c>
      <c r="HM88" s="340">
        <f>IF(HK88=0,0,IF(HM90=HG88,1,0))</f>
        <v>0</v>
      </c>
      <c r="HN88" s="341" t="str">
        <f>REPT(N83,1)</f>
        <v>Spiel 6</v>
      </c>
      <c r="HO88" s="348" t="str">
        <f>IF(HK88=0,"",IF(HH88=0,SUM(HH87),""))</f>
        <v/>
      </c>
      <c r="HP88" s="348" t="str">
        <f>IF(HK88=0,"",IF(HH88=0,SUM(HH89),""))</f>
        <v/>
      </c>
      <c r="HQ88" s="348" t="e">
        <f>IF(HH88=0,SUM(GZ87/HA87),"")</f>
        <v>#DIV/0!</v>
      </c>
      <c r="HR88" s="348" t="e">
        <f>IF(HH88=0,SUM(GZ89/HA89),"")</f>
        <v>#DIV/0!</v>
      </c>
      <c r="HS88" s="238" t="str">
        <f>REPT(DK86,1)</f>
        <v/>
      </c>
      <c r="HT88" s="238" t="str">
        <f>REPT(DL86,1)</f>
        <v/>
      </c>
      <c r="HU88" s="238">
        <f>IF(HH88=0,HL88,"")</f>
        <v>0</v>
      </c>
      <c r="HV88" s="238">
        <f>IF(HH88=0,HM88,"")</f>
        <v>0</v>
      </c>
      <c r="HW88" s="238" t="s">
        <v>1131</v>
      </c>
      <c r="HY88" s="238"/>
      <c r="HZ88" s="238" t="e">
        <f>IF(AL83=5,IF(HU88=1,SUM(HO88*2-HP88),HO88+HP88-2),"")</f>
        <v>#VALUE!</v>
      </c>
      <c r="IA88" s="238" t="str">
        <f>IF(AL83=3,IF(HU88=1,SUM(HO88-HP88+3),HO88+HP88-1),"")</f>
        <v/>
      </c>
      <c r="IB88" s="238" t="e">
        <f>IF(AL83=5,IF(HV88=1,SUM(HP88*2-HO88),HO88+HP88-2),"")</f>
        <v>#VALUE!</v>
      </c>
      <c r="IC88" s="238" t="str">
        <f>IF(AL83=3,IF(HV88=1,SUM(HP88-HO88+3),HO88+HP88-1),"")</f>
        <v/>
      </c>
      <c r="ID88" s="238">
        <f>SUM(BM92)</f>
        <v>0</v>
      </c>
    </row>
    <row r="89" spans="1:238" s="234" customFormat="1" ht="20.100000000000001" customHeight="1">
      <c r="A89" s="235"/>
      <c r="B89" s="231">
        <f>COUNT(AJ90,AJ89)</f>
        <v>0</v>
      </c>
      <c r="C89" s="235"/>
      <c r="D89" s="328" t="str">
        <f>REPT(DN89,1)</f>
        <v>4</v>
      </c>
      <c r="E89" s="329" t="str">
        <f>REPT(AH89,1)</f>
        <v/>
      </c>
      <c r="F89" s="330"/>
      <c r="G89" s="330"/>
      <c r="H89" s="330"/>
      <c r="I89" s="331"/>
      <c r="J89" s="270" t="str">
        <f t="shared" si="197"/>
        <v/>
      </c>
      <c r="M89" s="311"/>
      <c r="N89" s="270" t="str">
        <f>REPT(AP89,1)</f>
        <v/>
      </c>
      <c r="Q89" s="310"/>
      <c r="R89" s="235"/>
      <c r="S89" s="328" t="str">
        <f>REPT(DO89,1)</f>
        <v>4</v>
      </c>
      <c r="T89" s="329" t="str">
        <f>REPT(AV89,1)</f>
        <v/>
      </c>
      <c r="U89" s="330"/>
      <c r="V89" s="330"/>
      <c r="W89" s="330"/>
      <c r="X89" s="331"/>
      <c r="Y89" s="270" t="str">
        <f t="shared" si="180"/>
        <v/>
      </c>
      <c r="Z89" s="308"/>
      <c r="AA89" s="238">
        <f>SUM(AL83)</f>
        <v>5</v>
      </c>
      <c r="AB89" s="234">
        <f>IF(AY89="",0,IF(AY89&lt;2,1,""))</f>
        <v>0</v>
      </c>
      <c r="AC89" s="238">
        <f>IF(AL83=3,0,IF(AD89=1,1,IF(AD89=3,1,IF(AD89=2,0,IF(AD89=0,0,0)))))</f>
        <v>0</v>
      </c>
      <c r="AD89" s="256">
        <f t="shared" si="182"/>
        <v>0</v>
      </c>
      <c r="AE89" s="256">
        <f t="shared" si="176"/>
        <v>0</v>
      </c>
      <c r="AF89" s="256">
        <f t="shared" si="177"/>
        <v>0</v>
      </c>
      <c r="AG89" s="256">
        <f t="shared" si="183"/>
        <v>0</v>
      </c>
      <c r="AH89" s="257" t="str">
        <f>IF(AL83=3,"",IF(AK89="",IF(AI89="","",IF(AI89="",501,501-AI89)),501))</f>
        <v/>
      </c>
      <c r="AI89" s="256" t="str">
        <f>IF(AL83=3,"",IF(F89&gt;1,F89,IF(F89=0,"",IF(F89="","",""))))</f>
        <v/>
      </c>
      <c r="AJ89" s="256" t="str">
        <f>IF(AL83=3,"",IF(G89&gt;8,G89,IF(G89="","","")))</f>
        <v/>
      </c>
      <c r="AK89" s="256" t="str">
        <f>IF(AL83=3,"",IF(H89&gt;1,H89,IF(H89="","","")))</f>
        <v/>
      </c>
      <c r="AL89" s="256" t="str">
        <f>IF(AL83=3,"",IF(I89&gt;0,I89,IF(I89="","","")))</f>
        <v/>
      </c>
      <c r="AM89" s="258" t="str">
        <f>IF(BK89=0,"","X")</f>
        <v/>
      </c>
      <c r="AN89" s="237"/>
      <c r="AO89" s="237"/>
      <c r="AP89" s="258" t="str">
        <f>IF(BM89=0,"","X")</f>
        <v/>
      </c>
      <c r="AQ89" s="236">
        <f>IF(AL83=3,0,IF(AR89=1,1,IF(AR89=3,1,IF(AR89=2,0,IF(AR89=0,0,0)))))</f>
        <v>0</v>
      </c>
      <c r="AR89" s="256">
        <f t="shared" si="185"/>
        <v>0</v>
      </c>
      <c r="AS89" s="256">
        <f t="shared" si="178"/>
        <v>0</v>
      </c>
      <c r="AT89" s="256">
        <f t="shared" si="179"/>
        <v>0</v>
      </c>
      <c r="AU89" s="256">
        <f t="shared" si="186"/>
        <v>0</v>
      </c>
      <c r="AV89" s="257" t="str">
        <f>IF(AY89="",IF(AW89="","",IF(AW89="",501,501-AW89)),501)</f>
        <v/>
      </c>
      <c r="AW89" s="256" t="str">
        <f>IF(AL83=3,"",IF(U89&gt;1,U89,IF(U89=0,"",IF(U89="","",""))))</f>
        <v/>
      </c>
      <c r="AX89" s="256" t="str">
        <f>IF(AL83=3,"",IF(V89&gt;8,V89,IF(V89="","","")))</f>
        <v/>
      </c>
      <c r="AY89" s="256" t="str">
        <f>IF(AL83=3,"",IF(W89&gt;1,W89,IF(W89="","","")))</f>
        <v/>
      </c>
      <c r="AZ89" s="256" t="str">
        <f>IF(AL83=3,"",IF(X89&gt;0,X89,IF(X89="","","")))</f>
        <v/>
      </c>
      <c r="BA89" s="258" t="str">
        <f>IF(BL89=0,"","X")</f>
        <v/>
      </c>
      <c r="BK89" s="251">
        <f>IF(AL83=3,0,SUM(DD89,DV89,EY89,ED89,FF89,BQ89,BS89,AC89))</f>
        <v>0</v>
      </c>
      <c r="BL89" s="251">
        <f>IF(AL83=3,0,SUM(DE89,DW89,EE89,FT89,GA89,BR89,BT89,AQ89))</f>
        <v>0</v>
      </c>
      <c r="BM89" s="259">
        <f>IF(AL83=3,0,SUM(DC89,BK89:BL89,AC89,AQ89))</f>
        <v>0</v>
      </c>
      <c r="BN89" s="239">
        <f>COUNT(AK89)</f>
        <v>0</v>
      </c>
      <c r="BO89" s="239">
        <f>COUNT(AY89)</f>
        <v>0</v>
      </c>
      <c r="BP89" s="239">
        <f>IF(BZ91=0,0,1)</f>
        <v>0</v>
      </c>
      <c r="BQ89" s="260">
        <f>IF(AL89="",0,IF(AL89&gt;2,1,0))</f>
        <v>0</v>
      </c>
      <c r="BR89" s="261">
        <f>IF(AZ89="",0,IF(AZ89&gt;2,1,0))</f>
        <v>0</v>
      </c>
      <c r="BS89" s="262">
        <f>IF(AJ89=9,IF(AK89&lt;141,1,0),0)</f>
        <v>0</v>
      </c>
      <c r="BT89" s="263">
        <f>IF(AX89=9,IF(AY89&lt;141,1,0),0)</f>
        <v>0</v>
      </c>
      <c r="BU89" s="242">
        <f>IF(AL83=3,0,IF(H89,G89,0))</f>
        <v>0</v>
      </c>
      <c r="BV89" s="238">
        <f>IF(BU89&gt;0,AJ89/3,0)</f>
        <v>0</v>
      </c>
      <c r="BW89" s="238">
        <f>ROUNDUP(BV89,0)</f>
        <v>0</v>
      </c>
      <c r="BX89" s="244">
        <f>IF(MOD(BW89,2)=0,BW89,BW89+1)</f>
        <v>0</v>
      </c>
      <c r="BY89" s="238">
        <f>IF(AJ89&lt;9,"",SUM(BX89-BW89))</f>
        <v>0</v>
      </c>
      <c r="BZ89" s="238">
        <f>IF(BY89=1,AK89,0)</f>
        <v>0</v>
      </c>
      <c r="CA89" s="243" t="str">
        <f>IF(BY89=0,AK89,0)</f>
        <v/>
      </c>
      <c r="CB89" s="238"/>
      <c r="CC89" s="238"/>
      <c r="CD89" s="242">
        <f>IF(AL83=3,0,IF(W89,V89,0))</f>
        <v>0</v>
      </c>
      <c r="CE89" s="238">
        <f>IF(CD89&gt;0,AX89/3,0)</f>
        <v>0</v>
      </c>
      <c r="CF89" s="238">
        <f>ROUNDUP(CE89,0)</f>
        <v>0</v>
      </c>
      <c r="CG89" s="244">
        <f>IF(MOD(CF89,2)=0,CF89,CF89+1)</f>
        <v>0</v>
      </c>
      <c r="CH89" s="238">
        <f>IF(AX89&lt;9,"",SUM(CG89-CF89))</f>
        <v>0</v>
      </c>
      <c r="CI89" s="238">
        <f>IF(CH89=1,AY89,0)</f>
        <v>0</v>
      </c>
      <c r="CJ89" s="243" t="str">
        <f>IF(CH89=0,AY89,0)</f>
        <v/>
      </c>
      <c r="CK89" s="238"/>
      <c r="CL89" s="245">
        <f>IF(COUNT(F89,H89)=1,0,1)</f>
        <v>1</v>
      </c>
      <c r="CM89" s="245">
        <f>IF(COUNT(F89,U89)=1,0,1)</f>
        <v>1</v>
      </c>
      <c r="CN89" s="245">
        <f>IF(COUNT(H89,W89)=1,0,1)</f>
        <v>1</v>
      </c>
      <c r="CO89" s="245">
        <f>IF(COUNT(G89,V89)=2,0,1)</f>
        <v>1</v>
      </c>
      <c r="CP89" s="245">
        <f>IF(COUNT(U89,W89)=1,0,1)</f>
        <v>1</v>
      </c>
      <c r="CQ89" s="245">
        <f>IF(SUM(G89-V89)&gt;3,1,0)</f>
        <v>0</v>
      </c>
      <c r="CR89" s="245">
        <f>IF(SUM(G89-V89)&lt;-3,1,0)</f>
        <v>0</v>
      </c>
      <c r="CS89" s="264">
        <f>IF(AJ89=9,IF(AH89&lt;141,1,0),IF(AH89="",0,IF(AH89&gt;1,0,1)))</f>
        <v>0</v>
      </c>
      <c r="CT89" s="264">
        <f>IF(AX89=9,IF(AV89&lt;141,1,0),IF(AV89="",0,IF(AV89&gt;1,0,1)))</f>
        <v>0</v>
      </c>
      <c r="CU89" s="264">
        <f>IF(AI89="",0,IF(AI89&lt;502,0,1))</f>
        <v>0</v>
      </c>
      <c r="CV89" s="264">
        <f>IF(AW89="",0,IF(AW89&lt;502,0,1))</f>
        <v>0</v>
      </c>
      <c r="CW89" s="264">
        <f>IF(AI89="",IF(AJ89&lt;9,1,0),IF(AJ89&lt;9,1,0))</f>
        <v>0</v>
      </c>
      <c r="CX89" s="264">
        <f>IF(AW89="",IF(AX89&lt;9,1,0),IF(AX89&lt;9,1,0))</f>
        <v>0</v>
      </c>
      <c r="CY89" s="374"/>
      <c r="CZ89" s="374"/>
      <c r="DA89" s="374"/>
      <c r="DB89" s="374"/>
      <c r="DC89" s="265">
        <f>IF(AJ89="",0,SUM(CL89:CX89))</f>
        <v>0</v>
      </c>
      <c r="DD89" s="265">
        <f>IF(AJ89="",0,SUM(CL89,CS89,CU89,CW89))</f>
        <v>0</v>
      </c>
      <c r="DE89" s="265">
        <f>IF(AJ89="",0,SUM(CP89,CT89,CV89,CX89))</f>
        <v>0</v>
      </c>
      <c r="DF89" s="238"/>
      <c r="DG89" s="248">
        <f>IF(AL83=3,0,SUM(G89-V89))</f>
        <v>0</v>
      </c>
      <c r="DH89" s="245">
        <f>IF(F89="",0,1)</f>
        <v>0</v>
      </c>
      <c r="DI89" s="245">
        <f t="shared" si="188"/>
        <v>0</v>
      </c>
      <c r="DJ89" s="245">
        <f t="shared" si="189"/>
        <v>0</v>
      </c>
      <c r="DK89" s="245" t="str">
        <f>IF(G89="","",IF(DJ89=1,"*",""))</f>
        <v/>
      </c>
      <c r="DL89" s="245" t="str">
        <f>IF(AL83=3,"",IF(G89="","",IF(DJ89=-1,"*",IF(DJ89=0,"*",""))))</f>
        <v/>
      </c>
      <c r="DM89" s="245">
        <v>4</v>
      </c>
      <c r="DN89" s="245" t="str">
        <f t="shared" si="190"/>
        <v>4</v>
      </c>
      <c r="DO89" s="245" t="str">
        <f t="shared" si="191"/>
        <v>4</v>
      </c>
      <c r="DP89" s="245">
        <f>SUM(DQ86)</f>
        <v>0</v>
      </c>
      <c r="DQ89" s="245">
        <f>SUM(DP86)</f>
        <v>0</v>
      </c>
      <c r="DR89" s="245">
        <f t="shared" si="198"/>
        <v>0</v>
      </c>
      <c r="DS89" s="245">
        <f t="shared" si="199"/>
        <v>0</v>
      </c>
      <c r="DT89" s="245">
        <f t="shared" si="200"/>
        <v>0</v>
      </c>
      <c r="DU89" s="245">
        <f>IF(V89="",0,IF(DQ89=DS89,0,1))</f>
        <v>0</v>
      </c>
      <c r="DV89" s="267">
        <f t="shared" si="201"/>
        <v>0</v>
      </c>
      <c r="DW89" s="267">
        <f>IF(V89="",0,SUM(DU89))</f>
        <v>0</v>
      </c>
      <c r="DX89" s="238">
        <f>IF(AK89="",0,1)</f>
        <v>0</v>
      </c>
      <c r="DY89" s="238">
        <f>IF(DG89=-3,1,0)</f>
        <v>0</v>
      </c>
      <c r="DZ89" s="238">
        <f>SUM(DX89:DY89)</f>
        <v>0</v>
      </c>
      <c r="EA89" s="238">
        <f>IF(AK89="",1,0)</f>
        <v>1</v>
      </c>
      <c r="EB89" s="238">
        <f>IF(DG89=3,1,0)</f>
        <v>0</v>
      </c>
      <c r="EC89" s="238">
        <f>SUM(EA89:EB89)</f>
        <v>1</v>
      </c>
      <c r="ED89" s="267">
        <f>IF(EC89=2,1,0)</f>
        <v>0</v>
      </c>
      <c r="EE89" s="267">
        <f>IF(DZ89=2,1,0)</f>
        <v>0</v>
      </c>
      <c r="EG89" s="166"/>
      <c r="EH89" s="238"/>
      <c r="EI89" s="238"/>
      <c r="EJ89" s="238"/>
      <c r="EK89" s="238"/>
      <c r="EL89" s="238"/>
      <c r="EM89" s="245">
        <f>IF(AK89="",0,1)</f>
        <v>0</v>
      </c>
      <c r="EN89" s="245">
        <f>SUM(AK89)</f>
        <v>0</v>
      </c>
      <c r="EO89" s="268">
        <f>SUM(AJ89)</f>
        <v>0</v>
      </c>
      <c r="EP89" s="268">
        <f>SUM(G89/3)</f>
        <v>0</v>
      </c>
      <c r="EQ89" s="268" t="e">
        <f>SUM(EO89/EP89)</f>
        <v>#DIV/0!</v>
      </c>
      <c r="ER89" s="268">
        <f>ROUNDDOWN(EP89,0)</f>
        <v>0</v>
      </c>
      <c r="ES89" s="268">
        <f>SUM(EO89,-ER89*3)</f>
        <v>0</v>
      </c>
      <c r="ET89" s="269" t="b">
        <f>MOD(EN89/1,2)=0</f>
        <v>1</v>
      </c>
      <c r="EU89" s="245">
        <f>IF(ET89=FALSE,1,0)</f>
        <v>0</v>
      </c>
      <c r="EV89" s="245">
        <f>IF(EN89=50,0,IF(EN89&lt;40,1,0))</f>
        <v>1</v>
      </c>
      <c r="EW89" s="245">
        <f>SUM(EU89:EV89)</f>
        <v>1</v>
      </c>
      <c r="EX89" s="267">
        <f>IF(EN89=1,1,IF(EN89=50,0,IF(ES89=1,IF(EN89&gt;40,1,0),0)))</f>
        <v>0</v>
      </c>
      <c r="EY89" s="267">
        <f>IF(ES89=1,IF(EW89=2,1,0),0)+EX89+FB89+FE89</f>
        <v>0</v>
      </c>
      <c r="EZ89" s="245">
        <f>IF(EN89=109,1,IF(EN89=108,1,IF(EN89=106,1,IF(EN89=105,1,IF(EN89=103,1,IF(EN89=102,1,IF(EN89=99,1,0)))))))</f>
        <v>0</v>
      </c>
      <c r="FA89" s="245">
        <f>IF(EN89&gt;110,1,0)</f>
        <v>0</v>
      </c>
      <c r="FB89" s="267">
        <f>IF(ES89=2,SUM(EZ89:FA89),0)</f>
        <v>0</v>
      </c>
      <c r="FC89" s="245">
        <f>IF(EN89=159,1,IF(EN89=162,1,IF(EN89=163,1,IF(EN89=165,1,IF(EN89=166,1,IF(EN89=168,1,IF(EN89=169,1,0)))))))</f>
        <v>0</v>
      </c>
      <c r="FD89" s="245">
        <f>IF(EN89&gt;170,1,0)</f>
        <v>0</v>
      </c>
      <c r="FE89" s="267">
        <f>IF(ES89=0,SUM(FC89:FD89),0)</f>
        <v>0</v>
      </c>
      <c r="FF89" s="251">
        <f t="shared" si="192"/>
        <v>0</v>
      </c>
      <c r="FG89" s="238"/>
      <c r="FH89" s="245">
        <f>IF(AY89="",0,1)</f>
        <v>0</v>
      </c>
      <c r="FI89" s="245">
        <f>SUM(AY89)</f>
        <v>0</v>
      </c>
      <c r="FJ89" s="268">
        <f>SUM(AX89)</f>
        <v>0</v>
      </c>
      <c r="FK89" s="268">
        <f>SUM(V89/3)</f>
        <v>0</v>
      </c>
      <c r="FL89" s="268" t="e">
        <f>SUM(FJ89/FK89)</f>
        <v>#DIV/0!</v>
      </c>
      <c r="FM89" s="268">
        <f>ROUNDDOWN(FK89,0)</f>
        <v>0</v>
      </c>
      <c r="FN89" s="268">
        <f>SUM(FJ89,-FM89*3)</f>
        <v>0</v>
      </c>
      <c r="FO89" s="269" t="b">
        <f>MOD(FI89/1,2)=0</f>
        <v>1</v>
      </c>
      <c r="FP89" s="245">
        <f>IF(FO89=FALSE,1,0)</f>
        <v>0</v>
      </c>
      <c r="FQ89" s="245">
        <f>IF(FI89=50,0,IF(FI89&lt;40,1,0))</f>
        <v>1</v>
      </c>
      <c r="FR89" s="245">
        <f>SUM(FP89:FQ89)</f>
        <v>1</v>
      </c>
      <c r="FS89" s="267">
        <f>IF(FI89=1,1,IF(FI89=50,0,IF(FN89=1,IF(FI89&gt;40,1,0),0)))</f>
        <v>0</v>
      </c>
      <c r="FT89" s="267">
        <f>IF(FN89=1,IF(FR89=2,1,0),0)+FS89+FW89+FZ89</f>
        <v>0</v>
      </c>
      <c r="FU89" s="245">
        <f>IF(FI89=109,1,IF(FI89=108,1,IF(FI89=106,1,IF(FI89=105,1,IF(FI89=103,1,IF(FI89=102,1,IF(FI89=99,1,0)))))))</f>
        <v>0</v>
      </c>
      <c r="FV89" s="245">
        <f>IF(FI89&gt;110,1,0)</f>
        <v>0</v>
      </c>
      <c r="FW89" s="267">
        <f>IF(FN89=2,SUM(FU89:FV89),0)</f>
        <v>0</v>
      </c>
      <c r="FX89" s="245">
        <f>IF(FI89=159,1,IF(FI89=162,1,IF(FI89=163,1,IF(FI89=165,1,IF(FI89=166,1,IF(FI89=168,1,IF(FI89=169,1,0)))))))</f>
        <v>0</v>
      </c>
      <c r="FY89" s="245">
        <f>IF(FI89&gt;170,1,0)</f>
        <v>0</v>
      </c>
      <c r="FZ89" s="267">
        <f>IF(FN89=0,SUM(FX89:FY89),0)</f>
        <v>0</v>
      </c>
      <c r="GA89" s="251">
        <f t="shared" si="193"/>
        <v>0</v>
      </c>
      <c r="GC89" s="238" t="str">
        <f>VLOOKUP(AH83,Chema!BL:BR,4,FALSE)</f>
        <v>GS 1.6</v>
      </c>
      <c r="GD89" s="341">
        <f>IF(T93="FORFAIT",1,0)</f>
        <v>0</v>
      </c>
      <c r="GE89" s="343" t="str">
        <f>IF(R93="","",SUM(R93))</f>
        <v/>
      </c>
      <c r="GF89" s="344">
        <f>SUM(AV86)</f>
        <v>0</v>
      </c>
      <c r="GG89" s="344">
        <f>SUM(AX86)</f>
        <v>0</v>
      </c>
      <c r="GH89" s="344">
        <f t="shared" ref="GH89" si="202">SUM(AY86)</f>
        <v>0</v>
      </c>
      <c r="GI89" s="344">
        <f t="shared" ref="GI89" si="203">SUM(AZ86)</f>
        <v>0</v>
      </c>
      <c r="GJ89" s="344">
        <f>SUM(AV87)</f>
        <v>0</v>
      </c>
      <c r="GK89" s="344">
        <f>SUM(AX87)</f>
        <v>0</v>
      </c>
      <c r="GL89" s="344">
        <f>SUM(AY87)</f>
        <v>0</v>
      </c>
      <c r="GM89" s="344">
        <f>SUM(AZ87)</f>
        <v>0</v>
      </c>
      <c r="GN89" s="344">
        <f>SUM(AV88)</f>
        <v>0</v>
      </c>
      <c r="GO89" s="344">
        <f>SUM(AX88)</f>
        <v>0</v>
      </c>
      <c r="GP89" s="344">
        <f>SUM(AY88)</f>
        <v>0</v>
      </c>
      <c r="GQ89" s="344">
        <f>SUM(AZ88)</f>
        <v>0</v>
      </c>
      <c r="GR89" s="344">
        <f>SUM(AV89)</f>
        <v>0</v>
      </c>
      <c r="GS89" s="344">
        <f>SUM(AX89)</f>
        <v>0</v>
      </c>
      <c r="GT89" s="344">
        <f>SUM(AY89)</f>
        <v>0</v>
      </c>
      <c r="GU89" s="344">
        <f>SUM(AZ89)</f>
        <v>0</v>
      </c>
      <c r="GV89" s="344">
        <f>SUM(AV90)</f>
        <v>0</v>
      </c>
      <c r="GW89" s="344">
        <f>SUM(AX90)</f>
        <v>0</v>
      </c>
      <c r="GX89" s="344">
        <f>SUM(AY90)</f>
        <v>0</v>
      </c>
      <c r="GY89" s="344">
        <f>SUM(AZ90)</f>
        <v>0</v>
      </c>
      <c r="GZ89" s="344">
        <f>SUM(GF89,GJ89,GN89,GR89,GV89)</f>
        <v>0</v>
      </c>
      <c r="HA89" s="344">
        <f t="shared" ref="HA89" si="204">SUM(GG89,GK89,GO89,GS89,GW89)</f>
        <v>0</v>
      </c>
      <c r="HB89" s="344">
        <f>IF(GD86=1,P93,MAX(GH89,GL89,GP89,GT89,GX89))</f>
        <v>0</v>
      </c>
      <c r="HC89" s="344">
        <f>IF(GD86=1,X93,SUM(GI89,GM89,GQ89,GU89,GY89))</f>
        <v>0</v>
      </c>
      <c r="HD89" s="345">
        <f>IF(GD86=1,0,SUM(GF89,GJ89,GN89,GR89,GV89))</f>
        <v>0</v>
      </c>
      <c r="HE89" s="345">
        <f>IF(GD86=1,0,SUM(GG89,GK89,GO89,GS89,GW89))</f>
        <v>0</v>
      </c>
      <c r="HF89" s="341">
        <f>IF(GD86=1,0,MIN(HI89,HJ89,HK89,HL89,HM89))</f>
        <v>0</v>
      </c>
      <c r="HG89" s="341">
        <f>IF(HF89=0,0,COUNTIF(HI89:HM89,HF89))</f>
        <v>0</v>
      </c>
      <c r="HH89" s="341">
        <f>SUM(GH90,GL90,GP90,GT90,GX90)</f>
        <v>0</v>
      </c>
      <c r="HI89" s="343" t="str">
        <f>IF(GH90=1,GG89,"")</f>
        <v/>
      </c>
      <c r="HJ89" s="343" t="str">
        <f>IF(GL90=1,GK89,"")</f>
        <v/>
      </c>
      <c r="HK89" s="343" t="str">
        <f>IF(GP90=1,GO89,"")</f>
        <v/>
      </c>
      <c r="HL89" s="343" t="str">
        <f>IF(GT90=1,GS89,"")</f>
        <v/>
      </c>
      <c r="HM89" s="343" t="str">
        <f>IF(GX90=1,GW89,"")</f>
        <v/>
      </c>
      <c r="HN89" s="341"/>
      <c r="HO89" s="341"/>
      <c r="HP89" s="341"/>
      <c r="HQ89" s="341"/>
      <c r="HR89" s="341"/>
      <c r="HS89" s="238"/>
      <c r="HT89" s="238"/>
      <c r="HU89" s="238"/>
      <c r="HV89" s="238"/>
      <c r="HW89" s="238" t="str">
        <f>IFERROR(IF(GD86=0,SUM(IB88:IC88),""),"")</f>
        <v/>
      </c>
      <c r="HY89" s="238"/>
      <c r="ID89" s="238"/>
    </row>
    <row r="90" spans="1:238" s="234" customFormat="1" ht="20.100000000000001" customHeight="1">
      <c r="A90" s="235"/>
      <c r="B90" s="231">
        <f>COUNT(AJ91,AJ90)</f>
        <v>1</v>
      </c>
      <c r="C90" s="235"/>
      <c r="D90" s="271" t="str">
        <f>REPT(DN90,1)</f>
        <v>5</v>
      </c>
      <c r="E90" s="254" t="str">
        <f>REPT(AH90,1)</f>
        <v/>
      </c>
      <c r="F90" s="168"/>
      <c r="G90" s="168"/>
      <c r="H90" s="168"/>
      <c r="I90" s="169"/>
      <c r="J90" s="272" t="str">
        <f>REPT(AM90,1)</f>
        <v/>
      </c>
      <c r="L90" s="310"/>
      <c r="M90" s="310"/>
      <c r="N90" s="272" t="str">
        <f>REPT(AP90,1)</f>
        <v/>
      </c>
      <c r="O90" s="118"/>
      <c r="Q90" s="310"/>
      <c r="R90" s="235"/>
      <c r="S90" s="271" t="str">
        <f>REPT(DO90,1)</f>
        <v>5</v>
      </c>
      <c r="T90" s="254" t="str">
        <f>REPT(AV90,1)</f>
        <v/>
      </c>
      <c r="U90" s="168"/>
      <c r="V90" s="168"/>
      <c r="W90" s="168"/>
      <c r="X90" s="169"/>
      <c r="Y90" s="272" t="str">
        <f>REPT(BA90,1)</f>
        <v/>
      </c>
      <c r="Z90" s="308"/>
      <c r="AA90" s="238">
        <f>SUM(AL83)</f>
        <v>5</v>
      </c>
      <c r="AB90" s="234">
        <f>IF(AY90="",0,IF(AY90&lt;2,1,""))</f>
        <v>0</v>
      </c>
      <c r="AC90" s="238">
        <f>IF(AL83=3,0,IF(AD90=1,1,IF(AD90=3,1,IF(AD90=2,0,IF(AD90=0,0,0)))))</f>
        <v>0</v>
      </c>
      <c r="AD90" s="256">
        <f t="shared" si="182"/>
        <v>0</v>
      </c>
      <c r="AE90" s="256">
        <f t="shared" si="176"/>
        <v>0</v>
      </c>
      <c r="AF90" s="256">
        <f t="shared" si="177"/>
        <v>0</v>
      </c>
      <c r="AG90" s="256">
        <f t="shared" si="183"/>
        <v>0</v>
      </c>
      <c r="AH90" s="257" t="str">
        <f>IF(AL83=3,"",IF(AK90="",IF(AI90="","",IF(AI90="",501,501-AI90)),501))</f>
        <v/>
      </c>
      <c r="AI90" s="256" t="str">
        <f>IF(AL83=3,"",IF(F90&gt;1,F90,IF(F90=0,"",IF(F90="","",""))))</f>
        <v/>
      </c>
      <c r="AJ90" s="256" t="str">
        <f>IF(AL83=3,"",IF(G90&gt;8,G90,IF(G90="","","")))</f>
        <v/>
      </c>
      <c r="AK90" s="256" t="str">
        <f>IF(AL83=3,"",IF(H90&gt;1,H90,IF(H90="","","")))</f>
        <v/>
      </c>
      <c r="AL90" s="256" t="str">
        <f>IF(AL83=3,"",IF(I90&gt;0,I90,IF(I90="","","")))</f>
        <v/>
      </c>
      <c r="AM90" s="258" t="str">
        <f>IF(BK90=0,"","X")</f>
        <v/>
      </c>
      <c r="AN90" s="237"/>
      <c r="AO90" s="237"/>
      <c r="AP90" s="258" t="str">
        <f>IF(BM90=0,"","X")</f>
        <v/>
      </c>
      <c r="AQ90" s="236">
        <f>IF(AL83=3,0,IF(AR90=1,1,IF(AR90=3,1,IF(AR90=2,0,IF(AR90=0,0,0)))))</f>
        <v>0</v>
      </c>
      <c r="AR90" s="256">
        <f t="shared" si="185"/>
        <v>0</v>
      </c>
      <c r="AS90" s="256">
        <f t="shared" si="178"/>
        <v>0</v>
      </c>
      <c r="AT90" s="256">
        <f t="shared" si="179"/>
        <v>0</v>
      </c>
      <c r="AU90" s="256">
        <f t="shared" si="186"/>
        <v>0</v>
      </c>
      <c r="AV90" s="257" t="str">
        <f>IF(AY90="",IF(AW90="","",IF(AW90="",501,501-AW90)),501)</f>
        <v/>
      </c>
      <c r="AW90" s="256" t="str">
        <f>IF(AL83=3,"",IF(U90&gt;1,U90,IF(U90=0,"",IF(U90="","",""))))</f>
        <v/>
      </c>
      <c r="AX90" s="256" t="str">
        <f>IF(AL83=3,"",IF(V90&gt;8,V90,IF(V90="","","")))</f>
        <v/>
      </c>
      <c r="AY90" s="256" t="str">
        <f>IF(AL83=3,"",IF(W90&gt;1,W90,IF(W90="","","")))</f>
        <v/>
      </c>
      <c r="AZ90" s="256" t="str">
        <f>IF(AL83=3,"",IF(X90&gt;0,X90,IF(X90="","","")))</f>
        <v/>
      </c>
      <c r="BA90" s="258" t="str">
        <f>IF(BL90=0,"","X")</f>
        <v/>
      </c>
      <c r="BK90" s="251">
        <f>IF(AL83=3,0,SUM(DD90,DV90,EY90,ED90,FF90,BQ90,BS90,AC90))</f>
        <v>0</v>
      </c>
      <c r="BL90" s="251">
        <f>SUM(DE90,DW90,EE90,FT90,GA90,BR90,BT90,AQ90)</f>
        <v>0</v>
      </c>
      <c r="BM90" s="259">
        <f>IF(AL83=3,0,SUM(DC90,BK90:BL90,AC90,AQ90))</f>
        <v>0</v>
      </c>
      <c r="BN90" s="239">
        <f>COUNT(AK90)</f>
        <v>0</v>
      </c>
      <c r="BO90" s="239">
        <f>COUNT(AY90)</f>
        <v>0</v>
      </c>
      <c r="BP90" s="239">
        <f>IF(BN92=0,0,1)</f>
        <v>0</v>
      </c>
      <c r="BQ90" s="260">
        <f>IF(AL90="",0,IF(AL90&gt;2,1,0))</f>
        <v>0</v>
      </c>
      <c r="BR90" s="261">
        <f>IF(AZ90="",0,IF(AZ90&gt;2,1,0))</f>
        <v>0</v>
      </c>
      <c r="BS90" s="262">
        <f>IF(AJ90=9,IF(AK90&lt;141,1,0),0)</f>
        <v>0</v>
      </c>
      <c r="BT90" s="263">
        <f>IF(AX90=9,IF(AY90&lt;141,1,0),0)</f>
        <v>0</v>
      </c>
      <c r="BU90" s="242">
        <f>IF(AL83=3,0,IF(H90,G90,0))</f>
        <v>0</v>
      </c>
      <c r="BV90" s="238">
        <f>IF(BU90&gt;0,AJ90/3,0)</f>
        <v>0</v>
      </c>
      <c r="BW90" s="238">
        <f>ROUNDUP(BV90,0)</f>
        <v>0</v>
      </c>
      <c r="BX90" s="244">
        <f>IF(MOD(BW90,2)=0,BW90,BW90+1)</f>
        <v>0</v>
      </c>
      <c r="BY90" s="238">
        <f>IF(AJ90&lt;9,"",SUM(BX90-BW90))</f>
        <v>0</v>
      </c>
      <c r="BZ90" s="238">
        <f>IF(BY90=1,AK90,0)</f>
        <v>0</v>
      </c>
      <c r="CA90" s="243" t="str">
        <f>IF(BY90=0,AK90,0)</f>
        <v/>
      </c>
      <c r="CB90" s="238"/>
      <c r="CC90" s="238"/>
      <c r="CD90" s="242">
        <f>IF(AL83=3,0,IF(W90,V90,0))</f>
        <v>0</v>
      </c>
      <c r="CE90" s="238">
        <f>IF(CD90&gt;0,AX90/3,0)</f>
        <v>0</v>
      </c>
      <c r="CF90" s="238">
        <f>ROUNDUP(CE90,0)</f>
        <v>0</v>
      </c>
      <c r="CG90" s="244">
        <f>IF(MOD(CF90,2)=0,CF90,CF90+1)</f>
        <v>0</v>
      </c>
      <c r="CH90" s="238">
        <f>IF(AX90&lt;9,"",SUM(CG90-CF90))</f>
        <v>0</v>
      </c>
      <c r="CI90" s="238">
        <f>IF(CH90=1,AY90,0)</f>
        <v>0</v>
      </c>
      <c r="CJ90" s="243" t="str">
        <f>IF(CH90=0,AY90,0)</f>
        <v/>
      </c>
      <c r="CK90" s="238"/>
      <c r="CL90" s="245">
        <f>IF(COUNT(F90,H90)=1,0,1)</f>
        <v>1</v>
      </c>
      <c r="CM90" s="245">
        <f>IF(COUNT(F90,U90)=1,0,1)</f>
        <v>1</v>
      </c>
      <c r="CN90" s="245">
        <f>IF(COUNT(H90,W90)=1,0,1)</f>
        <v>1</v>
      </c>
      <c r="CO90" s="245">
        <f>IF(COUNT(G90,V90)=2,0,1)</f>
        <v>1</v>
      </c>
      <c r="CP90" s="245">
        <f>IF(COUNT(U90,W90)=1,0,1)</f>
        <v>1</v>
      </c>
      <c r="CQ90" s="245">
        <f>IF(SUM(G90-V90)&gt;3,1,0)</f>
        <v>0</v>
      </c>
      <c r="CR90" s="245">
        <f>IF(SUM(G90-V90)&lt;-3,1,0)</f>
        <v>0</v>
      </c>
      <c r="CS90" s="264">
        <f>IF(AJ90=9,IF(AH90&lt;141,1,0),IF(AH90="",0,IF(AH90&gt;1,0,1)))</f>
        <v>0</v>
      </c>
      <c r="CT90" s="264">
        <f>IF(AX90=9,IF(AV90&lt;141,1,0),IF(AV90="",0,IF(AV90&gt;1,0,1)))</f>
        <v>0</v>
      </c>
      <c r="CU90" s="264">
        <f>IF(AI90="",0,IF(AI90&lt;502,0,1))</f>
        <v>0</v>
      </c>
      <c r="CV90" s="264">
        <f>IF(AW90="",0,IF(AW90&lt;502,0,1))</f>
        <v>0</v>
      </c>
      <c r="CW90" s="264">
        <f>IF(AI90="",IF(AJ90&lt;9,1,0),IF(AJ90&lt;9,1,0))</f>
        <v>0</v>
      </c>
      <c r="CX90" s="264">
        <f>IF(AW90="",IF(AX90&lt;9,1,0),IF(AX90&lt;9,1,0))</f>
        <v>0</v>
      </c>
      <c r="CY90" s="374"/>
      <c r="CZ90" s="374"/>
      <c r="DA90" s="374"/>
      <c r="DB90" s="374"/>
      <c r="DC90" s="265">
        <f>IF(AJ90="",0,SUM(CL90:CX90))</f>
        <v>0</v>
      </c>
      <c r="DD90" s="265">
        <f>IF(AJ90="",0,SUM(CL90,CS90,CU90,CW90))</f>
        <v>0</v>
      </c>
      <c r="DE90" s="265">
        <f>IF(AJ90="",0,SUM(CP90,CT90,CV90,CX90))</f>
        <v>0</v>
      </c>
      <c r="DF90" s="238"/>
      <c r="DG90" s="248">
        <f>IF(AL83=3,0,SUM(G90-V90))</f>
        <v>0</v>
      </c>
      <c r="DH90" s="245">
        <f>IF(F90="",0,1)</f>
        <v>0</v>
      </c>
      <c r="DI90" s="245">
        <f t="shared" si="188"/>
        <v>0</v>
      </c>
      <c r="DJ90" s="245">
        <f t="shared" si="189"/>
        <v>0</v>
      </c>
      <c r="DK90" s="245" t="str">
        <f>IF(G90="","",IF(DJ90=1,"*",""))</f>
        <v/>
      </c>
      <c r="DL90" s="245" t="str">
        <f>IF(AL83=3,"",IF(G90="","",IF(DJ90=-1,"*",IF(DJ90=0,"*",""))))</f>
        <v/>
      </c>
      <c r="DM90" s="245">
        <v>5</v>
      </c>
      <c r="DN90" s="245" t="str">
        <f t="shared" si="190"/>
        <v>5</v>
      </c>
      <c r="DO90" s="245" t="str">
        <f t="shared" si="191"/>
        <v>5</v>
      </c>
      <c r="DP90" s="245">
        <f>SUM(DP86)</f>
        <v>0</v>
      </c>
      <c r="DQ90" s="245">
        <f>SUM(DQ86)</f>
        <v>0</v>
      </c>
      <c r="DR90" s="245">
        <f t="shared" si="198"/>
        <v>0</v>
      </c>
      <c r="DS90" s="245">
        <f t="shared" si="199"/>
        <v>0</v>
      </c>
      <c r="DT90" s="245">
        <f t="shared" si="200"/>
        <v>0</v>
      </c>
      <c r="DU90" s="245">
        <f>IF(V90="",0,IF(DQ90=DS90,0,1))</f>
        <v>0</v>
      </c>
      <c r="DV90" s="267">
        <f t="shared" si="201"/>
        <v>0</v>
      </c>
      <c r="DW90" s="267">
        <f>IF(V90="",0,SUM(DU90))</f>
        <v>0</v>
      </c>
      <c r="DX90" s="238">
        <f>IF(AK90="",0,1)</f>
        <v>0</v>
      </c>
      <c r="DY90" s="238">
        <f>IF(DG90=-3,1,0)</f>
        <v>0</v>
      </c>
      <c r="DZ90" s="238">
        <f>SUM(DX90:DY90)</f>
        <v>0</v>
      </c>
      <c r="EA90" s="238">
        <f>IF(AK90="",1,0)</f>
        <v>1</v>
      </c>
      <c r="EB90" s="238">
        <f>IF(DG90=3,1,0)</f>
        <v>0</v>
      </c>
      <c r="EC90" s="238">
        <f>SUM(EA90:EB90)</f>
        <v>1</v>
      </c>
      <c r="ED90" s="267">
        <f>IF(EC90=2,1,0)</f>
        <v>0</v>
      </c>
      <c r="EE90" s="267">
        <f>IF(DZ90=2,1,0)</f>
        <v>0</v>
      </c>
      <c r="EG90" s="166"/>
      <c r="EH90" s="238"/>
      <c r="EI90" s="238"/>
      <c r="EJ90" s="238"/>
      <c r="EK90" s="238"/>
      <c r="EL90" s="238"/>
      <c r="EM90" s="245">
        <f>IF(AK90="",0,1)</f>
        <v>0</v>
      </c>
      <c r="EN90" s="245">
        <f>SUM(AK90)</f>
        <v>0</v>
      </c>
      <c r="EO90" s="268">
        <f>SUM(AJ90)</f>
        <v>0</v>
      </c>
      <c r="EP90" s="268">
        <f>SUM(G90/3)</f>
        <v>0</v>
      </c>
      <c r="EQ90" s="268" t="e">
        <f>SUM(EO90/EP90)</f>
        <v>#DIV/0!</v>
      </c>
      <c r="ER90" s="268">
        <f>ROUNDDOWN(EP90,0)</f>
        <v>0</v>
      </c>
      <c r="ES90" s="268">
        <f>SUM(EO90,-ER90*3)</f>
        <v>0</v>
      </c>
      <c r="ET90" s="269" t="b">
        <f>MOD(EN90/1,2)=0</f>
        <v>1</v>
      </c>
      <c r="EU90" s="245">
        <f>IF(ET90=FALSE,1,0)</f>
        <v>0</v>
      </c>
      <c r="EV90" s="245">
        <f>IF(EN90=50,0,IF(EN90&lt;40,1,0))</f>
        <v>1</v>
      </c>
      <c r="EW90" s="245">
        <f>SUM(EU90:EV90)</f>
        <v>1</v>
      </c>
      <c r="EX90" s="267">
        <f>IF(EN90=1,1,IF(EN90=50,0,IF(ES90=1,IF(EN90&gt;40,1,0),0)))</f>
        <v>0</v>
      </c>
      <c r="EY90" s="267">
        <f>IF(ES90=1,IF(EW90=2,1,0),0)+EX90+FB90+FE90</f>
        <v>0</v>
      </c>
      <c r="EZ90" s="245">
        <f>IF(EN90=109,1,IF(EN90=108,1,IF(EN90=106,1,IF(EN90=105,1,IF(EN90=103,1,IF(EN90=102,1,IF(EN90=99,1,0)))))))</f>
        <v>0</v>
      </c>
      <c r="FA90" s="245">
        <f>IF(EN90&gt;110,1,0)</f>
        <v>0</v>
      </c>
      <c r="FB90" s="267">
        <f>IF(ES90=2,SUM(EZ90:FA90),0)</f>
        <v>0</v>
      </c>
      <c r="FC90" s="245">
        <f>IF(EN90=159,1,IF(EN90=162,1,IF(EN90=163,1,IF(EN90=165,1,IF(EN90=166,1,IF(EN90=168,1,IF(EN90=169,1,0)))))))</f>
        <v>0</v>
      </c>
      <c r="FD90" s="245">
        <f>IF(EN90&gt;170,1,0)</f>
        <v>0</v>
      </c>
      <c r="FE90" s="267">
        <f>IF(ES90=0,SUM(FC90:FD90),0)</f>
        <v>0</v>
      </c>
      <c r="FF90" s="251">
        <f t="shared" si="192"/>
        <v>0</v>
      </c>
      <c r="FG90" s="238"/>
      <c r="FH90" s="245">
        <f>IF(AY90="",0,1)</f>
        <v>0</v>
      </c>
      <c r="FI90" s="245">
        <f>SUM(AY90)</f>
        <v>0</v>
      </c>
      <c r="FJ90" s="268">
        <f>SUM(AX90)</f>
        <v>0</v>
      </c>
      <c r="FK90" s="268">
        <f>SUM(V90/3)</f>
        <v>0</v>
      </c>
      <c r="FL90" s="268" t="e">
        <f>SUM(FJ90/FK90)</f>
        <v>#DIV/0!</v>
      </c>
      <c r="FM90" s="268">
        <f>ROUNDDOWN(FK90,0)</f>
        <v>0</v>
      </c>
      <c r="FN90" s="268">
        <f>SUM(FJ90,-FM90*3)</f>
        <v>0</v>
      </c>
      <c r="FO90" s="269" t="b">
        <f>MOD(FI90/1,2)=0</f>
        <v>1</v>
      </c>
      <c r="FP90" s="245">
        <f>IF(FO90=FALSE,1,0)</f>
        <v>0</v>
      </c>
      <c r="FQ90" s="245">
        <f>IF(FI90=50,0,IF(FI90&lt;40,1,0))</f>
        <v>1</v>
      </c>
      <c r="FR90" s="245">
        <f>SUM(FP90:FQ90)</f>
        <v>1</v>
      </c>
      <c r="FS90" s="267">
        <f>IF(FI90=1,1,IF(FI90=50,0,IF(FN90=1,IF(FI90&gt;40,1,0),0)))</f>
        <v>0</v>
      </c>
      <c r="FT90" s="267">
        <f>IF(FN90=1,IF(FR90=2,1,0),0)+FS90+FW90+FZ90</f>
        <v>0</v>
      </c>
      <c r="FU90" s="245">
        <f>IF(FI90=109,1,IF(FI90=108,1,IF(FI90=106,1,IF(FI90=105,1,IF(FI90=103,1,IF(FI90=102,1,IF(FI90=99,1,0)))))))</f>
        <v>0</v>
      </c>
      <c r="FV90" s="245">
        <f>IF(FI90&gt;110,1,0)</f>
        <v>0</v>
      </c>
      <c r="FW90" s="267">
        <f>IF(FN90=2,SUM(FU90:FV90),0)</f>
        <v>0</v>
      </c>
      <c r="FX90" s="245">
        <f>IF(FI90=159,1,IF(FI90=162,1,IF(FI90=163,1,IF(FI90=165,1,IF(FI90=166,1,IF(FI90=168,1,IF(FI90=169,1,0)))))))</f>
        <v>0</v>
      </c>
      <c r="FY90" s="245">
        <f>IF(FI90&gt;170,1,0)</f>
        <v>0</v>
      </c>
      <c r="FZ90" s="267">
        <f>IF(FN90=0,SUM(FX90:FY90),0)</f>
        <v>0</v>
      </c>
      <c r="GA90" s="251">
        <f t="shared" si="193"/>
        <v>0</v>
      </c>
      <c r="GC90" s="238" t="str">
        <f>VLOOKUP(AH83,Chema!BL:BR,5,FALSE)</f>
        <v/>
      </c>
      <c r="GD90" s="341"/>
      <c r="GE90" s="343" t="str">
        <f>IF(R94="","",SUM(R94))</f>
        <v/>
      </c>
      <c r="GF90" s="340"/>
      <c r="GG90" s="346"/>
      <c r="GH90" s="343">
        <f>IF(GH89&gt;0,1,0)</f>
        <v>0</v>
      </c>
      <c r="GI90" s="346"/>
      <c r="GJ90" s="343"/>
      <c r="GK90" s="346"/>
      <c r="GL90" s="343">
        <f>IF(GL89&gt;0,1,0)</f>
        <v>0</v>
      </c>
      <c r="GM90" s="343"/>
      <c r="GN90" s="343"/>
      <c r="GO90" s="346"/>
      <c r="GP90" s="343">
        <f>IF(GP89&gt;0,1,0)</f>
        <v>0</v>
      </c>
      <c r="GQ90" s="343"/>
      <c r="GR90" s="343"/>
      <c r="GS90" s="346"/>
      <c r="GT90" s="343">
        <f>IF(GT89&gt;0,1,0)</f>
        <v>0</v>
      </c>
      <c r="GU90" s="343"/>
      <c r="GV90" s="343"/>
      <c r="GW90" s="346"/>
      <c r="GX90" s="343">
        <f>IF(GX89&gt;0,1,0)</f>
        <v>0</v>
      </c>
      <c r="GY90" s="340"/>
      <c r="GZ90" s="343"/>
      <c r="HA90" s="343"/>
      <c r="HB90" s="343" t="str">
        <f>IF(GD86=1,P94,"")</f>
        <v/>
      </c>
      <c r="HC90" s="343" t="str">
        <f>IF(GD86=1,X94,"")</f>
        <v/>
      </c>
      <c r="HD90" s="340"/>
      <c r="HE90" s="340"/>
      <c r="HF90" s="340"/>
      <c r="HG90" s="340">
        <f>IF(HG88=HM86,0,IF(HG88=HM90,0,1))</f>
        <v>0</v>
      </c>
      <c r="HH90" s="340">
        <f>IF(HH87=HH89,1,0)</f>
        <v>1</v>
      </c>
      <c r="HI90" s="340"/>
      <c r="HJ90" s="340"/>
      <c r="HK90" s="340"/>
      <c r="HL90" s="340"/>
      <c r="HM90" s="341">
        <f>COUNT(HI89,HJ89,HK89,HL89,HM89)</f>
        <v>0</v>
      </c>
      <c r="HN90" s="341"/>
      <c r="HO90" s="341"/>
      <c r="HP90" s="341"/>
      <c r="HQ90" s="341"/>
      <c r="HR90" s="341"/>
      <c r="HS90" s="238"/>
      <c r="HT90" s="238"/>
      <c r="HU90" s="238"/>
      <c r="HV90" s="238"/>
      <c r="HX90" s="238"/>
      <c r="HY90" s="238"/>
      <c r="ID90" s="238"/>
    </row>
    <row r="91" spans="1:238" s="234" customFormat="1" ht="6.6" customHeight="1">
      <c r="A91" s="235"/>
      <c r="B91" s="231"/>
      <c r="C91" s="310"/>
      <c r="D91" s="310"/>
      <c r="E91" s="310"/>
      <c r="F91" s="310"/>
      <c r="G91" s="313"/>
      <c r="H91" s="310"/>
      <c r="I91" s="310"/>
      <c r="J91" s="273"/>
      <c r="K91" s="313"/>
      <c r="O91" s="118"/>
      <c r="R91" s="310"/>
      <c r="S91" s="310"/>
      <c r="T91" s="310"/>
      <c r="U91" s="310"/>
      <c r="V91" s="313"/>
      <c r="W91" s="310"/>
      <c r="X91" s="310"/>
      <c r="Y91" s="273"/>
      <c r="Z91" s="308"/>
      <c r="AA91" s="274"/>
      <c r="AD91" s="235"/>
      <c r="AE91" s="237">
        <f>IF(AF91=0,0,1)</f>
        <v>0</v>
      </c>
      <c r="AF91" s="237">
        <f>IF(AL91=0,0,SUM(AL93:AL94,-AL92))</f>
        <v>0</v>
      </c>
      <c r="AG91" s="237"/>
      <c r="AH91" s="275">
        <f>SUM(AH86,AH87,AH88,AH89,AH90)</f>
        <v>0</v>
      </c>
      <c r="AI91" s="275">
        <f t="shared" ref="AI91" si="205">SUM(AI86,AI87,AI88,AI89,AI90)</f>
        <v>0</v>
      </c>
      <c r="AJ91" s="275">
        <f t="shared" ref="AJ91" si="206">SUM(AJ86,AJ87,AJ88,AJ89,AJ90)</f>
        <v>0</v>
      </c>
      <c r="AK91" s="275">
        <f>MAX(AK86,AK87,AK88,AK89,AK90)</f>
        <v>0</v>
      </c>
      <c r="AL91" s="275">
        <f t="shared" ref="AL91" si="207">SUM(AL86,AL87,AL88,AL89,AL90)</f>
        <v>0</v>
      </c>
      <c r="AM91" s="275">
        <f>IF(AK83="D",SUM(AL86,AL87,AL88,AL89,AL90,-AL93,-AL94),0)</f>
        <v>0</v>
      </c>
      <c r="AN91" s="235"/>
      <c r="AO91" s="235"/>
      <c r="AP91" s="235"/>
      <c r="AQ91" s="235"/>
      <c r="AR91" s="235"/>
      <c r="AS91" s="237">
        <f>IF(AT91=0,0,1)</f>
        <v>0</v>
      </c>
      <c r="AT91" s="237">
        <f>IF(AZ91=0,0,SUM(AZ93:AZ94,-AZ92))</f>
        <v>0</v>
      </c>
      <c r="AU91" s="237"/>
      <c r="AV91" s="275">
        <f>SUM(AV86,AV87,AV88,AV89,AV90)</f>
        <v>0</v>
      </c>
      <c r="AW91" s="275">
        <f t="shared" ref="AW91" si="208">SUM(AW86,AW87,AW88,AW89,AW90)</f>
        <v>0</v>
      </c>
      <c r="AX91" s="275">
        <f t="shared" ref="AX91" si="209">SUM(AX86,AX87,AX88,AX89,AX90)</f>
        <v>0</v>
      </c>
      <c r="AY91" s="275">
        <f>MAX(AY86,AY87,AY88,AY89,AY90)</f>
        <v>0</v>
      </c>
      <c r="AZ91" s="275">
        <f t="shared" ref="AZ91" si="210">SUM(AZ86,AZ87,AZ88,AZ89,AZ90)</f>
        <v>0</v>
      </c>
      <c r="BA91" s="275">
        <f>IF(AK83="D",SUM(AZ86,AZ87,AZ88,AZ89,AZ90,-AZ93,-AZ94),0)</f>
        <v>0</v>
      </c>
      <c r="BJ91" s="236"/>
      <c r="BK91" s="238"/>
      <c r="BL91" s="238"/>
      <c r="BM91" s="238"/>
      <c r="BP91" s="238"/>
      <c r="BQ91" s="238"/>
      <c r="BR91" s="238"/>
      <c r="BS91" s="238"/>
      <c r="BT91" s="238"/>
      <c r="BU91" s="238"/>
      <c r="BY91" s="238"/>
      <c r="BZ91" s="238">
        <f>MAX(BZ86,BZ87,BZ88,BZ89,BZ90)</f>
        <v>0</v>
      </c>
      <c r="CA91" s="238">
        <f>MAX(CA86,CA87,CA88,CA89,CA90)</f>
        <v>0</v>
      </c>
      <c r="CB91" s="238"/>
      <c r="CC91" s="238"/>
      <c r="CD91" s="238"/>
      <c r="CG91" s="244"/>
      <c r="CH91" s="238"/>
      <c r="CI91" s="238">
        <f>MAX(CI86,CI87,CI88,CI89,CI90)</f>
        <v>0</v>
      </c>
      <c r="CJ91" s="238">
        <f>MAX(CJ86,CJ87,CJ88,CJ89,CJ90)</f>
        <v>0</v>
      </c>
      <c r="CK91" s="238"/>
      <c r="CL91" s="238"/>
      <c r="CM91" s="238"/>
      <c r="CN91" s="238"/>
      <c r="CO91" s="238"/>
      <c r="CP91" s="238"/>
      <c r="CQ91" s="238"/>
      <c r="CR91" s="238"/>
      <c r="CS91" s="238"/>
      <c r="CT91" s="238"/>
      <c r="CU91" s="238"/>
      <c r="CV91" s="238"/>
      <c r="CW91" s="238"/>
      <c r="CX91" s="238"/>
      <c r="CY91" s="238"/>
      <c r="CZ91" s="238"/>
      <c r="DA91" s="238"/>
      <c r="DB91" s="238"/>
      <c r="DC91" s="238"/>
      <c r="DD91" s="238"/>
      <c r="DE91" s="238"/>
      <c r="DF91" s="238"/>
      <c r="DG91" s="238"/>
      <c r="DH91" s="238"/>
      <c r="DI91" s="238"/>
      <c r="DJ91" s="238"/>
      <c r="DK91" s="238"/>
      <c r="DL91" s="238"/>
      <c r="DM91" s="238"/>
      <c r="DN91" s="238"/>
      <c r="DO91" s="238"/>
      <c r="DP91" s="238"/>
      <c r="DQ91" s="238"/>
      <c r="DR91" s="238"/>
      <c r="DS91" s="238"/>
      <c r="DT91" s="238"/>
      <c r="DU91" s="238"/>
      <c r="DV91" s="238"/>
      <c r="DW91" s="238"/>
      <c r="DX91" s="238"/>
      <c r="DY91" s="238"/>
      <c r="DZ91" s="238"/>
      <c r="EA91" s="238"/>
      <c r="EB91" s="238"/>
      <c r="EC91" s="238"/>
      <c r="ED91" s="238"/>
      <c r="EE91" s="238"/>
      <c r="EF91" s="238"/>
      <c r="EG91" s="238"/>
      <c r="EH91" s="238"/>
      <c r="EI91" s="238"/>
      <c r="EJ91" s="238"/>
      <c r="EK91" s="238"/>
      <c r="EL91" s="238"/>
      <c r="EM91" s="166"/>
      <c r="EN91" s="166"/>
      <c r="EO91" s="166"/>
      <c r="EP91" s="238">
        <f>SUM(EN91-EO91)</f>
        <v>0</v>
      </c>
      <c r="EQ91" s="238"/>
      <c r="ER91" s="238"/>
      <c r="ES91" s="238"/>
      <c r="ET91" s="244"/>
      <c r="EU91" s="238"/>
      <c r="EV91" s="238"/>
      <c r="EW91" s="238"/>
      <c r="EX91" s="238"/>
      <c r="EY91" s="238"/>
      <c r="EZ91" s="238"/>
      <c r="FA91" s="238"/>
      <c r="FB91" s="238"/>
      <c r="FC91" s="238"/>
      <c r="FD91" s="238"/>
      <c r="FE91" s="238"/>
      <c r="FF91" s="238"/>
      <c r="FG91" s="238"/>
      <c r="FH91" s="238"/>
      <c r="FI91" s="238"/>
      <c r="FJ91" s="238"/>
      <c r="FK91" s="238"/>
      <c r="FL91" s="238"/>
      <c r="FM91" s="238"/>
      <c r="FN91" s="238"/>
      <c r="FO91" s="244"/>
      <c r="FP91" s="238"/>
      <c r="FQ91" s="238"/>
      <c r="FR91" s="238"/>
      <c r="FS91" s="238"/>
      <c r="FT91" s="238"/>
      <c r="FU91" s="238"/>
      <c r="FV91" s="238"/>
      <c r="FW91" s="238"/>
      <c r="FX91" s="238"/>
      <c r="FY91" s="238"/>
      <c r="FZ91" s="238"/>
      <c r="GA91" s="238"/>
      <c r="GB91" s="238"/>
      <c r="GC91" s="238"/>
      <c r="GD91" s="341"/>
      <c r="GE91" s="340"/>
      <c r="GF91" s="340"/>
      <c r="GG91" s="340"/>
      <c r="GH91" s="340"/>
      <c r="GI91" s="340"/>
      <c r="GJ91" s="340"/>
      <c r="GK91" s="340"/>
      <c r="GL91" s="340"/>
      <c r="GM91" s="340"/>
      <c r="GN91" s="340"/>
      <c r="GO91" s="340"/>
      <c r="GP91" s="340"/>
      <c r="GQ91" s="340"/>
      <c r="GR91" s="340"/>
      <c r="GS91" s="340"/>
      <c r="GT91" s="340"/>
      <c r="GU91" s="340"/>
      <c r="GV91" s="340"/>
      <c r="GW91" s="340"/>
      <c r="GX91" s="340"/>
      <c r="GY91" s="340"/>
      <c r="GZ91" s="340"/>
      <c r="HA91" s="340"/>
      <c r="HB91" s="340"/>
      <c r="HC91" s="340"/>
      <c r="HD91" s="341"/>
      <c r="HE91" s="341"/>
      <c r="HF91" s="341"/>
      <c r="HG91" s="341"/>
      <c r="HH91" s="341"/>
      <c r="HI91" s="341"/>
      <c r="HJ91" s="341"/>
      <c r="HK91" s="341"/>
      <c r="HL91" s="341"/>
      <c r="HM91" s="341"/>
      <c r="HN91" s="341"/>
      <c r="HO91" s="341"/>
      <c r="HP91" s="341"/>
      <c r="HQ91" s="341"/>
      <c r="HR91" s="341"/>
      <c r="HS91" s="238"/>
      <c r="HT91" s="238"/>
      <c r="HU91" s="238"/>
      <c r="HV91" s="238"/>
      <c r="HX91" s="238"/>
      <c r="HY91" s="238"/>
      <c r="ID91" s="238"/>
    </row>
    <row r="92" spans="1:238" s="234" customFormat="1" ht="20.100000000000001" customHeight="1">
      <c r="A92" s="235"/>
      <c r="B92" s="231"/>
      <c r="C92" s="314" t="s">
        <v>771</v>
      </c>
      <c r="D92" s="276" t="str">
        <f>REPT(Sprache!$K$58,1)</f>
        <v>Spieler</v>
      </c>
      <c r="E92" s="277" t="str">
        <f>REPT(Sprache!$K$33,1)</f>
        <v>Name / Vorname</v>
      </c>
      <c r="F92" s="278"/>
      <c r="G92" s="278"/>
      <c r="H92" s="279"/>
      <c r="I92" s="280"/>
      <c r="J92" s="281" t="str">
        <f>REPT(AM92,1)</f>
        <v/>
      </c>
      <c r="L92" s="306" t="s">
        <v>848</v>
      </c>
      <c r="M92" s="238"/>
      <c r="P92" s="306" t="s">
        <v>848</v>
      </c>
      <c r="R92" s="314" t="s">
        <v>771</v>
      </c>
      <c r="S92" s="276" t="str">
        <f>REPT(Sprache!$K$58,1)</f>
        <v>Spieler</v>
      </c>
      <c r="T92" s="277" t="str">
        <f>REPT(Sprache!$K$33,1)</f>
        <v>Name / Vorname</v>
      </c>
      <c r="U92" s="278"/>
      <c r="V92" s="278"/>
      <c r="W92" s="279"/>
      <c r="X92" s="280"/>
      <c r="Y92" s="281" t="str">
        <f>REPT(BA92,1)</f>
        <v/>
      </c>
      <c r="Z92" s="308"/>
      <c r="AD92" s="235"/>
      <c r="AE92" s="235"/>
      <c r="AF92" s="237" t="s">
        <v>771</v>
      </c>
      <c r="AG92" s="282" t="s">
        <v>877</v>
      </c>
      <c r="AH92" s="283" t="str">
        <f>IF(AH91=0,"",AH91)</f>
        <v/>
      </c>
      <c r="AI92" s="283" t="str">
        <f>IF(AI91=0,"",AI91)</f>
        <v/>
      </c>
      <c r="AJ92" s="283" t="str">
        <f>IF(AJ91=0,"",AJ91)</f>
        <v/>
      </c>
      <c r="AK92" s="283" t="str">
        <f>IF(AK91=0,"",AK91)</f>
        <v/>
      </c>
      <c r="AL92" s="283" t="str">
        <f>IF(AL91=0,"",AL91)</f>
        <v/>
      </c>
      <c r="AM92" s="258" t="str">
        <f>IF(AK83="D",IF(AF91=0,"","X"),"")</f>
        <v/>
      </c>
      <c r="AN92" s="235"/>
      <c r="AO92" s="235"/>
      <c r="AP92" s="284"/>
      <c r="AQ92" s="235"/>
      <c r="AR92" s="235"/>
      <c r="AS92" s="235"/>
      <c r="AT92" s="237" t="s">
        <v>771</v>
      </c>
      <c r="AU92" s="282" t="s">
        <v>877</v>
      </c>
      <c r="AV92" s="283" t="str">
        <f>IF(AV91=0,"",AV91)</f>
        <v/>
      </c>
      <c r="AW92" s="283" t="str">
        <f>IF(AW91=0,"",AW91)</f>
        <v/>
      </c>
      <c r="AX92" s="283" t="str">
        <f>IF(AX91=0,"",AX91)</f>
        <v/>
      </c>
      <c r="AY92" s="283" t="str">
        <f>IF(AY91=0,"",AY91)</f>
        <v/>
      </c>
      <c r="AZ92" s="421" t="str">
        <f>IF(AZ91=0,"",AZ91)</f>
        <v/>
      </c>
      <c r="BA92" s="258" t="str">
        <f>IF(AK83="D",IF(AT91=0,"","X"),"")</f>
        <v/>
      </c>
      <c r="BJ92" s="236"/>
      <c r="BK92" s="238"/>
      <c r="BL92" s="244">
        <f>IF(BM92=0,0,1)</f>
        <v>0</v>
      </c>
      <c r="BM92" s="244">
        <f>SUM(BM86,BM87,BM88,BM89,BM90,HH88,AN93,AN94,BB93,BB94)</f>
        <v>0</v>
      </c>
      <c r="BN92" s="166">
        <f t="shared" ref="BN92:BO92" si="211">SUM(BN86,BN87,BN88,BN89,BN90)</f>
        <v>0</v>
      </c>
      <c r="BO92" s="166">
        <f t="shared" si="211"/>
        <v>0</v>
      </c>
      <c r="BP92" s="244"/>
      <c r="BQ92" s="238"/>
      <c r="BR92" s="238"/>
      <c r="BS92" s="238"/>
      <c r="BT92" s="238"/>
      <c r="BU92" s="238"/>
      <c r="BV92" s="238"/>
      <c r="BW92" s="238"/>
      <c r="BX92" s="236"/>
      <c r="BY92" s="238"/>
      <c r="BZ92" s="238"/>
      <c r="CA92" s="238"/>
      <c r="CB92" s="238"/>
      <c r="CC92" s="238"/>
      <c r="CD92" s="238"/>
      <c r="CE92" s="238"/>
      <c r="CF92" s="238"/>
      <c r="CG92" s="244"/>
      <c r="CH92" s="238"/>
      <c r="CI92" s="238"/>
      <c r="CJ92" s="238"/>
      <c r="CK92" s="238"/>
      <c r="CL92" s="238"/>
      <c r="CM92" s="238"/>
      <c r="CN92" s="238"/>
      <c r="CO92" s="238"/>
      <c r="CP92" s="238"/>
      <c r="CQ92" s="238"/>
      <c r="CR92" s="238"/>
      <c r="CS92" s="238"/>
      <c r="CT92" s="238"/>
      <c r="CU92" s="238"/>
      <c r="CV92" s="238"/>
      <c r="CW92" s="238"/>
      <c r="CX92" s="238"/>
      <c r="CY92" s="238"/>
      <c r="CZ92" s="238"/>
      <c r="DA92" s="238"/>
      <c r="DB92" s="238"/>
      <c r="DC92" s="238"/>
      <c r="DD92" s="238"/>
      <c r="DE92" s="238"/>
      <c r="DF92" s="238"/>
      <c r="DG92" s="238"/>
      <c r="DH92" s="238"/>
      <c r="DI92" s="238"/>
      <c r="DJ92" s="238"/>
      <c r="DK92" s="238"/>
      <c r="DL92" s="238"/>
      <c r="DM92" s="238"/>
      <c r="DN92" s="238"/>
      <c r="DO92" s="238"/>
      <c r="DP92" s="238"/>
      <c r="DQ92" s="238"/>
      <c r="DR92" s="238"/>
      <c r="DS92" s="238"/>
      <c r="DT92" s="238"/>
      <c r="DU92" s="238"/>
      <c r="DV92" s="238"/>
      <c r="DW92" s="238"/>
      <c r="DX92" s="238"/>
      <c r="DY92" s="238"/>
      <c r="DZ92" s="238"/>
      <c r="EA92" s="238"/>
      <c r="EB92" s="238"/>
      <c r="EC92" s="238"/>
      <c r="ED92" s="238"/>
      <c r="EE92" s="238"/>
      <c r="EF92" s="238"/>
      <c r="EG92" s="238"/>
      <c r="EH92" s="238"/>
      <c r="EI92" s="238"/>
      <c r="EJ92" s="238"/>
      <c r="EK92" s="238"/>
      <c r="EL92" s="238"/>
      <c r="EM92" s="238"/>
      <c r="EN92" s="238"/>
      <c r="EO92" s="238"/>
      <c r="EP92" s="238"/>
      <c r="EQ92" s="238"/>
      <c r="ER92" s="238"/>
      <c r="ES92" s="238"/>
      <c r="ET92" s="244"/>
      <c r="EU92" s="238"/>
      <c r="EV92" s="238"/>
      <c r="EW92" s="238"/>
      <c r="EX92" s="238"/>
      <c r="EY92" s="238"/>
      <c r="EZ92" s="238"/>
      <c r="FA92" s="238"/>
      <c r="FB92" s="238"/>
      <c r="FC92" s="238"/>
      <c r="FD92" s="238"/>
      <c r="FE92" s="238"/>
      <c r="FF92" s="238"/>
      <c r="FG92" s="238"/>
      <c r="FH92" s="238"/>
      <c r="FI92" s="238"/>
      <c r="FJ92" s="238"/>
      <c r="FK92" s="238"/>
      <c r="FL92" s="238"/>
      <c r="FM92" s="238"/>
      <c r="FN92" s="238"/>
      <c r="FO92" s="244"/>
      <c r="FP92" s="238"/>
      <c r="FQ92" s="238"/>
      <c r="FR92" s="238"/>
      <c r="FS92" s="238"/>
      <c r="FT92" s="238"/>
      <c r="FU92" s="238"/>
      <c r="FV92" s="238"/>
      <c r="FW92" s="238"/>
      <c r="FX92" s="238"/>
      <c r="FY92" s="238"/>
      <c r="FZ92" s="238"/>
      <c r="GA92" s="238"/>
      <c r="GB92" s="238"/>
      <c r="GC92" s="238"/>
      <c r="GD92" s="341"/>
      <c r="GE92" s="340"/>
      <c r="GF92" s="340"/>
      <c r="GG92" s="340"/>
      <c r="GH92" s="340"/>
      <c r="GI92" s="340"/>
      <c r="GJ92" s="340"/>
      <c r="GK92" s="340"/>
      <c r="GL92" s="340"/>
      <c r="GM92" s="340"/>
      <c r="GN92" s="340"/>
      <c r="GO92" s="340"/>
      <c r="GP92" s="340"/>
      <c r="GQ92" s="340"/>
      <c r="GR92" s="340"/>
      <c r="GS92" s="340"/>
      <c r="GT92" s="340"/>
      <c r="GU92" s="340"/>
      <c r="GV92" s="340"/>
      <c r="GW92" s="340"/>
      <c r="GX92" s="340"/>
      <c r="GY92" s="340"/>
      <c r="GZ92" s="340"/>
      <c r="HA92" s="340"/>
      <c r="HB92" s="340"/>
      <c r="HC92" s="340"/>
      <c r="HD92" s="341"/>
      <c r="HE92" s="341"/>
      <c r="HF92" s="341"/>
      <c r="HG92" s="341"/>
      <c r="HH92" s="341"/>
      <c r="HI92" s="341"/>
      <c r="HJ92" s="341"/>
      <c r="HK92" s="341"/>
      <c r="HL92" s="341"/>
      <c r="HM92" s="341"/>
      <c r="HN92" s="341"/>
      <c r="HO92" s="341"/>
      <c r="HP92" s="341"/>
      <c r="HQ92" s="341"/>
      <c r="HR92" s="341"/>
      <c r="HS92" s="238"/>
      <c r="HT92" s="238"/>
      <c r="HU92" s="238"/>
      <c r="HV92" s="238"/>
      <c r="HX92" s="238"/>
      <c r="HY92" s="238"/>
      <c r="ID92" s="238"/>
    </row>
    <row r="93" spans="1:238" s="234" customFormat="1" ht="20.100000000000001" customHeight="1">
      <c r="A93" s="235"/>
      <c r="B93" s="231"/>
      <c r="C93" s="285" t="str">
        <f>IF(AF93="","",SUM(AF93))</f>
        <v/>
      </c>
      <c r="D93" s="286" t="str">
        <f>IF(AK83="D",1,"")</f>
        <v/>
      </c>
      <c r="E93" s="287" t="str">
        <f>IF(C93="","",VLOOKUP(C93,Licenses!B:C,2,FALSE))</f>
        <v/>
      </c>
      <c r="F93" s="288"/>
      <c r="G93" s="288"/>
      <c r="H93" s="289"/>
      <c r="I93" s="169"/>
      <c r="J93" s="270" t="str">
        <f>REPT(AM93,1)</f>
        <v/>
      </c>
      <c r="L93" s="290" t="str">
        <f>IF(AK83="D",AK93,IF(AK92="","",AK92))</f>
        <v/>
      </c>
      <c r="M93" s="311"/>
      <c r="P93" s="290" t="str">
        <f>IF(AK83="D",AY93,IF(AY92="","",AY92))</f>
        <v/>
      </c>
      <c r="R93" s="291" t="str">
        <f>IF(AT93="","",SUM(AT93))</f>
        <v/>
      </c>
      <c r="S93" s="286" t="str">
        <f>IF(AK83="D",1,"")</f>
        <v/>
      </c>
      <c r="T93" s="292" t="str">
        <f>IF(R93="","",VLOOKUP(R93,Licenses!B:C,2,FALSE))</f>
        <v/>
      </c>
      <c r="U93" s="293"/>
      <c r="V93" s="293"/>
      <c r="W93" s="294"/>
      <c r="X93" s="169"/>
      <c r="Y93" s="270" t="str">
        <f>REPT(BA93,1)</f>
        <v/>
      </c>
      <c r="Z93" s="308"/>
      <c r="AD93" s="235"/>
      <c r="AE93" s="235"/>
      <c r="AF93" s="256" t="str">
        <f>IF(AM83="","",SUM(AM83))</f>
        <v/>
      </c>
      <c r="AG93" s="237"/>
      <c r="AH93" s="256"/>
      <c r="AI93" s="256"/>
      <c r="AJ93" s="256"/>
      <c r="AK93" s="256" t="str">
        <f>IF(BZ91&gt;1,BZ91,"")</f>
        <v/>
      </c>
      <c r="AL93" s="257">
        <f>IF(AK83="D",SUM(I93),0)</f>
        <v>0</v>
      </c>
      <c r="AM93" s="258" t="str">
        <f>IF(AM91=0,IF(AL93&lt;6,"","X"),"X")</f>
        <v/>
      </c>
      <c r="AN93" s="347" t="str">
        <f>IF(AM91=0,IF(AL93&lt;6,"",1),1)</f>
        <v/>
      </c>
      <c r="AO93" s="235"/>
      <c r="AP93" s="236"/>
      <c r="AQ93" s="235"/>
      <c r="AR93" s="235"/>
      <c r="AS93" s="235"/>
      <c r="AT93" s="256" t="str">
        <f>IF(BA83="","",SUM(BA83))</f>
        <v/>
      </c>
      <c r="AU93" s="237"/>
      <c r="AV93" s="256"/>
      <c r="AW93" s="256"/>
      <c r="AX93" s="256"/>
      <c r="AY93" s="256" t="str">
        <f>IF(CI91&gt;1,CI91,"")</f>
        <v/>
      </c>
      <c r="AZ93" s="257">
        <f>IF(AK83="D",SUM(X93),0)</f>
        <v>0</v>
      </c>
      <c r="BA93" s="258" t="str">
        <f>IF(BA91=0,IF(AZ93&lt;6,"","X"),"X")</f>
        <v/>
      </c>
      <c r="BB93" s="347" t="str">
        <f>IF(BA91=0,IF(AZ93&lt;6,"",1),1)</f>
        <v/>
      </c>
      <c r="BC93" s="236"/>
      <c r="BD93" s="236"/>
      <c r="BE93" s="236"/>
      <c r="BF93" s="236"/>
      <c r="BG93" s="236"/>
      <c r="BH93" s="236"/>
      <c r="BI93" s="236"/>
      <c r="BJ93" s="236"/>
      <c r="BK93" s="238"/>
      <c r="BL93" s="238"/>
      <c r="BM93" s="295"/>
      <c r="BN93" s="295"/>
      <c r="BO93" s="295"/>
      <c r="BP93" s="295"/>
      <c r="BQ93" s="295"/>
      <c r="BR93" s="295"/>
      <c r="BS93" s="295"/>
      <c r="BT93" s="295"/>
      <c r="BU93" s="295"/>
      <c r="BV93" s="295"/>
      <c r="BW93" s="295"/>
      <c r="BX93" s="236"/>
      <c r="BY93" s="295"/>
      <c r="BZ93" s="295"/>
      <c r="CA93" s="295"/>
      <c r="CB93" s="295"/>
      <c r="CC93" s="295"/>
      <c r="CD93" s="295"/>
      <c r="CE93" s="295"/>
      <c r="CF93" s="295"/>
      <c r="CG93" s="296"/>
      <c r="CH93" s="295"/>
      <c r="CI93" s="295"/>
      <c r="CJ93" s="295"/>
      <c r="CK93" s="238"/>
      <c r="CL93" s="238"/>
      <c r="CM93" s="238"/>
      <c r="CN93" s="238"/>
      <c r="CO93" s="238"/>
      <c r="CP93" s="238"/>
      <c r="CQ93" s="238"/>
      <c r="CR93" s="238"/>
      <c r="CS93" s="238"/>
      <c r="CT93" s="238"/>
      <c r="CU93" s="238"/>
      <c r="CV93" s="238"/>
      <c r="CW93" s="238"/>
      <c r="CX93" s="238"/>
      <c r="CY93" s="238"/>
      <c r="CZ93" s="238"/>
      <c r="DA93" s="238"/>
      <c r="DB93" s="238"/>
      <c r="DC93" s="238"/>
      <c r="DD93" s="238"/>
      <c r="DE93" s="238"/>
      <c r="DF93" s="238"/>
      <c r="DG93" s="238"/>
      <c r="DH93" s="238"/>
      <c r="DI93" s="238"/>
      <c r="DJ93" s="238"/>
      <c r="DK93" s="238"/>
      <c r="DL93" s="238"/>
      <c r="DM93" s="238"/>
      <c r="DN93" s="238"/>
      <c r="DO93" s="238"/>
      <c r="DP93" s="238"/>
      <c r="DQ93" s="238"/>
      <c r="DR93" s="238"/>
      <c r="DS93" s="238"/>
      <c r="DT93" s="238"/>
      <c r="DU93" s="238"/>
      <c r="DV93" s="238"/>
      <c r="DW93" s="238"/>
      <c r="DX93" s="238"/>
      <c r="DY93" s="238"/>
      <c r="DZ93" s="238"/>
      <c r="EA93" s="238"/>
      <c r="EB93" s="238"/>
      <c r="EC93" s="238"/>
      <c r="ED93" s="238"/>
      <c r="EE93" s="238"/>
      <c r="EF93" s="238"/>
      <c r="EG93" s="238"/>
      <c r="EH93" s="238"/>
      <c r="EI93" s="238"/>
      <c r="EJ93" s="238"/>
      <c r="EK93" s="238"/>
      <c r="EL93" s="238"/>
      <c r="EM93" s="238"/>
      <c r="EN93" s="238"/>
      <c r="EO93" s="238"/>
      <c r="EP93" s="238"/>
      <c r="EQ93" s="238"/>
      <c r="ER93" s="238"/>
      <c r="ES93" s="238"/>
      <c r="ET93" s="244"/>
      <c r="EU93" s="238"/>
      <c r="EV93" s="238"/>
      <c r="EW93" s="238"/>
      <c r="EX93" s="238"/>
      <c r="EY93" s="238"/>
      <c r="EZ93" s="238"/>
      <c r="FA93" s="238"/>
      <c r="FB93" s="238"/>
      <c r="FC93" s="238"/>
      <c r="FD93" s="238"/>
      <c r="FE93" s="238"/>
      <c r="FF93" s="238"/>
      <c r="FG93" s="238"/>
      <c r="FH93" s="238"/>
      <c r="FI93" s="238"/>
      <c r="FJ93" s="238"/>
      <c r="FK93" s="238"/>
      <c r="FL93" s="238"/>
      <c r="FM93" s="238"/>
      <c r="FN93" s="238"/>
      <c r="FO93" s="244"/>
      <c r="FP93" s="238"/>
      <c r="FQ93" s="238"/>
      <c r="FR93" s="238"/>
      <c r="FS93" s="238"/>
      <c r="FT93" s="238"/>
      <c r="FU93" s="238"/>
      <c r="FV93" s="238"/>
      <c r="FW93" s="238"/>
      <c r="FX93" s="238"/>
      <c r="FY93" s="238"/>
      <c r="FZ93" s="238"/>
      <c r="GA93" s="238"/>
      <c r="GB93" s="238"/>
      <c r="GC93" s="238"/>
      <c r="GD93" s="341"/>
      <c r="GE93" s="340"/>
      <c r="GF93" s="340"/>
      <c r="GG93" s="340"/>
      <c r="GH93" s="340"/>
      <c r="GI93" s="340"/>
      <c r="GJ93" s="340"/>
      <c r="GK93" s="340"/>
      <c r="GL93" s="340"/>
      <c r="GM93" s="340"/>
      <c r="GN93" s="340"/>
      <c r="GO93" s="340"/>
      <c r="GP93" s="340"/>
      <c r="GQ93" s="340"/>
      <c r="GR93" s="340"/>
      <c r="GS93" s="340"/>
      <c r="GT93" s="340"/>
      <c r="GU93" s="340"/>
      <c r="GV93" s="340"/>
      <c r="GW93" s="340"/>
      <c r="GX93" s="340"/>
      <c r="GY93" s="340"/>
      <c r="GZ93" s="340"/>
      <c r="HA93" s="340"/>
      <c r="HB93" s="340"/>
      <c r="HC93" s="340"/>
      <c r="HD93" s="341"/>
      <c r="HE93" s="341"/>
      <c r="HF93" s="341"/>
      <c r="HG93" s="341"/>
      <c r="HH93" s="341"/>
      <c r="HI93" s="341"/>
      <c r="HJ93" s="341"/>
      <c r="HK93" s="341"/>
      <c r="HL93" s="341"/>
      <c r="HM93" s="341"/>
      <c r="HN93" s="341"/>
      <c r="HO93" s="341"/>
      <c r="HP93" s="341"/>
      <c r="HQ93" s="341"/>
      <c r="HR93" s="341"/>
      <c r="HS93" s="238"/>
      <c r="HT93" s="238"/>
      <c r="HU93" s="238"/>
      <c r="HV93" s="238"/>
      <c r="HX93" s="238"/>
      <c r="HY93" s="238"/>
      <c r="ID93" s="238"/>
    </row>
    <row r="94" spans="1:238" s="234" customFormat="1" ht="20.100000000000001" customHeight="1">
      <c r="A94" s="235"/>
      <c r="B94" s="231"/>
      <c r="C94" s="336" t="str">
        <f>IF(AF94="","",SUM(AF94))</f>
        <v/>
      </c>
      <c r="D94" s="333" t="str">
        <f>IF(AK83="D",2,"")</f>
        <v/>
      </c>
      <c r="E94" s="337" t="str">
        <f>IF(C94="","",VLOOKUP(C94,Licenses!B:C,2,FALSE))</f>
        <v/>
      </c>
      <c r="F94" s="290"/>
      <c r="G94" s="290"/>
      <c r="H94" s="338"/>
      <c r="I94" s="331"/>
      <c r="J94" s="272" t="str">
        <f>REPT(AM94,1)</f>
        <v/>
      </c>
      <c r="L94" s="315" t="str">
        <f>IF(AK83="D",AK94,"")</f>
        <v/>
      </c>
      <c r="M94" s="311"/>
      <c r="P94" s="315" t="str">
        <f>IF(AK83="D",AY94,"")</f>
        <v/>
      </c>
      <c r="R94" s="332" t="str">
        <f>IF(AT94="","",SUM(AT94))</f>
        <v/>
      </c>
      <c r="S94" s="333" t="str">
        <f>IF(AK83="D",2,"")</f>
        <v/>
      </c>
      <c r="T94" s="334" t="str">
        <f>IF(R94="","",VLOOKUP(R94,Licenses!B:C,2,FALSE))</f>
        <v/>
      </c>
      <c r="U94" s="297"/>
      <c r="V94" s="297"/>
      <c r="W94" s="335"/>
      <c r="X94" s="331"/>
      <c r="Y94" s="272" t="str">
        <f>REPT(BA94,1)</f>
        <v/>
      </c>
      <c r="Z94" s="308"/>
      <c r="AA94" s="238">
        <f>IF(AK83="D",0,1)</f>
        <v>1</v>
      </c>
      <c r="AD94" s="235"/>
      <c r="AE94" s="235"/>
      <c r="AF94" s="256" t="str">
        <f>IF(AM84="","",SUM(AM84))</f>
        <v/>
      </c>
      <c r="AG94" s="237"/>
      <c r="AH94" s="256"/>
      <c r="AI94" s="256"/>
      <c r="AJ94" s="256"/>
      <c r="AK94" s="256" t="str">
        <f>IF(CA91&gt;1,CA91,"")</f>
        <v/>
      </c>
      <c r="AL94" s="257">
        <f>IF(AK83="D",SUM(I94),0)</f>
        <v>0</v>
      </c>
      <c r="AM94" s="258" t="str">
        <f>IF(AM91=0,IF(AL94&lt;6,"","X"),"X")</f>
        <v/>
      </c>
      <c r="AN94" s="347" t="str">
        <f>IF(AM91=0,IF(AL94&lt;6,"",1),1)</f>
        <v/>
      </c>
      <c r="AO94" s="235"/>
      <c r="AP94" s="236"/>
      <c r="AQ94" s="235"/>
      <c r="AR94" s="235"/>
      <c r="AS94" s="235"/>
      <c r="AT94" s="256" t="str">
        <f>IF(BA84="","",SUM(BA84))</f>
        <v/>
      </c>
      <c r="AU94" s="237"/>
      <c r="AV94" s="256"/>
      <c r="AW94" s="256"/>
      <c r="AX94" s="256"/>
      <c r="AY94" s="256" t="str">
        <f>IF(CJ91&gt;1,CJ91,"")</f>
        <v/>
      </c>
      <c r="AZ94" s="257">
        <f>IF(AK83="D",SUM(X94),0)</f>
        <v>0</v>
      </c>
      <c r="BA94" s="258" t="str">
        <f>IF(BA91=0,IF(AZ94&lt;6,"","X"),"X")</f>
        <v/>
      </c>
      <c r="BB94" s="347" t="str">
        <f>IF(BA91=0,IF(AZ94&lt;6,"",1),1)</f>
        <v/>
      </c>
      <c r="BC94" s="236"/>
      <c r="BD94" s="236"/>
      <c r="BE94" s="236"/>
      <c r="BF94" s="236"/>
      <c r="BG94" s="236"/>
      <c r="BH94" s="236"/>
      <c r="BI94" s="236"/>
      <c r="BJ94" s="236"/>
      <c r="BK94" s="238"/>
      <c r="BM94" s="238"/>
      <c r="BN94" s="238"/>
      <c r="BO94" s="238"/>
      <c r="BP94" s="238"/>
      <c r="BQ94" s="238" t="s">
        <v>899</v>
      </c>
      <c r="BR94" s="238"/>
      <c r="BS94" s="238"/>
      <c r="BT94" s="238"/>
      <c r="BU94" s="238"/>
      <c r="BV94" s="238"/>
      <c r="BW94" s="238"/>
      <c r="BX94" s="236"/>
      <c r="BY94" s="238"/>
      <c r="BZ94" s="238"/>
      <c r="CA94" s="238"/>
      <c r="CB94" s="238"/>
      <c r="CC94" s="238"/>
      <c r="CD94" s="238" t="s">
        <v>899</v>
      </c>
      <c r="CE94" s="238"/>
      <c r="CF94" s="238"/>
      <c r="CG94" s="244"/>
      <c r="CH94" s="238"/>
      <c r="CI94" s="238"/>
      <c r="CJ94" s="238"/>
      <c r="CK94" s="238"/>
      <c r="CL94" s="238"/>
      <c r="CM94" s="238"/>
      <c r="CN94" s="238"/>
      <c r="CO94" s="238"/>
      <c r="CP94" s="238"/>
      <c r="CQ94" s="238"/>
      <c r="CR94" s="238"/>
      <c r="CS94" s="238"/>
      <c r="CT94" s="238"/>
      <c r="CU94" s="238"/>
      <c r="CV94" s="238"/>
      <c r="CW94" s="238"/>
      <c r="CX94" s="238"/>
      <c r="CY94" s="238"/>
      <c r="CZ94" s="238"/>
      <c r="DA94" s="238"/>
      <c r="DB94" s="238"/>
      <c r="DC94" s="238"/>
      <c r="DD94" s="238"/>
      <c r="DE94" s="238"/>
      <c r="DF94" s="238"/>
      <c r="DG94" s="238"/>
      <c r="DH94" s="238"/>
      <c r="DI94" s="238"/>
      <c r="DJ94" s="238"/>
      <c r="DK94" s="238"/>
      <c r="DL94" s="238"/>
      <c r="DM94" s="238"/>
      <c r="DN94" s="238"/>
      <c r="DO94" s="238"/>
      <c r="DP94" s="238"/>
      <c r="DQ94" s="238"/>
      <c r="DR94" s="238"/>
      <c r="DS94" s="238"/>
      <c r="DT94" s="238"/>
      <c r="DU94" s="238"/>
      <c r="DV94" s="238"/>
      <c r="DW94" s="238"/>
      <c r="DX94" s="238"/>
      <c r="DY94" s="238"/>
      <c r="DZ94" s="238"/>
      <c r="EA94" s="238"/>
      <c r="EB94" s="238"/>
      <c r="EC94" s="238"/>
      <c r="ED94" s="238"/>
      <c r="EE94" s="238"/>
      <c r="EF94" s="238"/>
      <c r="EG94" s="238"/>
      <c r="EH94" s="238"/>
      <c r="EI94" s="238"/>
      <c r="EJ94" s="238"/>
      <c r="EK94" s="238"/>
      <c r="EL94" s="238"/>
      <c r="EM94" s="238"/>
      <c r="EN94" s="238"/>
      <c r="EO94" s="238"/>
      <c r="EP94" s="238"/>
      <c r="EQ94" s="238"/>
      <c r="ER94" s="238"/>
      <c r="ES94" s="238"/>
      <c r="ET94" s="244"/>
      <c r="EU94" s="238"/>
      <c r="EV94" s="238"/>
      <c r="EW94" s="238"/>
      <c r="EX94" s="238"/>
      <c r="EY94" s="238"/>
      <c r="EZ94" s="238"/>
      <c r="FA94" s="238"/>
      <c r="FB94" s="238"/>
      <c r="FC94" s="238"/>
      <c r="FD94" s="238"/>
      <c r="FE94" s="238"/>
      <c r="FF94" s="238"/>
      <c r="FG94" s="238"/>
      <c r="FH94" s="238"/>
      <c r="FI94" s="238"/>
      <c r="FJ94" s="238"/>
      <c r="FK94" s="238"/>
      <c r="FL94" s="238"/>
      <c r="FM94" s="238"/>
      <c r="FN94" s="238"/>
      <c r="FO94" s="244"/>
      <c r="FP94" s="238"/>
      <c r="FQ94" s="238"/>
      <c r="FR94" s="238"/>
      <c r="FS94" s="238"/>
      <c r="FT94" s="238"/>
      <c r="FU94" s="238"/>
      <c r="FV94" s="238"/>
      <c r="FW94" s="238"/>
      <c r="FX94" s="238"/>
      <c r="FY94" s="238"/>
      <c r="FZ94" s="238"/>
      <c r="GA94" s="238"/>
      <c r="GB94" s="238"/>
      <c r="GC94" s="238"/>
      <c r="GD94" s="341"/>
      <c r="GE94" s="340"/>
      <c r="GF94" s="340"/>
      <c r="GG94" s="340"/>
      <c r="GH94" s="340"/>
      <c r="GI94" s="340"/>
      <c r="GJ94" s="340"/>
      <c r="GK94" s="340"/>
      <c r="GL94" s="340"/>
      <c r="GM94" s="340"/>
      <c r="GN94" s="340"/>
      <c r="GO94" s="340"/>
      <c r="GP94" s="340"/>
      <c r="GQ94" s="340"/>
      <c r="GR94" s="340"/>
      <c r="GS94" s="340"/>
      <c r="GT94" s="340"/>
      <c r="GU94" s="340"/>
      <c r="GV94" s="340"/>
      <c r="GW94" s="340"/>
      <c r="GX94" s="340"/>
      <c r="GY94" s="340"/>
      <c r="GZ94" s="340"/>
      <c r="HA94" s="340"/>
      <c r="HB94" s="340"/>
      <c r="HC94" s="340"/>
      <c r="HD94" s="341"/>
      <c r="HE94" s="341"/>
      <c r="HF94" s="341"/>
      <c r="HG94" s="341"/>
      <c r="HH94" s="341"/>
      <c r="HI94" s="341"/>
      <c r="HJ94" s="341"/>
      <c r="HK94" s="341"/>
      <c r="HL94" s="341"/>
      <c r="HM94" s="341"/>
      <c r="HN94" s="341"/>
      <c r="HO94" s="341"/>
      <c r="HP94" s="341"/>
      <c r="HQ94" s="341"/>
      <c r="HR94" s="341"/>
      <c r="HS94" s="238"/>
      <c r="HT94" s="238"/>
      <c r="HU94" s="238"/>
      <c r="HV94" s="238"/>
      <c r="HX94" s="238"/>
      <c r="HY94" s="238"/>
      <c r="ID94" s="238"/>
    </row>
    <row r="95" spans="1:238" s="234" customFormat="1" ht="20.100000000000001" customHeight="1">
      <c r="A95" s="235"/>
      <c r="B95" s="316"/>
      <c r="C95" s="317"/>
      <c r="D95" s="317"/>
      <c r="E95" s="318"/>
      <c r="F95" s="318"/>
      <c r="G95" s="318"/>
      <c r="H95" s="318"/>
      <c r="I95" s="318"/>
      <c r="J95" s="318"/>
      <c r="K95" s="319"/>
      <c r="L95" s="319"/>
      <c r="M95" s="319"/>
      <c r="N95" s="319"/>
      <c r="O95" s="319"/>
      <c r="P95" s="320"/>
      <c r="Q95" s="319"/>
      <c r="R95" s="317"/>
      <c r="S95" s="318"/>
      <c r="T95" s="318"/>
      <c r="U95" s="318"/>
      <c r="V95" s="318"/>
      <c r="W95" s="318"/>
      <c r="X95" s="318"/>
      <c r="Y95" s="318"/>
      <c r="Z95" s="321"/>
      <c r="AD95" s="235"/>
      <c r="AE95" s="237"/>
      <c r="AF95" s="237"/>
      <c r="AG95" s="237"/>
      <c r="AH95" s="237" t="s">
        <v>921</v>
      </c>
      <c r="AI95" s="237" t="s">
        <v>922</v>
      </c>
      <c r="AJ95" s="298" t="str">
        <f>IF(BS95="","",SUM(AM95)*3)</f>
        <v/>
      </c>
      <c r="AK95" s="299" t="s">
        <v>923</v>
      </c>
      <c r="AL95" s="256"/>
      <c r="AM95" s="256" t="str">
        <f>IF(BS95="","",SUM(BS95))</f>
        <v/>
      </c>
      <c r="AN95" s="235"/>
      <c r="AO95" s="235"/>
      <c r="AP95" s="236"/>
      <c r="AQ95" s="235"/>
      <c r="AR95" s="235"/>
      <c r="AS95" s="237"/>
      <c r="AT95" s="237"/>
      <c r="AU95" s="237"/>
      <c r="AV95" s="237" t="s">
        <v>921</v>
      </c>
      <c r="AW95" s="237" t="s">
        <v>922</v>
      </c>
      <c r="AX95" s="298" t="str">
        <f>IF(BS95="","",SUM(BA95)*3)</f>
        <v/>
      </c>
      <c r="AY95" s="299" t="s">
        <v>923</v>
      </c>
      <c r="AZ95" s="256"/>
      <c r="BA95" s="256" t="str">
        <f>IF(BS95="","",SUM(CF95))</f>
        <v/>
      </c>
      <c r="BB95" s="236"/>
      <c r="BC95" s="236"/>
      <c r="BD95" s="236"/>
      <c r="BE95" s="236"/>
      <c r="BF95" s="236"/>
      <c r="BG95" s="236"/>
      <c r="BH95" s="236"/>
      <c r="BI95" s="236"/>
      <c r="BJ95" s="236"/>
      <c r="BK95" s="373">
        <f>IF(AL83=BQ95,1,0)</f>
        <v>0</v>
      </c>
      <c r="BL95" s="373">
        <f>IF(AL83=CD95,1,0)</f>
        <v>0</v>
      </c>
      <c r="BM95" s="256">
        <f>IF(BN95&gt;2,1,0)</f>
        <v>0</v>
      </c>
      <c r="BN95" s="256">
        <f>COUNT(AH86,AH87,AH88)</f>
        <v>0</v>
      </c>
      <c r="BO95" s="256" t="str">
        <f>IF(AH92="","",SUM(AH92/AJ92))</f>
        <v/>
      </c>
      <c r="BP95" s="256"/>
      <c r="BQ95" s="300">
        <f>COUNT(AK86,AK87,AK88,AK89,AK90)</f>
        <v>0</v>
      </c>
      <c r="BR95" s="256"/>
      <c r="BS95" s="256" t="str">
        <f>IF(BL92=0,IF(AJ87="","",BO95),"")</f>
        <v/>
      </c>
      <c r="BT95" s="236"/>
      <c r="BU95" s="236"/>
      <c r="BV95" s="236"/>
      <c r="BW95" s="236"/>
      <c r="BX95" s="236"/>
      <c r="BY95" s="256">
        <f>IF(CD95&gt;2,1,0)</f>
        <v>0</v>
      </c>
      <c r="BZ95" s="256">
        <f>IF(CA95&gt;2,1,0)</f>
        <v>0</v>
      </c>
      <c r="CA95" s="256">
        <f>COUNT(AV86,AV87,AV88)</f>
        <v>0</v>
      </c>
      <c r="CB95" s="256" t="str">
        <f>IF(AV92="","",SUM(AV92/AX92))</f>
        <v/>
      </c>
      <c r="CC95" s="256"/>
      <c r="CD95" s="300">
        <f>COUNT(AY86,AY87,AY88,AY89,AY90)</f>
        <v>0</v>
      </c>
      <c r="CE95" s="256"/>
      <c r="CF95" s="256" t="str">
        <f>IF(BL92=0,IF(AX87="","",CB95),"")</f>
        <v/>
      </c>
      <c r="CG95" s="236"/>
      <c r="CH95" s="188"/>
      <c r="CI95" s="188"/>
      <c r="CJ95" s="196"/>
      <c r="CK95" s="196"/>
      <c r="CL95" s="196"/>
      <c r="CM95" s="196"/>
      <c r="CN95" s="196"/>
      <c r="CO95" s="196"/>
      <c r="CP95" s="196"/>
      <c r="CQ95" s="196"/>
      <c r="CR95" s="196"/>
      <c r="CS95" s="196"/>
      <c r="CT95" s="196"/>
      <c r="CU95" s="196"/>
      <c r="CV95" s="196"/>
      <c r="CW95" s="196"/>
      <c r="CX95" s="196"/>
      <c r="CY95" s="196"/>
      <c r="CZ95" s="196"/>
      <c r="DA95" s="196"/>
      <c r="DB95" s="196"/>
      <c r="DC95" s="196"/>
      <c r="DD95" s="196"/>
      <c r="DE95" s="196"/>
      <c r="DF95" s="196"/>
      <c r="DG95" s="196"/>
      <c r="DH95" s="196"/>
      <c r="DI95" s="196"/>
      <c r="DJ95" s="196"/>
      <c r="DK95" s="196"/>
      <c r="DL95" s="196"/>
      <c r="DM95" s="196"/>
      <c r="DN95" s="196"/>
      <c r="DO95" s="196"/>
      <c r="DP95" s="196"/>
      <c r="DQ95" s="196"/>
      <c r="DR95" s="196"/>
      <c r="DS95" s="196"/>
      <c r="DT95" s="196"/>
      <c r="DU95" s="196"/>
      <c r="DV95" s="196"/>
      <c r="DW95" s="196"/>
      <c r="DX95" s="196"/>
      <c r="DY95" s="196"/>
      <c r="DZ95" s="196"/>
      <c r="EA95" s="196"/>
      <c r="EB95" s="196"/>
      <c r="EC95" s="196"/>
      <c r="ED95" s="196"/>
      <c r="EE95" s="196"/>
      <c r="EF95" s="196"/>
      <c r="EG95" s="196"/>
      <c r="EH95" s="196"/>
      <c r="EI95" s="196"/>
      <c r="EJ95" s="196"/>
      <c r="EK95" s="196"/>
      <c r="EL95" s="196"/>
      <c r="EM95" s="196"/>
      <c r="EN95" s="196"/>
      <c r="EO95" s="196"/>
      <c r="EP95" s="196"/>
      <c r="EQ95" s="196"/>
      <c r="ER95" s="196"/>
      <c r="ES95" s="196"/>
      <c r="ET95" s="301"/>
      <c r="EU95" s="196"/>
      <c r="EV95" s="196"/>
      <c r="EW95" s="196"/>
      <c r="EX95" s="196"/>
      <c r="EY95" s="196"/>
      <c r="EZ95" s="196"/>
      <c r="FA95" s="196"/>
      <c r="FB95" s="196"/>
      <c r="FC95" s="196"/>
      <c r="FD95" s="196"/>
      <c r="FE95" s="196"/>
      <c r="FF95" s="196"/>
      <c r="FG95" s="196"/>
      <c r="FH95" s="196"/>
      <c r="FI95" s="196"/>
      <c r="FJ95" s="196"/>
      <c r="FK95" s="196"/>
      <c r="FL95" s="196"/>
      <c r="FM95" s="196"/>
      <c r="FN95" s="196"/>
      <c r="FO95" s="301"/>
      <c r="FP95" s="196"/>
      <c r="FQ95" s="196"/>
      <c r="FR95" s="196"/>
      <c r="FS95" s="196"/>
      <c r="FT95" s="196"/>
      <c r="FU95" s="196"/>
      <c r="FV95" s="196"/>
      <c r="FW95" s="196"/>
      <c r="FX95" s="196"/>
      <c r="FY95" s="196"/>
      <c r="FZ95" s="196"/>
      <c r="GA95" s="196"/>
      <c r="GB95" s="238"/>
      <c r="GC95" s="238"/>
      <c r="GD95" s="341"/>
      <c r="GE95" s="341"/>
      <c r="GF95" s="341"/>
      <c r="GG95" s="341"/>
      <c r="GH95" s="341"/>
      <c r="GI95" s="341"/>
      <c r="GJ95" s="341"/>
      <c r="GK95" s="341"/>
      <c r="GL95" s="341"/>
      <c r="GM95" s="341"/>
      <c r="GN95" s="341"/>
      <c r="GO95" s="341"/>
      <c r="GP95" s="341"/>
      <c r="GQ95" s="341"/>
      <c r="GR95" s="341"/>
      <c r="GS95" s="341"/>
      <c r="GT95" s="341"/>
      <c r="GU95" s="341"/>
      <c r="GV95" s="341"/>
      <c r="GW95" s="341"/>
      <c r="GX95" s="341"/>
      <c r="GY95" s="341"/>
      <c r="GZ95" s="341"/>
      <c r="HA95" s="341"/>
      <c r="HB95" s="341"/>
      <c r="HC95" s="341"/>
      <c r="HD95" s="341"/>
      <c r="HE95" s="341"/>
      <c r="HF95" s="341"/>
      <c r="HG95" s="341"/>
      <c r="HH95" s="341"/>
      <c r="HI95" s="341"/>
      <c r="HJ95" s="341"/>
      <c r="HK95" s="341"/>
      <c r="HL95" s="341"/>
      <c r="HM95" s="341"/>
      <c r="HN95" s="341"/>
      <c r="HO95" s="341"/>
      <c r="HP95" s="341"/>
      <c r="HQ95" s="341"/>
      <c r="HR95" s="341"/>
      <c r="HS95" s="238"/>
      <c r="HT95" s="238"/>
      <c r="HU95" s="238"/>
      <c r="HV95" s="238"/>
      <c r="HX95" s="238"/>
      <c r="HY95" s="238"/>
      <c r="ID95" s="238"/>
    </row>
    <row r="96" spans="1:238" ht="14.1" customHeight="1">
      <c r="B96" s="214"/>
      <c r="C96" s="171"/>
      <c r="D96" s="171"/>
      <c r="E96" s="171"/>
      <c r="F96" s="171"/>
      <c r="G96" s="171"/>
      <c r="H96" s="171"/>
      <c r="I96" s="171"/>
      <c r="J96" s="171"/>
      <c r="K96" s="171"/>
      <c r="L96" s="171"/>
      <c r="M96" s="171"/>
      <c r="N96" s="171"/>
      <c r="O96" s="171"/>
      <c r="P96" s="171"/>
      <c r="Q96" s="171"/>
      <c r="R96" s="171"/>
      <c r="S96" s="171"/>
      <c r="T96" s="171"/>
      <c r="U96" s="171"/>
      <c r="V96" s="171"/>
      <c r="W96" s="171"/>
      <c r="X96" s="171"/>
      <c r="Y96" s="171"/>
      <c r="Z96" s="302"/>
      <c r="AA96" s="215"/>
      <c r="AB96" s="215"/>
      <c r="AC96" s="215"/>
      <c r="AD96" s="215"/>
      <c r="AE96" s="215"/>
      <c r="AF96" s="215"/>
      <c r="BB96" s="215"/>
      <c r="BC96" s="215"/>
      <c r="BD96" s="215"/>
      <c r="BE96" s="215"/>
      <c r="BF96" s="215"/>
      <c r="BG96" s="215"/>
      <c r="BH96" s="215"/>
      <c r="GD96" s="339"/>
      <c r="GE96" s="339"/>
      <c r="GF96" s="339"/>
      <c r="GG96" s="339"/>
      <c r="GH96" s="339"/>
      <c r="GI96" s="339"/>
      <c r="GJ96" s="339"/>
      <c r="GK96" s="339"/>
      <c r="GL96" s="339"/>
      <c r="GM96" s="339"/>
      <c r="GN96" s="339"/>
      <c r="GO96" s="339"/>
      <c r="GP96" s="339"/>
      <c r="GQ96" s="339"/>
      <c r="GR96" s="339"/>
      <c r="GS96" s="339"/>
      <c r="GT96" s="339"/>
      <c r="GU96" s="339"/>
      <c r="GV96" s="339"/>
      <c r="GW96" s="339"/>
      <c r="GX96" s="339"/>
      <c r="GY96" s="339"/>
      <c r="GZ96" s="339"/>
      <c r="HA96" s="339"/>
      <c r="HB96" s="339"/>
      <c r="HC96" s="339"/>
      <c r="HD96" s="339"/>
      <c r="HE96" s="339"/>
      <c r="HF96" s="339"/>
      <c r="HG96" s="339"/>
      <c r="HH96" s="339"/>
      <c r="HI96" s="339"/>
      <c r="HJ96" s="339"/>
      <c r="HK96" s="339"/>
      <c r="HL96" s="339"/>
      <c r="HM96" s="339"/>
      <c r="HN96" s="339"/>
      <c r="HO96" s="339"/>
      <c r="HP96" s="339"/>
      <c r="HQ96" s="339"/>
      <c r="HR96" s="339"/>
    </row>
    <row r="97" spans="1:238" ht="24" customHeight="1">
      <c r="B97" s="216"/>
      <c r="C97" s="181"/>
      <c r="D97" s="181"/>
      <c r="E97" s="181"/>
      <c r="F97" s="181"/>
      <c r="G97" s="181"/>
      <c r="H97" s="181"/>
      <c r="I97" s="181"/>
      <c r="J97" s="181"/>
      <c r="K97" s="185"/>
      <c r="L97" s="217"/>
      <c r="M97" s="218"/>
      <c r="N97" s="327" t="str">
        <f>CONCATENATE(AG97," ",AH97)</f>
        <v>Spiel 7</v>
      </c>
      <c r="O97" s="218"/>
      <c r="P97" s="219"/>
      <c r="Q97" s="185"/>
      <c r="R97" s="181"/>
      <c r="S97" s="181"/>
      <c r="T97" s="181"/>
      <c r="U97" s="181"/>
      <c r="V97" s="181"/>
      <c r="W97" s="181"/>
      <c r="X97" s="181"/>
      <c r="Y97" s="181"/>
      <c r="Z97" s="303"/>
      <c r="AA97" s="200"/>
      <c r="AB97" s="200"/>
      <c r="AC97" s="200"/>
      <c r="AD97" s="200"/>
      <c r="AE97" s="200"/>
      <c r="AF97" s="200"/>
      <c r="AG97" s="200" t="s">
        <v>863</v>
      </c>
      <c r="AH97" s="220">
        <v>7</v>
      </c>
      <c r="AI97" s="173">
        <f>VLOOKUP(AH97,Chema!R:T,3,FALSE)</f>
        <v>1.7</v>
      </c>
      <c r="AJ97" s="200" t="str">
        <f>VLOOKUP(AH97,Chema!BL:BQ,6,FALSE)</f>
        <v>1.7*</v>
      </c>
      <c r="AK97" s="200" t="str">
        <f>VLOOKUP(AH97,'Matchblatt  FEUILLE DE MATCH'!AI:AJ,2,FALSE)</f>
        <v>S</v>
      </c>
      <c r="AL97" s="200">
        <f>VLOOKUP(AH97,Chema!R:U,4,FALSE)</f>
        <v>5</v>
      </c>
      <c r="AM97" s="215" t="str">
        <f>VLOOKUP(AH97,'Matchblatt  FEUILLE DE MATCH'!AI:AS,10,FALSE)</f>
        <v/>
      </c>
      <c r="AN97" s="215"/>
      <c r="AO97" s="215"/>
      <c r="AP97" s="215"/>
      <c r="AQ97" s="215"/>
      <c r="AR97" s="215"/>
      <c r="AS97" s="215"/>
      <c r="AT97" s="215"/>
      <c r="AU97" s="215"/>
      <c r="AV97" s="215"/>
      <c r="AW97" s="215"/>
      <c r="AX97" s="215"/>
      <c r="AY97" s="215"/>
      <c r="AZ97" s="215"/>
      <c r="BA97" s="215" t="str">
        <f>VLOOKUP(AH97,'Matchblatt  FEUILLE DE MATCH'!AI:AS,11,FALSE)</f>
        <v/>
      </c>
      <c r="BB97" s="200"/>
      <c r="BC97" s="200"/>
      <c r="BD97" s="200"/>
      <c r="BE97" s="200"/>
      <c r="BF97" s="200"/>
      <c r="BG97" s="200"/>
      <c r="BH97" s="200"/>
      <c r="BK97" s="196"/>
      <c r="BL97" s="196"/>
      <c r="BM97" s="196"/>
      <c r="BN97" s="196"/>
      <c r="BO97" s="196"/>
      <c r="BP97" s="196"/>
      <c r="BQ97" s="221" t="s">
        <v>843</v>
      </c>
      <c r="BR97" s="222"/>
      <c r="BS97" s="222"/>
      <c r="BT97" s="223"/>
      <c r="BU97" s="222" t="s">
        <v>843</v>
      </c>
      <c r="BV97" s="222"/>
      <c r="BW97" s="222"/>
      <c r="BX97" s="224"/>
      <c r="BY97" s="222"/>
      <c r="BZ97" s="222"/>
      <c r="CA97" s="222"/>
      <c r="CB97" s="222"/>
      <c r="CC97" s="222"/>
      <c r="CD97" s="222"/>
      <c r="CE97" s="222"/>
      <c r="CF97" s="222"/>
      <c r="CG97" s="224"/>
      <c r="CH97" s="222"/>
      <c r="CI97" s="222"/>
      <c r="CJ97" s="223"/>
      <c r="CK97" s="196"/>
      <c r="CL97" s="196"/>
      <c r="CM97" s="196"/>
      <c r="CN97" s="196"/>
      <c r="CO97" s="196"/>
      <c r="CP97" s="196"/>
      <c r="CQ97" s="196"/>
      <c r="CR97" s="196"/>
      <c r="CS97" s="196"/>
      <c r="CT97" s="196"/>
      <c r="CU97" s="196"/>
      <c r="CV97" s="196"/>
      <c r="CW97" s="196"/>
      <c r="CX97" s="196"/>
      <c r="CY97" s="196"/>
      <c r="CZ97" s="196"/>
      <c r="DA97" s="196"/>
      <c r="DB97" s="196"/>
      <c r="DC97" s="196"/>
      <c r="DD97" s="196"/>
      <c r="DE97" s="196"/>
      <c r="DF97" s="196"/>
      <c r="DG97" s="196"/>
      <c r="DH97" s="196"/>
      <c r="DI97" s="196"/>
      <c r="DJ97" s="196"/>
      <c r="DK97" s="196"/>
      <c r="DL97" s="196"/>
      <c r="DM97" s="196"/>
      <c r="DN97" s="196"/>
      <c r="DO97" s="196"/>
      <c r="DP97" s="196"/>
      <c r="DQ97" s="196"/>
      <c r="DR97" s="196"/>
      <c r="DS97" s="196"/>
      <c r="DT97" s="196"/>
      <c r="DU97" s="196"/>
      <c r="DV97" s="196"/>
      <c r="DW97" s="196"/>
      <c r="DX97" s="196"/>
      <c r="DY97" s="196"/>
      <c r="DZ97" s="196"/>
      <c r="EA97" s="196"/>
      <c r="EB97" s="196"/>
      <c r="EC97" s="196"/>
      <c r="ED97" s="196"/>
      <c r="EE97" s="196"/>
      <c r="EF97" s="196"/>
      <c r="EG97" s="196"/>
      <c r="EH97" s="196"/>
      <c r="EI97" s="196"/>
      <c r="EJ97" s="196"/>
      <c r="EK97" s="196"/>
      <c r="EL97" s="196"/>
      <c r="EM97" s="221" t="s">
        <v>7</v>
      </c>
      <c r="EN97" s="222"/>
      <c r="EO97" s="222"/>
      <c r="EP97" s="222"/>
      <c r="EQ97" s="222"/>
      <c r="ER97" s="222"/>
      <c r="ES97" s="222"/>
      <c r="ET97" s="224"/>
      <c r="EU97" s="222"/>
      <c r="EV97" s="222"/>
      <c r="EW97" s="222"/>
      <c r="EX97" s="222"/>
      <c r="EY97" s="222"/>
      <c r="EZ97" s="222"/>
      <c r="FA97" s="222"/>
      <c r="FB97" s="222"/>
      <c r="FC97" s="222"/>
      <c r="FD97" s="222"/>
      <c r="FE97" s="223"/>
      <c r="FF97" s="196"/>
      <c r="FG97" s="196"/>
      <c r="FH97" s="221" t="s">
        <v>12</v>
      </c>
      <c r="FI97" s="222"/>
      <c r="FJ97" s="222"/>
      <c r="FK97" s="222"/>
      <c r="FL97" s="222"/>
      <c r="FM97" s="222"/>
      <c r="FN97" s="222"/>
      <c r="FO97" s="224"/>
      <c r="FP97" s="222"/>
      <c r="FQ97" s="222"/>
      <c r="FR97" s="222"/>
      <c r="FS97" s="222"/>
      <c r="FT97" s="222"/>
      <c r="FU97" s="222"/>
      <c r="FV97" s="222"/>
      <c r="FW97" s="222"/>
      <c r="FX97" s="222"/>
      <c r="FY97" s="222"/>
      <c r="FZ97" s="223"/>
      <c r="GA97" s="196"/>
      <c r="GD97" s="339"/>
      <c r="GE97" s="339"/>
      <c r="GF97" s="339"/>
      <c r="GG97" s="339"/>
      <c r="GH97" s="339"/>
      <c r="GI97" s="339"/>
      <c r="GJ97" s="339"/>
      <c r="GK97" s="339"/>
      <c r="GL97" s="339"/>
      <c r="GM97" s="339"/>
      <c r="GN97" s="339"/>
      <c r="GO97" s="339"/>
      <c r="GP97" s="339"/>
      <c r="GQ97" s="339"/>
      <c r="GR97" s="339"/>
      <c r="GS97" s="339"/>
      <c r="GT97" s="339"/>
      <c r="GU97" s="339"/>
      <c r="GV97" s="339"/>
      <c r="GW97" s="339"/>
      <c r="GX97" s="339"/>
      <c r="GY97" s="339"/>
      <c r="GZ97" s="339"/>
      <c r="HA97" s="339"/>
      <c r="HB97" s="339"/>
      <c r="HC97" s="339"/>
      <c r="HD97" s="339"/>
      <c r="HE97" s="339"/>
      <c r="HF97" s="339"/>
      <c r="HG97" s="339"/>
      <c r="HH97" s="339"/>
      <c r="HI97" s="339"/>
      <c r="HJ97" s="339"/>
      <c r="HK97" s="339"/>
      <c r="HL97" s="339"/>
      <c r="HM97" s="339"/>
      <c r="HN97" s="339"/>
      <c r="HO97" s="339"/>
      <c r="HP97" s="339"/>
      <c r="HQ97" s="339"/>
      <c r="HR97" s="339"/>
    </row>
    <row r="98" spans="1:238" ht="14.1" customHeight="1">
      <c r="B98" s="225"/>
      <c r="C98" s="304"/>
      <c r="D98" s="304"/>
      <c r="E98" s="304"/>
      <c r="F98" s="304"/>
      <c r="G98" s="304"/>
      <c r="H98" s="304"/>
      <c r="I98" s="304"/>
      <c r="J98" s="304"/>
      <c r="K98" s="166"/>
      <c r="L98" s="166"/>
      <c r="M98" s="166"/>
      <c r="N98" s="304"/>
      <c r="O98" s="304"/>
      <c r="P98" s="166"/>
      <c r="Q98" s="166"/>
      <c r="R98" s="304"/>
      <c r="S98" s="304"/>
      <c r="T98" s="304"/>
      <c r="U98" s="304"/>
      <c r="V98" s="304"/>
      <c r="W98" s="304"/>
      <c r="X98" s="166"/>
      <c r="Y98" s="166"/>
      <c r="Z98" s="305"/>
      <c r="AA98" s="63"/>
      <c r="AB98" s="63"/>
      <c r="AC98" s="63"/>
      <c r="AD98" s="63"/>
      <c r="AE98" s="63"/>
      <c r="AF98" s="63"/>
      <c r="AJ98" s="173" t="str">
        <f>VLOOKUP(AH97,Chema!BL:BR,7,FALSE)</f>
        <v/>
      </c>
      <c r="AL98" s="200"/>
      <c r="AM98" s="200" t="str">
        <f>IF(AK97="D",VLOOKUP(AJ98,'Matchblatt  FEUILLE DE MATCH'!AK:AS,8,FALSE),"")</f>
        <v/>
      </c>
      <c r="AN98" s="200"/>
      <c r="AO98" s="200"/>
      <c r="AP98" s="200"/>
      <c r="AQ98" s="200"/>
      <c r="AR98" s="200"/>
      <c r="AS98" s="200"/>
      <c r="AT98" s="200"/>
      <c r="AU98" s="200"/>
      <c r="AV98" s="200"/>
      <c r="AW98" s="200"/>
      <c r="AX98" s="200"/>
      <c r="AY98" s="200"/>
      <c r="AZ98" s="200"/>
      <c r="BA98" s="200" t="str">
        <f>IF(AK97="D",VLOOKUP(AJ98,'Matchblatt  FEUILLE DE MATCH'!AK:AS,9,FALSE),"")</f>
        <v/>
      </c>
      <c r="BB98" s="63"/>
      <c r="BC98" s="63"/>
      <c r="BD98" s="63"/>
      <c r="BE98" s="63"/>
      <c r="BF98" s="63"/>
      <c r="BG98" s="63"/>
      <c r="BH98" s="63"/>
      <c r="BK98" s="166" t="s">
        <v>7</v>
      </c>
      <c r="BL98" s="166" t="s">
        <v>12</v>
      </c>
      <c r="BM98" s="166"/>
      <c r="BN98" s="166" t="s">
        <v>7</v>
      </c>
      <c r="BO98" s="166" t="s">
        <v>12</v>
      </c>
      <c r="BP98" s="166"/>
      <c r="BQ98" s="226" t="s">
        <v>894</v>
      </c>
      <c r="BR98" s="227" t="s">
        <v>895</v>
      </c>
      <c r="BS98" s="228" t="s">
        <v>896</v>
      </c>
      <c r="BT98" s="229"/>
      <c r="BU98" s="226" t="s">
        <v>7</v>
      </c>
      <c r="BV98" s="166"/>
      <c r="BW98" s="166"/>
      <c r="BX98" s="230"/>
      <c r="BY98" s="166"/>
      <c r="BZ98" s="166"/>
      <c r="CA98" s="227"/>
      <c r="CB98" s="166"/>
      <c r="CC98" s="166"/>
      <c r="CD98" s="226" t="s">
        <v>12</v>
      </c>
      <c r="CE98" s="166"/>
      <c r="CF98" s="166"/>
      <c r="CG98" s="230"/>
      <c r="CH98" s="166"/>
      <c r="CI98" s="166"/>
      <c r="CJ98" s="227"/>
      <c r="CK98" s="166"/>
      <c r="CL98" s="166" t="s">
        <v>897</v>
      </c>
      <c r="CM98" s="166"/>
      <c r="CN98" s="166"/>
      <c r="CO98" s="166"/>
      <c r="CP98" s="166"/>
      <c r="CQ98" s="166"/>
      <c r="CR98" s="166"/>
      <c r="CS98" s="166"/>
      <c r="CT98" s="166"/>
      <c r="CU98" s="166" t="s">
        <v>843</v>
      </c>
      <c r="CV98" s="166"/>
      <c r="CW98" s="166" t="s">
        <v>843</v>
      </c>
      <c r="CX98" s="166"/>
      <c r="CY98" s="166"/>
      <c r="CZ98" s="166"/>
      <c r="DA98" s="166"/>
      <c r="DB98" s="166"/>
      <c r="DC98" s="166"/>
      <c r="DD98" s="166" t="s">
        <v>894</v>
      </c>
      <c r="DE98" s="166" t="s">
        <v>895</v>
      </c>
      <c r="DF98" s="166"/>
      <c r="DG98" s="166" t="s">
        <v>927</v>
      </c>
      <c r="DH98" s="166"/>
      <c r="DI98" s="166"/>
      <c r="DJ98" s="166"/>
      <c r="DK98" s="166"/>
      <c r="DL98" s="166"/>
      <c r="DM98" s="166"/>
      <c r="DN98" s="166" t="s">
        <v>928</v>
      </c>
      <c r="DO98" s="166" t="s">
        <v>929</v>
      </c>
      <c r="DP98" s="166"/>
      <c r="DQ98" s="166"/>
      <c r="DR98" s="166"/>
      <c r="DS98" s="166"/>
      <c r="DT98" s="166"/>
      <c r="DU98" s="166"/>
      <c r="DV98" s="166" t="s">
        <v>894</v>
      </c>
      <c r="DW98" s="166" t="s">
        <v>895</v>
      </c>
      <c r="DX98" s="166"/>
      <c r="DY98" s="166"/>
      <c r="DZ98" s="166"/>
      <c r="EA98" s="166"/>
      <c r="EB98" s="166"/>
      <c r="EC98" s="166"/>
      <c r="ED98" s="166" t="s">
        <v>894</v>
      </c>
      <c r="EE98" s="166" t="s">
        <v>895</v>
      </c>
      <c r="EF98" s="166"/>
      <c r="EG98" s="166"/>
      <c r="EH98" s="166"/>
      <c r="EI98" s="166"/>
      <c r="EJ98" s="166"/>
      <c r="EK98" s="166"/>
      <c r="EL98" s="166"/>
      <c r="EM98" s="166"/>
      <c r="EN98" s="166"/>
      <c r="EO98" s="166"/>
      <c r="EP98" s="166"/>
      <c r="EQ98" s="166"/>
      <c r="ER98" s="166"/>
      <c r="ES98" s="166"/>
      <c r="ET98" s="230"/>
      <c r="EU98" s="166"/>
      <c r="EV98" s="166"/>
      <c r="EW98" s="166"/>
      <c r="EX98" s="166"/>
      <c r="EY98" s="166"/>
      <c r="EZ98" s="166"/>
      <c r="FA98" s="166"/>
      <c r="FB98" s="166"/>
      <c r="FC98" s="166"/>
      <c r="FD98" s="166"/>
      <c r="FE98" s="166"/>
      <c r="FF98" s="166"/>
      <c r="FG98" s="166"/>
      <c r="FH98" s="166"/>
      <c r="FI98" s="166"/>
      <c r="FJ98" s="166"/>
      <c r="FK98" s="166"/>
      <c r="FL98" s="166"/>
      <c r="FM98" s="166"/>
      <c r="FN98" s="166"/>
      <c r="FO98" s="230"/>
      <c r="FP98" s="166"/>
      <c r="FQ98" s="166"/>
      <c r="FR98" s="166"/>
      <c r="FS98" s="166"/>
      <c r="FT98" s="166"/>
      <c r="FU98" s="166"/>
      <c r="FV98" s="166"/>
      <c r="FW98" s="166"/>
      <c r="FX98" s="166"/>
      <c r="FY98" s="166"/>
      <c r="FZ98" s="166"/>
      <c r="GA98" s="166"/>
      <c r="GD98" s="339"/>
      <c r="GE98" s="339"/>
      <c r="GF98" s="339"/>
      <c r="GG98" s="339"/>
      <c r="GH98" s="339"/>
      <c r="GI98" s="339"/>
      <c r="GJ98" s="339"/>
      <c r="GK98" s="339"/>
      <c r="GL98" s="339"/>
      <c r="GM98" s="339"/>
      <c r="GN98" s="339"/>
      <c r="GO98" s="339"/>
      <c r="GP98" s="339"/>
      <c r="GQ98" s="339"/>
      <c r="GR98" s="339"/>
      <c r="GS98" s="339"/>
      <c r="GT98" s="339"/>
      <c r="GU98" s="339"/>
      <c r="GV98" s="339"/>
      <c r="GW98" s="339"/>
      <c r="GX98" s="339"/>
      <c r="GY98" s="339"/>
      <c r="GZ98" s="339"/>
      <c r="HA98" s="339"/>
      <c r="HB98" s="339"/>
      <c r="HC98" s="339"/>
      <c r="HD98" s="339"/>
      <c r="HE98" s="339"/>
      <c r="HF98" s="339"/>
      <c r="HG98" s="339"/>
      <c r="HH98" s="339"/>
      <c r="HI98" s="339"/>
      <c r="HJ98" s="339"/>
      <c r="HK98" s="339"/>
      <c r="HL98" s="339"/>
      <c r="HM98" s="339"/>
      <c r="HN98" s="339"/>
      <c r="HO98" s="339"/>
      <c r="HP98" s="339"/>
      <c r="HQ98" s="339"/>
      <c r="HR98" s="339"/>
    </row>
    <row r="99" spans="1:238" s="234" customFormat="1" ht="20.100000000000001" customHeight="1">
      <c r="A99" s="235"/>
      <c r="B99" s="231"/>
      <c r="C99" s="232" t="str">
        <f>REPT(Sprache!$K$12,1)</f>
        <v>SPIEL</v>
      </c>
      <c r="D99" s="233" t="s">
        <v>869</v>
      </c>
      <c r="E99" s="233" t="str">
        <f>REPT(Sprache!$K$62,1)</f>
        <v>Punkte</v>
      </c>
      <c r="F99" s="233" t="str">
        <f>REPT(Sprache!$K$61,1)</f>
        <v>Rest</v>
      </c>
      <c r="G99" s="233" t="s">
        <v>898</v>
      </c>
      <c r="H99" s="233" t="s">
        <v>848</v>
      </c>
      <c r="I99" s="233">
        <v>180</v>
      </c>
      <c r="J99" s="233" t="str">
        <f>REPT(Sprache!$K$63,1)</f>
        <v>Fehler</v>
      </c>
      <c r="L99" s="306" t="s">
        <v>923</v>
      </c>
      <c r="M99" s="307"/>
      <c r="P99" s="306" t="s">
        <v>923</v>
      </c>
      <c r="R99" s="232" t="str">
        <f>REPT(Sprache!$K$12,1)</f>
        <v>SPIEL</v>
      </c>
      <c r="S99" s="233" t="s">
        <v>869</v>
      </c>
      <c r="T99" s="233" t="str">
        <f>REPT(Sprache!$K$62,1)</f>
        <v>Punkte</v>
      </c>
      <c r="U99" s="233" t="str">
        <f>REPT(Sprache!$K$61,1)</f>
        <v>Rest</v>
      </c>
      <c r="V99" s="233" t="s">
        <v>898</v>
      </c>
      <c r="W99" s="233" t="s">
        <v>848</v>
      </c>
      <c r="X99" s="233">
        <v>180</v>
      </c>
      <c r="Y99" s="233" t="str">
        <f>REPT(Sprache!$K$63,1)</f>
        <v>Fehler</v>
      </c>
      <c r="Z99" s="308"/>
      <c r="AD99" s="235"/>
      <c r="AE99" s="236" t="s">
        <v>966</v>
      </c>
      <c r="AF99" s="236" t="s">
        <v>967</v>
      </c>
      <c r="AG99" s="236" t="s">
        <v>965</v>
      </c>
      <c r="AH99" s="237" t="str">
        <f>LEFT($BM$6,10)</f>
        <v/>
      </c>
      <c r="AI99" s="237" t="str">
        <f>LEFT($BN$6,10)</f>
        <v/>
      </c>
      <c r="AJ99" s="237" t="s">
        <v>898</v>
      </c>
      <c r="AK99" s="237" t="s">
        <v>848</v>
      </c>
      <c r="AL99" s="237">
        <v>180</v>
      </c>
      <c r="AM99" s="237" t="str">
        <f>LEFT($BL$6,50)</f>
        <v/>
      </c>
      <c r="AN99" s="235"/>
      <c r="AO99" s="235"/>
      <c r="AP99" s="235"/>
      <c r="AQ99" s="235"/>
      <c r="AR99" s="235"/>
      <c r="AS99" s="235"/>
      <c r="AT99" s="235"/>
      <c r="AU99" s="235"/>
      <c r="AV99" s="237" t="str">
        <f>LEFT($BM$6,10)</f>
        <v/>
      </c>
      <c r="AW99" s="237" t="str">
        <f>LEFT($BN$6,10)</f>
        <v/>
      </c>
      <c r="AX99" s="237" t="s">
        <v>898</v>
      </c>
      <c r="AY99" s="237" t="s">
        <v>848</v>
      </c>
      <c r="AZ99" s="237">
        <v>180</v>
      </c>
      <c r="BA99" s="237" t="str">
        <f>LEFT($BL$6,50)</f>
        <v/>
      </c>
      <c r="BI99" s="238"/>
      <c r="BJ99" s="238"/>
      <c r="BK99" s="238" t="s">
        <v>165</v>
      </c>
      <c r="BL99" s="238" t="s">
        <v>165</v>
      </c>
      <c r="BM99" s="239" t="s">
        <v>165</v>
      </c>
      <c r="BN99" s="239" t="s">
        <v>899</v>
      </c>
      <c r="BO99" s="239" t="s">
        <v>899</v>
      </c>
      <c r="BP99" s="239" t="s">
        <v>900</v>
      </c>
      <c r="BQ99" s="240" t="s">
        <v>901</v>
      </c>
      <c r="BR99" s="241"/>
      <c r="BS99" s="242" t="s">
        <v>926</v>
      </c>
      <c r="BT99" s="243"/>
      <c r="BU99" s="242" t="s">
        <v>902</v>
      </c>
      <c r="BV99" s="238"/>
      <c r="BW99" s="238"/>
      <c r="BX99" s="244"/>
      <c r="BY99" s="238"/>
      <c r="BZ99" s="238" t="s">
        <v>903</v>
      </c>
      <c r="CA99" s="243" t="s">
        <v>904</v>
      </c>
      <c r="CB99" s="238"/>
      <c r="CC99" s="238"/>
      <c r="CD99" s="242" t="s">
        <v>902</v>
      </c>
      <c r="CE99" s="238"/>
      <c r="CF99" s="238"/>
      <c r="CG99" s="244"/>
      <c r="CH99" s="238"/>
      <c r="CI99" s="238" t="s">
        <v>903</v>
      </c>
      <c r="CJ99" s="243" t="s">
        <v>904</v>
      </c>
      <c r="CK99" s="238"/>
      <c r="CL99" s="245" t="s">
        <v>905</v>
      </c>
      <c r="CM99" s="245" t="s">
        <v>906</v>
      </c>
      <c r="CN99" s="245" t="s">
        <v>907</v>
      </c>
      <c r="CO99" s="245" t="s">
        <v>908</v>
      </c>
      <c r="CP99" s="245" t="s">
        <v>909</v>
      </c>
      <c r="CQ99" s="246" t="s">
        <v>910</v>
      </c>
      <c r="CR99" s="247"/>
      <c r="CS99" s="246" t="s">
        <v>911</v>
      </c>
      <c r="CT99" s="248"/>
      <c r="CU99" s="246" t="s">
        <v>912</v>
      </c>
      <c r="CV99" s="248"/>
      <c r="CW99" s="246" t="s">
        <v>913</v>
      </c>
      <c r="CX99" s="248"/>
      <c r="CY99" s="238"/>
      <c r="CZ99" s="238"/>
      <c r="DA99" s="238"/>
      <c r="DB99" s="238"/>
      <c r="DC99" s="249" t="s">
        <v>165</v>
      </c>
      <c r="DD99" s="249" t="s">
        <v>165</v>
      </c>
      <c r="DE99" s="249" t="s">
        <v>165</v>
      </c>
      <c r="DF99" s="238"/>
      <c r="DG99" s="238" t="s">
        <v>914</v>
      </c>
      <c r="DH99" s="238" t="s">
        <v>930</v>
      </c>
      <c r="DI99" s="238" t="s">
        <v>931</v>
      </c>
      <c r="DK99" s="238" t="s">
        <v>932</v>
      </c>
      <c r="DL99" s="238" t="s">
        <v>933</v>
      </c>
      <c r="DM99" s="238" t="s">
        <v>869</v>
      </c>
      <c r="DN99" s="230" t="s">
        <v>915</v>
      </c>
      <c r="DO99" s="250" t="s">
        <v>915</v>
      </c>
      <c r="DP99" s="322" t="s">
        <v>934</v>
      </c>
      <c r="DQ99" s="238"/>
      <c r="DR99" s="166" t="s">
        <v>894</v>
      </c>
      <c r="DS99" s="166" t="s">
        <v>895</v>
      </c>
      <c r="DT99" s="166" t="s">
        <v>935</v>
      </c>
      <c r="DU99" s="166" t="s">
        <v>936</v>
      </c>
      <c r="DV99" s="251" t="s">
        <v>165</v>
      </c>
      <c r="DW99" s="251" t="s">
        <v>165</v>
      </c>
      <c r="DX99" s="238" t="s">
        <v>916</v>
      </c>
      <c r="DY99" s="238"/>
      <c r="DZ99" s="238"/>
      <c r="EA99" s="238"/>
      <c r="EB99" s="238"/>
      <c r="EC99" s="238"/>
      <c r="ED99" s="251" t="s">
        <v>165</v>
      </c>
      <c r="EE99" s="251" t="s">
        <v>165</v>
      </c>
      <c r="EF99" s="166"/>
      <c r="EG99" s="238"/>
      <c r="EH99" s="238"/>
      <c r="EI99" s="238"/>
      <c r="EJ99" s="238"/>
      <c r="EK99" s="238"/>
      <c r="EL99" s="238"/>
      <c r="EM99" s="238"/>
      <c r="EN99" s="238"/>
      <c r="EO99" s="246" t="s">
        <v>917</v>
      </c>
      <c r="EP99" s="247"/>
      <c r="EQ99" s="247"/>
      <c r="ER99" s="247"/>
      <c r="ES99" s="247"/>
      <c r="ET99" s="252"/>
      <c r="EU99" s="248"/>
      <c r="EV99" s="246" t="s">
        <v>918</v>
      </c>
      <c r="EW99" s="247"/>
      <c r="EX99" s="248"/>
      <c r="EY99" s="251" t="s">
        <v>165</v>
      </c>
      <c r="EZ99" s="246" t="s">
        <v>919</v>
      </c>
      <c r="FA99" s="247"/>
      <c r="FB99" s="248"/>
      <c r="FC99" s="246" t="s">
        <v>920</v>
      </c>
      <c r="FD99" s="247"/>
      <c r="FE99" s="248"/>
      <c r="FF99" s="238"/>
      <c r="FG99" s="238"/>
      <c r="FH99" s="238"/>
      <c r="FI99" s="238"/>
      <c r="FJ99" s="246" t="s">
        <v>917</v>
      </c>
      <c r="FK99" s="247"/>
      <c r="FL99" s="247"/>
      <c r="FM99" s="247"/>
      <c r="FN99" s="247"/>
      <c r="FO99" s="252"/>
      <c r="FP99" s="248"/>
      <c r="FQ99" s="246" t="s">
        <v>918</v>
      </c>
      <c r="FR99" s="247"/>
      <c r="FS99" s="248"/>
      <c r="FT99" s="251" t="s">
        <v>165</v>
      </c>
      <c r="FU99" s="246" t="s">
        <v>919</v>
      </c>
      <c r="FV99" s="247"/>
      <c r="FW99" s="248"/>
      <c r="FX99" s="246" t="s">
        <v>920</v>
      </c>
      <c r="FY99" s="247"/>
      <c r="FZ99" s="248"/>
      <c r="GD99" s="340"/>
      <c r="GE99" s="340"/>
      <c r="GF99" s="341" t="s">
        <v>968</v>
      </c>
      <c r="GG99" s="340"/>
      <c r="GH99" s="340"/>
      <c r="GI99" s="340"/>
      <c r="GJ99" s="341" t="s">
        <v>972</v>
      </c>
      <c r="GK99" s="340"/>
      <c r="GL99" s="340"/>
      <c r="GM99" s="340"/>
      <c r="GN99" s="341" t="s">
        <v>971</v>
      </c>
      <c r="GO99" s="340"/>
      <c r="GP99" s="340"/>
      <c r="GQ99" s="340"/>
      <c r="GR99" s="341" t="s">
        <v>970</v>
      </c>
      <c r="GS99" s="340"/>
      <c r="GT99" s="340"/>
      <c r="GU99" s="340"/>
      <c r="GV99" s="341" t="s">
        <v>969</v>
      </c>
      <c r="GW99" s="340"/>
      <c r="GX99" s="340"/>
      <c r="GY99" s="340"/>
      <c r="GZ99" s="342" t="s">
        <v>973</v>
      </c>
      <c r="HA99" s="340"/>
      <c r="HB99" s="340"/>
      <c r="HC99" s="340"/>
      <c r="HD99" s="342" t="s">
        <v>974</v>
      </c>
      <c r="HE99" s="340"/>
      <c r="HF99" s="340"/>
      <c r="HG99" s="340"/>
      <c r="HH99" s="340"/>
      <c r="HI99" s="340"/>
      <c r="HJ99" s="340"/>
      <c r="HK99" s="340"/>
      <c r="HL99" s="340"/>
      <c r="HM99" s="341"/>
      <c r="HN99" s="341"/>
      <c r="HO99" s="341"/>
      <c r="HP99" s="341"/>
      <c r="HQ99" s="341"/>
      <c r="HR99" s="341"/>
      <c r="HS99" s="238"/>
      <c r="HT99" s="238"/>
      <c r="HU99" s="238"/>
      <c r="HV99" s="238"/>
      <c r="HX99" s="238"/>
      <c r="HY99" s="238"/>
      <c r="HZ99" s="238"/>
      <c r="ID99" s="238"/>
    </row>
    <row r="100" spans="1:238" s="234" customFormat="1" ht="20.100000000000001" customHeight="1">
      <c r="A100" s="235"/>
      <c r="B100" s="231">
        <f>COUNT(AJ101,AJ100)</f>
        <v>0</v>
      </c>
      <c r="C100" s="325" t="str">
        <f>CONCATENATE(BG100,BE100)</f>
        <v>HS</v>
      </c>
      <c r="D100" s="253" t="str">
        <f>REPT(DN100,1)</f>
        <v>1</v>
      </c>
      <c r="E100" s="254" t="str">
        <f>REPT(AH100,1)</f>
        <v/>
      </c>
      <c r="F100" s="168"/>
      <c r="G100" s="168"/>
      <c r="H100" s="168"/>
      <c r="I100" s="169"/>
      <c r="J100" s="255" t="str">
        <f>REPT(AM100,1)</f>
        <v/>
      </c>
      <c r="L100" s="309">
        <f>SUM(BS109)</f>
        <v>0</v>
      </c>
      <c r="M100" s="238"/>
      <c r="N100" s="255" t="str">
        <f>REPT(AP100,1)</f>
        <v/>
      </c>
      <c r="P100" s="309">
        <f>SUM(CF109)</f>
        <v>0</v>
      </c>
      <c r="Q100" s="310"/>
      <c r="R100" s="323" t="str">
        <f>CONCATENATE(BH100,BE100)</f>
        <v>GS</v>
      </c>
      <c r="S100" s="253" t="str">
        <f>REPT(DO100,1)</f>
        <v>1</v>
      </c>
      <c r="T100" s="254" t="str">
        <f>REPT(AV100,1)</f>
        <v/>
      </c>
      <c r="U100" s="168"/>
      <c r="V100" s="168"/>
      <c r="W100" s="168"/>
      <c r="X100" s="169"/>
      <c r="Y100" s="255" t="str">
        <f>REPT(BA100,1)</f>
        <v/>
      </c>
      <c r="Z100" s="308"/>
      <c r="AB100" s="234">
        <f>IF(AY100="",0,IF(AY100&lt;2,1,""))</f>
        <v>0</v>
      </c>
      <c r="AC100" s="238">
        <f>IF(AD100=1,1,IF(AD100=3,1,IF(AD100=2,0,IF(AD100=0,0,0))))</f>
        <v>0</v>
      </c>
      <c r="AD100" s="256">
        <f>SUM(AE100:AG100)</f>
        <v>0</v>
      </c>
      <c r="AE100" s="256">
        <f t="shared" ref="AE100:AE104" si="212">IF(F100="",0,1)</f>
        <v>0</v>
      </c>
      <c r="AF100" s="256">
        <f t="shared" ref="AF100:AF104" si="213">IF(G100="",0,1)</f>
        <v>0</v>
      </c>
      <c r="AG100" s="256">
        <f>IF(H100="",0,1)</f>
        <v>0</v>
      </c>
      <c r="AH100" s="257" t="str">
        <f>IF(AK100="",IF(AI100="","",IF(AI100="",501,501-AI100)),501)</f>
        <v/>
      </c>
      <c r="AI100" s="256" t="str">
        <f>IF(F100&gt;1,F100,IF(F100=0,"",IF(F100="","","")))</f>
        <v/>
      </c>
      <c r="AJ100" s="256" t="str">
        <f>IF(G100&gt;8,G100,IF(G100="","",""))</f>
        <v/>
      </c>
      <c r="AK100" s="256" t="str">
        <f>IF(H100&gt;1,H100,IF(H100="","",""))</f>
        <v/>
      </c>
      <c r="AL100" s="256" t="str">
        <f>IF(I100&gt;0,I100,IF(I100="","",""))</f>
        <v/>
      </c>
      <c r="AM100" s="258" t="str">
        <f>IF(BK100=0,"","X")</f>
        <v/>
      </c>
      <c r="AN100" s="237"/>
      <c r="AO100" s="237"/>
      <c r="AP100" s="258" t="str">
        <f>IF(BM100=0,"","X")</f>
        <v/>
      </c>
      <c r="AQ100" s="236">
        <f>IF(AR100=1,1,IF(AR100=3,1,IF(AR100=2,0,IF(AR100=0,0,0))))</f>
        <v>0</v>
      </c>
      <c r="AR100" s="256">
        <f>SUM(AS100:AU100)</f>
        <v>0</v>
      </c>
      <c r="AS100" s="256">
        <f t="shared" ref="AS100:AS104" si="214">IF(U100="",0,1)</f>
        <v>0</v>
      </c>
      <c r="AT100" s="256">
        <f t="shared" ref="AT100:AT104" si="215">IF(V100="",0,1)</f>
        <v>0</v>
      </c>
      <c r="AU100" s="256">
        <f>IF(W100="",0,1)</f>
        <v>0</v>
      </c>
      <c r="AV100" s="257" t="str">
        <f>IF(AY100="",IF(AW100="","",IF(AW100="",501,501-AW100)),501)</f>
        <v/>
      </c>
      <c r="AW100" s="256" t="str">
        <f>IF(U100&gt;1,U100,IF(U100=0,"",IF(U100="","","")))</f>
        <v/>
      </c>
      <c r="AX100" s="256" t="str">
        <f>IF(V100&gt;8,V100,IF(V100="","",""))</f>
        <v/>
      </c>
      <c r="AY100" s="256" t="str">
        <f>IF(W100&gt;1,W100,IF(W100="","",""))</f>
        <v/>
      </c>
      <c r="AZ100" s="256" t="str">
        <f>IF(X100&gt;0,X100,IF(X100="","",""))</f>
        <v/>
      </c>
      <c r="BA100" s="258" t="str">
        <f>IF(BL100=0,"","X")</f>
        <v/>
      </c>
      <c r="BF100" s="238" t="s">
        <v>894</v>
      </c>
      <c r="BG100" s="238" t="str">
        <f>CONCATENATE(BF100,AK97)</f>
        <v>HS</v>
      </c>
      <c r="BH100" s="238" t="str">
        <f>CONCATENATE(BI100,AK97)</f>
        <v>GS</v>
      </c>
      <c r="BI100" s="238" t="s">
        <v>895</v>
      </c>
      <c r="BJ100" s="238"/>
      <c r="BK100" s="251">
        <f>SUM(DD100,DV100,EY100,ED100,FF100,BQ100,BS100,AC100)</f>
        <v>0</v>
      </c>
      <c r="BL100" s="251">
        <f>SUM(DE100,DW100,EE100,FT100,GA100,BR100,BT100,AQ100)</f>
        <v>0</v>
      </c>
      <c r="BM100" s="259">
        <f>SUM(DC100,BK100:BL100,AC100,AQ100)</f>
        <v>0</v>
      </c>
      <c r="BN100" s="239">
        <f>COUNT(AK100)</f>
        <v>0</v>
      </c>
      <c r="BO100" s="239">
        <f>COUNT(AY100)</f>
        <v>0</v>
      </c>
      <c r="BP100" s="239">
        <f>IF(BN102=0,0,1)</f>
        <v>0</v>
      </c>
      <c r="BQ100" s="260">
        <f>IF(AL100="",0,IF(AL100&gt;2,1,0))</f>
        <v>0</v>
      </c>
      <c r="BR100" s="261">
        <f>IF(AZ100="",0,IF(AZ100&gt;2,1,0))</f>
        <v>0</v>
      </c>
      <c r="BS100" s="262">
        <f>IF(AJ100=9,IF(AK100&lt;141,1,0),0)</f>
        <v>0</v>
      </c>
      <c r="BT100" s="263">
        <f>IF(AX100=9,IF(AY100&lt;141,1,0),0)</f>
        <v>0</v>
      </c>
      <c r="BU100" s="242">
        <f>IF(H100,G100,0)</f>
        <v>0</v>
      </c>
      <c r="BV100" s="238">
        <f>IF(BU100&gt;0,AJ100/3,0)</f>
        <v>0</v>
      </c>
      <c r="BW100" s="238">
        <f>ROUNDUP(BV100,0)</f>
        <v>0</v>
      </c>
      <c r="BX100" s="244">
        <f>IF(MOD(BW100,2)=0,BW100,BW100+1)</f>
        <v>0</v>
      </c>
      <c r="BY100" s="238">
        <f>IF(AJ100&lt;9,"",SUM(BX100-BW100))</f>
        <v>0</v>
      </c>
      <c r="BZ100" s="238">
        <f>IF(BY100=1,AK100,0)</f>
        <v>0</v>
      </c>
      <c r="CA100" s="243" t="str">
        <f>IF(BY100=0,AK100,0)</f>
        <v/>
      </c>
      <c r="CB100" s="238"/>
      <c r="CC100" s="238"/>
      <c r="CD100" s="242">
        <f>IF(W100,V100,0)</f>
        <v>0</v>
      </c>
      <c r="CE100" s="238">
        <f>IF(CD100&gt;0,AX100/3,0)</f>
        <v>0</v>
      </c>
      <c r="CF100" s="238">
        <f>ROUNDUP(CE100,0)</f>
        <v>0</v>
      </c>
      <c r="CG100" s="244">
        <f>IF(MOD(CF100,2)=0,CF100,CF100+1)</f>
        <v>0</v>
      </c>
      <c r="CH100" s="238">
        <f>IF(AX100&lt;9,"",SUM(CG100-CF100))</f>
        <v>0</v>
      </c>
      <c r="CI100" s="238">
        <f>IF(CH100=1,AY100,0)</f>
        <v>0</v>
      </c>
      <c r="CJ100" s="243" t="str">
        <f>IF(CH100=0,AY100,0)</f>
        <v/>
      </c>
      <c r="CK100" s="238"/>
      <c r="CL100" s="245">
        <f>IF(COUNT(F100,H100)=1,0,1)</f>
        <v>1</v>
      </c>
      <c r="CM100" s="245">
        <f>IF(COUNT(F100,U100)=1,0,1)</f>
        <v>1</v>
      </c>
      <c r="CN100" s="245">
        <f>IF(COUNT(H100,W100)=1,0,1)</f>
        <v>1</v>
      </c>
      <c r="CO100" s="245">
        <f>IF(COUNT(G100,V100)=2,0,1)</f>
        <v>1</v>
      </c>
      <c r="CP100" s="245">
        <f>IF(COUNT(U100,W100)=1,0,1)</f>
        <v>1</v>
      </c>
      <c r="CQ100" s="245">
        <f>IF(SUM(G100-V100)&gt;3,1,0)</f>
        <v>0</v>
      </c>
      <c r="CR100" s="245">
        <f>IF(SUM(G100-V100)&lt;-3,1,0)</f>
        <v>0</v>
      </c>
      <c r="CS100" s="264">
        <f>IF(AJ100=9,IF(AH100&lt;141,1,0),IF(AH100="",0,IF(AH100&gt;1,0,1)))</f>
        <v>0</v>
      </c>
      <c r="CT100" s="264">
        <f>IF(AX100=9,IF(AV100&lt;141,1,0),IF(AV100="",0,IF(AV100&gt;1,0,1)))</f>
        <v>0</v>
      </c>
      <c r="CU100" s="264">
        <f>IF(AI100="",0,IF(AI100&lt;502,0,1))</f>
        <v>0</v>
      </c>
      <c r="CV100" s="264">
        <f>IF(AW100="",0,IF(AW100&lt;502,0,1))</f>
        <v>0</v>
      </c>
      <c r="CW100" s="264">
        <f>IF(AI100="",IF(AJ100&lt;9,1,0),IF(AJ100&lt;9,1,0))</f>
        <v>0</v>
      </c>
      <c r="CX100" s="264">
        <f>IF(AW100="",IF(AX100&lt;9,1,0),IF(AX100&lt;9,1,0))</f>
        <v>0</v>
      </c>
      <c r="CY100" s="374"/>
      <c r="CZ100" s="374"/>
      <c r="DA100" s="374"/>
      <c r="DB100" s="374"/>
      <c r="DC100" s="265">
        <f>IF(AJ100="",0,SUM(CL100:CX100))</f>
        <v>0</v>
      </c>
      <c r="DD100" s="265">
        <f>IF(AJ100="",0,SUM(CL100,CS100,CU100,CW100))</f>
        <v>0</v>
      </c>
      <c r="DE100" s="265">
        <f>IF(AJ100="",0,SUM(CP100,CT100,CV100,CX100))</f>
        <v>0</v>
      </c>
      <c r="DF100" s="238"/>
      <c r="DG100" s="248" t="str">
        <f>IF(G100="","",SUM(G100-V100))</f>
        <v/>
      </c>
      <c r="DH100" s="245">
        <f>IF(F100="",0,1)</f>
        <v>0</v>
      </c>
      <c r="DI100" s="245" t="str">
        <f>IF(DG100=0,DH100,DG100)</f>
        <v/>
      </c>
      <c r="DJ100" s="245" t="e">
        <f>SIGN(DI100)</f>
        <v>#VALUE!</v>
      </c>
      <c r="DK100" s="245" t="str">
        <f>IF(G100="","",IF(DJ100=1,"*",""))</f>
        <v/>
      </c>
      <c r="DL100" s="245" t="str">
        <f>IF(G100="","",IF(DJ100=-1,"*",IF(DJ100=0,"*","")))</f>
        <v/>
      </c>
      <c r="DM100" s="245">
        <v>1</v>
      </c>
      <c r="DN100" s="245" t="str">
        <f>CONCATENATE(DM100,DK100)</f>
        <v>1</v>
      </c>
      <c r="DO100" s="245" t="str">
        <f>CONCATENATE(DM100,DL100)</f>
        <v>1</v>
      </c>
      <c r="DP100" s="245">
        <f>IF(DK100="*",1,0)</f>
        <v>0</v>
      </c>
      <c r="DQ100" s="245">
        <f>IF(DL100="*",1,0)</f>
        <v>0</v>
      </c>
      <c r="DR100" s="245"/>
      <c r="DS100" s="245"/>
      <c r="DT100" s="245"/>
      <c r="DU100" s="245"/>
      <c r="DV100" s="266"/>
      <c r="DW100" s="266"/>
      <c r="DX100" s="238">
        <f>IF(AK100="",0,1)</f>
        <v>0</v>
      </c>
      <c r="DY100" s="238">
        <f>IF(DG100=-3,1,0)</f>
        <v>0</v>
      </c>
      <c r="DZ100" s="238">
        <f>SUM(DX100:DY100)</f>
        <v>0</v>
      </c>
      <c r="EA100" s="238">
        <f>IF(AK100="",1,0)</f>
        <v>1</v>
      </c>
      <c r="EB100" s="238">
        <f>IF(DG100=3,1,0)</f>
        <v>0</v>
      </c>
      <c r="EC100" s="238">
        <f>SUM(EA100:EB100)</f>
        <v>1</v>
      </c>
      <c r="ED100" s="267">
        <f>IF(EC100=2,1,0)</f>
        <v>0</v>
      </c>
      <c r="EE100" s="267">
        <f>IF(DZ100=2,1,0)</f>
        <v>0</v>
      </c>
      <c r="EG100" s="166"/>
      <c r="EH100" s="238"/>
      <c r="EI100" s="238"/>
      <c r="EJ100" s="238"/>
      <c r="EK100" s="238"/>
      <c r="EL100" s="238"/>
      <c r="EM100" s="245">
        <f>IF(AK100="",0,1)</f>
        <v>0</v>
      </c>
      <c r="EN100" s="245">
        <f>SUM(AK100)</f>
        <v>0</v>
      </c>
      <c r="EO100" s="268">
        <f>SUM(AJ100)</f>
        <v>0</v>
      </c>
      <c r="EP100" s="268">
        <f>SUM(G100/3)</f>
        <v>0</v>
      </c>
      <c r="EQ100" s="268" t="e">
        <f>SUM(EO100/EP100)</f>
        <v>#DIV/0!</v>
      </c>
      <c r="ER100" s="268">
        <f>ROUNDDOWN(EP100,0)</f>
        <v>0</v>
      </c>
      <c r="ES100" s="268">
        <f>SUM(EO100,-ER100*3)</f>
        <v>0</v>
      </c>
      <c r="ET100" s="269" t="b">
        <f>MOD(EN100/1,2)=0</f>
        <v>1</v>
      </c>
      <c r="EU100" s="245">
        <f>IF(ET100=FALSE,1,0)</f>
        <v>0</v>
      </c>
      <c r="EV100" s="245">
        <f>IF(EN100=50,0,IF(EN100&lt;40,1,0))</f>
        <v>1</v>
      </c>
      <c r="EW100" s="245">
        <f>SUM(EU100:EV100)</f>
        <v>1</v>
      </c>
      <c r="EX100" s="267">
        <f>IF(EN100=1,1,IF(EN100=50,0,IF(ES100=1,IF(EN100&gt;40,1,0),0)))</f>
        <v>0</v>
      </c>
      <c r="EY100" s="267">
        <f>IF(ES100=1,IF(EW100=2,1,0),0)+EX100+FB100+FE100</f>
        <v>0</v>
      </c>
      <c r="EZ100" s="245">
        <f>IF(EN100=109,1,IF(EN100=108,1,IF(EN100=106,1,IF(EN100=105,1,IF(EN100=103,1,IF(EN100=102,1,IF(EN100=99,1,0)))))))</f>
        <v>0</v>
      </c>
      <c r="FA100" s="245">
        <f>IF(EN100&gt;110,1,0)</f>
        <v>0</v>
      </c>
      <c r="FB100" s="267">
        <f>IF(ES100=2,SUM(EZ100:FA100),0)</f>
        <v>0</v>
      </c>
      <c r="FC100" s="245">
        <f>IF(EN100=159,1,IF(EN100=162,1,IF(EN100=163,1,IF(EN100=165,1,IF(EN100=166,1,IF(EN100=168,1,IF(EN100=169,1,0)))))))</f>
        <v>0</v>
      </c>
      <c r="FD100" s="245">
        <f>IF(EN100&gt;170,1,0)</f>
        <v>0</v>
      </c>
      <c r="FE100" s="267">
        <f>IF(ES100=0,SUM(FC100:FD100),0)</f>
        <v>0</v>
      </c>
      <c r="FF100" s="251">
        <f>IF(AJ100="",0,IF(AI100="",0,IF(EO100/ER100-3=0,0,1)))</f>
        <v>0</v>
      </c>
      <c r="FG100" s="238"/>
      <c r="FH100" s="245">
        <f>IF(AY100="",0,1)</f>
        <v>0</v>
      </c>
      <c r="FI100" s="245">
        <f>SUM(AY100)</f>
        <v>0</v>
      </c>
      <c r="FJ100" s="268">
        <f>SUM(AX100)</f>
        <v>0</v>
      </c>
      <c r="FK100" s="268">
        <f>SUM(V100/3)</f>
        <v>0</v>
      </c>
      <c r="FL100" s="268" t="e">
        <f>SUM(FJ100/FK100)</f>
        <v>#DIV/0!</v>
      </c>
      <c r="FM100" s="268">
        <f>ROUNDDOWN(FK100,0)</f>
        <v>0</v>
      </c>
      <c r="FN100" s="268">
        <f>SUM(FJ100,-FM100*3)</f>
        <v>0</v>
      </c>
      <c r="FO100" s="269" t="b">
        <f>MOD(FI100/1,2)=0</f>
        <v>1</v>
      </c>
      <c r="FP100" s="245">
        <f>IF(FO100=FALSE,1,0)</f>
        <v>0</v>
      </c>
      <c r="FQ100" s="245">
        <f>IF(FI100=50,0,IF(FI100&lt;40,1,0))</f>
        <v>1</v>
      </c>
      <c r="FR100" s="245">
        <f>SUM(FP100:FQ100)</f>
        <v>1</v>
      </c>
      <c r="FS100" s="267">
        <f>IF(FI100=1,1,IF(FI100=50,0,IF(FN100=1,IF(FI100&gt;40,1,0),0)))</f>
        <v>0</v>
      </c>
      <c r="FT100" s="267">
        <f>IF(FN100=1,IF(FR100=2,1,0),0)+FS100+FW100+FZ100</f>
        <v>0</v>
      </c>
      <c r="FU100" s="245">
        <f>IF(FI100=109,1,IF(FI100=108,1,IF(FI100=106,1,IF(FI100=105,1,IF(FI100=103,1,IF(FI100=102,1,IF(FI100=99,1,0)))))))</f>
        <v>0</v>
      </c>
      <c r="FV100" s="245">
        <f>IF(FI100&gt;110,1,0)</f>
        <v>0</v>
      </c>
      <c r="FW100" s="267">
        <f>IF(FN100=2,SUM(FU100:FV100),0)</f>
        <v>0</v>
      </c>
      <c r="FX100" s="245">
        <f>IF(FI100=159,1,IF(FI100=162,1,IF(FI100=163,1,IF(FI100=165,1,IF(FI100=166,1,IF(FI100=168,1,IF(FI100=169,1,0)))))))</f>
        <v>0</v>
      </c>
      <c r="FY100" s="245">
        <f>IF(FI100&gt;170,1,0)</f>
        <v>0</v>
      </c>
      <c r="FZ100" s="267">
        <f>IF(FN100=0,SUM(FX100:FY100),0)</f>
        <v>0</v>
      </c>
      <c r="GA100" s="251">
        <f>IF(AX100="",0,IF(AW100="",0,IF(FJ100/FM100-3=0,0,1)))</f>
        <v>0</v>
      </c>
      <c r="GD100" s="341">
        <f>IF(AK97="D",1,0)</f>
        <v>0</v>
      </c>
      <c r="GE100" s="343"/>
      <c r="GF100" s="343" t="s">
        <v>866</v>
      </c>
      <c r="GG100" s="343" t="s">
        <v>868</v>
      </c>
      <c r="GH100" s="343" t="s">
        <v>848</v>
      </c>
      <c r="GI100" s="343">
        <v>180</v>
      </c>
      <c r="GJ100" s="343" t="s">
        <v>866</v>
      </c>
      <c r="GK100" s="343" t="s">
        <v>868</v>
      </c>
      <c r="GL100" s="343" t="s">
        <v>848</v>
      </c>
      <c r="GM100" s="343">
        <v>180</v>
      </c>
      <c r="GN100" s="343" t="s">
        <v>866</v>
      </c>
      <c r="GO100" s="343" t="s">
        <v>868</v>
      </c>
      <c r="GP100" s="343" t="s">
        <v>848</v>
      </c>
      <c r="GQ100" s="343">
        <v>180</v>
      </c>
      <c r="GR100" s="343" t="s">
        <v>866</v>
      </c>
      <c r="GS100" s="343" t="s">
        <v>868</v>
      </c>
      <c r="GT100" s="343" t="s">
        <v>848</v>
      </c>
      <c r="GU100" s="343">
        <v>180</v>
      </c>
      <c r="GV100" s="343" t="s">
        <v>866</v>
      </c>
      <c r="GW100" s="343" t="s">
        <v>868</v>
      </c>
      <c r="GX100" s="343" t="s">
        <v>848</v>
      </c>
      <c r="GY100" s="343">
        <v>180</v>
      </c>
      <c r="GZ100" s="343" t="s">
        <v>866</v>
      </c>
      <c r="HA100" s="343" t="s">
        <v>868</v>
      </c>
      <c r="HB100" s="343" t="s">
        <v>848</v>
      </c>
      <c r="HC100" s="343">
        <v>180</v>
      </c>
      <c r="HD100" s="343" t="s">
        <v>866</v>
      </c>
      <c r="HE100" s="343" t="s">
        <v>868</v>
      </c>
      <c r="HF100" s="341" t="s">
        <v>975</v>
      </c>
      <c r="HG100" s="341" t="s">
        <v>976</v>
      </c>
      <c r="HH100" s="341" t="s">
        <v>899</v>
      </c>
      <c r="HJ100" s="238"/>
      <c r="HK100" s="238"/>
      <c r="HL100" s="238"/>
      <c r="HM100" s="238">
        <f>COUNT(HI101,HJ101,HK101,HL101,HM101)</f>
        <v>0</v>
      </c>
      <c r="HN100" s="341"/>
      <c r="HO100" s="341"/>
      <c r="HP100" s="341"/>
      <c r="HQ100" s="341"/>
      <c r="HR100" s="341"/>
      <c r="HS100" s="238"/>
      <c r="HT100" s="238"/>
      <c r="HU100" s="238"/>
      <c r="HV100" s="238"/>
      <c r="HX100" s="238"/>
      <c r="HY100" s="238"/>
      <c r="ID100" s="238"/>
    </row>
    <row r="101" spans="1:238" s="234" customFormat="1" ht="20.100000000000001" customHeight="1">
      <c r="A101" s="235"/>
      <c r="B101" s="231">
        <f>COUNT(AJ102,AJ101)</f>
        <v>0</v>
      </c>
      <c r="C101" s="326">
        <f>IF(DK100="*",AJ97,AI97)</f>
        <v>1.7</v>
      </c>
      <c r="D101" s="253" t="str">
        <f>REPT(DN101,1)</f>
        <v>2</v>
      </c>
      <c r="E101" s="254" t="str">
        <f>REPT(AH101,1)</f>
        <v/>
      </c>
      <c r="F101" s="168"/>
      <c r="G101" s="168"/>
      <c r="H101" s="168"/>
      <c r="I101" s="169"/>
      <c r="J101" s="270" t="str">
        <f>REPT(AM101,1)</f>
        <v/>
      </c>
      <c r="L101" s="306" t="s">
        <v>922</v>
      </c>
      <c r="M101" s="311"/>
      <c r="N101" s="270" t="str">
        <f>REPT(AP101,1)</f>
        <v/>
      </c>
      <c r="P101" s="306" t="s">
        <v>922</v>
      </c>
      <c r="Q101" s="310"/>
      <c r="R101" s="324">
        <f>IF(DL100="*",AJ97,AI97)</f>
        <v>1.7</v>
      </c>
      <c r="S101" s="253" t="str">
        <f>REPT(DO101,1)</f>
        <v>2</v>
      </c>
      <c r="T101" s="254" t="str">
        <f>REPT(AV101,1)</f>
        <v/>
      </c>
      <c r="U101" s="168"/>
      <c r="V101" s="168"/>
      <c r="W101" s="168"/>
      <c r="X101" s="169"/>
      <c r="Y101" s="270" t="str">
        <f t="shared" ref="Y101:Y103" si="216">REPT(BA101,1)</f>
        <v/>
      </c>
      <c r="Z101" s="308"/>
      <c r="AB101" s="234">
        <f>IF(AY101="",0,IF(AY101&lt;2,1,""))</f>
        <v>0</v>
      </c>
      <c r="AC101" s="238">
        <f t="shared" ref="AC101:AC102" si="217">IF(AD101=1,1,IF(AD101=3,1,IF(AD101=2,0,IF(AD101=0,0,0))))</f>
        <v>0</v>
      </c>
      <c r="AD101" s="256">
        <f t="shared" ref="AD101:AD104" si="218">SUM(AE101:AG101)</f>
        <v>0</v>
      </c>
      <c r="AE101" s="256">
        <f t="shared" si="212"/>
        <v>0</v>
      </c>
      <c r="AF101" s="256">
        <f t="shared" si="213"/>
        <v>0</v>
      </c>
      <c r="AG101" s="256">
        <f t="shared" ref="AG101:AG104" si="219">IF(H101="",0,1)</f>
        <v>0</v>
      </c>
      <c r="AH101" s="257" t="str">
        <f>IF(AK101="",IF(AI101="","",IF(AI101="",501,501-AI101)),501)</f>
        <v/>
      </c>
      <c r="AI101" s="256" t="str">
        <f>IF(F101&gt;1,F101,IF(F101=0,"",IF(F101="","","")))</f>
        <v/>
      </c>
      <c r="AJ101" s="256" t="str">
        <f>IF(G101&gt;8,G101,IF(G101="","",""))</f>
        <v/>
      </c>
      <c r="AK101" s="256" t="str">
        <f>IF(H101&gt;1,H101,IF(H101="","",""))</f>
        <v/>
      </c>
      <c r="AL101" s="256" t="str">
        <f>IF(I101&gt;0,I101,IF(I101="","",""))</f>
        <v/>
      </c>
      <c r="AM101" s="258" t="str">
        <f>IF(BK101=0,"","X")</f>
        <v/>
      </c>
      <c r="AN101" s="237"/>
      <c r="AO101" s="237"/>
      <c r="AP101" s="258" t="str">
        <f>IF(BM101=0,"","X")</f>
        <v/>
      </c>
      <c r="AQ101" s="236">
        <f t="shared" ref="AQ101:AQ102" si="220">IF(AR101=1,1,IF(AR101=3,1,IF(AR101=2,0,IF(AR101=0,0,0))))</f>
        <v>0</v>
      </c>
      <c r="AR101" s="256">
        <f t="shared" ref="AR101:AR104" si="221">SUM(AS101:AU101)</f>
        <v>0</v>
      </c>
      <c r="AS101" s="256">
        <f t="shared" si="214"/>
        <v>0</v>
      </c>
      <c r="AT101" s="256">
        <f t="shared" si="215"/>
        <v>0</v>
      </c>
      <c r="AU101" s="256">
        <f t="shared" ref="AU101:AU104" si="222">IF(W101="",0,1)</f>
        <v>0</v>
      </c>
      <c r="AV101" s="257" t="str">
        <f>IF(AY101="",IF(AW101="","",IF(AW101="",501,501-AW101)),501)</f>
        <v/>
      </c>
      <c r="AW101" s="256" t="str">
        <f>IF(U101&gt;1,U101,IF(U101=0,"",IF(U101="","","")))</f>
        <v/>
      </c>
      <c r="AX101" s="256" t="str">
        <f>IF(V101&gt;8,V101,IF(V101="","",""))</f>
        <v/>
      </c>
      <c r="AY101" s="256" t="str">
        <f>IF(W101&gt;1,W101,IF(W101="","",""))</f>
        <v/>
      </c>
      <c r="AZ101" s="256" t="str">
        <f>IF(X101&gt;0,X101,IF(X101="","",""))</f>
        <v/>
      </c>
      <c r="BA101" s="258" t="str">
        <f>IF(BL101=0,"","X")</f>
        <v/>
      </c>
      <c r="BK101" s="251">
        <f>SUM(DD101,DV101,EY101,ED101,FF101,BQ101,BS101,AC101)</f>
        <v>0</v>
      </c>
      <c r="BL101" s="251">
        <f>SUM(DE101,DW101,EE101,FT101,GA101,BR101,BT101,AQ101)</f>
        <v>0</v>
      </c>
      <c r="BM101" s="259">
        <f t="shared" ref="BM101:BM102" si="223">SUM(DC101,BK101:BL101,AC101,AQ101)</f>
        <v>0</v>
      </c>
      <c r="BN101" s="239">
        <f>COUNT(AK101)</f>
        <v>0</v>
      </c>
      <c r="BO101" s="239">
        <f>COUNT(AY101)</f>
        <v>0</v>
      </c>
      <c r="BP101" s="239">
        <f>IF(BN103=0,0,1)</f>
        <v>0</v>
      </c>
      <c r="BQ101" s="260">
        <f>IF(AL101="",0,IF(AL101&gt;2,1,0))</f>
        <v>0</v>
      </c>
      <c r="BR101" s="261">
        <f>IF(AZ101="",0,IF(AZ101&gt;2,1,0))</f>
        <v>0</v>
      </c>
      <c r="BS101" s="262">
        <f>IF(AJ101=9,IF(AK101&lt;141,1,0),0)</f>
        <v>0</v>
      </c>
      <c r="BT101" s="263">
        <f>IF(AX101=9,IF(AY101&lt;141,1,0),0)</f>
        <v>0</v>
      </c>
      <c r="BU101" s="242">
        <f>IF(H101,G101,0)</f>
        <v>0</v>
      </c>
      <c r="BV101" s="238">
        <f>IF(BU101&gt;0,AJ101/3,0)</f>
        <v>0</v>
      </c>
      <c r="BW101" s="238">
        <f>ROUNDUP(BV101,0)</f>
        <v>0</v>
      </c>
      <c r="BX101" s="244">
        <f>IF(MOD(BW101,2)=0,BW101,BW101+1)</f>
        <v>0</v>
      </c>
      <c r="BY101" s="238">
        <f>IF(AJ101&lt;9,"",SUM(BX101-BW101))</f>
        <v>0</v>
      </c>
      <c r="BZ101" s="238">
        <f>IF(BY101=1,AK101,0)</f>
        <v>0</v>
      </c>
      <c r="CA101" s="243" t="str">
        <f>IF(BY101=0,AK101,0)</f>
        <v/>
      </c>
      <c r="CB101" s="238"/>
      <c r="CC101" s="238"/>
      <c r="CD101" s="242">
        <f>IF(W101,V101,0)</f>
        <v>0</v>
      </c>
      <c r="CE101" s="238">
        <f>IF(CD101&gt;0,AX101/3,0)</f>
        <v>0</v>
      </c>
      <c r="CF101" s="238">
        <f>ROUNDUP(CE101,0)</f>
        <v>0</v>
      </c>
      <c r="CG101" s="244">
        <f>IF(MOD(CF101,2)=0,CF101,CF101+1)</f>
        <v>0</v>
      </c>
      <c r="CH101" s="238">
        <f>IF(AX101&lt;9,"",SUM(CG101-CF101))</f>
        <v>0</v>
      </c>
      <c r="CI101" s="238">
        <f>IF(CH101=1,AY101,0)</f>
        <v>0</v>
      </c>
      <c r="CJ101" s="243" t="str">
        <f>IF(CH101=0,AY101,0)</f>
        <v/>
      </c>
      <c r="CK101" s="238"/>
      <c r="CL101" s="245">
        <f>IF(COUNT(F101,H101)=1,0,1)</f>
        <v>1</v>
      </c>
      <c r="CM101" s="245">
        <f>IF(COUNT(F101,U101)=1,0,1)</f>
        <v>1</v>
      </c>
      <c r="CN101" s="245">
        <f>IF(COUNT(H101,W101)=1,0,1)</f>
        <v>1</v>
      </c>
      <c r="CO101" s="245">
        <f>IF(COUNT(G101,V101)=2,0,1)</f>
        <v>1</v>
      </c>
      <c r="CP101" s="245">
        <f>IF(COUNT(U101,W101)=1,0,1)</f>
        <v>1</v>
      </c>
      <c r="CQ101" s="245">
        <f>IF(SUM(G101-V101)&gt;3,1,0)</f>
        <v>0</v>
      </c>
      <c r="CR101" s="245">
        <f>IF(SUM(G101-V101)&lt;-3,1,0)</f>
        <v>0</v>
      </c>
      <c r="CS101" s="264">
        <f>IF(AJ101=9,IF(AH101&lt;141,1,0),IF(AH101="",0,IF(AH101&gt;1,0,1)))</f>
        <v>0</v>
      </c>
      <c r="CT101" s="264">
        <f>IF(AX101=9,IF(AV101&lt;141,1,0),IF(AV101="",0,IF(AV101&gt;1,0,1)))</f>
        <v>0</v>
      </c>
      <c r="CU101" s="264">
        <f>IF(AI101="",0,IF(AI101&lt;502,0,1))</f>
        <v>0</v>
      </c>
      <c r="CV101" s="264">
        <f>IF(AW101="",0,IF(AW101&lt;502,0,1))</f>
        <v>0</v>
      </c>
      <c r="CW101" s="264">
        <f>IF(AI101="",IF(AJ101&lt;9,1,0),IF(AJ101&lt;9,1,0))</f>
        <v>0</v>
      </c>
      <c r="CX101" s="264">
        <f>IF(AW101="",IF(AX101&lt;9,1,0),IF(AX101&lt;9,1,0))</f>
        <v>0</v>
      </c>
      <c r="CY101" s="374"/>
      <c r="CZ101" s="374"/>
      <c r="DA101" s="374"/>
      <c r="DB101" s="374"/>
      <c r="DC101" s="265">
        <f>IF(AJ101="",0,SUM(CL101:CX101))</f>
        <v>0</v>
      </c>
      <c r="DD101" s="265">
        <f>IF(AJ101="",0,SUM(CL101,CS101,CU101,CW101))</f>
        <v>0</v>
      </c>
      <c r="DE101" s="265">
        <f>IF(AJ101="",0,SUM(CP101,CT101,CV101,CX101))</f>
        <v>0</v>
      </c>
      <c r="DF101" s="238"/>
      <c r="DG101" s="248">
        <f>SUM(G101-V101)</f>
        <v>0</v>
      </c>
      <c r="DH101" s="245">
        <f>IF(F101="",0,1)</f>
        <v>0</v>
      </c>
      <c r="DI101" s="245">
        <f t="shared" ref="DI101:DI104" si="224">IF(DG101=0,DH101,DG101)</f>
        <v>0</v>
      </c>
      <c r="DJ101" s="245">
        <f t="shared" ref="DJ101:DJ104" si="225">SIGN(DI101)</f>
        <v>0</v>
      </c>
      <c r="DK101" s="245" t="str">
        <f>IF(G101="","",IF(DJ101=1,"*",""))</f>
        <v/>
      </c>
      <c r="DL101" s="245" t="str">
        <f>IF(G101="","",IF(DJ101=-1,"*",IF(DJ101=0,"*","")))</f>
        <v/>
      </c>
      <c r="DM101" s="245">
        <v>2</v>
      </c>
      <c r="DN101" s="245" t="str">
        <f t="shared" ref="DN101:DN104" si="226">CONCATENATE(DM101,DK101)</f>
        <v>2</v>
      </c>
      <c r="DO101" s="245" t="str">
        <f t="shared" ref="DO101:DO104" si="227">CONCATENATE(DM101,DL101)</f>
        <v>2</v>
      </c>
      <c r="DP101" s="245">
        <f>SUM(DQ100)</f>
        <v>0</v>
      </c>
      <c r="DQ101" s="245">
        <f>SUM(DP100)</f>
        <v>0</v>
      </c>
      <c r="DR101" s="245">
        <f>IF(DK101="*",1,0)</f>
        <v>0</v>
      </c>
      <c r="DS101" s="245">
        <f>IF(DL101="*",1,0)</f>
        <v>0</v>
      </c>
      <c r="DT101" s="245">
        <f>IF(H91="",0,IF(DP101=DR101,1,0))</f>
        <v>0</v>
      </c>
      <c r="DU101" s="245">
        <f>IF(V101="",0,IF(DQ101=DS101,0,1))</f>
        <v>0</v>
      </c>
      <c r="DV101" s="267">
        <f>SUM(DT101)</f>
        <v>0</v>
      </c>
      <c r="DW101" s="267">
        <f>IF(V101="",0,SUM(DU101))</f>
        <v>0</v>
      </c>
      <c r="DX101" s="238">
        <f>IF(AK101="",0,1)</f>
        <v>0</v>
      </c>
      <c r="DY101" s="238">
        <f>IF(DG101=-3,1,0)</f>
        <v>0</v>
      </c>
      <c r="DZ101" s="238">
        <f>SUM(DX101:DY101)</f>
        <v>0</v>
      </c>
      <c r="EA101" s="238">
        <f>IF(AK101="",1,0)</f>
        <v>1</v>
      </c>
      <c r="EB101" s="238">
        <f>IF(DG101=3,1,0)</f>
        <v>0</v>
      </c>
      <c r="EC101" s="238">
        <f>SUM(EA101:EB101)</f>
        <v>1</v>
      </c>
      <c r="ED101" s="267">
        <f>IF(EC101=2,1,0)</f>
        <v>0</v>
      </c>
      <c r="EE101" s="267">
        <f>IF(DZ101=2,1,0)</f>
        <v>0</v>
      </c>
      <c r="EG101" s="166"/>
      <c r="EH101" s="238"/>
      <c r="EI101" s="238"/>
      <c r="EJ101" s="238"/>
      <c r="EK101" s="238"/>
      <c r="EL101" s="238"/>
      <c r="EM101" s="245">
        <f>IF(AK101="",0,1)</f>
        <v>0</v>
      </c>
      <c r="EN101" s="245">
        <f>SUM(AK101)</f>
        <v>0</v>
      </c>
      <c r="EO101" s="268">
        <f>SUM(AJ101)</f>
        <v>0</v>
      </c>
      <c r="EP101" s="268">
        <f>SUM(G101/3)</f>
        <v>0</v>
      </c>
      <c r="EQ101" s="268" t="e">
        <f>SUM(EO101/EP101)</f>
        <v>#DIV/0!</v>
      </c>
      <c r="ER101" s="268">
        <f>ROUNDDOWN(EP101,0)</f>
        <v>0</v>
      </c>
      <c r="ES101" s="268">
        <f>SUM(EO101,-ER101*3)</f>
        <v>0</v>
      </c>
      <c r="ET101" s="269" t="b">
        <f>MOD(EN101/1,2)=0</f>
        <v>1</v>
      </c>
      <c r="EU101" s="245">
        <f>IF(ET101=FALSE,1,0)</f>
        <v>0</v>
      </c>
      <c r="EV101" s="245">
        <f>IF(EN101=50,0,IF(EN101&lt;40,1,0))</f>
        <v>1</v>
      </c>
      <c r="EW101" s="245">
        <f>SUM(EU101:EV101)</f>
        <v>1</v>
      </c>
      <c r="EX101" s="267">
        <f>IF(EN101=1,1,IF(EN101=50,0,IF(ES101=1,IF(EN101&gt;40,1,0),0)))</f>
        <v>0</v>
      </c>
      <c r="EY101" s="267">
        <f>IF(ES101=1,IF(EW101=2,1,0),0)+EX101+FB101+FE101</f>
        <v>0</v>
      </c>
      <c r="EZ101" s="245">
        <f>IF(EN101=109,1,IF(EN101=108,1,IF(EN101=106,1,IF(EN101=105,1,IF(EN101=103,1,IF(EN101=102,1,IF(EN101=99,1,0)))))))</f>
        <v>0</v>
      </c>
      <c r="FA101" s="245">
        <f>IF(EN101&gt;110,1,0)</f>
        <v>0</v>
      </c>
      <c r="FB101" s="267">
        <f>IF(ES101=2,SUM(EZ101:FA101),0)</f>
        <v>0</v>
      </c>
      <c r="FC101" s="245">
        <f>IF(EN101=159,1,IF(EN101=162,1,IF(EN101=163,1,IF(EN101=165,1,IF(EN101=166,1,IF(EN101=168,1,IF(EN101=169,1,0)))))))</f>
        <v>0</v>
      </c>
      <c r="FD101" s="245">
        <f>IF(EN101&gt;170,1,0)</f>
        <v>0</v>
      </c>
      <c r="FE101" s="267">
        <f>IF(ES101=0,SUM(FC101:FD101),0)</f>
        <v>0</v>
      </c>
      <c r="FF101" s="251">
        <f t="shared" ref="FF101:FF104" si="228">IF(AJ101="",0,IF(AI101="",0,IF(EO101/ER101-3=0,0,1)))</f>
        <v>0</v>
      </c>
      <c r="FG101" s="238"/>
      <c r="FH101" s="245">
        <f>IF(AY101="",0,1)</f>
        <v>0</v>
      </c>
      <c r="FI101" s="245">
        <f>SUM(AY101)</f>
        <v>0</v>
      </c>
      <c r="FJ101" s="268">
        <f>SUM(AX101)</f>
        <v>0</v>
      </c>
      <c r="FK101" s="268">
        <f>SUM(V101/3)</f>
        <v>0</v>
      </c>
      <c r="FL101" s="268" t="e">
        <f>SUM(FJ101/FK101)</f>
        <v>#DIV/0!</v>
      </c>
      <c r="FM101" s="268">
        <f>ROUNDDOWN(FK101,0)</f>
        <v>0</v>
      </c>
      <c r="FN101" s="268">
        <f>SUM(FJ101,-FM101*3)</f>
        <v>0</v>
      </c>
      <c r="FO101" s="269" t="b">
        <f>MOD(FI101/1,2)=0</f>
        <v>1</v>
      </c>
      <c r="FP101" s="245">
        <f>IF(FO101=FALSE,1,0)</f>
        <v>0</v>
      </c>
      <c r="FQ101" s="245">
        <f>IF(FI101=50,0,IF(FI101&lt;40,1,0))</f>
        <v>1</v>
      </c>
      <c r="FR101" s="245">
        <f>SUM(FP101:FQ101)</f>
        <v>1</v>
      </c>
      <c r="FS101" s="267">
        <f>IF(FI101=1,1,IF(FI101=50,0,IF(FN101=1,IF(FI101&gt;40,1,0),0)))</f>
        <v>0</v>
      </c>
      <c r="FT101" s="267">
        <f>IF(FN101=1,IF(FR101=2,1,0),0)+FS101+FW101+FZ101</f>
        <v>0</v>
      </c>
      <c r="FU101" s="245">
        <f>IF(FI101=109,1,IF(FI101=108,1,IF(FI101=106,1,IF(FI101=105,1,IF(FI101=103,1,IF(FI101=102,1,IF(FI101=99,1,0)))))))</f>
        <v>0</v>
      </c>
      <c r="FV101" s="245">
        <f>IF(FI101&gt;110,1,0)</f>
        <v>0</v>
      </c>
      <c r="FW101" s="267">
        <f>IF(FN101=2,SUM(FU101:FV101),0)</f>
        <v>0</v>
      </c>
      <c r="FX101" s="245">
        <f>IF(FI101=159,1,IF(FI101=162,1,IF(FI101=163,1,IF(FI101=165,1,IF(FI101=166,1,IF(FI101=168,1,IF(FI101=169,1,0)))))))</f>
        <v>0</v>
      </c>
      <c r="FY101" s="245">
        <f>IF(FI101&gt;170,1,0)</f>
        <v>0</v>
      </c>
      <c r="FZ101" s="267">
        <f>IF(FN101=0,SUM(FX101:FY101),0)</f>
        <v>0</v>
      </c>
      <c r="GA101" s="251">
        <f t="shared" ref="GA101:GA104" si="229">IF(AX101="",0,IF(AW101="",0,IF(FJ101/FM101-3=0,0,1)))</f>
        <v>0</v>
      </c>
      <c r="GC101" s="238" t="str">
        <f>VLOOKUP(AH97,Chema!BL:BR,2,FALSE)</f>
        <v>HS 1.7</v>
      </c>
      <c r="GD101" s="341">
        <f>IF(E107="FORFAIT",1,0)</f>
        <v>0</v>
      </c>
      <c r="GE101" s="343" t="str">
        <f>IF(C107="","",SUM(C107))</f>
        <v/>
      </c>
      <c r="GF101" s="344">
        <f>SUM(AH100)</f>
        <v>0</v>
      </c>
      <c r="GG101" s="344">
        <f>SUM(AJ100)</f>
        <v>0</v>
      </c>
      <c r="GH101" s="344">
        <f t="shared" ref="GH101" si="230">SUM(AK100)</f>
        <v>0</v>
      </c>
      <c r="GI101" s="344">
        <f t="shared" ref="GI101" si="231">SUM(AL100)</f>
        <v>0</v>
      </c>
      <c r="GJ101" s="344">
        <f>SUM(AH101)</f>
        <v>0</v>
      </c>
      <c r="GK101" s="344">
        <f>SUM(AJ101)</f>
        <v>0</v>
      </c>
      <c r="GL101" s="344">
        <f>SUM(AK101)</f>
        <v>0</v>
      </c>
      <c r="GM101" s="344">
        <f>SUM(AL101)</f>
        <v>0</v>
      </c>
      <c r="GN101" s="344">
        <f>SUM(AH102)</f>
        <v>0</v>
      </c>
      <c r="GO101" s="344">
        <f>SUM(AJ102)</f>
        <v>0</v>
      </c>
      <c r="GP101" s="344">
        <f>SUM(AK102)</f>
        <v>0</v>
      </c>
      <c r="GQ101" s="344">
        <f>SUM(AL102)</f>
        <v>0</v>
      </c>
      <c r="GR101" s="344">
        <f>SUM(AH103)</f>
        <v>0</v>
      </c>
      <c r="GS101" s="344">
        <f>SUM(AJ103)</f>
        <v>0</v>
      </c>
      <c r="GT101" s="344">
        <f>SUM(AK103)</f>
        <v>0</v>
      </c>
      <c r="GU101" s="344">
        <f>SUM(AL103)</f>
        <v>0</v>
      </c>
      <c r="GV101" s="344">
        <f>SUM(AH104)</f>
        <v>0</v>
      </c>
      <c r="GW101" s="344">
        <f>SUM(AJ104)</f>
        <v>0</v>
      </c>
      <c r="GX101" s="344">
        <f>SUM(AK104)</f>
        <v>0</v>
      </c>
      <c r="GY101" s="344">
        <f>SUM(AL104)</f>
        <v>0</v>
      </c>
      <c r="GZ101" s="344">
        <f>SUM(GF101,GJ101,GN101,GR101,GV101)</f>
        <v>0</v>
      </c>
      <c r="HA101" s="344">
        <f t="shared" ref="HA101" si="232">SUM(GG101,GK101,GO101,GS101,GW101)</f>
        <v>0</v>
      </c>
      <c r="HB101" s="344">
        <f>IF(GD100=1,L107,MAX(GH101,GL101,GP101,GT101,GX101))</f>
        <v>0</v>
      </c>
      <c r="HC101" s="344">
        <f>IF(GD100=1,I107,SUM(GI101,GM101,GQ101,GU101,GY101))</f>
        <v>0</v>
      </c>
      <c r="HD101" s="345">
        <f>IF(GD100=1,0,SUM(GF101,GJ101,GN101,GR101,GV101))</f>
        <v>0</v>
      </c>
      <c r="HE101" s="345">
        <f>IF(GD100=1,0,SUM(GG101,GK101,GO101,GS101,GW101))</f>
        <v>0</v>
      </c>
      <c r="HF101" s="341">
        <f>IF(GD100=1,0,MIN(HI101,HJ101,HK101,HL101,HM101))</f>
        <v>0</v>
      </c>
      <c r="HG101" s="341">
        <f>IF(HF101=0,0,COUNTIF(HI101:HM101,HF101))</f>
        <v>0</v>
      </c>
      <c r="HH101" s="341">
        <f>SUM(GH102,GL102,GP102,GT102,GX102)</f>
        <v>0</v>
      </c>
      <c r="HI101" s="343" t="str">
        <f>IF(GH102=1,GG101,"")</f>
        <v/>
      </c>
      <c r="HJ101" s="343" t="str">
        <f>IF(GL102=1,GK101,"")</f>
        <v/>
      </c>
      <c r="HK101" s="343" t="str">
        <f>IF(GP102=1,GO101,"")</f>
        <v/>
      </c>
      <c r="HL101" s="343" t="str">
        <f>IF(GT102=1,GS101,"")</f>
        <v/>
      </c>
      <c r="HM101" s="343" t="str">
        <f>IF(GX102=1,GW101,"")</f>
        <v/>
      </c>
      <c r="HN101" s="341"/>
      <c r="HO101" s="341" t="s">
        <v>928</v>
      </c>
      <c r="HP101" s="341" t="s">
        <v>982</v>
      </c>
      <c r="HQ101" s="341" t="s">
        <v>983</v>
      </c>
      <c r="HR101" s="341" t="s">
        <v>984</v>
      </c>
      <c r="HS101" s="238" t="s">
        <v>932</v>
      </c>
      <c r="HT101" s="238" t="s">
        <v>933</v>
      </c>
      <c r="HU101" s="238" t="s">
        <v>985</v>
      </c>
      <c r="HV101" s="238" t="s">
        <v>986</v>
      </c>
      <c r="HW101" s="238" t="str">
        <f>IFERROR(IF(GD100=0,SUM(HZ102:IA102),""),"")</f>
        <v/>
      </c>
      <c r="HY101" s="238"/>
      <c r="HZ101" s="238" t="s">
        <v>1132</v>
      </c>
      <c r="IA101" s="238" t="s">
        <v>1133</v>
      </c>
      <c r="IB101" s="238" t="s">
        <v>1132</v>
      </c>
      <c r="IC101" s="238" t="s">
        <v>1133</v>
      </c>
      <c r="ID101" s="238"/>
    </row>
    <row r="102" spans="1:238" s="234" customFormat="1" ht="20.100000000000001" customHeight="1">
      <c r="A102" s="235"/>
      <c r="B102" s="231">
        <f>COUNT(AJ103,AJ102)</f>
        <v>0</v>
      </c>
      <c r="C102" s="235"/>
      <c r="D102" s="271" t="str">
        <f>REPT(DN102,1)</f>
        <v>3</v>
      </c>
      <c r="E102" s="254" t="str">
        <f>REPT(AH102,1)</f>
        <v/>
      </c>
      <c r="F102" s="168"/>
      <c r="G102" s="168"/>
      <c r="H102" s="168"/>
      <c r="I102" s="169"/>
      <c r="J102" s="270" t="str">
        <f t="shared" ref="J102:J103" si="233">REPT(AM102,1)</f>
        <v/>
      </c>
      <c r="L102" s="312">
        <f>SUM(L100*3)</f>
        <v>0</v>
      </c>
      <c r="M102" s="307"/>
      <c r="N102" s="270" t="str">
        <f>REPT(AP102,1)</f>
        <v/>
      </c>
      <c r="P102" s="312">
        <f>SUM(P100*3)</f>
        <v>0</v>
      </c>
      <c r="Q102" s="310"/>
      <c r="R102" s="235"/>
      <c r="S102" s="271" t="str">
        <f>REPT(DO102,1)</f>
        <v>3</v>
      </c>
      <c r="T102" s="254" t="str">
        <f>REPT(AV102,1)</f>
        <v/>
      </c>
      <c r="U102" s="168"/>
      <c r="V102" s="168"/>
      <c r="W102" s="168"/>
      <c r="X102" s="169"/>
      <c r="Y102" s="270" t="str">
        <f t="shared" si="216"/>
        <v/>
      </c>
      <c r="Z102" s="308"/>
      <c r="AB102" s="234">
        <f>IF(AY102="",0,IF(AY102&lt;2,1,""))</f>
        <v>0</v>
      </c>
      <c r="AC102" s="238">
        <f t="shared" si="217"/>
        <v>0</v>
      </c>
      <c r="AD102" s="256">
        <f t="shared" si="218"/>
        <v>0</v>
      </c>
      <c r="AE102" s="256">
        <f t="shared" si="212"/>
        <v>0</v>
      </c>
      <c r="AF102" s="256">
        <f t="shared" si="213"/>
        <v>0</v>
      </c>
      <c r="AG102" s="256">
        <f t="shared" si="219"/>
        <v>0</v>
      </c>
      <c r="AH102" s="257" t="str">
        <f>IF(AK102="",IF(AI102="","",IF(AI102="",501,501-AI102)),501)</f>
        <v/>
      </c>
      <c r="AI102" s="256" t="str">
        <f>IF(F102&gt;1,F102,IF(F102=0,"",IF(F102="","","")))</f>
        <v/>
      </c>
      <c r="AJ102" s="256" t="str">
        <f>IF(G102&gt;8,G102,IF(G102="","",""))</f>
        <v/>
      </c>
      <c r="AK102" s="256" t="str">
        <f>IF(H102&gt;1,H102,IF(H102="","",""))</f>
        <v/>
      </c>
      <c r="AL102" s="256" t="str">
        <f>IF(I102&gt;0,I102,IF(I102="","",""))</f>
        <v/>
      </c>
      <c r="AM102" s="258" t="str">
        <f>IF(BK102=0,"","X")</f>
        <v/>
      </c>
      <c r="AN102" s="237"/>
      <c r="AO102" s="237"/>
      <c r="AP102" s="258" t="str">
        <f>IF(BM102=0,"","X")</f>
        <v/>
      </c>
      <c r="AQ102" s="236">
        <f t="shared" si="220"/>
        <v>0</v>
      </c>
      <c r="AR102" s="256">
        <f t="shared" si="221"/>
        <v>0</v>
      </c>
      <c r="AS102" s="256">
        <f t="shared" si="214"/>
        <v>0</v>
      </c>
      <c r="AT102" s="256">
        <f t="shared" si="215"/>
        <v>0</v>
      </c>
      <c r="AU102" s="256">
        <f t="shared" si="222"/>
        <v>0</v>
      </c>
      <c r="AV102" s="257" t="str">
        <f>IF(AY102="",IF(AW102="","",IF(AW102="",501,501-AW102)),501)</f>
        <v/>
      </c>
      <c r="AW102" s="256" t="str">
        <f>IF(U102&gt;1,U102,IF(U102=0,"",IF(U102="","","")))</f>
        <v/>
      </c>
      <c r="AX102" s="256" t="str">
        <f>IF(V102&gt;8,V102,IF(V102="","",""))</f>
        <v/>
      </c>
      <c r="AY102" s="256" t="str">
        <f>IF(W102&gt;1,W102,IF(W102="","",""))</f>
        <v/>
      </c>
      <c r="AZ102" s="256" t="str">
        <f>IF(X102&gt;0,X102,IF(X102="","",""))</f>
        <v/>
      </c>
      <c r="BA102" s="258" t="str">
        <f>IF(BL102=0,"","X")</f>
        <v/>
      </c>
      <c r="BK102" s="251">
        <f>SUM(DD102,DV102,EY102,ED102,FF102,BQ102,BS102,AC102,BK109)</f>
        <v>0</v>
      </c>
      <c r="BL102" s="251">
        <f>SUM(DE102,DW102,EE102,FT102,GA102,BR102,BT102,AQ102,BL109,CZ102)</f>
        <v>0</v>
      </c>
      <c r="BM102" s="259">
        <f t="shared" si="223"/>
        <v>0</v>
      </c>
      <c r="BN102" s="239">
        <f>COUNT(AK102)</f>
        <v>0</v>
      </c>
      <c r="BO102" s="239">
        <f>COUNT(AY102)</f>
        <v>0</v>
      </c>
      <c r="BP102" s="239">
        <f>IF(BN104=0,0,1)</f>
        <v>0</v>
      </c>
      <c r="BQ102" s="260">
        <f>IF(AL102="",0,IF(AL102&gt;2,1,0))</f>
        <v>0</v>
      </c>
      <c r="BR102" s="261">
        <f>IF(AZ102="",0,IF(AZ102&gt;2,1,0))</f>
        <v>0</v>
      </c>
      <c r="BS102" s="262">
        <f>IF(AJ102=9,IF(AK102&lt;141,1,0),0)</f>
        <v>0</v>
      </c>
      <c r="BT102" s="263">
        <f>IF(AX102=9,IF(AY102&lt;141,1,0),0)</f>
        <v>0</v>
      </c>
      <c r="BU102" s="242">
        <f>IF(H102,G102,0)</f>
        <v>0</v>
      </c>
      <c r="BV102" s="238">
        <f>IF(BU102&gt;0,AJ102/3,0)</f>
        <v>0</v>
      </c>
      <c r="BW102" s="238">
        <f>ROUNDUP(BV102,0)</f>
        <v>0</v>
      </c>
      <c r="BX102" s="244">
        <f>IF(MOD(BW102,2)=0,BW102,BW102+1)</f>
        <v>0</v>
      </c>
      <c r="BY102" s="238">
        <f>IF(AJ102&lt;9,"",SUM(BX102-BW102))</f>
        <v>0</v>
      </c>
      <c r="BZ102" s="238">
        <f>IF(BY102=1,AK102,0)</f>
        <v>0</v>
      </c>
      <c r="CA102" s="243" t="str">
        <f>IF(BY102=0,AK102,0)</f>
        <v/>
      </c>
      <c r="CB102" s="238"/>
      <c r="CC102" s="238"/>
      <c r="CD102" s="242">
        <f>IF(W102,V102,0)</f>
        <v>0</v>
      </c>
      <c r="CE102" s="238">
        <f>IF(CD102&gt;0,AX102/3,0)</f>
        <v>0</v>
      </c>
      <c r="CF102" s="238">
        <f>ROUNDUP(CE102,0)</f>
        <v>0</v>
      </c>
      <c r="CG102" s="244">
        <f>IF(MOD(CF102,2)=0,CF102,CF102+1)</f>
        <v>0</v>
      </c>
      <c r="CH102" s="238">
        <f>IF(AX102&lt;9,"",SUM(CG102-CF102))</f>
        <v>0</v>
      </c>
      <c r="CI102" s="238">
        <f>IF(CH102=1,AY102,0)</f>
        <v>0</v>
      </c>
      <c r="CJ102" s="243" t="str">
        <f>IF(CH102=0,AY102,0)</f>
        <v/>
      </c>
      <c r="CK102" s="238"/>
      <c r="CL102" s="245">
        <f>IF(COUNT(F102,H102)=1,0,1)</f>
        <v>1</v>
      </c>
      <c r="CM102" s="245">
        <f>IF(COUNT(F102,U102)=1,0,1)</f>
        <v>1</v>
      </c>
      <c r="CN102" s="245">
        <f>IF(COUNT(H102,W102)=1,0,1)</f>
        <v>1</v>
      </c>
      <c r="CO102" s="245">
        <f>IF(COUNT(G102,V102)=2,0,1)</f>
        <v>1</v>
      </c>
      <c r="CP102" s="245">
        <f>IF(COUNT(U102,W102)=1,0,1)</f>
        <v>1</v>
      </c>
      <c r="CQ102" s="245">
        <f>IF(SUM(G102-V102)&gt;3,1,0)</f>
        <v>0</v>
      </c>
      <c r="CR102" s="245">
        <f>IF(SUM(G102-V102)&lt;-3,1,0)</f>
        <v>0</v>
      </c>
      <c r="CS102" s="264">
        <f>IF(AJ102=9,IF(AH102&lt;141,1,0),IF(AH102="",0,IF(AH102&gt;1,0,1)))</f>
        <v>0</v>
      </c>
      <c r="CT102" s="264">
        <f>IF(AX102=9,IF(AV102&lt;141,1,0),IF(AV102="",0,IF(AV102&gt;1,0,1)))</f>
        <v>0</v>
      </c>
      <c r="CU102" s="264">
        <f>IF(AI102="",0,IF(AI102&lt;502,0,1))</f>
        <v>0</v>
      </c>
      <c r="CV102" s="264">
        <f>IF(AW102="",0,IF(AW102&lt;502,0,1))</f>
        <v>0</v>
      </c>
      <c r="CW102" s="264">
        <f>IF(AI102="",IF(AJ102&lt;9,1,0),IF(AJ102&lt;9,1,0))</f>
        <v>0</v>
      </c>
      <c r="CX102" s="264">
        <f>IF(AW102="",IF(AX102&lt;9,1,0),IF(AX102&lt;9,1,0))</f>
        <v>0</v>
      </c>
      <c r="CY102" s="374">
        <f>COUNT(U100,U101,U102)</f>
        <v>0</v>
      </c>
      <c r="CZ102" s="375">
        <f>IF(AL97=3,IF(CY102&gt;2,1,0),0)</f>
        <v>0</v>
      </c>
      <c r="DA102" s="374"/>
      <c r="DB102" s="374"/>
      <c r="DC102" s="265">
        <f>IF(AJ102="",0,SUM(CL102:CX102))</f>
        <v>0</v>
      </c>
      <c r="DD102" s="265">
        <f>IF(AJ102="",0,SUM(CL102,CS102,CU102,CW102))</f>
        <v>0</v>
      </c>
      <c r="DE102" s="265">
        <f>IF(AJ102="",0,SUM(CP102,CT102,CV102,CX102))</f>
        <v>0</v>
      </c>
      <c r="DF102" s="238"/>
      <c r="DG102" s="248">
        <f>SUM(G102-V102)</f>
        <v>0</v>
      </c>
      <c r="DH102" s="245">
        <f>IF(F102="",0,1)</f>
        <v>0</v>
      </c>
      <c r="DI102" s="245">
        <f t="shared" si="224"/>
        <v>0</v>
      </c>
      <c r="DJ102" s="245">
        <f t="shared" si="225"/>
        <v>0</v>
      </c>
      <c r="DK102" s="245" t="str">
        <f>IF(G102="","",IF(DJ102=1,"*",""))</f>
        <v/>
      </c>
      <c r="DL102" s="245" t="str">
        <f>IF(G102="","",IF(DJ102=-1,"*",IF(DJ102=0,"*","")))</f>
        <v/>
      </c>
      <c r="DM102" s="245">
        <v>3</v>
      </c>
      <c r="DN102" s="245" t="str">
        <f t="shared" si="226"/>
        <v>3</v>
      </c>
      <c r="DO102" s="245" t="str">
        <f t="shared" si="227"/>
        <v>3</v>
      </c>
      <c r="DP102" s="245">
        <f>SUM(DP100)</f>
        <v>0</v>
      </c>
      <c r="DQ102" s="245">
        <f>SUM(DQ100)</f>
        <v>0</v>
      </c>
      <c r="DR102" s="245">
        <f t="shared" ref="DR102:DR104" si="234">IF(DK102="*",1,0)</f>
        <v>0</v>
      </c>
      <c r="DS102" s="245">
        <f t="shared" ref="DS102:DS104" si="235">IF(DL102="*",1,0)</f>
        <v>0</v>
      </c>
      <c r="DT102" s="245">
        <f t="shared" ref="DT102:DT104" si="236">IF(H92="",0,IF(DP102=DR102,1,0))</f>
        <v>0</v>
      </c>
      <c r="DU102" s="245">
        <f>IF(V102="",0,IF(DQ102=DS102,0,1))</f>
        <v>0</v>
      </c>
      <c r="DV102" s="267">
        <f t="shared" ref="DV102:DV104" si="237">SUM(DT102)</f>
        <v>0</v>
      </c>
      <c r="DW102" s="267">
        <f>IF(V102="",0,SUM(DU102))</f>
        <v>0</v>
      </c>
      <c r="DX102" s="238">
        <f>IF(AK102="",0,1)</f>
        <v>0</v>
      </c>
      <c r="DY102" s="238">
        <f>IF(DG102=-3,1,0)</f>
        <v>0</v>
      </c>
      <c r="DZ102" s="238">
        <f>SUM(DX102:DY102)</f>
        <v>0</v>
      </c>
      <c r="EA102" s="238">
        <f>IF(AK102="",1,0)</f>
        <v>1</v>
      </c>
      <c r="EB102" s="238">
        <f>IF(DG102=3,1,0)</f>
        <v>0</v>
      </c>
      <c r="EC102" s="238">
        <f>SUM(EA102:EB102)</f>
        <v>1</v>
      </c>
      <c r="ED102" s="267">
        <f>IF(EC102=2,1,0)</f>
        <v>0</v>
      </c>
      <c r="EE102" s="267">
        <f>IF(DZ102=2,1,0)</f>
        <v>0</v>
      </c>
      <c r="EG102" s="166"/>
      <c r="EH102" s="238"/>
      <c r="EI102" s="238"/>
      <c r="EJ102" s="238"/>
      <c r="EK102" s="238"/>
      <c r="EL102" s="238"/>
      <c r="EM102" s="245">
        <f>IF(AK102="",0,1)</f>
        <v>0</v>
      </c>
      <c r="EN102" s="245">
        <f>SUM(AK102)</f>
        <v>0</v>
      </c>
      <c r="EO102" s="268">
        <f>SUM(AJ102)</f>
        <v>0</v>
      </c>
      <c r="EP102" s="268">
        <f>SUM(G102/3)</f>
        <v>0</v>
      </c>
      <c r="EQ102" s="268" t="e">
        <f>SUM(EO102/EP102)</f>
        <v>#DIV/0!</v>
      </c>
      <c r="ER102" s="268">
        <f>ROUNDDOWN(EP102,0)</f>
        <v>0</v>
      </c>
      <c r="ES102" s="268">
        <f>SUM(EO102,-ER102*3)</f>
        <v>0</v>
      </c>
      <c r="ET102" s="269" t="b">
        <f>MOD(EN102/1,2)=0</f>
        <v>1</v>
      </c>
      <c r="EU102" s="245">
        <f>IF(ET102=FALSE,1,0)</f>
        <v>0</v>
      </c>
      <c r="EV102" s="245">
        <f>IF(EN102=50,0,IF(EN102&lt;40,1,0))</f>
        <v>1</v>
      </c>
      <c r="EW102" s="245">
        <f>SUM(EU102:EV102)</f>
        <v>1</v>
      </c>
      <c r="EX102" s="267">
        <f>IF(EN102=1,1,IF(EN102=50,0,IF(ES102=1,IF(EN102&gt;40,1,0),0)))</f>
        <v>0</v>
      </c>
      <c r="EY102" s="267">
        <f>IF(ES102=1,IF(EW102=2,1,0),0)+EX102+FB102+FE102</f>
        <v>0</v>
      </c>
      <c r="EZ102" s="245">
        <f>IF(EN102=109,1,IF(EN102=108,1,IF(EN102=106,1,IF(EN102=105,1,IF(EN102=103,1,IF(EN102=102,1,IF(EN102=99,1,0)))))))</f>
        <v>0</v>
      </c>
      <c r="FA102" s="245">
        <f>IF(EN102&gt;110,1,0)</f>
        <v>0</v>
      </c>
      <c r="FB102" s="267">
        <f>IF(ES102=2,SUM(EZ102:FA102),0)</f>
        <v>0</v>
      </c>
      <c r="FC102" s="245">
        <f>IF(EN102=159,1,IF(EN102=162,1,IF(EN102=163,1,IF(EN102=165,1,IF(EN102=166,1,IF(EN102=168,1,IF(EN102=169,1,0)))))))</f>
        <v>0</v>
      </c>
      <c r="FD102" s="245">
        <f>IF(EN102&gt;170,1,0)</f>
        <v>0</v>
      </c>
      <c r="FE102" s="267">
        <f>IF(ES102=0,SUM(FC102:FD102),0)</f>
        <v>0</v>
      </c>
      <c r="FF102" s="251">
        <f t="shared" si="228"/>
        <v>0</v>
      </c>
      <c r="FG102" s="238"/>
      <c r="FH102" s="245">
        <f>IF(AY102="",0,1)</f>
        <v>0</v>
      </c>
      <c r="FI102" s="245">
        <f>SUM(AY102)</f>
        <v>0</v>
      </c>
      <c r="FJ102" s="268">
        <f>SUM(AX102)</f>
        <v>0</v>
      </c>
      <c r="FK102" s="268">
        <f>SUM(V102/3)</f>
        <v>0</v>
      </c>
      <c r="FL102" s="268" t="e">
        <f>SUM(FJ102/FK102)</f>
        <v>#DIV/0!</v>
      </c>
      <c r="FM102" s="268">
        <f>ROUNDDOWN(FK102,0)</f>
        <v>0</v>
      </c>
      <c r="FN102" s="268">
        <f>SUM(FJ102,-FM102*3)</f>
        <v>0</v>
      </c>
      <c r="FO102" s="269" t="b">
        <f>MOD(FI102/1,2)=0</f>
        <v>1</v>
      </c>
      <c r="FP102" s="245">
        <f>IF(FO102=FALSE,1,0)</f>
        <v>0</v>
      </c>
      <c r="FQ102" s="245">
        <f>IF(FI102=50,0,IF(FI102&lt;40,1,0))</f>
        <v>1</v>
      </c>
      <c r="FR102" s="245">
        <f>SUM(FP102:FQ102)</f>
        <v>1</v>
      </c>
      <c r="FS102" s="267">
        <f>IF(FI102=1,1,IF(FI102=50,0,IF(FN102=1,IF(FI102&gt;40,1,0),0)))</f>
        <v>0</v>
      </c>
      <c r="FT102" s="267">
        <f>IF(FN102=1,IF(FR102=2,1,0),0)+FS102+FW102+FZ102</f>
        <v>0</v>
      </c>
      <c r="FU102" s="245">
        <f>IF(FI102=109,1,IF(FI102=108,1,IF(FI102=106,1,IF(FI102=105,1,IF(FI102=103,1,IF(FI102=102,1,IF(FI102=99,1,0)))))))</f>
        <v>0</v>
      </c>
      <c r="FV102" s="245">
        <f>IF(FI102&gt;110,1,0)</f>
        <v>0</v>
      </c>
      <c r="FW102" s="267">
        <f>IF(FN102=2,SUM(FU102:FV102),0)</f>
        <v>0</v>
      </c>
      <c r="FX102" s="245">
        <f>IF(FI102=159,1,IF(FI102=162,1,IF(FI102=163,1,IF(FI102=165,1,IF(FI102=166,1,IF(FI102=168,1,IF(FI102=169,1,0)))))))</f>
        <v>0</v>
      </c>
      <c r="FY102" s="245">
        <f>IF(FI102&gt;170,1,0)</f>
        <v>0</v>
      </c>
      <c r="FZ102" s="267">
        <f>IF(FN102=0,SUM(FX102:FY102),0)</f>
        <v>0</v>
      </c>
      <c r="GA102" s="251">
        <f t="shared" si="229"/>
        <v>0</v>
      </c>
      <c r="GC102" s="238" t="str">
        <f>VLOOKUP(AH97,Chema!BL:BR,3,FALSE)</f>
        <v/>
      </c>
      <c r="GD102" s="341"/>
      <c r="GE102" s="343" t="str">
        <f>IF(C108="","",SUM(C108))</f>
        <v/>
      </c>
      <c r="GF102" s="346"/>
      <c r="GG102" s="340"/>
      <c r="GH102" s="343">
        <f>IF(GH101&gt;0,1,0)</f>
        <v>0</v>
      </c>
      <c r="GI102" s="346"/>
      <c r="GJ102" s="343"/>
      <c r="GK102" s="340"/>
      <c r="GL102" s="343">
        <f>IF(GL101&gt;0,1,0)</f>
        <v>0</v>
      </c>
      <c r="GM102" s="343"/>
      <c r="GN102" s="343"/>
      <c r="GO102" s="340"/>
      <c r="GP102" s="343">
        <f>IF(GP101&gt;0,1,0)</f>
        <v>0</v>
      </c>
      <c r="GQ102" s="343"/>
      <c r="GR102" s="343"/>
      <c r="GS102" s="340"/>
      <c r="GT102" s="343">
        <f>IF(GT101&gt;0,1,0)</f>
        <v>0</v>
      </c>
      <c r="GU102" s="343"/>
      <c r="GV102" s="343"/>
      <c r="GW102" s="340"/>
      <c r="GX102" s="343">
        <f>IF(GX101&gt;0,1,0)</f>
        <v>0</v>
      </c>
      <c r="GY102" s="343"/>
      <c r="GZ102" s="343"/>
      <c r="HA102" s="343"/>
      <c r="HB102" s="343" t="str">
        <f>IF(GD100=1,L108,"")</f>
        <v/>
      </c>
      <c r="HC102" s="343" t="str">
        <f>IF(GD100=1,I108,"")</f>
        <v/>
      </c>
      <c r="HD102" s="345"/>
      <c r="HE102" s="340"/>
      <c r="HF102" s="340"/>
      <c r="HG102" s="347">
        <f>IF(GE101="",0,IF(AL97=3,2,IF(AL97=5,3,0)))</f>
        <v>0</v>
      </c>
      <c r="HH102" s="347">
        <f>IF(HK102=0,0,IF(HG104=0,0,1))</f>
        <v>0</v>
      </c>
      <c r="HI102" s="340"/>
      <c r="HJ102" s="340"/>
      <c r="HK102" s="340">
        <f>SUM(HM100,HM104)</f>
        <v>0</v>
      </c>
      <c r="HL102" s="340">
        <f>IF(HK102=0,0,IF(HM100=HG102,1,0))</f>
        <v>0</v>
      </c>
      <c r="HM102" s="340">
        <f>IF(HK102=0,0,IF(HM104=HG102,1,0))</f>
        <v>0</v>
      </c>
      <c r="HN102" s="341" t="str">
        <f>REPT(N97,1)</f>
        <v>Spiel 7</v>
      </c>
      <c r="HO102" s="348" t="str">
        <f>IF(HK102=0,"",IF(HH102=0,SUM(HH101),""))</f>
        <v/>
      </c>
      <c r="HP102" s="348" t="str">
        <f>IF(HK102=0,"",IF(HH102=0,SUM(HH103),""))</f>
        <v/>
      </c>
      <c r="HQ102" s="348" t="e">
        <f>IF(HH102=0,SUM(GZ101/HA101),"")</f>
        <v>#DIV/0!</v>
      </c>
      <c r="HR102" s="348" t="e">
        <f>IF(HH102=0,SUM(GZ103/HA103),"")</f>
        <v>#DIV/0!</v>
      </c>
      <c r="HS102" s="238" t="str">
        <f>REPT(DK100,1)</f>
        <v/>
      </c>
      <c r="HT102" s="238" t="str">
        <f>REPT(DL100,1)</f>
        <v/>
      </c>
      <c r="HU102" s="238">
        <f>IF(HH102=0,HL102,"")</f>
        <v>0</v>
      </c>
      <c r="HV102" s="238">
        <f>IF(HH102=0,HM102,"")</f>
        <v>0</v>
      </c>
      <c r="HW102" s="238" t="s">
        <v>1131</v>
      </c>
      <c r="HY102" s="238"/>
      <c r="HZ102" s="238" t="e">
        <f>IF(AL97=5,IF(HU102=1,SUM(HO102*2-HP102),HO102+HP102-2),"")</f>
        <v>#VALUE!</v>
      </c>
      <c r="IA102" s="238" t="str">
        <f>IF(AL97=3,IF(HU102=1,SUM(HO102-HP102+3),HO102+HP102-1),"")</f>
        <v/>
      </c>
      <c r="IB102" s="238" t="e">
        <f>IF(AL97=5,IF(HV102=1,SUM(HP102*2-HO102),HO102+HP102-2),"")</f>
        <v>#VALUE!</v>
      </c>
      <c r="IC102" s="238" t="str">
        <f>IF(AL97=3,IF(HV102=1,SUM(HP102-HO102+3),HO102+HP102-1),"")</f>
        <v/>
      </c>
      <c r="ID102" s="238">
        <f>SUM(BM106)</f>
        <v>0</v>
      </c>
    </row>
    <row r="103" spans="1:238" s="234" customFormat="1" ht="20.100000000000001" customHeight="1">
      <c r="A103" s="235"/>
      <c r="B103" s="231">
        <f>COUNT(AJ104,AJ103)</f>
        <v>0</v>
      </c>
      <c r="C103" s="235"/>
      <c r="D103" s="328" t="str">
        <f>REPT(DN103,1)</f>
        <v>4</v>
      </c>
      <c r="E103" s="329" t="str">
        <f>REPT(AH103,1)</f>
        <v/>
      </c>
      <c r="F103" s="330"/>
      <c r="G103" s="330"/>
      <c r="H103" s="330"/>
      <c r="I103" s="331"/>
      <c r="J103" s="270" t="str">
        <f t="shared" si="233"/>
        <v/>
      </c>
      <c r="M103" s="311"/>
      <c r="N103" s="270" t="str">
        <f>REPT(AP103,1)</f>
        <v/>
      </c>
      <c r="Q103" s="310"/>
      <c r="R103" s="235"/>
      <c r="S103" s="328" t="str">
        <f>REPT(DO103,1)</f>
        <v>4</v>
      </c>
      <c r="T103" s="329" t="str">
        <f>REPT(AV103,1)</f>
        <v/>
      </c>
      <c r="U103" s="330"/>
      <c r="V103" s="330"/>
      <c r="W103" s="330"/>
      <c r="X103" s="331"/>
      <c r="Y103" s="270" t="str">
        <f t="shared" si="216"/>
        <v/>
      </c>
      <c r="Z103" s="308"/>
      <c r="AA103" s="238">
        <f>SUM(AL97)</f>
        <v>5</v>
      </c>
      <c r="AB103" s="234">
        <f>IF(AY103="",0,IF(AY103&lt;2,1,""))</f>
        <v>0</v>
      </c>
      <c r="AC103" s="238">
        <f>IF(AL97=3,0,IF(AD103=1,1,IF(AD103=3,1,IF(AD103=2,0,IF(AD103=0,0,0)))))</f>
        <v>0</v>
      </c>
      <c r="AD103" s="256">
        <f t="shared" si="218"/>
        <v>0</v>
      </c>
      <c r="AE103" s="256">
        <f t="shared" si="212"/>
        <v>0</v>
      </c>
      <c r="AF103" s="256">
        <f t="shared" si="213"/>
        <v>0</v>
      </c>
      <c r="AG103" s="256">
        <f t="shared" si="219"/>
        <v>0</v>
      </c>
      <c r="AH103" s="257" t="str">
        <f>IF(AL97=3,"",IF(AK103="",IF(AI103="","",IF(AI103="",501,501-AI103)),501))</f>
        <v/>
      </c>
      <c r="AI103" s="256" t="str">
        <f>IF(AL97=3,"",IF(F103&gt;1,F103,IF(F103=0,"",IF(F103="","",""))))</f>
        <v/>
      </c>
      <c r="AJ103" s="256" t="str">
        <f>IF(AL97=3,"",IF(G103&gt;8,G103,IF(G103="","","")))</f>
        <v/>
      </c>
      <c r="AK103" s="256" t="str">
        <f>IF(AL97=3,"",IF(H103&gt;1,H103,IF(H103="","","")))</f>
        <v/>
      </c>
      <c r="AL103" s="256" t="str">
        <f>IF(AL97=3,"",IF(I103&gt;0,I103,IF(I103="","","")))</f>
        <v/>
      </c>
      <c r="AM103" s="258" t="str">
        <f>IF(BK103=0,"","X")</f>
        <v/>
      </c>
      <c r="AN103" s="237"/>
      <c r="AO103" s="237"/>
      <c r="AP103" s="258" t="str">
        <f>IF(BM103=0,"","X")</f>
        <v/>
      </c>
      <c r="AQ103" s="236">
        <f>IF(AL97=3,0,IF(AR103=1,1,IF(AR103=3,1,IF(AR103=2,0,IF(AR103=0,0,0)))))</f>
        <v>0</v>
      </c>
      <c r="AR103" s="256">
        <f t="shared" si="221"/>
        <v>0</v>
      </c>
      <c r="AS103" s="256">
        <f t="shared" si="214"/>
        <v>0</v>
      </c>
      <c r="AT103" s="256">
        <f t="shared" si="215"/>
        <v>0</v>
      </c>
      <c r="AU103" s="256">
        <f t="shared" si="222"/>
        <v>0</v>
      </c>
      <c r="AV103" s="257" t="str">
        <f>IF(AY103="",IF(AW103="","",IF(AW103="",501,501-AW103)),501)</f>
        <v/>
      </c>
      <c r="AW103" s="256" t="str">
        <f>IF(AL97=3,"",IF(U103&gt;1,U103,IF(U103=0,"",IF(U103="","",""))))</f>
        <v/>
      </c>
      <c r="AX103" s="256" t="str">
        <f>IF(AL97=3,"",IF(V103&gt;8,V103,IF(V103="","","")))</f>
        <v/>
      </c>
      <c r="AY103" s="256" t="str">
        <f>IF(AL97=3,"",IF(W103&gt;1,W103,IF(W103="","","")))</f>
        <v/>
      </c>
      <c r="AZ103" s="256" t="str">
        <f>IF(AL97=3,"",IF(X103&gt;0,X103,IF(X103="","","")))</f>
        <v/>
      </c>
      <c r="BA103" s="258" t="str">
        <f>IF(BL103=0,"","X")</f>
        <v/>
      </c>
      <c r="BK103" s="251">
        <f>IF(AL97=3,0,SUM(DD103,DV103,EY103,ED103,FF103,BQ103,BS103,AC103))</f>
        <v>0</v>
      </c>
      <c r="BL103" s="251">
        <f>IF(AL97=3,0,SUM(DE103,DW103,EE103,FT103,GA103,BR103,BT103,AQ103))</f>
        <v>0</v>
      </c>
      <c r="BM103" s="259">
        <f>IF(AL97=3,0,SUM(DC103,BK103:BL103,AC103,AQ103))</f>
        <v>0</v>
      </c>
      <c r="BN103" s="239">
        <f>COUNT(AK103)</f>
        <v>0</v>
      </c>
      <c r="BO103" s="239">
        <f>COUNT(AY103)</f>
        <v>0</v>
      </c>
      <c r="BP103" s="239">
        <f>IF(BZ105=0,0,1)</f>
        <v>0</v>
      </c>
      <c r="BQ103" s="260">
        <f>IF(AL103="",0,IF(AL103&gt;2,1,0))</f>
        <v>0</v>
      </c>
      <c r="BR103" s="261">
        <f>IF(AZ103="",0,IF(AZ103&gt;2,1,0))</f>
        <v>0</v>
      </c>
      <c r="BS103" s="262">
        <f>IF(AJ103=9,IF(AK103&lt;141,1,0),0)</f>
        <v>0</v>
      </c>
      <c r="BT103" s="263">
        <f>IF(AX103=9,IF(AY103&lt;141,1,0),0)</f>
        <v>0</v>
      </c>
      <c r="BU103" s="242">
        <f>IF(AL97=3,0,IF(H103,G103,0))</f>
        <v>0</v>
      </c>
      <c r="BV103" s="238">
        <f>IF(BU103&gt;0,AJ103/3,0)</f>
        <v>0</v>
      </c>
      <c r="BW103" s="238">
        <f>ROUNDUP(BV103,0)</f>
        <v>0</v>
      </c>
      <c r="BX103" s="244">
        <f>IF(MOD(BW103,2)=0,BW103,BW103+1)</f>
        <v>0</v>
      </c>
      <c r="BY103" s="238">
        <f>IF(AJ103&lt;9,"",SUM(BX103-BW103))</f>
        <v>0</v>
      </c>
      <c r="BZ103" s="238">
        <f>IF(BY103=1,AK103,0)</f>
        <v>0</v>
      </c>
      <c r="CA103" s="243" t="str">
        <f>IF(BY103=0,AK103,0)</f>
        <v/>
      </c>
      <c r="CB103" s="238"/>
      <c r="CC103" s="238"/>
      <c r="CD103" s="242">
        <f>IF(AL97=3,0,IF(W103,V103,0))</f>
        <v>0</v>
      </c>
      <c r="CE103" s="238">
        <f>IF(CD103&gt;0,AX103/3,0)</f>
        <v>0</v>
      </c>
      <c r="CF103" s="238">
        <f>ROUNDUP(CE103,0)</f>
        <v>0</v>
      </c>
      <c r="CG103" s="244">
        <f>IF(MOD(CF103,2)=0,CF103,CF103+1)</f>
        <v>0</v>
      </c>
      <c r="CH103" s="238">
        <f>IF(AX103&lt;9,"",SUM(CG103-CF103))</f>
        <v>0</v>
      </c>
      <c r="CI103" s="238">
        <f>IF(CH103=1,AY103,0)</f>
        <v>0</v>
      </c>
      <c r="CJ103" s="243" t="str">
        <f>IF(CH103=0,AY103,0)</f>
        <v/>
      </c>
      <c r="CK103" s="238"/>
      <c r="CL103" s="245">
        <f>IF(COUNT(F103,H103)=1,0,1)</f>
        <v>1</v>
      </c>
      <c r="CM103" s="245">
        <f>IF(COUNT(F103,U103)=1,0,1)</f>
        <v>1</v>
      </c>
      <c r="CN103" s="245">
        <f>IF(COUNT(H103,W103)=1,0,1)</f>
        <v>1</v>
      </c>
      <c r="CO103" s="245">
        <f>IF(COUNT(G103,V103)=2,0,1)</f>
        <v>1</v>
      </c>
      <c r="CP103" s="245">
        <f>IF(COUNT(U103,W103)=1,0,1)</f>
        <v>1</v>
      </c>
      <c r="CQ103" s="245">
        <f>IF(SUM(G103-V103)&gt;3,1,0)</f>
        <v>0</v>
      </c>
      <c r="CR103" s="245">
        <f>IF(SUM(G103-V103)&lt;-3,1,0)</f>
        <v>0</v>
      </c>
      <c r="CS103" s="264">
        <f>IF(AJ103=9,IF(AH103&lt;141,1,0),IF(AH103="",0,IF(AH103&gt;1,0,1)))</f>
        <v>0</v>
      </c>
      <c r="CT103" s="264">
        <f>IF(AX103=9,IF(AV103&lt;141,1,0),IF(AV103="",0,IF(AV103&gt;1,0,1)))</f>
        <v>0</v>
      </c>
      <c r="CU103" s="264">
        <f>IF(AI103="",0,IF(AI103&lt;502,0,1))</f>
        <v>0</v>
      </c>
      <c r="CV103" s="264">
        <f>IF(AW103="",0,IF(AW103&lt;502,0,1))</f>
        <v>0</v>
      </c>
      <c r="CW103" s="264">
        <f>IF(AI103="",IF(AJ103&lt;9,1,0),IF(AJ103&lt;9,1,0))</f>
        <v>0</v>
      </c>
      <c r="CX103" s="264">
        <f>IF(AW103="",IF(AX103&lt;9,1,0),IF(AX103&lt;9,1,0))</f>
        <v>0</v>
      </c>
      <c r="CY103" s="374"/>
      <c r="CZ103" s="374"/>
      <c r="DA103" s="374"/>
      <c r="DB103" s="374"/>
      <c r="DC103" s="265">
        <f>IF(AJ103="",0,SUM(CL103:CX103))</f>
        <v>0</v>
      </c>
      <c r="DD103" s="265">
        <f>IF(AJ103="",0,SUM(CL103,CS103,CU103,CW103))</f>
        <v>0</v>
      </c>
      <c r="DE103" s="265">
        <f>IF(AJ103="",0,SUM(CP103,CT103,CV103,CX103))</f>
        <v>0</v>
      </c>
      <c r="DF103" s="238"/>
      <c r="DG103" s="248">
        <f>IF(AL97=3,0,SUM(G103-V103))</f>
        <v>0</v>
      </c>
      <c r="DH103" s="245">
        <f>IF(F103="",0,1)</f>
        <v>0</v>
      </c>
      <c r="DI103" s="245">
        <f t="shared" si="224"/>
        <v>0</v>
      </c>
      <c r="DJ103" s="245">
        <f t="shared" si="225"/>
        <v>0</v>
      </c>
      <c r="DK103" s="245" t="str">
        <f>IF(G103="","",IF(DJ103=1,"*",""))</f>
        <v/>
      </c>
      <c r="DL103" s="245" t="str">
        <f>IF(AL97=3,"",IF(G103="","",IF(DJ103=-1,"*",IF(DJ103=0,"*",""))))</f>
        <v/>
      </c>
      <c r="DM103" s="245">
        <v>4</v>
      </c>
      <c r="DN103" s="245" t="str">
        <f t="shared" si="226"/>
        <v>4</v>
      </c>
      <c r="DO103" s="245" t="str">
        <f t="shared" si="227"/>
        <v>4</v>
      </c>
      <c r="DP103" s="245">
        <f>SUM(DQ100)</f>
        <v>0</v>
      </c>
      <c r="DQ103" s="245">
        <f>SUM(DP100)</f>
        <v>0</v>
      </c>
      <c r="DR103" s="245">
        <f t="shared" si="234"/>
        <v>0</v>
      </c>
      <c r="DS103" s="245">
        <f t="shared" si="235"/>
        <v>0</v>
      </c>
      <c r="DT103" s="245">
        <f t="shared" si="236"/>
        <v>0</v>
      </c>
      <c r="DU103" s="245">
        <f>IF(V103="",0,IF(DQ103=DS103,0,1))</f>
        <v>0</v>
      </c>
      <c r="DV103" s="267">
        <f t="shared" si="237"/>
        <v>0</v>
      </c>
      <c r="DW103" s="267">
        <f>IF(V103="",0,SUM(DU103))</f>
        <v>0</v>
      </c>
      <c r="DX103" s="238">
        <f>IF(AK103="",0,1)</f>
        <v>0</v>
      </c>
      <c r="DY103" s="238">
        <f>IF(DG103=-3,1,0)</f>
        <v>0</v>
      </c>
      <c r="DZ103" s="238">
        <f>SUM(DX103:DY103)</f>
        <v>0</v>
      </c>
      <c r="EA103" s="238">
        <f>IF(AK103="",1,0)</f>
        <v>1</v>
      </c>
      <c r="EB103" s="238">
        <f>IF(DG103=3,1,0)</f>
        <v>0</v>
      </c>
      <c r="EC103" s="238">
        <f>SUM(EA103:EB103)</f>
        <v>1</v>
      </c>
      <c r="ED103" s="267">
        <f>IF(EC103=2,1,0)</f>
        <v>0</v>
      </c>
      <c r="EE103" s="267">
        <f>IF(DZ103=2,1,0)</f>
        <v>0</v>
      </c>
      <c r="EG103" s="166"/>
      <c r="EH103" s="238"/>
      <c r="EI103" s="238"/>
      <c r="EJ103" s="238"/>
      <c r="EK103" s="238"/>
      <c r="EL103" s="238"/>
      <c r="EM103" s="245">
        <f>IF(AK103="",0,1)</f>
        <v>0</v>
      </c>
      <c r="EN103" s="245">
        <f>SUM(AK103)</f>
        <v>0</v>
      </c>
      <c r="EO103" s="268">
        <f>SUM(AJ103)</f>
        <v>0</v>
      </c>
      <c r="EP103" s="268">
        <f>SUM(G103/3)</f>
        <v>0</v>
      </c>
      <c r="EQ103" s="268" t="e">
        <f>SUM(EO103/EP103)</f>
        <v>#DIV/0!</v>
      </c>
      <c r="ER103" s="268">
        <f>ROUNDDOWN(EP103,0)</f>
        <v>0</v>
      </c>
      <c r="ES103" s="268">
        <f>SUM(EO103,-ER103*3)</f>
        <v>0</v>
      </c>
      <c r="ET103" s="269" t="b">
        <f>MOD(EN103/1,2)=0</f>
        <v>1</v>
      </c>
      <c r="EU103" s="245">
        <f>IF(ET103=FALSE,1,0)</f>
        <v>0</v>
      </c>
      <c r="EV103" s="245">
        <f>IF(EN103=50,0,IF(EN103&lt;40,1,0))</f>
        <v>1</v>
      </c>
      <c r="EW103" s="245">
        <f>SUM(EU103:EV103)</f>
        <v>1</v>
      </c>
      <c r="EX103" s="267">
        <f>IF(EN103=1,1,IF(EN103=50,0,IF(ES103=1,IF(EN103&gt;40,1,0),0)))</f>
        <v>0</v>
      </c>
      <c r="EY103" s="267">
        <f>IF(ES103=1,IF(EW103=2,1,0),0)+EX103+FB103+FE103</f>
        <v>0</v>
      </c>
      <c r="EZ103" s="245">
        <f>IF(EN103=109,1,IF(EN103=108,1,IF(EN103=106,1,IF(EN103=105,1,IF(EN103=103,1,IF(EN103=102,1,IF(EN103=99,1,0)))))))</f>
        <v>0</v>
      </c>
      <c r="FA103" s="245">
        <f>IF(EN103&gt;110,1,0)</f>
        <v>0</v>
      </c>
      <c r="FB103" s="267">
        <f>IF(ES103=2,SUM(EZ103:FA103),0)</f>
        <v>0</v>
      </c>
      <c r="FC103" s="245">
        <f>IF(EN103=159,1,IF(EN103=162,1,IF(EN103=163,1,IF(EN103=165,1,IF(EN103=166,1,IF(EN103=168,1,IF(EN103=169,1,0)))))))</f>
        <v>0</v>
      </c>
      <c r="FD103" s="245">
        <f>IF(EN103&gt;170,1,0)</f>
        <v>0</v>
      </c>
      <c r="FE103" s="267">
        <f>IF(ES103=0,SUM(FC103:FD103),0)</f>
        <v>0</v>
      </c>
      <c r="FF103" s="251">
        <f t="shared" si="228"/>
        <v>0</v>
      </c>
      <c r="FG103" s="238"/>
      <c r="FH103" s="245">
        <f>IF(AY103="",0,1)</f>
        <v>0</v>
      </c>
      <c r="FI103" s="245">
        <f>SUM(AY103)</f>
        <v>0</v>
      </c>
      <c r="FJ103" s="268">
        <f>SUM(AX103)</f>
        <v>0</v>
      </c>
      <c r="FK103" s="268">
        <f>SUM(V103/3)</f>
        <v>0</v>
      </c>
      <c r="FL103" s="268" t="e">
        <f>SUM(FJ103/FK103)</f>
        <v>#DIV/0!</v>
      </c>
      <c r="FM103" s="268">
        <f>ROUNDDOWN(FK103,0)</f>
        <v>0</v>
      </c>
      <c r="FN103" s="268">
        <f>SUM(FJ103,-FM103*3)</f>
        <v>0</v>
      </c>
      <c r="FO103" s="269" t="b">
        <f>MOD(FI103/1,2)=0</f>
        <v>1</v>
      </c>
      <c r="FP103" s="245">
        <f>IF(FO103=FALSE,1,0)</f>
        <v>0</v>
      </c>
      <c r="FQ103" s="245">
        <f>IF(FI103=50,0,IF(FI103&lt;40,1,0))</f>
        <v>1</v>
      </c>
      <c r="FR103" s="245">
        <f>SUM(FP103:FQ103)</f>
        <v>1</v>
      </c>
      <c r="FS103" s="267">
        <f>IF(FI103=1,1,IF(FI103=50,0,IF(FN103=1,IF(FI103&gt;40,1,0),0)))</f>
        <v>0</v>
      </c>
      <c r="FT103" s="267">
        <f>IF(FN103=1,IF(FR103=2,1,0),0)+FS103+FW103+FZ103</f>
        <v>0</v>
      </c>
      <c r="FU103" s="245">
        <f>IF(FI103=109,1,IF(FI103=108,1,IF(FI103=106,1,IF(FI103=105,1,IF(FI103=103,1,IF(FI103=102,1,IF(FI103=99,1,0)))))))</f>
        <v>0</v>
      </c>
      <c r="FV103" s="245">
        <f>IF(FI103&gt;110,1,0)</f>
        <v>0</v>
      </c>
      <c r="FW103" s="267">
        <f>IF(FN103=2,SUM(FU103:FV103),0)</f>
        <v>0</v>
      </c>
      <c r="FX103" s="245">
        <f>IF(FI103=159,1,IF(FI103=162,1,IF(FI103=163,1,IF(FI103=165,1,IF(FI103=166,1,IF(FI103=168,1,IF(FI103=169,1,0)))))))</f>
        <v>0</v>
      </c>
      <c r="FY103" s="245">
        <f>IF(FI103&gt;170,1,0)</f>
        <v>0</v>
      </c>
      <c r="FZ103" s="267">
        <f>IF(FN103=0,SUM(FX103:FY103),0)</f>
        <v>0</v>
      </c>
      <c r="GA103" s="251">
        <f t="shared" si="229"/>
        <v>0</v>
      </c>
      <c r="GC103" s="238" t="str">
        <f>VLOOKUP(AH97,Chema!BL:BR,4,FALSE)</f>
        <v>GS 1.7</v>
      </c>
      <c r="GD103" s="341">
        <f>IF(T107="FORFAIT",1,0)</f>
        <v>0</v>
      </c>
      <c r="GE103" s="343" t="str">
        <f>IF(R107="","",SUM(R107))</f>
        <v/>
      </c>
      <c r="GF103" s="344">
        <f>SUM(AV100)</f>
        <v>0</v>
      </c>
      <c r="GG103" s="344">
        <f>SUM(AX100)</f>
        <v>0</v>
      </c>
      <c r="GH103" s="344">
        <f t="shared" ref="GH103" si="238">SUM(AY100)</f>
        <v>0</v>
      </c>
      <c r="GI103" s="344">
        <f t="shared" ref="GI103" si="239">SUM(AZ100)</f>
        <v>0</v>
      </c>
      <c r="GJ103" s="344">
        <f>SUM(AV101)</f>
        <v>0</v>
      </c>
      <c r="GK103" s="344">
        <f>SUM(AX101)</f>
        <v>0</v>
      </c>
      <c r="GL103" s="344">
        <f>SUM(AY101)</f>
        <v>0</v>
      </c>
      <c r="GM103" s="344">
        <f>SUM(AZ101)</f>
        <v>0</v>
      </c>
      <c r="GN103" s="344">
        <f>SUM(AV102)</f>
        <v>0</v>
      </c>
      <c r="GO103" s="344">
        <f>SUM(AX102)</f>
        <v>0</v>
      </c>
      <c r="GP103" s="344">
        <f>SUM(AY102)</f>
        <v>0</v>
      </c>
      <c r="GQ103" s="344">
        <f>SUM(AZ102)</f>
        <v>0</v>
      </c>
      <c r="GR103" s="344">
        <f>SUM(AV103)</f>
        <v>0</v>
      </c>
      <c r="GS103" s="344">
        <f>SUM(AX103)</f>
        <v>0</v>
      </c>
      <c r="GT103" s="344">
        <f>SUM(AY103)</f>
        <v>0</v>
      </c>
      <c r="GU103" s="344">
        <f>SUM(AZ103)</f>
        <v>0</v>
      </c>
      <c r="GV103" s="344">
        <f>SUM(AV104)</f>
        <v>0</v>
      </c>
      <c r="GW103" s="344">
        <f>SUM(AX104)</f>
        <v>0</v>
      </c>
      <c r="GX103" s="344">
        <f>SUM(AY104)</f>
        <v>0</v>
      </c>
      <c r="GY103" s="344">
        <f>SUM(AZ104)</f>
        <v>0</v>
      </c>
      <c r="GZ103" s="344">
        <f>SUM(GF103,GJ103,GN103,GR103,GV103)</f>
        <v>0</v>
      </c>
      <c r="HA103" s="344">
        <f t="shared" ref="HA103" si="240">SUM(GG103,GK103,GO103,GS103,GW103)</f>
        <v>0</v>
      </c>
      <c r="HB103" s="344">
        <f>IF(GD100=1,P107,MAX(GH103,GL103,GP103,GT103,GX103))</f>
        <v>0</v>
      </c>
      <c r="HC103" s="344">
        <f>IF(GD100=1,X107,SUM(GI103,GM103,GQ103,GU103,GY103))</f>
        <v>0</v>
      </c>
      <c r="HD103" s="345">
        <f>IF(GD100=1,0,SUM(GF103,GJ103,GN103,GR103,GV103))</f>
        <v>0</v>
      </c>
      <c r="HE103" s="345">
        <f>IF(GD100=1,0,SUM(GG103,GK103,GO103,GS103,GW103))</f>
        <v>0</v>
      </c>
      <c r="HF103" s="341">
        <f>IF(GD100=1,0,MIN(HI103,HJ103,HK103,HL103,HM103))</f>
        <v>0</v>
      </c>
      <c r="HG103" s="341">
        <f>IF(HF103=0,0,COUNTIF(HI103:HM103,HF103))</f>
        <v>0</v>
      </c>
      <c r="HH103" s="341">
        <f>SUM(GH104,GL104,GP104,GT104,GX104)</f>
        <v>0</v>
      </c>
      <c r="HI103" s="343" t="str">
        <f>IF(GH104=1,GG103,"")</f>
        <v/>
      </c>
      <c r="HJ103" s="343" t="str">
        <f>IF(GL104=1,GK103,"")</f>
        <v/>
      </c>
      <c r="HK103" s="343" t="str">
        <f>IF(GP104=1,GO103,"")</f>
        <v/>
      </c>
      <c r="HL103" s="343" t="str">
        <f>IF(GT104=1,GS103,"")</f>
        <v/>
      </c>
      <c r="HM103" s="343" t="str">
        <f>IF(GX104=1,GW103,"")</f>
        <v/>
      </c>
      <c r="HN103" s="341"/>
      <c r="HO103" s="341"/>
      <c r="HP103" s="341"/>
      <c r="HQ103" s="341"/>
      <c r="HR103" s="341"/>
      <c r="HS103" s="238"/>
      <c r="HT103" s="238"/>
      <c r="HU103" s="238"/>
      <c r="HV103" s="238"/>
      <c r="HW103" s="238" t="str">
        <f>IFERROR(IF(GD100=0,SUM(IB102:IC102),""),"")</f>
        <v/>
      </c>
      <c r="HY103" s="238"/>
      <c r="ID103" s="238"/>
    </row>
    <row r="104" spans="1:238" s="234" customFormat="1" ht="20.100000000000001" customHeight="1">
      <c r="A104" s="235"/>
      <c r="B104" s="231">
        <f>COUNT(AJ105,AJ104)</f>
        <v>1</v>
      </c>
      <c r="C104" s="235"/>
      <c r="D104" s="271" t="str">
        <f>REPT(DN104,1)</f>
        <v>5</v>
      </c>
      <c r="E104" s="254" t="str">
        <f>REPT(AH104,1)</f>
        <v/>
      </c>
      <c r="F104" s="168"/>
      <c r="G104" s="168"/>
      <c r="H104" s="168"/>
      <c r="I104" s="169"/>
      <c r="J104" s="272" t="str">
        <f>REPT(AM104,1)</f>
        <v/>
      </c>
      <c r="L104" s="310"/>
      <c r="M104" s="310"/>
      <c r="N104" s="272" t="str">
        <f>REPT(AP104,1)</f>
        <v/>
      </c>
      <c r="O104" s="118"/>
      <c r="Q104" s="310"/>
      <c r="R104" s="235"/>
      <c r="S104" s="271" t="str">
        <f>REPT(DO104,1)</f>
        <v>5</v>
      </c>
      <c r="T104" s="254" t="str">
        <f>REPT(AV104,1)</f>
        <v/>
      </c>
      <c r="U104" s="168"/>
      <c r="V104" s="168"/>
      <c r="W104" s="168"/>
      <c r="X104" s="169"/>
      <c r="Y104" s="272" t="str">
        <f>REPT(BA104,1)</f>
        <v/>
      </c>
      <c r="Z104" s="308"/>
      <c r="AA104" s="238">
        <f>SUM(AL97)</f>
        <v>5</v>
      </c>
      <c r="AB104" s="234">
        <f>IF(AY104="",0,IF(AY104&lt;2,1,""))</f>
        <v>0</v>
      </c>
      <c r="AC104" s="238">
        <f>IF(AL97=3,0,IF(AD104=1,1,IF(AD104=3,1,IF(AD104=2,0,IF(AD104=0,0,0)))))</f>
        <v>0</v>
      </c>
      <c r="AD104" s="256">
        <f t="shared" si="218"/>
        <v>0</v>
      </c>
      <c r="AE104" s="256">
        <f t="shared" si="212"/>
        <v>0</v>
      </c>
      <c r="AF104" s="256">
        <f t="shared" si="213"/>
        <v>0</v>
      </c>
      <c r="AG104" s="256">
        <f t="shared" si="219"/>
        <v>0</v>
      </c>
      <c r="AH104" s="257" t="str">
        <f>IF(AL97=3,"",IF(AK104="",IF(AI104="","",IF(AI104="",501,501-AI104)),501))</f>
        <v/>
      </c>
      <c r="AI104" s="256" t="str">
        <f>IF(AL97=3,"",IF(F104&gt;1,F104,IF(F104=0,"",IF(F104="","",""))))</f>
        <v/>
      </c>
      <c r="AJ104" s="256" t="str">
        <f>IF(AL97=3,"",IF(G104&gt;8,G104,IF(G104="","","")))</f>
        <v/>
      </c>
      <c r="AK104" s="256" t="str">
        <f>IF(AL97=3,"",IF(H104&gt;1,H104,IF(H104="","","")))</f>
        <v/>
      </c>
      <c r="AL104" s="256" t="str">
        <f>IF(AL97=3,"",IF(I104&gt;0,I104,IF(I104="","","")))</f>
        <v/>
      </c>
      <c r="AM104" s="258" t="str">
        <f>IF(BK104=0,"","X")</f>
        <v/>
      </c>
      <c r="AN104" s="237"/>
      <c r="AO104" s="237"/>
      <c r="AP104" s="258" t="str">
        <f>IF(BM104=0,"","X")</f>
        <v/>
      </c>
      <c r="AQ104" s="236">
        <f>IF(AL97=3,0,IF(AR104=1,1,IF(AR104=3,1,IF(AR104=2,0,IF(AR104=0,0,0)))))</f>
        <v>0</v>
      </c>
      <c r="AR104" s="256">
        <f t="shared" si="221"/>
        <v>0</v>
      </c>
      <c r="AS104" s="256">
        <f t="shared" si="214"/>
        <v>0</v>
      </c>
      <c r="AT104" s="256">
        <f t="shared" si="215"/>
        <v>0</v>
      </c>
      <c r="AU104" s="256">
        <f t="shared" si="222"/>
        <v>0</v>
      </c>
      <c r="AV104" s="257" t="str">
        <f>IF(AY104="",IF(AW104="","",IF(AW104="",501,501-AW104)),501)</f>
        <v/>
      </c>
      <c r="AW104" s="256" t="str">
        <f>IF(AL97=3,"",IF(U104&gt;1,U104,IF(U104=0,"",IF(U104="","",""))))</f>
        <v/>
      </c>
      <c r="AX104" s="256" t="str">
        <f>IF(AL97=3,"",IF(V104&gt;8,V104,IF(V104="","","")))</f>
        <v/>
      </c>
      <c r="AY104" s="256" t="str">
        <f>IF(AL97=3,"",IF(W104&gt;1,W104,IF(W104="","","")))</f>
        <v/>
      </c>
      <c r="AZ104" s="256" t="str">
        <f>IF(AL97=3,"",IF(X104&gt;0,X104,IF(X104="","","")))</f>
        <v/>
      </c>
      <c r="BA104" s="258" t="str">
        <f>IF(BL104=0,"","X")</f>
        <v/>
      </c>
      <c r="BK104" s="251">
        <f>IF(AL97=3,0,SUM(DD104,DV104,EY104,ED104,FF104,BQ104,BS104,AC104))</f>
        <v>0</v>
      </c>
      <c r="BL104" s="251">
        <f>SUM(DE104,DW104,EE104,FT104,GA104,BR104,BT104,AQ104)</f>
        <v>0</v>
      </c>
      <c r="BM104" s="259">
        <f>IF(AL97=3,0,SUM(DC104,BK104:BL104,AC104,AQ104))</f>
        <v>0</v>
      </c>
      <c r="BN104" s="239">
        <f>COUNT(AK104)</f>
        <v>0</v>
      </c>
      <c r="BO104" s="239">
        <f>COUNT(AY104)</f>
        <v>0</v>
      </c>
      <c r="BP104" s="239">
        <f>IF(BN106=0,0,1)</f>
        <v>0</v>
      </c>
      <c r="BQ104" s="260">
        <f>IF(AL104="",0,IF(AL104&gt;2,1,0))</f>
        <v>0</v>
      </c>
      <c r="BR104" s="261">
        <f>IF(AZ104="",0,IF(AZ104&gt;2,1,0))</f>
        <v>0</v>
      </c>
      <c r="BS104" s="262">
        <f>IF(AJ104=9,IF(AK104&lt;141,1,0),0)</f>
        <v>0</v>
      </c>
      <c r="BT104" s="263">
        <f>IF(AX104=9,IF(AY104&lt;141,1,0),0)</f>
        <v>0</v>
      </c>
      <c r="BU104" s="242">
        <f>IF(AL97=3,0,IF(H104,G104,0))</f>
        <v>0</v>
      </c>
      <c r="BV104" s="238">
        <f>IF(BU104&gt;0,AJ104/3,0)</f>
        <v>0</v>
      </c>
      <c r="BW104" s="238">
        <f>ROUNDUP(BV104,0)</f>
        <v>0</v>
      </c>
      <c r="BX104" s="244">
        <f>IF(MOD(BW104,2)=0,BW104,BW104+1)</f>
        <v>0</v>
      </c>
      <c r="BY104" s="238">
        <f>IF(AJ104&lt;9,"",SUM(BX104-BW104))</f>
        <v>0</v>
      </c>
      <c r="BZ104" s="238">
        <f>IF(BY104=1,AK104,0)</f>
        <v>0</v>
      </c>
      <c r="CA104" s="243" t="str">
        <f>IF(BY104=0,AK104,0)</f>
        <v/>
      </c>
      <c r="CB104" s="238"/>
      <c r="CC104" s="238"/>
      <c r="CD104" s="242">
        <f>IF(AL97=3,0,IF(W104,V104,0))</f>
        <v>0</v>
      </c>
      <c r="CE104" s="238">
        <f>IF(CD104&gt;0,AX104/3,0)</f>
        <v>0</v>
      </c>
      <c r="CF104" s="238">
        <f>ROUNDUP(CE104,0)</f>
        <v>0</v>
      </c>
      <c r="CG104" s="244">
        <f>IF(MOD(CF104,2)=0,CF104,CF104+1)</f>
        <v>0</v>
      </c>
      <c r="CH104" s="238">
        <f>IF(AX104&lt;9,"",SUM(CG104-CF104))</f>
        <v>0</v>
      </c>
      <c r="CI104" s="238">
        <f>IF(CH104=1,AY104,0)</f>
        <v>0</v>
      </c>
      <c r="CJ104" s="243" t="str">
        <f>IF(CH104=0,AY104,0)</f>
        <v/>
      </c>
      <c r="CK104" s="238"/>
      <c r="CL104" s="245">
        <f>IF(COUNT(F104,H104)=1,0,1)</f>
        <v>1</v>
      </c>
      <c r="CM104" s="245">
        <f>IF(COUNT(F104,U104)=1,0,1)</f>
        <v>1</v>
      </c>
      <c r="CN104" s="245">
        <f>IF(COUNT(H104,W104)=1,0,1)</f>
        <v>1</v>
      </c>
      <c r="CO104" s="245">
        <f>IF(COUNT(G104,V104)=2,0,1)</f>
        <v>1</v>
      </c>
      <c r="CP104" s="245">
        <f>IF(COUNT(U104,W104)=1,0,1)</f>
        <v>1</v>
      </c>
      <c r="CQ104" s="245">
        <f>IF(SUM(G104-V104)&gt;3,1,0)</f>
        <v>0</v>
      </c>
      <c r="CR104" s="245">
        <f>IF(SUM(G104-V104)&lt;-3,1,0)</f>
        <v>0</v>
      </c>
      <c r="CS104" s="264">
        <f>IF(AJ104=9,IF(AH104&lt;141,1,0),IF(AH104="",0,IF(AH104&gt;1,0,1)))</f>
        <v>0</v>
      </c>
      <c r="CT104" s="264">
        <f>IF(AX104=9,IF(AV104&lt;141,1,0),IF(AV104="",0,IF(AV104&gt;1,0,1)))</f>
        <v>0</v>
      </c>
      <c r="CU104" s="264">
        <f>IF(AI104="",0,IF(AI104&lt;502,0,1))</f>
        <v>0</v>
      </c>
      <c r="CV104" s="264">
        <f>IF(AW104="",0,IF(AW104&lt;502,0,1))</f>
        <v>0</v>
      </c>
      <c r="CW104" s="264">
        <f>IF(AI104="",IF(AJ104&lt;9,1,0),IF(AJ104&lt;9,1,0))</f>
        <v>0</v>
      </c>
      <c r="CX104" s="264">
        <f>IF(AW104="",IF(AX104&lt;9,1,0),IF(AX104&lt;9,1,0))</f>
        <v>0</v>
      </c>
      <c r="CY104" s="374"/>
      <c r="CZ104" s="374"/>
      <c r="DA104" s="374"/>
      <c r="DB104" s="374"/>
      <c r="DC104" s="265">
        <f>IF(AJ104="",0,SUM(CL104:CX104))</f>
        <v>0</v>
      </c>
      <c r="DD104" s="265">
        <f>IF(AJ104="",0,SUM(CL104,CS104,CU104,CW104))</f>
        <v>0</v>
      </c>
      <c r="DE104" s="265">
        <f>IF(AJ104="",0,SUM(CP104,CT104,CV104,CX104))</f>
        <v>0</v>
      </c>
      <c r="DF104" s="238"/>
      <c r="DG104" s="248">
        <f>IF(AL97=3,0,SUM(G104-V104))</f>
        <v>0</v>
      </c>
      <c r="DH104" s="245">
        <f>IF(F104="",0,1)</f>
        <v>0</v>
      </c>
      <c r="DI104" s="245">
        <f t="shared" si="224"/>
        <v>0</v>
      </c>
      <c r="DJ104" s="245">
        <f t="shared" si="225"/>
        <v>0</v>
      </c>
      <c r="DK104" s="245" t="str">
        <f>IF(G104="","",IF(DJ104=1,"*",""))</f>
        <v/>
      </c>
      <c r="DL104" s="245" t="str">
        <f>IF(AL97=3,"",IF(G104="","",IF(DJ104=-1,"*",IF(DJ104=0,"*",""))))</f>
        <v/>
      </c>
      <c r="DM104" s="245">
        <v>5</v>
      </c>
      <c r="DN104" s="245" t="str">
        <f t="shared" si="226"/>
        <v>5</v>
      </c>
      <c r="DO104" s="245" t="str">
        <f t="shared" si="227"/>
        <v>5</v>
      </c>
      <c r="DP104" s="245">
        <f>SUM(DP100)</f>
        <v>0</v>
      </c>
      <c r="DQ104" s="245">
        <f>SUM(DQ100)</f>
        <v>0</v>
      </c>
      <c r="DR104" s="245">
        <f t="shared" si="234"/>
        <v>0</v>
      </c>
      <c r="DS104" s="245">
        <f t="shared" si="235"/>
        <v>0</v>
      </c>
      <c r="DT104" s="245">
        <f t="shared" si="236"/>
        <v>0</v>
      </c>
      <c r="DU104" s="245">
        <f>IF(V104="",0,IF(DQ104=DS104,0,1))</f>
        <v>0</v>
      </c>
      <c r="DV104" s="267">
        <f t="shared" si="237"/>
        <v>0</v>
      </c>
      <c r="DW104" s="267">
        <f>IF(V104="",0,SUM(DU104))</f>
        <v>0</v>
      </c>
      <c r="DX104" s="238">
        <f>IF(AK104="",0,1)</f>
        <v>0</v>
      </c>
      <c r="DY104" s="238">
        <f>IF(DG104=-3,1,0)</f>
        <v>0</v>
      </c>
      <c r="DZ104" s="238">
        <f>SUM(DX104:DY104)</f>
        <v>0</v>
      </c>
      <c r="EA104" s="238">
        <f>IF(AK104="",1,0)</f>
        <v>1</v>
      </c>
      <c r="EB104" s="238">
        <f>IF(DG104=3,1,0)</f>
        <v>0</v>
      </c>
      <c r="EC104" s="238">
        <f>SUM(EA104:EB104)</f>
        <v>1</v>
      </c>
      <c r="ED104" s="267">
        <f>IF(EC104=2,1,0)</f>
        <v>0</v>
      </c>
      <c r="EE104" s="267">
        <f>IF(DZ104=2,1,0)</f>
        <v>0</v>
      </c>
      <c r="EG104" s="166"/>
      <c r="EH104" s="238"/>
      <c r="EI104" s="238"/>
      <c r="EJ104" s="238"/>
      <c r="EK104" s="238"/>
      <c r="EL104" s="238"/>
      <c r="EM104" s="245">
        <f>IF(AK104="",0,1)</f>
        <v>0</v>
      </c>
      <c r="EN104" s="245">
        <f>SUM(AK104)</f>
        <v>0</v>
      </c>
      <c r="EO104" s="268">
        <f>SUM(AJ104)</f>
        <v>0</v>
      </c>
      <c r="EP104" s="268">
        <f>SUM(G104/3)</f>
        <v>0</v>
      </c>
      <c r="EQ104" s="268" t="e">
        <f>SUM(EO104/EP104)</f>
        <v>#DIV/0!</v>
      </c>
      <c r="ER104" s="268">
        <f>ROUNDDOWN(EP104,0)</f>
        <v>0</v>
      </c>
      <c r="ES104" s="268">
        <f>SUM(EO104,-ER104*3)</f>
        <v>0</v>
      </c>
      <c r="ET104" s="269" t="b">
        <f>MOD(EN104/1,2)=0</f>
        <v>1</v>
      </c>
      <c r="EU104" s="245">
        <f>IF(ET104=FALSE,1,0)</f>
        <v>0</v>
      </c>
      <c r="EV104" s="245">
        <f>IF(EN104=50,0,IF(EN104&lt;40,1,0))</f>
        <v>1</v>
      </c>
      <c r="EW104" s="245">
        <f>SUM(EU104:EV104)</f>
        <v>1</v>
      </c>
      <c r="EX104" s="267">
        <f>IF(EN104=1,1,IF(EN104=50,0,IF(ES104=1,IF(EN104&gt;40,1,0),0)))</f>
        <v>0</v>
      </c>
      <c r="EY104" s="267">
        <f>IF(ES104=1,IF(EW104=2,1,0),0)+EX104+FB104+FE104</f>
        <v>0</v>
      </c>
      <c r="EZ104" s="245">
        <f>IF(EN104=109,1,IF(EN104=108,1,IF(EN104=106,1,IF(EN104=105,1,IF(EN104=103,1,IF(EN104=102,1,IF(EN104=99,1,0)))))))</f>
        <v>0</v>
      </c>
      <c r="FA104" s="245">
        <f>IF(EN104&gt;110,1,0)</f>
        <v>0</v>
      </c>
      <c r="FB104" s="267">
        <f>IF(ES104=2,SUM(EZ104:FA104),0)</f>
        <v>0</v>
      </c>
      <c r="FC104" s="245">
        <f>IF(EN104=159,1,IF(EN104=162,1,IF(EN104=163,1,IF(EN104=165,1,IF(EN104=166,1,IF(EN104=168,1,IF(EN104=169,1,0)))))))</f>
        <v>0</v>
      </c>
      <c r="FD104" s="245">
        <f>IF(EN104&gt;170,1,0)</f>
        <v>0</v>
      </c>
      <c r="FE104" s="267">
        <f>IF(ES104=0,SUM(FC104:FD104),0)</f>
        <v>0</v>
      </c>
      <c r="FF104" s="251">
        <f t="shared" si="228"/>
        <v>0</v>
      </c>
      <c r="FG104" s="238"/>
      <c r="FH104" s="245">
        <f>IF(AY104="",0,1)</f>
        <v>0</v>
      </c>
      <c r="FI104" s="245">
        <f>SUM(AY104)</f>
        <v>0</v>
      </c>
      <c r="FJ104" s="268">
        <f>SUM(AX104)</f>
        <v>0</v>
      </c>
      <c r="FK104" s="268">
        <f>SUM(V104/3)</f>
        <v>0</v>
      </c>
      <c r="FL104" s="268" t="e">
        <f>SUM(FJ104/FK104)</f>
        <v>#DIV/0!</v>
      </c>
      <c r="FM104" s="268">
        <f>ROUNDDOWN(FK104,0)</f>
        <v>0</v>
      </c>
      <c r="FN104" s="268">
        <f>SUM(FJ104,-FM104*3)</f>
        <v>0</v>
      </c>
      <c r="FO104" s="269" t="b">
        <f>MOD(FI104/1,2)=0</f>
        <v>1</v>
      </c>
      <c r="FP104" s="245">
        <f>IF(FO104=FALSE,1,0)</f>
        <v>0</v>
      </c>
      <c r="FQ104" s="245">
        <f>IF(FI104=50,0,IF(FI104&lt;40,1,0))</f>
        <v>1</v>
      </c>
      <c r="FR104" s="245">
        <f>SUM(FP104:FQ104)</f>
        <v>1</v>
      </c>
      <c r="FS104" s="267">
        <f>IF(FI104=1,1,IF(FI104=50,0,IF(FN104=1,IF(FI104&gt;40,1,0),0)))</f>
        <v>0</v>
      </c>
      <c r="FT104" s="267">
        <f>IF(FN104=1,IF(FR104=2,1,0),0)+FS104+FW104+FZ104</f>
        <v>0</v>
      </c>
      <c r="FU104" s="245">
        <f>IF(FI104=109,1,IF(FI104=108,1,IF(FI104=106,1,IF(FI104=105,1,IF(FI104=103,1,IF(FI104=102,1,IF(FI104=99,1,0)))))))</f>
        <v>0</v>
      </c>
      <c r="FV104" s="245">
        <f>IF(FI104&gt;110,1,0)</f>
        <v>0</v>
      </c>
      <c r="FW104" s="267">
        <f>IF(FN104=2,SUM(FU104:FV104),0)</f>
        <v>0</v>
      </c>
      <c r="FX104" s="245">
        <f>IF(FI104=159,1,IF(FI104=162,1,IF(FI104=163,1,IF(FI104=165,1,IF(FI104=166,1,IF(FI104=168,1,IF(FI104=169,1,0)))))))</f>
        <v>0</v>
      </c>
      <c r="FY104" s="245">
        <f>IF(FI104&gt;170,1,0)</f>
        <v>0</v>
      </c>
      <c r="FZ104" s="267">
        <f>IF(FN104=0,SUM(FX104:FY104),0)</f>
        <v>0</v>
      </c>
      <c r="GA104" s="251">
        <f t="shared" si="229"/>
        <v>0</v>
      </c>
      <c r="GC104" s="238" t="str">
        <f>VLOOKUP(AH97,Chema!BL:BR,5,FALSE)</f>
        <v/>
      </c>
      <c r="GD104" s="341"/>
      <c r="GE104" s="343" t="str">
        <f>IF(R108="","",SUM(R108))</f>
        <v/>
      </c>
      <c r="GF104" s="340"/>
      <c r="GG104" s="346"/>
      <c r="GH104" s="343">
        <f>IF(GH103&gt;0,1,0)</f>
        <v>0</v>
      </c>
      <c r="GI104" s="346"/>
      <c r="GJ104" s="343"/>
      <c r="GK104" s="346"/>
      <c r="GL104" s="343">
        <f>IF(GL103&gt;0,1,0)</f>
        <v>0</v>
      </c>
      <c r="GM104" s="343"/>
      <c r="GN104" s="343"/>
      <c r="GO104" s="346"/>
      <c r="GP104" s="343">
        <f>IF(GP103&gt;0,1,0)</f>
        <v>0</v>
      </c>
      <c r="GQ104" s="343"/>
      <c r="GR104" s="343"/>
      <c r="GS104" s="346"/>
      <c r="GT104" s="343">
        <f>IF(GT103&gt;0,1,0)</f>
        <v>0</v>
      </c>
      <c r="GU104" s="343"/>
      <c r="GV104" s="343"/>
      <c r="GW104" s="346"/>
      <c r="GX104" s="343">
        <f>IF(GX103&gt;0,1,0)</f>
        <v>0</v>
      </c>
      <c r="GY104" s="340"/>
      <c r="GZ104" s="343"/>
      <c r="HA104" s="343"/>
      <c r="HB104" s="343" t="str">
        <f>IF(GD100=1,P108,"")</f>
        <v/>
      </c>
      <c r="HC104" s="343" t="str">
        <f>IF(GD100=1,X108,"")</f>
        <v/>
      </c>
      <c r="HD104" s="340"/>
      <c r="HE104" s="340"/>
      <c r="HF104" s="340"/>
      <c r="HG104" s="340">
        <f>IF(HG102=HM100,0,IF(HG102=HM104,0,1))</f>
        <v>0</v>
      </c>
      <c r="HH104" s="340">
        <f>IF(HH101=HH103,1,0)</f>
        <v>1</v>
      </c>
      <c r="HI104" s="340"/>
      <c r="HJ104" s="340"/>
      <c r="HK104" s="340"/>
      <c r="HL104" s="340"/>
      <c r="HM104" s="341">
        <f>COUNT(HI103,HJ103,HK103,HL103,HM103)</f>
        <v>0</v>
      </c>
      <c r="HN104" s="341"/>
      <c r="HO104" s="341"/>
      <c r="HP104" s="341"/>
      <c r="HQ104" s="341"/>
      <c r="HR104" s="341"/>
      <c r="HS104" s="238"/>
      <c r="HT104" s="238"/>
      <c r="HU104" s="238"/>
      <c r="HV104" s="238"/>
      <c r="HX104" s="238"/>
      <c r="HY104" s="238"/>
      <c r="ID104" s="238"/>
    </row>
    <row r="105" spans="1:238" s="234" customFormat="1" ht="6.6" customHeight="1">
      <c r="A105" s="235"/>
      <c r="B105" s="231"/>
      <c r="C105" s="310"/>
      <c r="D105" s="310"/>
      <c r="E105" s="310"/>
      <c r="F105" s="310"/>
      <c r="G105" s="313"/>
      <c r="H105" s="310"/>
      <c r="I105" s="310"/>
      <c r="J105" s="273"/>
      <c r="K105" s="313"/>
      <c r="O105" s="118"/>
      <c r="R105" s="310"/>
      <c r="S105" s="310"/>
      <c r="T105" s="310"/>
      <c r="U105" s="310"/>
      <c r="V105" s="313"/>
      <c r="W105" s="310"/>
      <c r="X105" s="310"/>
      <c r="Y105" s="273"/>
      <c r="Z105" s="308"/>
      <c r="AA105" s="274"/>
      <c r="AD105" s="235"/>
      <c r="AE105" s="237">
        <f>IF(AF105=0,0,1)</f>
        <v>0</v>
      </c>
      <c r="AF105" s="237">
        <f>IF(AL105=0,0,SUM(AL107:AL108,-AL106))</f>
        <v>0</v>
      </c>
      <c r="AG105" s="237"/>
      <c r="AH105" s="275">
        <f>SUM(AH100,AH101,AH102,AH103,AH104)</f>
        <v>0</v>
      </c>
      <c r="AI105" s="275">
        <f t="shared" ref="AI105" si="241">SUM(AI100,AI101,AI102,AI103,AI104)</f>
        <v>0</v>
      </c>
      <c r="AJ105" s="275">
        <f t="shared" ref="AJ105" si="242">SUM(AJ100,AJ101,AJ102,AJ103,AJ104)</f>
        <v>0</v>
      </c>
      <c r="AK105" s="275">
        <f>MAX(AK100,AK101,AK102,AK103,AK104)</f>
        <v>0</v>
      </c>
      <c r="AL105" s="275">
        <f t="shared" ref="AL105" si="243">SUM(AL100,AL101,AL102,AL103,AL104)</f>
        <v>0</v>
      </c>
      <c r="AM105" s="275">
        <f>IF(AK97="D",SUM(AL100,AL101,AL102,AL103,AL104,-AL107,-AL108),0)</f>
        <v>0</v>
      </c>
      <c r="AN105" s="235"/>
      <c r="AO105" s="235"/>
      <c r="AP105" s="235"/>
      <c r="AQ105" s="235"/>
      <c r="AR105" s="235"/>
      <c r="AS105" s="237">
        <f>IF(AT105=0,0,1)</f>
        <v>0</v>
      </c>
      <c r="AT105" s="237">
        <f>IF(AZ105=0,0,SUM(AZ107:AZ108,-AZ106))</f>
        <v>0</v>
      </c>
      <c r="AU105" s="237"/>
      <c r="AV105" s="275">
        <f>SUM(AV100,AV101,AV102,AV103,AV104)</f>
        <v>0</v>
      </c>
      <c r="AW105" s="275">
        <f t="shared" ref="AW105" si="244">SUM(AW100,AW101,AW102,AW103,AW104)</f>
        <v>0</v>
      </c>
      <c r="AX105" s="275">
        <f t="shared" ref="AX105" si="245">SUM(AX100,AX101,AX102,AX103,AX104)</f>
        <v>0</v>
      </c>
      <c r="AY105" s="275">
        <f>MAX(AY100,AY101,AY102,AY103,AY104)</f>
        <v>0</v>
      </c>
      <c r="AZ105" s="275">
        <f t="shared" ref="AZ105" si="246">SUM(AZ100,AZ101,AZ102,AZ103,AZ104)</f>
        <v>0</v>
      </c>
      <c r="BA105" s="275">
        <f>IF(AK97="D",SUM(AZ100,AZ101,AZ102,AZ103,AZ104,-AZ107,-AZ108),0)</f>
        <v>0</v>
      </c>
      <c r="BJ105" s="236"/>
      <c r="BK105" s="238"/>
      <c r="BL105" s="238"/>
      <c r="BM105" s="238"/>
      <c r="BP105" s="238"/>
      <c r="BQ105" s="238"/>
      <c r="BR105" s="238"/>
      <c r="BS105" s="238"/>
      <c r="BT105" s="238"/>
      <c r="BU105" s="238"/>
      <c r="BY105" s="238"/>
      <c r="BZ105" s="238">
        <f>MAX(BZ100,BZ101,BZ102,BZ103,BZ104)</f>
        <v>0</v>
      </c>
      <c r="CA105" s="238">
        <f>MAX(CA100,CA101,CA102,CA103,CA104)</f>
        <v>0</v>
      </c>
      <c r="CB105" s="238"/>
      <c r="CC105" s="238"/>
      <c r="CD105" s="238"/>
      <c r="CG105" s="244"/>
      <c r="CH105" s="238"/>
      <c r="CI105" s="238">
        <f>MAX(CI100,CI101,CI102,CI103,CI104)</f>
        <v>0</v>
      </c>
      <c r="CJ105" s="238">
        <f>MAX(CJ100,CJ101,CJ102,CJ103,CJ104)</f>
        <v>0</v>
      </c>
      <c r="CK105" s="238"/>
      <c r="CL105" s="238"/>
      <c r="CM105" s="238"/>
      <c r="CN105" s="238"/>
      <c r="CO105" s="238"/>
      <c r="CP105" s="238"/>
      <c r="CQ105" s="238"/>
      <c r="CR105" s="238"/>
      <c r="CS105" s="238"/>
      <c r="CT105" s="238"/>
      <c r="CU105" s="238"/>
      <c r="CV105" s="238"/>
      <c r="CW105" s="238"/>
      <c r="CX105" s="238"/>
      <c r="CY105" s="238"/>
      <c r="CZ105" s="238"/>
      <c r="DA105" s="238"/>
      <c r="DB105" s="238"/>
      <c r="DC105" s="238"/>
      <c r="DD105" s="238"/>
      <c r="DE105" s="238"/>
      <c r="DF105" s="238"/>
      <c r="DG105" s="238"/>
      <c r="DH105" s="238"/>
      <c r="DI105" s="238"/>
      <c r="DJ105" s="238"/>
      <c r="DK105" s="238"/>
      <c r="DL105" s="238"/>
      <c r="DM105" s="238"/>
      <c r="DN105" s="238"/>
      <c r="DO105" s="238"/>
      <c r="DP105" s="238"/>
      <c r="DQ105" s="238"/>
      <c r="DR105" s="238"/>
      <c r="DS105" s="238"/>
      <c r="DT105" s="238"/>
      <c r="DU105" s="238"/>
      <c r="DV105" s="238"/>
      <c r="DW105" s="238"/>
      <c r="DX105" s="238"/>
      <c r="DY105" s="238"/>
      <c r="DZ105" s="238"/>
      <c r="EA105" s="238"/>
      <c r="EB105" s="238"/>
      <c r="EC105" s="238"/>
      <c r="ED105" s="238"/>
      <c r="EE105" s="238"/>
      <c r="EF105" s="238"/>
      <c r="EG105" s="238"/>
      <c r="EH105" s="238"/>
      <c r="EI105" s="238"/>
      <c r="EJ105" s="238"/>
      <c r="EK105" s="238"/>
      <c r="EL105" s="238"/>
      <c r="EM105" s="166"/>
      <c r="EN105" s="166"/>
      <c r="EO105" s="166"/>
      <c r="EP105" s="238">
        <f>SUM(EN105-EO105)</f>
        <v>0</v>
      </c>
      <c r="EQ105" s="238"/>
      <c r="ER105" s="238"/>
      <c r="ES105" s="238"/>
      <c r="ET105" s="244"/>
      <c r="EU105" s="238"/>
      <c r="EV105" s="238"/>
      <c r="EW105" s="238"/>
      <c r="EX105" s="238"/>
      <c r="EY105" s="238"/>
      <c r="EZ105" s="238"/>
      <c r="FA105" s="238"/>
      <c r="FB105" s="238"/>
      <c r="FC105" s="238"/>
      <c r="FD105" s="238"/>
      <c r="FE105" s="238"/>
      <c r="FF105" s="238"/>
      <c r="FG105" s="238"/>
      <c r="FH105" s="238"/>
      <c r="FI105" s="238"/>
      <c r="FJ105" s="238"/>
      <c r="FK105" s="238"/>
      <c r="FL105" s="238"/>
      <c r="FM105" s="238"/>
      <c r="FN105" s="238"/>
      <c r="FO105" s="244"/>
      <c r="FP105" s="238"/>
      <c r="FQ105" s="238"/>
      <c r="FR105" s="238"/>
      <c r="FS105" s="238"/>
      <c r="FT105" s="238"/>
      <c r="FU105" s="238"/>
      <c r="FV105" s="238"/>
      <c r="FW105" s="238"/>
      <c r="FX105" s="238"/>
      <c r="FY105" s="238"/>
      <c r="FZ105" s="238"/>
      <c r="GA105" s="238"/>
      <c r="GB105" s="238"/>
      <c r="GC105" s="238"/>
      <c r="GD105" s="341"/>
      <c r="GE105" s="340"/>
      <c r="GF105" s="340"/>
      <c r="GG105" s="340"/>
      <c r="GH105" s="340"/>
      <c r="GI105" s="340"/>
      <c r="GJ105" s="340"/>
      <c r="GK105" s="340"/>
      <c r="GL105" s="340"/>
      <c r="GM105" s="340"/>
      <c r="GN105" s="340"/>
      <c r="GO105" s="340"/>
      <c r="GP105" s="340"/>
      <c r="GQ105" s="340"/>
      <c r="GR105" s="340"/>
      <c r="GS105" s="340"/>
      <c r="GT105" s="340"/>
      <c r="GU105" s="340"/>
      <c r="GV105" s="340"/>
      <c r="GW105" s="340"/>
      <c r="GX105" s="340"/>
      <c r="GY105" s="340"/>
      <c r="GZ105" s="340"/>
      <c r="HA105" s="340"/>
      <c r="HB105" s="340"/>
      <c r="HC105" s="340"/>
      <c r="HD105" s="341"/>
      <c r="HE105" s="341"/>
      <c r="HF105" s="341"/>
      <c r="HG105" s="341"/>
      <c r="HH105" s="341"/>
      <c r="HI105" s="341"/>
      <c r="HJ105" s="341"/>
      <c r="HK105" s="341"/>
      <c r="HL105" s="341"/>
      <c r="HM105" s="341"/>
      <c r="HN105" s="341"/>
      <c r="HO105" s="341"/>
      <c r="HP105" s="341"/>
      <c r="HQ105" s="341"/>
      <c r="HR105" s="341"/>
      <c r="HS105" s="238"/>
      <c r="HT105" s="238"/>
      <c r="HU105" s="238"/>
      <c r="HV105" s="238"/>
      <c r="HX105" s="238"/>
      <c r="HY105" s="238"/>
      <c r="ID105" s="238"/>
    </row>
    <row r="106" spans="1:238" s="234" customFormat="1" ht="20.100000000000001" customHeight="1">
      <c r="A106" s="235"/>
      <c r="B106" s="231"/>
      <c r="C106" s="314" t="s">
        <v>771</v>
      </c>
      <c r="D106" s="276" t="str">
        <f>REPT(Sprache!$K$58,1)</f>
        <v>Spieler</v>
      </c>
      <c r="E106" s="277" t="str">
        <f>REPT(Sprache!$K$33,1)</f>
        <v>Name / Vorname</v>
      </c>
      <c r="F106" s="278"/>
      <c r="G106" s="278"/>
      <c r="H106" s="279"/>
      <c r="I106" s="280"/>
      <c r="J106" s="281" t="str">
        <f>REPT(AM106,1)</f>
        <v/>
      </c>
      <c r="L106" s="306" t="s">
        <v>848</v>
      </c>
      <c r="M106" s="238"/>
      <c r="P106" s="306" t="s">
        <v>848</v>
      </c>
      <c r="R106" s="314" t="s">
        <v>771</v>
      </c>
      <c r="S106" s="276" t="str">
        <f>REPT(Sprache!$K$58,1)</f>
        <v>Spieler</v>
      </c>
      <c r="T106" s="277" t="str">
        <f>REPT(Sprache!$K$33,1)</f>
        <v>Name / Vorname</v>
      </c>
      <c r="U106" s="278"/>
      <c r="V106" s="278"/>
      <c r="W106" s="279"/>
      <c r="X106" s="280"/>
      <c r="Y106" s="281" t="str">
        <f>REPT(BA106,1)</f>
        <v/>
      </c>
      <c r="Z106" s="308"/>
      <c r="AD106" s="235"/>
      <c r="AE106" s="235"/>
      <c r="AF106" s="237" t="s">
        <v>771</v>
      </c>
      <c r="AG106" s="282" t="s">
        <v>877</v>
      </c>
      <c r="AH106" s="283" t="str">
        <f>IF(AH105=0,"",AH105)</f>
        <v/>
      </c>
      <c r="AI106" s="283" t="str">
        <f>IF(AI105=0,"",AI105)</f>
        <v/>
      </c>
      <c r="AJ106" s="283" t="str">
        <f>IF(AJ105=0,"",AJ105)</f>
        <v/>
      </c>
      <c r="AK106" s="283" t="str">
        <f>IF(AK105=0,"",AK105)</f>
        <v/>
      </c>
      <c r="AL106" s="283" t="str">
        <f>IF(AL105=0,"",AL105)</f>
        <v/>
      </c>
      <c r="AM106" s="258" t="str">
        <f>IF(AK97="D",IF(AF105=0,"","X"),"")</f>
        <v/>
      </c>
      <c r="AN106" s="235"/>
      <c r="AO106" s="235"/>
      <c r="AP106" s="284"/>
      <c r="AQ106" s="235"/>
      <c r="AR106" s="235"/>
      <c r="AS106" s="235"/>
      <c r="AT106" s="237" t="s">
        <v>771</v>
      </c>
      <c r="AU106" s="282" t="s">
        <v>877</v>
      </c>
      <c r="AV106" s="283" t="str">
        <f>IF(AV105=0,"",AV105)</f>
        <v/>
      </c>
      <c r="AW106" s="283" t="str">
        <f>IF(AW105=0,"",AW105)</f>
        <v/>
      </c>
      <c r="AX106" s="283" t="str">
        <f>IF(AX105=0,"",AX105)</f>
        <v/>
      </c>
      <c r="AY106" s="283" t="str">
        <f>IF(AY105=0,"",AY105)</f>
        <v/>
      </c>
      <c r="AZ106" s="421" t="str">
        <f>IF(AZ105=0,"",AZ105)</f>
        <v/>
      </c>
      <c r="BA106" s="258" t="str">
        <f>IF(AK97="D",IF(AT105=0,"","X"),"")</f>
        <v/>
      </c>
      <c r="BJ106" s="236"/>
      <c r="BK106" s="238"/>
      <c r="BL106" s="244">
        <f>IF(BM106=0,0,1)</f>
        <v>0</v>
      </c>
      <c r="BM106" s="244">
        <f>SUM(BM100,BM101,BM102,BM103,BM104,HH102,AN107,AN108,BB107,BB108)</f>
        <v>0</v>
      </c>
      <c r="BN106" s="166">
        <f t="shared" ref="BN106:BO106" si="247">SUM(BN100,BN101,BN102,BN103,BN104)</f>
        <v>0</v>
      </c>
      <c r="BO106" s="166">
        <f t="shared" si="247"/>
        <v>0</v>
      </c>
      <c r="BP106" s="244"/>
      <c r="BQ106" s="238"/>
      <c r="BR106" s="238"/>
      <c r="BS106" s="238"/>
      <c r="BT106" s="238"/>
      <c r="BU106" s="238"/>
      <c r="BV106" s="238"/>
      <c r="BW106" s="238"/>
      <c r="BX106" s="236"/>
      <c r="BY106" s="238"/>
      <c r="BZ106" s="238"/>
      <c r="CA106" s="238"/>
      <c r="CB106" s="238"/>
      <c r="CC106" s="238"/>
      <c r="CD106" s="238"/>
      <c r="CE106" s="238"/>
      <c r="CF106" s="238"/>
      <c r="CG106" s="244"/>
      <c r="CH106" s="238"/>
      <c r="CI106" s="238"/>
      <c r="CJ106" s="238"/>
      <c r="CK106" s="238"/>
      <c r="CL106" s="238"/>
      <c r="CM106" s="238"/>
      <c r="CN106" s="238"/>
      <c r="CO106" s="238"/>
      <c r="CP106" s="238"/>
      <c r="CQ106" s="238"/>
      <c r="CR106" s="238"/>
      <c r="CS106" s="238"/>
      <c r="CT106" s="238"/>
      <c r="CU106" s="238"/>
      <c r="CV106" s="238"/>
      <c r="CW106" s="238"/>
      <c r="CX106" s="238"/>
      <c r="CY106" s="238"/>
      <c r="CZ106" s="238"/>
      <c r="DA106" s="238"/>
      <c r="DB106" s="238"/>
      <c r="DC106" s="238"/>
      <c r="DD106" s="238"/>
      <c r="DE106" s="238"/>
      <c r="DF106" s="238"/>
      <c r="DG106" s="238"/>
      <c r="DH106" s="238"/>
      <c r="DI106" s="238"/>
      <c r="DJ106" s="238"/>
      <c r="DK106" s="238"/>
      <c r="DL106" s="238"/>
      <c r="DM106" s="238"/>
      <c r="DN106" s="238"/>
      <c r="DO106" s="238"/>
      <c r="DP106" s="238"/>
      <c r="DQ106" s="238"/>
      <c r="DR106" s="238"/>
      <c r="DS106" s="238"/>
      <c r="DT106" s="238"/>
      <c r="DU106" s="238"/>
      <c r="DV106" s="238"/>
      <c r="DW106" s="238"/>
      <c r="DX106" s="238"/>
      <c r="DY106" s="238"/>
      <c r="DZ106" s="238"/>
      <c r="EA106" s="238"/>
      <c r="EB106" s="238"/>
      <c r="EC106" s="238"/>
      <c r="ED106" s="238"/>
      <c r="EE106" s="238"/>
      <c r="EF106" s="238"/>
      <c r="EG106" s="238"/>
      <c r="EH106" s="238"/>
      <c r="EI106" s="238"/>
      <c r="EJ106" s="238"/>
      <c r="EK106" s="238"/>
      <c r="EL106" s="238"/>
      <c r="EM106" s="238"/>
      <c r="EN106" s="238"/>
      <c r="EO106" s="238"/>
      <c r="EP106" s="238"/>
      <c r="EQ106" s="238"/>
      <c r="ER106" s="238"/>
      <c r="ES106" s="238"/>
      <c r="ET106" s="244"/>
      <c r="EU106" s="238"/>
      <c r="EV106" s="238"/>
      <c r="EW106" s="238"/>
      <c r="EX106" s="238"/>
      <c r="EY106" s="238"/>
      <c r="EZ106" s="238"/>
      <c r="FA106" s="238"/>
      <c r="FB106" s="238"/>
      <c r="FC106" s="238"/>
      <c r="FD106" s="238"/>
      <c r="FE106" s="238"/>
      <c r="FF106" s="238"/>
      <c r="FG106" s="238"/>
      <c r="FH106" s="238"/>
      <c r="FI106" s="238"/>
      <c r="FJ106" s="238"/>
      <c r="FK106" s="238"/>
      <c r="FL106" s="238"/>
      <c r="FM106" s="238"/>
      <c r="FN106" s="238"/>
      <c r="FO106" s="244"/>
      <c r="FP106" s="238"/>
      <c r="FQ106" s="238"/>
      <c r="FR106" s="238"/>
      <c r="FS106" s="238"/>
      <c r="FT106" s="238"/>
      <c r="FU106" s="238"/>
      <c r="FV106" s="238"/>
      <c r="FW106" s="238"/>
      <c r="FX106" s="238"/>
      <c r="FY106" s="238"/>
      <c r="FZ106" s="238"/>
      <c r="GA106" s="238"/>
      <c r="GB106" s="238"/>
      <c r="GC106" s="238"/>
      <c r="GD106" s="341"/>
      <c r="GE106" s="340"/>
      <c r="GF106" s="340"/>
      <c r="GG106" s="340"/>
      <c r="GH106" s="340"/>
      <c r="GI106" s="340"/>
      <c r="GJ106" s="340"/>
      <c r="GK106" s="340"/>
      <c r="GL106" s="340"/>
      <c r="GM106" s="340"/>
      <c r="GN106" s="340"/>
      <c r="GO106" s="340"/>
      <c r="GP106" s="340"/>
      <c r="GQ106" s="340"/>
      <c r="GR106" s="340"/>
      <c r="GS106" s="340"/>
      <c r="GT106" s="340"/>
      <c r="GU106" s="340"/>
      <c r="GV106" s="340"/>
      <c r="GW106" s="340"/>
      <c r="GX106" s="340"/>
      <c r="GY106" s="340"/>
      <c r="GZ106" s="340"/>
      <c r="HA106" s="340"/>
      <c r="HB106" s="340"/>
      <c r="HC106" s="340"/>
      <c r="HD106" s="341"/>
      <c r="HE106" s="341"/>
      <c r="HF106" s="341"/>
      <c r="HG106" s="341"/>
      <c r="HH106" s="341"/>
      <c r="HI106" s="341"/>
      <c r="HJ106" s="341"/>
      <c r="HK106" s="341"/>
      <c r="HL106" s="341"/>
      <c r="HM106" s="341"/>
      <c r="HN106" s="341"/>
      <c r="HO106" s="341"/>
      <c r="HP106" s="341"/>
      <c r="HQ106" s="341"/>
      <c r="HR106" s="341"/>
      <c r="HS106" s="238"/>
      <c r="HT106" s="238"/>
      <c r="HU106" s="238"/>
      <c r="HV106" s="238"/>
      <c r="HX106" s="238"/>
      <c r="HY106" s="238"/>
      <c r="ID106" s="238"/>
    </row>
    <row r="107" spans="1:238" s="234" customFormat="1" ht="20.100000000000001" customHeight="1">
      <c r="A107" s="235"/>
      <c r="B107" s="231"/>
      <c r="C107" s="285" t="str">
        <f>IF(AF107="","",SUM(AF107))</f>
        <v/>
      </c>
      <c r="D107" s="286" t="str">
        <f>IF(AK97="D",1,"")</f>
        <v/>
      </c>
      <c r="E107" s="287" t="str">
        <f>IF(C107="","",VLOOKUP(C107,Licenses!B:C,2,FALSE))</f>
        <v/>
      </c>
      <c r="F107" s="288"/>
      <c r="G107" s="288"/>
      <c r="H107" s="289"/>
      <c r="I107" s="169"/>
      <c r="J107" s="270" t="str">
        <f>REPT(AM107,1)</f>
        <v/>
      </c>
      <c r="L107" s="290" t="str">
        <f>IF(AK97="D",AK107,IF(AK106="","",AK106))</f>
        <v/>
      </c>
      <c r="M107" s="311"/>
      <c r="P107" s="290" t="str">
        <f>IF(AK97="D",AY107,IF(AY106="","",AY106))</f>
        <v/>
      </c>
      <c r="R107" s="291" t="str">
        <f>IF(AT107="","",SUM(AT107))</f>
        <v/>
      </c>
      <c r="S107" s="286" t="str">
        <f>IF(AK97="D",1,"")</f>
        <v/>
      </c>
      <c r="T107" s="292" t="str">
        <f>IF(R107="","",VLOOKUP(R107,Licenses!B:C,2,FALSE))</f>
        <v/>
      </c>
      <c r="U107" s="293"/>
      <c r="V107" s="293"/>
      <c r="W107" s="294"/>
      <c r="X107" s="169"/>
      <c r="Y107" s="270" t="str">
        <f>REPT(BA107,1)</f>
        <v/>
      </c>
      <c r="Z107" s="308"/>
      <c r="AD107" s="235"/>
      <c r="AE107" s="235"/>
      <c r="AF107" s="256" t="str">
        <f>IF(AM97="","",SUM(AM97))</f>
        <v/>
      </c>
      <c r="AG107" s="237"/>
      <c r="AH107" s="256"/>
      <c r="AI107" s="256"/>
      <c r="AJ107" s="256"/>
      <c r="AK107" s="256" t="str">
        <f>IF(BZ105&gt;1,BZ105,"")</f>
        <v/>
      </c>
      <c r="AL107" s="257">
        <f>IF(AK97="D",SUM(I107),0)</f>
        <v>0</v>
      </c>
      <c r="AM107" s="258" t="str">
        <f>IF(AM105=0,IF(AL107&lt;6,"","X"),"X")</f>
        <v/>
      </c>
      <c r="AN107" s="347" t="str">
        <f>IF(AM105=0,IF(AL107&lt;6,"",1),1)</f>
        <v/>
      </c>
      <c r="AO107" s="235"/>
      <c r="AP107" s="236"/>
      <c r="AQ107" s="235"/>
      <c r="AR107" s="235"/>
      <c r="AS107" s="235"/>
      <c r="AT107" s="256" t="str">
        <f>IF(BA97="","",SUM(BA97))</f>
        <v/>
      </c>
      <c r="AU107" s="237"/>
      <c r="AV107" s="256"/>
      <c r="AW107" s="256"/>
      <c r="AX107" s="256"/>
      <c r="AY107" s="256" t="str">
        <f>IF(CI105&gt;1,CI105,"")</f>
        <v/>
      </c>
      <c r="AZ107" s="257">
        <f>IF(AK97="D",SUM(X107),0)</f>
        <v>0</v>
      </c>
      <c r="BA107" s="258" t="str">
        <f>IF(BA105=0,IF(AZ107&lt;6,"","X"),"X")</f>
        <v/>
      </c>
      <c r="BB107" s="347" t="str">
        <f>IF(BA105=0,IF(AZ107&lt;6,"",1),1)</f>
        <v/>
      </c>
      <c r="BC107" s="236"/>
      <c r="BD107" s="236"/>
      <c r="BE107" s="236"/>
      <c r="BF107" s="236"/>
      <c r="BG107" s="236"/>
      <c r="BH107" s="236"/>
      <c r="BI107" s="236"/>
      <c r="BJ107" s="236"/>
      <c r="BK107" s="238"/>
      <c r="BL107" s="238"/>
      <c r="BM107" s="295"/>
      <c r="BN107" s="295"/>
      <c r="BO107" s="295"/>
      <c r="BP107" s="295"/>
      <c r="BQ107" s="295"/>
      <c r="BR107" s="295"/>
      <c r="BS107" s="295"/>
      <c r="BT107" s="295"/>
      <c r="BU107" s="295"/>
      <c r="BV107" s="295"/>
      <c r="BW107" s="295"/>
      <c r="BX107" s="236"/>
      <c r="BY107" s="295"/>
      <c r="BZ107" s="295"/>
      <c r="CA107" s="295"/>
      <c r="CB107" s="295"/>
      <c r="CC107" s="295"/>
      <c r="CD107" s="295"/>
      <c r="CE107" s="295"/>
      <c r="CF107" s="295"/>
      <c r="CG107" s="296"/>
      <c r="CH107" s="295"/>
      <c r="CI107" s="295"/>
      <c r="CJ107" s="295"/>
      <c r="CK107" s="238"/>
      <c r="CL107" s="238"/>
      <c r="CM107" s="238"/>
      <c r="CN107" s="238"/>
      <c r="CO107" s="238"/>
      <c r="CP107" s="238"/>
      <c r="CQ107" s="238"/>
      <c r="CR107" s="238"/>
      <c r="CS107" s="238"/>
      <c r="CT107" s="238"/>
      <c r="CU107" s="238"/>
      <c r="CV107" s="238"/>
      <c r="CW107" s="238"/>
      <c r="CX107" s="238"/>
      <c r="CY107" s="238"/>
      <c r="CZ107" s="238"/>
      <c r="DA107" s="238"/>
      <c r="DB107" s="238"/>
      <c r="DC107" s="238"/>
      <c r="DD107" s="238"/>
      <c r="DE107" s="238"/>
      <c r="DF107" s="238"/>
      <c r="DG107" s="238"/>
      <c r="DH107" s="238"/>
      <c r="DI107" s="238"/>
      <c r="DJ107" s="238"/>
      <c r="DK107" s="238"/>
      <c r="DL107" s="238"/>
      <c r="DM107" s="238"/>
      <c r="DN107" s="238"/>
      <c r="DO107" s="238"/>
      <c r="DP107" s="238"/>
      <c r="DQ107" s="238"/>
      <c r="DR107" s="238"/>
      <c r="DS107" s="238"/>
      <c r="DT107" s="238"/>
      <c r="DU107" s="238"/>
      <c r="DV107" s="238"/>
      <c r="DW107" s="238"/>
      <c r="DX107" s="238"/>
      <c r="DY107" s="238"/>
      <c r="DZ107" s="238"/>
      <c r="EA107" s="238"/>
      <c r="EB107" s="238"/>
      <c r="EC107" s="238"/>
      <c r="ED107" s="238"/>
      <c r="EE107" s="238"/>
      <c r="EF107" s="238"/>
      <c r="EG107" s="238"/>
      <c r="EH107" s="238"/>
      <c r="EI107" s="238"/>
      <c r="EJ107" s="238"/>
      <c r="EK107" s="238"/>
      <c r="EL107" s="238"/>
      <c r="EM107" s="238"/>
      <c r="EN107" s="238"/>
      <c r="EO107" s="238"/>
      <c r="EP107" s="238"/>
      <c r="EQ107" s="238"/>
      <c r="ER107" s="238"/>
      <c r="ES107" s="238"/>
      <c r="ET107" s="244"/>
      <c r="EU107" s="238"/>
      <c r="EV107" s="238"/>
      <c r="EW107" s="238"/>
      <c r="EX107" s="238"/>
      <c r="EY107" s="238"/>
      <c r="EZ107" s="238"/>
      <c r="FA107" s="238"/>
      <c r="FB107" s="238"/>
      <c r="FC107" s="238"/>
      <c r="FD107" s="238"/>
      <c r="FE107" s="238"/>
      <c r="FF107" s="238"/>
      <c r="FG107" s="238"/>
      <c r="FH107" s="238"/>
      <c r="FI107" s="238"/>
      <c r="FJ107" s="238"/>
      <c r="FK107" s="238"/>
      <c r="FL107" s="238"/>
      <c r="FM107" s="238"/>
      <c r="FN107" s="238"/>
      <c r="FO107" s="244"/>
      <c r="FP107" s="238"/>
      <c r="FQ107" s="238"/>
      <c r="FR107" s="238"/>
      <c r="FS107" s="238"/>
      <c r="FT107" s="238"/>
      <c r="FU107" s="238"/>
      <c r="FV107" s="238"/>
      <c r="FW107" s="238"/>
      <c r="FX107" s="238"/>
      <c r="FY107" s="238"/>
      <c r="FZ107" s="238"/>
      <c r="GA107" s="238"/>
      <c r="GB107" s="238"/>
      <c r="GC107" s="238"/>
      <c r="GD107" s="341"/>
      <c r="GE107" s="340"/>
      <c r="GF107" s="340"/>
      <c r="GG107" s="340"/>
      <c r="GH107" s="340"/>
      <c r="GI107" s="340"/>
      <c r="GJ107" s="340"/>
      <c r="GK107" s="340"/>
      <c r="GL107" s="340"/>
      <c r="GM107" s="340"/>
      <c r="GN107" s="340"/>
      <c r="GO107" s="340"/>
      <c r="GP107" s="340"/>
      <c r="GQ107" s="340"/>
      <c r="GR107" s="340"/>
      <c r="GS107" s="340"/>
      <c r="GT107" s="340"/>
      <c r="GU107" s="340"/>
      <c r="GV107" s="340"/>
      <c r="GW107" s="340"/>
      <c r="GX107" s="340"/>
      <c r="GY107" s="340"/>
      <c r="GZ107" s="340"/>
      <c r="HA107" s="340"/>
      <c r="HB107" s="340"/>
      <c r="HC107" s="340"/>
      <c r="HD107" s="341"/>
      <c r="HE107" s="341"/>
      <c r="HF107" s="341"/>
      <c r="HG107" s="341"/>
      <c r="HH107" s="341"/>
      <c r="HI107" s="341"/>
      <c r="HJ107" s="341"/>
      <c r="HK107" s="341"/>
      <c r="HL107" s="341"/>
      <c r="HM107" s="341"/>
      <c r="HN107" s="341"/>
      <c r="HO107" s="341"/>
      <c r="HP107" s="341"/>
      <c r="HQ107" s="341"/>
      <c r="HR107" s="341"/>
      <c r="HS107" s="238"/>
      <c r="HT107" s="238"/>
      <c r="HU107" s="238"/>
      <c r="HV107" s="238"/>
      <c r="HX107" s="238"/>
      <c r="HY107" s="238"/>
      <c r="ID107" s="238"/>
    </row>
    <row r="108" spans="1:238" s="234" customFormat="1" ht="20.100000000000001" customHeight="1">
      <c r="A108" s="235"/>
      <c r="B108" s="231"/>
      <c r="C108" s="336" t="str">
        <f>IF(AF108="","",SUM(AF108))</f>
        <v/>
      </c>
      <c r="D108" s="333" t="str">
        <f>IF(AK97="D",2,"")</f>
        <v/>
      </c>
      <c r="E108" s="337" t="str">
        <f>IF(C108="","",VLOOKUP(C108,Licenses!B:C,2,FALSE))</f>
        <v/>
      </c>
      <c r="F108" s="290"/>
      <c r="G108" s="290"/>
      <c r="H108" s="338"/>
      <c r="I108" s="331"/>
      <c r="J108" s="272" t="str">
        <f>REPT(AM108,1)</f>
        <v/>
      </c>
      <c r="L108" s="315" t="str">
        <f>IF(AK97="D",AK108,"")</f>
        <v/>
      </c>
      <c r="M108" s="311"/>
      <c r="P108" s="315" t="str">
        <f>IF(AK97="D",AY108,"")</f>
        <v/>
      </c>
      <c r="R108" s="332" t="str">
        <f>IF(AT108="","",SUM(AT108))</f>
        <v/>
      </c>
      <c r="S108" s="333" t="str">
        <f>IF(AK97="D",2,"")</f>
        <v/>
      </c>
      <c r="T108" s="334" t="str">
        <f>IF(R108="","",VLOOKUP(R108,Licenses!B:C,2,FALSE))</f>
        <v/>
      </c>
      <c r="U108" s="297"/>
      <c r="V108" s="297"/>
      <c r="W108" s="335"/>
      <c r="X108" s="331"/>
      <c r="Y108" s="272" t="str">
        <f>REPT(BA108,1)</f>
        <v/>
      </c>
      <c r="Z108" s="308"/>
      <c r="AA108" s="238">
        <f>IF(AK97="D",0,1)</f>
        <v>1</v>
      </c>
      <c r="AD108" s="235"/>
      <c r="AE108" s="235"/>
      <c r="AF108" s="256" t="str">
        <f>IF(AM98="","",SUM(AM98))</f>
        <v/>
      </c>
      <c r="AG108" s="237"/>
      <c r="AH108" s="256"/>
      <c r="AI108" s="256"/>
      <c r="AJ108" s="256"/>
      <c r="AK108" s="256" t="str">
        <f>IF(CA105&gt;1,CA105,"")</f>
        <v/>
      </c>
      <c r="AL108" s="257">
        <f>IF(AK97="D",SUM(I108),0)</f>
        <v>0</v>
      </c>
      <c r="AM108" s="258" t="str">
        <f>IF(AM105=0,IF(AL108&lt;6,"","X"),"X")</f>
        <v/>
      </c>
      <c r="AN108" s="347" t="str">
        <f>IF(AM105=0,IF(AL108&lt;6,"",1),1)</f>
        <v/>
      </c>
      <c r="AO108" s="235"/>
      <c r="AP108" s="236"/>
      <c r="AQ108" s="235"/>
      <c r="AR108" s="235"/>
      <c r="AS108" s="235"/>
      <c r="AT108" s="256" t="str">
        <f>IF(BA98="","",SUM(BA98))</f>
        <v/>
      </c>
      <c r="AU108" s="237"/>
      <c r="AV108" s="256"/>
      <c r="AW108" s="256"/>
      <c r="AX108" s="256"/>
      <c r="AY108" s="256" t="str">
        <f>IF(CJ105&gt;1,CJ105,"")</f>
        <v/>
      </c>
      <c r="AZ108" s="257">
        <f>IF(AK97="D",SUM(X108),0)</f>
        <v>0</v>
      </c>
      <c r="BA108" s="258" t="str">
        <f>IF(BA105=0,IF(AZ108&lt;6,"","X"),"X")</f>
        <v/>
      </c>
      <c r="BB108" s="347" t="str">
        <f>IF(BA105=0,IF(AZ108&lt;6,"",1),1)</f>
        <v/>
      </c>
      <c r="BC108" s="236"/>
      <c r="BD108" s="236"/>
      <c r="BE108" s="236"/>
      <c r="BF108" s="236"/>
      <c r="BG108" s="236"/>
      <c r="BH108" s="236"/>
      <c r="BI108" s="236"/>
      <c r="BJ108" s="236"/>
      <c r="BK108" s="238"/>
      <c r="BM108" s="238"/>
      <c r="BN108" s="238"/>
      <c r="BO108" s="238"/>
      <c r="BP108" s="238"/>
      <c r="BQ108" s="238" t="s">
        <v>899</v>
      </c>
      <c r="BR108" s="238"/>
      <c r="BS108" s="238"/>
      <c r="BT108" s="238"/>
      <c r="BU108" s="238"/>
      <c r="BV108" s="238"/>
      <c r="BW108" s="238"/>
      <c r="BX108" s="236"/>
      <c r="BY108" s="238"/>
      <c r="BZ108" s="238"/>
      <c r="CA108" s="238"/>
      <c r="CB108" s="238"/>
      <c r="CC108" s="238"/>
      <c r="CD108" s="238" t="s">
        <v>899</v>
      </c>
      <c r="CE108" s="238"/>
      <c r="CF108" s="238"/>
      <c r="CG108" s="244"/>
      <c r="CH108" s="238"/>
      <c r="CI108" s="238"/>
      <c r="CJ108" s="238"/>
      <c r="CK108" s="238"/>
      <c r="CL108" s="238"/>
      <c r="CM108" s="238"/>
      <c r="CN108" s="238"/>
      <c r="CO108" s="238"/>
      <c r="CP108" s="238"/>
      <c r="CQ108" s="238"/>
      <c r="CR108" s="238"/>
      <c r="CS108" s="238"/>
      <c r="CT108" s="238"/>
      <c r="CU108" s="238"/>
      <c r="CV108" s="238"/>
      <c r="CW108" s="238"/>
      <c r="CX108" s="238"/>
      <c r="CY108" s="238"/>
      <c r="CZ108" s="238"/>
      <c r="DA108" s="238"/>
      <c r="DB108" s="238"/>
      <c r="DC108" s="238"/>
      <c r="DD108" s="238"/>
      <c r="DE108" s="238"/>
      <c r="DF108" s="238"/>
      <c r="DG108" s="238"/>
      <c r="DH108" s="238"/>
      <c r="DI108" s="238"/>
      <c r="DJ108" s="238"/>
      <c r="DK108" s="238"/>
      <c r="DL108" s="238"/>
      <c r="DM108" s="238"/>
      <c r="DN108" s="238"/>
      <c r="DO108" s="238"/>
      <c r="DP108" s="238"/>
      <c r="DQ108" s="238"/>
      <c r="DR108" s="238"/>
      <c r="DS108" s="238"/>
      <c r="DT108" s="238"/>
      <c r="DU108" s="238"/>
      <c r="DV108" s="238"/>
      <c r="DW108" s="238"/>
      <c r="DX108" s="238"/>
      <c r="DY108" s="238"/>
      <c r="DZ108" s="238"/>
      <c r="EA108" s="238"/>
      <c r="EB108" s="238"/>
      <c r="EC108" s="238"/>
      <c r="ED108" s="238"/>
      <c r="EE108" s="238"/>
      <c r="EF108" s="238"/>
      <c r="EG108" s="238"/>
      <c r="EH108" s="238"/>
      <c r="EI108" s="238"/>
      <c r="EJ108" s="238"/>
      <c r="EK108" s="238"/>
      <c r="EL108" s="238"/>
      <c r="EM108" s="238"/>
      <c r="EN108" s="238"/>
      <c r="EO108" s="238"/>
      <c r="EP108" s="238"/>
      <c r="EQ108" s="238"/>
      <c r="ER108" s="238"/>
      <c r="ES108" s="238"/>
      <c r="ET108" s="244"/>
      <c r="EU108" s="238"/>
      <c r="EV108" s="238"/>
      <c r="EW108" s="238"/>
      <c r="EX108" s="238"/>
      <c r="EY108" s="238"/>
      <c r="EZ108" s="238"/>
      <c r="FA108" s="238"/>
      <c r="FB108" s="238"/>
      <c r="FC108" s="238"/>
      <c r="FD108" s="238"/>
      <c r="FE108" s="238"/>
      <c r="FF108" s="238"/>
      <c r="FG108" s="238"/>
      <c r="FH108" s="238"/>
      <c r="FI108" s="238"/>
      <c r="FJ108" s="238"/>
      <c r="FK108" s="238"/>
      <c r="FL108" s="238"/>
      <c r="FM108" s="238"/>
      <c r="FN108" s="238"/>
      <c r="FO108" s="244"/>
      <c r="FP108" s="238"/>
      <c r="FQ108" s="238"/>
      <c r="FR108" s="238"/>
      <c r="FS108" s="238"/>
      <c r="FT108" s="238"/>
      <c r="FU108" s="238"/>
      <c r="FV108" s="238"/>
      <c r="FW108" s="238"/>
      <c r="FX108" s="238"/>
      <c r="FY108" s="238"/>
      <c r="FZ108" s="238"/>
      <c r="GA108" s="238"/>
      <c r="GB108" s="238"/>
      <c r="GC108" s="238"/>
      <c r="GD108" s="341"/>
      <c r="GE108" s="340"/>
      <c r="GF108" s="340"/>
      <c r="GG108" s="340"/>
      <c r="GH108" s="340"/>
      <c r="GI108" s="340"/>
      <c r="GJ108" s="340"/>
      <c r="GK108" s="340"/>
      <c r="GL108" s="340"/>
      <c r="GM108" s="340"/>
      <c r="GN108" s="340"/>
      <c r="GO108" s="340"/>
      <c r="GP108" s="340"/>
      <c r="GQ108" s="340"/>
      <c r="GR108" s="340"/>
      <c r="GS108" s="340"/>
      <c r="GT108" s="340"/>
      <c r="GU108" s="340"/>
      <c r="GV108" s="340"/>
      <c r="GW108" s="340"/>
      <c r="GX108" s="340"/>
      <c r="GY108" s="340"/>
      <c r="GZ108" s="340"/>
      <c r="HA108" s="340"/>
      <c r="HB108" s="340"/>
      <c r="HC108" s="340"/>
      <c r="HD108" s="341"/>
      <c r="HE108" s="341"/>
      <c r="HF108" s="341"/>
      <c r="HG108" s="341"/>
      <c r="HH108" s="341"/>
      <c r="HI108" s="341"/>
      <c r="HJ108" s="341"/>
      <c r="HK108" s="341"/>
      <c r="HL108" s="341"/>
      <c r="HM108" s="341"/>
      <c r="HN108" s="341"/>
      <c r="HO108" s="341"/>
      <c r="HP108" s="341"/>
      <c r="HQ108" s="341"/>
      <c r="HR108" s="341"/>
      <c r="HS108" s="238"/>
      <c r="HT108" s="238"/>
      <c r="HU108" s="238"/>
      <c r="HV108" s="238"/>
      <c r="HX108" s="238"/>
      <c r="HY108" s="238"/>
      <c r="ID108" s="238"/>
    </row>
    <row r="109" spans="1:238" s="234" customFormat="1" ht="20.100000000000001" customHeight="1">
      <c r="A109" s="235"/>
      <c r="B109" s="316"/>
      <c r="C109" s="317"/>
      <c r="D109" s="317"/>
      <c r="E109" s="318"/>
      <c r="F109" s="318"/>
      <c r="G109" s="318"/>
      <c r="H109" s="318"/>
      <c r="I109" s="318"/>
      <c r="J109" s="318"/>
      <c r="K109" s="319"/>
      <c r="L109" s="319"/>
      <c r="M109" s="319"/>
      <c r="N109" s="319"/>
      <c r="O109" s="319"/>
      <c r="P109" s="320"/>
      <c r="Q109" s="319"/>
      <c r="R109" s="317"/>
      <c r="S109" s="318"/>
      <c r="T109" s="318"/>
      <c r="U109" s="318"/>
      <c r="V109" s="318"/>
      <c r="W109" s="318"/>
      <c r="X109" s="318"/>
      <c r="Y109" s="318"/>
      <c r="Z109" s="321"/>
      <c r="AD109" s="235"/>
      <c r="AE109" s="237"/>
      <c r="AF109" s="237"/>
      <c r="AG109" s="237"/>
      <c r="AH109" s="237" t="s">
        <v>921</v>
      </c>
      <c r="AI109" s="237" t="s">
        <v>922</v>
      </c>
      <c r="AJ109" s="298" t="str">
        <f>IF(BS109="","",SUM(AM109)*3)</f>
        <v/>
      </c>
      <c r="AK109" s="299" t="s">
        <v>923</v>
      </c>
      <c r="AL109" s="256"/>
      <c r="AM109" s="256" t="str">
        <f>IF(BS109="","",SUM(BS109))</f>
        <v/>
      </c>
      <c r="AN109" s="235"/>
      <c r="AO109" s="235"/>
      <c r="AP109" s="236"/>
      <c r="AQ109" s="235"/>
      <c r="AR109" s="235"/>
      <c r="AS109" s="237"/>
      <c r="AT109" s="237"/>
      <c r="AU109" s="237"/>
      <c r="AV109" s="237" t="s">
        <v>921</v>
      </c>
      <c r="AW109" s="237" t="s">
        <v>922</v>
      </c>
      <c r="AX109" s="298" t="str">
        <f>IF(BS109="","",SUM(BA109)*3)</f>
        <v/>
      </c>
      <c r="AY109" s="299" t="s">
        <v>923</v>
      </c>
      <c r="AZ109" s="256"/>
      <c r="BA109" s="256" t="str">
        <f>IF(BS109="","",SUM(CF109))</f>
        <v/>
      </c>
      <c r="BB109" s="236"/>
      <c r="BC109" s="236"/>
      <c r="BD109" s="236"/>
      <c r="BE109" s="236"/>
      <c r="BF109" s="236"/>
      <c r="BG109" s="236"/>
      <c r="BH109" s="236"/>
      <c r="BI109" s="236"/>
      <c r="BJ109" s="236"/>
      <c r="BK109" s="373">
        <f>IF(AL97=BQ109,1,0)</f>
        <v>0</v>
      </c>
      <c r="BL109" s="373">
        <f>IF(AL97=CD109,1,0)</f>
        <v>0</v>
      </c>
      <c r="BM109" s="256">
        <f>IF(BN109&gt;2,1,0)</f>
        <v>0</v>
      </c>
      <c r="BN109" s="256">
        <f>COUNT(AH100,AH101,AH102)</f>
        <v>0</v>
      </c>
      <c r="BO109" s="256" t="str">
        <f>IF(AH106="","",SUM(AH106/AJ106))</f>
        <v/>
      </c>
      <c r="BP109" s="256"/>
      <c r="BQ109" s="300">
        <f>COUNT(AK100,AK101,AK102,AK103,AK104)</f>
        <v>0</v>
      </c>
      <c r="BR109" s="256"/>
      <c r="BS109" s="256" t="str">
        <f>IF(BL106=0,IF(AJ101="","",BO109),"")</f>
        <v/>
      </c>
      <c r="BT109" s="236"/>
      <c r="BU109" s="236"/>
      <c r="BV109" s="236"/>
      <c r="BW109" s="236"/>
      <c r="BX109" s="236"/>
      <c r="BY109" s="256">
        <f>IF(CD109&gt;2,1,0)</f>
        <v>0</v>
      </c>
      <c r="BZ109" s="256">
        <f>IF(CA109&gt;2,1,0)</f>
        <v>0</v>
      </c>
      <c r="CA109" s="256">
        <f>COUNT(AV100,AV101,AV102)</f>
        <v>0</v>
      </c>
      <c r="CB109" s="256" t="str">
        <f>IF(AV106="","",SUM(AV106/AX106))</f>
        <v/>
      </c>
      <c r="CC109" s="256"/>
      <c r="CD109" s="300">
        <f>COUNT(AY100,AY101,AY102,AY103,AY104)</f>
        <v>0</v>
      </c>
      <c r="CE109" s="256"/>
      <c r="CF109" s="256" t="str">
        <f>IF(BL106=0,IF(AX101="","",CB109),"")</f>
        <v/>
      </c>
      <c r="CG109" s="236"/>
      <c r="CH109" s="188"/>
      <c r="CI109" s="188"/>
      <c r="CJ109" s="196"/>
      <c r="CK109" s="196"/>
      <c r="CL109" s="196"/>
      <c r="CM109" s="196"/>
      <c r="CN109" s="196"/>
      <c r="CO109" s="196"/>
      <c r="CP109" s="196"/>
      <c r="CQ109" s="196"/>
      <c r="CR109" s="196"/>
      <c r="CS109" s="196"/>
      <c r="CT109" s="196"/>
      <c r="CU109" s="196"/>
      <c r="CV109" s="196"/>
      <c r="CW109" s="196"/>
      <c r="CX109" s="196"/>
      <c r="CY109" s="196"/>
      <c r="CZ109" s="196"/>
      <c r="DA109" s="196"/>
      <c r="DB109" s="196"/>
      <c r="DC109" s="196"/>
      <c r="DD109" s="196"/>
      <c r="DE109" s="196"/>
      <c r="DF109" s="196"/>
      <c r="DG109" s="196"/>
      <c r="DH109" s="196"/>
      <c r="DI109" s="196"/>
      <c r="DJ109" s="196"/>
      <c r="DK109" s="196"/>
      <c r="DL109" s="196"/>
      <c r="DM109" s="196"/>
      <c r="DN109" s="196"/>
      <c r="DO109" s="196"/>
      <c r="DP109" s="196"/>
      <c r="DQ109" s="196"/>
      <c r="DR109" s="196"/>
      <c r="DS109" s="196"/>
      <c r="DT109" s="196"/>
      <c r="DU109" s="196"/>
      <c r="DV109" s="196"/>
      <c r="DW109" s="196"/>
      <c r="DX109" s="196"/>
      <c r="DY109" s="196"/>
      <c r="DZ109" s="196"/>
      <c r="EA109" s="196"/>
      <c r="EB109" s="196"/>
      <c r="EC109" s="196"/>
      <c r="ED109" s="196"/>
      <c r="EE109" s="196"/>
      <c r="EF109" s="196"/>
      <c r="EG109" s="196"/>
      <c r="EH109" s="196"/>
      <c r="EI109" s="196"/>
      <c r="EJ109" s="196"/>
      <c r="EK109" s="196"/>
      <c r="EL109" s="196"/>
      <c r="EM109" s="196"/>
      <c r="EN109" s="196"/>
      <c r="EO109" s="196"/>
      <c r="EP109" s="196"/>
      <c r="EQ109" s="196"/>
      <c r="ER109" s="196"/>
      <c r="ES109" s="196"/>
      <c r="ET109" s="301"/>
      <c r="EU109" s="196"/>
      <c r="EV109" s="196"/>
      <c r="EW109" s="196"/>
      <c r="EX109" s="196"/>
      <c r="EY109" s="196"/>
      <c r="EZ109" s="196"/>
      <c r="FA109" s="196"/>
      <c r="FB109" s="196"/>
      <c r="FC109" s="196"/>
      <c r="FD109" s="196"/>
      <c r="FE109" s="196"/>
      <c r="FF109" s="196"/>
      <c r="FG109" s="196"/>
      <c r="FH109" s="196"/>
      <c r="FI109" s="196"/>
      <c r="FJ109" s="196"/>
      <c r="FK109" s="196"/>
      <c r="FL109" s="196"/>
      <c r="FM109" s="196"/>
      <c r="FN109" s="196"/>
      <c r="FO109" s="301"/>
      <c r="FP109" s="196"/>
      <c r="FQ109" s="196"/>
      <c r="FR109" s="196"/>
      <c r="FS109" s="196"/>
      <c r="FT109" s="196"/>
      <c r="FU109" s="196"/>
      <c r="FV109" s="196"/>
      <c r="FW109" s="196"/>
      <c r="FX109" s="196"/>
      <c r="FY109" s="196"/>
      <c r="FZ109" s="196"/>
      <c r="GA109" s="196"/>
      <c r="GB109" s="238"/>
      <c r="GC109" s="238"/>
      <c r="GD109" s="341"/>
      <c r="GE109" s="341"/>
      <c r="GF109" s="341"/>
      <c r="GG109" s="341"/>
      <c r="GH109" s="341"/>
      <c r="GI109" s="341"/>
      <c r="GJ109" s="341"/>
      <c r="GK109" s="341"/>
      <c r="GL109" s="341"/>
      <c r="GM109" s="341"/>
      <c r="GN109" s="341"/>
      <c r="GO109" s="341"/>
      <c r="GP109" s="341"/>
      <c r="GQ109" s="341"/>
      <c r="GR109" s="341"/>
      <c r="GS109" s="341"/>
      <c r="GT109" s="341"/>
      <c r="GU109" s="341"/>
      <c r="GV109" s="341"/>
      <c r="GW109" s="341"/>
      <c r="GX109" s="341"/>
      <c r="GY109" s="341"/>
      <c r="GZ109" s="341"/>
      <c r="HA109" s="341"/>
      <c r="HB109" s="341"/>
      <c r="HC109" s="341"/>
      <c r="HD109" s="341"/>
      <c r="HE109" s="341"/>
      <c r="HF109" s="341"/>
      <c r="HG109" s="341"/>
      <c r="HH109" s="341"/>
      <c r="HI109" s="341"/>
      <c r="HJ109" s="341"/>
      <c r="HK109" s="341"/>
      <c r="HL109" s="341"/>
      <c r="HM109" s="341"/>
      <c r="HN109" s="341"/>
      <c r="HO109" s="341"/>
      <c r="HP109" s="341"/>
      <c r="HQ109" s="341"/>
      <c r="HR109" s="341"/>
      <c r="HS109" s="238"/>
      <c r="HT109" s="238"/>
      <c r="HU109" s="238"/>
      <c r="HV109" s="238"/>
      <c r="HX109" s="238"/>
      <c r="HY109" s="238"/>
      <c r="ID109" s="238"/>
    </row>
    <row r="110" spans="1:238" ht="14.1" customHeight="1">
      <c r="B110" s="214"/>
      <c r="C110" s="171"/>
      <c r="D110" s="171"/>
      <c r="E110" s="171"/>
      <c r="F110" s="171"/>
      <c r="G110" s="171"/>
      <c r="H110" s="171"/>
      <c r="I110" s="171"/>
      <c r="J110" s="171"/>
      <c r="K110" s="171"/>
      <c r="L110" s="171"/>
      <c r="M110" s="171"/>
      <c r="N110" s="171"/>
      <c r="O110" s="171"/>
      <c r="P110" s="171"/>
      <c r="Q110" s="171"/>
      <c r="R110" s="171"/>
      <c r="S110" s="171"/>
      <c r="T110" s="171"/>
      <c r="U110" s="171"/>
      <c r="V110" s="171"/>
      <c r="W110" s="171"/>
      <c r="X110" s="171"/>
      <c r="Y110" s="171"/>
      <c r="Z110" s="302"/>
      <c r="AA110" s="215"/>
      <c r="AB110" s="215"/>
      <c r="AC110" s="215"/>
      <c r="AD110" s="215"/>
      <c r="AE110" s="215"/>
      <c r="AF110" s="215"/>
      <c r="BB110" s="215"/>
      <c r="BC110" s="215"/>
      <c r="BD110" s="215"/>
      <c r="BE110" s="215"/>
      <c r="BF110" s="215"/>
      <c r="BG110" s="215"/>
      <c r="BH110" s="215"/>
      <c r="GD110" s="339"/>
      <c r="GE110" s="339"/>
      <c r="GF110" s="339"/>
      <c r="GG110" s="339"/>
      <c r="GH110" s="339"/>
      <c r="GI110" s="339"/>
      <c r="GJ110" s="339"/>
      <c r="GK110" s="339"/>
      <c r="GL110" s="339"/>
      <c r="GM110" s="339"/>
      <c r="GN110" s="339"/>
      <c r="GO110" s="339"/>
      <c r="GP110" s="339"/>
      <c r="GQ110" s="339"/>
      <c r="GR110" s="339"/>
      <c r="GS110" s="339"/>
      <c r="GT110" s="339"/>
      <c r="GU110" s="339"/>
      <c r="GV110" s="339"/>
      <c r="GW110" s="339"/>
      <c r="GX110" s="339"/>
      <c r="GY110" s="339"/>
      <c r="GZ110" s="339"/>
      <c r="HA110" s="339"/>
      <c r="HB110" s="339"/>
      <c r="HC110" s="339"/>
      <c r="HD110" s="339"/>
      <c r="HE110" s="339"/>
      <c r="HF110" s="339"/>
      <c r="HG110" s="339"/>
      <c r="HH110" s="339"/>
      <c r="HI110" s="339"/>
      <c r="HJ110" s="339"/>
      <c r="HK110" s="339"/>
      <c r="HL110" s="339"/>
      <c r="HM110" s="339"/>
      <c r="HN110" s="339"/>
      <c r="HO110" s="339"/>
      <c r="HP110" s="339"/>
      <c r="HQ110" s="339"/>
      <c r="HR110" s="339"/>
    </row>
    <row r="111" spans="1:238" ht="24" customHeight="1">
      <c r="B111" s="216"/>
      <c r="C111" s="181"/>
      <c r="D111" s="181"/>
      <c r="E111" s="181"/>
      <c r="F111" s="181"/>
      <c r="G111" s="181"/>
      <c r="H111" s="181"/>
      <c r="I111" s="181"/>
      <c r="J111" s="181"/>
      <c r="K111" s="185"/>
      <c r="L111" s="217"/>
      <c r="M111" s="218"/>
      <c r="N111" s="327" t="str">
        <f>CONCATENATE(AG111," ",AH111)</f>
        <v>Spiel 8</v>
      </c>
      <c r="O111" s="218"/>
      <c r="P111" s="219"/>
      <c r="Q111" s="185"/>
      <c r="R111" s="181"/>
      <c r="S111" s="181"/>
      <c r="T111" s="181"/>
      <c r="U111" s="181"/>
      <c r="V111" s="181"/>
      <c r="W111" s="181"/>
      <c r="X111" s="181"/>
      <c r="Y111" s="181"/>
      <c r="Z111" s="303"/>
      <c r="AA111" s="200"/>
      <c r="AB111" s="200"/>
      <c r="AC111" s="200"/>
      <c r="AD111" s="200"/>
      <c r="AE111" s="200"/>
      <c r="AF111" s="200"/>
      <c r="AG111" s="200" t="s">
        <v>863</v>
      </c>
      <c r="AH111" s="220">
        <v>8</v>
      </c>
      <c r="AI111" s="173">
        <f>VLOOKUP(AH111,Chema!R:T,3,FALSE)</f>
        <v>1.8</v>
      </c>
      <c r="AJ111" s="200" t="str">
        <f>VLOOKUP(AH111,Chema!BL:BQ,6,FALSE)</f>
        <v>1.8*</v>
      </c>
      <c r="AK111" s="200" t="str">
        <f>VLOOKUP(AH111,'Matchblatt  FEUILLE DE MATCH'!AI:AJ,2,FALSE)</f>
        <v>S</v>
      </c>
      <c r="AL111" s="200">
        <f>VLOOKUP(AH111,Chema!R:U,4,FALSE)</f>
        <v>5</v>
      </c>
      <c r="AM111" s="215" t="str">
        <f>VLOOKUP(AH111,'Matchblatt  FEUILLE DE MATCH'!AI:AS,10,FALSE)</f>
        <v/>
      </c>
      <c r="AN111" s="215"/>
      <c r="AO111" s="215"/>
      <c r="AP111" s="215"/>
      <c r="AQ111" s="215"/>
      <c r="AR111" s="215"/>
      <c r="AS111" s="215"/>
      <c r="AT111" s="215"/>
      <c r="AU111" s="215"/>
      <c r="AV111" s="215"/>
      <c r="AW111" s="215"/>
      <c r="AX111" s="215"/>
      <c r="AY111" s="215"/>
      <c r="AZ111" s="215"/>
      <c r="BA111" s="215" t="str">
        <f>VLOOKUP(AH111,'Matchblatt  FEUILLE DE MATCH'!AI:AS,11,FALSE)</f>
        <v/>
      </c>
      <c r="BB111" s="200"/>
      <c r="BC111" s="200"/>
      <c r="BD111" s="200"/>
      <c r="BE111" s="200"/>
      <c r="BF111" s="200"/>
      <c r="BG111" s="200"/>
      <c r="BH111" s="200"/>
      <c r="BK111" s="196"/>
      <c r="BL111" s="196"/>
      <c r="BM111" s="196"/>
      <c r="BN111" s="196"/>
      <c r="BO111" s="196"/>
      <c r="BP111" s="196"/>
      <c r="BQ111" s="221" t="s">
        <v>843</v>
      </c>
      <c r="BR111" s="222"/>
      <c r="BS111" s="222"/>
      <c r="BT111" s="223"/>
      <c r="BU111" s="222" t="s">
        <v>843</v>
      </c>
      <c r="BV111" s="222"/>
      <c r="BW111" s="222"/>
      <c r="BX111" s="224"/>
      <c r="BY111" s="222"/>
      <c r="BZ111" s="222"/>
      <c r="CA111" s="222"/>
      <c r="CB111" s="222"/>
      <c r="CC111" s="222"/>
      <c r="CD111" s="222"/>
      <c r="CE111" s="222"/>
      <c r="CF111" s="222"/>
      <c r="CG111" s="224"/>
      <c r="CH111" s="222"/>
      <c r="CI111" s="222"/>
      <c r="CJ111" s="223"/>
      <c r="CK111" s="196"/>
      <c r="CL111" s="196"/>
      <c r="CM111" s="196"/>
      <c r="CN111" s="196"/>
      <c r="CO111" s="196"/>
      <c r="CP111" s="196"/>
      <c r="CQ111" s="196"/>
      <c r="CR111" s="196"/>
      <c r="CS111" s="196"/>
      <c r="CT111" s="196"/>
      <c r="CU111" s="196"/>
      <c r="CV111" s="196"/>
      <c r="CW111" s="196"/>
      <c r="CX111" s="196"/>
      <c r="CY111" s="196"/>
      <c r="CZ111" s="196"/>
      <c r="DA111" s="196"/>
      <c r="DB111" s="196"/>
      <c r="DC111" s="196"/>
      <c r="DD111" s="196"/>
      <c r="DE111" s="196"/>
      <c r="DF111" s="196"/>
      <c r="DG111" s="196"/>
      <c r="DH111" s="196"/>
      <c r="DI111" s="196"/>
      <c r="DJ111" s="196"/>
      <c r="DK111" s="196"/>
      <c r="DL111" s="196"/>
      <c r="DM111" s="196"/>
      <c r="DN111" s="196"/>
      <c r="DO111" s="196"/>
      <c r="DP111" s="196"/>
      <c r="DQ111" s="196"/>
      <c r="DR111" s="196"/>
      <c r="DS111" s="196"/>
      <c r="DT111" s="196"/>
      <c r="DU111" s="196"/>
      <c r="DV111" s="196"/>
      <c r="DW111" s="196"/>
      <c r="DX111" s="196"/>
      <c r="DY111" s="196"/>
      <c r="DZ111" s="196"/>
      <c r="EA111" s="196"/>
      <c r="EB111" s="196"/>
      <c r="EC111" s="196"/>
      <c r="ED111" s="196"/>
      <c r="EE111" s="196"/>
      <c r="EF111" s="196"/>
      <c r="EG111" s="196"/>
      <c r="EH111" s="196"/>
      <c r="EI111" s="196"/>
      <c r="EJ111" s="196"/>
      <c r="EK111" s="196"/>
      <c r="EL111" s="196"/>
      <c r="EM111" s="221" t="s">
        <v>7</v>
      </c>
      <c r="EN111" s="222"/>
      <c r="EO111" s="222"/>
      <c r="EP111" s="222"/>
      <c r="EQ111" s="222"/>
      <c r="ER111" s="222"/>
      <c r="ES111" s="222"/>
      <c r="ET111" s="224"/>
      <c r="EU111" s="222"/>
      <c r="EV111" s="222"/>
      <c r="EW111" s="222"/>
      <c r="EX111" s="222"/>
      <c r="EY111" s="222"/>
      <c r="EZ111" s="222"/>
      <c r="FA111" s="222"/>
      <c r="FB111" s="222"/>
      <c r="FC111" s="222"/>
      <c r="FD111" s="222"/>
      <c r="FE111" s="223"/>
      <c r="FF111" s="196"/>
      <c r="FG111" s="196"/>
      <c r="FH111" s="221" t="s">
        <v>12</v>
      </c>
      <c r="FI111" s="222"/>
      <c r="FJ111" s="222"/>
      <c r="FK111" s="222"/>
      <c r="FL111" s="222"/>
      <c r="FM111" s="222"/>
      <c r="FN111" s="222"/>
      <c r="FO111" s="224"/>
      <c r="FP111" s="222"/>
      <c r="FQ111" s="222"/>
      <c r="FR111" s="222"/>
      <c r="FS111" s="222"/>
      <c r="FT111" s="222"/>
      <c r="FU111" s="222"/>
      <c r="FV111" s="222"/>
      <c r="FW111" s="222"/>
      <c r="FX111" s="222"/>
      <c r="FY111" s="222"/>
      <c r="FZ111" s="223"/>
      <c r="GA111" s="196"/>
      <c r="GD111" s="339"/>
      <c r="GE111" s="339"/>
      <c r="GF111" s="339"/>
      <c r="GG111" s="339"/>
      <c r="GH111" s="339"/>
      <c r="GI111" s="339"/>
      <c r="GJ111" s="339"/>
      <c r="GK111" s="339"/>
      <c r="GL111" s="339"/>
      <c r="GM111" s="339"/>
      <c r="GN111" s="339"/>
      <c r="GO111" s="339"/>
      <c r="GP111" s="339"/>
      <c r="GQ111" s="339"/>
      <c r="GR111" s="339"/>
      <c r="GS111" s="339"/>
      <c r="GT111" s="339"/>
      <c r="GU111" s="339"/>
      <c r="GV111" s="339"/>
      <c r="GW111" s="339"/>
      <c r="GX111" s="339"/>
      <c r="GY111" s="339"/>
      <c r="GZ111" s="339"/>
      <c r="HA111" s="339"/>
      <c r="HB111" s="339"/>
      <c r="HC111" s="339"/>
      <c r="HD111" s="339"/>
      <c r="HE111" s="339"/>
      <c r="HF111" s="339"/>
      <c r="HG111" s="339"/>
      <c r="HH111" s="339"/>
      <c r="HI111" s="339"/>
      <c r="HJ111" s="339"/>
      <c r="HK111" s="339"/>
      <c r="HL111" s="339"/>
      <c r="HM111" s="339"/>
      <c r="HN111" s="339"/>
      <c r="HO111" s="339"/>
      <c r="HP111" s="339"/>
      <c r="HQ111" s="339"/>
      <c r="HR111" s="339"/>
    </row>
    <row r="112" spans="1:238" ht="14.1" customHeight="1">
      <c r="B112" s="225"/>
      <c r="C112" s="304"/>
      <c r="D112" s="304"/>
      <c r="E112" s="304"/>
      <c r="F112" s="304"/>
      <c r="G112" s="304"/>
      <c r="H112" s="304"/>
      <c r="I112" s="304"/>
      <c r="J112" s="304"/>
      <c r="K112" s="166"/>
      <c r="L112" s="166"/>
      <c r="M112" s="166"/>
      <c r="N112" s="304"/>
      <c r="O112" s="304"/>
      <c r="P112" s="166"/>
      <c r="Q112" s="166"/>
      <c r="R112" s="304"/>
      <c r="S112" s="304"/>
      <c r="T112" s="304"/>
      <c r="U112" s="304"/>
      <c r="V112" s="304"/>
      <c r="W112" s="304"/>
      <c r="X112" s="166"/>
      <c r="Y112" s="166"/>
      <c r="Z112" s="305"/>
      <c r="AA112" s="63"/>
      <c r="AB112" s="63"/>
      <c r="AC112" s="63"/>
      <c r="AD112" s="63"/>
      <c r="AE112" s="63"/>
      <c r="AF112" s="63"/>
      <c r="AJ112" s="173" t="str">
        <f>VLOOKUP(AH111,Chema!BL:BR,7,FALSE)</f>
        <v/>
      </c>
      <c r="AL112" s="200"/>
      <c r="AM112" s="200" t="str">
        <f>IF(AK111="D",VLOOKUP(AJ112,'Matchblatt  FEUILLE DE MATCH'!AK:AS,8,FALSE),"")</f>
        <v/>
      </c>
      <c r="AN112" s="200"/>
      <c r="AO112" s="200"/>
      <c r="AP112" s="200"/>
      <c r="AQ112" s="200"/>
      <c r="AR112" s="200"/>
      <c r="AS112" s="200"/>
      <c r="AT112" s="200"/>
      <c r="AU112" s="200"/>
      <c r="AV112" s="200"/>
      <c r="AW112" s="200"/>
      <c r="AX112" s="200"/>
      <c r="AY112" s="200"/>
      <c r="AZ112" s="200"/>
      <c r="BA112" s="200" t="str">
        <f>IF(AK111="D",VLOOKUP(AJ112,'Matchblatt  FEUILLE DE MATCH'!AK:AS,9,FALSE),"")</f>
        <v/>
      </c>
      <c r="BB112" s="63"/>
      <c r="BC112" s="63"/>
      <c r="BD112" s="63"/>
      <c r="BE112" s="63"/>
      <c r="BF112" s="63"/>
      <c r="BG112" s="63"/>
      <c r="BH112" s="63"/>
      <c r="BK112" s="166" t="s">
        <v>7</v>
      </c>
      <c r="BL112" s="166" t="s">
        <v>12</v>
      </c>
      <c r="BM112" s="166"/>
      <c r="BN112" s="166" t="s">
        <v>7</v>
      </c>
      <c r="BO112" s="166" t="s">
        <v>12</v>
      </c>
      <c r="BP112" s="166"/>
      <c r="BQ112" s="226" t="s">
        <v>894</v>
      </c>
      <c r="BR112" s="227" t="s">
        <v>895</v>
      </c>
      <c r="BS112" s="228" t="s">
        <v>896</v>
      </c>
      <c r="BT112" s="229"/>
      <c r="BU112" s="226" t="s">
        <v>7</v>
      </c>
      <c r="BV112" s="166"/>
      <c r="BW112" s="166"/>
      <c r="BX112" s="230"/>
      <c r="BY112" s="166"/>
      <c r="BZ112" s="166"/>
      <c r="CA112" s="227"/>
      <c r="CB112" s="166"/>
      <c r="CC112" s="166"/>
      <c r="CD112" s="226" t="s">
        <v>12</v>
      </c>
      <c r="CE112" s="166"/>
      <c r="CF112" s="166"/>
      <c r="CG112" s="230"/>
      <c r="CH112" s="166"/>
      <c r="CI112" s="166"/>
      <c r="CJ112" s="227"/>
      <c r="CK112" s="166"/>
      <c r="CL112" s="166" t="s">
        <v>897</v>
      </c>
      <c r="CM112" s="166"/>
      <c r="CN112" s="166"/>
      <c r="CO112" s="166"/>
      <c r="CP112" s="166"/>
      <c r="CQ112" s="166"/>
      <c r="CR112" s="166"/>
      <c r="CS112" s="166"/>
      <c r="CT112" s="166"/>
      <c r="CU112" s="166" t="s">
        <v>843</v>
      </c>
      <c r="CV112" s="166"/>
      <c r="CW112" s="166" t="s">
        <v>843</v>
      </c>
      <c r="CX112" s="166"/>
      <c r="CY112" s="166"/>
      <c r="CZ112" s="166"/>
      <c r="DA112" s="166"/>
      <c r="DB112" s="166"/>
      <c r="DC112" s="166"/>
      <c r="DD112" s="166" t="s">
        <v>894</v>
      </c>
      <c r="DE112" s="166" t="s">
        <v>895</v>
      </c>
      <c r="DF112" s="166"/>
      <c r="DG112" s="166" t="s">
        <v>927</v>
      </c>
      <c r="DH112" s="166"/>
      <c r="DI112" s="166"/>
      <c r="DJ112" s="166"/>
      <c r="DK112" s="166"/>
      <c r="DL112" s="166"/>
      <c r="DM112" s="166"/>
      <c r="DN112" s="166" t="s">
        <v>928</v>
      </c>
      <c r="DO112" s="166" t="s">
        <v>929</v>
      </c>
      <c r="DP112" s="166"/>
      <c r="DQ112" s="166"/>
      <c r="DR112" s="166"/>
      <c r="DS112" s="166"/>
      <c r="DT112" s="166"/>
      <c r="DU112" s="166"/>
      <c r="DV112" s="166" t="s">
        <v>894</v>
      </c>
      <c r="DW112" s="166" t="s">
        <v>895</v>
      </c>
      <c r="DX112" s="166"/>
      <c r="DY112" s="166"/>
      <c r="DZ112" s="166"/>
      <c r="EA112" s="166"/>
      <c r="EB112" s="166"/>
      <c r="EC112" s="166"/>
      <c r="ED112" s="166" t="s">
        <v>894</v>
      </c>
      <c r="EE112" s="166" t="s">
        <v>895</v>
      </c>
      <c r="EF112" s="166"/>
      <c r="EG112" s="166"/>
      <c r="EH112" s="166"/>
      <c r="EI112" s="166"/>
      <c r="EJ112" s="166"/>
      <c r="EK112" s="166"/>
      <c r="EL112" s="166"/>
      <c r="EM112" s="166"/>
      <c r="EN112" s="166"/>
      <c r="EO112" s="166"/>
      <c r="EP112" s="166"/>
      <c r="EQ112" s="166"/>
      <c r="ER112" s="166"/>
      <c r="ES112" s="166"/>
      <c r="ET112" s="230"/>
      <c r="EU112" s="166"/>
      <c r="EV112" s="166"/>
      <c r="EW112" s="166"/>
      <c r="EX112" s="166"/>
      <c r="EY112" s="166"/>
      <c r="EZ112" s="166"/>
      <c r="FA112" s="166"/>
      <c r="FB112" s="166"/>
      <c r="FC112" s="166"/>
      <c r="FD112" s="166"/>
      <c r="FE112" s="166"/>
      <c r="FF112" s="166"/>
      <c r="FG112" s="166"/>
      <c r="FH112" s="166"/>
      <c r="FI112" s="166"/>
      <c r="FJ112" s="166"/>
      <c r="FK112" s="166"/>
      <c r="FL112" s="166"/>
      <c r="FM112" s="166"/>
      <c r="FN112" s="166"/>
      <c r="FO112" s="230"/>
      <c r="FP112" s="166"/>
      <c r="FQ112" s="166"/>
      <c r="FR112" s="166"/>
      <c r="FS112" s="166"/>
      <c r="FT112" s="166"/>
      <c r="FU112" s="166"/>
      <c r="FV112" s="166"/>
      <c r="FW112" s="166"/>
      <c r="FX112" s="166"/>
      <c r="FY112" s="166"/>
      <c r="FZ112" s="166"/>
      <c r="GA112" s="166"/>
      <c r="GD112" s="339"/>
      <c r="GE112" s="339"/>
      <c r="GF112" s="339"/>
      <c r="GG112" s="339"/>
      <c r="GH112" s="339"/>
      <c r="GI112" s="339"/>
      <c r="GJ112" s="339"/>
      <c r="GK112" s="339"/>
      <c r="GL112" s="339"/>
      <c r="GM112" s="339"/>
      <c r="GN112" s="339"/>
      <c r="GO112" s="339"/>
      <c r="GP112" s="339"/>
      <c r="GQ112" s="339"/>
      <c r="GR112" s="339"/>
      <c r="GS112" s="339"/>
      <c r="GT112" s="339"/>
      <c r="GU112" s="339"/>
      <c r="GV112" s="339"/>
      <c r="GW112" s="339"/>
      <c r="GX112" s="339"/>
      <c r="GY112" s="339"/>
      <c r="GZ112" s="339"/>
      <c r="HA112" s="339"/>
      <c r="HB112" s="339"/>
      <c r="HC112" s="339"/>
      <c r="HD112" s="339"/>
      <c r="HE112" s="339"/>
      <c r="HF112" s="339"/>
      <c r="HG112" s="339"/>
      <c r="HH112" s="339"/>
      <c r="HI112" s="339"/>
      <c r="HJ112" s="339"/>
      <c r="HK112" s="339"/>
      <c r="HL112" s="339"/>
      <c r="HM112" s="339"/>
      <c r="HN112" s="339"/>
      <c r="HO112" s="339"/>
      <c r="HP112" s="339"/>
      <c r="HQ112" s="339"/>
      <c r="HR112" s="339"/>
    </row>
    <row r="113" spans="1:238" s="234" customFormat="1" ht="20.100000000000001" customHeight="1">
      <c r="A113" s="235"/>
      <c r="B113" s="231"/>
      <c r="C113" s="232" t="str">
        <f>REPT(Sprache!$K$12,1)</f>
        <v>SPIEL</v>
      </c>
      <c r="D113" s="233" t="s">
        <v>869</v>
      </c>
      <c r="E113" s="233" t="str">
        <f>REPT(Sprache!$K$62,1)</f>
        <v>Punkte</v>
      </c>
      <c r="F113" s="233" t="str">
        <f>REPT(Sprache!$K$61,1)</f>
        <v>Rest</v>
      </c>
      <c r="G113" s="233" t="s">
        <v>898</v>
      </c>
      <c r="H113" s="233" t="s">
        <v>848</v>
      </c>
      <c r="I113" s="233">
        <v>180</v>
      </c>
      <c r="J113" s="233" t="str">
        <f>REPT(Sprache!$K$63,1)</f>
        <v>Fehler</v>
      </c>
      <c r="L113" s="306" t="s">
        <v>923</v>
      </c>
      <c r="M113" s="307"/>
      <c r="P113" s="306" t="s">
        <v>923</v>
      </c>
      <c r="R113" s="232" t="str">
        <f>REPT(Sprache!$K$12,1)</f>
        <v>SPIEL</v>
      </c>
      <c r="S113" s="233" t="s">
        <v>869</v>
      </c>
      <c r="T113" s="233" t="str">
        <f>REPT(Sprache!$K$62,1)</f>
        <v>Punkte</v>
      </c>
      <c r="U113" s="233" t="str">
        <f>REPT(Sprache!$K$61,1)</f>
        <v>Rest</v>
      </c>
      <c r="V113" s="233" t="s">
        <v>898</v>
      </c>
      <c r="W113" s="233" t="s">
        <v>848</v>
      </c>
      <c r="X113" s="233">
        <v>180</v>
      </c>
      <c r="Y113" s="233" t="str">
        <f>REPT(Sprache!$K$63,1)</f>
        <v>Fehler</v>
      </c>
      <c r="Z113" s="308"/>
      <c r="AD113" s="235"/>
      <c r="AE113" s="236" t="s">
        <v>966</v>
      </c>
      <c r="AF113" s="236" t="s">
        <v>967</v>
      </c>
      <c r="AG113" s="236" t="s">
        <v>965</v>
      </c>
      <c r="AH113" s="237" t="str">
        <f>LEFT($BM$6,10)</f>
        <v/>
      </c>
      <c r="AI113" s="237" t="str">
        <f>LEFT($BN$6,10)</f>
        <v/>
      </c>
      <c r="AJ113" s="237" t="s">
        <v>898</v>
      </c>
      <c r="AK113" s="237" t="s">
        <v>848</v>
      </c>
      <c r="AL113" s="237">
        <v>180</v>
      </c>
      <c r="AM113" s="237" t="str">
        <f>LEFT($BL$6,50)</f>
        <v/>
      </c>
      <c r="AN113" s="235"/>
      <c r="AO113" s="235"/>
      <c r="AP113" s="235"/>
      <c r="AQ113" s="235"/>
      <c r="AR113" s="235"/>
      <c r="AS113" s="235"/>
      <c r="AT113" s="235"/>
      <c r="AU113" s="235"/>
      <c r="AV113" s="237" t="str">
        <f>LEFT($BM$6,10)</f>
        <v/>
      </c>
      <c r="AW113" s="237" t="str">
        <f>LEFT($BN$6,10)</f>
        <v/>
      </c>
      <c r="AX113" s="237" t="s">
        <v>898</v>
      </c>
      <c r="AY113" s="237" t="s">
        <v>848</v>
      </c>
      <c r="AZ113" s="237">
        <v>180</v>
      </c>
      <c r="BA113" s="237" t="str">
        <f>LEFT($BL$6,50)</f>
        <v/>
      </c>
      <c r="BI113" s="238"/>
      <c r="BJ113" s="238"/>
      <c r="BK113" s="238" t="s">
        <v>165</v>
      </c>
      <c r="BL113" s="238" t="s">
        <v>165</v>
      </c>
      <c r="BM113" s="239" t="s">
        <v>165</v>
      </c>
      <c r="BN113" s="239" t="s">
        <v>899</v>
      </c>
      <c r="BO113" s="239" t="s">
        <v>899</v>
      </c>
      <c r="BP113" s="239" t="s">
        <v>900</v>
      </c>
      <c r="BQ113" s="240" t="s">
        <v>901</v>
      </c>
      <c r="BR113" s="241"/>
      <c r="BS113" s="242" t="s">
        <v>926</v>
      </c>
      <c r="BT113" s="243"/>
      <c r="BU113" s="242" t="s">
        <v>902</v>
      </c>
      <c r="BV113" s="238"/>
      <c r="BW113" s="238"/>
      <c r="BX113" s="244"/>
      <c r="BY113" s="238"/>
      <c r="BZ113" s="238" t="s">
        <v>903</v>
      </c>
      <c r="CA113" s="243" t="s">
        <v>904</v>
      </c>
      <c r="CB113" s="238"/>
      <c r="CC113" s="238"/>
      <c r="CD113" s="242" t="s">
        <v>902</v>
      </c>
      <c r="CE113" s="238"/>
      <c r="CF113" s="238"/>
      <c r="CG113" s="244"/>
      <c r="CH113" s="238"/>
      <c r="CI113" s="238" t="s">
        <v>903</v>
      </c>
      <c r="CJ113" s="243" t="s">
        <v>904</v>
      </c>
      <c r="CK113" s="238"/>
      <c r="CL113" s="245" t="s">
        <v>905</v>
      </c>
      <c r="CM113" s="245" t="s">
        <v>906</v>
      </c>
      <c r="CN113" s="245" t="s">
        <v>907</v>
      </c>
      <c r="CO113" s="245" t="s">
        <v>908</v>
      </c>
      <c r="CP113" s="245" t="s">
        <v>909</v>
      </c>
      <c r="CQ113" s="246" t="s">
        <v>910</v>
      </c>
      <c r="CR113" s="247"/>
      <c r="CS113" s="246" t="s">
        <v>911</v>
      </c>
      <c r="CT113" s="248"/>
      <c r="CU113" s="246" t="s">
        <v>912</v>
      </c>
      <c r="CV113" s="248"/>
      <c r="CW113" s="246" t="s">
        <v>913</v>
      </c>
      <c r="CX113" s="248"/>
      <c r="CY113" s="238"/>
      <c r="CZ113" s="238"/>
      <c r="DA113" s="238"/>
      <c r="DB113" s="238"/>
      <c r="DC113" s="249" t="s">
        <v>165</v>
      </c>
      <c r="DD113" s="249" t="s">
        <v>165</v>
      </c>
      <c r="DE113" s="249" t="s">
        <v>165</v>
      </c>
      <c r="DF113" s="238"/>
      <c r="DG113" s="238" t="s">
        <v>914</v>
      </c>
      <c r="DH113" s="238" t="s">
        <v>930</v>
      </c>
      <c r="DI113" s="238" t="s">
        <v>931</v>
      </c>
      <c r="DK113" s="238" t="s">
        <v>932</v>
      </c>
      <c r="DL113" s="238" t="s">
        <v>933</v>
      </c>
      <c r="DM113" s="238" t="s">
        <v>869</v>
      </c>
      <c r="DN113" s="230" t="s">
        <v>915</v>
      </c>
      <c r="DO113" s="250" t="s">
        <v>915</v>
      </c>
      <c r="DP113" s="322" t="s">
        <v>934</v>
      </c>
      <c r="DQ113" s="238"/>
      <c r="DR113" s="166" t="s">
        <v>894</v>
      </c>
      <c r="DS113" s="166" t="s">
        <v>895</v>
      </c>
      <c r="DT113" s="166" t="s">
        <v>935</v>
      </c>
      <c r="DU113" s="166" t="s">
        <v>936</v>
      </c>
      <c r="DV113" s="251" t="s">
        <v>165</v>
      </c>
      <c r="DW113" s="251" t="s">
        <v>165</v>
      </c>
      <c r="DX113" s="238" t="s">
        <v>916</v>
      </c>
      <c r="DY113" s="238"/>
      <c r="DZ113" s="238"/>
      <c r="EA113" s="238"/>
      <c r="EB113" s="238"/>
      <c r="EC113" s="238"/>
      <c r="ED113" s="251" t="s">
        <v>165</v>
      </c>
      <c r="EE113" s="251" t="s">
        <v>165</v>
      </c>
      <c r="EF113" s="166"/>
      <c r="EG113" s="238"/>
      <c r="EH113" s="238"/>
      <c r="EI113" s="238"/>
      <c r="EJ113" s="238"/>
      <c r="EK113" s="238"/>
      <c r="EL113" s="238"/>
      <c r="EM113" s="238"/>
      <c r="EN113" s="238"/>
      <c r="EO113" s="246" t="s">
        <v>917</v>
      </c>
      <c r="EP113" s="247"/>
      <c r="EQ113" s="247"/>
      <c r="ER113" s="247"/>
      <c r="ES113" s="247"/>
      <c r="ET113" s="252"/>
      <c r="EU113" s="248"/>
      <c r="EV113" s="246" t="s">
        <v>918</v>
      </c>
      <c r="EW113" s="247"/>
      <c r="EX113" s="248"/>
      <c r="EY113" s="251" t="s">
        <v>165</v>
      </c>
      <c r="EZ113" s="246" t="s">
        <v>919</v>
      </c>
      <c r="FA113" s="247"/>
      <c r="FB113" s="248"/>
      <c r="FC113" s="246" t="s">
        <v>920</v>
      </c>
      <c r="FD113" s="247"/>
      <c r="FE113" s="248"/>
      <c r="FF113" s="238"/>
      <c r="FG113" s="238"/>
      <c r="FH113" s="238"/>
      <c r="FI113" s="238"/>
      <c r="FJ113" s="246" t="s">
        <v>917</v>
      </c>
      <c r="FK113" s="247"/>
      <c r="FL113" s="247"/>
      <c r="FM113" s="247"/>
      <c r="FN113" s="247"/>
      <c r="FO113" s="252"/>
      <c r="FP113" s="248"/>
      <c r="FQ113" s="246" t="s">
        <v>918</v>
      </c>
      <c r="FR113" s="247"/>
      <c r="FS113" s="248"/>
      <c r="FT113" s="251" t="s">
        <v>165</v>
      </c>
      <c r="FU113" s="246" t="s">
        <v>919</v>
      </c>
      <c r="FV113" s="247"/>
      <c r="FW113" s="248"/>
      <c r="FX113" s="246" t="s">
        <v>920</v>
      </c>
      <c r="FY113" s="247"/>
      <c r="FZ113" s="248"/>
      <c r="GD113" s="340"/>
      <c r="GE113" s="340"/>
      <c r="GF113" s="341" t="s">
        <v>968</v>
      </c>
      <c r="GG113" s="340"/>
      <c r="GH113" s="340"/>
      <c r="GI113" s="340"/>
      <c r="GJ113" s="341" t="s">
        <v>972</v>
      </c>
      <c r="GK113" s="340"/>
      <c r="GL113" s="340"/>
      <c r="GM113" s="340"/>
      <c r="GN113" s="341" t="s">
        <v>971</v>
      </c>
      <c r="GO113" s="340"/>
      <c r="GP113" s="340"/>
      <c r="GQ113" s="340"/>
      <c r="GR113" s="341" t="s">
        <v>970</v>
      </c>
      <c r="GS113" s="340"/>
      <c r="GT113" s="340"/>
      <c r="GU113" s="340"/>
      <c r="GV113" s="341" t="s">
        <v>969</v>
      </c>
      <c r="GW113" s="340"/>
      <c r="GX113" s="340"/>
      <c r="GY113" s="340"/>
      <c r="GZ113" s="342" t="s">
        <v>973</v>
      </c>
      <c r="HA113" s="340"/>
      <c r="HB113" s="340"/>
      <c r="HC113" s="340"/>
      <c r="HD113" s="342" t="s">
        <v>974</v>
      </c>
      <c r="HE113" s="340"/>
      <c r="HF113" s="340"/>
      <c r="HG113" s="340"/>
      <c r="HH113" s="340"/>
      <c r="HI113" s="340"/>
      <c r="HJ113" s="340"/>
      <c r="HK113" s="340"/>
      <c r="HL113" s="340"/>
      <c r="HM113" s="341"/>
      <c r="HN113" s="341"/>
      <c r="HO113" s="341"/>
      <c r="HP113" s="341"/>
      <c r="HQ113" s="341"/>
      <c r="HR113" s="341"/>
      <c r="HS113" s="238"/>
      <c r="HT113" s="238"/>
      <c r="HU113" s="238"/>
      <c r="HV113" s="238"/>
      <c r="HX113" s="238"/>
      <c r="HY113" s="238"/>
      <c r="HZ113" s="238"/>
      <c r="ID113" s="238"/>
    </row>
    <row r="114" spans="1:238" s="234" customFormat="1" ht="20.100000000000001" customHeight="1">
      <c r="A114" s="235"/>
      <c r="B114" s="231">
        <f>COUNT(AJ115,AJ114)</f>
        <v>0</v>
      </c>
      <c r="C114" s="325" t="str">
        <f>CONCATENATE(BG114,BE114)</f>
        <v>HS</v>
      </c>
      <c r="D114" s="253" t="str">
        <f>REPT(DN114,1)</f>
        <v>1</v>
      </c>
      <c r="E114" s="254" t="str">
        <f>REPT(AH114,1)</f>
        <v/>
      </c>
      <c r="F114" s="168"/>
      <c r="G114" s="168"/>
      <c r="H114" s="168"/>
      <c r="I114" s="169"/>
      <c r="J114" s="255" t="str">
        <f>REPT(AM114,1)</f>
        <v/>
      </c>
      <c r="L114" s="309">
        <f>SUM(BS123)</f>
        <v>0</v>
      </c>
      <c r="M114" s="238"/>
      <c r="N114" s="255" t="str">
        <f>REPT(AP114,1)</f>
        <v/>
      </c>
      <c r="P114" s="309">
        <f>SUM(CF123)</f>
        <v>0</v>
      </c>
      <c r="Q114" s="310"/>
      <c r="R114" s="323" t="str">
        <f>CONCATENATE(BH114,BE114)</f>
        <v>GS</v>
      </c>
      <c r="S114" s="253" t="str">
        <f>REPT(DO114,1)</f>
        <v>1</v>
      </c>
      <c r="T114" s="254" t="str">
        <f>REPT(AV114,1)</f>
        <v/>
      </c>
      <c r="U114" s="168"/>
      <c r="V114" s="168"/>
      <c r="W114" s="168"/>
      <c r="X114" s="169"/>
      <c r="Y114" s="255" t="str">
        <f>REPT(BA114,1)</f>
        <v/>
      </c>
      <c r="Z114" s="308"/>
      <c r="AB114" s="234">
        <f>IF(AY114="",0,IF(AY114&lt;2,1,""))</f>
        <v>0</v>
      </c>
      <c r="AC114" s="238">
        <f>IF(AD114=1,1,IF(AD114=3,1,IF(AD114=2,0,IF(AD114=0,0,0))))</f>
        <v>0</v>
      </c>
      <c r="AD114" s="256">
        <f>SUM(AE114:AG114)</f>
        <v>0</v>
      </c>
      <c r="AE114" s="256">
        <f t="shared" ref="AE114:AE118" si="248">IF(F114="",0,1)</f>
        <v>0</v>
      </c>
      <c r="AF114" s="256">
        <f t="shared" ref="AF114:AF118" si="249">IF(G114="",0,1)</f>
        <v>0</v>
      </c>
      <c r="AG114" s="256">
        <f>IF(H114="",0,1)</f>
        <v>0</v>
      </c>
      <c r="AH114" s="257" t="str">
        <f>IF(AK114="",IF(AI114="","",IF(AI114="",501,501-AI114)),501)</f>
        <v/>
      </c>
      <c r="AI114" s="256" t="str">
        <f>IF(F114&gt;1,F114,IF(F114=0,"",IF(F114="","","")))</f>
        <v/>
      </c>
      <c r="AJ114" s="256" t="str">
        <f>IF(G114&gt;8,G114,IF(G114="","",""))</f>
        <v/>
      </c>
      <c r="AK114" s="256" t="str">
        <f>IF(H114&gt;1,H114,IF(H114="","",""))</f>
        <v/>
      </c>
      <c r="AL114" s="256" t="str">
        <f>IF(I114&gt;0,I114,IF(I114="","",""))</f>
        <v/>
      </c>
      <c r="AM114" s="258" t="str">
        <f>IF(BK114=0,"","X")</f>
        <v/>
      </c>
      <c r="AN114" s="237"/>
      <c r="AO114" s="237"/>
      <c r="AP114" s="258" t="str">
        <f>IF(BM114=0,"","X")</f>
        <v/>
      </c>
      <c r="AQ114" s="236">
        <f>IF(AR114=1,1,IF(AR114=3,1,IF(AR114=2,0,IF(AR114=0,0,0))))</f>
        <v>0</v>
      </c>
      <c r="AR114" s="256">
        <f>SUM(AS114:AU114)</f>
        <v>0</v>
      </c>
      <c r="AS114" s="256">
        <f t="shared" ref="AS114:AS118" si="250">IF(U114="",0,1)</f>
        <v>0</v>
      </c>
      <c r="AT114" s="256">
        <f t="shared" ref="AT114:AT118" si="251">IF(V114="",0,1)</f>
        <v>0</v>
      </c>
      <c r="AU114" s="256">
        <f>IF(W114="",0,1)</f>
        <v>0</v>
      </c>
      <c r="AV114" s="257" t="str">
        <f>IF(AY114="",IF(AW114="","",IF(AW114="",501,501-AW114)),501)</f>
        <v/>
      </c>
      <c r="AW114" s="256" t="str">
        <f>IF(U114&gt;1,U114,IF(U114=0,"",IF(U114="","","")))</f>
        <v/>
      </c>
      <c r="AX114" s="256" t="str">
        <f>IF(V114&gt;8,V114,IF(V114="","",""))</f>
        <v/>
      </c>
      <c r="AY114" s="256" t="str">
        <f>IF(W114&gt;1,W114,IF(W114="","",""))</f>
        <v/>
      </c>
      <c r="AZ114" s="256" t="str">
        <f>IF(X114&gt;0,X114,IF(X114="","",""))</f>
        <v/>
      </c>
      <c r="BA114" s="258" t="str">
        <f>IF(BL114=0,"","X")</f>
        <v/>
      </c>
      <c r="BF114" s="238" t="s">
        <v>894</v>
      </c>
      <c r="BG114" s="238" t="str">
        <f>CONCATENATE(BF114,AK111)</f>
        <v>HS</v>
      </c>
      <c r="BH114" s="238" t="str">
        <f>CONCATENATE(BI114,AK111)</f>
        <v>GS</v>
      </c>
      <c r="BI114" s="238" t="s">
        <v>895</v>
      </c>
      <c r="BJ114" s="238"/>
      <c r="BK114" s="251">
        <f>SUM(DD114,DV114,EY114,ED114,FF114,BQ114,BS114,AC114)</f>
        <v>0</v>
      </c>
      <c r="BL114" s="251">
        <f>SUM(DE114,DW114,EE114,FT114,GA114,BR114,BT114,AQ114)</f>
        <v>0</v>
      </c>
      <c r="BM114" s="259">
        <f>SUM(DC114,BK114:BL114,AC114,AQ114)</f>
        <v>0</v>
      </c>
      <c r="BN114" s="239">
        <f>COUNT(AK114)</f>
        <v>0</v>
      </c>
      <c r="BO114" s="239">
        <f>COUNT(AY114)</f>
        <v>0</v>
      </c>
      <c r="BP114" s="239">
        <f>IF(BN116=0,0,1)</f>
        <v>0</v>
      </c>
      <c r="BQ114" s="260">
        <f>IF(AL114="",0,IF(AL114&gt;2,1,0))</f>
        <v>0</v>
      </c>
      <c r="BR114" s="261">
        <f>IF(AZ114="",0,IF(AZ114&gt;2,1,0))</f>
        <v>0</v>
      </c>
      <c r="BS114" s="262">
        <f>IF(AJ114=9,IF(AK114&lt;141,1,0),0)</f>
        <v>0</v>
      </c>
      <c r="BT114" s="263">
        <f>IF(AX114=9,IF(AY114&lt;141,1,0),0)</f>
        <v>0</v>
      </c>
      <c r="BU114" s="242">
        <f>IF(H114,G114,0)</f>
        <v>0</v>
      </c>
      <c r="BV114" s="238">
        <f>IF(BU114&gt;0,AJ114/3,0)</f>
        <v>0</v>
      </c>
      <c r="BW114" s="238">
        <f>ROUNDUP(BV114,0)</f>
        <v>0</v>
      </c>
      <c r="BX114" s="244">
        <f>IF(MOD(BW114,2)=0,BW114,BW114+1)</f>
        <v>0</v>
      </c>
      <c r="BY114" s="238">
        <f>IF(AJ114&lt;9,"",SUM(BX114-BW114))</f>
        <v>0</v>
      </c>
      <c r="BZ114" s="238">
        <f>IF(BY114=1,AK114,0)</f>
        <v>0</v>
      </c>
      <c r="CA114" s="243" t="str">
        <f>IF(BY114=0,AK114,0)</f>
        <v/>
      </c>
      <c r="CB114" s="238"/>
      <c r="CC114" s="238"/>
      <c r="CD114" s="242">
        <f>IF(W114,V114,0)</f>
        <v>0</v>
      </c>
      <c r="CE114" s="238">
        <f>IF(CD114&gt;0,AX114/3,0)</f>
        <v>0</v>
      </c>
      <c r="CF114" s="238">
        <f>ROUNDUP(CE114,0)</f>
        <v>0</v>
      </c>
      <c r="CG114" s="244">
        <f>IF(MOD(CF114,2)=0,CF114,CF114+1)</f>
        <v>0</v>
      </c>
      <c r="CH114" s="238">
        <f>IF(AX114&lt;9,"",SUM(CG114-CF114))</f>
        <v>0</v>
      </c>
      <c r="CI114" s="238">
        <f>IF(CH114=1,AY114,0)</f>
        <v>0</v>
      </c>
      <c r="CJ114" s="243" t="str">
        <f>IF(CH114=0,AY114,0)</f>
        <v/>
      </c>
      <c r="CK114" s="238"/>
      <c r="CL114" s="245">
        <f>IF(COUNT(F114,H114)=1,0,1)</f>
        <v>1</v>
      </c>
      <c r="CM114" s="245">
        <f>IF(COUNT(F114,U114)=1,0,1)</f>
        <v>1</v>
      </c>
      <c r="CN114" s="245">
        <f>IF(COUNT(H114,W114)=1,0,1)</f>
        <v>1</v>
      </c>
      <c r="CO114" s="245">
        <f>IF(COUNT(G114,V114)=2,0,1)</f>
        <v>1</v>
      </c>
      <c r="CP114" s="245">
        <f>IF(COUNT(U114,W114)=1,0,1)</f>
        <v>1</v>
      </c>
      <c r="CQ114" s="245">
        <f>IF(SUM(G114-V114)&gt;3,1,0)</f>
        <v>0</v>
      </c>
      <c r="CR114" s="245">
        <f>IF(SUM(G114-V114)&lt;-3,1,0)</f>
        <v>0</v>
      </c>
      <c r="CS114" s="264">
        <f>IF(AJ114=9,IF(AH114&lt;141,1,0),IF(AH114="",0,IF(AH114&gt;1,0,1)))</f>
        <v>0</v>
      </c>
      <c r="CT114" s="264">
        <f>IF(AX114=9,IF(AV114&lt;141,1,0),IF(AV114="",0,IF(AV114&gt;1,0,1)))</f>
        <v>0</v>
      </c>
      <c r="CU114" s="264">
        <f>IF(AI114="",0,IF(AI114&lt;502,0,1))</f>
        <v>0</v>
      </c>
      <c r="CV114" s="264">
        <f>IF(AW114="",0,IF(AW114&lt;502,0,1))</f>
        <v>0</v>
      </c>
      <c r="CW114" s="264">
        <f>IF(AI114="",IF(AJ114&lt;9,1,0),IF(AJ114&lt;9,1,0))</f>
        <v>0</v>
      </c>
      <c r="CX114" s="264">
        <f>IF(AW114="",IF(AX114&lt;9,1,0),IF(AX114&lt;9,1,0))</f>
        <v>0</v>
      </c>
      <c r="CY114" s="374"/>
      <c r="CZ114" s="374"/>
      <c r="DA114" s="374"/>
      <c r="DB114" s="374"/>
      <c r="DC114" s="265">
        <f>IF(AJ114="",0,SUM(CL114:CX114))</f>
        <v>0</v>
      </c>
      <c r="DD114" s="265">
        <f>IF(AJ114="",0,SUM(CL114,CS114,CU114,CW114))</f>
        <v>0</v>
      </c>
      <c r="DE114" s="265">
        <f>IF(AJ114="",0,SUM(CP114,CT114,CV114,CX114))</f>
        <v>0</v>
      </c>
      <c r="DF114" s="238"/>
      <c r="DG114" s="248" t="str">
        <f>IF(G114="","",SUM(G114-V114))</f>
        <v/>
      </c>
      <c r="DH114" s="245">
        <f>IF(F114="",0,1)</f>
        <v>0</v>
      </c>
      <c r="DI114" s="245" t="str">
        <f>IF(DG114=0,DH114,DG114)</f>
        <v/>
      </c>
      <c r="DJ114" s="245" t="e">
        <f>SIGN(DI114)</f>
        <v>#VALUE!</v>
      </c>
      <c r="DK114" s="245" t="str">
        <f>IF(G114="","",IF(DJ114=1,"*",""))</f>
        <v/>
      </c>
      <c r="DL114" s="245" t="str">
        <f>IF(G114="","",IF(DJ114=-1,"*",IF(DJ114=0,"*","")))</f>
        <v/>
      </c>
      <c r="DM114" s="245">
        <v>1</v>
      </c>
      <c r="DN114" s="245" t="str">
        <f>CONCATENATE(DM114,DK114)</f>
        <v>1</v>
      </c>
      <c r="DO114" s="245" t="str">
        <f>CONCATENATE(DM114,DL114)</f>
        <v>1</v>
      </c>
      <c r="DP114" s="245">
        <f>IF(DK114="*",1,0)</f>
        <v>0</v>
      </c>
      <c r="DQ114" s="245">
        <f>IF(DL114="*",1,0)</f>
        <v>0</v>
      </c>
      <c r="DR114" s="245"/>
      <c r="DS114" s="245"/>
      <c r="DT114" s="245"/>
      <c r="DU114" s="245"/>
      <c r="DV114" s="266"/>
      <c r="DW114" s="266"/>
      <c r="DX114" s="238">
        <f>IF(AK114="",0,1)</f>
        <v>0</v>
      </c>
      <c r="DY114" s="238">
        <f>IF(DG114=-3,1,0)</f>
        <v>0</v>
      </c>
      <c r="DZ114" s="238">
        <f>SUM(DX114:DY114)</f>
        <v>0</v>
      </c>
      <c r="EA114" s="238">
        <f>IF(AK114="",1,0)</f>
        <v>1</v>
      </c>
      <c r="EB114" s="238">
        <f>IF(DG114=3,1,0)</f>
        <v>0</v>
      </c>
      <c r="EC114" s="238">
        <f>SUM(EA114:EB114)</f>
        <v>1</v>
      </c>
      <c r="ED114" s="267">
        <f>IF(EC114=2,1,0)</f>
        <v>0</v>
      </c>
      <c r="EE114" s="267">
        <f>IF(DZ114=2,1,0)</f>
        <v>0</v>
      </c>
      <c r="EG114" s="166"/>
      <c r="EH114" s="238"/>
      <c r="EI114" s="238"/>
      <c r="EJ114" s="238"/>
      <c r="EK114" s="238"/>
      <c r="EL114" s="238"/>
      <c r="EM114" s="245">
        <f>IF(AK114="",0,1)</f>
        <v>0</v>
      </c>
      <c r="EN114" s="245">
        <f>SUM(AK114)</f>
        <v>0</v>
      </c>
      <c r="EO114" s="268">
        <f>SUM(AJ114)</f>
        <v>0</v>
      </c>
      <c r="EP114" s="268">
        <f>SUM(G114/3)</f>
        <v>0</v>
      </c>
      <c r="EQ114" s="268" t="e">
        <f>SUM(EO114/EP114)</f>
        <v>#DIV/0!</v>
      </c>
      <c r="ER114" s="268">
        <f>ROUNDDOWN(EP114,0)</f>
        <v>0</v>
      </c>
      <c r="ES114" s="268">
        <f>SUM(EO114,-ER114*3)</f>
        <v>0</v>
      </c>
      <c r="ET114" s="269" t="b">
        <f>MOD(EN114/1,2)=0</f>
        <v>1</v>
      </c>
      <c r="EU114" s="245">
        <f>IF(ET114=FALSE,1,0)</f>
        <v>0</v>
      </c>
      <c r="EV114" s="245">
        <f>IF(EN114=50,0,IF(EN114&lt;40,1,0))</f>
        <v>1</v>
      </c>
      <c r="EW114" s="245">
        <f>SUM(EU114:EV114)</f>
        <v>1</v>
      </c>
      <c r="EX114" s="267">
        <f>IF(EN114=1,1,IF(EN114=50,0,IF(ES114=1,IF(EN114&gt;40,1,0),0)))</f>
        <v>0</v>
      </c>
      <c r="EY114" s="267">
        <f>IF(ES114=1,IF(EW114=2,1,0),0)+EX114+FB114+FE114</f>
        <v>0</v>
      </c>
      <c r="EZ114" s="245">
        <f>IF(EN114=109,1,IF(EN114=108,1,IF(EN114=106,1,IF(EN114=105,1,IF(EN114=103,1,IF(EN114=102,1,IF(EN114=99,1,0)))))))</f>
        <v>0</v>
      </c>
      <c r="FA114" s="245">
        <f>IF(EN114&gt;110,1,0)</f>
        <v>0</v>
      </c>
      <c r="FB114" s="267">
        <f>IF(ES114=2,SUM(EZ114:FA114),0)</f>
        <v>0</v>
      </c>
      <c r="FC114" s="245">
        <f>IF(EN114=159,1,IF(EN114=162,1,IF(EN114=163,1,IF(EN114=165,1,IF(EN114=166,1,IF(EN114=168,1,IF(EN114=169,1,0)))))))</f>
        <v>0</v>
      </c>
      <c r="FD114" s="245">
        <f>IF(EN114&gt;170,1,0)</f>
        <v>0</v>
      </c>
      <c r="FE114" s="267">
        <f>IF(ES114=0,SUM(FC114:FD114),0)</f>
        <v>0</v>
      </c>
      <c r="FF114" s="251">
        <f>IF(AJ114="",0,IF(AI114="",0,IF(EO114/ER114-3=0,0,1)))</f>
        <v>0</v>
      </c>
      <c r="FG114" s="238"/>
      <c r="FH114" s="245">
        <f>IF(AY114="",0,1)</f>
        <v>0</v>
      </c>
      <c r="FI114" s="245">
        <f>SUM(AY114)</f>
        <v>0</v>
      </c>
      <c r="FJ114" s="268">
        <f>SUM(AX114)</f>
        <v>0</v>
      </c>
      <c r="FK114" s="268">
        <f>SUM(V114/3)</f>
        <v>0</v>
      </c>
      <c r="FL114" s="268" t="e">
        <f>SUM(FJ114/FK114)</f>
        <v>#DIV/0!</v>
      </c>
      <c r="FM114" s="268">
        <f>ROUNDDOWN(FK114,0)</f>
        <v>0</v>
      </c>
      <c r="FN114" s="268">
        <f>SUM(FJ114,-FM114*3)</f>
        <v>0</v>
      </c>
      <c r="FO114" s="269" t="b">
        <f>MOD(FI114/1,2)=0</f>
        <v>1</v>
      </c>
      <c r="FP114" s="245">
        <f>IF(FO114=FALSE,1,0)</f>
        <v>0</v>
      </c>
      <c r="FQ114" s="245">
        <f>IF(FI114=50,0,IF(FI114&lt;40,1,0))</f>
        <v>1</v>
      </c>
      <c r="FR114" s="245">
        <f>SUM(FP114:FQ114)</f>
        <v>1</v>
      </c>
      <c r="FS114" s="267">
        <f>IF(FI114=1,1,IF(FI114=50,0,IF(FN114=1,IF(FI114&gt;40,1,0),0)))</f>
        <v>0</v>
      </c>
      <c r="FT114" s="267">
        <f>IF(FN114=1,IF(FR114=2,1,0),0)+FS114+FW114+FZ114</f>
        <v>0</v>
      </c>
      <c r="FU114" s="245">
        <f>IF(FI114=109,1,IF(FI114=108,1,IF(FI114=106,1,IF(FI114=105,1,IF(FI114=103,1,IF(FI114=102,1,IF(FI114=99,1,0)))))))</f>
        <v>0</v>
      </c>
      <c r="FV114" s="245">
        <f>IF(FI114&gt;110,1,0)</f>
        <v>0</v>
      </c>
      <c r="FW114" s="267">
        <f>IF(FN114=2,SUM(FU114:FV114),0)</f>
        <v>0</v>
      </c>
      <c r="FX114" s="245">
        <f>IF(FI114=159,1,IF(FI114=162,1,IF(FI114=163,1,IF(FI114=165,1,IF(FI114=166,1,IF(FI114=168,1,IF(FI114=169,1,0)))))))</f>
        <v>0</v>
      </c>
      <c r="FY114" s="245">
        <f>IF(FI114&gt;170,1,0)</f>
        <v>0</v>
      </c>
      <c r="FZ114" s="267">
        <f>IF(FN114=0,SUM(FX114:FY114),0)</f>
        <v>0</v>
      </c>
      <c r="GA114" s="251">
        <f>IF(AX114="",0,IF(AW114="",0,IF(FJ114/FM114-3=0,0,1)))</f>
        <v>0</v>
      </c>
      <c r="GD114" s="341">
        <f>IF(AK111="D",1,0)</f>
        <v>0</v>
      </c>
      <c r="GE114" s="343"/>
      <c r="GF114" s="343" t="s">
        <v>866</v>
      </c>
      <c r="GG114" s="343" t="s">
        <v>868</v>
      </c>
      <c r="GH114" s="343" t="s">
        <v>848</v>
      </c>
      <c r="GI114" s="343">
        <v>180</v>
      </c>
      <c r="GJ114" s="343" t="s">
        <v>866</v>
      </c>
      <c r="GK114" s="343" t="s">
        <v>868</v>
      </c>
      <c r="GL114" s="343" t="s">
        <v>848</v>
      </c>
      <c r="GM114" s="343">
        <v>180</v>
      </c>
      <c r="GN114" s="343" t="s">
        <v>866</v>
      </c>
      <c r="GO114" s="343" t="s">
        <v>868</v>
      </c>
      <c r="GP114" s="343" t="s">
        <v>848</v>
      </c>
      <c r="GQ114" s="343">
        <v>180</v>
      </c>
      <c r="GR114" s="343" t="s">
        <v>866</v>
      </c>
      <c r="GS114" s="343" t="s">
        <v>868</v>
      </c>
      <c r="GT114" s="343" t="s">
        <v>848</v>
      </c>
      <c r="GU114" s="343">
        <v>180</v>
      </c>
      <c r="GV114" s="343" t="s">
        <v>866</v>
      </c>
      <c r="GW114" s="343" t="s">
        <v>868</v>
      </c>
      <c r="GX114" s="343" t="s">
        <v>848</v>
      </c>
      <c r="GY114" s="343">
        <v>180</v>
      </c>
      <c r="GZ114" s="343" t="s">
        <v>866</v>
      </c>
      <c r="HA114" s="343" t="s">
        <v>868</v>
      </c>
      <c r="HB114" s="343" t="s">
        <v>848</v>
      </c>
      <c r="HC114" s="343">
        <v>180</v>
      </c>
      <c r="HD114" s="343" t="s">
        <v>866</v>
      </c>
      <c r="HE114" s="343" t="s">
        <v>868</v>
      </c>
      <c r="HF114" s="341" t="s">
        <v>975</v>
      </c>
      <c r="HG114" s="341" t="s">
        <v>976</v>
      </c>
      <c r="HH114" s="341" t="s">
        <v>899</v>
      </c>
      <c r="HJ114" s="238"/>
      <c r="HK114" s="238"/>
      <c r="HL114" s="238"/>
      <c r="HM114" s="238">
        <f>COUNT(HI115,HJ115,HK115,HL115,HM115)</f>
        <v>0</v>
      </c>
      <c r="HN114" s="341"/>
      <c r="HO114" s="341"/>
      <c r="HP114" s="341"/>
      <c r="HQ114" s="341"/>
      <c r="HR114" s="341"/>
      <c r="HS114" s="238"/>
      <c r="HT114" s="238"/>
      <c r="HU114" s="238"/>
      <c r="HV114" s="238"/>
      <c r="HX114" s="238"/>
      <c r="HY114" s="238"/>
      <c r="ID114" s="238"/>
    </row>
    <row r="115" spans="1:238" s="234" customFormat="1" ht="20.100000000000001" customHeight="1">
      <c r="A115" s="235"/>
      <c r="B115" s="231">
        <f>COUNT(AJ116,AJ115)</f>
        <v>0</v>
      </c>
      <c r="C115" s="326">
        <f>IF(DK114="*",AJ111,AI111)</f>
        <v>1.8</v>
      </c>
      <c r="D115" s="253" t="str">
        <f>REPT(DN115,1)</f>
        <v>2</v>
      </c>
      <c r="E115" s="254" t="str">
        <f>REPT(AH115,1)</f>
        <v/>
      </c>
      <c r="F115" s="168"/>
      <c r="G115" s="168"/>
      <c r="H115" s="168"/>
      <c r="I115" s="169"/>
      <c r="J115" s="270" t="str">
        <f>REPT(AM115,1)</f>
        <v/>
      </c>
      <c r="L115" s="306" t="s">
        <v>922</v>
      </c>
      <c r="M115" s="311"/>
      <c r="N115" s="270" t="str">
        <f>REPT(AP115,1)</f>
        <v/>
      </c>
      <c r="P115" s="306" t="s">
        <v>922</v>
      </c>
      <c r="Q115" s="310"/>
      <c r="R115" s="324">
        <f>IF(DL114="*",AJ111,AI111)</f>
        <v>1.8</v>
      </c>
      <c r="S115" s="253" t="str">
        <f>REPT(DO115,1)</f>
        <v>2</v>
      </c>
      <c r="T115" s="254" t="str">
        <f>REPT(AV115,1)</f>
        <v/>
      </c>
      <c r="U115" s="168"/>
      <c r="V115" s="168"/>
      <c r="W115" s="168"/>
      <c r="X115" s="169"/>
      <c r="Y115" s="270" t="str">
        <f t="shared" ref="Y115:Y117" si="252">REPT(BA115,1)</f>
        <v/>
      </c>
      <c r="Z115" s="308"/>
      <c r="AB115" s="234">
        <f>IF(AY115="",0,IF(AY115&lt;2,1,""))</f>
        <v>0</v>
      </c>
      <c r="AC115" s="238">
        <f t="shared" ref="AC115:AC116" si="253">IF(AD115=1,1,IF(AD115=3,1,IF(AD115=2,0,IF(AD115=0,0,0))))</f>
        <v>0</v>
      </c>
      <c r="AD115" s="256">
        <f t="shared" ref="AD115:AD118" si="254">SUM(AE115:AG115)</f>
        <v>0</v>
      </c>
      <c r="AE115" s="256">
        <f t="shared" si="248"/>
        <v>0</v>
      </c>
      <c r="AF115" s="256">
        <f t="shared" si="249"/>
        <v>0</v>
      </c>
      <c r="AG115" s="256">
        <f t="shared" ref="AG115:AG118" si="255">IF(H115="",0,1)</f>
        <v>0</v>
      </c>
      <c r="AH115" s="257" t="str">
        <f>IF(AK115="",IF(AI115="","",IF(AI115="",501,501-AI115)),501)</f>
        <v/>
      </c>
      <c r="AI115" s="256" t="str">
        <f>IF(F115&gt;1,F115,IF(F115=0,"",IF(F115="","","")))</f>
        <v/>
      </c>
      <c r="AJ115" s="256" t="str">
        <f>IF(G115&gt;8,G115,IF(G115="","",""))</f>
        <v/>
      </c>
      <c r="AK115" s="256" t="str">
        <f>IF(H115&gt;1,H115,IF(H115="","",""))</f>
        <v/>
      </c>
      <c r="AL115" s="256" t="str">
        <f>IF(I115&gt;0,I115,IF(I115="","",""))</f>
        <v/>
      </c>
      <c r="AM115" s="258" t="str">
        <f>IF(BK115=0,"","X")</f>
        <v/>
      </c>
      <c r="AN115" s="237"/>
      <c r="AO115" s="237"/>
      <c r="AP115" s="258" t="str">
        <f>IF(BM115=0,"","X")</f>
        <v/>
      </c>
      <c r="AQ115" s="236">
        <f t="shared" ref="AQ115:AQ116" si="256">IF(AR115=1,1,IF(AR115=3,1,IF(AR115=2,0,IF(AR115=0,0,0))))</f>
        <v>0</v>
      </c>
      <c r="AR115" s="256">
        <f t="shared" ref="AR115:AR118" si="257">SUM(AS115:AU115)</f>
        <v>0</v>
      </c>
      <c r="AS115" s="256">
        <f t="shared" si="250"/>
        <v>0</v>
      </c>
      <c r="AT115" s="256">
        <f t="shared" si="251"/>
        <v>0</v>
      </c>
      <c r="AU115" s="256">
        <f t="shared" ref="AU115:AU118" si="258">IF(W115="",0,1)</f>
        <v>0</v>
      </c>
      <c r="AV115" s="257" t="str">
        <f>IF(AY115="",IF(AW115="","",IF(AW115="",501,501-AW115)),501)</f>
        <v/>
      </c>
      <c r="AW115" s="256" t="str">
        <f>IF(U115&gt;1,U115,IF(U115=0,"",IF(U115="","","")))</f>
        <v/>
      </c>
      <c r="AX115" s="256" t="str">
        <f>IF(V115&gt;8,V115,IF(V115="","",""))</f>
        <v/>
      </c>
      <c r="AY115" s="256" t="str">
        <f>IF(W115&gt;1,W115,IF(W115="","",""))</f>
        <v/>
      </c>
      <c r="AZ115" s="256" t="str">
        <f>IF(X115&gt;0,X115,IF(X115="","",""))</f>
        <v/>
      </c>
      <c r="BA115" s="258" t="str">
        <f>IF(BL115=0,"","X")</f>
        <v/>
      </c>
      <c r="BK115" s="251">
        <f>SUM(DD115,DV115,EY115,ED115,FF115,BQ115,BS115,AC115)</f>
        <v>0</v>
      </c>
      <c r="BL115" s="251">
        <f>SUM(DE115,DW115,EE115,FT115,GA115,BR115,BT115,AQ115)</f>
        <v>0</v>
      </c>
      <c r="BM115" s="259">
        <f t="shared" ref="BM115:BM116" si="259">SUM(DC115,BK115:BL115,AC115,AQ115)</f>
        <v>0</v>
      </c>
      <c r="BN115" s="239">
        <f>COUNT(AK115)</f>
        <v>0</v>
      </c>
      <c r="BO115" s="239">
        <f>COUNT(AY115)</f>
        <v>0</v>
      </c>
      <c r="BP115" s="239">
        <f>IF(BN117=0,0,1)</f>
        <v>0</v>
      </c>
      <c r="BQ115" s="260">
        <f>IF(AL115="",0,IF(AL115&gt;2,1,0))</f>
        <v>0</v>
      </c>
      <c r="BR115" s="261">
        <f>IF(AZ115="",0,IF(AZ115&gt;2,1,0))</f>
        <v>0</v>
      </c>
      <c r="BS115" s="262">
        <f>IF(AJ115=9,IF(AK115&lt;141,1,0),0)</f>
        <v>0</v>
      </c>
      <c r="BT115" s="263">
        <f>IF(AX115=9,IF(AY115&lt;141,1,0),0)</f>
        <v>0</v>
      </c>
      <c r="BU115" s="242">
        <f>IF(H115,G115,0)</f>
        <v>0</v>
      </c>
      <c r="BV115" s="238">
        <f>IF(BU115&gt;0,AJ115/3,0)</f>
        <v>0</v>
      </c>
      <c r="BW115" s="238">
        <f>ROUNDUP(BV115,0)</f>
        <v>0</v>
      </c>
      <c r="BX115" s="244">
        <f>IF(MOD(BW115,2)=0,BW115,BW115+1)</f>
        <v>0</v>
      </c>
      <c r="BY115" s="238">
        <f>IF(AJ115&lt;9,"",SUM(BX115-BW115))</f>
        <v>0</v>
      </c>
      <c r="BZ115" s="238">
        <f>IF(BY115=1,AK115,0)</f>
        <v>0</v>
      </c>
      <c r="CA115" s="243" t="str">
        <f>IF(BY115=0,AK115,0)</f>
        <v/>
      </c>
      <c r="CB115" s="238"/>
      <c r="CC115" s="238"/>
      <c r="CD115" s="242">
        <f>IF(W115,V115,0)</f>
        <v>0</v>
      </c>
      <c r="CE115" s="238">
        <f>IF(CD115&gt;0,AX115/3,0)</f>
        <v>0</v>
      </c>
      <c r="CF115" s="238">
        <f>ROUNDUP(CE115,0)</f>
        <v>0</v>
      </c>
      <c r="CG115" s="244">
        <f>IF(MOD(CF115,2)=0,CF115,CF115+1)</f>
        <v>0</v>
      </c>
      <c r="CH115" s="238">
        <f>IF(AX115&lt;9,"",SUM(CG115-CF115))</f>
        <v>0</v>
      </c>
      <c r="CI115" s="238">
        <f>IF(CH115=1,AY115,0)</f>
        <v>0</v>
      </c>
      <c r="CJ115" s="243" t="str">
        <f>IF(CH115=0,AY115,0)</f>
        <v/>
      </c>
      <c r="CK115" s="238"/>
      <c r="CL115" s="245">
        <f>IF(COUNT(F115,H115)=1,0,1)</f>
        <v>1</v>
      </c>
      <c r="CM115" s="245">
        <f>IF(COUNT(F115,U115)=1,0,1)</f>
        <v>1</v>
      </c>
      <c r="CN115" s="245">
        <f>IF(COUNT(H115,W115)=1,0,1)</f>
        <v>1</v>
      </c>
      <c r="CO115" s="245">
        <f>IF(COUNT(G115,V115)=2,0,1)</f>
        <v>1</v>
      </c>
      <c r="CP115" s="245">
        <f>IF(COUNT(U115,W115)=1,0,1)</f>
        <v>1</v>
      </c>
      <c r="CQ115" s="245">
        <f>IF(SUM(G115-V115)&gt;3,1,0)</f>
        <v>0</v>
      </c>
      <c r="CR115" s="245">
        <f>IF(SUM(G115-V115)&lt;-3,1,0)</f>
        <v>0</v>
      </c>
      <c r="CS115" s="264">
        <f>IF(AJ115=9,IF(AH115&lt;141,1,0),IF(AH115="",0,IF(AH115&gt;1,0,1)))</f>
        <v>0</v>
      </c>
      <c r="CT115" s="264">
        <f>IF(AX115=9,IF(AV115&lt;141,1,0),IF(AV115="",0,IF(AV115&gt;1,0,1)))</f>
        <v>0</v>
      </c>
      <c r="CU115" s="264">
        <f>IF(AI115="",0,IF(AI115&lt;502,0,1))</f>
        <v>0</v>
      </c>
      <c r="CV115" s="264">
        <f>IF(AW115="",0,IF(AW115&lt;502,0,1))</f>
        <v>0</v>
      </c>
      <c r="CW115" s="264">
        <f>IF(AI115="",IF(AJ115&lt;9,1,0),IF(AJ115&lt;9,1,0))</f>
        <v>0</v>
      </c>
      <c r="CX115" s="264">
        <f>IF(AW115="",IF(AX115&lt;9,1,0),IF(AX115&lt;9,1,0))</f>
        <v>0</v>
      </c>
      <c r="CY115" s="374"/>
      <c r="CZ115" s="374"/>
      <c r="DA115" s="374"/>
      <c r="DB115" s="374"/>
      <c r="DC115" s="265">
        <f>IF(AJ115="",0,SUM(CL115:CX115))</f>
        <v>0</v>
      </c>
      <c r="DD115" s="265">
        <f>IF(AJ115="",0,SUM(CL115,CS115,CU115,CW115))</f>
        <v>0</v>
      </c>
      <c r="DE115" s="265">
        <f>IF(AJ115="",0,SUM(CP115,CT115,CV115,CX115))</f>
        <v>0</v>
      </c>
      <c r="DF115" s="238"/>
      <c r="DG115" s="248">
        <f>SUM(G115-V115)</f>
        <v>0</v>
      </c>
      <c r="DH115" s="245">
        <f>IF(F115="",0,1)</f>
        <v>0</v>
      </c>
      <c r="DI115" s="245">
        <f t="shared" ref="DI115:DI118" si="260">IF(DG115=0,DH115,DG115)</f>
        <v>0</v>
      </c>
      <c r="DJ115" s="245">
        <f t="shared" ref="DJ115:DJ118" si="261">SIGN(DI115)</f>
        <v>0</v>
      </c>
      <c r="DK115" s="245" t="str">
        <f>IF(G115="","",IF(DJ115=1,"*",""))</f>
        <v/>
      </c>
      <c r="DL115" s="245" t="str">
        <f>IF(G115="","",IF(DJ115=-1,"*",IF(DJ115=0,"*","")))</f>
        <v/>
      </c>
      <c r="DM115" s="245">
        <v>2</v>
      </c>
      <c r="DN115" s="245" t="str">
        <f t="shared" ref="DN115:DN118" si="262">CONCATENATE(DM115,DK115)</f>
        <v>2</v>
      </c>
      <c r="DO115" s="245" t="str">
        <f t="shared" ref="DO115:DO118" si="263">CONCATENATE(DM115,DL115)</f>
        <v>2</v>
      </c>
      <c r="DP115" s="245">
        <f>SUM(DQ114)</f>
        <v>0</v>
      </c>
      <c r="DQ115" s="245">
        <f>SUM(DP114)</f>
        <v>0</v>
      </c>
      <c r="DR115" s="245">
        <f>IF(DK115="*",1,0)</f>
        <v>0</v>
      </c>
      <c r="DS115" s="245">
        <f>IF(DL115="*",1,0)</f>
        <v>0</v>
      </c>
      <c r="DT115" s="245">
        <f>IF(H105="",0,IF(DP115=DR115,1,0))</f>
        <v>0</v>
      </c>
      <c r="DU115" s="245">
        <f>IF(V115="",0,IF(DQ115=DS115,0,1))</f>
        <v>0</v>
      </c>
      <c r="DV115" s="267">
        <f>SUM(DT115)</f>
        <v>0</v>
      </c>
      <c r="DW115" s="267">
        <f>IF(V115="",0,SUM(DU115))</f>
        <v>0</v>
      </c>
      <c r="DX115" s="238">
        <f>IF(AK115="",0,1)</f>
        <v>0</v>
      </c>
      <c r="DY115" s="238">
        <f>IF(DG115=-3,1,0)</f>
        <v>0</v>
      </c>
      <c r="DZ115" s="238">
        <f>SUM(DX115:DY115)</f>
        <v>0</v>
      </c>
      <c r="EA115" s="238">
        <f>IF(AK115="",1,0)</f>
        <v>1</v>
      </c>
      <c r="EB115" s="238">
        <f>IF(DG115=3,1,0)</f>
        <v>0</v>
      </c>
      <c r="EC115" s="238">
        <f>SUM(EA115:EB115)</f>
        <v>1</v>
      </c>
      <c r="ED115" s="267">
        <f>IF(EC115=2,1,0)</f>
        <v>0</v>
      </c>
      <c r="EE115" s="267">
        <f>IF(DZ115=2,1,0)</f>
        <v>0</v>
      </c>
      <c r="EG115" s="166"/>
      <c r="EH115" s="238"/>
      <c r="EI115" s="238"/>
      <c r="EJ115" s="238"/>
      <c r="EK115" s="238"/>
      <c r="EL115" s="238"/>
      <c r="EM115" s="245">
        <f>IF(AK115="",0,1)</f>
        <v>0</v>
      </c>
      <c r="EN115" s="245">
        <f>SUM(AK115)</f>
        <v>0</v>
      </c>
      <c r="EO115" s="268">
        <f>SUM(AJ115)</f>
        <v>0</v>
      </c>
      <c r="EP115" s="268">
        <f>SUM(G115/3)</f>
        <v>0</v>
      </c>
      <c r="EQ115" s="268" t="e">
        <f>SUM(EO115/EP115)</f>
        <v>#DIV/0!</v>
      </c>
      <c r="ER115" s="268">
        <f>ROUNDDOWN(EP115,0)</f>
        <v>0</v>
      </c>
      <c r="ES115" s="268">
        <f>SUM(EO115,-ER115*3)</f>
        <v>0</v>
      </c>
      <c r="ET115" s="269" t="b">
        <f>MOD(EN115/1,2)=0</f>
        <v>1</v>
      </c>
      <c r="EU115" s="245">
        <f>IF(ET115=FALSE,1,0)</f>
        <v>0</v>
      </c>
      <c r="EV115" s="245">
        <f>IF(EN115=50,0,IF(EN115&lt;40,1,0))</f>
        <v>1</v>
      </c>
      <c r="EW115" s="245">
        <f>SUM(EU115:EV115)</f>
        <v>1</v>
      </c>
      <c r="EX115" s="267">
        <f>IF(EN115=1,1,IF(EN115=50,0,IF(ES115=1,IF(EN115&gt;40,1,0),0)))</f>
        <v>0</v>
      </c>
      <c r="EY115" s="267">
        <f>IF(ES115=1,IF(EW115=2,1,0),0)+EX115+FB115+FE115</f>
        <v>0</v>
      </c>
      <c r="EZ115" s="245">
        <f>IF(EN115=109,1,IF(EN115=108,1,IF(EN115=106,1,IF(EN115=105,1,IF(EN115=103,1,IF(EN115=102,1,IF(EN115=99,1,0)))))))</f>
        <v>0</v>
      </c>
      <c r="FA115" s="245">
        <f>IF(EN115&gt;110,1,0)</f>
        <v>0</v>
      </c>
      <c r="FB115" s="267">
        <f>IF(ES115=2,SUM(EZ115:FA115),0)</f>
        <v>0</v>
      </c>
      <c r="FC115" s="245">
        <f>IF(EN115=159,1,IF(EN115=162,1,IF(EN115=163,1,IF(EN115=165,1,IF(EN115=166,1,IF(EN115=168,1,IF(EN115=169,1,0)))))))</f>
        <v>0</v>
      </c>
      <c r="FD115" s="245">
        <f>IF(EN115&gt;170,1,0)</f>
        <v>0</v>
      </c>
      <c r="FE115" s="267">
        <f>IF(ES115=0,SUM(FC115:FD115),0)</f>
        <v>0</v>
      </c>
      <c r="FF115" s="251">
        <f t="shared" ref="FF115:FF118" si="264">IF(AJ115="",0,IF(AI115="",0,IF(EO115/ER115-3=0,0,1)))</f>
        <v>0</v>
      </c>
      <c r="FG115" s="238"/>
      <c r="FH115" s="245">
        <f>IF(AY115="",0,1)</f>
        <v>0</v>
      </c>
      <c r="FI115" s="245">
        <f>SUM(AY115)</f>
        <v>0</v>
      </c>
      <c r="FJ115" s="268">
        <f>SUM(AX115)</f>
        <v>0</v>
      </c>
      <c r="FK115" s="268">
        <f>SUM(V115/3)</f>
        <v>0</v>
      </c>
      <c r="FL115" s="268" t="e">
        <f>SUM(FJ115/FK115)</f>
        <v>#DIV/0!</v>
      </c>
      <c r="FM115" s="268">
        <f>ROUNDDOWN(FK115,0)</f>
        <v>0</v>
      </c>
      <c r="FN115" s="268">
        <f>SUM(FJ115,-FM115*3)</f>
        <v>0</v>
      </c>
      <c r="FO115" s="269" t="b">
        <f>MOD(FI115/1,2)=0</f>
        <v>1</v>
      </c>
      <c r="FP115" s="245">
        <f>IF(FO115=FALSE,1,0)</f>
        <v>0</v>
      </c>
      <c r="FQ115" s="245">
        <f>IF(FI115=50,0,IF(FI115&lt;40,1,0))</f>
        <v>1</v>
      </c>
      <c r="FR115" s="245">
        <f>SUM(FP115:FQ115)</f>
        <v>1</v>
      </c>
      <c r="FS115" s="267">
        <f>IF(FI115=1,1,IF(FI115=50,0,IF(FN115=1,IF(FI115&gt;40,1,0),0)))</f>
        <v>0</v>
      </c>
      <c r="FT115" s="267">
        <f>IF(FN115=1,IF(FR115=2,1,0),0)+FS115+FW115+FZ115</f>
        <v>0</v>
      </c>
      <c r="FU115" s="245">
        <f>IF(FI115=109,1,IF(FI115=108,1,IF(FI115=106,1,IF(FI115=105,1,IF(FI115=103,1,IF(FI115=102,1,IF(FI115=99,1,0)))))))</f>
        <v>0</v>
      </c>
      <c r="FV115" s="245">
        <f>IF(FI115&gt;110,1,0)</f>
        <v>0</v>
      </c>
      <c r="FW115" s="267">
        <f>IF(FN115=2,SUM(FU115:FV115),0)</f>
        <v>0</v>
      </c>
      <c r="FX115" s="245">
        <f>IF(FI115=159,1,IF(FI115=162,1,IF(FI115=163,1,IF(FI115=165,1,IF(FI115=166,1,IF(FI115=168,1,IF(FI115=169,1,0)))))))</f>
        <v>0</v>
      </c>
      <c r="FY115" s="245">
        <f>IF(FI115&gt;170,1,0)</f>
        <v>0</v>
      </c>
      <c r="FZ115" s="267">
        <f>IF(FN115=0,SUM(FX115:FY115),0)</f>
        <v>0</v>
      </c>
      <c r="GA115" s="251">
        <f t="shared" ref="GA115:GA118" si="265">IF(AX115="",0,IF(AW115="",0,IF(FJ115/FM115-3=0,0,1)))</f>
        <v>0</v>
      </c>
      <c r="GC115" s="238" t="str">
        <f>VLOOKUP(AH111,Chema!BL:BR,2,FALSE)</f>
        <v>HS 1.8</v>
      </c>
      <c r="GD115" s="341">
        <f>IF(E121="FORFAIT",1,0)</f>
        <v>0</v>
      </c>
      <c r="GE115" s="343" t="str">
        <f>IF(C121="","",SUM(C121))</f>
        <v/>
      </c>
      <c r="GF115" s="344">
        <f>SUM(AH114)</f>
        <v>0</v>
      </c>
      <c r="GG115" s="344">
        <f>SUM(AJ114)</f>
        <v>0</v>
      </c>
      <c r="GH115" s="344">
        <f t="shared" ref="GH115" si="266">SUM(AK114)</f>
        <v>0</v>
      </c>
      <c r="GI115" s="344">
        <f t="shared" ref="GI115" si="267">SUM(AL114)</f>
        <v>0</v>
      </c>
      <c r="GJ115" s="344">
        <f>SUM(AH115)</f>
        <v>0</v>
      </c>
      <c r="GK115" s="344">
        <f>SUM(AJ115)</f>
        <v>0</v>
      </c>
      <c r="GL115" s="344">
        <f>SUM(AK115)</f>
        <v>0</v>
      </c>
      <c r="GM115" s="344">
        <f>SUM(AL115)</f>
        <v>0</v>
      </c>
      <c r="GN115" s="344">
        <f>SUM(AH116)</f>
        <v>0</v>
      </c>
      <c r="GO115" s="344">
        <f>SUM(AJ116)</f>
        <v>0</v>
      </c>
      <c r="GP115" s="344">
        <f>SUM(AK116)</f>
        <v>0</v>
      </c>
      <c r="GQ115" s="344">
        <f>SUM(AL116)</f>
        <v>0</v>
      </c>
      <c r="GR115" s="344">
        <f>SUM(AH117)</f>
        <v>0</v>
      </c>
      <c r="GS115" s="344">
        <f>SUM(AJ117)</f>
        <v>0</v>
      </c>
      <c r="GT115" s="344">
        <f>SUM(AK117)</f>
        <v>0</v>
      </c>
      <c r="GU115" s="344">
        <f>SUM(AL117)</f>
        <v>0</v>
      </c>
      <c r="GV115" s="344">
        <f>SUM(AH118)</f>
        <v>0</v>
      </c>
      <c r="GW115" s="344">
        <f>SUM(AJ118)</f>
        <v>0</v>
      </c>
      <c r="GX115" s="344">
        <f>SUM(AK118)</f>
        <v>0</v>
      </c>
      <c r="GY115" s="344">
        <f>SUM(AL118)</f>
        <v>0</v>
      </c>
      <c r="GZ115" s="344">
        <f>SUM(GF115,GJ115,GN115,GR115,GV115)</f>
        <v>0</v>
      </c>
      <c r="HA115" s="344">
        <f t="shared" ref="HA115" si="268">SUM(GG115,GK115,GO115,GS115,GW115)</f>
        <v>0</v>
      </c>
      <c r="HB115" s="344">
        <f>IF(GD114=1,L121,MAX(GH115,GL115,GP115,GT115,GX115))</f>
        <v>0</v>
      </c>
      <c r="HC115" s="344">
        <f>IF(GD114=1,I121,SUM(GI115,GM115,GQ115,GU115,GY115))</f>
        <v>0</v>
      </c>
      <c r="HD115" s="345">
        <f>IF(GD114=1,0,SUM(GF115,GJ115,GN115,GR115,GV115))</f>
        <v>0</v>
      </c>
      <c r="HE115" s="345">
        <f>IF(GD114=1,0,SUM(GG115,GK115,GO115,GS115,GW115))</f>
        <v>0</v>
      </c>
      <c r="HF115" s="341">
        <f>IF(GD114=1,0,MIN(HI115,HJ115,HK115,HL115,HM115))</f>
        <v>0</v>
      </c>
      <c r="HG115" s="341">
        <f>IF(HF115=0,0,COUNTIF(HI115:HM115,HF115))</f>
        <v>0</v>
      </c>
      <c r="HH115" s="341">
        <f>SUM(GH116,GL116,GP116,GT116,GX116)</f>
        <v>0</v>
      </c>
      <c r="HI115" s="343" t="str">
        <f>IF(GH116=1,GG115,"")</f>
        <v/>
      </c>
      <c r="HJ115" s="343" t="str">
        <f>IF(GL116=1,GK115,"")</f>
        <v/>
      </c>
      <c r="HK115" s="343" t="str">
        <f>IF(GP116=1,GO115,"")</f>
        <v/>
      </c>
      <c r="HL115" s="343" t="str">
        <f>IF(GT116=1,GS115,"")</f>
        <v/>
      </c>
      <c r="HM115" s="343" t="str">
        <f>IF(GX116=1,GW115,"")</f>
        <v/>
      </c>
      <c r="HN115" s="341"/>
      <c r="HO115" s="341" t="s">
        <v>928</v>
      </c>
      <c r="HP115" s="341" t="s">
        <v>982</v>
      </c>
      <c r="HQ115" s="341" t="s">
        <v>983</v>
      </c>
      <c r="HR115" s="341" t="s">
        <v>984</v>
      </c>
      <c r="HS115" s="238" t="s">
        <v>932</v>
      </c>
      <c r="HT115" s="238" t="s">
        <v>933</v>
      </c>
      <c r="HU115" s="238" t="s">
        <v>985</v>
      </c>
      <c r="HV115" s="238" t="s">
        <v>986</v>
      </c>
      <c r="HW115" s="238" t="str">
        <f>IFERROR(IF(GD114=0,SUM(HZ116:IA116),""),"")</f>
        <v/>
      </c>
      <c r="HY115" s="238"/>
      <c r="HZ115" s="238" t="s">
        <v>1132</v>
      </c>
      <c r="IA115" s="238" t="s">
        <v>1133</v>
      </c>
      <c r="IB115" s="238" t="s">
        <v>1132</v>
      </c>
      <c r="IC115" s="238" t="s">
        <v>1133</v>
      </c>
      <c r="ID115" s="238"/>
    </row>
    <row r="116" spans="1:238" s="234" customFormat="1" ht="20.100000000000001" customHeight="1">
      <c r="A116" s="235"/>
      <c r="B116" s="231">
        <f>COUNT(AJ117,AJ116)</f>
        <v>0</v>
      </c>
      <c r="C116" s="235"/>
      <c r="D116" s="271" t="str">
        <f>REPT(DN116,1)</f>
        <v>3</v>
      </c>
      <c r="E116" s="254" t="str">
        <f>REPT(AH116,1)</f>
        <v/>
      </c>
      <c r="F116" s="168"/>
      <c r="G116" s="168"/>
      <c r="H116" s="168"/>
      <c r="I116" s="169"/>
      <c r="J116" s="270" t="str">
        <f t="shared" ref="J116:J117" si="269">REPT(AM116,1)</f>
        <v/>
      </c>
      <c r="L116" s="312">
        <f>SUM(L114*3)</f>
        <v>0</v>
      </c>
      <c r="M116" s="307"/>
      <c r="N116" s="270" t="str">
        <f>REPT(AP116,1)</f>
        <v/>
      </c>
      <c r="P116" s="312">
        <f>SUM(P114*3)</f>
        <v>0</v>
      </c>
      <c r="Q116" s="310"/>
      <c r="R116" s="235"/>
      <c r="S116" s="271" t="str">
        <f>REPT(DO116,1)</f>
        <v>3</v>
      </c>
      <c r="T116" s="254" t="str">
        <f>REPT(AV116,1)</f>
        <v/>
      </c>
      <c r="U116" s="168"/>
      <c r="V116" s="168"/>
      <c r="W116" s="168"/>
      <c r="X116" s="169"/>
      <c r="Y116" s="270" t="str">
        <f t="shared" si="252"/>
        <v/>
      </c>
      <c r="Z116" s="308"/>
      <c r="AB116" s="234">
        <f>IF(AY116="",0,IF(AY116&lt;2,1,""))</f>
        <v>0</v>
      </c>
      <c r="AC116" s="238">
        <f t="shared" si="253"/>
        <v>0</v>
      </c>
      <c r="AD116" s="256">
        <f t="shared" si="254"/>
        <v>0</v>
      </c>
      <c r="AE116" s="256">
        <f t="shared" si="248"/>
        <v>0</v>
      </c>
      <c r="AF116" s="256">
        <f t="shared" si="249"/>
        <v>0</v>
      </c>
      <c r="AG116" s="256">
        <f t="shared" si="255"/>
        <v>0</v>
      </c>
      <c r="AH116" s="257" t="str">
        <f>IF(AK116="",IF(AI116="","",IF(AI116="",501,501-AI116)),501)</f>
        <v/>
      </c>
      <c r="AI116" s="256" t="str">
        <f>IF(F116&gt;1,F116,IF(F116=0,"",IF(F116="","","")))</f>
        <v/>
      </c>
      <c r="AJ116" s="256" t="str">
        <f>IF(G116&gt;8,G116,IF(G116="","",""))</f>
        <v/>
      </c>
      <c r="AK116" s="256" t="str">
        <f>IF(H116&gt;1,H116,IF(H116="","",""))</f>
        <v/>
      </c>
      <c r="AL116" s="256" t="str">
        <f>IF(I116&gt;0,I116,IF(I116="","",""))</f>
        <v/>
      </c>
      <c r="AM116" s="258" t="str">
        <f>IF(BK116=0,"","X")</f>
        <v/>
      </c>
      <c r="AN116" s="237"/>
      <c r="AO116" s="237"/>
      <c r="AP116" s="258" t="str">
        <f>IF(BM116=0,"","X")</f>
        <v/>
      </c>
      <c r="AQ116" s="236">
        <f t="shared" si="256"/>
        <v>0</v>
      </c>
      <c r="AR116" s="256">
        <f t="shared" si="257"/>
        <v>0</v>
      </c>
      <c r="AS116" s="256">
        <f t="shared" si="250"/>
        <v>0</v>
      </c>
      <c r="AT116" s="256">
        <f t="shared" si="251"/>
        <v>0</v>
      </c>
      <c r="AU116" s="256">
        <f t="shared" si="258"/>
        <v>0</v>
      </c>
      <c r="AV116" s="257" t="str">
        <f>IF(AY116="",IF(AW116="","",IF(AW116="",501,501-AW116)),501)</f>
        <v/>
      </c>
      <c r="AW116" s="256" t="str">
        <f>IF(U116&gt;1,U116,IF(U116=0,"",IF(U116="","","")))</f>
        <v/>
      </c>
      <c r="AX116" s="256" t="str">
        <f>IF(V116&gt;8,V116,IF(V116="","",""))</f>
        <v/>
      </c>
      <c r="AY116" s="256" t="str">
        <f>IF(W116&gt;1,W116,IF(W116="","",""))</f>
        <v/>
      </c>
      <c r="AZ116" s="256" t="str">
        <f>IF(X116&gt;0,X116,IF(X116="","",""))</f>
        <v/>
      </c>
      <c r="BA116" s="258" t="str">
        <f>IF(BL116=0,"","X")</f>
        <v/>
      </c>
      <c r="BK116" s="251">
        <f>SUM(DD116,DV116,EY116,ED116,FF116,BQ116,BS116,AC116,BK123)</f>
        <v>0</v>
      </c>
      <c r="BL116" s="251">
        <f>SUM(DE116,DW116,EE116,FT116,GA116,BR116,BT116,AQ116,BL123,CZ116)</f>
        <v>0</v>
      </c>
      <c r="BM116" s="259">
        <f t="shared" si="259"/>
        <v>0</v>
      </c>
      <c r="BN116" s="239">
        <f>COUNT(AK116)</f>
        <v>0</v>
      </c>
      <c r="BO116" s="239">
        <f>COUNT(AY116)</f>
        <v>0</v>
      </c>
      <c r="BP116" s="239">
        <f>IF(BN118=0,0,1)</f>
        <v>0</v>
      </c>
      <c r="BQ116" s="260">
        <f>IF(AL116="",0,IF(AL116&gt;2,1,0))</f>
        <v>0</v>
      </c>
      <c r="BR116" s="261">
        <f>IF(AZ116="",0,IF(AZ116&gt;2,1,0))</f>
        <v>0</v>
      </c>
      <c r="BS116" s="262">
        <f>IF(AJ116=9,IF(AK116&lt;141,1,0),0)</f>
        <v>0</v>
      </c>
      <c r="BT116" s="263">
        <f>IF(AX116=9,IF(AY116&lt;141,1,0),0)</f>
        <v>0</v>
      </c>
      <c r="BU116" s="242">
        <f>IF(H116,G116,0)</f>
        <v>0</v>
      </c>
      <c r="BV116" s="238">
        <f>IF(BU116&gt;0,AJ116/3,0)</f>
        <v>0</v>
      </c>
      <c r="BW116" s="238">
        <f>ROUNDUP(BV116,0)</f>
        <v>0</v>
      </c>
      <c r="BX116" s="244">
        <f>IF(MOD(BW116,2)=0,BW116,BW116+1)</f>
        <v>0</v>
      </c>
      <c r="BY116" s="238">
        <f>IF(AJ116&lt;9,"",SUM(BX116-BW116))</f>
        <v>0</v>
      </c>
      <c r="BZ116" s="238">
        <f>IF(BY116=1,AK116,0)</f>
        <v>0</v>
      </c>
      <c r="CA116" s="243" t="str">
        <f>IF(BY116=0,AK116,0)</f>
        <v/>
      </c>
      <c r="CB116" s="238"/>
      <c r="CC116" s="238"/>
      <c r="CD116" s="242">
        <f>IF(W116,V116,0)</f>
        <v>0</v>
      </c>
      <c r="CE116" s="238">
        <f>IF(CD116&gt;0,AX116/3,0)</f>
        <v>0</v>
      </c>
      <c r="CF116" s="238">
        <f>ROUNDUP(CE116,0)</f>
        <v>0</v>
      </c>
      <c r="CG116" s="244">
        <f>IF(MOD(CF116,2)=0,CF116,CF116+1)</f>
        <v>0</v>
      </c>
      <c r="CH116" s="238">
        <f>IF(AX116&lt;9,"",SUM(CG116-CF116))</f>
        <v>0</v>
      </c>
      <c r="CI116" s="238">
        <f>IF(CH116=1,AY116,0)</f>
        <v>0</v>
      </c>
      <c r="CJ116" s="243" t="str">
        <f>IF(CH116=0,AY116,0)</f>
        <v/>
      </c>
      <c r="CK116" s="238"/>
      <c r="CL116" s="245">
        <f>IF(COUNT(F116,H116)=1,0,1)</f>
        <v>1</v>
      </c>
      <c r="CM116" s="245">
        <f>IF(COUNT(F116,U116)=1,0,1)</f>
        <v>1</v>
      </c>
      <c r="CN116" s="245">
        <f>IF(COUNT(H116,W116)=1,0,1)</f>
        <v>1</v>
      </c>
      <c r="CO116" s="245">
        <f>IF(COUNT(G116,V116)=2,0,1)</f>
        <v>1</v>
      </c>
      <c r="CP116" s="245">
        <f>IF(COUNT(U116,W116)=1,0,1)</f>
        <v>1</v>
      </c>
      <c r="CQ116" s="245">
        <f>IF(SUM(G116-V116)&gt;3,1,0)</f>
        <v>0</v>
      </c>
      <c r="CR116" s="245">
        <f>IF(SUM(G116-V116)&lt;-3,1,0)</f>
        <v>0</v>
      </c>
      <c r="CS116" s="264">
        <f>IF(AJ116=9,IF(AH116&lt;141,1,0),IF(AH116="",0,IF(AH116&gt;1,0,1)))</f>
        <v>0</v>
      </c>
      <c r="CT116" s="264">
        <f>IF(AX116=9,IF(AV116&lt;141,1,0),IF(AV116="",0,IF(AV116&gt;1,0,1)))</f>
        <v>0</v>
      </c>
      <c r="CU116" s="264">
        <f>IF(AI116="",0,IF(AI116&lt;502,0,1))</f>
        <v>0</v>
      </c>
      <c r="CV116" s="264">
        <f>IF(AW116="",0,IF(AW116&lt;502,0,1))</f>
        <v>0</v>
      </c>
      <c r="CW116" s="264">
        <f>IF(AI116="",IF(AJ116&lt;9,1,0),IF(AJ116&lt;9,1,0))</f>
        <v>0</v>
      </c>
      <c r="CX116" s="264">
        <f>IF(AW116="",IF(AX116&lt;9,1,0),IF(AX116&lt;9,1,0))</f>
        <v>0</v>
      </c>
      <c r="CY116" s="374">
        <f>COUNT(U114,U115,U116)</f>
        <v>0</v>
      </c>
      <c r="CZ116" s="375">
        <f>IF(AL111=3,IF(CY116&gt;2,1,0),0)</f>
        <v>0</v>
      </c>
      <c r="DA116" s="374"/>
      <c r="DB116" s="374"/>
      <c r="DC116" s="265">
        <f>IF(AJ116="",0,SUM(CL116:CX116))</f>
        <v>0</v>
      </c>
      <c r="DD116" s="265">
        <f>IF(AJ116="",0,SUM(CL116,CS116,CU116,CW116))</f>
        <v>0</v>
      </c>
      <c r="DE116" s="265">
        <f>IF(AJ116="",0,SUM(CP116,CT116,CV116,CX116))</f>
        <v>0</v>
      </c>
      <c r="DF116" s="238"/>
      <c r="DG116" s="248">
        <f>SUM(G116-V116)</f>
        <v>0</v>
      </c>
      <c r="DH116" s="245">
        <f>IF(F116="",0,1)</f>
        <v>0</v>
      </c>
      <c r="DI116" s="245">
        <f t="shared" si="260"/>
        <v>0</v>
      </c>
      <c r="DJ116" s="245">
        <f t="shared" si="261"/>
        <v>0</v>
      </c>
      <c r="DK116" s="245" t="str">
        <f>IF(G116="","",IF(DJ116=1,"*",""))</f>
        <v/>
      </c>
      <c r="DL116" s="245" t="str">
        <f>IF(G116="","",IF(DJ116=-1,"*",IF(DJ116=0,"*","")))</f>
        <v/>
      </c>
      <c r="DM116" s="245">
        <v>3</v>
      </c>
      <c r="DN116" s="245" t="str">
        <f t="shared" si="262"/>
        <v>3</v>
      </c>
      <c r="DO116" s="245" t="str">
        <f t="shared" si="263"/>
        <v>3</v>
      </c>
      <c r="DP116" s="245">
        <f>SUM(DP114)</f>
        <v>0</v>
      </c>
      <c r="DQ116" s="245">
        <f>SUM(DQ114)</f>
        <v>0</v>
      </c>
      <c r="DR116" s="245">
        <f t="shared" ref="DR116:DR118" si="270">IF(DK116="*",1,0)</f>
        <v>0</v>
      </c>
      <c r="DS116" s="245">
        <f t="shared" ref="DS116:DS118" si="271">IF(DL116="*",1,0)</f>
        <v>0</v>
      </c>
      <c r="DT116" s="245">
        <f t="shared" ref="DT116:DT118" si="272">IF(H106="",0,IF(DP116=DR116,1,0))</f>
        <v>0</v>
      </c>
      <c r="DU116" s="245">
        <f>IF(V116="",0,IF(DQ116=DS116,0,1))</f>
        <v>0</v>
      </c>
      <c r="DV116" s="267">
        <f t="shared" ref="DV116:DV118" si="273">SUM(DT116)</f>
        <v>0</v>
      </c>
      <c r="DW116" s="267">
        <f>IF(V116="",0,SUM(DU116))</f>
        <v>0</v>
      </c>
      <c r="DX116" s="238">
        <f>IF(AK116="",0,1)</f>
        <v>0</v>
      </c>
      <c r="DY116" s="238">
        <f>IF(DG116=-3,1,0)</f>
        <v>0</v>
      </c>
      <c r="DZ116" s="238">
        <f>SUM(DX116:DY116)</f>
        <v>0</v>
      </c>
      <c r="EA116" s="238">
        <f>IF(AK116="",1,0)</f>
        <v>1</v>
      </c>
      <c r="EB116" s="238">
        <f>IF(DG116=3,1,0)</f>
        <v>0</v>
      </c>
      <c r="EC116" s="238">
        <f>SUM(EA116:EB116)</f>
        <v>1</v>
      </c>
      <c r="ED116" s="267">
        <f>IF(EC116=2,1,0)</f>
        <v>0</v>
      </c>
      <c r="EE116" s="267">
        <f>IF(DZ116=2,1,0)</f>
        <v>0</v>
      </c>
      <c r="EG116" s="166"/>
      <c r="EH116" s="238"/>
      <c r="EI116" s="238"/>
      <c r="EJ116" s="238"/>
      <c r="EK116" s="238"/>
      <c r="EL116" s="238"/>
      <c r="EM116" s="245">
        <f>IF(AK116="",0,1)</f>
        <v>0</v>
      </c>
      <c r="EN116" s="245">
        <f>SUM(AK116)</f>
        <v>0</v>
      </c>
      <c r="EO116" s="268">
        <f>SUM(AJ116)</f>
        <v>0</v>
      </c>
      <c r="EP116" s="268">
        <f>SUM(G116/3)</f>
        <v>0</v>
      </c>
      <c r="EQ116" s="268" t="e">
        <f>SUM(EO116/EP116)</f>
        <v>#DIV/0!</v>
      </c>
      <c r="ER116" s="268">
        <f>ROUNDDOWN(EP116,0)</f>
        <v>0</v>
      </c>
      <c r="ES116" s="268">
        <f>SUM(EO116,-ER116*3)</f>
        <v>0</v>
      </c>
      <c r="ET116" s="269" t="b">
        <f>MOD(EN116/1,2)=0</f>
        <v>1</v>
      </c>
      <c r="EU116" s="245">
        <f>IF(ET116=FALSE,1,0)</f>
        <v>0</v>
      </c>
      <c r="EV116" s="245">
        <f>IF(EN116=50,0,IF(EN116&lt;40,1,0))</f>
        <v>1</v>
      </c>
      <c r="EW116" s="245">
        <f>SUM(EU116:EV116)</f>
        <v>1</v>
      </c>
      <c r="EX116" s="267">
        <f>IF(EN116=1,1,IF(EN116=50,0,IF(ES116=1,IF(EN116&gt;40,1,0),0)))</f>
        <v>0</v>
      </c>
      <c r="EY116" s="267">
        <f>IF(ES116=1,IF(EW116=2,1,0),0)+EX116+FB116+FE116</f>
        <v>0</v>
      </c>
      <c r="EZ116" s="245">
        <f>IF(EN116=109,1,IF(EN116=108,1,IF(EN116=106,1,IF(EN116=105,1,IF(EN116=103,1,IF(EN116=102,1,IF(EN116=99,1,0)))))))</f>
        <v>0</v>
      </c>
      <c r="FA116" s="245">
        <f>IF(EN116&gt;110,1,0)</f>
        <v>0</v>
      </c>
      <c r="FB116" s="267">
        <f>IF(ES116=2,SUM(EZ116:FA116),0)</f>
        <v>0</v>
      </c>
      <c r="FC116" s="245">
        <f>IF(EN116=159,1,IF(EN116=162,1,IF(EN116=163,1,IF(EN116=165,1,IF(EN116=166,1,IF(EN116=168,1,IF(EN116=169,1,0)))))))</f>
        <v>0</v>
      </c>
      <c r="FD116" s="245">
        <f>IF(EN116&gt;170,1,0)</f>
        <v>0</v>
      </c>
      <c r="FE116" s="267">
        <f>IF(ES116=0,SUM(FC116:FD116),0)</f>
        <v>0</v>
      </c>
      <c r="FF116" s="251">
        <f t="shared" si="264"/>
        <v>0</v>
      </c>
      <c r="FG116" s="238"/>
      <c r="FH116" s="245">
        <f>IF(AY116="",0,1)</f>
        <v>0</v>
      </c>
      <c r="FI116" s="245">
        <f>SUM(AY116)</f>
        <v>0</v>
      </c>
      <c r="FJ116" s="268">
        <f>SUM(AX116)</f>
        <v>0</v>
      </c>
      <c r="FK116" s="268">
        <f>SUM(V116/3)</f>
        <v>0</v>
      </c>
      <c r="FL116" s="268" t="e">
        <f>SUM(FJ116/FK116)</f>
        <v>#DIV/0!</v>
      </c>
      <c r="FM116" s="268">
        <f>ROUNDDOWN(FK116,0)</f>
        <v>0</v>
      </c>
      <c r="FN116" s="268">
        <f>SUM(FJ116,-FM116*3)</f>
        <v>0</v>
      </c>
      <c r="FO116" s="269" t="b">
        <f>MOD(FI116/1,2)=0</f>
        <v>1</v>
      </c>
      <c r="FP116" s="245">
        <f>IF(FO116=FALSE,1,0)</f>
        <v>0</v>
      </c>
      <c r="FQ116" s="245">
        <f>IF(FI116=50,0,IF(FI116&lt;40,1,0))</f>
        <v>1</v>
      </c>
      <c r="FR116" s="245">
        <f>SUM(FP116:FQ116)</f>
        <v>1</v>
      </c>
      <c r="FS116" s="267">
        <f>IF(FI116=1,1,IF(FI116=50,0,IF(FN116=1,IF(FI116&gt;40,1,0),0)))</f>
        <v>0</v>
      </c>
      <c r="FT116" s="267">
        <f>IF(FN116=1,IF(FR116=2,1,0),0)+FS116+FW116+FZ116</f>
        <v>0</v>
      </c>
      <c r="FU116" s="245">
        <f>IF(FI116=109,1,IF(FI116=108,1,IF(FI116=106,1,IF(FI116=105,1,IF(FI116=103,1,IF(FI116=102,1,IF(FI116=99,1,0)))))))</f>
        <v>0</v>
      </c>
      <c r="FV116" s="245">
        <f>IF(FI116&gt;110,1,0)</f>
        <v>0</v>
      </c>
      <c r="FW116" s="267">
        <f>IF(FN116=2,SUM(FU116:FV116),0)</f>
        <v>0</v>
      </c>
      <c r="FX116" s="245">
        <f>IF(FI116=159,1,IF(FI116=162,1,IF(FI116=163,1,IF(FI116=165,1,IF(FI116=166,1,IF(FI116=168,1,IF(FI116=169,1,0)))))))</f>
        <v>0</v>
      </c>
      <c r="FY116" s="245">
        <f>IF(FI116&gt;170,1,0)</f>
        <v>0</v>
      </c>
      <c r="FZ116" s="267">
        <f>IF(FN116=0,SUM(FX116:FY116),0)</f>
        <v>0</v>
      </c>
      <c r="GA116" s="251">
        <f t="shared" si="265"/>
        <v>0</v>
      </c>
      <c r="GC116" s="238" t="str">
        <f>VLOOKUP(AH111,Chema!BL:BR,3,FALSE)</f>
        <v/>
      </c>
      <c r="GD116" s="341"/>
      <c r="GE116" s="343" t="str">
        <f>IF(C122="","",SUM(C122))</f>
        <v/>
      </c>
      <c r="GF116" s="346"/>
      <c r="GG116" s="340"/>
      <c r="GH116" s="343">
        <f>IF(GH115&gt;0,1,0)</f>
        <v>0</v>
      </c>
      <c r="GI116" s="346"/>
      <c r="GJ116" s="343"/>
      <c r="GK116" s="340"/>
      <c r="GL116" s="343">
        <f>IF(GL115&gt;0,1,0)</f>
        <v>0</v>
      </c>
      <c r="GM116" s="343"/>
      <c r="GN116" s="343"/>
      <c r="GO116" s="340"/>
      <c r="GP116" s="343">
        <f>IF(GP115&gt;0,1,0)</f>
        <v>0</v>
      </c>
      <c r="GQ116" s="343"/>
      <c r="GR116" s="343"/>
      <c r="GS116" s="340"/>
      <c r="GT116" s="343">
        <f>IF(GT115&gt;0,1,0)</f>
        <v>0</v>
      </c>
      <c r="GU116" s="343"/>
      <c r="GV116" s="343"/>
      <c r="GW116" s="340"/>
      <c r="GX116" s="343">
        <f>IF(GX115&gt;0,1,0)</f>
        <v>0</v>
      </c>
      <c r="GY116" s="343"/>
      <c r="GZ116" s="343"/>
      <c r="HA116" s="343"/>
      <c r="HB116" s="343" t="str">
        <f>IF(GD114=1,L122,"")</f>
        <v/>
      </c>
      <c r="HC116" s="343" t="str">
        <f>IF(GD114=1,I122,"")</f>
        <v/>
      </c>
      <c r="HD116" s="345"/>
      <c r="HE116" s="340"/>
      <c r="HF116" s="340"/>
      <c r="HG116" s="347">
        <f>IF(GE115="",0,IF(AL111=3,2,IF(AL111=5,3,0)))</f>
        <v>0</v>
      </c>
      <c r="HH116" s="347">
        <f>IF(HK116=0,0,IF(HG118=0,0,1))</f>
        <v>0</v>
      </c>
      <c r="HI116" s="340"/>
      <c r="HJ116" s="340"/>
      <c r="HK116" s="340">
        <f>SUM(HM114,HM118)</f>
        <v>0</v>
      </c>
      <c r="HL116" s="340">
        <f>IF(HK116=0,0,IF(HM114=HG116,1,0))</f>
        <v>0</v>
      </c>
      <c r="HM116" s="340">
        <f>IF(HK116=0,0,IF(HM118=HG116,1,0))</f>
        <v>0</v>
      </c>
      <c r="HN116" s="341" t="str">
        <f>REPT(N111,1)</f>
        <v>Spiel 8</v>
      </c>
      <c r="HO116" s="348" t="str">
        <f>IF(HK116=0,"",IF(HH116=0,SUM(HH115),""))</f>
        <v/>
      </c>
      <c r="HP116" s="348" t="str">
        <f>IF(HK116=0,"",IF(HH116=0,SUM(HH117),""))</f>
        <v/>
      </c>
      <c r="HQ116" s="348" t="e">
        <f>IF(HH116=0,SUM(GZ115/HA115),"")</f>
        <v>#DIV/0!</v>
      </c>
      <c r="HR116" s="348" t="e">
        <f>IF(HH116=0,SUM(GZ117/HA117),"")</f>
        <v>#DIV/0!</v>
      </c>
      <c r="HS116" s="238" t="str">
        <f>REPT(DK114,1)</f>
        <v/>
      </c>
      <c r="HT116" s="238" t="str">
        <f>REPT(DL114,1)</f>
        <v/>
      </c>
      <c r="HU116" s="238">
        <f>IF(HH116=0,HL116,"")</f>
        <v>0</v>
      </c>
      <c r="HV116" s="238">
        <f>IF(HH116=0,HM116,"")</f>
        <v>0</v>
      </c>
      <c r="HW116" s="238" t="s">
        <v>1131</v>
      </c>
      <c r="HY116" s="238"/>
      <c r="HZ116" s="238" t="e">
        <f>IF(AL111=5,IF(HU116=1,SUM(HO116*2-HP116),HO116+HP116-2),"")</f>
        <v>#VALUE!</v>
      </c>
      <c r="IA116" s="238" t="str">
        <f>IF(AL111=3,IF(HU116=1,SUM(HO116-HP116+3),HO116+HP116-1),"")</f>
        <v/>
      </c>
      <c r="IB116" s="238" t="e">
        <f>IF(AL111=5,IF(HV116=1,SUM(HP116*2-HO116),HO116+HP116-2),"")</f>
        <v>#VALUE!</v>
      </c>
      <c r="IC116" s="238" t="str">
        <f>IF(AL111=3,IF(HV116=1,SUM(HP116-HO116+3),HO116+HP116-1),"")</f>
        <v/>
      </c>
      <c r="ID116" s="238">
        <f>SUM(BM120)</f>
        <v>0</v>
      </c>
    </row>
    <row r="117" spans="1:238" s="234" customFormat="1" ht="20.100000000000001" customHeight="1">
      <c r="A117" s="235"/>
      <c r="B117" s="231">
        <f>COUNT(AJ118,AJ117)</f>
        <v>0</v>
      </c>
      <c r="C117" s="235"/>
      <c r="D117" s="328" t="str">
        <f>REPT(DN117,1)</f>
        <v>4</v>
      </c>
      <c r="E117" s="329" t="str">
        <f>REPT(AH117,1)</f>
        <v/>
      </c>
      <c r="F117" s="330"/>
      <c r="G117" s="330"/>
      <c r="H117" s="330"/>
      <c r="I117" s="331"/>
      <c r="J117" s="270" t="str">
        <f t="shared" si="269"/>
        <v/>
      </c>
      <c r="M117" s="311"/>
      <c r="N117" s="270" t="str">
        <f>REPT(AP117,1)</f>
        <v/>
      </c>
      <c r="Q117" s="310"/>
      <c r="R117" s="235"/>
      <c r="S117" s="328" t="str">
        <f>REPT(DO117,1)</f>
        <v>4</v>
      </c>
      <c r="T117" s="329" t="str">
        <f>REPT(AV117,1)</f>
        <v/>
      </c>
      <c r="U117" s="330"/>
      <c r="V117" s="330"/>
      <c r="W117" s="330"/>
      <c r="X117" s="331"/>
      <c r="Y117" s="270" t="str">
        <f t="shared" si="252"/>
        <v/>
      </c>
      <c r="Z117" s="308"/>
      <c r="AA117" s="238">
        <f>SUM(AL111)</f>
        <v>5</v>
      </c>
      <c r="AB117" s="234">
        <f>IF(AY117="",0,IF(AY117&lt;2,1,""))</f>
        <v>0</v>
      </c>
      <c r="AC117" s="238">
        <f>IF(AL111=3,0,IF(AD117=1,1,IF(AD117=3,1,IF(AD117=2,0,IF(AD117=0,0,0)))))</f>
        <v>0</v>
      </c>
      <c r="AD117" s="256">
        <f t="shared" si="254"/>
        <v>0</v>
      </c>
      <c r="AE117" s="256">
        <f t="shared" si="248"/>
        <v>0</v>
      </c>
      <c r="AF117" s="256">
        <f t="shared" si="249"/>
        <v>0</v>
      </c>
      <c r="AG117" s="256">
        <f t="shared" si="255"/>
        <v>0</v>
      </c>
      <c r="AH117" s="257" t="str">
        <f>IF(AL111=3,"",IF(AK117="",IF(AI117="","",IF(AI117="",501,501-AI117)),501))</f>
        <v/>
      </c>
      <c r="AI117" s="256" t="str">
        <f>IF(AL111=3,"",IF(F117&gt;1,F117,IF(F117=0,"",IF(F117="","",""))))</f>
        <v/>
      </c>
      <c r="AJ117" s="256" t="str">
        <f>IF(AL111=3,"",IF(G117&gt;8,G117,IF(G117="","","")))</f>
        <v/>
      </c>
      <c r="AK117" s="256" t="str">
        <f>IF(AL111=3,"",IF(H117&gt;1,H117,IF(H117="","","")))</f>
        <v/>
      </c>
      <c r="AL117" s="256" t="str">
        <f>IF(AL111=3,"",IF(I117&gt;0,I117,IF(I117="","","")))</f>
        <v/>
      </c>
      <c r="AM117" s="258" t="str">
        <f>IF(BK117=0,"","X")</f>
        <v/>
      </c>
      <c r="AN117" s="237"/>
      <c r="AO117" s="237"/>
      <c r="AP117" s="258" t="str">
        <f>IF(BM117=0,"","X")</f>
        <v/>
      </c>
      <c r="AQ117" s="236">
        <f>IF(AL111=3,0,IF(AR117=1,1,IF(AR117=3,1,IF(AR117=2,0,IF(AR117=0,0,0)))))</f>
        <v>0</v>
      </c>
      <c r="AR117" s="256">
        <f t="shared" si="257"/>
        <v>0</v>
      </c>
      <c r="AS117" s="256">
        <f t="shared" si="250"/>
        <v>0</v>
      </c>
      <c r="AT117" s="256">
        <f t="shared" si="251"/>
        <v>0</v>
      </c>
      <c r="AU117" s="256">
        <f t="shared" si="258"/>
        <v>0</v>
      </c>
      <c r="AV117" s="257" t="str">
        <f>IF(AY117="",IF(AW117="","",IF(AW117="",501,501-AW117)),501)</f>
        <v/>
      </c>
      <c r="AW117" s="256" t="str">
        <f>IF(AL111=3,"",IF(U117&gt;1,U117,IF(U117=0,"",IF(U117="","",""))))</f>
        <v/>
      </c>
      <c r="AX117" s="256" t="str">
        <f>IF(AL111=3,"",IF(V117&gt;8,V117,IF(V117="","","")))</f>
        <v/>
      </c>
      <c r="AY117" s="256" t="str">
        <f>IF(AL111=3,"",IF(W117&gt;1,W117,IF(W117="","","")))</f>
        <v/>
      </c>
      <c r="AZ117" s="256" t="str">
        <f>IF(AL111=3,"",IF(X117&gt;0,X117,IF(X117="","","")))</f>
        <v/>
      </c>
      <c r="BA117" s="258" t="str">
        <f>IF(BL117=0,"","X")</f>
        <v/>
      </c>
      <c r="BK117" s="251">
        <f>IF(AL111=3,0,SUM(DD117,DV117,EY117,ED117,FF117,BQ117,BS117,AC117))</f>
        <v>0</v>
      </c>
      <c r="BL117" s="251">
        <f>IF(AL111=3,0,SUM(DE117,DW117,EE117,FT117,GA117,BR117,BT117,AQ117))</f>
        <v>0</v>
      </c>
      <c r="BM117" s="259">
        <f>IF(AL111=3,0,SUM(DC117,BK117:BL117,AC117,AQ117))</f>
        <v>0</v>
      </c>
      <c r="BN117" s="239">
        <f>COUNT(AK117)</f>
        <v>0</v>
      </c>
      <c r="BO117" s="239">
        <f>COUNT(AY117)</f>
        <v>0</v>
      </c>
      <c r="BP117" s="239">
        <f>IF(BZ119=0,0,1)</f>
        <v>0</v>
      </c>
      <c r="BQ117" s="260">
        <f>IF(AL117="",0,IF(AL117&gt;2,1,0))</f>
        <v>0</v>
      </c>
      <c r="BR117" s="261">
        <f>IF(AZ117="",0,IF(AZ117&gt;2,1,0))</f>
        <v>0</v>
      </c>
      <c r="BS117" s="262">
        <f>IF(AJ117=9,IF(AK117&lt;141,1,0),0)</f>
        <v>0</v>
      </c>
      <c r="BT117" s="263">
        <f>IF(AX117=9,IF(AY117&lt;141,1,0),0)</f>
        <v>0</v>
      </c>
      <c r="BU117" s="242">
        <f>IF(AL111=3,0,IF(H117,G117,0))</f>
        <v>0</v>
      </c>
      <c r="BV117" s="238">
        <f>IF(BU117&gt;0,AJ117/3,0)</f>
        <v>0</v>
      </c>
      <c r="BW117" s="238">
        <f>ROUNDUP(BV117,0)</f>
        <v>0</v>
      </c>
      <c r="BX117" s="244">
        <f>IF(MOD(BW117,2)=0,BW117,BW117+1)</f>
        <v>0</v>
      </c>
      <c r="BY117" s="238">
        <f>IF(AJ117&lt;9,"",SUM(BX117-BW117))</f>
        <v>0</v>
      </c>
      <c r="BZ117" s="238">
        <f>IF(BY117=1,AK117,0)</f>
        <v>0</v>
      </c>
      <c r="CA117" s="243" t="str">
        <f>IF(BY117=0,AK117,0)</f>
        <v/>
      </c>
      <c r="CB117" s="238"/>
      <c r="CC117" s="238"/>
      <c r="CD117" s="242">
        <f>IF(AL111=3,0,IF(W117,V117,0))</f>
        <v>0</v>
      </c>
      <c r="CE117" s="238">
        <f>IF(CD117&gt;0,AX117/3,0)</f>
        <v>0</v>
      </c>
      <c r="CF117" s="238">
        <f>ROUNDUP(CE117,0)</f>
        <v>0</v>
      </c>
      <c r="CG117" s="244">
        <f>IF(MOD(CF117,2)=0,CF117,CF117+1)</f>
        <v>0</v>
      </c>
      <c r="CH117" s="238">
        <f>IF(AX117&lt;9,"",SUM(CG117-CF117))</f>
        <v>0</v>
      </c>
      <c r="CI117" s="238">
        <f>IF(CH117=1,AY117,0)</f>
        <v>0</v>
      </c>
      <c r="CJ117" s="243" t="str">
        <f>IF(CH117=0,AY117,0)</f>
        <v/>
      </c>
      <c r="CK117" s="238"/>
      <c r="CL117" s="245">
        <f>IF(COUNT(F117,H117)=1,0,1)</f>
        <v>1</v>
      </c>
      <c r="CM117" s="245">
        <f>IF(COUNT(F117,U117)=1,0,1)</f>
        <v>1</v>
      </c>
      <c r="CN117" s="245">
        <f>IF(COUNT(H117,W117)=1,0,1)</f>
        <v>1</v>
      </c>
      <c r="CO117" s="245">
        <f>IF(COUNT(G117,V117)=2,0,1)</f>
        <v>1</v>
      </c>
      <c r="CP117" s="245">
        <f>IF(COUNT(U117,W117)=1,0,1)</f>
        <v>1</v>
      </c>
      <c r="CQ117" s="245">
        <f>IF(SUM(G117-V117)&gt;3,1,0)</f>
        <v>0</v>
      </c>
      <c r="CR117" s="245">
        <f>IF(SUM(G117-V117)&lt;-3,1,0)</f>
        <v>0</v>
      </c>
      <c r="CS117" s="264">
        <f>IF(AJ117=9,IF(AH117&lt;141,1,0),IF(AH117="",0,IF(AH117&gt;1,0,1)))</f>
        <v>0</v>
      </c>
      <c r="CT117" s="264">
        <f>IF(AX117=9,IF(AV117&lt;141,1,0),IF(AV117="",0,IF(AV117&gt;1,0,1)))</f>
        <v>0</v>
      </c>
      <c r="CU117" s="264">
        <f>IF(AI117="",0,IF(AI117&lt;502,0,1))</f>
        <v>0</v>
      </c>
      <c r="CV117" s="264">
        <f>IF(AW117="",0,IF(AW117&lt;502,0,1))</f>
        <v>0</v>
      </c>
      <c r="CW117" s="264">
        <f>IF(AI117="",IF(AJ117&lt;9,1,0),IF(AJ117&lt;9,1,0))</f>
        <v>0</v>
      </c>
      <c r="CX117" s="264">
        <f>IF(AW117="",IF(AX117&lt;9,1,0),IF(AX117&lt;9,1,0))</f>
        <v>0</v>
      </c>
      <c r="CY117" s="374"/>
      <c r="CZ117" s="374"/>
      <c r="DA117" s="374"/>
      <c r="DB117" s="374"/>
      <c r="DC117" s="265">
        <f>IF(AJ117="",0,SUM(CL117:CX117))</f>
        <v>0</v>
      </c>
      <c r="DD117" s="265">
        <f>IF(AJ117="",0,SUM(CL117,CS117,CU117,CW117))</f>
        <v>0</v>
      </c>
      <c r="DE117" s="265">
        <f>IF(AJ117="",0,SUM(CP117,CT117,CV117,CX117))</f>
        <v>0</v>
      </c>
      <c r="DF117" s="238"/>
      <c r="DG117" s="248">
        <f>IF(AL111=3,0,SUM(G117-V117))</f>
        <v>0</v>
      </c>
      <c r="DH117" s="245">
        <f>IF(F117="",0,1)</f>
        <v>0</v>
      </c>
      <c r="DI117" s="245">
        <f t="shared" si="260"/>
        <v>0</v>
      </c>
      <c r="DJ117" s="245">
        <f t="shared" si="261"/>
        <v>0</v>
      </c>
      <c r="DK117" s="245" t="str">
        <f>IF(G117="","",IF(DJ117=1,"*",""))</f>
        <v/>
      </c>
      <c r="DL117" s="245" t="str">
        <f>IF(AL111=3,"",IF(G117="","",IF(DJ117=-1,"*",IF(DJ117=0,"*",""))))</f>
        <v/>
      </c>
      <c r="DM117" s="245">
        <v>4</v>
      </c>
      <c r="DN117" s="245" t="str">
        <f t="shared" si="262"/>
        <v>4</v>
      </c>
      <c r="DO117" s="245" t="str">
        <f t="shared" si="263"/>
        <v>4</v>
      </c>
      <c r="DP117" s="245">
        <f>SUM(DQ114)</f>
        <v>0</v>
      </c>
      <c r="DQ117" s="245">
        <f>SUM(DP114)</f>
        <v>0</v>
      </c>
      <c r="DR117" s="245">
        <f t="shared" si="270"/>
        <v>0</v>
      </c>
      <c r="DS117" s="245">
        <f t="shared" si="271"/>
        <v>0</v>
      </c>
      <c r="DT117" s="245">
        <f t="shared" si="272"/>
        <v>0</v>
      </c>
      <c r="DU117" s="245">
        <f>IF(V117="",0,IF(DQ117=DS117,0,1))</f>
        <v>0</v>
      </c>
      <c r="DV117" s="267">
        <f t="shared" si="273"/>
        <v>0</v>
      </c>
      <c r="DW117" s="267">
        <f>IF(V117="",0,SUM(DU117))</f>
        <v>0</v>
      </c>
      <c r="DX117" s="238">
        <f>IF(AK117="",0,1)</f>
        <v>0</v>
      </c>
      <c r="DY117" s="238">
        <f>IF(DG117=-3,1,0)</f>
        <v>0</v>
      </c>
      <c r="DZ117" s="238">
        <f>SUM(DX117:DY117)</f>
        <v>0</v>
      </c>
      <c r="EA117" s="238">
        <f>IF(AK117="",1,0)</f>
        <v>1</v>
      </c>
      <c r="EB117" s="238">
        <f>IF(DG117=3,1,0)</f>
        <v>0</v>
      </c>
      <c r="EC117" s="238">
        <f>SUM(EA117:EB117)</f>
        <v>1</v>
      </c>
      <c r="ED117" s="267">
        <f>IF(EC117=2,1,0)</f>
        <v>0</v>
      </c>
      <c r="EE117" s="267">
        <f>IF(DZ117=2,1,0)</f>
        <v>0</v>
      </c>
      <c r="EG117" s="166"/>
      <c r="EH117" s="238"/>
      <c r="EI117" s="238"/>
      <c r="EJ117" s="238"/>
      <c r="EK117" s="238"/>
      <c r="EL117" s="238"/>
      <c r="EM117" s="245">
        <f>IF(AK117="",0,1)</f>
        <v>0</v>
      </c>
      <c r="EN117" s="245">
        <f>SUM(AK117)</f>
        <v>0</v>
      </c>
      <c r="EO117" s="268">
        <f>SUM(AJ117)</f>
        <v>0</v>
      </c>
      <c r="EP117" s="268">
        <f>SUM(G117/3)</f>
        <v>0</v>
      </c>
      <c r="EQ117" s="268" t="e">
        <f>SUM(EO117/EP117)</f>
        <v>#DIV/0!</v>
      </c>
      <c r="ER117" s="268">
        <f>ROUNDDOWN(EP117,0)</f>
        <v>0</v>
      </c>
      <c r="ES117" s="268">
        <f>SUM(EO117,-ER117*3)</f>
        <v>0</v>
      </c>
      <c r="ET117" s="269" t="b">
        <f>MOD(EN117/1,2)=0</f>
        <v>1</v>
      </c>
      <c r="EU117" s="245">
        <f>IF(ET117=FALSE,1,0)</f>
        <v>0</v>
      </c>
      <c r="EV117" s="245">
        <f>IF(EN117=50,0,IF(EN117&lt;40,1,0))</f>
        <v>1</v>
      </c>
      <c r="EW117" s="245">
        <f>SUM(EU117:EV117)</f>
        <v>1</v>
      </c>
      <c r="EX117" s="267">
        <f>IF(EN117=1,1,IF(EN117=50,0,IF(ES117=1,IF(EN117&gt;40,1,0),0)))</f>
        <v>0</v>
      </c>
      <c r="EY117" s="267">
        <f>IF(ES117=1,IF(EW117=2,1,0),0)+EX117+FB117+FE117</f>
        <v>0</v>
      </c>
      <c r="EZ117" s="245">
        <f>IF(EN117=109,1,IF(EN117=108,1,IF(EN117=106,1,IF(EN117=105,1,IF(EN117=103,1,IF(EN117=102,1,IF(EN117=99,1,0)))))))</f>
        <v>0</v>
      </c>
      <c r="FA117" s="245">
        <f>IF(EN117&gt;110,1,0)</f>
        <v>0</v>
      </c>
      <c r="FB117" s="267">
        <f>IF(ES117=2,SUM(EZ117:FA117),0)</f>
        <v>0</v>
      </c>
      <c r="FC117" s="245">
        <f>IF(EN117=159,1,IF(EN117=162,1,IF(EN117=163,1,IF(EN117=165,1,IF(EN117=166,1,IF(EN117=168,1,IF(EN117=169,1,0)))))))</f>
        <v>0</v>
      </c>
      <c r="FD117" s="245">
        <f>IF(EN117&gt;170,1,0)</f>
        <v>0</v>
      </c>
      <c r="FE117" s="267">
        <f>IF(ES117=0,SUM(FC117:FD117),0)</f>
        <v>0</v>
      </c>
      <c r="FF117" s="251">
        <f t="shared" si="264"/>
        <v>0</v>
      </c>
      <c r="FG117" s="238"/>
      <c r="FH117" s="245">
        <f>IF(AY117="",0,1)</f>
        <v>0</v>
      </c>
      <c r="FI117" s="245">
        <f>SUM(AY117)</f>
        <v>0</v>
      </c>
      <c r="FJ117" s="268">
        <f>SUM(AX117)</f>
        <v>0</v>
      </c>
      <c r="FK117" s="268">
        <f>SUM(V117/3)</f>
        <v>0</v>
      </c>
      <c r="FL117" s="268" t="e">
        <f>SUM(FJ117/FK117)</f>
        <v>#DIV/0!</v>
      </c>
      <c r="FM117" s="268">
        <f>ROUNDDOWN(FK117,0)</f>
        <v>0</v>
      </c>
      <c r="FN117" s="268">
        <f>SUM(FJ117,-FM117*3)</f>
        <v>0</v>
      </c>
      <c r="FO117" s="269" t="b">
        <f>MOD(FI117/1,2)=0</f>
        <v>1</v>
      </c>
      <c r="FP117" s="245">
        <f>IF(FO117=FALSE,1,0)</f>
        <v>0</v>
      </c>
      <c r="FQ117" s="245">
        <f>IF(FI117=50,0,IF(FI117&lt;40,1,0))</f>
        <v>1</v>
      </c>
      <c r="FR117" s="245">
        <f>SUM(FP117:FQ117)</f>
        <v>1</v>
      </c>
      <c r="FS117" s="267">
        <f>IF(FI117=1,1,IF(FI117=50,0,IF(FN117=1,IF(FI117&gt;40,1,0),0)))</f>
        <v>0</v>
      </c>
      <c r="FT117" s="267">
        <f>IF(FN117=1,IF(FR117=2,1,0),0)+FS117+FW117+FZ117</f>
        <v>0</v>
      </c>
      <c r="FU117" s="245">
        <f>IF(FI117=109,1,IF(FI117=108,1,IF(FI117=106,1,IF(FI117=105,1,IF(FI117=103,1,IF(FI117=102,1,IF(FI117=99,1,0)))))))</f>
        <v>0</v>
      </c>
      <c r="FV117" s="245">
        <f>IF(FI117&gt;110,1,0)</f>
        <v>0</v>
      </c>
      <c r="FW117" s="267">
        <f>IF(FN117=2,SUM(FU117:FV117),0)</f>
        <v>0</v>
      </c>
      <c r="FX117" s="245">
        <f>IF(FI117=159,1,IF(FI117=162,1,IF(FI117=163,1,IF(FI117=165,1,IF(FI117=166,1,IF(FI117=168,1,IF(FI117=169,1,0)))))))</f>
        <v>0</v>
      </c>
      <c r="FY117" s="245">
        <f>IF(FI117&gt;170,1,0)</f>
        <v>0</v>
      </c>
      <c r="FZ117" s="267">
        <f>IF(FN117=0,SUM(FX117:FY117),0)</f>
        <v>0</v>
      </c>
      <c r="GA117" s="251">
        <f t="shared" si="265"/>
        <v>0</v>
      </c>
      <c r="GC117" s="238" t="str">
        <f>VLOOKUP(AH111,Chema!BL:BR,4,FALSE)</f>
        <v>GS 1.8</v>
      </c>
      <c r="GD117" s="341">
        <f>IF(T121="FORFAIT",1,0)</f>
        <v>0</v>
      </c>
      <c r="GE117" s="343" t="str">
        <f>IF(R121="","",SUM(R121))</f>
        <v/>
      </c>
      <c r="GF117" s="344">
        <f>SUM(AV114)</f>
        <v>0</v>
      </c>
      <c r="GG117" s="344">
        <f>SUM(AX114)</f>
        <v>0</v>
      </c>
      <c r="GH117" s="344">
        <f t="shared" ref="GH117" si="274">SUM(AY114)</f>
        <v>0</v>
      </c>
      <c r="GI117" s="344">
        <f t="shared" ref="GI117" si="275">SUM(AZ114)</f>
        <v>0</v>
      </c>
      <c r="GJ117" s="344">
        <f>SUM(AV115)</f>
        <v>0</v>
      </c>
      <c r="GK117" s="344">
        <f>SUM(AX115)</f>
        <v>0</v>
      </c>
      <c r="GL117" s="344">
        <f>SUM(AY115)</f>
        <v>0</v>
      </c>
      <c r="GM117" s="344">
        <f>SUM(AZ115)</f>
        <v>0</v>
      </c>
      <c r="GN117" s="344">
        <f>SUM(AV116)</f>
        <v>0</v>
      </c>
      <c r="GO117" s="344">
        <f>SUM(AX116)</f>
        <v>0</v>
      </c>
      <c r="GP117" s="344">
        <f>SUM(AY116)</f>
        <v>0</v>
      </c>
      <c r="GQ117" s="344">
        <f>SUM(AZ116)</f>
        <v>0</v>
      </c>
      <c r="GR117" s="344">
        <f>SUM(AV117)</f>
        <v>0</v>
      </c>
      <c r="GS117" s="344">
        <f>SUM(AX117)</f>
        <v>0</v>
      </c>
      <c r="GT117" s="344">
        <f>SUM(AY117)</f>
        <v>0</v>
      </c>
      <c r="GU117" s="344">
        <f>SUM(AZ117)</f>
        <v>0</v>
      </c>
      <c r="GV117" s="344">
        <f>SUM(AV118)</f>
        <v>0</v>
      </c>
      <c r="GW117" s="344">
        <f>SUM(AX118)</f>
        <v>0</v>
      </c>
      <c r="GX117" s="344">
        <f>SUM(AY118)</f>
        <v>0</v>
      </c>
      <c r="GY117" s="344">
        <f>SUM(AZ118)</f>
        <v>0</v>
      </c>
      <c r="GZ117" s="344">
        <f>SUM(GF117,GJ117,GN117,GR117,GV117)</f>
        <v>0</v>
      </c>
      <c r="HA117" s="344">
        <f t="shared" ref="HA117" si="276">SUM(GG117,GK117,GO117,GS117,GW117)</f>
        <v>0</v>
      </c>
      <c r="HB117" s="344">
        <f>IF(GD114=1,P121,MAX(GH117,GL117,GP117,GT117,GX117))</f>
        <v>0</v>
      </c>
      <c r="HC117" s="344">
        <f>IF(GD114=1,X121,SUM(GI117,GM117,GQ117,GU117,GY117))</f>
        <v>0</v>
      </c>
      <c r="HD117" s="345">
        <f>IF(GD114=1,0,SUM(GF117,GJ117,GN117,GR117,GV117))</f>
        <v>0</v>
      </c>
      <c r="HE117" s="345">
        <f>IF(GD114=1,0,SUM(GG117,GK117,GO117,GS117,GW117))</f>
        <v>0</v>
      </c>
      <c r="HF117" s="341">
        <f>IF(GD114=1,0,MIN(HI117,HJ117,HK117,HL117,HM117))</f>
        <v>0</v>
      </c>
      <c r="HG117" s="341">
        <f>IF(HF117=0,0,COUNTIF(HI117:HM117,HF117))</f>
        <v>0</v>
      </c>
      <c r="HH117" s="341">
        <f>SUM(GH118,GL118,GP118,GT118,GX118)</f>
        <v>0</v>
      </c>
      <c r="HI117" s="343" t="str">
        <f>IF(GH118=1,GG117,"")</f>
        <v/>
      </c>
      <c r="HJ117" s="343" t="str">
        <f>IF(GL118=1,GK117,"")</f>
        <v/>
      </c>
      <c r="HK117" s="343" t="str">
        <f>IF(GP118=1,GO117,"")</f>
        <v/>
      </c>
      <c r="HL117" s="343" t="str">
        <f>IF(GT118=1,GS117,"")</f>
        <v/>
      </c>
      <c r="HM117" s="343" t="str">
        <f>IF(GX118=1,GW117,"")</f>
        <v/>
      </c>
      <c r="HN117" s="341"/>
      <c r="HO117" s="341"/>
      <c r="HP117" s="341"/>
      <c r="HQ117" s="341"/>
      <c r="HR117" s="341"/>
      <c r="HS117" s="238"/>
      <c r="HT117" s="238"/>
      <c r="HU117" s="238"/>
      <c r="HV117" s="238"/>
      <c r="HW117" s="238" t="str">
        <f>IFERROR(IF(GD114=0,SUM(IB116:IC116),""),"")</f>
        <v/>
      </c>
      <c r="HY117" s="238"/>
      <c r="ID117" s="238"/>
    </row>
    <row r="118" spans="1:238" s="234" customFormat="1" ht="20.100000000000001" customHeight="1">
      <c r="A118" s="235"/>
      <c r="B118" s="231">
        <f>COUNT(AJ119,AJ118)</f>
        <v>1</v>
      </c>
      <c r="C118" s="235"/>
      <c r="D118" s="271" t="str">
        <f>REPT(DN118,1)</f>
        <v>5</v>
      </c>
      <c r="E118" s="254" t="str">
        <f>REPT(AH118,1)</f>
        <v/>
      </c>
      <c r="F118" s="168"/>
      <c r="G118" s="168"/>
      <c r="H118" s="168"/>
      <c r="I118" s="169"/>
      <c r="J118" s="272" t="str">
        <f>REPT(AM118,1)</f>
        <v/>
      </c>
      <c r="L118" s="310"/>
      <c r="M118" s="310"/>
      <c r="N118" s="272" t="str">
        <f>REPT(AP118,1)</f>
        <v/>
      </c>
      <c r="O118" s="118"/>
      <c r="Q118" s="310"/>
      <c r="R118" s="235"/>
      <c r="S118" s="271" t="str">
        <f>REPT(DO118,1)</f>
        <v>5</v>
      </c>
      <c r="T118" s="254" t="str">
        <f>REPT(AV118,1)</f>
        <v/>
      </c>
      <c r="U118" s="168"/>
      <c r="V118" s="168"/>
      <c r="W118" s="168"/>
      <c r="X118" s="169"/>
      <c r="Y118" s="272" t="str">
        <f>REPT(BA118,1)</f>
        <v/>
      </c>
      <c r="Z118" s="308"/>
      <c r="AA118" s="238">
        <f>SUM(AL111)</f>
        <v>5</v>
      </c>
      <c r="AB118" s="234">
        <f>IF(AY118="",0,IF(AY118&lt;2,1,""))</f>
        <v>0</v>
      </c>
      <c r="AC118" s="238">
        <f>IF(AL111=3,0,IF(AD118=1,1,IF(AD118=3,1,IF(AD118=2,0,IF(AD118=0,0,0)))))</f>
        <v>0</v>
      </c>
      <c r="AD118" s="256">
        <f t="shared" si="254"/>
        <v>0</v>
      </c>
      <c r="AE118" s="256">
        <f t="shared" si="248"/>
        <v>0</v>
      </c>
      <c r="AF118" s="256">
        <f t="shared" si="249"/>
        <v>0</v>
      </c>
      <c r="AG118" s="256">
        <f t="shared" si="255"/>
        <v>0</v>
      </c>
      <c r="AH118" s="257" t="str">
        <f>IF(AL111=3,"",IF(AK118="",IF(AI118="","",IF(AI118="",501,501-AI118)),501))</f>
        <v/>
      </c>
      <c r="AI118" s="256" t="str">
        <f>IF(AL111=3,"",IF(F118&gt;1,F118,IF(F118=0,"",IF(F118="","",""))))</f>
        <v/>
      </c>
      <c r="AJ118" s="256" t="str">
        <f>IF(AL111=3,"",IF(G118&gt;8,G118,IF(G118="","","")))</f>
        <v/>
      </c>
      <c r="AK118" s="256" t="str">
        <f>IF(AL111=3,"",IF(H118&gt;1,H118,IF(H118="","","")))</f>
        <v/>
      </c>
      <c r="AL118" s="256" t="str">
        <f>IF(AL111=3,"",IF(I118&gt;0,I118,IF(I118="","","")))</f>
        <v/>
      </c>
      <c r="AM118" s="258" t="str">
        <f>IF(BK118=0,"","X")</f>
        <v/>
      </c>
      <c r="AN118" s="237"/>
      <c r="AO118" s="237"/>
      <c r="AP118" s="258" t="str">
        <f>IF(BM118=0,"","X")</f>
        <v/>
      </c>
      <c r="AQ118" s="236">
        <f>IF(AL111=3,0,IF(AR118=1,1,IF(AR118=3,1,IF(AR118=2,0,IF(AR118=0,0,0)))))</f>
        <v>0</v>
      </c>
      <c r="AR118" s="256">
        <f t="shared" si="257"/>
        <v>0</v>
      </c>
      <c r="AS118" s="256">
        <f t="shared" si="250"/>
        <v>0</v>
      </c>
      <c r="AT118" s="256">
        <f t="shared" si="251"/>
        <v>0</v>
      </c>
      <c r="AU118" s="256">
        <f t="shared" si="258"/>
        <v>0</v>
      </c>
      <c r="AV118" s="257" t="str">
        <f>IF(AY118="",IF(AW118="","",IF(AW118="",501,501-AW118)),501)</f>
        <v/>
      </c>
      <c r="AW118" s="256" t="str">
        <f>IF(AL111=3,"",IF(U118&gt;1,U118,IF(U118=0,"",IF(U118="","",""))))</f>
        <v/>
      </c>
      <c r="AX118" s="256" t="str">
        <f>IF(AL111=3,"",IF(V118&gt;8,V118,IF(V118="","","")))</f>
        <v/>
      </c>
      <c r="AY118" s="256" t="str">
        <f>IF(AL111=3,"",IF(W118&gt;1,W118,IF(W118="","","")))</f>
        <v/>
      </c>
      <c r="AZ118" s="256" t="str">
        <f>IF(AL111=3,"",IF(X118&gt;0,X118,IF(X118="","","")))</f>
        <v/>
      </c>
      <c r="BA118" s="258" t="str">
        <f>IF(BL118=0,"","X")</f>
        <v/>
      </c>
      <c r="BK118" s="251">
        <f>IF(AL111=3,0,SUM(DD118,DV118,EY118,ED118,FF118,BQ118,BS118,AC118))</f>
        <v>0</v>
      </c>
      <c r="BL118" s="251">
        <f>SUM(DE118,DW118,EE118,FT118,GA118,BR118,BT118,AQ118)</f>
        <v>0</v>
      </c>
      <c r="BM118" s="259">
        <f>IF(AL111=3,0,SUM(DC118,BK118:BL118,AC118,AQ118))</f>
        <v>0</v>
      </c>
      <c r="BN118" s="239">
        <f>COUNT(AK118)</f>
        <v>0</v>
      </c>
      <c r="BO118" s="239">
        <f>COUNT(AY118)</f>
        <v>0</v>
      </c>
      <c r="BP118" s="239">
        <f>IF(BN120=0,0,1)</f>
        <v>0</v>
      </c>
      <c r="BQ118" s="260">
        <f>IF(AL118="",0,IF(AL118&gt;2,1,0))</f>
        <v>0</v>
      </c>
      <c r="BR118" s="261">
        <f>IF(AZ118="",0,IF(AZ118&gt;2,1,0))</f>
        <v>0</v>
      </c>
      <c r="BS118" s="262">
        <f>IF(AJ118=9,IF(AK118&lt;141,1,0),0)</f>
        <v>0</v>
      </c>
      <c r="BT118" s="263">
        <f>IF(AX118=9,IF(AY118&lt;141,1,0),0)</f>
        <v>0</v>
      </c>
      <c r="BU118" s="242">
        <f>IF(AL111=3,0,IF(H118,G118,0))</f>
        <v>0</v>
      </c>
      <c r="BV118" s="238">
        <f>IF(BU118&gt;0,AJ118/3,0)</f>
        <v>0</v>
      </c>
      <c r="BW118" s="238">
        <f>ROUNDUP(BV118,0)</f>
        <v>0</v>
      </c>
      <c r="BX118" s="244">
        <f>IF(MOD(BW118,2)=0,BW118,BW118+1)</f>
        <v>0</v>
      </c>
      <c r="BY118" s="238">
        <f>IF(AJ118&lt;9,"",SUM(BX118-BW118))</f>
        <v>0</v>
      </c>
      <c r="BZ118" s="238">
        <f>IF(BY118=1,AK118,0)</f>
        <v>0</v>
      </c>
      <c r="CA118" s="243" t="str">
        <f>IF(BY118=0,AK118,0)</f>
        <v/>
      </c>
      <c r="CB118" s="238"/>
      <c r="CC118" s="238"/>
      <c r="CD118" s="242">
        <f>IF(AL111=3,0,IF(W118,V118,0))</f>
        <v>0</v>
      </c>
      <c r="CE118" s="238">
        <f>IF(CD118&gt;0,AX118/3,0)</f>
        <v>0</v>
      </c>
      <c r="CF118" s="238">
        <f>ROUNDUP(CE118,0)</f>
        <v>0</v>
      </c>
      <c r="CG118" s="244">
        <f>IF(MOD(CF118,2)=0,CF118,CF118+1)</f>
        <v>0</v>
      </c>
      <c r="CH118" s="238">
        <f>IF(AX118&lt;9,"",SUM(CG118-CF118))</f>
        <v>0</v>
      </c>
      <c r="CI118" s="238">
        <f>IF(CH118=1,AY118,0)</f>
        <v>0</v>
      </c>
      <c r="CJ118" s="243" t="str">
        <f>IF(CH118=0,AY118,0)</f>
        <v/>
      </c>
      <c r="CK118" s="238"/>
      <c r="CL118" s="245">
        <f>IF(COUNT(F118,H118)=1,0,1)</f>
        <v>1</v>
      </c>
      <c r="CM118" s="245">
        <f>IF(COUNT(F118,U118)=1,0,1)</f>
        <v>1</v>
      </c>
      <c r="CN118" s="245">
        <f>IF(COUNT(H118,W118)=1,0,1)</f>
        <v>1</v>
      </c>
      <c r="CO118" s="245">
        <f>IF(COUNT(G118,V118)=2,0,1)</f>
        <v>1</v>
      </c>
      <c r="CP118" s="245">
        <f>IF(COUNT(U118,W118)=1,0,1)</f>
        <v>1</v>
      </c>
      <c r="CQ118" s="245">
        <f>IF(SUM(G118-V118)&gt;3,1,0)</f>
        <v>0</v>
      </c>
      <c r="CR118" s="245">
        <f>IF(SUM(G118-V118)&lt;-3,1,0)</f>
        <v>0</v>
      </c>
      <c r="CS118" s="264">
        <f>IF(AJ118=9,IF(AH118&lt;141,1,0),IF(AH118="",0,IF(AH118&gt;1,0,1)))</f>
        <v>0</v>
      </c>
      <c r="CT118" s="264">
        <f>IF(AX118=9,IF(AV118&lt;141,1,0),IF(AV118="",0,IF(AV118&gt;1,0,1)))</f>
        <v>0</v>
      </c>
      <c r="CU118" s="264">
        <f>IF(AI118="",0,IF(AI118&lt;502,0,1))</f>
        <v>0</v>
      </c>
      <c r="CV118" s="264">
        <f>IF(AW118="",0,IF(AW118&lt;502,0,1))</f>
        <v>0</v>
      </c>
      <c r="CW118" s="264">
        <f>IF(AI118="",IF(AJ118&lt;9,1,0),IF(AJ118&lt;9,1,0))</f>
        <v>0</v>
      </c>
      <c r="CX118" s="264">
        <f>IF(AW118="",IF(AX118&lt;9,1,0),IF(AX118&lt;9,1,0))</f>
        <v>0</v>
      </c>
      <c r="CY118" s="374"/>
      <c r="CZ118" s="374"/>
      <c r="DA118" s="374"/>
      <c r="DB118" s="374"/>
      <c r="DC118" s="265">
        <f>IF(AJ118="",0,SUM(CL118:CX118))</f>
        <v>0</v>
      </c>
      <c r="DD118" s="265">
        <f>IF(AJ118="",0,SUM(CL118,CS118,CU118,CW118))</f>
        <v>0</v>
      </c>
      <c r="DE118" s="265">
        <f>IF(AJ118="",0,SUM(CP118,CT118,CV118,CX118))</f>
        <v>0</v>
      </c>
      <c r="DF118" s="238"/>
      <c r="DG118" s="248">
        <f>IF(AL111=3,0,SUM(G118-V118))</f>
        <v>0</v>
      </c>
      <c r="DH118" s="245">
        <f>IF(F118="",0,1)</f>
        <v>0</v>
      </c>
      <c r="DI118" s="245">
        <f t="shared" si="260"/>
        <v>0</v>
      </c>
      <c r="DJ118" s="245">
        <f t="shared" si="261"/>
        <v>0</v>
      </c>
      <c r="DK118" s="245" t="str">
        <f>IF(G118="","",IF(DJ118=1,"*",""))</f>
        <v/>
      </c>
      <c r="DL118" s="245" t="str">
        <f>IF(AL111=3,"",IF(G118="","",IF(DJ118=-1,"*",IF(DJ118=0,"*",""))))</f>
        <v/>
      </c>
      <c r="DM118" s="245">
        <v>5</v>
      </c>
      <c r="DN118" s="245" t="str">
        <f t="shared" si="262"/>
        <v>5</v>
      </c>
      <c r="DO118" s="245" t="str">
        <f t="shared" si="263"/>
        <v>5</v>
      </c>
      <c r="DP118" s="245">
        <f>SUM(DP114)</f>
        <v>0</v>
      </c>
      <c r="DQ118" s="245">
        <f>SUM(DQ114)</f>
        <v>0</v>
      </c>
      <c r="DR118" s="245">
        <f t="shared" si="270"/>
        <v>0</v>
      </c>
      <c r="DS118" s="245">
        <f t="shared" si="271"/>
        <v>0</v>
      </c>
      <c r="DT118" s="245">
        <f t="shared" si="272"/>
        <v>0</v>
      </c>
      <c r="DU118" s="245">
        <f>IF(V118="",0,IF(DQ118=DS118,0,1))</f>
        <v>0</v>
      </c>
      <c r="DV118" s="267">
        <f t="shared" si="273"/>
        <v>0</v>
      </c>
      <c r="DW118" s="267">
        <f>IF(V118="",0,SUM(DU118))</f>
        <v>0</v>
      </c>
      <c r="DX118" s="238">
        <f>IF(AK118="",0,1)</f>
        <v>0</v>
      </c>
      <c r="DY118" s="238">
        <f>IF(DG118=-3,1,0)</f>
        <v>0</v>
      </c>
      <c r="DZ118" s="238">
        <f>SUM(DX118:DY118)</f>
        <v>0</v>
      </c>
      <c r="EA118" s="238">
        <f>IF(AK118="",1,0)</f>
        <v>1</v>
      </c>
      <c r="EB118" s="238">
        <f>IF(DG118=3,1,0)</f>
        <v>0</v>
      </c>
      <c r="EC118" s="238">
        <f>SUM(EA118:EB118)</f>
        <v>1</v>
      </c>
      <c r="ED118" s="267">
        <f>IF(EC118=2,1,0)</f>
        <v>0</v>
      </c>
      <c r="EE118" s="267">
        <f>IF(DZ118=2,1,0)</f>
        <v>0</v>
      </c>
      <c r="EG118" s="166"/>
      <c r="EH118" s="238"/>
      <c r="EI118" s="238"/>
      <c r="EJ118" s="238"/>
      <c r="EK118" s="238"/>
      <c r="EL118" s="238"/>
      <c r="EM118" s="245">
        <f>IF(AK118="",0,1)</f>
        <v>0</v>
      </c>
      <c r="EN118" s="245">
        <f>SUM(AK118)</f>
        <v>0</v>
      </c>
      <c r="EO118" s="268">
        <f>SUM(AJ118)</f>
        <v>0</v>
      </c>
      <c r="EP118" s="268">
        <f>SUM(G118/3)</f>
        <v>0</v>
      </c>
      <c r="EQ118" s="268" t="e">
        <f>SUM(EO118/EP118)</f>
        <v>#DIV/0!</v>
      </c>
      <c r="ER118" s="268">
        <f>ROUNDDOWN(EP118,0)</f>
        <v>0</v>
      </c>
      <c r="ES118" s="268">
        <f>SUM(EO118,-ER118*3)</f>
        <v>0</v>
      </c>
      <c r="ET118" s="269" t="b">
        <f>MOD(EN118/1,2)=0</f>
        <v>1</v>
      </c>
      <c r="EU118" s="245">
        <f>IF(ET118=FALSE,1,0)</f>
        <v>0</v>
      </c>
      <c r="EV118" s="245">
        <f>IF(EN118=50,0,IF(EN118&lt;40,1,0))</f>
        <v>1</v>
      </c>
      <c r="EW118" s="245">
        <f>SUM(EU118:EV118)</f>
        <v>1</v>
      </c>
      <c r="EX118" s="267">
        <f>IF(EN118=1,1,IF(EN118=50,0,IF(ES118=1,IF(EN118&gt;40,1,0),0)))</f>
        <v>0</v>
      </c>
      <c r="EY118" s="267">
        <f>IF(ES118=1,IF(EW118=2,1,0),0)+EX118+FB118+FE118</f>
        <v>0</v>
      </c>
      <c r="EZ118" s="245">
        <f>IF(EN118=109,1,IF(EN118=108,1,IF(EN118=106,1,IF(EN118=105,1,IF(EN118=103,1,IF(EN118=102,1,IF(EN118=99,1,0)))))))</f>
        <v>0</v>
      </c>
      <c r="FA118" s="245">
        <f>IF(EN118&gt;110,1,0)</f>
        <v>0</v>
      </c>
      <c r="FB118" s="267">
        <f>IF(ES118=2,SUM(EZ118:FA118),0)</f>
        <v>0</v>
      </c>
      <c r="FC118" s="245">
        <f>IF(EN118=159,1,IF(EN118=162,1,IF(EN118=163,1,IF(EN118=165,1,IF(EN118=166,1,IF(EN118=168,1,IF(EN118=169,1,0)))))))</f>
        <v>0</v>
      </c>
      <c r="FD118" s="245">
        <f>IF(EN118&gt;170,1,0)</f>
        <v>0</v>
      </c>
      <c r="FE118" s="267">
        <f>IF(ES118=0,SUM(FC118:FD118),0)</f>
        <v>0</v>
      </c>
      <c r="FF118" s="251">
        <f t="shared" si="264"/>
        <v>0</v>
      </c>
      <c r="FG118" s="238"/>
      <c r="FH118" s="245">
        <f>IF(AY118="",0,1)</f>
        <v>0</v>
      </c>
      <c r="FI118" s="245">
        <f>SUM(AY118)</f>
        <v>0</v>
      </c>
      <c r="FJ118" s="268">
        <f>SUM(AX118)</f>
        <v>0</v>
      </c>
      <c r="FK118" s="268">
        <f>SUM(V118/3)</f>
        <v>0</v>
      </c>
      <c r="FL118" s="268" t="e">
        <f>SUM(FJ118/FK118)</f>
        <v>#DIV/0!</v>
      </c>
      <c r="FM118" s="268">
        <f>ROUNDDOWN(FK118,0)</f>
        <v>0</v>
      </c>
      <c r="FN118" s="268">
        <f>SUM(FJ118,-FM118*3)</f>
        <v>0</v>
      </c>
      <c r="FO118" s="269" t="b">
        <f>MOD(FI118/1,2)=0</f>
        <v>1</v>
      </c>
      <c r="FP118" s="245">
        <f>IF(FO118=FALSE,1,0)</f>
        <v>0</v>
      </c>
      <c r="FQ118" s="245">
        <f>IF(FI118=50,0,IF(FI118&lt;40,1,0))</f>
        <v>1</v>
      </c>
      <c r="FR118" s="245">
        <f>SUM(FP118:FQ118)</f>
        <v>1</v>
      </c>
      <c r="FS118" s="267">
        <f>IF(FI118=1,1,IF(FI118=50,0,IF(FN118=1,IF(FI118&gt;40,1,0),0)))</f>
        <v>0</v>
      </c>
      <c r="FT118" s="267">
        <f>IF(FN118=1,IF(FR118=2,1,0),0)+FS118+FW118+FZ118</f>
        <v>0</v>
      </c>
      <c r="FU118" s="245">
        <f>IF(FI118=109,1,IF(FI118=108,1,IF(FI118=106,1,IF(FI118=105,1,IF(FI118=103,1,IF(FI118=102,1,IF(FI118=99,1,0)))))))</f>
        <v>0</v>
      </c>
      <c r="FV118" s="245">
        <f>IF(FI118&gt;110,1,0)</f>
        <v>0</v>
      </c>
      <c r="FW118" s="267">
        <f>IF(FN118=2,SUM(FU118:FV118),0)</f>
        <v>0</v>
      </c>
      <c r="FX118" s="245">
        <f>IF(FI118=159,1,IF(FI118=162,1,IF(FI118=163,1,IF(FI118=165,1,IF(FI118=166,1,IF(FI118=168,1,IF(FI118=169,1,0)))))))</f>
        <v>0</v>
      </c>
      <c r="FY118" s="245">
        <f>IF(FI118&gt;170,1,0)</f>
        <v>0</v>
      </c>
      <c r="FZ118" s="267">
        <f>IF(FN118=0,SUM(FX118:FY118),0)</f>
        <v>0</v>
      </c>
      <c r="GA118" s="251">
        <f t="shared" si="265"/>
        <v>0</v>
      </c>
      <c r="GC118" s="238" t="str">
        <f>VLOOKUP(AH111,Chema!BL:BR,5,FALSE)</f>
        <v/>
      </c>
      <c r="GD118" s="341"/>
      <c r="GE118" s="343" t="str">
        <f>IF(R122="","",SUM(R122))</f>
        <v/>
      </c>
      <c r="GF118" s="340"/>
      <c r="GG118" s="346"/>
      <c r="GH118" s="343">
        <f>IF(GH117&gt;0,1,0)</f>
        <v>0</v>
      </c>
      <c r="GI118" s="346"/>
      <c r="GJ118" s="343"/>
      <c r="GK118" s="346"/>
      <c r="GL118" s="343">
        <f>IF(GL117&gt;0,1,0)</f>
        <v>0</v>
      </c>
      <c r="GM118" s="343"/>
      <c r="GN118" s="343"/>
      <c r="GO118" s="346"/>
      <c r="GP118" s="343">
        <f>IF(GP117&gt;0,1,0)</f>
        <v>0</v>
      </c>
      <c r="GQ118" s="343"/>
      <c r="GR118" s="343"/>
      <c r="GS118" s="346"/>
      <c r="GT118" s="343">
        <f>IF(GT117&gt;0,1,0)</f>
        <v>0</v>
      </c>
      <c r="GU118" s="343"/>
      <c r="GV118" s="343"/>
      <c r="GW118" s="346"/>
      <c r="GX118" s="343">
        <f>IF(GX117&gt;0,1,0)</f>
        <v>0</v>
      </c>
      <c r="GY118" s="340"/>
      <c r="GZ118" s="343"/>
      <c r="HA118" s="343"/>
      <c r="HB118" s="343" t="str">
        <f>IF(GD114=1,P122,"")</f>
        <v/>
      </c>
      <c r="HC118" s="343" t="str">
        <f>IF(GD114=1,X122,"")</f>
        <v/>
      </c>
      <c r="HD118" s="340"/>
      <c r="HE118" s="340"/>
      <c r="HF118" s="340"/>
      <c r="HG118" s="340">
        <f>IF(HG116=HM114,0,IF(HG116=HM118,0,1))</f>
        <v>0</v>
      </c>
      <c r="HH118" s="340">
        <f>IF(HH115=HH117,1,0)</f>
        <v>1</v>
      </c>
      <c r="HI118" s="340"/>
      <c r="HJ118" s="340"/>
      <c r="HK118" s="340"/>
      <c r="HL118" s="340"/>
      <c r="HM118" s="341">
        <f>COUNT(HI117,HJ117,HK117,HL117,HM117)</f>
        <v>0</v>
      </c>
      <c r="HN118" s="341"/>
      <c r="HO118" s="341"/>
      <c r="HP118" s="341"/>
      <c r="HQ118" s="341"/>
      <c r="HR118" s="341"/>
      <c r="HS118" s="238"/>
      <c r="HT118" s="238"/>
      <c r="HU118" s="238"/>
      <c r="HV118" s="238"/>
      <c r="HX118" s="238"/>
      <c r="HY118" s="238"/>
      <c r="ID118" s="238"/>
    </row>
    <row r="119" spans="1:238" s="234" customFormat="1" ht="6.6" customHeight="1">
      <c r="A119" s="235"/>
      <c r="B119" s="231"/>
      <c r="C119" s="310"/>
      <c r="D119" s="310"/>
      <c r="E119" s="310"/>
      <c r="F119" s="310"/>
      <c r="G119" s="313"/>
      <c r="H119" s="310"/>
      <c r="I119" s="310"/>
      <c r="J119" s="273"/>
      <c r="K119" s="313"/>
      <c r="O119" s="118"/>
      <c r="R119" s="310"/>
      <c r="S119" s="310"/>
      <c r="T119" s="310"/>
      <c r="U119" s="310"/>
      <c r="V119" s="313"/>
      <c r="W119" s="310"/>
      <c r="X119" s="310"/>
      <c r="Y119" s="273"/>
      <c r="Z119" s="308"/>
      <c r="AA119" s="274"/>
      <c r="AD119" s="235"/>
      <c r="AE119" s="237">
        <f>IF(AF119=0,0,1)</f>
        <v>0</v>
      </c>
      <c r="AF119" s="237">
        <f>IF(AL119=0,0,SUM(AL121:AL122,-AL120))</f>
        <v>0</v>
      </c>
      <c r="AG119" s="237"/>
      <c r="AH119" s="275">
        <f>SUM(AH114,AH115,AH116,AH117,AH118)</f>
        <v>0</v>
      </c>
      <c r="AI119" s="275">
        <f t="shared" ref="AI119" si="277">SUM(AI114,AI115,AI116,AI117,AI118)</f>
        <v>0</v>
      </c>
      <c r="AJ119" s="275">
        <f t="shared" ref="AJ119" si="278">SUM(AJ114,AJ115,AJ116,AJ117,AJ118)</f>
        <v>0</v>
      </c>
      <c r="AK119" s="275">
        <f>MAX(AK114,AK115,AK116,AK117,AK118)</f>
        <v>0</v>
      </c>
      <c r="AL119" s="275">
        <f t="shared" ref="AL119" si="279">SUM(AL114,AL115,AL116,AL117,AL118)</f>
        <v>0</v>
      </c>
      <c r="AM119" s="275">
        <f>IF(AK111="D",SUM(AL114,AL115,AL116,AL117,AL118,-AL121,-AL122),0)</f>
        <v>0</v>
      </c>
      <c r="AN119" s="235"/>
      <c r="AO119" s="235"/>
      <c r="AP119" s="235"/>
      <c r="AQ119" s="235"/>
      <c r="AR119" s="235"/>
      <c r="AS119" s="237">
        <f>IF(AT119=0,0,1)</f>
        <v>0</v>
      </c>
      <c r="AT119" s="237">
        <f>IF(AZ119=0,0,SUM(AZ121:AZ122,-AZ120))</f>
        <v>0</v>
      </c>
      <c r="AU119" s="237"/>
      <c r="AV119" s="275">
        <f>SUM(AV114,AV115,AV116,AV117,AV118)</f>
        <v>0</v>
      </c>
      <c r="AW119" s="275">
        <f t="shared" ref="AW119" si="280">SUM(AW114,AW115,AW116,AW117,AW118)</f>
        <v>0</v>
      </c>
      <c r="AX119" s="275">
        <f t="shared" ref="AX119" si="281">SUM(AX114,AX115,AX116,AX117,AX118)</f>
        <v>0</v>
      </c>
      <c r="AY119" s="275">
        <f>MAX(AY114,AY115,AY116,AY117,AY118)</f>
        <v>0</v>
      </c>
      <c r="AZ119" s="275">
        <f t="shared" ref="AZ119" si="282">SUM(AZ114,AZ115,AZ116,AZ117,AZ118)</f>
        <v>0</v>
      </c>
      <c r="BA119" s="275">
        <f>IF(AK111="D",SUM(AZ114,AZ115,AZ116,AZ117,AZ118,-AZ121,-AZ122),0)</f>
        <v>0</v>
      </c>
      <c r="BJ119" s="236"/>
      <c r="BK119" s="238"/>
      <c r="BL119" s="238"/>
      <c r="BM119" s="238"/>
      <c r="BP119" s="238"/>
      <c r="BQ119" s="238"/>
      <c r="BR119" s="238"/>
      <c r="BS119" s="238"/>
      <c r="BT119" s="238"/>
      <c r="BU119" s="238"/>
      <c r="BY119" s="238"/>
      <c r="BZ119" s="238">
        <f>MAX(BZ114,BZ115,BZ116,BZ117,BZ118)</f>
        <v>0</v>
      </c>
      <c r="CA119" s="238">
        <f>MAX(CA114,CA115,CA116,CA117,CA118)</f>
        <v>0</v>
      </c>
      <c r="CB119" s="238"/>
      <c r="CC119" s="238"/>
      <c r="CD119" s="238"/>
      <c r="CG119" s="244"/>
      <c r="CH119" s="238"/>
      <c r="CI119" s="238">
        <f>MAX(CI114,CI115,CI116,CI117,CI118)</f>
        <v>0</v>
      </c>
      <c r="CJ119" s="238">
        <f>MAX(CJ114,CJ115,CJ116,CJ117,CJ118)</f>
        <v>0</v>
      </c>
      <c r="CK119" s="238"/>
      <c r="CL119" s="238"/>
      <c r="CM119" s="238"/>
      <c r="CN119" s="238"/>
      <c r="CO119" s="238"/>
      <c r="CP119" s="238"/>
      <c r="CQ119" s="238"/>
      <c r="CR119" s="238"/>
      <c r="CS119" s="238"/>
      <c r="CT119" s="238"/>
      <c r="CU119" s="238"/>
      <c r="CV119" s="238"/>
      <c r="CW119" s="238"/>
      <c r="CX119" s="238"/>
      <c r="CY119" s="238"/>
      <c r="CZ119" s="238"/>
      <c r="DA119" s="238"/>
      <c r="DB119" s="238"/>
      <c r="DC119" s="238"/>
      <c r="DD119" s="238"/>
      <c r="DE119" s="238"/>
      <c r="DF119" s="238"/>
      <c r="DG119" s="238"/>
      <c r="DH119" s="238"/>
      <c r="DI119" s="238"/>
      <c r="DJ119" s="238"/>
      <c r="DK119" s="238"/>
      <c r="DL119" s="238"/>
      <c r="DM119" s="238"/>
      <c r="DN119" s="238"/>
      <c r="DO119" s="238"/>
      <c r="DP119" s="238"/>
      <c r="DQ119" s="238"/>
      <c r="DR119" s="238"/>
      <c r="DS119" s="238"/>
      <c r="DT119" s="238"/>
      <c r="DU119" s="238"/>
      <c r="DV119" s="238"/>
      <c r="DW119" s="238"/>
      <c r="DX119" s="238"/>
      <c r="DY119" s="238"/>
      <c r="DZ119" s="238"/>
      <c r="EA119" s="238"/>
      <c r="EB119" s="238"/>
      <c r="EC119" s="238"/>
      <c r="ED119" s="238"/>
      <c r="EE119" s="238"/>
      <c r="EF119" s="238"/>
      <c r="EG119" s="238"/>
      <c r="EH119" s="238"/>
      <c r="EI119" s="238"/>
      <c r="EJ119" s="238"/>
      <c r="EK119" s="238"/>
      <c r="EL119" s="238"/>
      <c r="EM119" s="166"/>
      <c r="EN119" s="166"/>
      <c r="EO119" s="166"/>
      <c r="EP119" s="238">
        <f>SUM(EN119-EO119)</f>
        <v>0</v>
      </c>
      <c r="EQ119" s="238"/>
      <c r="ER119" s="238"/>
      <c r="ES119" s="238"/>
      <c r="ET119" s="244"/>
      <c r="EU119" s="238"/>
      <c r="EV119" s="238"/>
      <c r="EW119" s="238"/>
      <c r="EX119" s="238"/>
      <c r="EY119" s="238"/>
      <c r="EZ119" s="238"/>
      <c r="FA119" s="238"/>
      <c r="FB119" s="238"/>
      <c r="FC119" s="238"/>
      <c r="FD119" s="238"/>
      <c r="FE119" s="238"/>
      <c r="FF119" s="238"/>
      <c r="FG119" s="238"/>
      <c r="FH119" s="238"/>
      <c r="FI119" s="238"/>
      <c r="FJ119" s="238"/>
      <c r="FK119" s="238"/>
      <c r="FL119" s="238"/>
      <c r="FM119" s="238"/>
      <c r="FN119" s="238"/>
      <c r="FO119" s="244"/>
      <c r="FP119" s="238"/>
      <c r="FQ119" s="238"/>
      <c r="FR119" s="238"/>
      <c r="FS119" s="238"/>
      <c r="FT119" s="238"/>
      <c r="FU119" s="238"/>
      <c r="FV119" s="238"/>
      <c r="FW119" s="238"/>
      <c r="FX119" s="238"/>
      <c r="FY119" s="238"/>
      <c r="FZ119" s="238"/>
      <c r="GA119" s="238"/>
      <c r="GB119" s="238"/>
      <c r="GC119" s="238"/>
      <c r="GD119" s="341"/>
      <c r="GE119" s="340"/>
      <c r="GF119" s="340"/>
      <c r="GG119" s="340"/>
      <c r="GH119" s="340"/>
      <c r="GI119" s="340"/>
      <c r="GJ119" s="340"/>
      <c r="GK119" s="340"/>
      <c r="GL119" s="340"/>
      <c r="GM119" s="340"/>
      <c r="GN119" s="340"/>
      <c r="GO119" s="340"/>
      <c r="GP119" s="340"/>
      <c r="GQ119" s="340"/>
      <c r="GR119" s="340"/>
      <c r="GS119" s="340"/>
      <c r="GT119" s="340"/>
      <c r="GU119" s="340"/>
      <c r="GV119" s="340"/>
      <c r="GW119" s="340"/>
      <c r="GX119" s="340"/>
      <c r="GY119" s="340"/>
      <c r="GZ119" s="340"/>
      <c r="HA119" s="340"/>
      <c r="HB119" s="340"/>
      <c r="HC119" s="340"/>
      <c r="HD119" s="341"/>
      <c r="HE119" s="341"/>
      <c r="HF119" s="341"/>
      <c r="HG119" s="341"/>
      <c r="HH119" s="341"/>
      <c r="HI119" s="341"/>
      <c r="HJ119" s="341"/>
      <c r="HK119" s="341"/>
      <c r="HL119" s="341"/>
      <c r="HM119" s="341"/>
      <c r="HN119" s="341"/>
      <c r="HO119" s="341"/>
      <c r="HP119" s="341"/>
      <c r="HQ119" s="341"/>
      <c r="HR119" s="341"/>
      <c r="HS119" s="238"/>
      <c r="HT119" s="238"/>
      <c r="HU119" s="238"/>
      <c r="HV119" s="238"/>
      <c r="HX119" s="238"/>
      <c r="HY119" s="238"/>
      <c r="ID119" s="238"/>
    </row>
    <row r="120" spans="1:238" s="234" customFormat="1" ht="20.100000000000001" customHeight="1">
      <c r="A120" s="235"/>
      <c r="B120" s="231"/>
      <c r="C120" s="314" t="s">
        <v>771</v>
      </c>
      <c r="D120" s="276" t="str">
        <f>REPT(Sprache!$K$58,1)</f>
        <v>Spieler</v>
      </c>
      <c r="E120" s="277" t="str">
        <f>REPT(Sprache!$K$33,1)</f>
        <v>Name / Vorname</v>
      </c>
      <c r="F120" s="278"/>
      <c r="G120" s="278"/>
      <c r="H120" s="279"/>
      <c r="I120" s="280"/>
      <c r="J120" s="281" t="str">
        <f>REPT(AM120,1)</f>
        <v/>
      </c>
      <c r="L120" s="306" t="s">
        <v>848</v>
      </c>
      <c r="M120" s="238"/>
      <c r="P120" s="306" t="s">
        <v>848</v>
      </c>
      <c r="R120" s="314" t="s">
        <v>771</v>
      </c>
      <c r="S120" s="276" t="str">
        <f>REPT(Sprache!$K$58,1)</f>
        <v>Spieler</v>
      </c>
      <c r="T120" s="277" t="str">
        <f>REPT(Sprache!$K$33,1)</f>
        <v>Name / Vorname</v>
      </c>
      <c r="U120" s="278"/>
      <c r="V120" s="278"/>
      <c r="W120" s="279"/>
      <c r="X120" s="280"/>
      <c r="Y120" s="281" t="str">
        <f>REPT(BA120,1)</f>
        <v/>
      </c>
      <c r="Z120" s="308"/>
      <c r="AD120" s="235"/>
      <c r="AE120" s="235"/>
      <c r="AF120" s="237" t="s">
        <v>771</v>
      </c>
      <c r="AG120" s="282" t="s">
        <v>877</v>
      </c>
      <c r="AH120" s="283" t="str">
        <f>IF(AH119=0,"",AH119)</f>
        <v/>
      </c>
      <c r="AI120" s="283" t="str">
        <f>IF(AI119=0,"",AI119)</f>
        <v/>
      </c>
      <c r="AJ120" s="283" t="str">
        <f>IF(AJ119=0,"",AJ119)</f>
        <v/>
      </c>
      <c r="AK120" s="283" t="str">
        <f>IF(AK119=0,"",AK119)</f>
        <v/>
      </c>
      <c r="AL120" s="283" t="str">
        <f>IF(AL119=0,"",AL119)</f>
        <v/>
      </c>
      <c r="AM120" s="258" t="str">
        <f>IF(AK111="D",IF(AF119=0,"","X"),"")</f>
        <v/>
      </c>
      <c r="AN120" s="235"/>
      <c r="AO120" s="235"/>
      <c r="AP120" s="284"/>
      <c r="AQ120" s="235"/>
      <c r="AR120" s="235"/>
      <c r="AS120" s="235"/>
      <c r="AT120" s="237" t="s">
        <v>771</v>
      </c>
      <c r="AU120" s="282" t="s">
        <v>877</v>
      </c>
      <c r="AV120" s="283" t="str">
        <f>IF(AV119=0,"",AV119)</f>
        <v/>
      </c>
      <c r="AW120" s="283" t="str">
        <f>IF(AW119=0,"",AW119)</f>
        <v/>
      </c>
      <c r="AX120" s="283" t="str">
        <f>IF(AX119=0,"",AX119)</f>
        <v/>
      </c>
      <c r="AY120" s="283" t="str">
        <f>IF(AY119=0,"",AY119)</f>
        <v/>
      </c>
      <c r="AZ120" s="421" t="str">
        <f>IF(AZ119=0,"",AZ119)</f>
        <v/>
      </c>
      <c r="BA120" s="258" t="str">
        <f>IF(AK111="D",IF(AT119=0,"","X"),"")</f>
        <v/>
      </c>
      <c r="BJ120" s="236"/>
      <c r="BK120" s="238"/>
      <c r="BL120" s="244">
        <f>IF(BM120=0,0,1)</f>
        <v>0</v>
      </c>
      <c r="BM120" s="244">
        <f>SUM(BM114,BM115,BM116,BM117,BM118,HH116,AN121,AN122,BB121,BB122)</f>
        <v>0</v>
      </c>
      <c r="BN120" s="166">
        <f t="shared" ref="BN120:BO120" si="283">SUM(BN114,BN115,BN116,BN117,BN118)</f>
        <v>0</v>
      </c>
      <c r="BO120" s="166">
        <f t="shared" si="283"/>
        <v>0</v>
      </c>
      <c r="BP120" s="244"/>
      <c r="BQ120" s="238"/>
      <c r="BR120" s="238"/>
      <c r="BS120" s="238"/>
      <c r="BT120" s="238"/>
      <c r="BU120" s="238"/>
      <c r="BV120" s="238"/>
      <c r="BW120" s="238"/>
      <c r="BX120" s="236"/>
      <c r="BY120" s="238"/>
      <c r="BZ120" s="238"/>
      <c r="CA120" s="238"/>
      <c r="CB120" s="238"/>
      <c r="CC120" s="238"/>
      <c r="CD120" s="238"/>
      <c r="CE120" s="238"/>
      <c r="CF120" s="238"/>
      <c r="CG120" s="244"/>
      <c r="CH120" s="238"/>
      <c r="CI120" s="238"/>
      <c r="CJ120" s="238"/>
      <c r="CK120" s="238"/>
      <c r="CL120" s="238"/>
      <c r="CM120" s="238"/>
      <c r="CN120" s="238"/>
      <c r="CO120" s="238"/>
      <c r="CP120" s="238"/>
      <c r="CQ120" s="238"/>
      <c r="CR120" s="238"/>
      <c r="CS120" s="238"/>
      <c r="CT120" s="238"/>
      <c r="CU120" s="238"/>
      <c r="CV120" s="238"/>
      <c r="CW120" s="238"/>
      <c r="CX120" s="238"/>
      <c r="CY120" s="238"/>
      <c r="CZ120" s="238"/>
      <c r="DA120" s="238"/>
      <c r="DB120" s="238"/>
      <c r="DC120" s="238"/>
      <c r="DD120" s="238"/>
      <c r="DE120" s="238"/>
      <c r="DF120" s="238"/>
      <c r="DG120" s="238"/>
      <c r="DH120" s="238"/>
      <c r="DI120" s="238"/>
      <c r="DJ120" s="238"/>
      <c r="DK120" s="238"/>
      <c r="DL120" s="238"/>
      <c r="DM120" s="238"/>
      <c r="DN120" s="238"/>
      <c r="DO120" s="238"/>
      <c r="DP120" s="238"/>
      <c r="DQ120" s="238"/>
      <c r="DR120" s="238"/>
      <c r="DS120" s="238"/>
      <c r="DT120" s="238"/>
      <c r="DU120" s="238"/>
      <c r="DV120" s="238"/>
      <c r="DW120" s="238"/>
      <c r="DX120" s="238"/>
      <c r="DY120" s="238"/>
      <c r="DZ120" s="238"/>
      <c r="EA120" s="238"/>
      <c r="EB120" s="238"/>
      <c r="EC120" s="238"/>
      <c r="ED120" s="238"/>
      <c r="EE120" s="238"/>
      <c r="EF120" s="238"/>
      <c r="EG120" s="238"/>
      <c r="EH120" s="238"/>
      <c r="EI120" s="238"/>
      <c r="EJ120" s="238"/>
      <c r="EK120" s="238"/>
      <c r="EL120" s="238"/>
      <c r="EM120" s="238"/>
      <c r="EN120" s="238"/>
      <c r="EO120" s="238"/>
      <c r="EP120" s="238"/>
      <c r="EQ120" s="238"/>
      <c r="ER120" s="238"/>
      <c r="ES120" s="238"/>
      <c r="ET120" s="244"/>
      <c r="EU120" s="238"/>
      <c r="EV120" s="238"/>
      <c r="EW120" s="238"/>
      <c r="EX120" s="238"/>
      <c r="EY120" s="238"/>
      <c r="EZ120" s="238"/>
      <c r="FA120" s="238"/>
      <c r="FB120" s="238"/>
      <c r="FC120" s="238"/>
      <c r="FD120" s="238"/>
      <c r="FE120" s="238"/>
      <c r="FF120" s="238"/>
      <c r="FG120" s="238"/>
      <c r="FH120" s="238"/>
      <c r="FI120" s="238"/>
      <c r="FJ120" s="238"/>
      <c r="FK120" s="238"/>
      <c r="FL120" s="238"/>
      <c r="FM120" s="238"/>
      <c r="FN120" s="238"/>
      <c r="FO120" s="244"/>
      <c r="FP120" s="238"/>
      <c r="FQ120" s="238"/>
      <c r="FR120" s="238"/>
      <c r="FS120" s="238"/>
      <c r="FT120" s="238"/>
      <c r="FU120" s="238"/>
      <c r="FV120" s="238"/>
      <c r="FW120" s="238"/>
      <c r="FX120" s="238"/>
      <c r="FY120" s="238"/>
      <c r="FZ120" s="238"/>
      <c r="GA120" s="238"/>
      <c r="GB120" s="238"/>
      <c r="GC120" s="238"/>
      <c r="GD120" s="341"/>
      <c r="GE120" s="340"/>
      <c r="GF120" s="340"/>
      <c r="GG120" s="340"/>
      <c r="GH120" s="340"/>
      <c r="GI120" s="340"/>
      <c r="GJ120" s="340"/>
      <c r="GK120" s="340"/>
      <c r="GL120" s="340"/>
      <c r="GM120" s="340"/>
      <c r="GN120" s="340"/>
      <c r="GO120" s="340"/>
      <c r="GP120" s="340"/>
      <c r="GQ120" s="340"/>
      <c r="GR120" s="340"/>
      <c r="GS120" s="340"/>
      <c r="GT120" s="340"/>
      <c r="GU120" s="340"/>
      <c r="GV120" s="340"/>
      <c r="GW120" s="340"/>
      <c r="GX120" s="340"/>
      <c r="GY120" s="340"/>
      <c r="GZ120" s="340"/>
      <c r="HA120" s="340"/>
      <c r="HB120" s="340"/>
      <c r="HC120" s="340"/>
      <c r="HD120" s="341"/>
      <c r="HE120" s="341"/>
      <c r="HF120" s="341"/>
      <c r="HG120" s="341"/>
      <c r="HH120" s="341"/>
      <c r="HI120" s="341"/>
      <c r="HJ120" s="341"/>
      <c r="HK120" s="341"/>
      <c r="HL120" s="341"/>
      <c r="HM120" s="341"/>
      <c r="HN120" s="341"/>
      <c r="HO120" s="341"/>
      <c r="HP120" s="341"/>
      <c r="HQ120" s="341"/>
      <c r="HR120" s="341"/>
      <c r="HS120" s="238"/>
      <c r="HT120" s="238"/>
      <c r="HU120" s="238"/>
      <c r="HV120" s="238"/>
      <c r="HX120" s="238"/>
      <c r="HY120" s="238"/>
      <c r="ID120" s="238"/>
    </row>
    <row r="121" spans="1:238" s="234" customFormat="1" ht="20.100000000000001" customHeight="1">
      <c r="A121" s="235"/>
      <c r="B121" s="231"/>
      <c r="C121" s="285" t="str">
        <f>IF(AF121="","",SUM(AF121))</f>
        <v/>
      </c>
      <c r="D121" s="286" t="str">
        <f>IF(AK111="D",1,"")</f>
        <v/>
      </c>
      <c r="E121" s="287" t="str">
        <f>IF(C121="","",VLOOKUP(C121,Licenses!B:C,2,FALSE))</f>
        <v/>
      </c>
      <c r="F121" s="288"/>
      <c r="G121" s="288"/>
      <c r="H121" s="289"/>
      <c r="I121" s="169"/>
      <c r="J121" s="270" t="str">
        <f>REPT(AM121,1)</f>
        <v/>
      </c>
      <c r="L121" s="290" t="str">
        <f>IF(AK111="D",AK121,IF(AK120="","",AK120))</f>
        <v/>
      </c>
      <c r="M121" s="311"/>
      <c r="P121" s="290" t="str">
        <f>IF(AK111="D",AY121,IF(AY120="","",AY120))</f>
        <v/>
      </c>
      <c r="R121" s="291" t="str">
        <f>IF(AT121="","",SUM(AT121))</f>
        <v/>
      </c>
      <c r="S121" s="286" t="str">
        <f>IF(AK111="D",1,"")</f>
        <v/>
      </c>
      <c r="T121" s="292" t="str">
        <f>IF(R121="","",VLOOKUP(R121,Licenses!B:C,2,FALSE))</f>
        <v/>
      </c>
      <c r="U121" s="293"/>
      <c r="V121" s="293"/>
      <c r="W121" s="294"/>
      <c r="X121" s="169"/>
      <c r="Y121" s="270" t="str">
        <f>REPT(BA121,1)</f>
        <v/>
      </c>
      <c r="Z121" s="308"/>
      <c r="AD121" s="235"/>
      <c r="AE121" s="235"/>
      <c r="AF121" s="256" t="str">
        <f>IF(AM111="","",SUM(AM111))</f>
        <v/>
      </c>
      <c r="AG121" s="237"/>
      <c r="AH121" s="256"/>
      <c r="AI121" s="256"/>
      <c r="AJ121" s="256"/>
      <c r="AK121" s="256" t="str">
        <f>IF(BZ119&gt;1,BZ119,"")</f>
        <v/>
      </c>
      <c r="AL121" s="257">
        <f>IF(AK111="D",SUM(I121),0)</f>
        <v>0</v>
      </c>
      <c r="AM121" s="258" t="str">
        <f>IF(AM119=0,IF(AL121&lt;6,"","X"),"X")</f>
        <v/>
      </c>
      <c r="AN121" s="347" t="str">
        <f>IF(AM119=0,IF(AL121&lt;6,"",1),1)</f>
        <v/>
      </c>
      <c r="AO121" s="235"/>
      <c r="AP121" s="236"/>
      <c r="AQ121" s="235"/>
      <c r="AR121" s="235"/>
      <c r="AS121" s="235"/>
      <c r="AT121" s="256" t="str">
        <f>IF(BA111="","",SUM(BA111))</f>
        <v/>
      </c>
      <c r="AU121" s="237"/>
      <c r="AV121" s="256"/>
      <c r="AW121" s="256"/>
      <c r="AX121" s="256"/>
      <c r="AY121" s="256" t="str">
        <f>IF(CI119&gt;1,CI119,"")</f>
        <v/>
      </c>
      <c r="AZ121" s="257">
        <f>IF(AK111="D",SUM(X121),0)</f>
        <v>0</v>
      </c>
      <c r="BA121" s="258" t="str">
        <f>IF(BA119=0,IF(AZ121&lt;6,"","X"),"X")</f>
        <v/>
      </c>
      <c r="BB121" s="347" t="str">
        <f>IF(BA119=0,IF(AZ121&lt;6,"",1),1)</f>
        <v/>
      </c>
      <c r="BC121" s="236"/>
      <c r="BD121" s="236"/>
      <c r="BE121" s="236"/>
      <c r="BF121" s="236"/>
      <c r="BG121" s="236"/>
      <c r="BH121" s="236"/>
      <c r="BI121" s="236"/>
      <c r="BJ121" s="236"/>
      <c r="BK121" s="238"/>
      <c r="BL121" s="238"/>
      <c r="BM121" s="295"/>
      <c r="BN121" s="295"/>
      <c r="BO121" s="295"/>
      <c r="BP121" s="295"/>
      <c r="BQ121" s="295"/>
      <c r="BR121" s="295"/>
      <c r="BS121" s="295"/>
      <c r="BT121" s="295"/>
      <c r="BU121" s="295"/>
      <c r="BV121" s="295"/>
      <c r="BW121" s="295"/>
      <c r="BX121" s="236"/>
      <c r="BY121" s="295"/>
      <c r="BZ121" s="295"/>
      <c r="CA121" s="295"/>
      <c r="CB121" s="295"/>
      <c r="CC121" s="295"/>
      <c r="CD121" s="295"/>
      <c r="CE121" s="295"/>
      <c r="CF121" s="295"/>
      <c r="CG121" s="296"/>
      <c r="CH121" s="295"/>
      <c r="CI121" s="295"/>
      <c r="CJ121" s="295"/>
      <c r="CK121" s="238"/>
      <c r="CL121" s="238"/>
      <c r="CM121" s="238"/>
      <c r="CN121" s="238"/>
      <c r="CO121" s="238"/>
      <c r="CP121" s="238"/>
      <c r="CQ121" s="238"/>
      <c r="CR121" s="238"/>
      <c r="CS121" s="238"/>
      <c r="CT121" s="238"/>
      <c r="CU121" s="238"/>
      <c r="CV121" s="238"/>
      <c r="CW121" s="238"/>
      <c r="CX121" s="238"/>
      <c r="CY121" s="238"/>
      <c r="CZ121" s="238"/>
      <c r="DA121" s="238"/>
      <c r="DB121" s="238"/>
      <c r="DC121" s="238"/>
      <c r="DD121" s="238"/>
      <c r="DE121" s="238"/>
      <c r="DF121" s="238"/>
      <c r="DG121" s="238"/>
      <c r="DH121" s="238"/>
      <c r="DI121" s="238"/>
      <c r="DJ121" s="238"/>
      <c r="DK121" s="238"/>
      <c r="DL121" s="238"/>
      <c r="DM121" s="238"/>
      <c r="DN121" s="238"/>
      <c r="DO121" s="238"/>
      <c r="DP121" s="238"/>
      <c r="DQ121" s="238"/>
      <c r="DR121" s="238"/>
      <c r="DS121" s="238"/>
      <c r="DT121" s="238"/>
      <c r="DU121" s="238"/>
      <c r="DV121" s="238"/>
      <c r="DW121" s="238"/>
      <c r="DX121" s="238"/>
      <c r="DY121" s="238"/>
      <c r="DZ121" s="238"/>
      <c r="EA121" s="238"/>
      <c r="EB121" s="238"/>
      <c r="EC121" s="238"/>
      <c r="ED121" s="238"/>
      <c r="EE121" s="238"/>
      <c r="EF121" s="238"/>
      <c r="EG121" s="238"/>
      <c r="EH121" s="238"/>
      <c r="EI121" s="238"/>
      <c r="EJ121" s="238"/>
      <c r="EK121" s="238"/>
      <c r="EL121" s="238"/>
      <c r="EM121" s="238"/>
      <c r="EN121" s="238"/>
      <c r="EO121" s="238"/>
      <c r="EP121" s="238"/>
      <c r="EQ121" s="238"/>
      <c r="ER121" s="238"/>
      <c r="ES121" s="238"/>
      <c r="ET121" s="244"/>
      <c r="EU121" s="238"/>
      <c r="EV121" s="238"/>
      <c r="EW121" s="238"/>
      <c r="EX121" s="238"/>
      <c r="EY121" s="238"/>
      <c r="EZ121" s="238"/>
      <c r="FA121" s="238"/>
      <c r="FB121" s="238"/>
      <c r="FC121" s="238"/>
      <c r="FD121" s="238"/>
      <c r="FE121" s="238"/>
      <c r="FF121" s="238"/>
      <c r="FG121" s="238"/>
      <c r="FH121" s="238"/>
      <c r="FI121" s="238"/>
      <c r="FJ121" s="238"/>
      <c r="FK121" s="238"/>
      <c r="FL121" s="238"/>
      <c r="FM121" s="238"/>
      <c r="FN121" s="238"/>
      <c r="FO121" s="244"/>
      <c r="FP121" s="238"/>
      <c r="FQ121" s="238"/>
      <c r="FR121" s="238"/>
      <c r="FS121" s="238"/>
      <c r="FT121" s="238"/>
      <c r="FU121" s="238"/>
      <c r="FV121" s="238"/>
      <c r="FW121" s="238"/>
      <c r="FX121" s="238"/>
      <c r="FY121" s="238"/>
      <c r="FZ121" s="238"/>
      <c r="GA121" s="238"/>
      <c r="GB121" s="238"/>
      <c r="GC121" s="238"/>
      <c r="GD121" s="341"/>
      <c r="GE121" s="340"/>
      <c r="GF121" s="340"/>
      <c r="GG121" s="340"/>
      <c r="GH121" s="340"/>
      <c r="GI121" s="340"/>
      <c r="GJ121" s="340"/>
      <c r="GK121" s="340"/>
      <c r="GL121" s="340"/>
      <c r="GM121" s="340"/>
      <c r="GN121" s="340"/>
      <c r="GO121" s="340"/>
      <c r="GP121" s="340"/>
      <c r="GQ121" s="340"/>
      <c r="GR121" s="340"/>
      <c r="GS121" s="340"/>
      <c r="GT121" s="340"/>
      <c r="GU121" s="340"/>
      <c r="GV121" s="340"/>
      <c r="GW121" s="340"/>
      <c r="GX121" s="340"/>
      <c r="GY121" s="340"/>
      <c r="GZ121" s="340"/>
      <c r="HA121" s="340"/>
      <c r="HB121" s="340"/>
      <c r="HC121" s="340"/>
      <c r="HD121" s="341"/>
      <c r="HE121" s="341"/>
      <c r="HF121" s="341"/>
      <c r="HG121" s="341"/>
      <c r="HH121" s="341"/>
      <c r="HI121" s="341"/>
      <c r="HJ121" s="341"/>
      <c r="HK121" s="341"/>
      <c r="HL121" s="341"/>
      <c r="HM121" s="341"/>
      <c r="HN121" s="341"/>
      <c r="HO121" s="341"/>
      <c r="HP121" s="341"/>
      <c r="HQ121" s="341"/>
      <c r="HR121" s="341"/>
      <c r="HS121" s="238"/>
      <c r="HT121" s="238"/>
      <c r="HU121" s="238"/>
      <c r="HV121" s="238"/>
      <c r="HX121" s="238"/>
      <c r="HY121" s="238"/>
      <c r="ID121" s="238"/>
    </row>
    <row r="122" spans="1:238" s="234" customFormat="1" ht="20.100000000000001" customHeight="1">
      <c r="A122" s="235"/>
      <c r="B122" s="231"/>
      <c r="C122" s="336" t="str">
        <f>IF(AF122="","",SUM(AF122))</f>
        <v/>
      </c>
      <c r="D122" s="333" t="str">
        <f>IF(AK111="D",2,"")</f>
        <v/>
      </c>
      <c r="E122" s="337" t="str">
        <f>IF(C122="","",VLOOKUP(C122,Licenses!B:C,2,FALSE))</f>
        <v/>
      </c>
      <c r="F122" s="290"/>
      <c r="G122" s="290"/>
      <c r="H122" s="338"/>
      <c r="I122" s="331"/>
      <c r="J122" s="272" t="str">
        <f>REPT(AM122,1)</f>
        <v/>
      </c>
      <c r="L122" s="315" t="str">
        <f>IF(AK111="D",AK122,"")</f>
        <v/>
      </c>
      <c r="M122" s="311"/>
      <c r="P122" s="315" t="str">
        <f>IF(AK111="D",AY122,"")</f>
        <v/>
      </c>
      <c r="R122" s="332" t="str">
        <f>IF(AT122="","",SUM(AT122))</f>
        <v/>
      </c>
      <c r="S122" s="333" t="str">
        <f>IF(AK111="D",2,"")</f>
        <v/>
      </c>
      <c r="T122" s="334" t="str">
        <f>IF(R122="","",VLOOKUP(R122,Licenses!B:C,2,FALSE))</f>
        <v/>
      </c>
      <c r="U122" s="297"/>
      <c r="V122" s="297"/>
      <c r="W122" s="335"/>
      <c r="X122" s="331"/>
      <c r="Y122" s="272" t="str">
        <f>REPT(BA122,1)</f>
        <v/>
      </c>
      <c r="Z122" s="308"/>
      <c r="AA122" s="238">
        <f>IF(AK111="D",0,1)</f>
        <v>1</v>
      </c>
      <c r="AD122" s="235"/>
      <c r="AE122" s="235"/>
      <c r="AF122" s="256" t="str">
        <f>IF(AM112="","",SUM(AM112))</f>
        <v/>
      </c>
      <c r="AG122" s="237"/>
      <c r="AH122" s="256"/>
      <c r="AI122" s="256"/>
      <c r="AJ122" s="256"/>
      <c r="AK122" s="256" t="str">
        <f>IF(CA119&gt;1,CA119,"")</f>
        <v/>
      </c>
      <c r="AL122" s="257">
        <f>IF(AK111="D",SUM(I122),0)</f>
        <v>0</v>
      </c>
      <c r="AM122" s="258" t="str">
        <f>IF(AM119=0,IF(AL122&lt;6,"","X"),"X")</f>
        <v/>
      </c>
      <c r="AN122" s="347" t="str">
        <f>IF(AM119=0,IF(AL122&lt;6,"",1),1)</f>
        <v/>
      </c>
      <c r="AO122" s="235"/>
      <c r="AP122" s="236"/>
      <c r="AQ122" s="235"/>
      <c r="AR122" s="235"/>
      <c r="AS122" s="235"/>
      <c r="AT122" s="256" t="str">
        <f>IF(BA112="","",SUM(BA112))</f>
        <v/>
      </c>
      <c r="AU122" s="237"/>
      <c r="AV122" s="256"/>
      <c r="AW122" s="256"/>
      <c r="AX122" s="256"/>
      <c r="AY122" s="256" t="str">
        <f>IF(CJ119&gt;1,CJ119,"")</f>
        <v/>
      </c>
      <c r="AZ122" s="257">
        <f>IF(AK111="D",SUM(X122),0)</f>
        <v>0</v>
      </c>
      <c r="BA122" s="258" t="str">
        <f>IF(BA119=0,IF(AZ122&lt;6,"","X"),"X")</f>
        <v/>
      </c>
      <c r="BB122" s="347" t="str">
        <f>IF(BA119=0,IF(AZ122&lt;6,"",1),1)</f>
        <v/>
      </c>
      <c r="BC122" s="236"/>
      <c r="BD122" s="236"/>
      <c r="BE122" s="236"/>
      <c r="BF122" s="236"/>
      <c r="BG122" s="236"/>
      <c r="BH122" s="236"/>
      <c r="BI122" s="236"/>
      <c r="BJ122" s="236"/>
      <c r="BK122" s="238"/>
      <c r="BM122" s="238"/>
      <c r="BN122" s="238"/>
      <c r="BO122" s="238"/>
      <c r="BP122" s="238"/>
      <c r="BQ122" s="238" t="s">
        <v>899</v>
      </c>
      <c r="BR122" s="238"/>
      <c r="BS122" s="238"/>
      <c r="BT122" s="238"/>
      <c r="BU122" s="238"/>
      <c r="BV122" s="238"/>
      <c r="BW122" s="238"/>
      <c r="BX122" s="236"/>
      <c r="BY122" s="238"/>
      <c r="BZ122" s="238"/>
      <c r="CA122" s="238"/>
      <c r="CB122" s="238"/>
      <c r="CC122" s="238"/>
      <c r="CD122" s="238" t="s">
        <v>899</v>
      </c>
      <c r="CE122" s="238"/>
      <c r="CF122" s="238"/>
      <c r="CG122" s="244"/>
      <c r="CH122" s="238"/>
      <c r="CI122" s="238"/>
      <c r="CJ122" s="238"/>
      <c r="CK122" s="238"/>
      <c r="CL122" s="238"/>
      <c r="CM122" s="238"/>
      <c r="CN122" s="238"/>
      <c r="CO122" s="238"/>
      <c r="CP122" s="238"/>
      <c r="CQ122" s="238"/>
      <c r="CR122" s="238"/>
      <c r="CS122" s="238"/>
      <c r="CT122" s="238"/>
      <c r="CU122" s="238"/>
      <c r="CV122" s="238"/>
      <c r="CW122" s="238"/>
      <c r="CX122" s="238"/>
      <c r="CY122" s="238"/>
      <c r="CZ122" s="238"/>
      <c r="DA122" s="238"/>
      <c r="DB122" s="238"/>
      <c r="DC122" s="238"/>
      <c r="DD122" s="238"/>
      <c r="DE122" s="238"/>
      <c r="DF122" s="238"/>
      <c r="DG122" s="238"/>
      <c r="DH122" s="238"/>
      <c r="DI122" s="238"/>
      <c r="DJ122" s="238"/>
      <c r="DK122" s="238"/>
      <c r="DL122" s="238"/>
      <c r="DM122" s="238"/>
      <c r="DN122" s="238"/>
      <c r="DO122" s="238"/>
      <c r="DP122" s="238"/>
      <c r="DQ122" s="238"/>
      <c r="DR122" s="238"/>
      <c r="DS122" s="238"/>
      <c r="DT122" s="238"/>
      <c r="DU122" s="238"/>
      <c r="DV122" s="238"/>
      <c r="DW122" s="238"/>
      <c r="DX122" s="238"/>
      <c r="DY122" s="238"/>
      <c r="DZ122" s="238"/>
      <c r="EA122" s="238"/>
      <c r="EB122" s="238"/>
      <c r="EC122" s="238"/>
      <c r="ED122" s="238"/>
      <c r="EE122" s="238"/>
      <c r="EF122" s="238"/>
      <c r="EG122" s="238"/>
      <c r="EH122" s="238"/>
      <c r="EI122" s="238"/>
      <c r="EJ122" s="238"/>
      <c r="EK122" s="238"/>
      <c r="EL122" s="238"/>
      <c r="EM122" s="238"/>
      <c r="EN122" s="238"/>
      <c r="EO122" s="238"/>
      <c r="EP122" s="238"/>
      <c r="EQ122" s="238"/>
      <c r="ER122" s="238"/>
      <c r="ES122" s="238"/>
      <c r="ET122" s="244"/>
      <c r="EU122" s="238"/>
      <c r="EV122" s="238"/>
      <c r="EW122" s="238"/>
      <c r="EX122" s="238"/>
      <c r="EY122" s="238"/>
      <c r="EZ122" s="238"/>
      <c r="FA122" s="238"/>
      <c r="FB122" s="238"/>
      <c r="FC122" s="238"/>
      <c r="FD122" s="238"/>
      <c r="FE122" s="238"/>
      <c r="FF122" s="238"/>
      <c r="FG122" s="238"/>
      <c r="FH122" s="238"/>
      <c r="FI122" s="238"/>
      <c r="FJ122" s="238"/>
      <c r="FK122" s="238"/>
      <c r="FL122" s="238"/>
      <c r="FM122" s="238"/>
      <c r="FN122" s="238"/>
      <c r="FO122" s="244"/>
      <c r="FP122" s="238"/>
      <c r="FQ122" s="238"/>
      <c r="FR122" s="238"/>
      <c r="FS122" s="238"/>
      <c r="FT122" s="238"/>
      <c r="FU122" s="238"/>
      <c r="FV122" s="238"/>
      <c r="FW122" s="238"/>
      <c r="FX122" s="238"/>
      <c r="FY122" s="238"/>
      <c r="FZ122" s="238"/>
      <c r="GA122" s="238"/>
      <c r="GB122" s="238"/>
      <c r="GC122" s="238"/>
      <c r="GD122" s="341"/>
      <c r="GE122" s="340"/>
      <c r="GF122" s="340"/>
      <c r="GG122" s="340"/>
      <c r="GH122" s="340"/>
      <c r="GI122" s="340"/>
      <c r="GJ122" s="340"/>
      <c r="GK122" s="340"/>
      <c r="GL122" s="340"/>
      <c r="GM122" s="340"/>
      <c r="GN122" s="340"/>
      <c r="GO122" s="340"/>
      <c r="GP122" s="340"/>
      <c r="GQ122" s="340"/>
      <c r="GR122" s="340"/>
      <c r="GS122" s="340"/>
      <c r="GT122" s="340"/>
      <c r="GU122" s="340"/>
      <c r="GV122" s="340"/>
      <c r="GW122" s="340"/>
      <c r="GX122" s="340"/>
      <c r="GY122" s="340"/>
      <c r="GZ122" s="340"/>
      <c r="HA122" s="340"/>
      <c r="HB122" s="340"/>
      <c r="HC122" s="340"/>
      <c r="HD122" s="341"/>
      <c r="HE122" s="341"/>
      <c r="HF122" s="341"/>
      <c r="HG122" s="341"/>
      <c r="HH122" s="341"/>
      <c r="HI122" s="341"/>
      <c r="HJ122" s="341"/>
      <c r="HK122" s="341"/>
      <c r="HL122" s="341"/>
      <c r="HM122" s="341"/>
      <c r="HN122" s="341"/>
      <c r="HO122" s="341"/>
      <c r="HP122" s="341"/>
      <c r="HQ122" s="341"/>
      <c r="HR122" s="341"/>
      <c r="HS122" s="238"/>
      <c r="HT122" s="238"/>
      <c r="HU122" s="238"/>
      <c r="HV122" s="238"/>
      <c r="HX122" s="238"/>
      <c r="HY122" s="238"/>
      <c r="ID122" s="238"/>
    </row>
    <row r="123" spans="1:238" s="234" customFormat="1" ht="20.100000000000001" customHeight="1">
      <c r="A123" s="235"/>
      <c r="B123" s="316"/>
      <c r="C123" s="317"/>
      <c r="D123" s="317"/>
      <c r="E123" s="318"/>
      <c r="F123" s="318"/>
      <c r="G123" s="318"/>
      <c r="H123" s="318"/>
      <c r="I123" s="318"/>
      <c r="J123" s="318"/>
      <c r="K123" s="319"/>
      <c r="L123" s="319"/>
      <c r="M123" s="319"/>
      <c r="N123" s="319"/>
      <c r="O123" s="319"/>
      <c r="P123" s="320"/>
      <c r="Q123" s="319"/>
      <c r="R123" s="317"/>
      <c r="S123" s="318"/>
      <c r="T123" s="318"/>
      <c r="U123" s="318"/>
      <c r="V123" s="318"/>
      <c r="W123" s="318"/>
      <c r="X123" s="318"/>
      <c r="Y123" s="318"/>
      <c r="Z123" s="321"/>
      <c r="AD123" s="235"/>
      <c r="AE123" s="237"/>
      <c r="AF123" s="237"/>
      <c r="AG123" s="237"/>
      <c r="AH123" s="237" t="s">
        <v>921</v>
      </c>
      <c r="AI123" s="237" t="s">
        <v>922</v>
      </c>
      <c r="AJ123" s="298" t="str">
        <f>IF(BS123="","",SUM(AM123)*3)</f>
        <v/>
      </c>
      <c r="AK123" s="299" t="s">
        <v>923</v>
      </c>
      <c r="AL123" s="256"/>
      <c r="AM123" s="256" t="str">
        <f>IF(BS123="","",SUM(BS123))</f>
        <v/>
      </c>
      <c r="AN123" s="235"/>
      <c r="AO123" s="235"/>
      <c r="AP123" s="236"/>
      <c r="AQ123" s="235"/>
      <c r="AR123" s="235"/>
      <c r="AS123" s="237"/>
      <c r="AT123" s="237"/>
      <c r="AU123" s="237"/>
      <c r="AV123" s="237" t="s">
        <v>921</v>
      </c>
      <c r="AW123" s="237" t="s">
        <v>922</v>
      </c>
      <c r="AX123" s="298" t="str">
        <f>IF(BS123="","",SUM(BA123)*3)</f>
        <v/>
      </c>
      <c r="AY123" s="299" t="s">
        <v>923</v>
      </c>
      <c r="AZ123" s="256"/>
      <c r="BA123" s="256" t="str">
        <f>IF(BS123="","",SUM(CF123))</f>
        <v/>
      </c>
      <c r="BB123" s="236"/>
      <c r="BC123" s="236"/>
      <c r="BD123" s="236"/>
      <c r="BE123" s="236"/>
      <c r="BF123" s="236"/>
      <c r="BG123" s="236"/>
      <c r="BH123" s="236"/>
      <c r="BI123" s="236"/>
      <c r="BJ123" s="236"/>
      <c r="BK123" s="373">
        <f>IF(AL111=BQ123,1,0)</f>
        <v>0</v>
      </c>
      <c r="BL123" s="373">
        <f>IF(AL111=CD123,1,0)</f>
        <v>0</v>
      </c>
      <c r="BM123" s="256">
        <f>IF(BN123&gt;2,1,0)</f>
        <v>0</v>
      </c>
      <c r="BN123" s="256">
        <f>COUNT(AH114,AH115,AH116)</f>
        <v>0</v>
      </c>
      <c r="BO123" s="256" t="str">
        <f>IF(AH120="","",SUM(AH120/AJ120))</f>
        <v/>
      </c>
      <c r="BP123" s="256"/>
      <c r="BQ123" s="300">
        <f>COUNT(AK114,AK115,AK116,AK117,AK118)</f>
        <v>0</v>
      </c>
      <c r="BR123" s="256"/>
      <c r="BS123" s="256" t="str">
        <f>IF(BL120=0,IF(AJ115="","",BO123),"")</f>
        <v/>
      </c>
      <c r="BT123" s="236"/>
      <c r="BU123" s="236"/>
      <c r="BV123" s="236"/>
      <c r="BW123" s="236"/>
      <c r="BX123" s="236"/>
      <c r="BY123" s="256">
        <f>IF(CD123&gt;2,1,0)</f>
        <v>0</v>
      </c>
      <c r="BZ123" s="256">
        <f>IF(CA123&gt;2,1,0)</f>
        <v>0</v>
      </c>
      <c r="CA123" s="256">
        <f>COUNT(AV114,AV115,AV116)</f>
        <v>0</v>
      </c>
      <c r="CB123" s="256" t="str">
        <f>IF(AV120="","",SUM(AV120/AX120))</f>
        <v/>
      </c>
      <c r="CC123" s="256"/>
      <c r="CD123" s="300">
        <f>COUNT(AY114,AY115,AY116,AY117,AY118)</f>
        <v>0</v>
      </c>
      <c r="CE123" s="256"/>
      <c r="CF123" s="256" t="str">
        <f>IF(BL120=0,IF(AX115="","",CB123),"")</f>
        <v/>
      </c>
      <c r="CG123" s="236"/>
      <c r="CH123" s="188"/>
      <c r="CI123" s="188"/>
      <c r="CJ123" s="196"/>
      <c r="CK123" s="196"/>
      <c r="CL123" s="196"/>
      <c r="CM123" s="196"/>
      <c r="CN123" s="196"/>
      <c r="CO123" s="196"/>
      <c r="CP123" s="196"/>
      <c r="CQ123" s="196"/>
      <c r="CR123" s="196"/>
      <c r="CS123" s="196"/>
      <c r="CT123" s="196"/>
      <c r="CU123" s="196"/>
      <c r="CV123" s="196"/>
      <c r="CW123" s="196"/>
      <c r="CX123" s="196"/>
      <c r="CY123" s="196"/>
      <c r="CZ123" s="196"/>
      <c r="DA123" s="196"/>
      <c r="DB123" s="196"/>
      <c r="DC123" s="196"/>
      <c r="DD123" s="196"/>
      <c r="DE123" s="196"/>
      <c r="DF123" s="196"/>
      <c r="DG123" s="196"/>
      <c r="DH123" s="196"/>
      <c r="DI123" s="196"/>
      <c r="DJ123" s="196"/>
      <c r="DK123" s="196"/>
      <c r="DL123" s="196"/>
      <c r="DM123" s="196"/>
      <c r="DN123" s="196"/>
      <c r="DO123" s="196"/>
      <c r="DP123" s="196"/>
      <c r="DQ123" s="196"/>
      <c r="DR123" s="196"/>
      <c r="DS123" s="196"/>
      <c r="DT123" s="196"/>
      <c r="DU123" s="196"/>
      <c r="DV123" s="196"/>
      <c r="DW123" s="196"/>
      <c r="DX123" s="196"/>
      <c r="DY123" s="196"/>
      <c r="DZ123" s="196"/>
      <c r="EA123" s="196"/>
      <c r="EB123" s="196"/>
      <c r="EC123" s="196"/>
      <c r="ED123" s="196"/>
      <c r="EE123" s="196"/>
      <c r="EF123" s="196"/>
      <c r="EG123" s="196"/>
      <c r="EH123" s="196"/>
      <c r="EI123" s="196"/>
      <c r="EJ123" s="196"/>
      <c r="EK123" s="196"/>
      <c r="EL123" s="196"/>
      <c r="EM123" s="196"/>
      <c r="EN123" s="196"/>
      <c r="EO123" s="196"/>
      <c r="EP123" s="196"/>
      <c r="EQ123" s="196"/>
      <c r="ER123" s="196"/>
      <c r="ES123" s="196"/>
      <c r="ET123" s="301"/>
      <c r="EU123" s="196"/>
      <c r="EV123" s="196"/>
      <c r="EW123" s="196"/>
      <c r="EX123" s="196"/>
      <c r="EY123" s="196"/>
      <c r="EZ123" s="196"/>
      <c r="FA123" s="196"/>
      <c r="FB123" s="196"/>
      <c r="FC123" s="196"/>
      <c r="FD123" s="196"/>
      <c r="FE123" s="196"/>
      <c r="FF123" s="196"/>
      <c r="FG123" s="196"/>
      <c r="FH123" s="196"/>
      <c r="FI123" s="196"/>
      <c r="FJ123" s="196"/>
      <c r="FK123" s="196"/>
      <c r="FL123" s="196"/>
      <c r="FM123" s="196"/>
      <c r="FN123" s="196"/>
      <c r="FO123" s="301"/>
      <c r="FP123" s="196"/>
      <c r="FQ123" s="196"/>
      <c r="FR123" s="196"/>
      <c r="FS123" s="196"/>
      <c r="FT123" s="196"/>
      <c r="FU123" s="196"/>
      <c r="FV123" s="196"/>
      <c r="FW123" s="196"/>
      <c r="FX123" s="196"/>
      <c r="FY123" s="196"/>
      <c r="FZ123" s="196"/>
      <c r="GA123" s="196"/>
      <c r="GB123" s="238"/>
      <c r="GC123" s="238"/>
      <c r="GD123" s="341"/>
      <c r="GE123" s="341"/>
      <c r="GF123" s="341"/>
      <c r="GG123" s="341"/>
      <c r="GH123" s="341"/>
      <c r="GI123" s="341"/>
      <c r="GJ123" s="341"/>
      <c r="GK123" s="341"/>
      <c r="GL123" s="341"/>
      <c r="GM123" s="341"/>
      <c r="GN123" s="341"/>
      <c r="GO123" s="341"/>
      <c r="GP123" s="341"/>
      <c r="GQ123" s="341"/>
      <c r="GR123" s="341"/>
      <c r="GS123" s="341"/>
      <c r="GT123" s="341"/>
      <c r="GU123" s="341"/>
      <c r="GV123" s="341"/>
      <c r="GW123" s="341"/>
      <c r="GX123" s="341"/>
      <c r="GY123" s="341"/>
      <c r="GZ123" s="341"/>
      <c r="HA123" s="341"/>
      <c r="HB123" s="341"/>
      <c r="HC123" s="341"/>
      <c r="HD123" s="341"/>
      <c r="HE123" s="341"/>
      <c r="HF123" s="341"/>
      <c r="HG123" s="341"/>
      <c r="HH123" s="341"/>
      <c r="HI123" s="341"/>
      <c r="HJ123" s="341"/>
      <c r="HK123" s="341"/>
      <c r="HL123" s="341"/>
      <c r="HM123" s="341"/>
      <c r="HN123" s="341"/>
      <c r="HO123" s="341"/>
      <c r="HP123" s="341"/>
      <c r="HQ123" s="341"/>
      <c r="HR123" s="341"/>
      <c r="HS123" s="238"/>
      <c r="HT123" s="238"/>
      <c r="HU123" s="238"/>
      <c r="HV123" s="238"/>
      <c r="HX123" s="238"/>
      <c r="HY123" s="238"/>
      <c r="ID123" s="238"/>
    </row>
    <row r="124" spans="1:238" ht="14.1" customHeight="1">
      <c r="B124" s="214"/>
      <c r="C124" s="171"/>
      <c r="D124" s="171"/>
      <c r="E124" s="171"/>
      <c r="F124" s="171"/>
      <c r="G124" s="171"/>
      <c r="H124" s="171"/>
      <c r="I124" s="171"/>
      <c r="J124" s="171"/>
      <c r="K124" s="171"/>
      <c r="L124" s="171"/>
      <c r="M124" s="171"/>
      <c r="N124" s="171"/>
      <c r="O124" s="171"/>
      <c r="P124" s="171"/>
      <c r="Q124" s="171"/>
      <c r="R124" s="171"/>
      <c r="S124" s="171"/>
      <c r="T124" s="171"/>
      <c r="U124" s="171"/>
      <c r="V124" s="171"/>
      <c r="W124" s="171"/>
      <c r="X124" s="171"/>
      <c r="Y124" s="171"/>
      <c r="Z124" s="302"/>
      <c r="AA124" s="215"/>
      <c r="AB124" s="215"/>
      <c r="AC124" s="215"/>
      <c r="AD124" s="215"/>
      <c r="AE124" s="215"/>
      <c r="AF124" s="215"/>
      <c r="BB124" s="215"/>
      <c r="BC124" s="215"/>
      <c r="BD124" s="215"/>
      <c r="BE124" s="215"/>
      <c r="BF124" s="215"/>
      <c r="BG124" s="215"/>
      <c r="BH124" s="215"/>
      <c r="GD124" s="339"/>
      <c r="GE124" s="339"/>
      <c r="GF124" s="339"/>
      <c r="GG124" s="339"/>
      <c r="GH124" s="339"/>
      <c r="GI124" s="339"/>
      <c r="GJ124" s="339"/>
      <c r="GK124" s="339"/>
      <c r="GL124" s="339"/>
      <c r="GM124" s="339"/>
      <c r="GN124" s="339"/>
      <c r="GO124" s="339"/>
      <c r="GP124" s="339"/>
      <c r="GQ124" s="339"/>
      <c r="GR124" s="339"/>
      <c r="GS124" s="339"/>
      <c r="GT124" s="339"/>
      <c r="GU124" s="339"/>
      <c r="GV124" s="339"/>
      <c r="GW124" s="339"/>
      <c r="GX124" s="339"/>
      <c r="GY124" s="339"/>
      <c r="GZ124" s="339"/>
      <c r="HA124" s="339"/>
      <c r="HB124" s="339"/>
      <c r="HC124" s="339"/>
      <c r="HD124" s="339"/>
      <c r="HE124" s="339"/>
      <c r="HF124" s="339"/>
      <c r="HG124" s="339"/>
      <c r="HH124" s="339"/>
      <c r="HI124" s="339"/>
      <c r="HJ124" s="339"/>
      <c r="HK124" s="339"/>
      <c r="HL124" s="339"/>
      <c r="HM124" s="339"/>
      <c r="HN124" s="339"/>
      <c r="HO124" s="339"/>
      <c r="HP124" s="339"/>
      <c r="HQ124" s="339"/>
      <c r="HR124" s="339"/>
    </row>
    <row r="125" spans="1:238" ht="24" customHeight="1">
      <c r="B125" s="216"/>
      <c r="C125" s="181"/>
      <c r="D125" s="181"/>
      <c r="E125" s="181"/>
      <c r="F125" s="181"/>
      <c r="G125" s="181"/>
      <c r="H125" s="181"/>
      <c r="I125" s="181"/>
      <c r="J125" s="181"/>
      <c r="K125" s="185"/>
      <c r="L125" s="217"/>
      <c r="M125" s="218"/>
      <c r="N125" s="327" t="str">
        <f>CONCATENATE(AG125," ",AH125)</f>
        <v>Spiel 9</v>
      </c>
      <c r="O125" s="218"/>
      <c r="P125" s="219"/>
      <c r="Q125" s="185"/>
      <c r="R125" s="181"/>
      <c r="S125" s="181"/>
      <c r="T125" s="181"/>
      <c r="U125" s="181"/>
      <c r="V125" s="181"/>
      <c r="W125" s="181"/>
      <c r="X125" s="181"/>
      <c r="Y125" s="181"/>
      <c r="Z125" s="303"/>
      <c r="AA125" s="200"/>
      <c r="AB125" s="200"/>
      <c r="AC125" s="200"/>
      <c r="AD125" s="200"/>
      <c r="AE125" s="200"/>
      <c r="AF125" s="200"/>
      <c r="AG125" s="200" t="s">
        <v>863</v>
      </c>
      <c r="AH125" s="220">
        <v>9</v>
      </c>
      <c r="AI125" s="173">
        <f>VLOOKUP(AH125,Chema!R:T,3,FALSE)</f>
        <v>1.1000000000000001</v>
      </c>
      <c r="AJ125" s="200" t="str">
        <f>VLOOKUP(AH125,Chema!BL:BQ,6,FALSE)</f>
        <v>1.1*</v>
      </c>
      <c r="AK125" s="200" t="str">
        <f>VLOOKUP(AH125,'Matchblatt  FEUILLE DE MATCH'!AI:AJ,2,FALSE)</f>
        <v>D</v>
      </c>
      <c r="AL125" s="200">
        <f>VLOOKUP(AH125,Chema!R:U,4,FALSE)</f>
        <v>3</v>
      </c>
      <c r="AM125" s="215" t="str">
        <f>VLOOKUP(AH125,'Matchblatt  FEUILLE DE MATCH'!AI:AS,10,FALSE)</f>
        <v/>
      </c>
      <c r="AN125" s="215"/>
      <c r="AO125" s="215"/>
      <c r="AP125" s="215"/>
      <c r="AQ125" s="215"/>
      <c r="AR125" s="215"/>
      <c r="AS125" s="215"/>
      <c r="AT125" s="215"/>
      <c r="AU125" s="215"/>
      <c r="AV125" s="215"/>
      <c r="AW125" s="215"/>
      <c r="AX125" s="215"/>
      <c r="AY125" s="215"/>
      <c r="AZ125" s="215"/>
      <c r="BA125" s="215" t="str">
        <f>VLOOKUP(AH125,'Matchblatt  FEUILLE DE MATCH'!AI:AS,11,FALSE)</f>
        <v/>
      </c>
      <c r="BB125" s="200"/>
      <c r="BC125" s="200"/>
      <c r="BD125" s="200"/>
      <c r="BE125" s="200"/>
      <c r="BF125" s="200"/>
      <c r="BG125" s="200"/>
      <c r="BH125" s="200"/>
      <c r="BK125" s="196"/>
      <c r="BL125" s="196"/>
      <c r="BM125" s="196"/>
      <c r="BN125" s="196"/>
      <c r="BO125" s="196"/>
      <c r="BP125" s="196"/>
      <c r="BQ125" s="221" t="s">
        <v>843</v>
      </c>
      <c r="BR125" s="222"/>
      <c r="BS125" s="222"/>
      <c r="BT125" s="223"/>
      <c r="BU125" s="222" t="s">
        <v>843</v>
      </c>
      <c r="BV125" s="222"/>
      <c r="BW125" s="222"/>
      <c r="BX125" s="224"/>
      <c r="BY125" s="222"/>
      <c r="BZ125" s="222"/>
      <c r="CA125" s="222"/>
      <c r="CB125" s="222"/>
      <c r="CC125" s="222"/>
      <c r="CD125" s="222"/>
      <c r="CE125" s="222"/>
      <c r="CF125" s="222"/>
      <c r="CG125" s="224"/>
      <c r="CH125" s="222"/>
      <c r="CI125" s="222"/>
      <c r="CJ125" s="223"/>
      <c r="CK125" s="196"/>
      <c r="CL125" s="196"/>
      <c r="CM125" s="196"/>
      <c r="CN125" s="196"/>
      <c r="CO125" s="196"/>
      <c r="CP125" s="196"/>
      <c r="CQ125" s="196"/>
      <c r="CR125" s="196"/>
      <c r="CS125" s="196"/>
      <c r="CT125" s="196"/>
      <c r="CU125" s="196"/>
      <c r="CV125" s="196"/>
      <c r="CW125" s="196"/>
      <c r="CX125" s="196"/>
      <c r="CY125" s="196"/>
      <c r="CZ125" s="196"/>
      <c r="DA125" s="196"/>
      <c r="DB125" s="196"/>
      <c r="DC125" s="196"/>
      <c r="DD125" s="196"/>
      <c r="DE125" s="196"/>
      <c r="DF125" s="196"/>
      <c r="DG125" s="196"/>
      <c r="DH125" s="196"/>
      <c r="DI125" s="196"/>
      <c r="DJ125" s="196"/>
      <c r="DK125" s="196"/>
      <c r="DL125" s="196"/>
      <c r="DM125" s="196"/>
      <c r="DN125" s="196"/>
      <c r="DO125" s="196"/>
      <c r="DP125" s="196"/>
      <c r="DQ125" s="196"/>
      <c r="DR125" s="196"/>
      <c r="DS125" s="196"/>
      <c r="DT125" s="196"/>
      <c r="DU125" s="196"/>
      <c r="DV125" s="196"/>
      <c r="DW125" s="196"/>
      <c r="DX125" s="196"/>
      <c r="DY125" s="196"/>
      <c r="DZ125" s="196"/>
      <c r="EA125" s="196"/>
      <c r="EB125" s="196"/>
      <c r="EC125" s="196"/>
      <c r="ED125" s="196"/>
      <c r="EE125" s="196"/>
      <c r="EF125" s="196"/>
      <c r="EG125" s="196"/>
      <c r="EH125" s="196"/>
      <c r="EI125" s="196"/>
      <c r="EJ125" s="196"/>
      <c r="EK125" s="196"/>
      <c r="EL125" s="196"/>
      <c r="EM125" s="221" t="s">
        <v>7</v>
      </c>
      <c r="EN125" s="222"/>
      <c r="EO125" s="222"/>
      <c r="EP125" s="222"/>
      <c r="EQ125" s="222"/>
      <c r="ER125" s="222"/>
      <c r="ES125" s="222"/>
      <c r="ET125" s="224"/>
      <c r="EU125" s="222"/>
      <c r="EV125" s="222"/>
      <c r="EW125" s="222"/>
      <c r="EX125" s="222"/>
      <c r="EY125" s="222"/>
      <c r="EZ125" s="222"/>
      <c r="FA125" s="222"/>
      <c r="FB125" s="222"/>
      <c r="FC125" s="222"/>
      <c r="FD125" s="222"/>
      <c r="FE125" s="223"/>
      <c r="FF125" s="196"/>
      <c r="FG125" s="196"/>
      <c r="FH125" s="221" t="s">
        <v>12</v>
      </c>
      <c r="FI125" s="222"/>
      <c r="FJ125" s="222"/>
      <c r="FK125" s="222"/>
      <c r="FL125" s="222"/>
      <c r="FM125" s="222"/>
      <c r="FN125" s="222"/>
      <c r="FO125" s="224"/>
      <c r="FP125" s="222"/>
      <c r="FQ125" s="222"/>
      <c r="FR125" s="222"/>
      <c r="FS125" s="222"/>
      <c r="FT125" s="222"/>
      <c r="FU125" s="222"/>
      <c r="FV125" s="222"/>
      <c r="FW125" s="222"/>
      <c r="FX125" s="222"/>
      <c r="FY125" s="222"/>
      <c r="FZ125" s="223"/>
      <c r="GA125" s="196"/>
      <c r="GD125" s="339"/>
      <c r="GE125" s="339"/>
      <c r="GF125" s="339"/>
      <c r="GG125" s="339"/>
      <c r="GH125" s="339"/>
      <c r="GI125" s="339"/>
      <c r="GJ125" s="339"/>
      <c r="GK125" s="339"/>
      <c r="GL125" s="339"/>
      <c r="GM125" s="339"/>
      <c r="GN125" s="339"/>
      <c r="GO125" s="339"/>
      <c r="GP125" s="339"/>
      <c r="GQ125" s="339"/>
      <c r="GR125" s="339"/>
      <c r="GS125" s="339"/>
      <c r="GT125" s="339"/>
      <c r="GU125" s="339"/>
      <c r="GV125" s="339"/>
      <c r="GW125" s="339"/>
      <c r="GX125" s="339"/>
      <c r="GY125" s="339"/>
      <c r="GZ125" s="339"/>
      <c r="HA125" s="339"/>
      <c r="HB125" s="339"/>
      <c r="HC125" s="339"/>
      <c r="HD125" s="339"/>
      <c r="HE125" s="339"/>
      <c r="HF125" s="339"/>
      <c r="HG125" s="339"/>
      <c r="HH125" s="339"/>
      <c r="HI125" s="339"/>
      <c r="HJ125" s="339"/>
      <c r="HK125" s="339"/>
      <c r="HL125" s="339"/>
      <c r="HM125" s="339"/>
      <c r="HN125" s="339"/>
      <c r="HO125" s="339"/>
      <c r="HP125" s="339"/>
      <c r="HQ125" s="339"/>
      <c r="HR125" s="339"/>
    </row>
    <row r="126" spans="1:238" ht="14.1" customHeight="1">
      <c r="B126" s="225"/>
      <c r="C126" s="304"/>
      <c r="D126" s="304"/>
      <c r="E126" s="304"/>
      <c r="F126" s="304"/>
      <c r="G126" s="304"/>
      <c r="H126" s="304"/>
      <c r="I126" s="304"/>
      <c r="J126" s="304"/>
      <c r="K126" s="166"/>
      <c r="L126" s="166"/>
      <c r="M126" s="166"/>
      <c r="N126" s="304"/>
      <c r="O126" s="304"/>
      <c r="P126" s="166"/>
      <c r="Q126" s="166"/>
      <c r="R126" s="304"/>
      <c r="S126" s="304"/>
      <c r="T126" s="304"/>
      <c r="U126" s="304"/>
      <c r="V126" s="304"/>
      <c r="W126" s="304"/>
      <c r="X126" s="166"/>
      <c r="Y126" s="166"/>
      <c r="Z126" s="305"/>
      <c r="AA126" s="63"/>
      <c r="AB126" s="63"/>
      <c r="AC126" s="63"/>
      <c r="AD126" s="63"/>
      <c r="AE126" s="63"/>
      <c r="AF126" s="63"/>
      <c r="AJ126" s="173" t="str">
        <f>VLOOKUP(AH125,Chema!BL:BR,7,FALSE)</f>
        <v>1.1.2</v>
      </c>
      <c r="AL126" s="200"/>
      <c r="AM126" s="200" t="str">
        <f>IF(AK125="D",VLOOKUP(AJ126,'Matchblatt  FEUILLE DE MATCH'!AK:AS,8,FALSE),"")</f>
        <v/>
      </c>
      <c r="AN126" s="200"/>
      <c r="AO126" s="200"/>
      <c r="AP126" s="200"/>
      <c r="AQ126" s="200"/>
      <c r="AR126" s="200"/>
      <c r="AS126" s="200"/>
      <c r="AT126" s="200"/>
      <c r="AU126" s="200"/>
      <c r="AV126" s="200"/>
      <c r="AW126" s="200"/>
      <c r="AX126" s="200"/>
      <c r="AY126" s="200"/>
      <c r="AZ126" s="200"/>
      <c r="BA126" s="200" t="str">
        <f>IF(AK125="D",VLOOKUP(AJ126,'Matchblatt  FEUILLE DE MATCH'!AK:AS,9,FALSE),"")</f>
        <v/>
      </c>
      <c r="BB126" s="63"/>
      <c r="BC126" s="63"/>
      <c r="BD126" s="63"/>
      <c r="BE126" s="63"/>
      <c r="BF126" s="63"/>
      <c r="BG126" s="63"/>
      <c r="BH126" s="63"/>
      <c r="BK126" s="166" t="s">
        <v>7</v>
      </c>
      <c r="BL126" s="166" t="s">
        <v>12</v>
      </c>
      <c r="BM126" s="166"/>
      <c r="BN126" s="166" t="s">
        <v>7</v>
      </c>
      <c r="BO126" s="166" t="s">
        <v>12</v>
      </c>
      <c r="BP126" s="166"/>
      <c r="BQ126" s="226" t="s">
        <v>894</v>
      </c>
      <c r="BR126" s="227" t="s">
        <v>895</v>
      </c>
      <c r="BS126" s="228" t="s">
        <v>896</v>
      </c>
      <c r="BT126" s="229"/>
      <c r="BU126" s="226" t="s">
        <v>7</v>
      </c>
      <c r="BV126" s="166"/>
      <c r="BW126" s="166"/>
      <c r="BX126" s="230"/>
      <c r="BY126" s="166"/>
      <c r="BZ126" s="166"/>
      <c r="CA126" s="227"/>
      <c r="CB126" s="166"/>
      <c r="CC126" s="166"/>
      <c r="CD126" s="226" t="s">
        <v>12</v>
      </c>
      <c r="CE126" s="166"/>
      <c r="CF126" s="166"/>
      <c r="CG126" s="230"/>
      <c r="CH126" s="166"/>
      <c r="CI126" s="166"/>
      <c r="CJ126" s="227"/>
      <c r="CK126" s="166"/>
      <c r="CL126" s="166" t="s">
        <v>897</v>
      </c>
      <c r="CM126" s="166"/>
      <c r="CN126" s="166"/>
      <c r="CO126" s="166"/>
      <c r="CP126" s="166"/>
      <c r="CQ126" s="166"/>
      <c r="CR126" s="166"/>
      <c r="CS126" s="166"/>
      <c r="CT126" s="166"/>
      <c r="CU126" s="166" t="s">
        <v>843</v>
      </c>
      <c r="CV126" s="166"/>
      <c r="CW126" s="166" t="s">
        <v>843</v>
      </c>
      <c r="CX126" s="166"/>
      <c r="CY126" s="166"/>
      <c r="CZ126" s="166"/>
      <c r="DA126" s="166"/>
      <c r="DB126" s="166"/>
      <c r="DC126" s="166"/>
      <c r="DD126" s="166" t="s">
        <v>894</v>
      </c>
      <c r="DE126" s="166" t="s">
        <v>895</v>
      </c>
      <c r="DF126" s="166"/>
      <c r="DG126" s="166" t="s">
        <v>927</v>
      </c>
      <c r="DH126" s="166"/>
      <c r="DI126" s="166"/>
      <c r="DJ126" s="166"/>
      <c r="DK126" s="166"/>
      <c r="DL126" s="166"/>
      <c r="DM126" s="166"/>
      <c r="DN126" s="166" t="s">
        <v>928</v>
      </c>
      <c r="DO126" s="166" t="s">
        <v>929</v>
      </c>
      <c r="DP126" s="166"/>
      <c r="DQ126" s="166"/>
      <c r="DR126" s="166"/>
      <c r="DS126" s="166"/>
      <c r="DT126" s="166"/>
      <c r="DU126" s="166"/>
      <c r="DV126" s="166" t="s">
        <v>894</v>
      </c>
      <c r="DW126" s="166" t="s">
        <v>895</v>
      </c>
      <c r="DX126" s="166"/>
      <c r="DY126" s="166"/>
      <c r="DZ126" s="166"/>
      <c r="EA126" s="166"/>
      <c r="EB126" s="166"/>
      <c r="EC126" s="166"/>
      <c r="ED126" s="166" t="s">
        <v>894</v>
      </c>
      <c r="EE126" s="166" t="s">
        <v>895</v>
      </c>
      <c r="EF126" s="166"/>
      <c r="EG126" s="166"/>
      <c r="EH126" s="166"/>
      <c r="EI126" s="166"/>
      <c r="EJ126" s="166"/>
      <c r="EK126" s="166"/>
      <c r="EL126" s="166"/>
      <c r="EM126" s="166"/>
      <c r="EN126" s="166"/>
      <c r="EO126" s="166"/>
      <c r="EP126" s="166"/>
      <c r="EQ126" s="166"/>
      <c r="ER126" s="166"/>
      <c r="ES126" s="166"/>
      <c r="ET126" s="230"/>
      <c r="EU126" s="166"/>
      <c r="EV126" s="166"/>
      <c r="EW126" s="166"/>
      <c r="EX126" s="166"/>
      <c r="EY126" s="166"/>
      <c r="EZ126" s="166"/>
      <c r="FA126" s="166"/>
      <c r="FB126" s="166"/>
      <c r="FC126" s="166"/>
      <c r="FD126" s="166"/>
      <c r="FE126" s="166"/>
      <c r="FF126" s="166"/>
      <c r="FG126" s="166"/>
      <c r="FH126" s="166"/>
      <c r="FI126" s="166"/>
      <c r="FJ126" s="166"/>
      <c r="FK126" s="166"/>
      <c r="FL126" s="166"/>
      <c r="FM126" s="166"/>
      <c r="FN126" s="166"/>
      <c r="FO126" s="230"/>
      <c r="FP126" s="166"/>
      <c r="FQ126" s="166"/>
      <c r="FR126" s="166"/>
      <c r="FS126" s="166"/>
      <c r="FT126" s="166"/>
      <c r="FU126" s="166"/>
      <c r="FV126" s="166"/>
      <c r="FW126" s="166"/>
      <c r="FX126" s="166"/>
      <c r="FY126" s="166"/>
      <c r="FZ126" s="166"/>
      <c r="GA126" s="166"/>
      <c r="GD126" s="339"/>
      <c r="GE126" s="339"/>
      <c r="GF126" s="339"/>
      <c r="GG126" s="339"/>
      <c r="GH126" s="339"/>
      <c r="GI126" s="339"/>
      <c r="GJ126" s="339"/>
      <c r="GK126" s="339"/>
      <c r="GL126" s="339"/>
      <c r="GM126" s="339"/>
      <c r="GN126" s="339"/>
      <c r="GO126" s="339"/>
      <c r="GP126" s="339"/>
      <c r="GQ126" s="339"/>
      <c r="GR126" s="339"/>
      <c r="GS126" s="339"/>
      <c r="GT126" s="339"/>
      <c r="GU126" s="339"/>
      <c r="GV126" s="339"/>
      <c r="GW126" s="339"/>
      <c r="GX126" s="339"/>
      <c r="GY126" s="339"/>
      <c r="GZ126" s="339"/>
      <c r="HA126" s="339"/>
      <c r="HB126" s="339"/>
      <c r="HC126" s="339"/>
      <c r="HD126" s="339"/>
      <c r="HE126" s="339"/>
      <c r="HF126" s="339"/>
      <c r="HG126" s="339"/>
      <c r="HH126" s="339"/>
      <c r="HI126" s="339"/>
      <c r="HJ126" s="339"/>
      <c r="HK126" s="339"/>
      <c r="HL126" s="339"/>
      <c r="HM126" s="339"/>
      <c r="HN126" s="339"/>
      <c r="HO126" s="339"/>
      <c r="HP126" s="339"/>
      <c r="HQ126" s="339"/>
      <c r="HR126" s="339"/>
    </row>
    <row r="127" spans="1:238" s="234" customFormat="1" ht="20.100000000000001" customHeight="1">
      <c r="A127" s="235"/>
      <c r="B127" s="231"/>
      <c r="C127" s="232" t="str">
        <f>REPT(Sprache!$K$12,1)</f>
        <v>SPIEL</v>
      </c>
      <c r="D127" s="233" t="s">
        <v>869</v>
      </c>
      <c r="E127" s="233" t="str">
        <f>REPT(Sprache!$K$62,1)</f>
        <v>Punkte</v>
      </c>
      <c r="F127" s="233" t="str">
        <f>REPT(Sprache!$K$61,1)</f>
        <v>Rest</v>
      </c>
      <c r="G127" s="233" t="s">
        <v>898</v>
      </c>
      <c r="H127" s="233" t="s">
        <v>848</v>
      </c>
      <c r="I127" s="233">
        <v>180</v>
      </c>
      <c r="J127" s="233" t="str">
        <f>REPT(Sprache!$K$63,1)</f>
        <v>Fehler</v>
      </c>
      <c r="L127" s="306" t="s">
        <v>923</v>
      </c>
      <c r="M127" s="307"/>
      <c r="P127" s="306" t="s">
        <v>923</v>
      </c>
      <c r="R127" s="232" t="str">
        <f>REPT(Sprache!$K$12,1)</f>
        <v>SPIEL</v>
      </c>
      <c r="S127" s="233" t="s">
        <v>869</v>
      </c>
      <c r="T127" s="233" t="str">
        <f>REPT(Sprache!$K$62,1)</f>
        <v>Punkte</v>
      </c>
      <c r="U127" s="233" t="str">
        <f>REPT(Sprache!$K$61,1)</f>
        <v>Rest</v>
      </c>
      <c r="V127" s="233" t="s">
        <v>898</v>
      </c>
      <c r="W127" s="233" t="s">
        <v>848</v>
      </c>
      <c r="X127" s="233">
        <v>180</v>
      </c>
      <c r="Y127" s="233" t="str">
        <f>REPT(Sprache!$K$63,1)</f>
        <v>Fehler</v>
      </c>
      <c r="Z127" s="308"/>
      <c r="AD127" s="235"/>
      <c r="AE127" s="236" t="s">
        <v>966</v>
      </c>
      <c r="AF127" s="236" t="s">
        <v>967</v>
      </c>
      <c r="AG127" s="236" t="s">
        <v>965</v>
      </c>
      <c r="AH127" s="237" t="str">
        <f>LEFT($BM$6,10)</f>
        <v/>
      </c>
      <c r="AI127" s="237" t="str">
        <f>LEFT($BN$6,10)</f>
        <v/>
      </c>
      <c r="AJ127" s="237" t="s">
        <v>898</v>
      </c>
      <c r="AK127" s="237" t="s">
        <v>848</v>
      </c>
      <c r="AL127" s="237">
        <v>180</v>
      </c>
      <c r="AM127" s="237" t="str">
        <f>LEFT($BL$6,50)</f>
        <v/>
      </c>
      <c r="AN127" s="235"/>
      <c r="AO127" s="235"/>
      <c r="AP127" s="235"/>
      <c r="AQ127" s="235"/>
      <c r="AR127" s="235"/>
      <c r="AS127" s="235"/>
      <c r="AT127" s="235"/>
      <c r="AU127" s="235"/>
      <c r="AV127" s="237" t="str">
        <f>LEFT($BM$6,10)</f>
        <v/>
      </c>
      <c r="AW127" s="237" t="str">
        <f>LEFT($BN$6,10)</f>
        <v/>
      </c>
      <c r="AX127" s="237" t="s">
        <v>898</v>
      </c>
      <c r="AY127" s="237" t="s">
        <v>848</v>
      </c>
      <c r="AZ127" s="237">
        <v>180</v>
      </c>
      <c r="BA127" s="237" t="str">
        <f>LEFT($BL$6,50)</f>
        <v/>
      </c>
      <c r="BI127" s="238"/>
      <c r="BJ127" s="238"/>
      <c r="BK127" s="238" t="s">
        <v>165</v>
      </c>
      <c r="BL127" s="238" t="s">
        <v>165</v>
      </c>
      <c r="BM127" s="239" t="s">
        <v>165</v>
      </c>
      <c r="BN127" s="239" t="s">
        <v>899</v>
      </c>
      <c r="BO127" s="239" t="s">
        <v>899</v>
      </c>
      <c r="BP127" s="239" t="s">
        <v>900</v>
      </c>
      <c r="BQ127" s="240" t="s">
        <v>901</v>
      </c>
      <c r="BR127" s="241"/>
      <c r="BS127" s="242" t="s">
        <v>926</v>
      </c>
      <c r="BT127" s="243"/>
      <c r="BU127" s="242" t="s">
        <v>902</v>
      </c>
      <c r="BV127" s="238"/>
      <c r="BW127" s="238"/>
      <c r="BX127" s="244"/>
      <c r="BY127" s="238"/>
      <c r="BZ127" s="238" t="s">
        <v>903</v>
      </c>
      <c r="CA127" s="243" t="s">
        <v>904</v>
      </c>
      <c r="CB127" s="238"/>
      <c r="CC127" s="238"/>
      <c r="CD127" s="242" t="s">
        <v>902</v>
      </c>
      <c r="CE127" s="238"/>
      <c r="CF127" s="238"/>
      <c r="CG127" s="244"/>
      <c r="CH127" s="238"/>
      <c r="CI127" s="238" t="s">
        <v>903</v>
      </c>
      <c r="CJ127" s="243" t="s">
        <v>904</v>
      </c>
      <c r="CK127" s="238"/>
      <c r="CL127" s="245" t="s">
        <v>905</v>
      </c>
      <c r="CM127" s="245" t="s">
        <v>906</v>
      </c>
      <c r="CN127" s="245" t="s">
        <v>907</v>
      </c>
      <c r="CO127" s="245" t="s">
        <v>908</v>
      </c>
      <c r="CP127" s="245" t="s">
        <v>909</v>
      </c>
      <c r="CQ127" s="246" t="s">
        <v>910</v>
      </c>
      <c r="CR127" s="247"/>
      <c r="CS127" s="246" t="s">
        <v>911</v>
      </c>
      <c r="CT127" s="248"/>
      <c r="CU127" s="246" t="s">
        <v>912</v>
      </c>
      <c r="CV127" s="248"/>
      <c r="CW127" s="246" t="s">
        <v>913</v>
      </c>
      <c r="CX127" s="248"/>
      <c r="CY127" s="238"/>
      <c r="CZ127" s="238"/>
      <c r="DA127" s="238"/>
      <c r="DB127" s="238"/>
      <c r="DC127" s="249" t="s">
        <v>165</v>
      </c>
      <c r="DD127" s="249" t="s">
        <v>165</v>
      </c>
      <c r="DE127" s="249" t="s">
        <v>165</v>
      </c>
      <c r="DF127" s="238"/>
      <c r="DG127" s="238" t="s">
        <v>914</v>
      </c>
      <c r="DH127" s="238" t="s">
        <v>930</v>
      </c>
      <c r="DI127" s="238" t="s">
        <v>931</v>
      </c>
      <c r="DK127" s="238" t="s">
        <v>932</v>
      </c>
      <c r="DL127" s="238" t="s">
        <v>933</v>
      </c>
      <c r="DM127" s="238" t="s">
        <v>869</v>
      </c>
      <c r="DN127" s="230" t="s">
        <v>915</v>
      </c>
      <c r="DO127" s="250" t="s">
        <v>915</v>
      </c>
      <c r="DP127" s="322" t="s">
        <v>934</v>
      </c>
      <c r="DQ127" s="238"/>
      <c r="DR127" s="166" t="s">
        <v>894</v>
      </c>
      <c r="DS127" s="166" t="s">
        <v>895</v>
      </c>
      <c r="DT127" s="166" t="s">
        <v>935</v>
      </c>
      <c r="DU127" s="166" t="s">
        <v>936</v>
      </c>
      <c r="DV127" s="251" t="s">
        <v>165</v>
      </c>
      <c r="DW127" s="251" t="s">
        <v>165</v>
      </c>
      <c r="DX127" s="238" t="s">
        <v>916</v>
      </c>
      <c r="DY127" s="238"/>
      <c r="DZ127" s="238"/>
      <c r="EA127" s="238"/>
      <c r="EB127" s="238"/>
      <c r="EC127" s="238"/>
      <c r="ED127" s="251" t="s">
        <v>165</v>
      </c>
      <c r="EE127" s="251" t="s">
        <v>165</v>
      </c>
      <c r="EF127" s="166"/>
      <c r="EG127" s="238"/>
      <c r="EH127" s="238"/>
      <c r="EI127" s="238"/>
      <c r="EJ127" s="238"/>
      <c r="EK127" s="238"/>
      <c r="EL127" s="238"/>
      <c r="EM127" s="238"/>
      <c r="EN127" s="238"/>
      <c r="EO127" s="246" t="s">
        <v>917</v>
      </c>
      <c r="EP127" s="247"/>
      <c r="EQ127" s="247"/>
      <c r="ER127" s="247"/>
      <c r="ES127" s="247"/>
      <c r="ET127" s="252"/>
      <c r="EU127" s="248"/>
      <c r="EV127" s="246" t="s">
        <v>918</v>
      </c>
      <c r="EW127" s="247"/>
      <c r="EX127" s="248"/>
      <c r="EY127" s="251" t="s">
        <v>165</v>
      </c>
      <c r="EZ127" s="246" t="s">
        <v>919</v>
      </c>
      <c r="FA127" s="247"/>
      <c r="FB127" s="248"/>
      <c r="FC127" s="246" t="s">
        <v>920</v>
      </c>
      <c r="FD127" s="247"/>
      <c r="FE127" s="248"/>
      <c r="FF127" s="238"/>
      <c r="FG127" s="238"/>
      <c r="FH127" s="238"/>
      <c r="FI127" s="238"/>
      <c r="FJ127" s="246" t="s">
        <v>917</v>
      </c>
      <c r="FK127" s="247"/>
      <c r="FL127" s="247"/>
      <c r="FM127" s="247"/>
      <c r="FN127" s="247"/>
      <c r="FO127" s="252"/>
      <c r="FP127" s="248"/>
      <c r="FQ127" s="246" t="s">
        <v>918</v>
      </c>
      <c r="FR127" s="247"/>
      <c r="FS127" s="248"/>
      <c r="FT127" s="251" t="s">
        <v>165</v>
      </c>
      <c r="FU127" s="246" t="s">
        <v>919</v>
      </c>
      <c r="FV127" s="247"/>
      <c r="FW127" s="248"/>
      <c r="FX127" s="246" t="s">
        <v>920</v>
      </c>
      <c r="FY127" s="247"/>
      <c r="FZ127" s="248"/>
      <c r="GD127" s="340"/>
      <c r="GE127" s="340"/>
      <c r="GF127" s="341" t="s">
        <v>968</v>
      </c>
      <c r="GG127" s="340"/>
      <c r="GH127" s="340"/>
      <c r="GI127" s="340"/>
      <c r="GJ127" s="341" t="s">
        <v>972</v>
      </c>
      <c r="GK127" s="340"/>
      <c r="GL127" s="340"/>
      <c r="GM127" s="340"/>
      <c r="GN127" s="341" t="s">
        <v>971</v>
      </c>
      <c r="GO127" s="340"/>
      <c r="GP127" s="340"/>
      <c r="GQ127" s="340"/>
      <c r="GR127" s="341" t="s">
        <v>970</v>
      </c>
      <c r="GS127" s="340"/>
      <c r="GT127" s="340"/>
      <c r="GU127" s="340"/>
      <c r="GV127" s="341" t="s">
        <v>969</v>
      </c>
      <c r="GW127" s="340"/>
      <c r="GX127" s="340"/>
      <c r="GY127" s="340"/>
      <c r="GZ127" s="342" t="s">
        <v>973</v>
      </c>
      <c r="HA127" s="340"/>
      <c r="HB127" s="340"/>
      <c r="HC127" s="340"/>
      <c r="HD127" s="342" t="s">
        <v>974</v>
      </c>
      <c r="HE127" s="340"/>
      <c r="HF127" s="340"/>
      <c r="HG127" s="340"/>
      <c r="HH127" s="340"/>
      <c r="HI127" s="340"/>
      <c r="HJ127" s="340"/>
      <c r="HK127" s="340"/>
      <c r="HL127" s="340"/>
      <c r="HM127" s="341"/>
      <c r="HN127" s="341"/>
      <c r="HO127" s="341"/>
      <c r="HP127" s="341"/>
      <c r="HQ127" s="341"/>
      <c r="HR127" s="341"/>
      <c r="HS127" s="238"/>
      <c r="HT127" s="238"/>
      <c r="HU127" s="238"/>
      <c r="HV127" s="238"/>
      <c r="HX127" s="238"/>
      <c r="HY127" s="238"/>
      <c r="HZ127" s="238"/>
      <c r="ID127" s="238"/>
    </row>
    <row r="128" spans="1:238" s="234" customFormat="1" ht="20.100000000000001" customHeight="1">
      <c r="A128" s="235"/>
      <c r="B128" s="231">
        <f>COUNT(AJ129,AJ128)</f>
        <v>0</v>
      </c>
      <c r="C128" s="325" t="str">
        <f>CONCATENATE(BG128,BE128)</f>
        <v>HD</v>
      </c>
      <c r="D128" s="253" t="str">
        <f>REPT(DN128,1)</f>
        <v>1</v>
      </c>
      <c r="E128" s="254" t="str">
        <f>REPT(AH128,1)</f>
        <v/>
      </c>
      <c r="F128" s="168"/>
      <c r="G128" s="168"/>
      <c r="H128" s="168"/>
      <c r="I128" s="169"/>
      <c r="J128" s="255" t="str">
        <f>REPT(AM128,1)</f>
        <v/>
      </c>
      <c r="L128" s="309">
        <f>SUM(BS137)</f>
        <v>0</v>
      </c>
      <c r="M128" s="238"/>
      <c r="N128" s="255" t="str">
        <f>REPT(AP128,1)</f>
        <v/>
      </c>
      <c r="P128" s="309">
        <f>SUM(CF137)</f>
        <v>0</v>
      </c>
      <c r="Q128" s="310"/>
      <c r="R128" s="323" t="str">
        <f>CONCATENATE(BH128,BE128)</f>
        <v>GD</v>
      </c>
      <c r="S128" s="253" t="str">
        <f>REPT(DO128,1)</f>
        <v>1</v>
      </c>
      <c r="T128" s="254" t="str">
        <f>REPT(AV128,1)</f>
        <v/>
      </c>
      <c r="U128" s="168"/>
      <c r="V128" s="168"/>
      <c r="W128" s="168"/>
      <c r="X128" s="169"/>
      <c r="Y128" s="255" t="str">
        <f>REPT(BA128,1)</f>
        <v/>
      </c>
      <c r="Z128" s="308"/>
      <c r="AB128" s="234">
        <f>IF(AY128="",0,IF(AY128&lt;2,1,""))</f>
        <v>0</v>
      </c>
      <c r="AC128" s="238">
        <f>IF(AD128=1,1,IF(AD128=3,1,IF(AD128=2,0,IF(AD128=0,0,0))))</f>
        <v>0</v>
      </c>
      <c r="AD128" s="256">
        <f>SUM(AE128:AG128)</f>
        <v>0</v>
      </c>
      <c r="AE128" s="256">
        <f t="shared" ref="AE128:AE132" si="284">IF(F128="",0,1)</f>
        <v>0</v>
      </c>
      <c r="AF128" s="256">
        <f t="shared" ref="AF128:AF132" si="285">IF(G128="",0,1)</f>
        <v>0</v>
      </c>
      <c r="AG128" s="256">
        <f>IF(H128="",0,1)</f>
        <v>0</v>
      </c>
      <c r="AH128" s="257" t="str">
        <f>IF(AK128="",IF(AI128="","",IF(AI128="",501,501-AI128)),501)</f>
        <v/>
      </c>
      <c r="AI128" s="256" t="str">
        <f>IF(F128&gt;1,F128,IF(F128=0,"",IF(F128="","","")))</f>
        <v/>
      </c>
      <c r="AJ128" s="256" t="str">
        <f>IF(G128&gt;8,G128,IF(G128="","",""))</f>
        <v/>
      </c>
      <c r="AK128" s="256" t="str">
        <f>IF(H128&gt;1,H128,IF(H128="","",""))</f>
        <v/>
      </c>
      <c r="AL128" s="256" t="str">
        <f>IF(I128&gt;0,I128,IF(I128="","",""))</f>
        <v/>
      </c>
      <c r="AM128" s="258" t="str">
        <f>IF(BK128=0,"","X")</f>
        <v/>
      </c>
      <c r="AN128" s="237"/>
      <c r="AO128" s="237"/>
      <c r="AP128" s="258" t="str">
        <f>IF(BM128=0,"","X")</f>
        <v/>
      </c>
      <c r="AQ128" s="236">
        <f>IF(AR128=1,1,IF(AR128=3,1,IF(AR128=2,0,IF(AR128=0,0,0))))</f>
        <v>0</v>
      </c>
      <c r="AR128" s="256">
        <f>SUM(AS128:AU128)</f>
        <v>0</v>
      </c>
      <c r="AS128" s="256">
        <f t="shared" ref="AS128:AS132" si="286">IF(U128="",0,1)</f>
        <v>0</v>
      </c>
      <c r="AT128" s="256">
        <f t="shared" ref="AT128:AT132" si="287">IF(V128="",0,1)</f>
        <v>0</v>
      </c>
      <c r="AU128" s="256">
        <f>IF(W128="",0,1)</f>
        <v>0</v>
      </c>
      <c r="AV128" s="257" t="str">
        <f>IF(AY128="",IF(AW128="","",IF(AW128="",501,501-AW128)),501)</f>
        <v/>
      </c>
      <c r="AW128" s="256" t="str">
        <f>IF(U128&gt;1,U128,IF(U128=0,"",IF(U128="","","")))</f>
        <v/>
      </c>
      <c r="AX128" s="256" t="str">
        <f>IF(V128&gt;8,V128,IF(V128="","",""))</f>
        <v/>
      </c>
      <c r="AY128" s="256" t="str">
        <f>IF(W128&gt;1,W128,IF(W128="","",""))</f>
        <v/>
      </c>
      <c r="AZ128" s="256" t="str">
        <f>IF(X128&gt;0,X128,IF(X128="","",""))</f>
        <v/>
      </c>
      <c r="BA128" s="258" t="str">
        <f>IF(BL128=0,"","X")</f>
        <v/>
      </c>
      <c r="BF128" s="238" t="s">
        <v>894</v>
      </c>
      <c r="BG128" s="238" t="str">
        <f>CONCATENATE(BF128,AK125)</f>
        <v>HD</v>
      </c>
      <c r="BH128" s="238" t="str">
        <f>CONCATENATE(BI128,AK125)</f>
        <v>GD</v>
      </c>
      <c r="BI128" s="238" t="s">
        <v>895</v>
      </c>
      <c r="BJ128" s="238"/>
      <c r="BK128" s="251">
        <f>SUM(DD128,DV128,EY128,ED128,FF128,BQ128,BS128,AC128)</f>
        <v>0</v>
      </c>
      <c r="BL128" s="251">
        <f>SUM(DE128,DW128,EE128,FT128,GA128,BR128,BT128,AQ128)</f>
        <v>0</v>
      </c>
      <c r="BM128" s="259">
        <f>SUM(DC128,BK128:BL128,AC128,AQ128)</f>
        <v>0</v>
      </c>
      <c r="BN128" s="239">
        <f>COUNT(AK128)</f>
        <v>0</v>
      </c>
      <c r="BO128" s="239">
        <f>COUNT(AY128)</f>
        <v>0</v>
      </c>
      <c r="BP128" s="239">
        <f>IF(BN130=0,0,1)</f>
        <v>0</v>
      </c>
      <c r="BQ128" s="260">
        <f>IF(AL128="",0,IF(AL128&gt;2,1,0))</f>
        <v>0</v>
      </c>
      <c r="BR128" s="261">
        <f>IF(AZ128="",0,IF(AZ128&gt;2,1,0))</f>
        <v>0</v>
      </c>
      <c r="BS128" s="262">
        <f>IF(AJ128=9,IF(AK128&lt;141,1,0),0)</f>
        <v>0</v>
      </c>
      <c r="BT128" s="263">
        <f>IF(AX128=9,IF(AY128&lt;141,1,0),0)</f>
        <v>0</v>
      </c>
      <c r="BU128" s="242">
        <f>IF(H128,G128,0)</f>
        <v>0</v>
      </c>
      <c r="BV128" s="238">
        <f>IF(BU128&gt;0,AJ128/3,0)</f>
        <v>0</v>
      </c>
      <c r="BW128" s="238">
        <f>ROUNDUP(BV128,0)</f>
        <v>0</v>
      </c>
      <c r="BX128" s="244">
        <f>IF(MOD(BW128,2)=0,BW128,BW128+1)</f>
        <v>0</v>
      </c>
      <c r="BY128" s="238">
        <f>IF(AJ128&lt;9,"",SUM(BX128-BW128))</f>
        <v>0</v>
      </c>
      <c r="BZ128" s="238">
        <f>IF(BY128=1,AK128,0)</f>
        <v>0</v>
      </c>
      <c r="CA128" s="243" t="str">
        <f>IF(BY128=0,AK128,0)</f>
        <v/>
      </c>
      <c r="CB128" s="238"/>
      <c r="CC128" s="238"/>
      <c r="CD128" s="242">
        <f>IF(W128,V128,0)</f>
        <v>0</v>
      </c>
      <c r="CE128" s="238">
        <f>IF(CD128&gt;0,AX128/3,0)</f>
        <v>0</v>
      </c>
      <c r="CF128" s="238">
        <f>ROUNDUP(CE128,0)</f>
        <v>0</v>
      </c>
      <c r="CG128" s="244">
        <f>IF(MOD(CF128,2)=0,CF128,CF128+1)</f>
        <v>0</v>
      </c>
      <c r="CH128" s="238">
        <f>IF(AX128&lt;9,"",SUM(CG128-CF128))</f>
        <v>0</v>
      </c>
      <c r="CI128" s="238">
        <f>IF(CH128=1,AY128,0)</f>
        <v>0</v>
      </c>
      <c r="CJ128" s="243" t="str">
        <f>IF(CH128=0,AY128,0)</f>
        <v/>
      </c>
      <c r="CK128" s="238"/>
      <c r="CL128" s="245">
        <f>IF(COUNT(F128,H128)=1,0,1)</f>
        <v>1</v>
      </c>
      <c r="CM128" s="245">
        <f>IF(COUNT(F128,U128)=1,0,1)</f>
        <v>1</v>
      </c>
      <c r="CN128" s="245">
        <f>IF(COUNT(H128,W128)=1,0,1)</f>
        <v>1</v>
      </c>
      <c r="CO128" s="245">
        <f>IF(COUNT(G128,V128)=2,0,1)</f>
        <v>1</v>
      </c>
      <c r="CP128" s="245">
        <f>IF(COUNT(U128,W128)=1,0,1)</f>
        <v>1</v>
      </c>
      <c r="CQ128" s="245">
        <f>IF(SUM(G128-V128)&gt;3,1,0)</f>
        <v>0</v>
      </c>
      <c r="CR128" s="245">
        <f>IF(SUM(G128-V128)&lt;-3,1,0)</f>
        <v>0</v>
      </c>
      <c r="CS128" s="264">
        <f>IF(AJ128=9,IF(AH128&lt;141,1,0),IF(AH128="",0,IF(AH128&gt;1,0,1)))</f>
        <v>0</v>
      </c>
      <c r="CT128" s="264">
        <f>IF(AX128=9,IF(AV128&lt;141,1,0),IF(AV128="",0,IF(AV128&gt;1,0,1)))</f>
        <v>0</v>
      </c>
      <c r="CU128" s="264">
        <f>IF(AI128="",0,IF(AI128&lt;502,0,1))</f>
        <v>0</v>
      </c>
      <c r="CV128" s="264">
        <f>IF(AW128="",0,IF(AW128&lt;502,0,1))</f>
        <v>0</v>
      </c>
      <c r="CW128" s="264">
        <f>IF(AI128="",IF(AJ128&lt;9,1,0),IF(AJ128&lt;9,1,0))</f>
        <v>0</v>
      </c>
      <c r="CX128" s="264">
        <f>IF(AW128="",IF(AX128&lt;9,1,0),IF(AX128&lt;9,1,0))</f>
        <v>0</v>
      </c>
      <c r="CY128" s="374"/>
      <c r="CZ128" s="374"/>
      <c r="DA128" s="374"/>
      <c r="DB128" s="374"/>
      <c r="DC128" s="265">
        <f>IF(AJ128="",0,SUM(CL128:CX128))</f>
        <v>0</v>
      </c>
      <c r="DD128" s="265">
        <f>IF(AJ128="",0,SUM(CL128,CS128,CU128,CW128))</f>
        <v>0</v>
      </c>
      <c r="DE128" s="265">
        <f>IF(AJ128="",0,SUM(CP128,CT128,CV128,CX128))</f>
        <v>0</v>
      </c>
      <c r="DF128" s="238"/>
      <c r="DG128" s="248" t="str">
        <f>IF(G128="","",SUM(G128-V128))</f>
        <v/>
      </c>
      <c r="DH128" s="245">
        <f>IF(F128="",0,1)</f>
        <v>0</v>
      </c>
      <c r="DI128" s="245" t="str">
        <f>IF(DG128=0,DH128,DG128)</f>
        <v/>
      </c>
      <c r="DJ128" s="245" t="e">
        <f>SIGN(DI128)</f>
        <v>#VALUE!</v>
      </c>
      <c r="DK128" s="245" t="str">
        <f>IF(G128="","",IF(DJ128=1,"*",""))</f>
        <v/>
      </c>
      <c r="DL128" s="245" t="str">
        <f>IF(G128="","",IF(DJ128=-1,"*",IF(DJ128=0,"*","")))</f>
        <v/>
      </c>
      <c r="DM128" s="245">
        <v>1</v>
      </c>
      <c r="DN128" s="245" t="str">
        <f>CONCATENATE(DM128,DK128)</f>
        <v>1</v>
      </c>
      <c r="DO128" s="245" t="str">
        <f>CONCATENATE(DM128,DL128)</f>
        <v>1</v>
      </c>
      <c r="DP128" s="245">
        <f>IF(DK128="*",1,0)</f>
        <v>0</v>
      </c>
      <c r="DQ128" s="245">
        <f>IF(DL128="*",1,0)</f>
        <v>0</v>
      </c>
      <c r="DR128" s="245"/>
      <c r="DS128" s="245"/>
      <c r="DT128" s="245"/>
      <c r="DU128" s="245"/>
      <c r="DV128" s="266"/>
      <c r="DW128" s="266"/>
      <c r="DX128" s="238">
        <f>IF(AK128="",0,1)</f>
        <v>0</v>
      </c>
      <c r="DY128" s="238">
        <f>IF(DG128=-3,1,0)</f>
        <v>0</v>
      </c>
      <c r="DZ128" s="238">
        <f>SUM(DX128:DY128)</f>
        <v>0</v>
      </c>
      <c r="EA128" s="238">
        <f>IF(AK128="",1,0)</f>
        <v>1</v>
      </c>
      <c r="EB128" s="238">
        <f>IF(DG128=3,1,0)</f>
        <v>0</v>
      </c>
      <c r="EC128" s="238">
        <f>SUM(EA128:EB128)</f>
        <v>1</v>
      </c>
      <c r="ED128" s="267">
        <f>IF(EC128=2,1,0)</f>
        <v>0</v>
      </c>
      <c r="EE128" s="267">
        <f>IF(DZ128=2,1,0)</f>
        <v>0</v>
      </c>
      <c r="EG128" s="166"/>
      <c r="EH128" s="238"/>
      <c r="EI128" s="238"/>
      <c r="EJ128" s="238"/>
      <c r="EK128" s="238"/>
      <c r="EL128" s="238"/>
      <c r="EM128" s="245">
        <f>IF(AK128="",0,1)</f>
        <v>0</v>
      </c>
      <c r="EN128" s="245">
        <f>SUM(AK128)</f>
        <v>0</v>
      </c>
      <c r="EO128" s="268">
        <f>SUM(AJ128)</f>
        <v>0</v>
      </c>
      <c r="EP128" s="268">
        <f>SUM(G128/3)</f>
        <v>0</v>
      </c>
      <c r="EQ128" s="268" t="e">
        <f>SUM(EO128/EP128)</f>
        <v>#DIV/0!</v>
      </c>
      <c r="ER128" s="268">
        <f>ROUNDDOWN(EP128,0)</f>
        <v>0</v>
      </c>
      <c r="ES128" s="268">
        <f>SUM(EO128,-ER128*3)</f>
        <v>0</v>
      </c>
      <c r="ET128" s="269" t="b">
        <f>MOD(EN128/1,2)=0</f>
        <v>1</v>
      </c>
      <c r="EU128" s="245">
        <f>IF(ET128=FALSE,1,0)</f>
        <v>0</v>
      </c>
      <c r="EV128" s="245">
        <f>IF(EN128=50,0,IF(EN128&lt;40,1,0))</f>
        <v>1</v>
      </c>
      <c r="EW128" s="245">
        <f>SUM(EU128:EV128)</f>
        <v>1</v>
      </c>
      <c r="EX128" s="267">
        <f>IF(EN128=1,1,IF(EN128=50,0,IF(ES128=1,IF(EN128&gt;40,1,0),0)))</f>
        <v>0</v>
      </c>
      <c r="EY128" s="267">
        <f>IF(ES128=1,IF(EW128=2,1,0),0)+EX128+FB128+FE128</f>
        <v>0</v>
      </c>
      <c r="EZ128" s="245">
        <f>IF(EN128=109,1,IF(EN128=108,1,IF(EN128=106,1,IF(EN128=105,1,IF(EN128=103,1,IF(EN128=102,1,IF(EN128=99,1,0)))))))</f>
        <v>0</v>
      </c>
      <c r="FA128" s="245">
        <f>IF(EN128&gt;110,1,0)</f>
        <v>0</v>
      </c>
      <c r="FB128" s="267">
        <f>IF(ES128=2,SUM(EZ128:FA128),0)</f>
        <v>0</v>
      </c>
      <c r="FC128" s="245">
        <f>IF(EN128=159,1,IF(EN128=162,1,IF(EN128=163,1,IF(EN128=165,1,IF(EN128=166,1,IF(EN128=168,1,IF(EN128=169,1,0)))))))</f>
        <v>0</v>
      </c>
      <c r="FD128" s="245">
        <f>IF(EN128&gt;170,1,0)</f>
        <v>0</v>
      </c>
      <c r="FE128" s="267">
        <f>IF(ES128=0,SUM(FC128:FD128),0)</f>
        <v>0</v>
      </c>
      <c r="FF128" s="251">
        <f>IF(AJ128="",0,IF(AI128="",0,IF(EO128/ER128-3=0,0,1)))</f>
        <v>0</v>
      </c>
      <c r="FG128" s="238"/>
      <c r="FH128" s="245">
        <f>IF(AY128="",0,1)</f>
        <v>0</v>
      </c>
      <c r="FI128" s="245">
        <f>SUM(AY128)</f>
        <v>0</v>
      </c>
      <c r="FJ128" s="268">
        <f>SUM(AX128)</f>
        <v>0</v>
      </c>
      <c r="FK128" s="268">
        <f>SUM(V128/3)</f>
        <v>0</v>
      </c>
      <c r="FL128" s="268" t="e">
        <f>SUM(FJ128/FK128)</f>
        <v>#DIV/0!</v>
      </c>
      <c r="FM128" s="268">
        <f>ROUNDDOWN(FK128,0)</f>
        <v>0</v>
      </c>
      <c r="FN128" s="268">
        <f>SUM(FJ128,-FM128*3)</f>
        <v>0</v>
      </c>
      <c r="FO128" s="269" t="b">
        <f>MOD(FI128/1,2)=0</f>
        <v>1</v>
      </c>
      <c r="FP128" s="245">
        <f>IF(FO128=FALSE,1,0)</f>
        <v>0</v>
      </c>
      <c r="FQ128" s="245">
        <f>IF(FI128=50,0,IF(FI128&lt;40,1,0))</f>
        <v>1</v>
      </c>
      <c r="FR128" s="245">
        <f>SUM(FP128:FQ128)</f>
        <v>1</v>
      </c>
      <c r="FS128" s="267">
        <f>IF(FI128=1,1,IF(FI128=50,0,IF(FN128=1,IF(FI128&gt;40,1,0),0)))</f>
        <v>0</v>
      </c>
      <c r="FT128" s="267">
        <f>IF(FN128=1,IF(FR128=2,1,0),0)+FS128+FW128+FZ128</f>
        <v>0</v>
      </c>
      <c r="FU128" s="245">
        <f>IF(FI128=109,1,IF(FI128=108,1,IF(FI128=106,1,IF(FI128=105,1,IF(FI128=103,1,IF(FI128=102,1,IF(FI128=99,1,0)))))))</f>
        <v>0</v>
      </c>
      <c r="FV128" s="245">
        <f>IF(FI128&gt;110,1,0)</f>
        <v>0</v>
      </c>
      <c r="FW128" s="267">
        <f>IF(FN128=2,SUM(FU128:FV128),0)</f>
        <v>0</v>
      </c>
      <c r="FX128" s="245">
        <f>IF(FI128=159,1,IF(FI128=162,1,IF(FI128=163,1,IF(FI128=165,1,IF(FI128=166,1,IF(FI128=168,1,IF(FI128=169,1,0)))))))</f>
        <v>0</v>
      </c>
      <c r="FY128" s="245">
        <f>IF(FI128&gt;170,1,0)</f>
        <v>0</v>
      </c>
      <c r="FZ128" s="267">
        <f>IF(FN128=0,SUM(FX128:FY128),0)</f>
        <v>0</v>
      </c>
      <c r="GA128" s="251">
        <f>IF(AX128="",0,IF(AW128="",0,IF(FJ128/FM128-3=0,0,1)))</f>
        <v>0</v>
      </c>
      <c r="GD128" s="341">
        <f>IF(AK125="D",1,0)</f>
        <v>1</v>
      </c>
      <c r="GE128" s="343"/>
      <c r="GF128" s="343" t="s">
        <v>866</v>
      </c>
      <c r="GG128" s="343" t="s">
        <v>868</v>
      </c>
      <c r="GH128" s="343" t="s">
        <v>848</v>
      </c>
      <c r="GI128" s="343">
        <v>180</v>
      </c>
      <c r="GJ128" s="343" t="s">
        <v>866</v>
      </c>
      <c r="GK128" s="343" t="s">
        <v>868</v>
      </c>
      <c r="GL128" s="343" t="s">
        <v>848</v>
      </c>
      <c r="GM128" s="343">
        <v>180</v>
      </c>
      <c r="GN128" s="343" t="s">
        <v>866</v>
      </c>
      <c r="GO128" s="343" t="s">
        <v>868</v>
      </c>
      <c r="GP128" s="343" t="s">
        <v>848</v>
      </c>
      <c r="GQ128" s="343">
        <v>180</v>
      </c>
      <c r="GR128" s="343" t="s">
        <v>866</v>
      </c>
      <c r="GS128" s="343" t="s">
        <v>868</v>
      </c>
      <c r="GT128" s="343" t="s">
        <v>848</v>
      </c>
      <c r="GU128" s="343">
        <v>180</v>
      </c>
      <c r="GV128" s="343" t="s">
        <v>866</v>
      </c>
      <c r="GW128" s="343" t="s">
        <v>868</v>
      </c>
      <c r="GX128" s="343" t="s">
        <v>848</v>
      </c>
      <c r="GY128" s="343">
        <v>180</v>
      </c>
      <c r="GZ128" s="343" t="s">
        <v>866</v>
      </c>
      <c r="HA128" s="343" t="s">
        <v>868</v>
      </c>
      <c r="HB128" s="343" t="s">
        <v>848</v>
      </c>
      <c r="HC128" s="343">
        <v>180</v>
      </c>
      <c r="HD128" s="343" t="s">
        <v>866</v>
      </c>
      <c r="HE128" s="343" t="s">
        <v>868</v>
      </c>
      <c r="HF128" s="341" t="s">
        <v>975</v>
      </c>
      <c r="HG128" s="341" t="s">
        <v>976</v>
      </c>
      <c r="HH128" s="341" t="s">
        <v>899</v>
      </c>
      <c r="HJ128" s="238"/>
      <c r="HK128" s="238"/>
      <c r="HL128" s="238"/>
      <c r="HM128" s="238">
        <f>COUNT(HI129,HJ129,HK129,HL129,HM129)</f>
        <v>0</v>
      </c>
      <c r="HN128" s="341"/>
      <c r="HO128" s="341"/>
      <c r="HP128" s="341"/>
      <c r="HQ128" s="341"/>
      <c r="HR128" s="341"/>
      <c r="HS128" s="238"/>
      <c r="HT128" s="238"/>
      <c r="HU128" s="238"/>
      <c r="HV128" s="238"/>
      <c r="HX128" s="238"/>
      <c r="HY128" s="238"/>
      <c r="ID128" s="238"/>
    </row>
    <row r="129" spans="1:238" s="234" customFormat="1" ht="20.100000000000001" customHeight="1">
      <c r="A129" s="235"/>
      <c r="B129" s="231">
        <f>COUNT(AJ130,AJ129)</f>
        <v>0</v>
      </c>
      <c r="C129" s="326">
        <f>IF(DK128="*",AJ125,AI125)</f>
        <v>1.1000000000000001</v>
      </c>
      <c r="D129" s="253" t="str">
        <f>REPT(DN129,1)</f>
        <v>2</v>
      </c>
      <c r="E129" s="254" t="str">
        <f>REPT(AH129,1)</f>
        <v/>
      </c>
      <c r="F129" s="168"/>
      <c r="G129" s="168"/>
      <c r="H129" s="168"/>
      <c r="I129" s="169"/>
      <c r="J129" s="270" t="str">
        <f>REPT(AM129,1)</f>
        <v/>
      </c>
      <c r="L129" s="306" t="s">
        <v>922</v>
      </c>
      <c r="M129" s="311"/>
      <c r="N129" s="270" t="str">
        <f>REPT(AP129,1)</f>
        <v/>
      </c>
      <c r="P129" s="306" t="s">
        <v>922</v>
      </c>
      <c r="Q129" s="310"/>
      <c r="R129" s="324">
        <f>IF(DL128="*",AJ125,AI125)</f>
        <v>1.1000000000000001</v>
      </c>
      <c r="S129" s="253" t="str">
        <f>REPT(DO129,1)</f>
        <v>2</v>
      </c>
      <c r="T129" s="254" t="str">
        <f>REPT(AV129,1)</f>
        <v/>
      </c>
      <c r="U129" s="168"/>
      <c r="V129" s="168"/>
      <c r="W129" s="168"/>
      <c r="X129" s="169"/>
      <c r="Y129" s="270" t="str">
        <f t="shared" ref="Y129:Y131" si="288">REPT(BA129,1)</f>
        <v/>
      </c>
      <c r="Z129" s="308"/>
      <c r="AB129" s="234">
        <f>IF(AY129="",0,IF(AY129&lt;2,1,""))</f>
        <v>0</v>
      </c>
      <c r="AC129" s="238">
        <f t="shared" ref="AC129:AC130" si="289">IF(AD129=1,1,IF(AD129=3,1,IF(AD129=2,0,IF(AD129=0,0,0))))</f>
        <v>0</v>
      </c>
      <c r="AD129" s="256">
        <f t="shared" ref="AD129:AD132" si="290">SUM(AE129:AG129)</f>
        <v>0</v>
      </c>
      <c r="AE129" s="256">
        <f t="shared" si="284"/>
        <v>0</v>
      </c>
      <c r="AF129" s="256">
        <f t="shared" si="285"/>
        <v>0</v>
      </c>
      <c r="AG129" s="256">
        <f t="shared" ref="AG129:AG132" si="291">IF(H129="",0,1)</f>
        <v>0</v>
      </c>
      <c r="AH129" s="257" t="str">
        <f>IF(AK129="",IF(AI129="","",IF(AI129="",501,501-AI129)),501)</f>
        <v/>
      </c>
      <c r="AI129" s="256" t="str">
        <f>IF(F129&gt;1,F129,IF(F129=0,"",IF(F129="","","")))</f>
        <v/>
      </c>
      <c r="AJ129" s="256" t="str">
        <f>IF(G129&gt;8,G129,IF(G129="","",""))</f>
        <v/>
      </c>
      <c r="AK129" s="256" t="str">
        <f>IF(H129&gt;1,H129,IF(H129="","",""))</f>
        <v/>
      </c>
      <c r="AL129" s="256" t="str">
        <f>IF(I129&gt;0,I129,IF(I129="","",""))</f>
        <v/>
      </c>
      <c r="AM129" s="258" t="str">
        <f>IF(BK129=0,"","X")</f>
        <v/>
      </c>
      <c r="AN129" s="237"/>
      <c r="AO129" s="237"/>
      <c r="AP129" s="258" t="str">
        <f>IF(BM129=0,"","X")</f>
        <v/>
      </c>
      <c r="AQ129" s="236">
        <f t="shared" ref="AQ129:AQ130" si="292">IF(AR129=1,1,IF(AR129=3,1,IF(AR129=2,0,IF(AR129=0,0,0))))</f>
        <v>0</v>
      </c>
      <c r="AR129" s="256">
        <f t="shared" ref="AR129:AR132" si="293">SUM(AS129:AU129)</f>
        <v>0</v>
      </c>
      <c r="AS129" s="256">
        <f t="shared" si="286"/>
        <v>0</v>
      </c>
      <c r="AT129" s="256">
        <f t="shared" si="287"/>
        <v>0</v>
      </c>
      <c r="AU129" s="256">
        <f t="shared" ref="AU129:AU132" si="294">IF(W129="",0,1)</f>
        <v>0</v>
      </c>
      <c r="AV129" s="257" t="str">
        <f>IF(AY129="",IF(AW129="","",IF(AW129="",501,501-AW129)),501)</f>
        <v/>
      </c>
      <c r="AW129" s="256" t="str">
        <f>IF(U129&gt;1,U129,IF(U129=0,"",IF(U129="","","")))</f>
        <v/>
      </c>
      <c r="AX129" s="256" t="str">
        <f>IF(V129&gt;8,V129,IF(V129="","",""))</f>
        <v/>
      </c>
      <c r="AY129" s="256" t="str">
        <f>IF(W129&gt;1,W129,IF(W129="","",""))</f>
        <v/>
      </c>
      <c r="AZ129" s="256" t="str">
        <f>IF(X129&gt;0,X129,IF(X129="","",""))</f>
        <v/>
      </c>
      <c r="BA129" s="258" t="str">
        <f>IF(BL129=0,"","X")</f>
        <v/>
      </c>
      <c r="BK129" s="251">
        <f>SUM(DD129,DV129,EY129,ED129,FF129,BQ129,BS129,AC129)</f>
        <v>0</v>
      </c>
      <c r="BL129" s="251">
        <f>SUM(DE129,DW129,EE129,FT129,GA129,BR129,BT129,AQ129)</f>
        <v>0</v>
      </c>
      <c r="BM129" s="259">
        <f t="shared" ref="BM129:BM130" si="295">SUM(DC129,BK129:BL129,AC129,AQ129)</f>
        <v>0</v>
      </c>
      <c r="BN129" s="239">
        <f>COUNT(AK129)</f>
        <v>0</v>
      </c>
      <c r="BO129" s="239">
        <f>COUNT(AY129)</f>
        <v>0</v>
      </c>
      <c r="BP129" s="239">
        <f>IF(BN131=0,0,1)</f>
        <v>0</v>
      </c>
      <c r="BQ129" s="260">
        <f>IF(AL129="",0,IF(AL129&gt;2,1,0))</f>
        <v>0</v>
      </c>
      <c r="BR129" s="261">
        <f>IF(AZ129="",0,IF(AZ129&gt;2,1,0))</f>
        <v>0</v>
      </c>
      <c r="BS129" s="262">
        <f>IF(AJ129=9,IF(AK129&lt;141,1,0),0)</f>
        <v>0</v>
      </c>
      <c r="BT129" s="263">
        <f>IF(AX129=9,IF(AY129&lt;141,1,0),0)</f>
        <v>0</v>
      </c>
      <c r="BU129" s="242">
        <f>IF(H129,G129,0)</f>
        <v>0</v>
      </c>
      <c r="BV129" s="238">
        <f>IF(BU129&gt;0,AJ129/3,0)</f>
        <v>0</v>
      </c>
      <c r="BW129" s="238">
        <f>ROUNDUP(BV129,0)</f>
        <v>0</v>
      </c>
      <c r="BX129" s="244">
        <f>IF(MOD(BW129,2)=0,BW129,BW129+1)</f>
        <v>0</v>
      </c>
      <c r="BY129" s="238">
        <f>IF(AJ129&lt;9,"",SUM(BX129-BW129))</f>
        <v>0</v>
      </c>
      <c r="BZ129" s="238">
        <f>IF(BY129=1,AK129,0)</f>
        <v>0</v>
      </c>
      <c r="CA129" s="243" t="str">
        <f>IF(BY129=0,AK129,0)</f>
        <v/>
      </c>
      <c r="CB129" s="238"/>
      <c r="CC129" s="238"/>
      <c r="CD129" s="242">
        <f>IF(W129,V129,0)</f>
        <v>0</v>
      </c>
      <c r="CE129" s="238">
        <f>IF(CD129&gt;0,AX129/3,0)</f>
        <v>0</v>
      </c>
      <c r="CF129" s="238">
        <f>ROUNDUP(CE129,0)</f>
        <v>0</v>
      </c>
      <c r="CG129" s="244">
        <f>IF(MOD(CF129,2)=0,CF129,CF129+1)</f>
        <v>0</v>
      </c>
      <c r="CH129" s="238">
        <f>IF(AX129&lt;9,"",SUM(CG129-CF129))</f>
        <v>0</v>
      </c>
      <c r="CI129" s="238">
        <f>IF(CH129=1,AY129,0)</f>
        <v>0</v>
      </c>
      <c r="CJ129" s="243" t="str">
        <f>IF(CH129=0,AY129,0)</f>
        <v/>
      </c>
      <c r="CK129" s="238"/>
      <c r="CL129" s="245">
        <f>IF(COUNT(F129,H129)=1,0,1)</f>
        <v>1</v>
      </c>
      <c r="CM129" s="245">
        <f>IF(COUNT(F129,U129)=1,0,1)</f>
        <v>1</v>
      </c>
      <c r="CN129" s="245">
        <f>IF(COUNT(H129,W129)=1,0,1)</f>
        <v>1</v>
      </c>
      <c r="CO129" s="245">
        <f>IF(COUNT(G129,V129)=2,0,1)</f>
        <v>1</v>
      </c>
      <c r="CP129" s="245">
        <f>IF(COUNT(U129,W129)=1,0,1)</f>
        <v>1</v>
      </c>
      <c r="CQ129" s="245">
        <f>IF(SUM(G129-V129)&gt;3,1,0)</f>
        <v>0</v>
      </c>
      <c r="CR129" s="245">
        <f>IF(SUM(G129-V129)&lt;-3,1,0)</f>
        <v>0</v>
      </c>
      <c r="CS129" s="264">
        <f>IF(AJ129=9,IF(AH129&lt;141,1,0),IF(AH129="",0,IF(AH129&gt;1,0,1)))</f>
        <v>0</v>
      </c>
      <c r="CT129" s="264">
        <f>IF(AX129=9,IF(AV129&lt;141,1,0),IF(AV129="",0,IF(AV129&gt;1,0,1)))</f>
        <v>0</v>
      </c>
      <c r="CU129" s="264">
        <f>IF(AI129="",0,IF(AI129&lt;502,0,1))</f>
        <v>0</v>
      </c>
      <c r="CV129" s="264">
        <f>IF(AW129="",0,IF(AW129&lt;502,0,1))</f>
        <v>0</v>
      </c>
      <c r="CW129" s="264">
        <f>IF(AI129="",IF(AJ129&lt;9,1,0),IF(AJ129&lt;9,1,0))</f>
        <v>0</v>
      </c>
      <c r="CX129" s="264">
        <f>IF(AW129="",IF(AX129&lt;9,1,0),IF(AX129&lt;9,1,0))</f>
        <v>0</v>
      </c>
      <c r="CY129" s="374"/>
      <c r="CZ129" s="374"/>
      <c r="DA129" s="374"/>
      <c r="DB129" s="374"/>
      <c r="DC129" s="265">
        <f>IF(AJ129="",0,SUM(CL129:CX129))</f>
        <v>0</v>
      </c>
      <c r="DD129" s="265">
        <f>IF(AJ129="",0,SUM(CL129,CS129,CU129,CW129))</f>
        <v>0</v>
      </c>
      <c r="DE129" s="265">
        <f>IF(AJ129="",0,SUM(CP129,CT129,CV129,CX129))</f>
        <v>0</v>
      </c>
      <c r="DF129" s="238"/>
      <c r="DG129" s="248">
        <f>SUM(G129-V129)</f>
        <v>0</v>
      </c>
      <c r="DH129" s="245">
        <f>IF(F129="",0,1)</f>
        <v>0</v>
      </c>
      <c r="DI129" s="245">
        <f t="shared" ref="DI129:DI132" si="296">IF(DG129=0,DH129,DG129)</f>
        <v>0</v>
      </c>
      <c r="DJ129" s="245">
        <f t="shared" ref="DJ129:DJ132" si="297">SIGN(DI129)</f>
        <v>0</v>
      </c>
      <c r="DK129" s="245" t="str">
        <f>IF(G129="","",IF(DJ129=1,"*",""))</f>
        <v/>
      </c>
      <c r="DL129" s="245" t="str">
        <f>IF(G129="","",IF(DJ129=-1,"*",IF(DJ129=0,"*","")))</f>
        <v/>
      </c>
      <c r="DM129" s="245">
        <v>2</v>
      </c>
      <c r="DN129" s="245" t="str">
        <f t="shared" ref="DN129:DN132" si="298">CONCATENATE(DM129,DK129)</f>
        <v>2</v>
      </c>
      <c r="DO129" s="245" t="str">
        <f t="shared" ref="DO129:DO132" si="299">CONCATENATE(DM129,DL129)</f>
        <v>2</v>
      </c>
      <c r="DP129" s="245">
        <f>SUM(DQ128)</f>
        <v>0</v>
      </c>
      <c r="DQ129" s="245">
        <f>SUM(DP128)</f>
        <v>0</v>
      </c>
      <c r="DR129" s="245">
        <f>IF(DK129="*",1,0)</f>
        <v>0</v>
      </c>
      <c r="DS129" s="245">
        <f>IF(DL129="*",1,0)</f>
        <v>0</v>
      </c>
      <c r="DT129" s="245">
        <f>IF(H119="",0,IF(DP129=DR129,1,0))</f>
        <v>0</v>
      </c>
      <c r="DU129" s="245">
        <f>IF(V129="",0,IF(DQ129=DS129,0,1))</f>
        <v>0</v>
      </c>
      <c r="DV129" s="267">
        <f>SUM(DT129)</f>
        <v>0</v>
      </c>
      <c r="DW129" s="267">
        <f>IF(V129="",0,SUM(DU129))</f>
        <v>0</v>
      </c>
      <c r="DX129" s="238">
        <f>IF(AK129="",0,1)</f>
        <v>0</v>
      </c>
      <c r="DY129" s="238">
        <f>IF(DG129=-3,1,0)</f>
        <v>0</v>
      </c>
      <c r="DZ129" s="238">
        <f>SUM(DX129:DY129)</f>
        <v>0</v>
      </c>
      <c r="EA129" s="238">
        <f>IF(AK129="",1,0)</f>
        <v>1</v>
      </c>
      <c r="EB129" s="238">
        <f>IF(DG129=3,1,0)</f>
        <v>0</v>
      </c>
      <c r="EC129" s="238">
        <f>SUM(EA129:EB129)</f>
        <v>1</v>
      </c>
      <c r="ED129" s="267">
        <f>IF(EC129=2,1,0)</f>
        <v>0</v>
      </c>
      <c r="EE129" s="267">
        <f>IF(DZ129=2,1,0)</f>
        <v>0</v>
      </c>
      <c r="EG129" s="166"/>
      <c r="EH129" s="238"/>
      <c r="EI129" s="238"/>
      <c r="EJ129" s="238"/>
      <c r="EK129" s="238"/>
      <c r="EL129" s="238"/>
      <c r="EM129" s="245">
        <f>IF(AK129="",0,1)</f>
        <v>0</v>
      </c>
      <c r="EN129" s="245">
        <f>SUM(AK129)</f>
        <v>0</v>
      </c>
      <c r="EO129" s="268">
        <f>SUM(AJ129)</f>
        <v>0</v>
      </c>
      <c r="EP129" s="268">
        <f>SUM(G129/3)</f>
        <v>0</v>
      </c>
      <c r="EQ129" s="268" t="e">
        <f>SUM(EO129/EP129)</f>
        <v>#DIV/0!</v>
      </c>
      <c r="ER129" s="268">
        <f>ROUNDDOWN(EP129,0)</f>
        <v>0</v>
      </c>
      <c r="ES129" s="268">
        <f>SUM(EO129,-ER129*3)</f>
        <v>0</v>
      </c>
      <c r="ET129" s="269" t="b">
        <f>MOD(EN129/1,2)=0</f>
        <v>1</v>
      </c>
      <c r="EU129" s="245">
        <f>IF(ET129=FALSE,1,0)</f>
        <v>0</v>
      </c>
      <c r="EV129" s="245">
        <f>IF(EN129=50,0,IF(EN129&lt;40,1,0))</f>
        <v>1</v>
      </c>
      <c r="EW129" s="245">
        <f>SUM(EU129:EV129)</f>
        <v>1</v>
      </c>
      <c r="EX129" s="267">
        <f>IF(EN129=1,1,IF(EN129=50,0,IF(ES129=1,IF(EN129&gt;40,1,0),0)))</f>
        <v>0</v>
      </c>
      <c r="EY129" s="267">
        <f>IF(ES129=1,IF(EW129=2,1,0),0)+EX129+FB129+FE129</f>
        <v>0</v>
      </c>
      <c r="EZ129" s="245">
        <f>IF(EN129=109,1,IF(EN129=108,1,IF(EN129=106,1,IF(EN129=105,1,IF(EN129=103,1,IF(EN129=102,1,IF(EN129=99,1,0)))))))</f>
        <v>0</v>
      </c>
      <c r="FA129" s="245">
        <f>IF(EN129&gt;110,1,0)</f>
        <v>0</v>
      </c>
      <c r="FB129" s="267">
        <f>IF(ES129=2,SUM(EZ129:FA129),0)</f>
        <v>0</v>
      </c>
      <c r="FC129" s="245">
        <f>IF(EN129=159,1,IF(EN129=162,1,IF(EN129=163,1,IF(EN129=165,1,IF(EN129=166,1,IF(EN129=168,1,IF(EN129=169,1,0)))))))</f>
        <v>0</v>
      </c>
      <c r="FD129" s="245">
        <f>IF(EN129&gt;170,1,0)</f>
        <v>0</v>
      </c>
      <c r="FE129" s="267">
        <f>IF(ES129=0,SUM(FC129:FD129),0)</f>
        <v>0</v>
      </c>
      <c r="FF129" s="251">
        <f t="shared" ref="FF129:FF132" si="300">IF(AJ129="",0,IF(AI129="",0,IF(EO129/ER129-3=0,0,1)))</f>
        <v>0</v>
      </c>
      <c r="FG129" s="238"/>
      <c r="FH129" s="245">
        <f>IF(AY129="",0,1)</f>
        <v>0</v>
      </c>
      <c r="FI129" s="245">
        <f>SUM(AY129)</f>
        <v>0</v>
      </c>
      <c r="FJ129" s="268">
        <f>SUM(AX129)</f>
        <v>0</v>
      </c>
      <c r="FK129" s="268">
        <f>SUM(V129/3)</f>
        <v>0</v>
      </c>
      <c r="FL129" s="268" t="e">
        <f>SUM(FJ129/FK129)</f>
        <v>#DIV/0!</v>
      </c>
      <c r="FM129" s="268">
        <f>ROUNDDOWN(FK129,0)</f>
        <v>0</v>
      </c>
      <c r="FN129" s="268">
        <f>SUM(FJ129,-FM129*3)</f>
        <v>0</v>
      </c>
      <c r="FO129" s="269" t="b">
        <f>MOD(FI129/1,2)=0</f>
        <v>1</v>
      </c>
      <c r="FP129" s="245">
        <f>IF(FO129=FALSE,1,0)</f>
        <v>0</v>
      </c>
      <c r="FQ129" s="245">
        <f>IF(FI129=50,0,IF(FI129&lt;40,1,0))</f>
        <v>1</v>
      </c>
      <c r="FR129" s="245">
        <f>SUM(FP129:FQ129)</f>
        <v>1</v>
      </c>
      <c r="FS129" s="267">
        <f>IF(FI129=1,1,IF(FI129=50,0,IF(FN129=1,IF(FI129&gt;40,1,0),0)))</f>
        <v>0</v>
      </c>
      <c r="FT129" s="267">
        <f>IF(FN129=1,IF(FR129=2,1,0),0)+FS129+FW129+FZ129</f>
        <v>0</v>
      </c>
      <c r="FU129" s="245">
        <f>IF(FI129=109,1,IF(FI129=108,1,IF(FI129=106,1,IF(FI129=105,1,IF(FI129=103,1,IF(FI129=102,1,IF(FI129=99,1,0)))))))</f>
        <v>0</v>
      </c>
      <c r="FV129" s="245">
        <f>IF(FI129&gt;110,1,0)</f>
        <v>0</v>
      </c>
      <c r="FW129" s="267">
        <f>IF(FN129=2,SUM(FU129:FV129),0)</f>
        <v>0</v>
      </c>
      <c r="FX129" s="245">
        <f>IF(FI129=159,1,IF(FI129=162,1,IF(FI129=163,1,IF(FI129=165,1,IF(FI129=166,1,IF(FI129=168,1,IF(FI129=169,1,0)))))))</f>
        <v>0</v>
      </c>
      <c r="FY129" s="245">
        <f>IF(FI129&gt;170,1,0)</f>
        <v>0</v>
      </c>
      <c r="FZ129" s="267">
        <f>IF(FN129=0,SUM(FX129:FY129),0)</f>
        <v>0</v>
      </c>
      <c r="GA129" s="251">
        <f t="shared" ref="GA129:GA132" si="301">IF(AX129="",0,IF(AW129="",0,IF(FJ129/FM129-3=0,0,1)))</f>
        <v>0</v>
      </c>
      <c r="GC129" s="238" t="str">
        <f>VLOOKUP(AH125,Chema!BL:BR,2,FALSE)</f>
        <v>HD 1.1</v>
      </c>
      <c r="GD129" s="341">
        <f>IF(E135="FORFAIT",1,0)</f>
        <v>0</v>
      </c>
      <c r="GE129" s="343" t="str">
        <f>IF(C135="","",SUM(C135))</f>
        <v/>
      </c>
      <c r="GF129" s="344">
        <f>SUM(AH128)</f>
        <v>0</v>
      </c>
      <c r="GG129" s="344">
        <f>SUM(AJ128)</f>
        <v>0</v>
      </c>
      <c r="GH129" s="344">
        <f t="shared" ref="GH129" si="302">SUM(AK128)</f>
        <v>0</v>
      </c>
      <c r="GI129" s="344">
        <f t="shared" ref="GI129" si="303">SUM(AL128)</f>
        <v>0</v>
      </c>
      <c r="GJ129" s="344">
        <f>SUM(AH129)</f>
        <v>0</v>
      </c>
      <c r="GK129" s="344">
        <f>SUM(AJ129)</f>
        <v>0</v>
      </c>
      <c r="GL129" s="344">
        <f>SUM(AK129)</f>
        <v>0</v>
      </c>
      <c r="GM129" s="344">
        <f>SUM(AL129)</f>
        <v>0</v>
      </c>
      <c r="GN129" s="344">
        <f>SUM(AH130)</f>
        <v>0</v>
      </c>
      <c r="GO129" s="344">
        <f>SUM(AJ130)</f>
        <v>0</v>
      </c>
      <c r="GP129" s="344">
        <f>SUM(AK130)</f>
        <v>0</v>
      </c>
      <c r="GQ129" s="344">
        <f>SUM(AL130)</f>
        <v>0</v>
      </c>
      <c r="GR129" s="344">
        <f>SUM(AH131)</f>
        <v>0</v>
      </c>
      <c r="GS129" s="344">
        <f>SUM(AJ131)</f>
        <v>0</v>
      </c>
      <c r="GT129" s="344">
        <f>SUM(AK131)</f>
        <v>0</v>
      </c>
      <c r="GU129" s="344">
        <f>SUM(AL131)</f>
        <v>0</v>
      </c>
      <c r="GV129" s="344">
        <f>SUM(AH132)</f>
        <v>0</v>
      </c>
      <c r="GW129" s="344">
        <f>SUM(AJ132)</f>
        <v>0</v>
      </c>
      <c r="GX129" s="344">
        <f>SUM(AK132)</f>
        <v>0</v>
      </c>
      <c r="GY129" s="344">
        <f>SUM(AL132)</f>
        <v>0</v>
      </c>
      <c r="GZ129" s="344">
        <f>SUM(GF129,GJ129,GN129,GR129,GV129)</f>
        <v>0</v>
      </c>
      <c r="HA129" s="344">
        <f t="shared" ref="HA129" si="304">SUM(GG129,GK129,GO129,GS129,GW129)</f>
        <v>0</v>
      </c>
      <c r="HB129" s="344" t="str">
        <f>IF(GD128=1,L135,MAX(GH129,GL129,GP129,GT129,GX129))</f>
        <v/>
      </c>
      <c r="HC129" s="344">
        <f>IF(GD128=1,I135,SUM(GI129,GM129,GQ129,GU129,GY129))</f>
        <v>0</v>
      </c>
      <c r="HD129" s="345">
        <f>IF(GD128=1,0,SUM(GF129,GJ129,GN129,GR129,GV129))</f>
        <v>0</v>
      </c>
      <c r="HE129" s="345">
        <f>IF(GD128=1,0,SUM(GG129,GK129,GO129,GS129,GW129))</f>
        <v>0</v>
      </c>
      <c r="HF129" s="341">
        <f>IF(GD128=1,0,MIN(HI129,HJ129,HK129,HL129,HM129))</f>
        <v>0</v>
      </c>
      <c r="HG129" s="341">
        <f>IF(HF129=0,0,COUNTIF(HI129:HM129,HF129))</f>
        <v>0</v>
      </c>
      <c r="HH129" s="341">
        <f>SUM(GH130,GL130,GP130,GT130,GX130)</f>
        <v>0</v>
      </c>
      <c r="HI129" s="343" t="str">
        <f>IF(GH130=1,GG129,"")</f>
        <v/>
      </c>
      <c r="HJ129" s="343" t="str">
        <f>IF(GL130=1,GK129,"")</f>
        <v/>
      </c>
      <c r="HK129" s="343" t="str">
        <f>IF(GP130=1,GO129,"")</f>
        <v/>
      </c>
      <c r="HL129" s="343" t="str">
        <f>IF(GT130=1,GS129,"")</f>
        <v/>
      </c>
      <c r="HM129" s="343" t="str">
        <f>IF(GX130=1,GW129,"")</f>
        <v/>
      </c>
      <c r="HN129" s="341"/>
      <c r="HO129" s="341" t="s">
        <v>928</v>
      </c>
      <c r="HP129" s="341" t="s">
        <v>982</v>
      </c>
      <c r="HQ129" s="341" t="s">
        <v>983</v>
      </c>
      <c r="HR129" s="341" t="s">
        <v>984</v>
      </c>
      <c r="HS129" s="238" t="s">
        <v>932</v>
      </c>
      <c r="HT129" s="238" t="s">
        <v>933</v>
      </c>
      <c r="HU129" s="238" t="s">
        <v>985</v>
      </c>
      <c r="HV129" s="238" t="s">
        <v>986</v>
      </c>
      <c r="HW129" s="238" t="str">
        <f>IFERROR(IF(GD128=0,SUM(HZ130:IA130),""),"")</f>
        <v/>
      </c>
      <c r="HY129" s="238"/>
      <c r="HZ129" s="238" t="s">
        <v>1132</v>
      </c>
      <c r="IA129" s="238" t="s">
        <v>1133</v>
      </c>
      <c r="IB129" s="238" t="s">
        <v>1132</v>
      </c>
      <c r="IC129" s="238" t="s">
        <v>1133</v>
      </c>
      <c r="ID129" s="238"/>
    </row>
    <row r="130" spans="1:238" s="234" customFormat="1" ht="20.100000000000001" customHeight="1">
      <c r="A130" s="235"/>
      <c r="B130" s="231">
        <f>COUNT(AJ131,AJ130)</f>
        <v>0</v>
      </c>
      <c r="C130" s="235"/>
      <c r="D130" s="271" t="str">
        <f>REPT(DN130,1)</f>
        <v>3</v>
      </c>
      <c r="E130" s="254" t="str">
        <f>REPT(AH130,1)</f>
        <v/>
      </c>
      <c r="F130" s="168"/>
      <c r="G130" s="168"/>
      <c r="H130" s="168"/>
      <c r="I130" s="169"/>
      <c r="J130" s="270" t="str">
        <f t="shared" ref="J130:J131" si="305">REPT(AM130,1)</f>
        <v/>
      </c>
      <c r="L130" s="312">
        <f>SUM(L128*3)</f>
        <v>0</v>
      </c>
      <c r="M130" s="307"/>
      <c r="N130" s="270" t="str">
        <f>REPT(AP130,1)</f>
        <v/>
      </c>
      <c r="P130" s="312">
        <f>SUM(P128*3)</f>
        <v>0</v>
      </c>
      <c r="Q130" s="310"/>
      <c r="R130" s="235"/>
      <c r="S130" s="271" t="str">
        <f>REPT(DO130,1)</f>
        <v>3</v>
      </c>
      <c r="T130" s="254" t="str">
        <f>REPT(AV130,1)</f>
        <v/>
      </c>
      <c r="U130" s="168"/>
      <c r="V130" s="168"/>
      <c r="W130" s="168"/>
      <c r="X130" s="169"/>
      <c r="Y130" s="270" t="str">
        <f t="shared" si="288"/>
        <v/>
      </c>
      <c r="Z130" s="308"/>
      <c r="AB130" s="234">
        <f>IF(AY130="",0,IF(AY130&lt;2,1,""))</f>
        <v>0</v>
      </c>
      <c r="AC130" s="238">
        <f t="shared" si="289"/>
        <v>0</v>
      </c>
      <c r="AD130" s="256">
        <f t="shared" si="290"/>
        <v>0</v>
      </c>
      <c r="AE130" s="256">
        <f t="shared" si="284"/>
        <v>0</v>
      </c>
      <c r="AF130" s="256">
        <f t="shared" si="285"/>
        <v>0</v>
      </c>
      <c r="AG130" s="256">
        <f t="shared" si="291"/>
        <v>0</v>
      </c>
      <c r="AH130" s="257" t="str">
        <f>IF(AK130="",IF(AI130="","",IF(AI130="",501,501-AI130)),501)</f>
        <v/>
      </c>
      <c r="AI130" s="256" t="str">
        <f>IF(F130&gt;1,F130,IF(F130=0,"",IF(F130="","","")))</f>
        <v/>
      </c>
      <c r="AJ130" s="256" t="str">
        <f>IF(G130&gt;8,G130,IF(G130="","",""))</f>
        <v/>
      </c>
      <c r="AK130" s="256" t="str">
        <f>IF(H130&gt;1,H130,IF(H130="","",""))</f>
        <v/>
      </c>
      <c r="AL130" s="256" t="str">
        <f>IF(I130&gt;0,I130,IF(I130="","",""))</f>
        <v/>
      </c>
      <c r="AM130" s="258" t="str">
        <f>IF(BK130=0,"","X")</f>
        <v/>
      </c>
      <c r="AN130" s="237"/>
      <c r="AO130" s="237"/>
      <c r="AP130" s="258" t="str">
        <f>IF(BM130=0,"","X")</f>
        <v/>
      </c>
      <c r="AQ130" s="236">
        <f t="shared" si="292"/>
        <v>0</v>
      </c>
      <c r="AR130" s="256">
        <f t="shared" si="293"/>
        <v>0</v>
      </c>
      <c r="AS130" s="256">
        <f t="shared" si="286"/>
        <v>0</v>
      </c>
      <c r="AT130" s="256">
        <f t="shared" si="287"/>
        <v>0</v>
      </c>
      <c r="AU130" s="256">
        <f t="shared" si="294"/>
        <v>0</v>
      </c>
      <c r="AV130" s="257" t="str">
        <f>IF(AY130="",IF(AW130="","",IF(AW130="",501,501-AW130)),501)</f>
        <v/>
      </c>
      <c r="AW130" s="256" t="str">
        <f>IF(U130&gt;1,U130,IF(U130=0,"",IF(U130="","","")))</f>
        <v/>
      </c>
      <c r="AX130" s="256" t="str">
        <f>IF(V130&gt;8,V130,IF(V130="","",""))</f>
        <v/>
      </c>
      <c r="AY130" s="256" t="str">
        <f>IF(W130&gt;1,W130,IF(W130="","",""))</f>
        <v/>
      </c>
      <c r="AZ130" s="256" t="str">
        <f>IF(X130&gt;0,X130,IF(X130="","",""))</f>
        <v/>
      </c>
      <c r="BA130" s="258" t="str">
        <f>IF(BL130=0,"","X")</f>
        <v/>
      </c>
      <c r="BK130" s="251">
        <f>SUM(DD130,DV130,EY130,ED130,FF130,BQ130,BS130,AC130,BK137)</f>
        <v>0</v>
      </c>
      <c r="BL130" s="251">
        <f>SUM(DE130,DW130,EE130,FT130,GA130,BR130,BT130,AQ130,BL137,CZ130)</f>
        <v>0</v>
      </c>
      <c r="BM130" s="259">
        <f t="shared" si="295"/>
        <v>0</v>
      </c>
      <c r="BN130" s="239">
        <f>COUNT(AK130)</f>
        <v>0</v>
      </c>
      <c r="BO130" s="239">
        <f>COUNT(AY130)</f>
        <v>0</v>
      </c>
      <c r="BP130" s="239">
        <f>IF(BN132=0,0,1)</f>
        <v>0</v>
      </c>
      <c r="BQ130" s="260">
        <f>IF(AL130="",0,IF(AL130&gt;2,1,0))</f>
        <v>0</v>
      </c>
      <c r="BR130" s="261">
        <f>IF(AZ130="",0,IF(AZ130&gt;2,1,0))</f>
        <v>0</v>
      </c>
      <c r="BS130" s="262">
        <f>IF(AJ130=9,IF(AK130&lt;141,1,0),0)</f>
        <v>0</v>
      </c>
      <c r="BT130" s="263">
        <f>IF(AX130=9,IF(AY130&lt;141,1,0),0)</f>
        <v>0</v>
      </c>
      <c r="BU130" s="242">
        <f>IF(H130,G130,0)</f>
        <v>0</v>
      </c>
      <c r="BV130" s="238">
        <f>IF(BU130&gt;0,AJ130/3,0)</f>
        <v>0</v>
      </c>
      <c r="BW130" s="238">
        <f>ROUNDUP(BV130,0)</f>
        <v>0</v>
      </c>
      <c r="BX130" s="244">
        <f>IF(MOD(BW130,2)=0,BW130,BW130+1)</f>
        <v>0</v>
      </c>
      <c r="BY130" s="238">
        <f>IF(AJ130&lt;9,"",SUM(BX130-BW130))</f>
        <v>0</v>
      </c>
      <c r="BZ130" s="238">
        <f>IF(BY130=1,AK130,0)</f>
        <v>0</v>
      </c>
      <c r="CA130" s="243" t="str">
        <f>IF(BY130=0,AK130,0)</f>
        <v/>
      </c>
      <c r="CB130" s="238"/>
      <c r="CC130" s="238"/>
      <c r="CD130" s="242">
        <f>IF(W130,V130,0)</f>
        <v>0</v>
      </c>
      <c r="CE130" s="238">
        <f>IF(CD130&gt;0,AX130/3,0)</f>
        <v>0</v>
      </c>
      <c r="CF130" s="238">
        <f>ROUNDUP(CE130,0)</f>
        <v>0</v>
      </c>
      <c r="CG130" s="244">
        <f>IF(MOD(CF130,2)=0,CF130,CF130+1)</f>
        <v>0</v>
      </c>
      <c r="CH130" s="238">
        <f>IF(AX130&lt;9,"",SUM(CG130-CF130))</f>
        <v>0</v>
      </c>
      <c r="CI130" s="238">
        <f>IF(CH130=1,AY130,0)</f>
        <v>0</v>
      </c>
      <c r="CJ130" s="243" t="str">
        <f>IF(CH130=0,AY130,0)</f>
        <v/>
      </c>
      <c r="CK130" s="238"/>
      <c r="CL130" s="245">
        <f>IF(COUNT(F130,H130)=1,0,1)</f>
        <v>1</v>
      </c>
      <c r="CM130" s="245">
        <f>IF(COUNT(F130,U130)=1,0,1)</f>
        <v>1</v>
      </c>
      <c r="CN130" s="245">
        <f>IF(COUNT(H130,W130)=1,0,1)</f>
        <v>1</v>
      </c>
      <c r="CO130" s="245">
        <f>IF(COUNT(G130,V130)=2,0,1)</f>
        <v>1</v>
      </c>
      <c r="CP130" s="245">
        <f>IF(COUNT(U130,W130)=1,0,1)</f>
        <v>1</v>
      </c>
      <c r="CQ130" s="245">
        <f>IF(SUM(G130-V130)&gt;3,1,0)</f>
        <v>0</v>
      </c>
      <c r="CR130" s="245">
        <f>IF(SUM(G130-V130)&lt;-3,1,0)</f>
        <v>0</v>
      </c>
      <c r="CS130" s="264">
        <f>IF(AJ130=9,IF(AH130&lt;141,1,0),IF(AH130="",0,IF(AH130&gt;1,0,1)))</f>
        <v>0</v>
      </c>
      <c r="CT130" s="264">
        <f>IF(AX130=9,IF(AV130&lt;141,1,0),IF(AV130="",0,IF(AV130&gt;1,0,1)))</f>
        <v>0</v>
      </c>
      <c r="CU130" s="264">
        <f>IF(AI130="",0,IF(AI130&lt;502,0,1))</f>
        <v>0</v>
      </c>
      <c r="CV130" s="264">
        <f>IF(AW130="",0,IF(AW130&lt;502,0,1))</f>
        <v>0</v>
      </c>
      <c r="CW130" s="264">
        <f>IF(AI130="",IF(AJ130&lt;9,1,0),IF(AJ130&lt;9,1,0))</f>
        <v>0</v>
      </c>
      <c r="CX130" s="264">
        <f>IF(AW130="",IF(AX130&lt;9,1,0),IF(AX130&lt;9,1,0))</f>
        <v>0</v>
      </c>
      <c r="CY130" s="374">
        <f>COUNT(U128,U129,U130)</f>
        <v>0</v>
      </c>
      <c r="CZ130" s="375">
        <f>IF(AL125=3,IF(CY130&gt;2,1,0),0)</f>
        <v>0</v>
      </c>
      <c r="DA130" s="374"/>
      <c r="DB130" s="374"/>
      <c r="DC130" s="265">
        <f>IF(AJ130="",0,SUM(CL130:CX130))</f>
        <v>0</v>
      </c>
      <c r="DD130" s="265">
        <f>IF(AJ130="",0,SUM(CL130,CS130,CU130,CW130))</f>
        <v>0</v>
      </c>
      <c r="DE130" s="265">
        <f>IF(AJ130="",0,SUM(CP130,CT130,CV130,CX130))</f>
        <v>0</v>
      </c>
      <c r="DF130" s="238"/>
      <c r="DG130" s="248">
        <f>SUM(G130-V130)</f>
        <v>0</v>
      </c>
      <c r="DH130" s="245">
        <f>IF(F130="",0,1)</f>
        <v>0</v>
      </c>
      <c r="DI130" s="245">
        <f t="shared" si="296"/>
        <v>0</v>
      </c>
      <c r="DJ130" s="245">
        <f t="shared" si="297"/>
        <v>0</v>
      </c>
      <c r="DK130" s="245" t="str">
        <f>IF(G130="","",IF(DJ130=1,"*",""))</f>
        <v/>
      </c>
      <c r="DL130" s="245" t="str">
        <f>IF(G130="","",IF(DJ130=-1,"*",IF(DJ130=0,"*","")))</f>
        <v/>
      </c>
      <c r="DM130" s="245">
        <v>3</v>
      </c>
      <c r="DN130" s="245" t="str">
        <f t="shared" si="298"/>
        <v>3</v>
      </c>
      <c r="DO130" s="245" t="str">
        <f t="shared" si="299"/>
        <v>3</v>
      </c>
      <c r="DP130" s="245">
        <f>SUM(DP128)</f>
        <v>0</v>
      </c>
      <c r="DQ130" s="245">
        <f>SUM(DQ128)</f>
        <v>0</v>
      </c>
      <c r="DR130" s="245">
        <f t="shared" ref="DR130:DR132" si="306">IF(DK130="*",1,0)</f>
        <v>0</v>
      </c>
      <c r="DS130" s="245">
        <f t="shared" ref="DS130:DS132" si="307">IF(DL130="*",1,0)</f>
        <v>0</v>
      </c>
      <c r="DT130" s="245">
        <f t="shared" ref="DT130:DT132" si="308">IF(H120="",0,IF(DP130=DR130,1,0))</f>
        <v>0</v>
      </c>
      <c r="DU130" s="245">
        <f>IF(V130="",0,IF(DQ130=DS130,0,1))</f>
        <v>0</v>
      </c>
      <c r="DV130" s="267">
        <f t="shared" ref="DV130:DV132" si="309">SUM(DT130)</f>
        <v>0</v>
      </c>
      <c r="DW130" s="267">
        <f>IF(V130="",0,SUM(DU130))</f>
        <v>0</v>
      </c>
      <c r="DX130" s="238">
        <f>IF(AK130="",0,1)</f>
        <v>0</v>
      </c>
      <c r="DY130" s="238">
        <f>IF(DG130=-3,1,0)</f>
        <v>0</v>
      </c>
      <c r="DZ130" s="238">
        <f>SUM(DX130:DY130)</f>
        <v>0</v>
      </c>
      <c r="EA130" s="238">
        <f>IF(AK130="",1,0)</f>
        <v>1</v>
      </c>
      <c r="EB130" s="238">
        <f>IF(DG130=3,1,0)</f>
        <v>0</v>
      </c>
      <c r="EC130" s="238">
        <f>SUM(EA130:EB130)</f>
        <v>1</v>
      </c>
      <c r="ED130" s="267">
        <f>IF(EC130=2,1,0)</f>
        <v>0</v>
      </c>
      <c r="EE130" s="267">
        <f>IF(DZ130=2,1,0)</f>
        <v>0</v>
      </c>
      <c r="EG130" s="166"/>
      <c r="EH130" s="238"/>
      <c r="EI130" s="238"/>
      <c r="EJ130" s="238"/>
      <c r="EK130" s="238"/>
      <c r="EL130" s="238"/>
      <c r="EM130" s="245">
        <f>IF(AK130="",0,1)</f>
        <v>0</v>
      </c>
      <c r="EN130" s="245">
        <f>SUM(AK130)</f>
        <v>0</v>
      </c>
      <c r="EO130" s="268">
        <f>SUM(AJ130)</f>
        <v>0</v>
      </c>
      <c r="EP130" s="268">
        <f>SUM(G130/3)</f>
        <v>0</v>
      </c>
      <c r="EQ130" s="268" t="e">
        <f>SUM(EO130/EP130)</f>
        <v>#DIV/0!</v>
      </c>
      <c r="ER130" s="268">
        <f>ROUNDDOWN(EP130,0)</f>
        <v>0</v>
      </c>
      <c r="ES130" s="268">
        <f>SUM(EO130,-ER130*3)</f>
        <v>0</v>
      </c>
      <c r="ET130" s="269" t="b">
        <f>MOD(EN130/1,2)=0</f>
        <v>1</v>
      </c>
      <c r="EU130" s="245">
        <f>IF(ET130=FALSE,1,0)</f>
        <v>0</v>
      </c>
      <c r="EV130" s="245">
        <f>IF(EN130=50,0,IF(EN130&lt;40,1,0))</f>
        <v>1</v>
      </c>
      <c r="EW130" s="245">
        <f>SUM(EU130:EV130)</f>
        <v>1</v>
      </c>
      <c r="EX130" s="267">
        <f>IF(EN130=1,1,IF(EN130=50,0,IF(ES130=1,IF(EN130&gt;40,1,0),0)))</f>
        <v>0</v>
      </c>
      <c r="EY130" s="267">
        <f>IF(ES130=1,IF(EW130=2,1,0),0)+EX130+FB130+FE130</f>
        <v>0</v>
      </c>
      <c r="EZ130" s="245">
        <f>IF(EN130=109,1,IF(EN130=108,1,IF(EN130=106,1,IF(EN130=105,1,IF(EN130=103,1,IF(EN130=102,1,IF(EN130=99,1,0)))))))</f>
        <v>0</v>
      </c>
      <c r="FA130" s="245">
        <f>IF(EN130&gt;110,1,0)</f>
        <v>0</v>
      </c>
      <c r="FB130" s="267">
        <f>IF(ES130=2,SUM(EZ130:FA130),0)</f>
        <v>0</v>
      </c>
      <c r="FC130" s="245">
        <f>IF(EN130=159,1,IF(EN130=162,1,IF(EN130=163,1,IF(EN130=165,1,IF(EN130=166,1,IF(EN130=168,1,IF(EN130=169,1,0)))))))</f>
        <v>0</v>
      </c>
      <c r="FD130" s="245">
        <f>IF(EN130&gt;170,1,0)</f>
        <v>0</v>
      </c>
      <c r="FE130" s="267">
        <f>IF(ES130=0,SUM(FC130:FD130),0)</f>
        <v>0</v>
      </c>
      <c r="FF130" s="251">
        <f t="shared" si="300"/>
        <v>0</v>
      </c>
      <c r="FG130" s="238"/>
      <c r="FH130" s="245">
        <f>IF(AY130="",0,1)</f>
        <v>0</v>
      </c>
      <c r="FI130" s="245">
        <f>SUM(AY130)</f>
        <v>0</v>
      </c>
      <c r="FJ130" s="268">
        <f>SUM(AX130)</f>
        <v>0</v>
      </c>
      <c r="FK130" s="268">
        <f>SUM(V130/3)</f>
        <v>0</v>
      </c>
      <c r="FL130" s="268" t="e">
        <f>SUM(FJ130/FK130)</f>
        <v>#DIV/0!</v>
      </c>
      <c r="FM130" s="268">
        <f>ROUNDDOWN(FK130,0)</f>
        <v>0</v>
      </c>
      <c r="FN130" s="268">
        <f>SUM(FJ130,-FM130*3)</f>
        <v>0</v>
      </c>
      <c r="FO130" s="269" t="b">
        <f>MOD(FI130/1,2)=0</f>
        <v>1</v>
      </c>
      <c r="FP130" s="245">
        <f>IF(FO130=FALSE,1,0)</f>
        <v>0</v>
      </c>
      <c r="FQ130" s="245">
        <f>IF(FI130=50,0,IF(FI130&lt;40,1,0))</f>
        <v>1</v>
      </c>
      <c r="FR130" s="245">
        <f>SUM(FP130:FQ130)</f>
        <v>1</v>
      </c>
      <c r="FS130" s="267">
        <f>IF(FI130=1,1,IF(FI130=50,0,IF(FN130=1,IF(FI130&gt;40,1,0),0)))</f>
        <v>0</v>
      </c>
      <c r="FT130" s="267">
        <f>IF(FN130=1,IF(FR130=2,1,0),0)+FS130+FW130+FZ130</f>
        <v>0</v>
      </c>
      <c r="FU130" s="245">
        <f>IF(FI130=109,1,IF(FI130=108,1,IF(FI130=106,1,IF(FI130=105,1,IF(FI130=103,1,IF(FI130=102,1,IF(FI130=99,1,0)))))))</f>
        <v>0</v>
      </c>
      <c r="FV130" s="245">
        <f>IF(FI130&gt;110,1,0)</f>
        <v>0</v>
      </c>
      <c r="FW130" s="267">
        <f>IF(FN130=2,SUM(FU130:FV130),0)</f>
        <v>0</v>
      </c>
      <c r="FX130" s="245">
        <f>IF(FI130=159,1,IF(FI130=162,1,IF(FI130=163,1,IF(FI130=165,1,IF(FI130=166,1,IF(FI130=168,1,IF(FI130=169,1,0)))))))</f>
        <v>0</v>
      </c>
      <c r="FY130" s="245">
        <f>IF(FI130&gt;170,1,0)</f>
        <v>0</v>
      </c>
      <c r="FZ130" s="267">
        <f>IF(FN130=0,SUM(FX130:FY130),0)</f>
        <v>0</v>
      </c>
      <c r="GA130" s="251">
        <f t="shared" si="301"/>
        <v>0</v>
      </c>
      <c r="GC130" s="238" t="str">
        <f>VLOOKUP(AH125,Chema!BL:BR,3,FALSE)</f>
        <v>HD 1.1.2</v>
      </c>
      <c r="GD130" s="341"/>
      <c r="GE130" s="343" t="str">
        <f>IF(C136="","",SUM(C136))</f>
        <v/>
      </c>
      <c r="GF130" s="346"/>
      <c r="GG130" s="340"/>
      <c r="GH130" s="343">
        <f>IF(GH129&gt;0,1,0)</f>
        <v>0</v>
      </c>
      <c r="GI130" s="346"/>
      <c r="GJ130" s="343"/>
      <c r="GK130" s="340"/>
      <c r="GL130" s="343">
        <f>IF(GL129&gt;0,1,0)</f>
        <v>0</v>
      </c>
      <c r="GM130" s="343"/>
      <c r="GN130" s="343"/>
      <c r="GO130" s="340"/>
      <c r="GP130" s="343">
        <f>IF(GP129&gt;0,1,0)</f>
        <v>0</v>
      </c>
      <c r="GQ130" s="343"/>
      <c r="GR130" s="343"/>
      <c r="GS130" s="340"/>
      <c r="GT130" s="343">
        <f>IF(GT129&gt;0,1,0)</f>
        <v>0</v>
      </c>
      <c r="GU130" s="343"/>
      <c r="GV130" s="343"/>
      <c r="GW130" s="340"/>
      <c r="GX130" s="343">
        <f>IF(GX129&gt;0,1,0)</f>
        <v>0</v>
      </c>
      <c r="GY130" s="343"/>
      <c r="GZ130" s="343"/>
      <c r="HA130" s="343"/>
      <c r="HB130" s="343" t="str">
        <f>IF(GD128=1,L136,"")</f>
        <v/>
      </c>
      <c r="HC130" s="343">
        <f>IF(GD128=1,I136,"")</f>
        <v>0</v>
      </c>
      <c r="HD130" s="345"/>
      <c r="HE130" s="340"/>
      <c r="HF130" s="340"/>
      <c r="HG130" s="347">
        <f>IF(GE129="",0,IF(AL125=3,2,IF(AL125=5,3,0)))</f>
        <v>0</v>
      </c>
      <c r="HH130" s="347">
        <f>IF(HK130=0,0,IF(HG132=0,0,1))</f>
        <v>0</v>
      </c>
      <c r="HI130" s="340"/>
      <c r="HJ130" s="340"/>
      <c r="HK130" s="340">
        <f>SUM(HM128,HM132)</f>
        <v>0</v>
      </c>
      <c r="HL130" s="340">
        <f>IF(HK130=0,0,IF(HM128=HG130,1,0))</f>
        <v>0</v>
      </c>
      <c r="HM130" s="340">
        <f>IF(HK130=0,0,IF(HM132=HG130,1,0))</f>
        <v>0</v>
      </c>
      <c r="HN130" s="341" t="str">
        <f>REPT(N125,1)</f>
        <v>Spiel 9</v>
      </c>
      <c r="HO130" s="348" t="str">
        <f>IF(HK130=0,"",IF(HH130=0,SUM(HH129),""))</f>
        <v/>
      </c>
      <c r="HP130" s="348" t="str">
        <f>IF(HK130=0,"",IF(HH130=0,SUM(HH131),""))</f>
        <v/>
      </c>
      <c r="HQ130" s="348" t="e">
        <f>IF(HH130=0,SUM(GZ129/HA129),"")</f>
        <v>#DIV/0!</v>
      </c>
      <c r="HR130" s="348" t="e">
        <f>IF(HH130=0,SUM(GZ131/HA131),"")</f>
        <v>#DIV/0!</v>
      </c>
      <c r="HS130" s="238" t="str">
        <f>REPT(DK128,1)</f>
        <v/>
      </c>
      <c r="HT130" s="238" t="str">
        <f>REPT(DL128,1)</f>
        <v/>
      </c>
      <c r="HU130" s="238">
        <f>IF(HH130=0,HL130,"")</f>
        <v>0</v>
      </c>
      <c r="HV130" s="238">
        <f>IF(HH130=0,HM130,"")</f>
        <v>0</v>
      </c>
      <c r="HW130" s="238" t="s">
        <v>1131</v>
      </c>
      <c r="HY130" s="238"/>
      <c r="HZ130" s="238" t="str">
        <f>IF(AL125=5,IF(HU130=1,SUM(HO130*2-HP130),HO130+HP130-2),"")</f>
        <v/>
      </c>
      <c r="IA130" s="238" t="e">
        <f>IF(AL125=3,IF(HU130=1,SUM(HO130-HP130+3),HO130+HP130-1),"")</f>
        <v>#VALUE!</v>
      </c>
      <c r="IB130" s="238" t="str">
        <f>IF(AL125=5,IF(HV130=1,SUM(HP130*2-HO130),HO130+HP130-2),"")</f>
        <v/>
      </c>
      <c r="IC130" s="238" t="e">
        <f>IF(AL125=3,IF(HV130=1,SUM(HP130-HO130+3),HO130+HP130-1),"")</f>
        <v>#VALUE!</v>
      </c>
      <c r="ID130" s="238">
        <f>SUM(BM134)</f>
        <v>0</v>
      </c>
    </row>
    <row r="131" spans="1:238" s="234" customFormat="1" ht="20.100000000000001" customHeight="1">
      <c r="A131" s="235"/>
      <c r="B131" s="231">
        <f>COUNT(AJ132,AJ131)</f>
        <v>0</v>
      </c>
      <c r="C131" s="235"/>
      <c r="D131" s="328" t="str">
        <f>REPT(DN131,1)</f>
        <v>4</v>
      </c>
      <c r="E131" s="329" t="str">
        <f>REPT(AH131,1)</f>
        <v/>
      </c>
      <c r="F131" s="330"/>
      <c r="G131" s="330"/>
      <c r="H131" s="330"/>
      <c r="I131" s="331"/>
      <c r="J131" s="270" t="str">
        <f t="shared" si="305"/>
        <v/>
      </c>
      <c r="M131" s="311"/>
      <c r="N131" s="270" t="str">
        <f>REPT(AP131,1)</f>
        <v/>
      </c>
      <c r="Q131" s="310"/>
      <c r="R131" s="235"/>
      <c r="S131" s="328" t="str">
        <f>REPT(DO131,1)</f>
        <v>4</v>
      </c>
      <c r="T131" s="329" t="str">
        <f>REPT(AV131,1)</f>
        <v/>
      </c>
      <c r="U131" s="330"/>
      <c r="V131" s="330"/>
      <c r="W131" s="330"/>
      <c r="X131" s="331"/>
      <c r="Y131" s="270" t="str">
        <f t="shared" si="288"/>
        <v/>
      </c>
      <c r="Z131" s="308"/>
      <c r="AA131" s="238">
        <f>SUM(AL125)</f>
        <v>3</v>
      </c>
      <c r="AB131" s="234">
        <f>IF(AY131="",0,IF(AY131&lt;2,1,""))</f>
        <v>0</v>
      </c>
      <c r="AC131" s="238">
        <f>IF(AL125=3,0,IF(AD131=1,1,IF(AD131=3,1,IF(AD131=2,0,IF(AD131=0,0,0)))))</f>
        <v>0</v>
      </c>
      <c r="AD131" s="256">
        <f t="shared" si="290"/>
        <v>0</v>
      </c>
      <c r="AE131" s="256">
        <f t="shared" si="284"/>
        <v>0</v>
      </c>
      <c r="AF131" s="256">
        <f t="shared" si="285"/>
        <v>0</v>
      </c>
      <c r="AG131" s="256">
        <f t="shared" si="291"/>
        <v>0</v>
      </c>
      <c r="AH131" s="257" t="str">
        <f>IF(AL125=3,"",IF(AK131="",IF(AI131="","",IF(AI131="",501,501-AI131)),501))</f>
        <v/>
      </c>
      <c r="AI131" s="256" t="str">
        <f>IF(AL125=3,"",IF(F131&gt;1,F131,IF(F131=0,"",IF(F131="","",""))))</f>
        <v/>
      </c>
      <c r="AJ131" s="256" t="str">
        <f>IF(AL125=3,"",IF(G131&gt;8,G131,IF(G131="","","")))</f>
        <v/>
      </c>
      <c r="AK131" s="256" t="str">
        <f>IF(AL125=3,"",IF(H131&gt;1,H131,IF(H131="","","")))</f>
        <v/>
      </c>
      <c r="AL131" s="256" t="str">
        <f>IF(AL125=3,"",IF(I131&gt;0,I131,IF(I131="","","")))</f>
        <v/>
      </c>
      <c r="AM131" s="258" t="str">
        <f>IF(BK131=0,"","X")</f>
        <v/>
      </c>
      <c r="AN131" s="237"/>
      <c r="AO131" s="237"/>
      <c r="AP131" s="258" t="str">
        <f>IF(BM131=0,"","X")</f>
        <v/>
      </c>
      <c r="AQ131" s="236">
        <f>IF(AL125=3,0,IF(AR131=1,1,IF(AR131=3,1,IF(AR131=2,0,IF(AR131=0,0,0)))))</f>
        <v>0</v>
      </c>
      <c r="AR131" s="256">
        <f t="shared" si="293"/>
        <v>0</v>
      </c>
      <c r="AS131" s="256">
        <f t="shared" si="286"/>
        <v>0</v>
      </c>
      <c r="AT131" s="256">
        <f t="shared" si="287"/>
        <v>0</v>
      </c>
      <c r="AU131" s="256">
        <f t="shared" si="294"/>
        <v>0</v>
      </c>
      <c r="AV131" s="257" t="str">
        <f>IF(AY131="",IF(AW131="","",IF(AW131="",501,501-AW131)),501)</f>
        <v/>
      </c>
      <c r="AW131" s="256" t="str">
        <f>IF(AL125=3,"",IF(U131&gt;1,U131,IF(U131=0,"",IF(U131="","",""))))</f>
        <v/>
      </c>
      <c r="AX131" s="256" t="str">
        <f>IF(AL125=3,"",IF(V131&gt;8,V131,IF(V131="","","")))</f>
        <v/>
      </c>
      <c r="AY131" s="256" t="str">
        <f>IF(AL125=3,"",IF(W131&gt;1,W131,IF(W131="","","")))</f>
        <v/>
      </c>
      <c r="AZ131" s="256" t="str">
        <f>IF(AL125=3,"",IF(X131&gt;0,X131,IF(X131="","","")))</f>
        <v/>
      </c>
      <c r="BA131" s="258" t="str">
        <f>IF(BL131=0,"","X")</f>
        <v/>
      </c>
      <c r="BK131" s="251">
        <f>IF(AL125=3,0,SUM(DD131,DV131,EY131,ED131,FF131,BQ131,BS131,AC131))</f>
        <v>0</v>
      </c>
      <c r="BL131" s="251">
        <f>IF(AL125=3,0,SUM(DE131,DW131,EE131,FT131,GA131,BR131,BT131,AQ131))</f>
        <v>0</v>
      </c>
      <c r="BM131" s="259">
        <f>IF(AL125=3,0,SUM(DC131,BK131:BL131,AC131,AQ131))</f>
        <v>0</v>
      </c>
      <c r="BN131" s="239">
        <f>COUNT(AK131)</f>
        <v>0</v>
      </c>
      <c r="BO131" s="239">
        <f>COUNT(AY131)</f>
        <v>0</v>
      </c>
      <c r="BP131" s="239">
        <f>IF(BZ133=0,0,1)</f>
        <v>0</v>
      </c>
      <c r="BQ131" s="260">
        <f>IF(AL131="",0,IF(AL131&gt;2,1,0))</f>
        <v>0</v>
      </c>
      <c r="BR131" s="261">
        <f>IF(AZ131="",0,IF(AZ131&gt;2,1,0))</f>
        <v>0</v>
      </c>
      <c r="BS131" s="262">
        <f>IF(AJ131=9,IF(AK131&lt;141,1,0),0)</f>
        <v>0</v>
      </c>
      <c r="BT131" s="263">
        <f>IF(AX131=9,IF(AY131&lt;141,1,0),0)</f>
        <v>0</v>
      </c>
      <c r="BU131" s="242">
        <f>IF(AL125=3,0,IF(H131,G131,0))</f>
        <v>0</v>
      </c>
      <c r="BV131" s="238">
        <f>IF(BU131&gt;0,AJ131/3,0)</f>
        <v>0</v>
      </c>
      <c r="BW131" s="238">
        <f>ROUNDUP(BV131,0)</f>
        <v>0</v>
      </c>
      <c r="BX131" s="244">
        <f>IF(MOD(BW131,2)=0,BW131,BW131+1)</f>
        <v>0</v>
      </c>
      <c r="BY131" s="238">
        <f>IF(AJ131&lt;9,"",SUM(BX131-BW131))</f>
        <v>0</v>
      </c>
      <c r="BZ131" s="238">
        <f>IF(BY131=1,AK131,0)</f>
        <v>0</v>
      </c>
      <c r="CA131" s="243" t="str">
        <f>IF(BY131=0,AK131,0)</f>
        <v/>
      </c>
      <c r="CB131" s="238"/>
      <c r="CC131" s="238"/>
      <c r="CD131" s="242">
        <f>IF(AL125=3,0,IF(W131,V131,0))</f>
        <v>0</v>
      </c>
      <c r="CE131" s="238">
        <f>IF(CD131&gt;0,AX131/3,0)</f>
        <v>0</v>
      </c>
      <c r="CF131" s="238">
        <f>ROUNDUP(CE131,0)</f>
        <v>0</v>
      </c>
      <c r="CG131" s="244">
        <f>IF(MOD(CF131,2)=0,CF131,CF131+1)</f>
        <v>0</v>
      </c>
      <c r="CH131" s="238">
        <f>IF(AX131&lt;9,"",SUM(CG131-CF131))</f>
        <v>0</v>
      </c>
      <c r="CI131" s="238">
        <f>IF(CH131=1,AY131,0)</f>
        <v>0</v>
      </c>
      <c r="CJ131" s="243" t="str">
        <f>IF(CH131=0,AY131,0)</f>
        <v/>
      </c>
      <c r="CK131" s="238"/>
      <c r="CL131" s="245">
        <f>IF(COUNT(F131,H131)=1,0,1)</f>
        <v>1</v>
      </c>
      <c r="CM131" s="245">
        <f>IF(COUNT(F131,U131)=1,0,1)</f>
        <v>1</v>
      </c>
      <c r="CN131" s="245">
        <f>IF(COUNT(H131,W131)=1,0,1)</f>
        <v>1</v>
      </c>
      <c r="CO131" s="245">
        <f>IF(COUNT(G131,V131)=2,0,1)</f>
        <v>1</v>
      </c>
      <c r="CP131" s="245">
        <f>IF(COUNT(U131,W131)=1,0,1)</f>
        <v>1</v>
      </c>
      <c r="CQ131" s="245">
        <f>IF(SUM(G131-V131)&gt;3,1,0)</f>
        <v>0</v>
      </c>
      <c r="CR131" s="245">
        <f>IF(SUM(G131-V131)&lt;-3,1,0)</f>
        <v>0</v>
      </c>
      <c r="CS131" s="264">
        <f>IF(AJ131=9,IF(AH131&lt;141,1,0),IF(AH131="",0,IF(AH131&gt;1,0,1)))</f>
        <v>0</v>
      </c>
      <c r="CT131" s="264">
        <f>IF(AX131=9,IF(AV131&lt;141,1,0),IF(AV131="",0,IF(AV131&gt;1,0,1)))</f>
        <v>0</v>
      </c>
      <c r="CU131" s="264">
        <f>IF(AI131="",0,IF(AI131&lt;502,0,1))</f>
        <v>0</v>
      </c>
      <c r="CV131" s="264">
        <f>IF(AW131="",0,IF(AW131&lt;502,0,1))</f>
        <v>0</v>
      </c>
      <c r="CW131" s="264">
        <f>IF(AI131="",IF(AJ131&lt;9,1,0),IF(AJ131&lt;9,1,0))</f>
        <v>0</v>
      </c>
      <c r="CX131" s="264">
        <f>IF(AW131="",IF(AX131&lt;9,1,0),IF(AX131&lt;9,1,0))</f>
        <v>0</v>
      </c>
      <c r="CY131" s="374"/>
      <c r="CZ131" s="374"/>
      <c r="DA131" s="374"/>
      <c r="DB131" s="374"/>
      <c r="DC131" s="265">
        <f>IF(AJ131="",0,SUM(CL131:CX131))</f>
        <v>0</v>
      </c>
      <c r="DD131" s="265">
        <f>IF(AJ131="",0,SUM(CL131,CS131,CU131,CW131))</f>
        <v>0</v>
      </c>
      <c r="DE131" s="265">
        <f>IF(AJ131="",0,SUM(CP131,CT131,CV131,CX131))</f>
        <v>0</v>
      </c>
      <c r="DF131" s="238"/>
      <c r="DG131" s="248">
        <f>IF(AL125=3,0,SUM(G131-V131))</f>
        <v>0</v>
      </c>
      <c r="DH131" s="245">
        <f>IF(F131="",0,1)</f>
        <v>0</v>
      </c>
      <c r="DI131" s="245">
        <f t="shared" si="296"/>
        <v>0</v>
      </c>
      <c r="DJ131" s="245">
        <f t="shared" si="297"/>
        <v>0</v>
      </c>
      <c r="DK131" s="245" t="str">
        <f>IF(G131="","",IF(DJ131=1,"*",""))</f>
        <v/>
      </c>
      <c r="DL131" s="245" t="str">
        <f>IF(AL125=3,"",IF(G131="","",IF(DJ131=-1,"*",IF(DJ131=0,"*",""))))</f>
        <v/>
      </c>
      <c r="DM131" s="245">
        <v>4</v>
      </c>
      <c r="DN131" s="245" t="str">
        <f t="shared" si="298"/>
        <v>4</v>
      </c>
      <c r="DO131" s="245" t="str">
        <f t="shared" si="299"/>
        <v>4</v>
      </c>
      <c r="DP131" s="245">
        <f>SUM(DQ128)</f>
        <v>0</v>
      </c>
      <c r="DQ131" s="245">
        <f>SUM(DP128)</f>
        <v>0</v>
      </c>
      <c r="DR131" s="245">
        <f t="shared" si="306"/>
        <v>0</v>
      </c>
      <c r="DS131" s="245">
        <f t="shared" si="307"/>
        <v>0</v>
      </c>
      <c r="DT131" s="245">
        <f t="shared" si="308"/>
        <v>0</v>
      </c>
      <c r="DU131" s="245">
        <f>IF(V131="",0,IF(DQ131=DS131,0,1))</f>
        <v>0</v>
      </c>
      <c r="DV131" s="267">
        <f t="shared" si="309"/>
        <v>0</v>
      </c>
      <c r="DW131" s="267">
        <f>IF(V131="",0,SUM(DU131))</f>
        <v>0</v>
      </c>
      <c r="DX131" s="238">
        <f>IF(AK131="",0,1)</f>
        <v>0</v>
      </c>
      <c r="DY131" s="238">
        <f>IF(DG131=-3,1,0)</f>
        <v>0</v>
      </c>
      <c r="DZ131" s="238">
        <f>SUM(DX131:DY131)</f>
        <v>0</v>
      </c>
      <c r="EA131" s="238">
        <f>IF(AK131="",1,0)</f>
        <v>1</v>
      </c>
      <c r="EB131" s="238">
        <f>IF(DG131=3,1,0)</f>
        <v>0</v>
      </c>
      <c r="EC131" s="238">
        <f>SUM(EA131:EB131)</f>
        <v>1</v>
      </c>
      <c r="ED131" s="267">
        <f>IF(EC131=2,1,0)</f>
        <v>0</v>
      </c>
      <c r="EE131" s="267">
        <f>IF(DZ131=2,1,0)</f>
        <v>0</v>
      </c>
      <c r="EG131" s="166"/>
      <c r="EH131" s="238"/>
      <c r="EI131" s="238"/>
      <c r="EJ131" s="238"/>
      <c r="EK131" s="238"/>
      <c r="EL131" s="238"/>
      <c r="EM131" s="245">
        <f>IF(AK131="",0,1)</f>
        <v>0</v>
      </c>
      <c r="EN131" s="245">
        <f>SUM(AK131)</f>
        <v>0</v>
      </c>
      <c r="EO131" s="268">
        <f>SUM(AJ131)</f>
        <v>0</v>
      </c>
      <c r="EP131" s="268">
        <f>SUM(G131/3)</f>
        <v>0</v>
      </c>
      <c r="EQ131" s="268" t="e">
        <f>SUM(EO131/EP131)</f>
        <v>#DIV/0!</v>
      </c>
      <c r="ER131" s="268">
        <f>ROUNDDOWN(EP131,0)</f>
        <v>0</v>
      </c>
      <c r="ES131" s="268">
        <f>SUM(EO131,-ER131*3)</f>
        <v>0</v>
      </c>
      <c r="ET131" s="269" t="b">
        <f>MOD(EN131/1,2)=0</f>
        <v>1</v>
      </c>
      <c r="EU131" s="245">
        <f>IF(ET131=FALSE,1,0)</f>
        <v>0</v>
      </c>
      <c r="EV131" s="245">
        <f>IF(EN131=50,0,IF(EN131&lt;40,1,0))</f>
        <v>1</v>
      </c>
      <c r="EW131" s="245">
        <f>SUM(EU131:EV131)</f>
        <v>1</v>
      </c>
      <c r="EX131" s="267">
        <f>IF(EN131=1,1,IF(EN131=50,0,IF(ES131=1,IF(EN131&gt;40,1,0),0)))</f>
        <v>0</v>
      </c>
      <c r="EY131" s="267">
        <f>IF(ES131=1,IF(EW131=2,1,0),0)+EX131+FB131+FE131</f>
        <v>0</v>
      </c>
      <c r="EZ131" s="245">
        <f>IF(EN131=109,1,IF(EN131=108,1,IF(EN131=106,1,IF(EN131=105,1,IF(EN131=103,1,IF(EN131=102,1,IF(EN131=99,1,0)))))))</f>
        <v>0</v>
      </c>
      <c r="FA131" s="245">
        <f>IF(EN131&gt;110,1,0)</f>
        <v>0</v>
      </c>
      <c r="FB131" s="267">
        <f>IF(ES131=2,SUM(EZ131:FA131),0)</f>
        <v>0</v>
      </c>
      <c r="FC131" s="245">
        <f>IF(EN131=159,1,IF(EN131=162,1,IF(EN131=163,1,IF(EN131=165,1,IF(EN131=166,1,IF(EN131=168,1,IF(EN131=169,1,0)))))))</f>
        <v>0</v>
      </c>
      <c r="FD131" s="245">
        <f>IF(EN131&gt;170,1,0)</f>
        <v>0</v>
      </c>
      <c r="FE131" s="267">
        <f>IF(ES131=0,SUM(FC131:FD131),0)</f>
        <v>0</v>
      </c>
      <c r="FF131" s="251">
        <f t="shared" si="300"/>
        <v>0</v>
      </c>
      <c r="FG131" s="238"/>
      <c r="FH131" s="245">
        <f>IF(AY131="",0,1)</f>
        <v>0</v>
      </c>
      <c r="FI131" s="245">
        <f>SUM(AY131)</f>
        <v>0</v>
      </c>
      <c r="FJ131" s="268">
        <f>SUM(AX131)</f>
        <v>0</v>
      </c>
      <c r="FK131" s="268">
        <f>SUM(V131/3)</f>
        <v>0</v>
      </c>
      <c r="FL131" s="268" t="e">
        <f>SUM(FJ131/FK131)</f>
        <v>#DIV/0!</v>
      </c>
      <c r="FM131" s="268">
        <f>ROUNDDOWN(FK131,0)</f>
        <v>0</v>
      </c>
      <c r="FN131" s="268">
        <f>SUM(FJ131,-FM131*3)</f>
        <v>0</v>
      </c>
      <c r="FO131" s="269" t="b">
        <f>MOD(FI131/1,2)=0</f>
        <v>1</v>
      </c>
      <c r="FP131" s="245">
        <f>IF(FO131=FALSE,1,0)</f>
        <v>0</v>
      </c>
      <c r="FQ131" s="245">
        <f>IF(FI131=50,0,IF(FI131&lt;40,1,0))</f>
        <v>1</v>
      </c>
      <c r="FR131" s="245">
        <f>SUM(FP131:FQ131)</f>
        <v>1</v>
      </c>
      <c r="FS131" s="267">
        <f>IF(FI131=1,1,IF(FI131=50,0,IF(FN131=1,IF(FI131&gt;40,1,0),0)))</f>
        <v>0</v>
      </c>
      <c r="FT131" s="267">
        <f>IF(FN131=1,IF(FR131=2,1,0),0)+FS131+FW131+FZ131</f>
        <v>0</v>
      </c>
      <c r="FU131" s="245">
        <f>IF(FI131=109,1,IF(FI131=108,1,IF(FI131=106,1,IF(FI131=105,1,IF(FI131=103,1,IF(FI131=102,1,IF(FI131=99,1,0)))))))</f>
        <v>0</v>
      </c>
      <c r="FV131" s="245">
        <f>IF(FI131&gt;110,1,0)</f>
        <v>0</v>
      </c>
      <c r="FW131" s="267">
        <f>IF(FN131=2,SUM(FU131:FV131),0)</f>
        <v>0</v>
      </c>
      <c r="FX131" s="245">
        <f>IF(FI131=159,1,IF(FI131=162,1,IF(FI131=163,1,IF(FI131=165,1,IF(FI131=166,1,IF(FI131=168,1,IF(FI131=169,1,0)))))))</f>
        <v>0</v>
      </c>
      <c r="FY131" s="245">
        <f>IF(FI131&gt;170,1,0)</f>
        <v>0</v>
      </c>
      <c r="FZ131" s="267">
        <f>IF(FN131=0,SUM(FX131:FY131),0)</f>
        <v>0</v>
      </c>
      <c r="GA131" s="251">
        <f t="shared" si="301"/>
        <v>0</v>
      </c>
      <c r="GC131" s="238" t="str">
        <f>VLOOKUP(AH125,Chema!BL:BR,4,FALSE)</f>
        <v>GD 1.1</v>
      </c>
      <c r="GD131" s="341">
        <f>IF(T135="FORFAIT",1,0)</f>
        <v>0</v>
      </c>
      <c r="GE131" s="343" t="str">
        <f>IF(R135="","",SUM(R135))</f>
        <v/>
      </c>
      <c r="GF131" s="344">
        <f>SUM(AV128)</f>
        <v>0</v>
      </c>
      <c r="GG131" s="344">
        <f>SUM(AX128)</f>
        <v>0</v>
      </c>
      <c r="GH131" s="344">
        <f t="shared" ref="GH131" si="310">SUM(AY128)</f>
        <v>0</v>
      </c>
      <c r="GI131" s="344">
        <f t="shared" ref="GI131" si="311">SUM(AZ128)</f>
        <v>0</v>
      </c>
      <c r="GJ131" s="344">
        <f>SUM(AV129)</f>
        <v>0</v>
      </c>
      <c r="GK131" s="344">
        <f>SUM(AX129)</f>
        <v>0</v>
      </c>
      <c r="GL131" s="344">
        <f>SUM(AY129)</f>
        <v>0</v>
      </c>
      <c r="GM131" s="344">
        <f>SUM(AZ129)</f>
        <v>0</v>
      </c>
      <c r="GN131" s="344">
        <f>SUM(AV130)</f>
        <v>0</v>
      </c>
      <c r="GO131" s="344">
        <f>SUM(AX130)</f>
        <v>0</v>
      </c>
      <c r="GP131" s="344">
        <f>SUM(AY130)</f>
        <v>0</v>
      </c>
      <c r="GQ131" s="344">
        <f>SUM(AZ130)</f>
        <v>0</v>
      </c>
      <c r="GR131" s="344">
        <f>SUM(AV131)</f>
        <v>0</v>
      </c>
      <c r="GS131" s="344">
        <f>SUM(AX131)</f>
        <v>0</v>
      </c>
      <c r="GT131" s="344">
        <f>SUM(AY131)</f>
        <v>0</v>
      </c>
      <c r="GU131" s="344">
        <f>SUM(AZ131)</f>
        <v>0</v>
      </c>
      <c r="GV131" s="344">
        <f>SUM(AV132)</f>
        <v>0</v>
      </c>
      <c r="GW131" s="344">
        <f>SUM(AX132)</f>
        <v>0</v>
      </c>
      <c r="GX131" s="344">
        <f>SUM(AY132)</f>
        <v>0</v>
      </c>
      <c r="GY131" s="344">
        <f>SUM(AZ132)</f>
        <v>0</v>
      </c>
      <c r="GZ131" s="344">
        <f>SUM(GF131,GJ131,GN131,GR131,GV131)</f>
        <v>0</v>
      </c>
      <c r="HA131" s="344">
        <f t="shared" ref="HA131" si="312">SUM(GG131,GK131,GO131,GS131,GW131)</f>
        <v>0</v>
      </c>
      <c r="HB131" s="344" t="str">
        <f>IF(GD128=1,P135,MAX(GH131,GL131,GP131,GT131,GX131))</f>
        <v/>
      </c>
      <c r="HC131" s="344">
        <f>IF(GD128=1,X135,SUM(GI131,GM131,GQ131,GU131,GY131))</f>
        <v>0</v>
      </c>
      <c r="HD131" s="345">
        <f>IF(GD128=1,0,SUM(GF131,GJ131,GN131,GR131,GV131))</f>
        <v>0</v>
      </c>
      <c r="HE131" s="345">
        <f>IF(GD128=1,0,SUM(GG131,GK131,GO131,GS131,GW131))</f>
        <v>0</v>
      </c>
      <c r="HF131" s="341">
        <f>IF(GD128=1,0,MIN(HI131,HJ131,HK131,HL131,HM131))</f>
        <v>0</v>
      </c>
      <c r="HG131" s="341">
        <f>IF(HF131=0,0,COUNTIF(HI131:HM131,HF131))</f>
        <v>0</v>
      </c>
      <c r="HH131" s="341">
        <f>SUM(GH132,GL132,GP132,GT132,GX132)</f>
        <v>0</v>
      </c>
      <c r="HI131" s="343" t="str">
        <f>IF(GH132=1,GG131,"")</f>
        <v/>
      </c>
      <c r="HJ131" s="343" t="str">
        <f>IF(GL132=1,GK131,"")</f>
        <v/>
      </c>
      <c r="HK131" s="343" t="str">
        <f>IF(GP132=1,GO131,"")</f>
        <v/>
      </c>
      <c r="HL131" s="343" t="str">
        <f>IF(GT132=1,GS131,"")</f>
        <v/>
      </c>
      <c r="HM131" s="343" t="str">
        <f>IF(GX132=1,GW131,"")</f>
        <v/>
      </c>
      <c r="HN131" s="341"/>
      <c r="HO131" s="341"/>
      <c r="HP131" s="341"/>
      <c r="HQ131" s="341"/>
      <c r="HR131" s="341"/>
      <c r="HS131" s="238"/>
      <c r="HT131" s="238"/>
      <c r="HU131" s="238"/>
      <c r="HV131" s="238"/>
      <c r="HW131" s="238" t="str">
        <f>IFERROR(IF(GD128=0,SUM(IB130:IC130),""),"")</f>
        <v/>
      </c>
      <c r="HY131" s="238"/>
      <c r="ID131" s="238"/>
    </row>
    <row r="132" spans="1:238" s="234" customFormat="1" ht="20.100000000000001" customHeight="1">
      <c r="A132" s="235"/>
      <c r="B132" s="231">
        <f>COUNT(AJ133,AJ132)</f>
        <v>1</v>
      </c>
      <c r="C132" s="235"/>
      <c r="D132" s="271" t="str">
        <f>REPT(DN132,1)</f>
        <v>5</v>
      </c>
      <c r="E132" s="254" t="str">
        <f>REPT(AH132,1)</f>
        <v/>
      </c>
      <c r="F132" s="168"/>
      <c r="G132" s="168"/>
      <c r="H132" s="168"/>
      <c r="I132" s="169"/>
      <c r="J132" s="272" t="str">
        <f>REPT(AM132,1)</f>
        <v/>
      </c>
      <c r="L132" s="310"/>
      <c r="M132" s="310"/>
      <c r="N132" s="272" t="str">
        <f>REPT(AP132,1)</f>
        <v/>
      </c>
      <c r="O132" s="118"/>
      <c r="Q132" s="310"/>
      <c r="R132" s="235"/>
      <c r="S132" s="271" t="str">
        <f>REPT(DO132,1)</f>
        <v>5</v>
      </c>
      <c r="T132" s="254" t="str">
        <f>REPT(AV132,1)</f>
        <v/>
      </c>
      <c r="U132" s="168"/>
      <c r="V132" s="168"/>
      <c r="W132" s="168"/>
      <c r="X132" s="169"/>
      <c r="Y132" s="272" t="str">
        <f>REPT(BA132,1)</f>
        <v/>
      </c>
      <c r="Z132" s="308"/>
      <c r="AA132" s="238">
        <f>SUM(AL125)</f>
        <v>3</v>
      </c>
      <c r="AB132" s="234">
        <f>IF(AY132="",0,IF(AY132&lt;2,1,""))</f>
        <v>0</v>
      </c>
      <c r="AC132" s="238">
        <f>IF(AL125=3,0,IF(AD132=1,1,IF(AD132=3,1,IF(AD132=2,0,IF(AD132=0,0,0)))))</f>
        <v>0</v>
      </c>
      <c r="AD132" s="256">
        <f t="shared" si="290"/>
        <v>0</v>
      </c>
      <c r="AE132" s="256">
        <f t="shared" si="284"/>
        <v>0</v>
      </c>
      <c r="AF132" s="256">
        <f t="shared" si="285"/>
        <v>0</v>
      </c>
      <c r="AG132" s="256">
        <f t="shared" si="291"/>
        <v>0</v>
      </c>
      <c r="AH132" s="257" t="str">
        <f>IF(AL125=3,"",IF(AK132="",IF(AI132="","",IF(AI132="",501,501-AI132)),501))</f>
        <v/>
      </c>
      <c r="AI132" s="256" t="str">
        <f>IF(AL125=3,"",IF(F132&gt;1,F132,IF(F132=0,"",IF(F132="","",""))))</f>
        <v/>
      </c>
      <c r="AJ132" s="256" t="str">
        <f>IF(AL125=3,"",IF(G132&gt;8,G132,IF(G132="","","")))</f>
        <v/>
      </c>
      <c r="AK132" s="256" t="str">
        <f>IF(AL125=3,"",IF(H132&gt;1,H132,IF(H132="","","")))</f>
        <v/>
      </c>
      <c r="AL132" s="256" t="str">
        <f>IF(AL125=3,"",IF(I132&gt;0,I132,IF(I132="","","")))</f>
        <v/>
      </c>
      <c r="AM132" s="258" t="str">
        <f>IF(BK132=0,"","X")</f>
        <v/>
      </c>
      <c r="AN132" s="237"/>
      <c r="AO132" s="237"/>
      <c r="AP132" s="258" t="str">
        <f>IF(BM132=0,"","X")</f>
        <v/>
      </c>
      <c r="AQ132" s="236">
        <f>IF(AL125=3,0,IF(AR132=1,1,IF(AR132=3,1,IF(AR132=2,0,IF(AR132=0,0,0)))))</f>
        <v>0</v>
      </c>
      <c r="AR132" s="256">
        <f t="shared" si="293"/>
        <v>0</v>
      </c>
      <c r="AS132" s="256">
        <f t="shared" si="286"/>
        <v>0</v>
      </c>
      <c r="AT132" s="256">
        <f t="shared" si="287"/>
        <v>0</v>
      </c>
      <c r="AU132" s="256">
        <f t="shared" si="294"/>
        <v>0</v>
      </c>
      <c r="AV132" s="257" t="str">
        <f>IF(AY132="",IF(AW132="","",IF(AW132="",501,501-AW132)),501)</f>
        <v/>
      </c>
      <c r="AW132" s="256" t="str">
        <f>IF(AL125=3,"",IF(U132&gt;1,U132,IF(U132=0,"",IF(U132="","",""))))</f>
        <v/>
      </c>
      <c r="AX132" s="256" t="str">
        <f>IF(AL125=3,"",IF(V132&gt;8,V132,IF(V132="","","")))</f>
        <v/>
      </c>
      <c r="AY132" s="256" t="str">
        <f>IF(AL125=3,"",IF(W132&gt;1,W132,IF(W132="","","")))</f>
        <v/>
      </c>
      <c r="AZ132" s="256" t="str">
        <f>IF(AL125=3,"",IF(X132&gt;0,X132,IF(X132="","","")))</f>
        <v/>
      </c>
      <c r="BA132" s="258" t="str">
        <f>IF(BL132=0,"","X")</f>
        <v/>
      </c>
      <c r="BK132" s="251">
        <f>IF(AL125=3,0,SUM(DD132,DV132,EY132,ED132,FF132,BQ132,BS132,AC132))</f>
        <v>0</v>
      </c>
      <c r="BL132" s="251">
        <f>SUM(DE132,DW132,EE132,FT132,GA132,BR132,BT132,AQ132)</f>
        <v>0</v>
      </c>
      <c r="BM132" s="259">
        <f>IF(AL125=3,0,SUM(DC132,BK132:BL132,AC132,AQ132))</f>
        <v>0</v>
      </c>
      <c r="BN132" s="239">
        <f>COUNT(AK132)</f>
        <v>0</v>
      </c>
      <c r="BO132" s="239">
        <f>COUNT(AY132)</f>
        <v>0</v>
      </c>
      <c r="BP132" s="239">
        <f>IF(BN134=0,0,1)</f>
        <v>0</v>
      </c>
      <c r="BQ132" s="260">
        <f>IF(AL132="",0,IF(AL132&gt;2,1,0))</f>
        <v>0</v>
      </c>
      <c r="BR132" s="261">
        <f>IF(AZ132="",0,IF(AZ132&gt;2,1,0))</f>
        <v>0</v>
      </c>
      <c r="BS132" s="262">
        <f>IF(AJ132=9,IF(AK132&lt;141,1,0),0)</f>
        <v>0</v>
      </c>
      <c r="BT132" s="263">
        <f>IF(AX132=9,IF(AY132&lt;141,1,0),0)</f>
        <v>0</v>
      </c>
      <c r="BU132" s="242">
        <f>IF(AL125=3,0,IF(H132,G132,0))</f>
        <v>0</v>
      </c>
      <c r="BV132" s="238">
        <f>IF(BU132&gt;0,AJ132/3,0)</f>
        <v>0</v>
      </c>
      <c r="BW132" s="238">
        <f>ROUNDUP(BV132,0)</f>
        <v>0</v>
      </c>
      <c r="BX132" s="244">
        <f>IF(MOD(BW132,2)=0,BW132,BW132+1)</f>
        <v>0</v>
      </c>
      <c r="BY132" s="238">
        <f>IF(AJ132&lt;9,"",SUM(BX132-BW132))</f>
        <v>0</v>
      </c>
      <c r="BZ132" s="238">
        <f>IF(BY132=1,AK132,0)</f>
        <v>0</v>
      </c>
      <c r="CA132" s="243" t="str">
        <f>IF(BY132=0,AK132,0)</f>
        <v/>
      </c>
      <c r="CB132" s="238"/>
      <c r="CC132" s="238"/>
      <c r="CD132" s="242">
        <f>IF(AL125=3,0,IF(W132,V132,0))</f>
        <v>0</v>
      </c>
      <c r="CE132" s="238">
        <f>IF(CD132&gt;0,AX132/3,0)</f>
        <v>0</v>
      </c>
      <c r="CF132" s="238">
        <f>ROUNDUP(CE132,0)</f>
        <v>0</v>
      </c>
      <c r="CG132" s="244">
        <f>IF(MOD(CF132,2)=0,CF132,CF132+1)</f>
        <v>0</v>
      </c>
      <c r="CH132" s="238">
        <f>IF(AX132&lt;9,"",SUM(CG132-CF132))</f>
        <v>0</v>
      </c>
      <c r="CI132" s="238">
        <f>IF(CH132=1,AY132,0)</f>
        <v>0</v>
      </c>
      <c r="CJ132" s="243" t="str">
        <f>IF(CH132=0,AY132,0)</f>
        <v/>
      </c>
      <c r="CK132" s="238"/>
      <c r="CL132" s="245">
        <f>IF(COUNT(F132,H132)=1,0,1)</f>
        <v>1</v>
      </c>
      <c r="CM132" s="245">
        <f>IF(COUNT(F132,U132)=1,0,1)</f>
        <v>1</v>
      </c>
      <c r="CN132" s="245">
        <f>IF(COUNT(H132,W132)=1,0,1)</f>
        <v>1</v>
      </c>
      <c r="CO132" s="245">
        <f>IF(COUNT(G132,V132)=2,0,1)</f>
        <v>1</v>
      </c>
      <c r="CP132" s="245">
        <f>IF(COUNT(U132,W132)=1,0,1)</f>
        <v>1</v>
      </c>
      <c r="CQ132" s="245">
        <f>IF(SUM(G132-V132)&gt;3,1,0)</f>
        <v>0</v>
      </c>
      <c r="CR132" s="245">
        <f>IF(SUM(G132-V132)&lt;-3,1,0)</f>
        <v>0</v>
      </c>
      <c r="CS132" s="264">
        <f>IF(AJ132=9,IF(AH132&lt;141,1,0),IF(AH132="",0,IF(AH132&gt;1,0,1)))</f>
        <v>0</v>
      </c>
      <c r="CT132" s="264">
        <f>IF(AX132=9,IF(AV132&lt;141,1,0),IF(AV132="",0,IF(AV132&gt;1,0,1)))</f>
        <v>0</v>
      </c>
      <c r="CU132" s="264">
        <f>IF(AI132="",0,IF(AI132&lt;502,0,1))</f>
        <v>0</v>
      </c>
      <c r="CV132" s="264">
        <f>IF(AW132="",0,IF(AW132&lt;502,0,1))</f>
        <v>0</v>
      </c>
      <c r="CW132" s="264">
        <f>IF(AI132="",IF(AJ132&lt;9,1,0),IF(AJ132&lt;9,1,0))</f>
        <v>0</v>
      </c>
      <c r="CX132" s="264">
        <f>IF(AW132="",IF(AX132&lt;9,1,0),IF(AX132&lt;9,1,0))</f>
        <v>0</v>
      </c>
      <c r="CY132" s="374"/>
      <c r="CZ132" s="374"/>
      <c r="DA132" s="374"/>
      <c r="DB132" s="374"/>
      <c r="DC132" s="265">
        <f>IF(AJ132="",0,SUM(CL132:CX132))</f>
        <v>0</v>
      </c>
      <c r="DD132" s="265">
        <f>IF(AJ132="",0,SUM(CL132,CS132,CU132,CW132))</f>
        <v>0</v>
      </c>
      <c r="DE132" s="265">
        <f>IF(AJ132="",0,SUM(CP132,CT132,CV132,CX132))</f>
        <v>0</v>
      </c>
      <c r="DF132" s="238"/>
      <c r="DG132" s="248">
        <f>IF(AL125=3,0,SUM(G132-V132))</f>
        <v>0</v>
      </c>
      <c r="DH132" s="245">
        <f>IF(F132="",0,1)</f>
        <v>0</v>
      </c>
      <c r="DI132" s="245">
        <f t="shared" si="296"/>
        <v>0</v>
      </c>
      <c r="DJ132" s="245">
        <f t="shared" si="297"/>
        <v>0</v>
      </c>
      <c r="DK132" s="245" t="str">
        <f>IF(G132="","",IF(DJ132=1,"*",""))</f>
        <v/>
      </c>
      <c r="DL132" s="245" t="str">
        <f>IF(AL125=3,"",IF(G132="","",IF(DJ132=-1,"*",IF(DJ132=0,"*",""))))</f>
        <v/>
      </c>
      <c r="DM132" s="245">
        <v>5</v>
      </c>
      <c r="DN132" s="245" t="str">
        <f t="shared" si="298"/>
        <v>5</v>
      </c>
      <c r="DO132" s="245" t="str">
        <f t="shared" si="299"/>
        <v>5</v>
      </c>
      <c r="DP132" s="245">
        <f>SUM(DP128)</f>
        <v>0</v>
      </c>
      <c r="DQ132" s="245">
        <f>SUM(DQ128)</f>
        <v>0</v>
      </c>
      <c r="DR132" s="245">
        <f t="shared" si="306"/>
        <v>0</v>
      </c>
      <c r="DS132" s="245">
        <f t="shared" si="307"/>
        <v>0</v>
      </c>
      <c r="DT132" s="245">
        <f t="shared" si="308"/>
        <v>0</v>
      </c>
      <c r="DU132" s="245">
        <f>IF(V132="",0,IF(DQ132=DS132,0,1))</f>
        <v>0</v>
      </c>
      <c r="DV132" s="267">
        <f t="shared" si="309"/>
        <v>0</v>
      </c>
      <c r="DW132" s="267">
        <f>IF(V132="",0,SUM(DU132))</f>
        <v>0</v>
      </c>
      <c r="DX132" s="238">
        <f>IF(AK132="",0,1)</f>
        <v>0</v>
      </c>
      <c r="DY132" s="238">
        <f>IF(DG132=-3,1,0)</f>
        <v>0</v>
      </c>
      <c r="DZ132" s="238">
        <f>SUM(DX132:DY132)</f>
        <v>0</v>
      </c>
      <c r="EA132" s="238">
        <f>IF(AK132="",1,0)</f>
        <v>1</v>
      </c>
      <c r="EB132" s="238">
        <f>IF(DG132=3,1,0)</f>
        <v>0</v>
      </c>
      <c r="EC132" s="238">
        <f>SUM(EA132:EB132)</f>
        <v>1</v>
      </c>
      <c r="ED132" s="267">
        <f>IF(EC132=2,1,0)</f>
        <v>0</v>
      </c>
      <c r="EE132" s="267">
        <f>IF(DZ132=2,1,0)</f>
        <v>0</v>
      </c>
      <c r="EG132" s="166"/>
      <c r="EH132" s="238"/>
      <c r="EI132" s="238"/>
      <c r="EJ132" s="238"/>
      <c r="EK132" s="238"/>
      <c r="EL132" s="238"/>
      <c r="EM132" s="245">
        <f>IF(AK132="",0,1)</f>
        <v>0</v>
      </c>
      <c r="EN132" s="245">
        <f>SUM(AK132)</f>
        <v>0</v>
      </c>
      <c r="EO132" s="268">
        <f>SUM(AJ132)</f>
        <v>0</v>
      </c>
      <c r="EP132" s="268">
        <f>SUM(G132/3)</f>
        <v>0</v>
      </c>
      <c r="EQ132" s="268" t="e">
        <f>SUM(EO132/EP132)</f>
        <v>#DIV/0!</v>
      </c>
      <c r="ER132" s="268">
        <f>ROUNDDOWN(EP132,0)</f>
        <v>0</v>
      </c>
      <c r="ES132" s="268">
        <f>SUM(EO132,-ER132*3)</f>
        <v>0</v>
      </c>
      <c r="ET132" s="269" t="b">
        <f>MOD(EN132/1,2)=0</f>
        <v>1</v>
      </c>
      <c r="EU132" s="245">
        <f>IF(ET132=FALSE,1,0)</f>
        <v>0</v>
      </c>
      <c r="EV132" s="245">
        <f>IF(EN132=50,0,IF(EN132&lt;40,1,0))</f>
        <v>1</v>
      </c>
      <c r="EW132" s="245">
        <f>SUM(EU132:EV132)</f>
        <v>1</v>
      </c>
      <c r="EX132" s="267">
        <f>IF(EN132=1,1,IF(EN132=50,0,IF(ES132=1,IF(EN132&gt;40,1,0),0)))</f>
        <v>0</v>
      </c>
      <c r="EY132" s="267">
        <f>IF(ES132=1,IF(EW132=2,1,0),0)+EX132+FB132+FE132</f>
        <v>0</v>
      </c>
      <c r="EZ132" s="245">
        <f>IF(EN132=109,1,IF(EN132=108,1,IF(EN132=106,1,IF(EN132=105,1,IF(EN132=103,1,IF(EN132=102,1,IF(EN132=99,1,0)))))))</f>
        <v>0</v>
      </c>
      <c r="FA132" s="245">
        <f>IF(EN132&gt;110,1,0)</f>
        <v>0</v>
      </c>
      <c r="FB132" s="267">
        <f>IF(ES132=2,SUM(EZ132:FA132),0)</f>
        <v>0</v>
      </c>
      <c r="FC132" s="245">
        <f>IF(EN132=159,1,IF(EN132=162,1,IF(EN132=163,1,IF(EN132=165,1,IF(EN132=166,1,IF(EN132=168,1,IF(EN132=169,1,0)))))))</f>
        <v>0</v>
      </c>
      <c r="FD132" s="245">
        <f>IF(EN132&gt;170,1,0)</f>
        <v>0</v>
      </c>
      <c r="FE132" s="267">
        <f>IF(ES132=0,SUM(FC132:FD132),0)</f>
        <v>0</v>
      </c>
      <c r="FF132" s="251">
        <f t="shared" si="300"/>
        <v>0</v>
      </c>
      <c r="FG132" s="238"/>
      <c r="FH132" s="245">
        <f>IF(AY132="",0,1)</f>
        <v>0</v>
      </c>
      <c r="FI132" s="245">
        <f>SUM(AY132)</f>
        <v>0</v>
      </c>
      <c r="FJ132" s="268">
        <f>SUM(AX132)</f>
        <v>0</v>
      </c>
      <c r="FK132" s="268">
        <f>SUM(V132/3)</f>
        <v>0</v>
      </c>
      <c r="FL132" s="268" t="e">
        <f>SUM(FJ132/FK132)</f>
        <v>#DIV/0!</v>
      </c>
      <c r="FM132" s="268">
        <f>ROUNDDOWN(FK132,0)</f>
        <v>0</v>
      </c>
      <c r="FN132" s="268">
        <f>SUM(FJ132,-FM132*3)</f>
        <v>0</v>
      </c>
      <c r="FO132" s="269" t="b">
        <f>MOD(FI132/1,2)=0</f>
        <v>1</v>
      </c>
      <c r="FP132" s="245">
        <f>IF(FO132=FALSE,1,0)</f>
        <v>0</v>
      </c>
      <c r="FQ132" s="245">
        <f>IF(FI132=50,0,IF(FI132&lt;40,1,0))</f>
        <v>1</v>
      </c>
      <c r="FR132" s="245">
        <f>SUM(FP132:FQ132)</f>
        <v>1</v>
      </c>
      <c r="FS132" s="267">
        <f>IF(FI132=1,1,IF(FI132=50,0,IF(FN132=1,IF(FI132&gt;40,1,0),0)))</f>
        <v>0</v>
      </c>
      <c r="FT132" s="267">
        <f>IF(FN132=1,IF(FR132=2,1,0),0)+FS132+FW132+FZ132</f>
        <v>0</v>
      </c>
      <c r="FU132" s="245">
        <f>IF(FI132=109,1,IF(FI132=108,1,IF(FI132=106,1,IF(FI132=105,1,IF(FI132=103,1,IF(FI132=102,1,IF(FI132=99,1,0)))))))</f>
        <v>0</v>
      </c>
      <c r="FV132" s="245">
        <f>IF(FI132&gt;110,1,0)</f>
        <v>0</v>
      </c>
      <c r="FW132" s="267">
        <f>IF(FN132=2,SUM(FU132:FV132),0)</f>
        <v>0</v>
      </c>
      <c r="FX132" s="245">
        <f>IF(FI132=159,1,IF(FI132=162,1,IF(FI132=163,1,IF(FI132=165,1,IF(FI132=166,1,IF(FI132=168,1,IF(FI132=169,1,0)))))))</f>
        <v>0</v>
      </c>
      <c r="FY132" s="245">
        <f>IF(FI132&gt;170,1,0)</f>
        <v>0</v>
      </c>
      <c r="FZ132" s="267">
        <f>IF(FN132=0,SUM(FX132:FY132),0)</f>
        <v>0</v>
      </c>
      <c r="GA132" s="251">
        <f t="shared" si="301"/>
        <v>0</v>
      </c>
      <c r="GC132" s="238" t="str">
        <f>VLOOKUP(AH125,Chema!BL:BR,5,FALSE)</f>
        <v>GD 1.1.2</v>
      </c>
      <c r="GD132" s="341"/>
      <c r="GE132" s="343" t="str">
        <f>IF(R136="","",SUM(R136))</f>
        <v/>
      </c>
      <c r="GF132" s="340"/>
      <c r="GG132" s="346"/>
      <c r="GH132" s="343">
        <f>IF(GH131&gt;0,1,0)</f>
        <v>0</v>
      </c>
      <c r="GI132" s="346"/>
      <c r="GJ132" s="343"/>
      <c r="GK132" s="346"/>
      <c r="GL132" s="343">
        <f>IF(GL131&gt;0,1,0)</f>
        <v>0</v>
      </c>
      <c r="GM132" s="343"/>
      <c r="GN132" s="343"/>
      <c r="GO132" s="346"/>
      <c r="GP132" s="343">
        <f>IF(GP131&gt;0,1,0)</f>
        <v>0</v>
      </c>
      <c r="GQ132" s="343"/>
      <c r="GR132" s="343"/>
      <c r="GS132" s="346"/>
      <c r="GT132" s="343">
        <f>IF(GT131&gt;0,1,0)</f>
        <v>0</v>
      </c>
      <c r="GU132" s="343"/>
      <c r="GV132" s="343"/>
      <c r="GW132" s="346"/>
      <c r="GX132" s="343">
        <f>IF(GX131&gt;0,1,0)</f>
        <v>0</v>
      </c>
      <c r="GY132" s="340"/>
      <c r="GZ132" s="343"/>
      <c r="HA132" s="343"/>
      <c r="HB132" s="343" t="str">
        <f>IF(GD128=1,P136,"")</f>
        <v/>
      </c>
      <c r="HC132" s="343">
        <f>IF(GD128=1,X136,"")</f>
        <v>0</v>
      </c>
      <c r="HD132" s="340"/>
      <c r="HE132" s="340"/>
      <c r="HF132" s="340"/>
      <c r="HG132" s="340">
        <f>IF(HG130=HM128,0,IF(HG130=HM132,0,1))</f>
        <v>0</v>
      </c>
      <c r="HH132" s="340">
        <f>IF(HH129=HH131,1,0)</f>
        <v>1</v>
      </c>
      <c r="HI132" s="340"/>
      <c r="HJ132" s="340"/>
      <c r="HK132" s="340"/>
      <c r="HL132" s="340"/>
      <c r="HM132" s="341">
        <f>COUNT(HI131,HJ131,HK131,HL131,HM131)</f>
        <v>0</v>
      </c>
      <c r="HN132" s="341"/>
      <c r="HO132" s="341"/>
      <c r="HP132" s="341"/>
      <c r="HQ132" s="341"/>
      <c r="HR132" s="341"/>
      <c r="HS132" s="238"/>
      <c r="HT132" s="238"/>
      <c r="HU132" s="238"/>
      <c r="HV132" s="238"/>
      <c r="HX132" s="238"/>
      <c r="HY132" s="238"/>
      <c r="ID132" s="238"/>
    </row>
    <row r="133" spans="1:238" s="234" customFormat="1" ht="6.6" customHeight="1">
      <c r="A133" s="235"/>
      <c r="B133" s="231"/>
      <c r="C133" s="310"/>
      <c r="D133" s="310"/>
      <c r="E133" s="310"/>
      <c r="F133" s="310"/>
      <c r="G133" s="313"/>
      <c r="H133" s="310"/>
      <c r="I133" s="310"/>
      <c r="J133" s="273"/>
      <c r="K133" s="313"/>
      <c r="O133" s="118"/>
      <c r="R133" s="310"/>
      <c r="S133" s="310"/>
      <c r="T133" s="310"/>
      <c r="U133" s="310"/>
      <c r="V133" s="313"/>
      <c r="W133" s="310"/>
      <c r="X133" s="310"/>
      <c r="Y133" s="273"/>
      <c r="Z133" s="308"/>
      <c r="AA133" s="274"/>
      <c r="AD133" s="235"/>
      <c r="AE133" s="237">
        <f>IF(AF133=0,0,1)</f>
        <v>0</v>
      </c>
      <c r="AF133" s="237">
        <f>IF(AL133=0,0,SUM(AL135:AL136,-AL134))</f>
        <v>0</v>
      </c>
      <c r="AG133" s="237"/>
      <c r="AH133" s="275">
        <f>SUM(AH128,AH129,AH130,AH131,AH132)</f>
        <v>0</v>
      </c>
      <c r="AI133" s="275">
        <f t="shared" ref="AI133" si="313">SUM(AI128,AI129,AI130,AI131,AI132)</f>
        <v>0</v>
      </c>
      <c r="AJ133" s="275">
        <f t="shared" ref="AJ133" si="314">SUM(AJ128,AJ129,AJ130,AJ131,AJ132)</f>
        <v>0</v>
      </c>
      <c r="AK133" s="275">
        <f>MAX(AK128,AK129,AK130,AK131,AK132)</f>
        <v>0</v>
      </c>
      <c r="AL133" s="275">
        <f t="shared" ref="AL133" si="315">SUM(AL128,AL129,AL130,AL131,AL132)</f>
        <v>0</v>
      </c>
      <c r="AM133" s="275">
        <f>IF(AK125="D",SUM(AL128,AL129,AL130,AL131,AL132,-AL135,-AL136),0)</f>
        <v>0</v>
      </c>
      <c r="AN133" s="235"/>
      <c r="AO133" s="235"/>
      <c r="AP133" s="235"/>
      <c r="AQ133" s="235"/>
      <c r="AR133" s="235"/>
      <c r="AS133" s="237">
        <f>IF(AT133=0,0,1)</f>
        <v>0</v>
      </c>
      <c r="AT133" s="237">
        <f>IF(AZ133=0,0,SUM(AZ135:AZ136,-AZ134))</f>
        <v>0</v>
      </c>
      <c r="AU133" s="237"/>
      <c r="AV133" s="275">
        <f>SUM(AV128,AV129,AV130,AV131,AV132)</f>
        <v>0</v>
      </c>
      <c r="AW133" s="275">
        <f t="shared" ref="AW133" si="316">SUM(AW128,AW129,AW130,AW131,AW132)</f>
        <v>0</v>
      </c>
      <c r="AX133" s="275">
        <f t="shared" ref="AX133" si="317">SUM(AX128,AX129,AX130,AX131,AX132)</f>
        <v>0</v>
      </c>
      <c r="AY133" s="275">
        <f>MAX(AY128,AY129,AY130,AY131,AY132)</f>
        <v>0</v>
      </c>
      <c r="AZ133" s="275">
        <f t="shared" ref="AZ133" si="318">SUM(AZ128,AZ129,AZ130,AZ131,AZ132)</f>
        <v>0</v>
      </c>
      <c r="BA133" s="275">
        <f>IF(AK125="D",SUM(AZ128,AZ129,AZ130,AZ131,AZ132,-AZ135,-AZ136),0)</f>
        <v>0</v>
      </c>
      <c r="BJ133" s="236"/>
      <c r="BK133" s="238"/>
      <c r="BL133" s="238"/>
      <c r="BM133" s="238"/>
      <c r="BP133" s="238"/>
      <c r="BQ133" s="238"/>
      <c r="BR133" s="238"/>
      <c r="BS133" s="238"/>
      <c r="BT133" s="238"/>
      <c r="BU133" s="238"/>
      <c r="BY133" s="238"/>
      <c r="BZ133" s="238">
        <f>MAX(BZ128,BZ129,BZ130,BZ131,BZ132)</f>
        <v>0</v>
      </c>
      <c r="CA133" s="238">
        <f>MAX(CA128,CA129,CA130,CA131,CA132)</f>
        <v>0</v>
      </c>
      <c r="CB133" s="238"/>
      <c r="CC133" s="238"/>
      <c r="CD133" s="238"/>
      <c r="CG133" s="244"/>
      <c r="CH133" s="238"/>
      <c r="CI133" s="238">
        <f>MAX(CI128,CI129,CI130,CI131,CI132)</f>
        <v>0</v>
      </c>
      <c r="CJ133" s="238">
        <f>MAX(CJ128,CJ129,CJ130,CJ131,CJ132)</f>
        <v>0</v>
      </c>
      <c r="CK133" s="238"/>
      <c r="CL133" s="238"/>
      <c r="CM133" s="238"/>
      <c r="CN133" s="238"/>
      <c r="CO133" s="238"/>
      <c r="CP133" s="238"/>
      <c r="CQ133" s="238"/>
      <c r="CR133" s="238"/>
      <c r="CS133" s="238"/>
      <c r="CT133" s="238"/>
      <c r="CU133" s="238"/>
      <c r="CV133" s="238"/>
      <c r="CW133" s="238"/>
      <c r="CX133" s="238"/>
      <c r="CY133" s="238"/>
      <c r="CZ133" s="238"/>
      <c r="DA133" s="238"/>
      <c r="DB133" s="238"/>
      <c r="DC133" s="238"/>
      <c r="DD133" s="238"/>
      <c r="DE133" s="238"/>
      <c r="DF133" s="238"/>
      <c r="DG133" s="238"/>
      <c r="DH133" s="238"/>
      <c r="DI133" s="238"/>
      <c r="DJ133" s="238"/>
      <c r="DK133" s="238"/>
      <c r="DL133" s="238"/>
      <c r="DM133" s="238"/>
      <c r="DN133" s="238"/>
      <c r="DO133" s="238"/>
      <c r="DP133" s="238"/>
      <c r="DQ133" s="238"/>
      <c r="DR133" s="238"/>
      <c r="DS133" s="238"/>
      <c r="DT133" s="238"/>
      <c r="DU133" s="238"/>
      <c r="DV133" s="238"/>
      <c r="DW133" s="238"/>
      <c r="DX133" s="238"/>
      <c r="DY133" s="238"/>
      <c r="DZ133" s="238"/>
      <c r="EA133" s="238"/>
      <c r="EB133" s="238"/>
      <c r="EC133" s="238"/>
      <c r="ED133" s="238"/>
      <c r="EE133" s="238"/>
      <c r="EF133" s="238"/>
      <c r="EG133" s="238"/>
      <c r="EH133" s="238"/>
      <c r="EI133" s="238"/>
      <c r="EJ133" s="238"/>
      <c r="EK133" s="238"/>
      <c r="EL133" s="238"/>
      <c r="EM133" s="166"/>
      <c r="EN133" s="166"/>
      <c r="EO133" s="166"/>
      <c r="EP133" s="238">
        <f>SUM(EN133-EO133)</f>
        <v>0</v>
      </c>
      <c r="EQ133" s="238"/>
      <c r="ER133" s="238"/>
      <c r="ES133" s="238"/>
      <c r="ET133" s="244"/>
      <c r="EU133" s="238"/>
      <c r="EV133" s="238"/>
      <c r="EW133" s="238"/>
      <c r="EX133" s="238"/>
      <c r="EY133" s="238"/>
      <c r="EZ133" s="238"/>
      <c r="FA133" s="238"/>
      <c r="FB133" s="238"/>
      <c r="FC133" s="238"/>
      <c r="FD133" s="238"/>
      <c r="FE133" s="238"/>
      <c r="FF133" s="238"/>
      <c r="FG133" s="238"/>
      <c r="FH133" s="238"/>
      <c r="FI133" s="238"/>
      <c r="FJ133" s="238"/>
      <c r="FK133" s="238"/>
      <c r="FL133" s="238"/>
      <c r="FM133" s="238"/>
      <c r="FN133" s="238"/>
      <c r="FO133" s="244"/>
      <c r="FP133" s="238"/>
      <c r="FQ133" s="238"/>
      <c r="FR133" s="238"/>
      <c r="FS133" s="238"/>
      <c r="FT133" s="238"/>
      <c r="FU133" s="238"/>
      <c r="FV133" s="238"/>
      <c r="FW133" s="238"/>
      <c r="FX133" s="238"/>
      <c r="FY133" s="238"/>
      <c r="FZ133" s="238"/>
      <c r="GA133" s="238"/>
      <c r="GB133" s="238"/>
      <c r="GC133" s="238"/>
      <c r="GD133" s="341"/>
      <c r="GE133" s="340"/>
      <c r="GF133" s="340"/>
      <c r="GG133" s="340"/>
      <c r="GH133" s="340"/>
      <c r="GI133" s="340"/>
      <c r="GJ133" s="340"/>
      <c r="GK133" s="340"/>
      <c r="GL133" s="340"/>
      <c r="GM133" s="340"/>
      <c r="GN133" s="340"/>
      <c r="GO133" s="340"/>
      <c r="GP133" s="340"/>
      <c r="GQ133" s="340"/>
      <c r="GR133" s="340"/>
      <c r="GS133" s="340"/>
      <c r="GT133" s="340"/>
      <c r="GU133" s="340"/>
      <c r="GV133" s="340"/>
      <c r="GW133" s="340"/>
      <c r="GX133" s="340"/>
      <c r="GY133" s="340"/>
      <c r="GZ133" s="340"/>
      <c r="HA133" s="340"/>
      <c r="HB133" s="340"/>
      <c r="HC133" s="340"/>
      <c r="HD133" s="341"/>
      <c r="HE133" s="341"/>
      <c r="HF133" s="341"/>
      <c r="HG133" s="341"/>
      <c r="HH133" s="341"/>
      <c r="HI133" s="341"/>
      <c r="HJ133" s="341"/>
      <c r="HK133" s="341"/>
      <c r="HL133" s="341"/>
      <c r="HM133" s="341"/>
      <c r="HN133" s="341"/>
      <c r="HO133" s="341"/>
      <c r="HP133" s="341"/>
      <c r="HQ133" s="341"/>
      <c r="HR133" s="341"/>
      <c r="HS133" s="238"/>
      <c r="HT133" s="238"/>
      <c r="HU133" s="238"/>
      <c r="HV133" s="238"/>
      <c r="HX133" s="238"/>
      <c r="HY133" s="238"/>
      <c r="ID133" s="238"/>
    </row>
    <row r="134" spans="1:238" s="234" customFormat="1" ht="20.100000000000001" customHeight="1">
      <c r="A134" s="235"/>
      <c r="B134" s="231"/>
      <c r="C134" s="314" t="s">
        <v>771</v>
      </c>
      <c r="D134" s="276" t="str">
        <f>REPT(Sprache!$K$58,1)</f>
        <v>Spieler</v>
      </c>
      <c r="E134" s="277" t="str">
        <f>REPT(Sprache!$K$33,1)</f>
        <v>Name / Vorname</v>
      </c>
      <c r="F134" s="278"/>
      <c r="G134" s="278"/>
      <c r="H134" s="279"/>
      <c r="I134" s="280"/>
      <c r="J134" s="281" t="str">
        <f>REPT(AM134,1)</f>
        <v/>
      </c>
      <c r="L134" s="306" t="s">
        <v>848</v>
      </c>
      <c r="M134" s="238"/>
      <c r="P134" s="306" t="s">
        <v>848</v>
      </c>
      <c r="R134" s="314" t="s">
        <v>771</v>
      </c>
      <c r="S134" s="276" t="str">
        <f>REPT(Sprache!$K$58,1)</f>
        <v>Spieler</v>
      </c>
      <c r="T134" s="277" t="str">
        <f>REPT(Sprache!$K$33,1)</f>
        <v>Name / Vorname</v>
      </c>
      <c r="U134" s="278"/>
      <c r="V134" s="278"/>
      <c r="W134" s="279"/>
      <c r="X134" s="280"/>
      <c r="Y134" s="281" t="str">
        <f>REPT(BA134,1)</f>
        <v/>
      </c>
      <c r="Z134" s="308"/>
      <c r="AD134" s="235"/>
      <c r="AE134" s="235"/>
      <c r="AF134" s="237" t="s">
        <v>771</v>
      </c>
      <c r="AG134" s="282" t="s">
        <v>877</v>
      </c>
      <c r="AH134" s="283" t="str">
        <f>IF(AH133=0,"",AH133)</f>
        <v/>
      </c>
      <c r="AI134" s="283" t="str">
        <f>IF(AI133=0,"",AI133)</f>
        <v/>
      </c>
      <c r="AJ134" s="283" t="str">
        <f>IF(AJ133=0,"",AJ133)</f>
        <v/>
      </c>
      <c r="AK134" s="283" t="str">
        <f>IF(AK133=0,"",AK133)</f>
        <v/>
      </c>
      <c r="AL134" s="283" t="str">
        <f>IF(AL133=0,"",AL133)</f>
        <v/>
      </c>
      <c r="AM134" s="258" t="str">
        <f>IF(AK125="D",IF(AF133=0,"","X"),"")</f>
        <v/>
      </c>
      <c r="AN134" s="235"/>
      <c r="AO134" s="235"/>
      <c r="AP134" s="284"/>
      <c r="AQ134" s="235"/>
      <c r="AR134" s="235"/>
      <c r="AS134" s="235"/>
      <c r="AT134" s="237" t="s">
        <v>771</v>
      </c>
      <c r="AU134" s="282" t="s">
        <v>877</v>
      </c>
      <c r="AV134" s="283" t="str">
        <f>IF(AV133=0,"",AV133)</f>
        <v/>
      </c>
      <c r="AW134" s="283" t="str">
        <f>IF(AW133=0,"",AW133)</f>
        <v/>
      </c>
      <c r="AX134" s="283" t="str">
        <f>IF(AX133=0,"",AX133)</f>
        <v/>
      </c>
      <c r="AY134" s="283" t="str">
        <f>IF(AY133=0,"",AY133)</f>
        <v/>
      </c>
      <c r="AZ134" s="421" t="str">
        <f>IF(AZ133=0,"",AZ133)</f>
        <v/>
      </c>
      <c r="BA134" s="258" t="str">
        <f>IF(AK125="D",IF(AT133=0,"","X"),"")</f>
        <v/>
      </c>
      <c r="BJ134" s="236"/>
      <c r="BK134" s="238"/>
      <c r="BL134" s="244">
        <f>IF(BM134=0,0,1)</f>
        <v>0</v>
      </c>
      <c r="BM134" s="244">
        <f>SUM(BM128,BM129,BM130,BM131,BM132,HH130,AN135,AN136,BB135,BB136)</f>
        <v>0</v>
      </c>
      <c r="BN134" s="166">
        <f t="shared" ref="BN134:BO134" si="319">SUM(BN128,BN129,BN130,BN131,BN132)</f>
        <v>0</v>
      </c>
      <c r="BO134" s="166">
        <f t="shared" si="319"/>
        <v>0</v>
      </c>
      <c r="BP134" s="244"/>
      <c r="BQ134" s="238"/>
      <c r="BR134" s="238"/>
      <c r="BS134" s="238"/>
      <c r="BT134" s="238"/>
      <c r="BU134" s="238"/>
      <c r="BV134" s="238"/>
      <c r="BW134" s="238"/>
      <c r="BX134" s="236"/>
      <c r="BY134" s="238"/>
      <c r="BZ134" s="238"/>
      <c r="CA134" s="238"/>
      <c r="CB134" s="238"/>
      <c r="CC134" s="238"/>
      <c r="CD134" s="238"/>
      <c r="CE134" s="238"/>
      <c r="CF134" s="238"/>
      <c r="CG134" s="244"/>
      <c r="CH134" s="238"/>
      <c r="CI134" s="238"/>
      <c r="CJ134" s="238"/>
      <c r="CK134" s="238"/>
      <c r="CL134" s="238"/>
      <c r="CM134" s="238"/>
      <c r="CN134" s="238"/>
      <c r="CO134" s="238"/>
      <c r="CP134" s="238"/>
      <c r="CQ134" s="238"/>
      <c r="CR134" s="238"/>
      <c r="CS134" s="238"/>
      <c r="CT134" s="238"/>
      <c r="CU134" s="238"/>
      <c r="CV134" s="238"/>
      <c r="CW134" s="238"/>
      <c r="CX134" s="238"/>
      <c r="CY134" s="238"/>
      <c r="CZ134" s="238"/>
      <c r="DA134" s="238"/>
      <c r="DB134" s="238"/>
      <c r="DC134" s="238"/>
      <c r="DD134" s="238"/>
      <c r="DE134" s="238"/>
      <c r="DF134" s="238"/>
      <c r="DG134" s="238"/>
      <c r="DH134" s="238"/>
      <c r="DI134" s="238"/>
      <c r="DJ134" s="238"/>
      <c r="DK134" s="238"/>
      <c r="DL134" s="238"/>
      <c r="DM134" s="238"/>
      <c r="DN134" s="238"/>
      <c r="DO134" s="238"/>
      <c r="DP134" s="238"/>
      <c r="DQ134" s="238"/>
      <c r="DR134" s="238"/>
      <c r="DS134" s="238"/>
      <c r="DT134" s="238"/>
      <c r="DU134" s="238"/>
      <c r="DV134" s="238"/>
      <c r="DW134" s="238"/>
      <c r="DX134" s="238"/>
      <c r="DY134" s="238"/>
      <c r="DZ134" s="238"/>
      <c r="EA134" s="238"/>
      <c r="EB134" s="238"/>
      <c r="EC134" s="238"/>
      <c r="ED134" s="238"/>
      <c r="EE134" s="238"/>
      <c r="EF134" s="238"/>
      <c r="EG134" s="238"/>
      <c r="EH134" s="238"/>
      <c r="EI134" s="238"/>
      <c r="EJ134" s="238"/>
      <c r="EK134" s="238"/>
      <c r="EL134" s="238"/>
      <c r="EM134" s="238"/>
      <c r="EN134" s="238"/>
      <c r="EO134" s="238"/>
      <c r="EP134" s="238"/>
      <c r="EQ134" s="238"/>
      <c r="ER134" s="238"/>
      <c r="ES134" s="238"/>
      <c r="ET134" s="244"/>
      <c r="EU134" s="238"/>
      <c r="EV134" s="238"/>
      <c r="EW134" s="238"/>
      <c r="EX134" s="238"/>
      <c r="EY134" s="238"/>
      <c r="EZ134" s="238"/>
      <c r="FA134" s="238"/>
      <c r="FB134" s="238"/>
      <c r="FC134" s="238"/>
      <c r="FD134" s="238"/>
      <c r="FE134" s="238"/>
      <c r="FF134" s="238"/>
      <c r="FG134" s="238"/>
      <c r="FH134" s="238"/>
      <c r="FI134" s="238"/>
      <c r="FJ134" s="238"/>
      <c r="FK134" s="238"/>
      <c r="FL134" s="238"/>
      <c r="FM134" s="238"/>
      <c r="FN134" s="238"/>
      <c r="FO134" s="244"/>
      <c r="FP134" s="238"/>
      <c r="FQ134" s="238"/>
      <c r="FR134" s="238"/>
      <c r="FS134" s="238"/>
      <c r="FT134" s="238"/>
      <c r="FU134" s="238"/>
      <c r="FV134" s="238"/>
      <c r="FW134" s="238"/>
      <c r="FX134" s="238"/>
      <c r="FY134" s="238"/>
      <c r="FZ134" s="238"/>
      <c r="GA134" s="238"/>
      <c r="GB134" s="238"/>
      <c r="GC134" s="238"/>
      <c r="GD134" s="341"/>
      <c r="GE134" s="340"/>
      <c r="GF134" s="340"/>
      <c r="GG134" s="340"/>
      <c r="GH134" s="340"/>
      <c r="GI134" s="340"/>
      <c r="GJ134" s="340"/>
      <c r="GK134" s="340"/>
      <c r="GL134" s="340"/>
      <c r="GM134" s="340"/>
      <c r="GN134" s="340"/>
      <c r="GO134" s="340"/>
      <c r="GP134" s="340"/>
      <c r="GQ134" s="340"/>
      <c r="GR134" s="340"/>
      <c r="GS134" s="340"/>
      <c r="GT134" s="340"/>
      <c r="GU134" s="340"/>
      <c r="GV134" s="340"/>
      <c r="GW134" s="340"/>
      <c r="GX134" s="340"/>
      <c r="GY134" s="340"/>
      <c r="GZ134" s="340"/>
      <c r="HA134" s="340"/>
      <c r="HB134" s="340"/>
      <c r="HC134" s="340"/>
      <c r="HD134" s="341"/>
      <c r="HE134" s="341"/>
      <c r="HF134" s="341"/>
      <c r="HG134" s="341"/>
      <c r="HH134" s="341"/>
      <c r="HI134" s="341"/>
      <c r="HJ134" s="341"/>
      <c r="HK134" s="341"/>
      <c r="HL134" s="341"/>
      <c r="HM134" s="341"/>
      <c r="HN134" s="341"/>
      <c r="HO134" s="341"/>
      <c r="HP134" s="341"/>
      <c r="HQ134" s="341"/>
      <c r="HR134" s="341"/>
      <c r="HS134" s="238"/>
      <c r="HT134" s="238"/>
      <c r="HU134" s="238"/>
      <c r="HV134" s="238"/>
      <c r="HX134" s="238"/>
      <c r="HY134" s="238"/>
      <c r="ID134" s="238"/>
    </row>
    <row r="135" spans="1:238" s="234" customFormat="1" ht="20.100000000000001" customHeight="1">
      <c r="A135" s="235"/>
      <c r="B135" s="231"/>
      <c r="C135" s="285" t="str">
        <f>IF(AF135="","",SUM(AF135))</f>
        <v/>
      </c>
      <c r="D135" s="286">
        <f>IF(AK125="D",1,"")</f>
        <v>1</v>
      </c>
      <c r="E135" s="287" t="str">
        <f>IF(C135="","",VLOOKUP(C135,Licenses!B:C,2,FALSE))</f>
        <v/>
      </c>
      <c r="F135" s="288"/>
      <c r="G135" s="288"/>
      <c r="H135" s="289"/>
      <c r="I135" s="169"/>
      <c r="J135" s="270" t="str">
        <f>REPT(AM135,1)</f>
        <v/>
      </c>
      <c r="L135" s="290" t="str">
        <f>IF(AK125="D",AK135,IF(AK134="","",AK134))</f>
        <v/>
      </c>
      <c r="M135" s="311"/>
      <c r="P135" s="290" t="str">
        <f>IF(AK125="D",AY135,IF(AY134="","",AY134))</f>
        <v/>
      </c>
      <c r="R135" s="291" t="str">
        <f>IF(AT135="","",SUM(AT135))</f>
        <v/>
      </c>
      <c r="S135" s="286">
        <f>IF(AK125="D",1,"")</f>
        <v>1</v>
      </c>
      <c r="T135" s="292" t="str">
        <f>IF(R135="","",VLOOKUP(R135,Licenses!B:C,2,FALSE))</f>
        <v/>
      </c>
      <c r="U135" s="293"/>
      <c r="V135" s="293"/>
      <c r="W135" s="294"/>
      <c r="X135" s="169"/>
      <c r="Y135" s="270" t="str">
        <f>REPT(BA135,1)</f>
        <v/>
      </c>
      <c r="Z135" s="308"/>
      <c r="AD135" s="235"/>
      <c r="AE135" s="235"/>
      <c r="AF135" s="256" t="str">
        <f>IF(AM125="","",SUM(AM125))</f>
        <v/>
      </c>
      <c r="AG135" s="237"/>
      <c r="AH135" s="256"/>
      <c r="AI135" s="256"/>
      <c r="AJ135" s="256"/>
      <c r="AK135" s="256" t="str">
        <f>IF(BZ133&gt;1,BZ133,"")</f>
        <v/>
      </c>
      <c r="AL135" s="257">
        <f>IF(AK125="D",SUM(I135),0)</f>
        <v>0</v>
      </c>
      <c r="AM135" s="258" t="str">
        <f>IF(AM133=0,IF(AL135&lt;6,"","X"),"X")</f>
        <v/>
      </c>
      <c r="AN135" s="347" t="str">
        <f>IF(AM133=0,IF(AL135&lt;6,"",1),1)</f>
        <v/>
      </c>
      <c r="AO135" s="235"/>
      <c r="AP135" s="236"/>
      <c r="AQ135" s="235"/>
      <c r="AR135" s="235"/>
      <c r="AS135" s="235"/>
      <c r="AT135" s="256" t="str">
        <f>IF(BA125="","",SUM(BA125))</f>
        <v/>
      </c>
      <c r="AU135" s="237"/>
      <c r="AV135" s="256"/>
      <c r="AW135" s="256"/>
      <c r="AX135" s="256"/>
      <c r="AY135" s="256" t="str">
        <f>IF(CI133&gt;1,CI133,"")</f>
        <v/>
      </c>
      <c r="AZ135" s="257">
        <f>IF(AK125="D",SUM(X135),0)</f>
        <v>0</v>
      </c>
      <c r="BA135" s="258" t="str">
        <f>IF(BA133=0,IF(AZ135&lt;6,"","X"),"X")</f>
        <v/>
      </c>
      <c r="BB135" s="347" t="str">
        <f>IF(BA133=0,IF(AZ135&lt;6,"",1),1)</f>
        <v/>
      </c>
      <c r="BC135" s="236"/>
      <c r="BD135" s="236"/>
      <c r="BE135" s="236"/>
      <c r="BF135" s="236"/>
      <c r="BG135" s="236"/>
      <c r="BH135" s="236"/>
      <c r="BI135" s="236"/>
      <c r="BJ135" s="236"/>
      <c r="BK135" s="238"/>
      <c r="BL135" s="238"/>
      <c r="BM135" s="295"/>
      <c r="BN135" s="295"/>
      <c r="BO135" s="295"/>
      <c r="BP135" s="295"/>
      <c r="BQ135" s="295"/>
      <c r="BR135" s="295"/>
      <c r="BS135" s="295"/>
      <c r="BT135" s="295"/>
      <c r="BU135" s="295"/>
      <c r="BV135" s="295"/>
      <c r="BW135" s="295"/>
      <c r="BX135" s="236"/>
      <c r="BY135" s="295"/>
      <c r="BZ135" s="295"/>
      <c r="CA135" s="295"/>
      <c r="CB135" s="295"/>
      <c r="CC135" s="295"/>
      <c r="CD135" s="295"/>
      <c r="CE135" s="295"/>
      <c r="CF135" s="295"/>
      <c r="CG135" s="296"/>
      <c r="CH135" s="295"/>
      <c r="CI135" s="295"/>
      <c r="CJ135" s="295"/>
      <c r="CK135" s="238"/>
      <c r="CL135" s="238"/>
      <c r="CM135" s="238"/>
      <c r="CN135" s="238"/>
      <c r="CO135" s="238"/>
      <c r="CP135" s="238"/>
      <c r="CQ135" s="238"/>
      <c r="CR135" s="238"/>
      <c r="CS135" s="238"/>
      <c r="CT135" s="238"/>
      <c r="CU135" s="238"/>
      <c r="CV135" s="238"/>
      <c r="CW135" s="238"/>
      <c r="CX135" s="238"/>
      <c r="CY135" s="238"/>
      <c r="CZ135" s="238"/>
      <c r="DA135" s="238"/>
      <c r="DB135" s="238"/>
      <c r="DC135" s="238"/>
      <c r="DD135" s="238"/>
      <c r="DE135" s="238"/>
      <c r="DF135" s="238"/>
      <c r="DG135" s="238"/>
      <c r="DH135" s="238"/>
      <c r="DI135" s="238"/>
      <c r="DJ135" s="238"/>
      <c r="DK135" s="238"/>
      <c r="DL135" s="238"/>
      <c r="DM135" s="238"/>
      <c r="DN135" s="238"/>
      <c r="DO135" s="238"/>
      <c r="DP135" s="238"/>
      <c r="DQ135" s="238"/>
      <c r="DR135" s="238"/>
      <c r="DS135" s="238"/>
      <c r="DT135" s="238"/>
      <c r="DU135" s="238"/>
      <c r="DV135" s="238"/>
      <c r="DW135" s="238"/>
      <c r="DX135" s="238"/>
      <c r="DY135" s="238"/>
      <c r="DZ135" s="238"/>
      <c r="EA135" s="238"/>
      <c r="EB135" s="238"/>
      <c r="EC135" s="238"/>
      <c r="ED135" s="238"/>
      <c r="EE135" s="238"/>
      <c r="EF135" s="238"/>
      <c r="EG135" s="238"/>
      <c r="EH135" s="238"/>
      <c r="EI135" s="238"/>
      <c r="EJ135" s="238"/>
      <c r="EK135" s="238"/>
      <c r="EL135" s="238"/>
      <c r="EM135" s="238"/>
      <c r="EN135" s="238"/>
      <c r="EO135" s="238"/>
      <c r="EP135" s="238"/>
      <c r="EQ135" s="238"/>
      <c r="ER135" s="238"/>
      <c r="ES135" s="238"/>
      <c r="ET135" s="244"/>
      <c r="EU135" s="238"/>
      <c r="EV135" s="238"/>
      <c r="EW135" s="238"/>
      <c r="EX135" s="238"/>
      <c r="EY135" s="238"/>
      <c r="EZ135" s="238"/>
      <c r="FA135" s="238"/>
      <c r="FB135" s="238"/>
      <c r="FC135" s="238"/>
      <c r="FD135" s="238"/>
      <c r="FE135" s="238"/>
      <c r="FF135" s="238"/>
      <c r="FG135" s="238"/>
      <c r="FH135" s="238"/>
      <c r="FI135" s="238"/>
      <c r="FJ135" s="238"/>
      <c r="FK135" s="238"/>
      <c r="FL135" s="238"/>
      <c r="FM135" s="238"/>
      <c r="FN135" s="238"/>
      <c r="FO135" s="244"/>
      <c r="FP135" s="238"/>
      <c r="FQ135" s="238"/>
      <c r="FR135" s="238"/>
      <c r="FS135" s="238"/>
      <c r="FT135" s="238"/>
      <c r="FU135" s="238"/>
      <c r="FV135" s="238"/>
      <c r="FW135" s="238"/>
      <c r="FX135" s="238"/>
      <c r="FY135" s="238"/>
      <c r="FZ135" s="238"/>
      <c r="GA135" s="238"/>
      <c r="GB135" s="238"/>
      <c r="GC135" s="238"/>
      <c r="GD135" s="341"/>
      <c r="GE135" s="340"/>
      <c r="GF135" s="340"/>
      <c r="GG135" s="340"/>
      <c r="GH135" s="340"/>
      <c r="GI135" s="340"/>
      <c r="GJ135" s="340"/>
      <c r="GK135" s="340"/>
      <c r="GL135" s="340"/>
      <c r="GM135" s="340"/>
      <c r="GN135" s="340"/>
      <c r="GO135" s="340"/>
      <c r="GP135" s="340"/>
      <c r="GQ135" s="340"/>
      <c r="GR135" s="340"/>
      <c r="GS135" s="340"/>
      <c r="GT135" s="340"/>
      <c r="GU135" s="340"/>
      <c r="GV135" s="340"/>
      <c r="GW135" s="340"/>
      <c r="GX135" s="340"/>
      <c r="GY135" s="340"/>
      <c r="GZ135" s="340"/>
      <c r="HA135" s="340"/>
      <c r="HB135" s="340"/>
      <c r="HC135" s="340"/>
      <c r="HD135" s="341"/>
      <c r="HE135" s="341"/>
      <c r="HF135" s="341"/>
      <c r="HG135" s="341"/>
      <c r="HH135" s="341"/>
      <c r="HI135" s="341"/>
      <c r="HJ135" s="341"/>
      <c r="HK135" s="341"/>
      <c r="HL135" s="341"/>
      <c r="HM135" s="341"/>
      <c r="HN135" s="341"/>
      <c r="HO135" s="341"/>
      <c r="HP135" s="341"/>
      <c r="HQ135" s="341"/>
      <c r="HR135" s="341"/>
      <c r="HS135" s="238"/>
      <c r="HT135" s="238"/>
      <c r="HU135" s="238"/>
      <c r="HV135" s="238"/>
      <c r="HX135" s="238"/>
      <c r="HY135" s="238"/>
      <c r="ID135" s="238"/>
    </row>
    <row r="136" spans="1:238" s="234" customFormat="1" ht="20.100000000000001" customHeight="1">
      <c r="A136" s="235"/>
      <c r="B136" s="231"/>
      <c r="C136" s="336" t="str">
        <f>IF(AF136="","",SUM(AF136))</f>
        <v/>
      </c>
      <c r="D136" s="333">
        <f>IF(AK125="D",2,"")</f>
        <v>2</v>
      </c>
      <c r="E136" s="337" t="str">
        <f>IF(C136="","",VLOOKUP(C136,Licenses!B:C,2,FALSE))</f>
        <v/>
      </c>
      <c r="F136" s="290"/>
      <c r="G136" s="290"/>
      <c r="H136" s="338"/>
      <c r="I136" s="331"/>
      <c r="J136" s="272" t="str">
        <f>REPT(AM136,1)</f>
        <v/>
      </c>
      <c r="L136" s="315" t="str">
        <f>IF(AK125="D",AK136,"")</f>
        <v/>
      </c>
      <c r="M136" s="311"/>
      <c r="P136" s="315" t="str">
        <f>IF(AK125="D",AY136,"")</f>
        <v/>
      </c>
      <c r="R136" s="332" t="str">
        <f>IF(AT136="","",SUM(AT136))</f>
        <v/>
      </c>
      <c r="S136" s="333">
        <f>IF(AK125="D",2,"")</f>
        <v>2</v>
      </c>
      <c r="T136" s="334" t="str">
        <f>IF(R136="","",VLOOKUP(R136,Licenses!B:C,2,FALSE))</f>
        <v/>
      </c>
      <c r="U136" s="297"/>
      <c r="V136" s="297"/>
      <c r="W136" s="335"/>
      <c r="X136" s="331"/>
      <c r="Y136" s="272" t="str">
        <f>REPT(BA136,1)</f>
        <v/>
      </c>
      <c r="Z136" s="308"/>
      <c r="AA136" s="238">
        <f>IF(AK125="D",0,1)</f>
        <v>0</v>
      </c>
      <c r="AD136" s="235"/>
      <c r="AE136" s="235"/>
      <c r="AF136" s="256" t="str">
        <f>IF(AM126="","",SUM(AM126))</f>
        <v/>
      </c>
      <c r="AG136" s="237"/>
      <c r="AH136" s="256"/>
      <c r="AI136" s="256"/>
      <c r="AJ136" s="256"/>
      <c r="AK136" s="256" t="str">
        <f>IF(CA133&gt;1,CA133,"")</f>
        <v/>
      </c>
      <c r="AL136" s="257">
        <f>IF(AK125="D",SUM(I136),0)</f>
        <v>0</v>
      </c>
      <c r="AM136" s="258" t="str">
        <f>IF(AM133=0,IF(AL136&lt;6,"","X"),"X")</f>
        <v/>
      </c>
      <c r="AN136" s="347" t="str">
        <f>IF(AM133=0,IF(AL136&lt;6,"",1),1)</f>
        <v/>
      </c>
      <c r="AO136" s="235"/>
      <c r="AP136" s="236"/>
      <c r="AQ136" s="235"/>
      <c r="AR136" s="235"/>
      <c r="AS136" s="235"/>
      <c r="AT136" s="256" t="str">
        <f>IF(BA126="","",SUM(BA126))</f>
        <v/>
      </c>
      <c r="AU136" s="237"/>
      <c r="AV136" s="256"/>
      <c r="AW136" s="256"/>
      <c r="AX136" s="256"/>
      <c r="AY136" s="256" t="str">
        <f>IF(CJ133&gt;1,CJ133,"")</f>
        <v/>
      </c>
      <c r="AZ136" s="257">
        <f>IF(AK125="D",SUM(X136),0)</f>
        <v>0</v>
      </c>
      <c r="BA136" s="258" t="str">
        <f>IF(BA133=0,IF(AZ136&lt;6,"","X"),"X")</f>
        <v/>
      </c>
      <c r="BB136" s="347" t="str">
        <f>IF(BA133=0,IF(AZ136&lt;6,"",1),1)</f>
        <v/>
      </c>
      <c r="BC136" s="236"/>
      <c r="BD136" s="236"/>
      <c r="BE136" s="236"/>
      <c r="BF136" s="236"/>
      <c r="BG136" s="236"/>
      <c r="BH136" s="236"/>
      <c r="BI136" s="236"/>
      <c r="BJ136" s="236"/>
      <c r="BK136" s="238"/>
      <c r="BM136" s="238"/>
      <c r="BN136" s="238"/>
      <c r="BO136" s="238"/>
      <c r="BP136" s="238"/>
      <c r="BQ136" s="238" t="s">
        <v>899</v>
      </c>
      <c r="BR136" s="238"/>
      <c r="BS136" s="238"/>
      <c r="BT136" s="238"/>
      <c r="BU136" s="238"/>
      <c r="BV136" s="238"/>
      <c r="BW136" s="238"/>
      <c r="BX136" s="236"/>
      <c r="BY136" s="238"/>
      <c r="BZ136" s="238"/>
      <c r="CA136" s="238"/>
      <c r="CB136" s="238"/>
      <c r="CC136" s="238"/>
      <c r="CD136" s="238" t="s">
        <v>899</v>
      </c>
      <c r="CE136" s="238"/>
      <c r="CF136" s="238"/>
      <c r="CG136" s="244"/>
      <c r="CH136" s="238"/>
      <c r="CI136" s="238"/>
      <c r="CJ136" s="238"/>
      <c r="CK136" s="238"/>
      <c r="CL136" s="238"/>
      <c r="CM136" s="238"/>
      <c r="CN136" s="238"/>
      <c r="CO136" s="238"/>
      <c r="CP136" s="238"/>
      <c r="CQ136" s="238"/>
      <c r="CR136" s="238"/>
      <c r="CS136" s="238"/>
      <c r="CT136" s="238"/>
      <c r="CU136" s="238"/>
      <c r="CV136" s="238"/>
      <c r="CW136" s="238"/>
      <c r="CX136" s="238"/>
      <c r="CY136" s="238"/>
      <c r="CZ136" s="238"/>
      <c r="DA136" s="238"/>
      <c r="DB136" s="238"/>
      <c r="DC136" s="238"/>
      <c r="DD136" s="238"/>
      <c r="DE136" s="238"/>
      <c r="DF136" s="238"/>
      <c r="DG136" s="238"/>
      <c r="DH136" s="238"/>
      <c r="DI136" s="238"/>
      <c r="DJ136" s="238"/>
      <c r="DK136" s="238"/>
      <c r="DL136" s="238"/>
      <c r="DM136" s="238"/>
      <c r="DN136" s="238"/>
      <c r="DO136" s="238"/>
      <c r="DP136" s="238"/>
      <c r="DQ136" s="238"/>
      <c r="DR136" s="238"/>
      <c r="DS136" s="238"/>
      <c r="DT136" s="238"/>
      <c r="DU136" s="238"/>
      <c r="DV136" s="238"/>
      <c r="DW136" s="238"/>
      <c r="DX136" s="238"/>
      <c r="DY136" s="238"/>
      <c r="DZ136" s="238"/>
      <c r="EA136" s="238"/>
      <c r="EB136" s="238"/>
      <c r="EC136" s="238"/>
      <c r="ED136" s="238"/>
      <c r="EE136" s="238"/>
      <c r="EF136" s="238"/>
      <c r="EG136" s="238"/>
      <c r="EH136" s="238"/>
      <c r="EI136" s="238"/>
      <c r="EJ136" s="238"/>
      <c r="EK136" s="238"/>
      <c r="EL136" s="238"/>
      <c r="EM136" s="238"/>
      <c r="EN136" s="238"/>
      <c r="EO136" s="238"/>
      <c r="EP136" s="238"/>
      <c r="EQ136" s="238"/>
      <c r="ER136" s="238"/>
      <c r="ES136" s="238"/>
      <c r="ET136" s="244"/>
      <c r="EU136" s="238"/>
      <c r="EV136" s="238"/>
      <c r="EW136" s="238"/>
      <c r="EX136" s="238"/>
      <c r="EY136" s="238"/>
      <c r="EZ136" s="238"/>
      <c r="FA136" s="238"/>
      <c r="FB136" s="238"/>
      <c r="FC136" s="238"/>
      <c r="FD136" s="238"/>
      <c r="FE136" s="238"/>
      <c r="FF136" s="238"/>
      <c r="FG136" s="238"/>
      <c r="FH136" s="238"/>
      <c r="FI136" s="238"/>
      <c r="FJ136" s="238"/>
      <c r="FK136" s="238"/>
      <c r="FL136" s="238"/>
      <c r="FM136" s="238"/>
      <c r="FN136" s="238"/>
      <c r="FO136" s="244"/>
      <c r="FP136" s="238"/>
      <c r="FQ136" s="238"/>
      <c r="FR136" s="238"/>
      <c r="FS136" s="238"/>
      <c r="FT136" s="238"/>
      <c r="FU136" s="238"/>
      <c r="FV136" s="238"/>
      <c r="FW136" s="238"/>
      <c r="FX136" s="238"/>
      <c r="FY136" s="238"/>
      <c r="FZ136" s="238"/>
      <c r="GA136" s="238"/>
      <c r="GB136" s="238"/>
      <c r="GC136" s="238"/>
      <c r="GD136" s="341"/>
      <c r="GE136" s="340"/>
      <c r="GF136" s="340"/>
      <c r="GG136" s="340"/>
      <c r="GH136" s="340"/>
      <c r="GI136" s="340"/>
      <c r="GJ136" s="340"/>
      <c r="GK136" s="340"/>
      <c r="GL136" s="340"/>
      <c r="GM136" s="340"/>
      <c r="GN136" s="340"/>
      <c r="GO136" s="340"/>
      <c r="GP136" s="340"/>
      <c r="GQ136" s="340"/>
      <c r="GR136" s="340"/>
      <c r="GS136" s="340"/>
      <c r="GT136" s="340"/>
      <c r="GU136" s="340"/>
      <c r="GV136" s="340"/>
      <c r="GW136" s="340"/>
      <c r="GX136" s="340"/>
      <c r="GY136" s="340"/>
      <c r="GZ136" s="340"/>
      <c r="HA136" s="340"/>
      <c r="HB136" s="340"/>
      <c r="HC136" s="340"/>
      <c r="HD136" s="341"/>
      <c r="HE136" s="341"/>
      <c r="HF136" s="341"/>
      <c r="HG136" s="341"/>
      <c r="HH136" s="341"/>
      <c r="HI136" s="341"/>
      <c r="HJ136" s="341"/>
      <c r="HK136" s="341"/>
      <c r="HL136" s="341"/>
      <c r="HM136" s="341"/>
      <c r="HN136" s="341"/>
      <c r="HO136" s="341"/>
      <c r="HP136" s="341"/>
      <c r="HQ136" s="341"/>
      <c r="HR136" s="341"/>
      <c r="HS136" s="238"/>
      <c r="HT136" s="238"/>
      <c r="HU136" s="238"/>
      <c r="HV136" s="238"/>
      <c r="HX136" s="238"/>
      <c r="HY136" s="238"/>
      <c r="ID136" s="238"/>
    </row>
    <row r="137" spans="1:238" s="234" customFormat="1" ht="20.100000000000001" customHeight="1">
      <c r="A137" s="235"/>
      <c r="B137" s="316"/>
      <c r="C137" s="317"/>
      <c r="D137" s="317"/>
      <c r="E137" s="318"/>
      <c r="F137" s="318"/>
      <c r="G137" s="318"/>
      <c r="H137" s="318"/>
      <c r="I137" s="318"/>
      <c r="J137" s="318"/>
      <c r="K137" s="319"/>
      <c r="L137" s="319"/>
      <c r="M137" s="319"/>
      <c r="N137" s="319"/>
      <c r="O137" s="319"/>
      <c r="P137" s="320"/>
      <c r="Q137" s="319"/>
      <c r="R137" s="317"/>
      <c r="S137" s="318"/>
      <c r="T137" s="318"/>
      <c r="U137" s="318"/>
      <c r="V137" s="318"/>
      <c r="W137" s="318"/>
      <c r="X137" s="318"/>
      <c r="Y137" s="318"/>
      <c r="Z137" s="321"/>
      <c r="AD137" s="235"/>
      <c r="AE137" s="237"/>
      <c r="AF137" s="237"/>
      <c r="AG137" s="237"/>
      <c r="AH137" s="237" t="s">
        <v>921</v>
      </c>
      <c r="AI137" s="237" t="s">
        <v>922</v>
      </c>
      <c r="AJ137" s="298" t="str">
        <f>IF(BS137="","",SUM(AM137)*3)</f>
        <v/>
      </c>
      <c r="AK137" s="299" t="s">
        <v>923</v>
      </c>
      <c r="AL137" s="256"/>
      <c r="AM137" s="256" t="str">
        <f>IF(BS137="","",SUM(BS137))</f>
        <v/>
      </c>
      <c r="AN137" s="235"/>
      <c r="AO137" s="235"/>
      <c r="AP137" s="236"/>
      <c r="AQ137" s="235"/>
      <c r="AR137" s="235"/>
      <c r="AS137" s="237"/>
      <c r="AT137" s="237"/>
      <c r="AU137" s="237"/>
      <c r="AV137" s="237" t="s">
        <v>921</v>
      </c>
      <c r="AW137" s="237" t="s">
        <v>922</v>
      </c>
      <c r="AX137" s="298" t="str">
        <f>IF(BS137="","",SUM(BA137)*3)</f>
        <v/>
      </c>
      <c r="AY137" s="299" t="s">
        <v>923</v>
      </c>
      <c r="AZ137" s="256"/>
      <c r="BA137" s="256" t="str">
        <f>IF(BS137="","",SUM(CF137))</f>
        <v/>
      </c>
      <c r="BB137" s="236"/>
      <c r="BC137" s="236"/>
      <c r="BD137" s="236"/>
      <c r="BE137" s="236"/>
      <c r="BF137" s="236"/>
      <c r="BG137" s="236"/>
      <c r="BH137" s="236"/>
      <c r="BI137" s="236"/>
      <c r="BJ137" s="236"/>
      <c r="BK137" s="373">
        <f>IF(AL125=BQ137,1,0)</f>
        <v>0</v>
      </c>
      <c r="BL137" s="373">
        <f>IF(AL125=CD137,1,0)</f>
        <v>0</v>
      </c>
      <c r="BM137" s="256">
        <f>IF(BN137&gt;2,1,0)</f>
        <v>0</v>
      </c>
      <c r="BN137" s="256">
        <f>COUNT(AH128,AH129,AH130)</f>
        <v>0</v>
      </c>
      <c r="BO137" s="256" t="str">
        <f>IF(AH134="","",SUM(AH134/AJ134))</f>
        <v/>
      </c>
      <c r="BP137" s="256"/>
      <c r="BQ137" s="300">
        <f>COUNT(AK128,AK129,AK130,AK131,AK132)</f>
        <v>0</v>
      </c>
      <c r="BR137" s="256"/>
      <c r="BS137" s="256" t="str">
        <f>IF(BL134=0,IF(AJ129="","",BO137),"")</f>
        <v/>
      </c>
      <c r="BT137" s="236"/>
      <c r="BU137" s="236"/>
      <c r="BV137" s="236"/>
      <c r="BW137" s="236"/>
      <c r="BX137" s="236"/>
      <c r="BY137" s="256">
        <f>IF(CD137&gt;2,1,0)</f>
        <v>0</v>
      </c>
      <c r="BZ137" s="256">
        <f>IF(CA137&gt;2,1,0)</f>
        <v>0</v>
      </c>
      <c r="CA137" s="256">
        <f>COUNT(AV128,AV129,AV130)</f>
        <v>0</v>
      </c>
      <c r="CB137" s="256" t="str">
        <f>IF(AV134="","",SUM(AV134/AX134))</f>
        <v/>
      </c>
      <c r="CC137" s="256"/>
      <c r="CD137" s="300">
        <f>COUNT(AY128,AY129,AY130,AY131,AY132)</f>
        <v>0</v>
      </c>
      <c r="CE137" s="256"/>
      <c r="CF137" s="256" t="str">
        <f>IF(BL134=0,IF(AX129="","",CB137),"")</f>
        <v/>
      </c>
      <c r="CG137" s="236"/>
      <c r="CH137" s="188"/>
      <c r="CI137" s="188"/>
      <c r="CJ137" s="196"/>
      <c r="CK137" s="196"/>
      <c r="CL137" s="196"/>
      <c r="CM137" s="196"/>
      <c r="CN137" s="196"/>
      <c r="CO137" s="196"/>
      <c r="CP137" s="196"/>
      <c r="CQ137" s="196"/>
      <c r="CR137" s="196"/>
      <c r="CS137" s="196"/>
      <c r="CT137" s="196"/>
      <c r="CU137" s="196"/>
      <c r="CV137" s="196"/>
      <c r="CW137" s="196"/>
      <c r="CX137" s="196"/>
      <c r="CY137" s="196"/>
      <c r="CZ137" s="196"/>
      <c r="DA137" s="196"/>
      <c r="DB137" s="196"/>
      <c r="DC137" s="196"/>
      <c r="DD137" s="196"/>
      <c r="DE137" s="196"/>
      <c r="DF137" s="196"/>
      <c r="DG137" s="196"/>
      <c r="DH137" s="196"/>
      <c r="DI137" s="196"/>
      <c r="DJ137" s="196"/>
      <c r="DK137" s="196"/>
      <c r="DL137" s="196"/>
      <c r="DM137" s="196"/>
      <c r="DN137" s="196"/>
      <c r="DO137" s="196"/>
      <c r="DP137" s="196"/>
      <c r="DQ137" s="196"/>
      <c r="DR137" s="196"/>
      <c r="DS137" s="196"/>
      <c r="DT137" s="196"/>
      <c r="DU137" s="196"/>
      <c r="DV137" s="196"/>
      <c r="DW137" s="196"/>
      <c r="DX137" s="196"/>
      <c r="DY137" s="196"/>
      <c r="DZ137" s="196"/>
      <c r="EA137" s="196"/>
      <c r="EB137" s="196"/>
      <c r="EC137" s="196"/>
      <c r="ED137" s="196"/>
      <c r="EE137" s="196"/>
      <c r="EF137" s="196"/>
      <c r="EG137" s="196"/>
      <c r="EH137" s="196"/>
      <c r="EI137" s="196"/>
      <c r="EJ137" s="196"/>
      <c r="EK137" s="196"/>
      <c r="EL137" s="196"/>
      <c r="EM137" s="196"/>
      <c r="EN137" s="196"/>
      <c r="EO137" s="196"/>
      <c r="EP137" s="196"/>
      <c r="EQ137" s="196"/>
      <c r="ER137" s="196"/>
      <c r="ES137" s="196"/>
      <c r="ET137" s="301"/>
      <c r="EU137" s="196"/>
      <c r="EV137" s="196"/>
      <c r="EW137" s="196"/>
      <c r="EX137" s="196"/>
      <c r="EY137" s="196"/>
      <c r="EZ137" s="196"/>
      <c r="FA137" s="196"/>
      <c r="FB137" s="196"/>
      <c r="FC137" s="196"/>
      <c r="FD137" s="196"/>
      <c r="FE137" s="196"/>
      <c r="FF137" s="196"/>
      <c r="FG137" s="196"/>
      <c r="FH137" s="196"/>
      <c r="FI137" s="196"/>
      <c r="FJ137" s="196"/>
      <c r="FK137" s="196"/>
      <c r="FL137" s="196"/>
      <c r="FM137" s="196"/>
      <c r="FN137" s="196"/>
      <c r="FO137" s="301"/>
      <c r="FP137" s="196"/>
      <c r="FQ137" s="196"/>
      <c r="FR137" s="196"/>
      <c r="FS137" s="196"/>
      <c r="FT137" s="196"/>
      <c r="FU137" s="196"/>
      <c r="FV137" s="196"/>
      <c r="FW137" s="196"/>
      <c r="FX137" s="196"/>
      <c r="FY137" s="196"/>
      <c r="FZ137" s="196"/>
      <c r="GA137" s="196"/>
      <c r="GB137" s="238"/>
      <c r="GC137" s="238"/>
      <c r="GD137" s="341"/>
      <c r="GE137" s="341"/>
      <c r="GF137" s="341"/>
      <c r="GG137" s="341"/>
      <c r="GH137" s="341"/>
      <c r="GI137" s="341"/>
      <c r="GJ137" s="341"/>
      <c r="GK137" s="341"/>
      <c r="GL137" s="341"/>
      <c r="GM137" s="341"/>
      <c r="GN137" s="341"/>
      <c r="GO137" s="341"/>
      <c r="GP137" s="341"/>
      <c r="GQ137" s="341"/>
      <c r="GR137" s="341"/>
      <c r="GS137" s="341"/>
      <c r="GT137" s="341"/>
      <c r="GU137" s="341"/>
      <c r="GV137" s="341"/>
      <c r="GW137" s="341"/>
      <c r="GX137" s="341"/>
      <c r="GY137" s="341"/>
      <c r="GZ137" s="341"/>
      <c r="HA137" s="341"/>
      <c r="HB137" s="341"/>
      <c r="HC137" s="341"/>
      <c r="HD137" s="341"/>
      <c r="HE137" s="341"/>
      <c r="HF137" s="341"/>
      <c r="HG137" s="341"/>
      <c r="HH137" s="341"/>
      <c r="HI137" s="341"/>
      <c r="HJ137" s="341"/>
      <c r="HK137" s="341"/>
      <c r="HL137" s="341"/>
      <c r="HM137" s="341"/>
      <c r="HN137" s="341"/>
      <c r="HO137" s="341"/>
      <c r="HP137" s="341"/>
      <c r="HQ137" s="341"/>
      <c r="HR137" s="341"/>
      <c r="HS137" s="238"/>
      <c r="HT137" s="238"/>
      <c r="HU137" s="238"/>
      <c r="HV137" s="238"/>
      <c r="HX137" s="238"/>
      <c r="HY137" s="238"/>
      <c r="ID137" s="238"/>
    </row>
    <row r="138" spans="1:238" ht="14.1" customHeight="1">
      <c r="B138" s="214"/>
      <c r="C138" s="171"/>
      <c r="D138" s="171"/>
      <c r="E138" s="171"/>
      <c r="F138" s="171"/>
      <c r="G138" s="171"/>
      <c r="H138" s="171"/>
      <c r="I138" s="171"/>
      <c r="J138" s="171"/>
      <c r="K138" s="171"/>
      <c r="L138" s="171"/>
      <c r="M138" s="171"/>
      <c r="N138" s="171"/>
      <c r="O138" s="171"/>
      <c r="P138" s="171"/>
      <c r="Q138" s="171"/>
      <c r="R138" s="171"/>
      <c r="S138" s="171"/>
      <c r="T138" s="171"/>
      <c r="U138" s="171"/>
      <c r="V138" s="171"/>
      <c r="W138" s="171"/>
      <c r="X138" s="171"/>
      <c r="Y138" s="171"/>
      <c r="Z138" s="302"/>
      <c r="AA138" s="215"/>
      <c r="AB138" s="215"/>
      <c r="AC138" s="215"/>
      <c r="AD138" s="215"/>
      <c r="AE138" s="215"/>
      <c r="AF138" s="215"/>
      <c r="BB138" s="215"/>
      <c r="BC138" s="215"/>
      <c r="BD138" s="215"/>
      <c r="BE138" s="215"/>
      <c r="BF138" s="215"/>
      <c r="BG138" s="215"/>
      <c r="BH138" s="215"/>
      <c r="GD138" s="339"/>
      <c r="GE138" s="339"/>
      <c r="GF138" s="339"/>
      <c r="GG138" s="339"/>
      <c r="GH138" s="339"/>
      <c r="GI138" s="339"/>
      <c r="GJ138" s="339"/>
      <c r="GK138" s="339"/>
      <c r="GL138" s="339"/>
      <c r="GM138" s="339"/>
      <c r="GN138" s="339"/>
      <c r="GO138" s="339"/>
      <c r="GP138" s="339"/>
      <c r="GQ138" s="339"/>
      <c r="GR138" s="339"/>
      <c r="GS138" s="339"/>
      <c r="GT138" s="339"/>
      <c r="GU138" s="339"/>
      <c r="GV138" s="339"/>
      <c r="GW138" s="339"/>
      <c r="GX138" s="339"/>
      <c r="GY138" s="339"/>
      <c r="GZ138" s="339"/>
      <c r="HA138" s="339"/>
      <c r="HB138" s="339"/>
      <c r="HC138" s="339"/>
      <c r="HD138" s="339"/>
      <c r="HE138" s="339"/>
      <c r="HF138" s="339"/>
      <c r="HG138" s="339"/>
      <c r="HH138" s="339"/>
      <c r="HI138" s="339"/>
      <c r="HJ138" s="339"/>
      <c r="HK138" s="339"/>
      <c r="HL138" s="339"/>
      <c r="HM138" s="339"/>
      <c r="HN138" s="339"/>
      <c r="HO138" s="339"/>
      <c r="HP138" s="339"/>
      <c r="HQ138" s="339"/>
      <c r="HR138" s="339"/>
    </row>
    <row r="139" spans="1:238" ht="24" customHeight="1">
      <c r="B139" s="216"/>
      <c r="C139" s="181"/>
      <c r="D139" s="181"/>
      <c r="E139" s="181"/>
      <c r="F139" s="181"/>
      <c r="G139" s="181"/>
      <c r="H139" s="181"/>
      <c r="I139" s="181"/>
      <c r="J139" s="181"/>
      <c r="K139" s="185"/>
      <c r="L139" s="217"/>
      <c r="M139" s="218"/>
      <c r="N139" s="327" t="str">
        <f>CONCATENATE(AG139," ",AH139)</f>
        <v>Spiel 10</v>
      </c>
      <c r="O139" s="218"/>
      <c r="P139" s="219"/>
      <c r="Q139" s="185"/>
      <c r="R139" s="181"/>
      <c r="S139" s="181"/>
      <c r="T139" s="181"/>
      <c r="U139" s="181"/>
      <c r="V139" s="181"/>
      <c r="W139" s="181"/>
      <c r="X139" s="181"/>
      <c r="Y139" s="181"/>
      <c r="Z139" s="303"/>
      <c r="AA139" s="200"/>
      <c r="AB139" s="200"/>
      <c r="AC139" s="200"/>
      <c r="AD139" s="200"/>
      <c r="AE139" s="200"/>
      <c r="AF139" s="200"/>
      <c r="AG139" s="200" t="s">
        <v>863</v>
      </c>
      <c r="AH139" s="220">
        <v>10</v>
      </c>
      <c r="AI139" s="173">
        <f>VLOOKUP(AH139,Chema!R:T,3,FALSE)</f>
        <v>1.2</v>
      </c>
      <c r="AJ139" s="200" t="str">
        <f>VLOOKUP(AH139,Chema!BL:BQ,6,FALSE)</f>
        <v>1.2*</v>
      </c>
      <c r="AK139" s="200" t="str">
        <f>VLOOKUP(AH139,'Matchblatt  FEUILLE DE MATCH'!AI:AJ,2,FALSE)</f>
        <v>D</v>
      </c>
      <c r="AL139" s="200">
        <f>VLOOKUP(AH139,Chema!R:U,4,FALSE)</f>
        <v>3</v>
      </c>
      <c r="AM139" s="215" t="str">
        <f>VLOOKUP(AH139,'Matchblatt  FEUILLE DE MATCH'!AI:AS,10,FALSE)</f>
        <v/>
      </c>
      <c r="AN139" s="215"/>
      <c r="AO139" s="215"/>
      <c r="AP139" s="215"/>
      <c r="AQ139" s="215"/>
      <c r="AR139" s="215"/>
      <c r="AS139" s="215"/>
      <c r="AT139" s="215"/>
      <c r="AU139" s="215"/>
      <c r="AV139" s="215"/>
      <c r="AW139" s="215"/>
      <c r="AX139" s="215"/>
      <c r="AY139" s="215"/>
      <c r="AZ139" s="215"/>
      <c r="BA139" s="215" t="str">
        <f>VLOOKUP(AH139,'Matchblatt  FEUILLE DE MATCH'!AI:AS,11,FALSE)</f>
        <v/>
      </c>
      <c r="BB139" s="200"/>
      <c r="BC139" s="200"/>
      <c r="BD139" s="200"/>
      <c r="BE139" s="200"/>
      <c r="BF139" s="200"/>
      <c r="BG139" s="200"/>
      <c r="BH139" s="200"/>
      <c r="BK139" s="196"/>
      <c r="BL139" s="196"/>
      <c r="BM139" s="196"/>
      <c r="BN139" s="196"/>
      <c r="BO139" s="196"/>
      <c r="BP139" s="196"/>
      <c r="BQ139" s="221" t="s">
        <v>843</v>
      </c>
      <c r="BR139" s="222"/>
      <c r="BS139" s="222"/>
      <c r="BT139" s="223"/>
      <c r="BU139" s="222" t="s">
        <v>843</v>
      </c>
      <c r="BV139" s="222"/>
      <c r="BW139" s="222"/>
      <c r="BX139" s="224"/>
      <c r="BY139" s="222"/>
      <c r="BZ139" s="222"/>
      <c r="CA139" s="222"/>
      <c r="CB139" s="222"/>
      <c r="CC139" s="222"/>
      <c r="CD139" s="222"/>
      <c r="CE139" s="222"/>
      <c r="CF139" s="222"/>
      <c r="CG139" s="224"/>
      <c r="CH139" s="222"/>
      <c r="CI139" s="222"/>
      <c r="CJ139" s="223"/>
      <c r="CK139" s="196"/>
      <c r="CL139" s="196"/>
      <c r="CM139" s="196"/>
      <c r="CN139" s="196"/>
      <c r="CO139" s="196"/>
      <c r="CP139" s="196"/>
      <c r="CQ139" s="196"/>
      <c r="CR139" s="196"/>
      <c r="CS139" s="196"/>
      <c r="CT139" s="196"/>
      <c r="CU139" s="196"/>
      <c r="CV139" s="196"/>
      <c r="CW139" s="196"/>
      <c r="CX139" s="196"/>
      <c r="CY139" s="196"/>
      <c r="CZ139" s="196"/>
      <c r="DA139" s="196"/>
      <c r="DB139" s="196"/>
      <c r="DC139" s="196"/>
      <c r="DD139" s="196"/>
      <c r="DE139" s="196"/>
      <c r="DF139" s="196"/>
      <c r="DG139" s="196"/>
      <c r="DH139" s="196"/>
      <c r="DI139" s="196"/>
      <c r="DJ139" s="196"/>
      <c r="DK139" s="196"/>
      <c r="DL139" s="196"/>
      <c r="DM139" s="196"/>
      <c r="DN139" s="196"/>
      <c r="DO139" s="196"/>
      <c r="DP139" s="196"/>
      <c r="DQ139" s="196"/>
      <c r="DR139" s="196"/>
      <c r="DS139" s="196"/>
      <c r="DT139" s="196"/>
      <c r="DU139" s="196"/>
      <c r="DV139" s="196"/>
      <c r="DW139" s="196"/>
      <c r="DX139" s="196"/>
      <c r="DY139" s="196"/>
      <c r="DZ139" s="196"/>
      <c r="EA139" s="196"/>
      <c r="EB139" s="196"/>
      <c r="EC139" s="196"/>
      <c r="ED139" s="196"/>
      <c r="EE139" s="196"/>
      <c r="EF139" s="196"/>
      <c r="EG139" s="196"/>
      <c r="EH139" s="196"/>
      <c r="EI139" s="196"/>
      <c r="EJ139" s="196"/>
      <c r="EK139" s="196"/>
      <c r="EL139" s="196"/>
      <c r="EM139" s="221" t="s">
        <v>7</v>
      </c>
      <c r="EN139" s="222"/>
      <c r="EO139" s="222"/>
      <c r="EP139" s="222"/>
      <c r="EQ139" s="222"/>
      <c r="ER139" s="222"/>
      <c r="ES139" s="222"/>
      <c r="ET139" s="224"/>
      <c r="EU139" s="222"/>
      <c r="EV139" s="222"/>
      <c r="EW139" s="222"/>
      <c r="EX139" s="222"/>
      <c r="EY139" s="222"/>
      <c r="EZ139" s="222"/>
      <c r="FA139" s="222"/>
      <c r="FB139" s="222"/>
      <c r="FC139" s="222"/>
      <c r="FD139" s="222"/>
      <c r="FE139" s="223"/>
      <c r="FF139" s="196"/>
      <c r="FG139" s="196"/>
      <c r="FH139" s="221" t="s">
        <v>12</v>
      </c>
      <c r="FI139" s="222"/>
      <c r="FJ139" s="222"/>
      <c r="FK139" s="222"/>
      <c r="FL139" s="222"/>
      <c r="FM139" s="222"/>
      <c r="FN139" s="222"/>
      <c r="FO139" s="224"/>
      <c r="FP139" s="222"/>
      <c r="FQ139" s="222"/>
      <c r="FR139" s="222"/>
      <c r="FS139" s="222"/>
      <c r="FT139" s="222"/>
      <c r="FU139" s="222"/>
      <c r="FV139" s="222"/>
      <c r="FW139" s="222"/>
      <c r="FX139" s="222"/>
      <c r="FY139" s="222"/>
      <c r="FZ139" s="223"/>
      <c r="GA139" s="196"/>
      <c r="GD139" s="339"/>
      <c r="GE139" s="339"/>
      <c r="GF139" s="339"/>
      <c r="GG139" s="339"/>
      <c r="GH139" s="339"/>
      <c r="GI139" s="339"/>
      <c r="GJ139" s="339"/>
      <c r="GK139" s="339"/>
      <c r="GL139" s="339"/>
      <c r="GM139" s="339"/>
      <c r="GN139" s="339"/>
      <c r="GO139" s="339"/>
      <c r="GP139" s="339"/>
      <c r="GQ139" s="339"/>
      <c r="GR139" s="339"/>
      <c r="GS139" s="339"/>
      <c r="GT139" s="339"/>
      <c r="GU139" s="339"/>
      <c r="GV139" s="339"/>
      <c r="GW139" s="339"/>
      <c r="GX139" s="339"/>
      <c r="GY139" s="339"/>
      <c r="GZ139" s="339"/>
      <c r="HA139" s="339"/>
      <c r="HB139" s="339"/>
      <c r="HC139" s="339"/>
      <c r="HD139" s="339"/>
      <c r="HE139" s="339"/>
      <c r="HF139" s="339"/>
      <c r="HG139" s="339"/>
      <c r="HH139" s="339"/>
      <c r="HI139" s="339"/>
      <c r="HJ139" s="339"/>
      <c r="HK139" s="339"/>
      <c r="HL139" s="339"/>
      <c r="HM139" s="339"/>
      <c r="HN139" s="339"/>
      <c r="HO139" s="339"/>
      <c r="HP139" s="339"/>
      <c r="HQ139" s="339"/>
      <c r="HR139" s="339"/>
    </row>
    <row r="140" spans="1:238" ht="14.1" customHeight="1">
      <c r="B140" s="225"/>
      <c r="C140" s="304"/>
      <c r="D140" s="304"/>
      <c r="E140" s="304"/>
      <c r="F140" s="304"/>
      <c r="G140" s="304"/>
      <c r="H140" s="304"/>
      <c r="I140" s="304"/>
      <c r="J140" s="304"/>
      <c r="K140" s="166"/>
      <c r="L140" s="166"/>
      <c r="M140" s="166"/>
      <c r="N140" s="304"/>
      <c r="O140" s="304"/>
      <c r="P140" s="166"/>
      <c r="Q140" s="166"/>
      <c r="R140" s="304"/>
      <c r="S140" s="304"/>
      <c r="T140" s="304"/>
      <c r="U140" s="304"/>
      <c r="V140" s="304"/>
      <c r="W140" s="304"/>
      <c r="X140" s="166"/>
      <c r="Y140" s="166"/>
      <c r="Z140" s="305"/>
      <c r="AA140" s="63"/>
      <c r="AB140" s="63"/>
      <c r="AC140" s="63"/>
      <c r="AD140" s="63"/>
      <c r="AE140" s="63"/>
      <c r="AF140" s="63"/>
      <c r="AJ140" s="173" t="str">
        <f>VLOOKUP(AH139,Chema!BL:BR,7,FALSE)</f>
        <v>1.2.2</v>
      </c>
      <c r="AL140" s="200"/>
      <c r="AM140" s="200" t="str">
        <f>IF(AK139="D",VLOOKUP(AJ140,'Matchblatt  FEUILLE DE MATCH'!AK:AS,8,FALSE),"")</f>
        <v/>
      </c>
      <c r="AN140" s="200"/>
      <c r="AO140" s="200"/>
      <c r="AP140" s="200"/>
      <c r="AQ140" s="200"/>
      <c r="AR140" s="200"/>
      <c r="AS140" s="200"/>
      <c r="AT140" s="200"/>
      <c r="AU140" s="200"/>
      <c r="AV140" s="200"/>
      <c r="AW140" s="200"/>
      <c r="AX140" s="200"/>
      <c r="AY140" s="200"/>
      <c r="AZ140" s="200"/>
      <c r="BA140" s="200" t="str">
        <f>IF(AK139="D",VLOOKUP(AJ140,'Matchblatt  FEUILLE DE MATCH'!AK:AS,9,FALSE),"")</f>
        <v/>
      </c>
      <c r="BB140" s="63"/>
      <c r="BC140" s="63"/>
      <c r="BD140" s="63"/>
      <c r="BE140" s="63"/>
      <c r="BF140" s="63"/>
      <c r="BG140" s="63"/>
      <c r="BH140" s="63"/>
      <c r="BK140" s="166" t="s">
        <v>7</v>
      </c>
      <c r="BL140" s="166" t="s">
        <v>12</v>
      </c>
      <c r="BM140" s="166"/>
      <c r="BN140" s="166" t="s">
        <v>7</v>
      </c>
      <c r="BO140" s="166" t="s">
        <v>12</v>
      </c>
      <c r="BP140" s="166"/>
      <c r="BQ140" s="226" t="s">
        <v>894</v>
      </c>
      <c r="BR140" s="227" t="s">
        <v>895</v>
      </c>
      <c r="BS140" s="228" t="s">
        <v>896</v>
      </c>
      <c r="BT140" s="229"/>
      <c r="BU140" s="226" t="s">
        <v>7</v>
      </c>
      <c r="BV140" s="166"/>
      <c r="BW140" s="166"/>
      <c r="BX140" s="230"/>
      <c r="BY140" s="166"/>
      <c r="BZ140" s="166"/>
      <c r="CA140" s="227"/>
      <c r="CB140" s="166"/>
      <c r="CC140" s="166"/>
      <c r="CD140" s="226" t="s">
        <v>12</v>
      </c>
      <c r="CE140" s="166"/>
      <c r="CF140" s="166"/>
      <c r="CG140" s="230"/>
      <c r="CH140" s="166"/>
      <c r="CI140" s="166"/>
      <c r="CJ140" s="227"/>
      <c r="CK140" s="166"/>
      <c r="CL140" s="166" t="s">
        <v>897</v>
      </c>
      <c r="CM140" s="166"/>
      <c r="CN140" s="166"/>
      <c r="CO140" s="166"/>
      <c r="CP140" s="166"/>
      <c r="CQ140" s="166"/>
      <c r="CR140" s="166"/>
      <c r="CS140" s="166"/>
      <c r="CT140" s="166"/>
      <c r="CU140" s="166" t="s">
        <v>843</v>
      </c>
      <c r="CV140" s="166"/>
      <c r="CW140" s="166" t="s">
        <v>843</v>
      </c>
      <c r="CX140" s="166"/>
      <c r="CY140" s="166"/>
      <c r="CZ140" s="166"/>
      <c r="DA140" s="166"/>
      <c r="DB140" s="166"/>
      <c r="DC140" s="166"/>
      <c r="DD140" s="166" t="s">
        <v>894</v>
      </c>
      <c r="DE140" s="166" t="s">
        <v>895</v>
      </c>
      <c r="DF140" s="166"/>
      <c r="DG140" s="166" t="s">
        <v>927</v>
      </c>
      <c r="DH140" s="166"/>
      <c r="DI140" s="166"/>
      <c r="DJ140" s="166"/>
      <c r="DK140" s="166"/>
      <c r="DL140" s="166"/>
      <c r="DM140" s="166"/>
      <c r="DN140" s="166" t="s">
        <v>928</v>
      </c>
      <c r="DO140" s="166" t="s">
        <v>929</v>
      </c>
      <c r="DP140" s="166"/>
      <c r="DQ140" s="166"/>
      <c r="DR140" s="166"/>
      <c r="DS140" s="166"/>
      <c r="DT140" s="166"/>
      <c r="DU140" s="166"/>
      <c r="DV140" s="166" t="s">
        <v>894</v>
      </c>
      <c r="DW140" s="166" t="s">
        <v>895</v>
      </c>
      <c r="DX140" s="166"/>
      <c r="DY140" s="166"/>
      <c r="DZ140" s="166"/>
      <c r="EA140" s="166"/>
      <c r="EB140" s="166"/>
      <c r="EC140" s="166"/>
      <c r="ED140" s="166" t="s">
        <v>894</v>
      </c>
      <c r="EE140" s="166" t="s">
        <v>895</v>
      </c>
      <c r="EF140" s="166"/>
      <c r="EG140" s="166"/>
      <c r="EH140" s="166"/>
      <c r="EI140" s="166"/>
      <c r="EJ140" s="166"/>
      <c r="EK140" s="166"/>
      <c r="EL140" s="166"/>
      <c r="EM140" s="166"/>
      <c r="EN140" s="166"/>
      <c r="EO140" s="166"/>
      <c r="EP140" s="166"/>
      <c r="EQ140" s="166"/>
      <c r="ER140" s="166"/>
      <c r="ES140" s="166"/>
      <c r="ET140" s="230"/>
      <c r="EU140" s="166"/>
      <c r="EV140" s="166"/>
      <c r="EW140" s="166"/>
      <c r="EX140" s="166"/>
      <c r="EY140" s="166"/>
      <c r="EZ140" s="166"/>
      <c r="FA140" s="166"/>
      <c r="FB140" s="166"/>
      <c r="FC140" s="166"/>
      <c r="FD140" s="166"/>
      <c r="FE140" s="166"/>
      <c r="FF140" s="166"/>
      <c r="FG140" s="166"/>
      <c r="FH140" s="166"/>
      <c r="FI140" s="166"/>
      <c r="FJ140" s="166"/>
      <c r="FK140" s="166"/>
      <c r="FL140" s="166"/>
      <c r="FM140" s="166"/>
      <c r="FN140" s="166"/>
      <c r="FO140" s="230"/>
      <c r="FP140" s="166"/>
      <c r="FQ140" s="166"/>
      <c r="FR140" s="166"/>
      <c r="FS140" s="166"/>
      <c r="FT140" s="166"/>
      <c r="FU140" s="166"/>
      <c r="FV140" s="166"/>
      <c r="FW140" s="166"/>
      <c r="FX140" s="166"/>
      <c r="FY140" s="166"/>
      <c r="FZ140" s="166"/>
      <c r="GA140" s="166"/>
      <c r="GD140" s="339"/>
      <c r="GE140" s="339"/>
      <c r="GF140" s="339"/>
      <c r="GG140" s="339"/>
      <c r="GH140" s="339"/>
      <c r="GI140" s="339"/>
      <c r="GJ140" s="339"/>
      <c r="GK140" s="339"/>
      <c r="GL140" s="339"/>
      <c r="GM140" s="339"/>
      <c r="GN140" s="339"/>
      <c r="GO140" s="339"/>
      <c r="GP140" s="339"/>
      <c r="GQ140" s="339"/>
      <c r="GR140" s="339"/>
      <c r="GS140" s="339"/>
      <c r="GT140" s="339"/>
      <c r="GU140" s="339"/>
      <c r="GV140" s="339"/>
      <c r="GW140" s="339"/>
      <c r="GX140" s="339"/>
      <c r="GY140" s="339"/>
      <c r="GZ140" s="339"/>
      <c r="HA140" s="339"/>
      <c r="HB140" s="339"/>
      <c r="HC140" s="339"/>
      <c r="HD140" s="339"/>
      <c r="HE140" s="339"/>
      <c r="HF140" s="339"/>
      <c r="HG140" s="339"/>
      <c r="HH140" s="339"/>
      <c r="HI140" s="339"/>
      <c r="HJ140" s="339"/>
      <c r="HK140" s="339"/>
      <c r="HL140" s="339"/>
      <c r="HM140" s="339"/>
      <c r="HN140" s="339"/>
      <c r="HO140" s="339"/>
      <c r="HP140" s="339"/>
      <c r="HQ140" s="339"/>
      <c r="HR140" s="339"/>
    </row>
    <row r="141" spans="1:238" s="234" customFormat="1" ht="20.100000000000001" customHeight="1">
      <c r="A141" s="235"/>
      <c r="B141" s="231"/>
      <c r="C141" s="232" t="str">
        <f>REPT(Sprache!$K$12,1)</f>
        <v>SPIEL</v>
      </c>
      <c r="D141" s="233" t="s">
        <v>869</v>
      </c>
      <c r="E141" s="233" t="str">
        <f>REPT(Sprache!$K$62,1)</f>
        <v>Punkte</v>
      </c>
      <c r="F141" s="233" t="str">
        <f>REPT(Sprache!$K$61,1)</f>
        <v>Rest</v>
      </c>
      <c r="G141" s="233" t="s">
        <v>898</v>
      </c>
      <c r="H141" s="233" t="s">
        <v>848</v>
      </c>
      <c r="I141" s="233">
        <v>180</v>
      </c>
      <c r="J141" s="233" t="str">
        <f>REPT(Sprache!$K$63,1)</f>
        <v>Fehler</v>
      </c>
      <c r="L141" s="306" t="s">
        <v>923</v>
      </c>
      <c r="M141" s="307"/>
      <c r="P141" s="306" t="s">
        <v>923</v>
      </c>
      <c r="R141" s="232" t="str">
        <f>REPT(Sprache!$K$12,1)</f>
        <v>SPIEL</v>
      </c>
      <c r="S141" s="233" t="s">
        <v>869</v>
      </c>
      <c r="T141" s="233" t="str">
        <f>REPT(Sprache!$K$62,1)</f>
        <v>Punkte</v>
      </c>
      <c r="U141" s="233" t="str">
        <f>REPT(Sprache!$K$61,1)</f>
        <v>Rest</v>
      </c>
      <c r="V141" s="233" t="s">
        <v>898</v>
      </c>
      <c r="W141" s="233" t="s">
        <v>848</v>
      </c>
      <c r="X141" s="233">
        <v>180</v>
      </c>
      <c r="Y141" s="233" t="str">
        <f>REPT(Sprache!$K$63,1)</f>
        <v>Fehler</v>
      </c>
      <c r="Z141" s="308"/>
      <c r="AD141" s="235"/>
      <c r="AE141" s="236" t="s">
        <v>966</v>
      </c>
      <c r="AF141" s="236" t="s">
        <v>967</v>
      </c>
      <c r="AG141" s="236" t="s">
        <v>965</v>
      </c>
      <c r="AH141" s="237" t="str">
        <f>LEFT($BM$6,10)</f>
        <v/>
      </c>
      <c r="AI141" s="237" t="str">
        <f>LEFT($BN$6,10)</f>
        <v/>
      </c>
      <c r="AJ141" s="237" t="s">
        <v>898</v>
      </c>
      <c r="AK141" s="237" t="s">
        <v>848</v>
      </c>
      <c r="AL141" s="237">
        <v>180</v>
      </c>
      <c r="AM141" s="237" t="str">
        <f>LEFT($BL$6,50)</f>
        <v/>
      </c>
      <c r="AN141" s="235"/>
      <c r="AO141" s="235"/>
      <c r="AP141" s="235"/>
      <c r="AQ141" s="235"/>
      <c r="AR141" s="235"/>
      <c r="AS141" s="235"/>
      <c r="AT141" s="235"/>
      <c r="AU141" s="235"/>
      <c r="AV141" s="237" t="str">
        <f>LEFT($BM$6,10)</f>
        <v/>
      </c>
      <c r="AW141" s="237" t="str">
        <f>LEFT($BN$6,10)</f>
        <v/>
      </c>
      <c r="AX141" s="237" t="s">
        <v>898</v>
      </c>
      <c r="AY141" s="237" t="s">
        <v>848</v>
      </c>
      <c r="AZ141" s="237">
        <v>180</v>
      </c>
      <c r="BA141" s="237" t="str">
        <f>LEFT($BL$6,50)</f>
        <v/>
      </c>
      <c r="BI141" s="238"/>
      <c r="BJ141" s="238"/>
      <c r="BK141" s="238" t="s">
        <v>165</v>
      </c>
      <c r="BL141" s="238" t="s">
        <v>165</v>
      </c>
      <c r="BM141" s="239" t="s">
        <v>165</v>
      </c>
      <c r="BN141" s="239" t="s">
        <v>899</v>
      </c>
      <c r="BO141" s="239" t="s">
        <v>899</v>
      </c>
      <c r="BP141" s="239" t="s">
        <v>900</v>
      </c>
      <c r="BQ141" s="240" t="s">
        <v>901</v>
      </c>
      <c r="BR141" s="241"/>
      <c r="BS141" s="242" t="s">
        <v>926</v>
      </c>
      <c r="BT141" s="243"/>
      <c r="BU141" s="242" t="s">
        <v>902</v>
      </c>
      <c r="BV141" s="238"/>
      <c r="BW141" s="238"/>
      <c r="BX141" s="244"/>
      <c r="BY141" s="238"/>
      <c r="BZ141" s="238" t="s">
        <v>903</v>
      </c>
      <c r="CA141" s="243" t="s">
        <v>904</v>
      </c>
      <c r="CB141" s="238"/>
      <c r="CC141" s="238"/>
      <c r="CD141" s="242" t="s">
        <v>902</v>
      </c>
      <c r="CE141" s="238"/>
      <c r="CF141" s="238"/>
      <c r="CG141" s="244"/>
      <c r="CH141" s="238"/>
      <c r="CI141" s="238" t="s">
        <v>903</v>
      </c>
      <c r="CJ141" s="243" t="s">
        <v>904</v>
      </c>
      <c r="CK141" s="238"/>
      <c r="CL141" s="245" t="s">
        <v>905</v>
      </c>
      <c r="CM141" s="245" t="s">
        <v>906</v>
      </c>
      <c r="CN141" s="245" t="s">
        <v>907</v>
      </c>
      <c r="CO141" s="245" t="s">
        <v>908</v>
      </c>
      <c r="CP141" s="245" t="s">
        <v>909</v>
      </c>
      <c r="CQ141" s="246" t="s">
        <v>910</v>
      </c>
      <c r="CR141" s="247"/>
      <c r="CS141" s="246" t="s">
        <v>911</v>
      </c>
      <c r="CT141" s="248"/>
      <c r="CU141" s="246" t="s">
        <v>912</v>
      </c>
      <c r="CV141" s="248"/>
      <c r="CW141" s="246" t="s">
        <v>913</v>
      </c>
      <c r="CX141" s="248"/>
      <c r="CY141" s="238"/>
      <c r="CZ141" s="238"/>
      <c r="DA141" s="238"/>
      <c r="DB141" s="238"/>
      <c r="DC141" s="249" t="s">
        <v>165</v>
      </c>
      <c r="DD141" s="249" t="s">
        <v>165</v>
      </c>
      <c r="DE141" s="249" t="s">
        <v>165</v>
      </c>
      <c r="DF141" s="238"/>
      <c r="DG141" s="238" t="s">
        <v>914</v>
      </c>
      <c r="DH141" s="238" t="s">
        <v>930</v>
      </c>
      <c r="DI141" s="238" t="s">
        <v>931</v>
      </c>
      <c r="DK141" s="238" t="s">
        <v>932</v>
      </c>
      <c r="DL141" s="238" t="s">
        <v>933</v>
      </c>
      <c r="DM141" s="238" t="s">
        <v>869</v>
      </c>
      <c r="DN141" s="230" t="s">
        <v>915</v>
      </c>
      <c r="DO141" s="250" t="s">
        <v>915</v>
      </c>
      <c r="DP141" s="322" t="s">
        <v>934</v>
      </c>
      <c r="DQ141" s="238"/>
      <c r="DR141" s="166" t="s">
        <v>894</v>
      </c>
      <c r="DS141" s="166" t="s">
        <v>895</v>
      </c>
      <c r="DT141" s="166" t="s">
        <v>935</v>
      </c>
      <c r="DU141" s="166" t="s">
        <v>936</v>
      </c>
      <c r="DV141" s="251" t="s">
        <v>165</v>
      </c>
      <c r="DW141" s="251" t="s">
        <v>165</v>
      </c>
      <c r="DX141" s="238" t="s">
        <v>916</v>
      </c>
      <c r="DY141" s="238"/>
      <c r="DZ141" s="238"/>
      <c r="EA141" s="238"/>
      <c r="EB141" s="238"/>
      <c r="EC141" s="238"/>
      <c r="ED141" s="251" t="s">
        <v>165</v>
      </c>
      <c r="EE141" s="251" t="s">
        <v>165</v>
      </c>
      <c r="EF141" s="166"/>
      <c r="EG141" s="238"/>
      <c r="EH141" s="238"/>
      <c r="EI141" s="238"/>
      <c r="EJ141" s="238"/>
      <c r="EK141" s="238"/>
      <c r="EL141" s="238"/>
      <c r="EM141" s="238"/>
      <c r="EN141" s="238"/>
      <c r="EO141" s="246" t="s">
        <v>917</v>
      </c>
      <c r="EP141" s="247"/>
      <c r="EQ141" s="247"/>
      <c r="ER141" s="247"/>
      <c r="ES141" s="247"/>
      <c r="ET141" s="252"/>
      <c r="EU141" s="248"/>
      <c r="EV141" s="246" t="s">
        <v>918</v>
      </c>
      <c r="EW141" s="247"/>
      <c r="EX141" s="248"/>
      <c r="EY141" s="251" t="s">
        <v>165</v>
      </c>
      <c r="EZ141" s="246" t="s">
        <v>919</v>
      </c>
      <c r="FA141" s="247"/>
      <c r="FB141" s="248"/>
      <c r="FC141" s="246" t="s">
        <v>920</v>
      </c>
      <c r="FD141" s="247"/>
      <c r="FE141" s="248"/>
      <c r="FF141" s="238"/>
      <c r="FG141" s="238"/>
      <c r="FH141" s="238"/>
      <c r="FI141" s="238"/>
      <c r="FJ141" s="246" t="s">
        <v>917</v>
      </c>
      <c r="FK141" s="247"/>
      <c r="FL141" s="247"/>
      <c r="FM141" s="247"/>
      <c r="FN141" s="247"/>
      <c r="FO141" s="252"/>
      <c r="FP141" s="248"/>
      <c r="FQ141" s="246" t="s">
        <v>918</v>
      </c>
      <c r="FR141" s="247"/>
      <c r="FS141" s="248"/>
      <c r="FT141" s="251" t="s">
        <v>165</v>
      </c>
      <c r="FU141" s="246" t="s">
        <v>919</v>
      </c>
      <c r="FV141" s="247"/>
      <c r="FW141" s="248"/>
      <c r="FX141" s="246" t="s">
        <v>920</v>
      </c>
      <c r="FY141" s="247"/>
      <c r="FZ141" s="248"/>
      <c r="GD141" s="340"/>
      <c r="GE141" s="340"/>
      <c r="GF141" s="341" t="s">
        <v>968</v>
      </c>
      <c r="GG141" s="340"/>
      <c r="GH141" s="340"/>
      <c r="GI141" s="340"/>
      <c r="GJ141" s="341" t="s">
        <v>972</v>
      </c>
      <c r="GK141" s="340"/>
      <c r="GL141" s="340"/>
      <c r="GM141" s="340"/>
      <c r="GN141" s="341" t="s">
        <v>971</v>
      </c>
      <c r="GO141" s="340"/>
      <c r="GP141" s="340"/>
      <c r="GQ141" s="340"/>
      <c r="GR141" s="341" t="s">
        <v>970</v>
      </c>
      <c r="GS141" s="340"/>
      <c r="GT141" s="340"/>
      <c r="GU141" s="340"/>
      <c r="GV141" s="341" t="s">
        <v>969</v>
      </c>
      <c r="GW141" s="340"/>
      <c r="GX141" s="340"/>
      <c r="GY141" s="340"/>
      <c r="GZ141" s="342" t="s">
        <v>973</v>
      </c>
      <c r="HA141" s="340"/>
      <c r="HB141" s="340"/>
      <c r="HC141" s="340"/>
      <c r="HD141" s="342" t="s">
        <v>974</v>
      </c>
      <c r="HE141" s="340"/>
      <c r="HF141" s="340"/>
      <c r="HG141" s="340"/>
      <c r="HH141" s="340"/>
      <c r="HI141" s="340"/>
      <c r="HJ141" s="340"/>
      <c r="HK141" s="340"/>
      <c r="HL141" s="340"/>
      <c r="HM141" s="341"/>
      <c r="HN141" s="341"/>
      <c r="HO141" s="341"/>
      <c r="HP141" s="341"/>
      <c r="HQ141" s="341"/>
      <c r="HR141" s="341"/>
      <c r="HS141" s="238"/>
      <c r="HT141" s="238"/>
      <c r="HU141" s="238"/>
      <c r="HV141" s="238"/>
      <c r="HX141" s="238"/>
      <c r="HY141" s="238"/>
      <c r="HZ141" s="238"/>
      <c r="ID141" s="238"/>
    </row>
    <row r="142" spans="1:238" s="234" customFormat="1" ht="20.100000000000001" customHeight="1">
      <c r="A142" s="235"/>
      <c r="B142" s="231">
        <f>COUNT(AJ143,AJ142)</f>
        <v>0</v>
      </c>
      <c r="C142" s="325" t="str">
        <f>CONCATENATE(BG142,BE142)</f>
        <v>HD</v>
      </c>
      <c r="D142" s="253" t="str">
        <f>REPT(DN142,1)</f>
        <v>1</v>
      </c>
      <c r="E142" s="254" t="str">
        <f>REPT(AH142,1)</f>
        <v/>
      </c>
      <c r="F142" s="168"/>
      <c r="G142" s="168"/>
      <c r="H142" s="168"/>
      <c r="I142" s="169"/>
      <c r="J142" s="255" t="str">
        <f>REPT(AM142,1)</f>
        <v/>
      </c>
      <c r="L142" s="309">
        <f>SUM(BS151)</f>
        <v>0</v>
      </c>
      <c r="M142" s="238"/>
      <c r="N142" s="255" t="str">
        <f>REPT(AP142,1)</f>
        <v/>
      </c>
      <c r="P142" s="309">
        <f>SUM(CF151)</f>
        <v>0</v>
      </c>
      <c r="Q142" s="310"/>
      <c r="R142" s="323" t="str">
        <f>CONCATENATE(BH142,BE142)</f>
        <v>GD</v>
      </c>
      <c r="S142" s="253" t="str">
        <f>REPT(DO142,1)</f>
        <v>1</v>
      </c>
      <c r="T142" s="254" t="str">
        <f>REPT(AV142,1)</f>
        <v/>
      </c>
      <c r="U142" s="168"/>
      <c r="V142" s="168"/>
      <c r="W142" s="168"/>
      <c r="X142" s="169"/>
      <c r="Y142" s="255" t="str">
        <f>REPT(BA142,1)</f>
        <v/>
      </c>
      <c r="Z142" s="308"/>
      <c r="AB142" s="234">
        <f>IF(AY142="",0,IF(AY142&lt;2,1,""))</f>
        <v>0</v>
      </c>
      <c r="AC142" s="238">
        <f>IF(AD142=1,1,IF(AD142=3,1,IF(AD142=2,0,IF(AD142=0,0,0))))</f>
        <v>0</v>
      </c>
      <c r="AD142" s="256">
        <f>SUM(AE142:AG142)</f>
        <v>0</v>
      </c>
      <c r="AE142" s="256">
        <f t="shared" ref="AE142:AE146" si="320">IF(F142="",0,1)</f>
        <v>0</v>
      </c>
      <c r="AF142" s="256">
        <f t="shared" ref="AF142:AF146" si="321">IF(G142="",0,1)</f>
        <v>0</v>
      </c>
      <c r="AG142" s="256">
        <f>IF(H142="",0,1)</f>
        <v>0</v>
      </c>
      <c r="AH142" s="257" t="str">
        <f>IF(AK142="",IF(AI142="","",IF(AI142="",501,501-AI142)),501)</f>
        <v/>
      </c>
      <c r="AI142" s="256" t="str">
        <f>IF(F142&gt;1,F142,IF(F142=0,"",IF(F142="","","")))</f>
        <v/>
      </c>
      <c r="AJ142" s="256" t="str">
        <f>IF(G142&gt;8,G142,IF(G142="","",""))</f>
        <v/>
      </c>
      <c r="AK142" s="256" t="str">
        <f>IF(H142&gt;1,H142,IF(H142="","",""))</f>
        <v/>
      </c>
      <c r="AL142" s="256" t="str">
        <f>IF(I142&gt;0,I142,IF(I142="","",""))</f>
        <v/>
      </c>
      <c r="AM142" s="258" t="str">
        <f>IF(BK142=0,"","X")</f>
        <v/>
      </c>
      <c r="AN142" s="237"/>
      <c r="AO142" s="237"/>
      <c r="AP142" s="258" t="str">
        <f>IF(BM142=0,"","X")</f>
        <v/>
      </c>
      <c r="AQ142" s="236">
        <f>IF(AR142=1,1,IF(AR142=3,1,IF(AR142=2,0,IF(AR142=0,0,0))))</f>
        <v>0</v>
      </c>
      <c r="AR142" s="256">
        <f>SUM(AS142:AU142)</f>
        <v>0</v>
      </c>
      <c r="AS142" s="256">
        <f t="shared" ref="AS142:AS146" si="322">IF(U142="",0,1)</f>
        <v>0</v>
      </c>
      <c r="AT142" s="256">
        <f t="shared" ref="AT142:AT146" si="323">IF(V142="",0,1)</f>
        <v>0</v>
      </c>
      <c r="AU142" s="256">
        <f>IF(W142="",0,1)</f>
        <v>0</v>
      </c>
      <c r="AV142" s="257" t="str">
        <f>IF(AY142="",IF(AW142="","",IF(AW142="",501,501-AW142)),501)</f>
        <v/>
      </c>
      <c r="AW142" s="256" t="str">
        <f>IF(U142&gt;1,U142,IF(U142=0,"",IF(U142="","","")))</f>
        <v/>
      </c>
      <c r="AX142" s="256" t="str">
        <f>IF(V142&gt;8,V142,IF(V142="","",""))</f>
        <v/>
      </c>
      <c r="AY142" s="256" t="str">
        <f>IF(W142&gt;1,W142,IF(W142="","",""))</f>
        <v/>
      </c>
      <c r="AZ142" s="256" t="str">
        <f>IF(X142&gt;0,X142,IF(X142="","",""))</f>
        <v/>
      </c>
      <c r="BA142" s="258" t="str">
        <f>IF(BL142=0,"","X")</f>
        <v/>
      </c>
      <c r="BF142" s="238" t="s">
        <v>894</v>
      </c>
      <c r="BG142" s="238" t="str">
        <f>CONCATENATE(BF142,AK139)</f>
        <v>HD</v>
      </c>
      <c r="BH142" s="238" t="str">
        <f>CONCATENATE(BI142,AK139)</f>
        <v>GD</v>
      </c>
      <c r="BI142" s="238" t="s">
        <v>895</v>
      </c>
      <c r="BJ142" s="238"/>
      <c r="BK142" s="251">
        <f>SUM(DD142,DV142,EY142,ED142,FF142,BQ142,BS142,AC142)</f>
        <v>0</v>
      </c>
      <c r="BL142" s="251">
        <f>SUM(DE142,DW142,EE142,FT142,GA142,BR142,BT142,AQ142)</f>
        <v>0</v>
      </c>
      <c r="BM142" s="259">
        <f>SUM(DC142,BK142:BL142,AC142,AQ142)</f>
        <v>0</v>
      </c>
      <c r="BN142" s="239">
        <f>COUNT(AK142)</f>
        <v>0</v>
      </c>
      <c r="BO142" s="239">
        <f>COUNT(AY142)</f>
        <v>0</v>
      </c>
      <c r="BP142" s="239">
        <f>IF(BN144=0,0,1)</f>
        <v>0</v>
      </c>
      <c r="BQ142" s="260">
        <f>IF(AL142="",0,IF(AL142&gt;2,1,0))</f>
        <v>0</v>
      </c>
      <c r="BR142" s="261">
        <f>IF(AZ142="",0,IF(AZ142&gt;2,1,0))</f>
        <v>0</v>
      </c>
      <c r="BS142" s="262">
        <f>IF(AJ142=9,IF(AK142&lt;141,1,0),0)</f>
        <v>0</v>
      </c>
      <c r="BT142" s="263">
        <f>IF(AX142=9,IF(AY142&lt;141,1,0),0)</f>
        <v>0</v>
      </c>
      <c r="BU142" s="242">
        <f>IF(H142,G142,0)</f>
        <v>0</v>
      </c>
      <c r="BV142" s="238">
        <f>IF(BU142&gt;0,AJ142/3,0)</f>
        <v>0</v>
      </c>
      <c r="BW142" s="238">
        <f>ROUNDUP(BV142,0)</f>
        <v>0</v>
      </c>
      <c r="BX142" s="244">
        <f>IF(MOD(BW142,2)=0,BW142,BW142+1)</f>
        <v>0</v>
      </c>
      <c r="BY142" s="238">
        <f>IF(AJ142&lt;9,"",SUM(BX142-BW142))</f>
        <v>0</v>
      </c>
      <c r="BZ142" s="238">
        <f>IF(BY142=1,AK142,0)</f>
        <v>0</v>
      </c>
      <c r="CA142" s="243" t="str">
        <f>IF(BY142=0,AK142,0)</f>
        <v/>
      </c>
      <c r="CB142" s="238"/>
      <c r="CC142" s="238"/>
      <c r="CD142" s="242">
        <f>IF(W142,V142,0)</f>
        <v>0</v>
      </c>
      <c r="CE142" s="238">
        <f>IF(CD142&gt;0,AX142/3,0)</f>
        <v>0</v>
      </c>
      <c r="CF142" s="238">
        <f>ROUNDUP(CE142,0)</f>
        <v>0</v>
      </c>
      <c r="CG142" s="244">
        <f>IF(MOD(CF142,2)=0,CF142,CF142+1)</f>
        <v>0</v>
      </c>
      <c r="CH142" s="238">
        <f>IF(AX142&lt;9,"",SUM(CG142-CF142))</f>
        <v>0</v>
      </c>
      <c r="CI142" s="238">
        <f>IF(CH142=1,AY142,0)</f>
        <v>0</v>
      </c>
      <c r="CJ142" s="243" t="str">
        <f>IF(CH142=0,AY142,0)</f>
        <v/>
      </c>
      <c r="CK142" s="238"/>
      <c r="CL142" s="245">
        <f>IF(COUNT(F142,H142)=1,0,1)</f>
        <v>1</v>
      </c>
      <c r="CM142" s="245">
        <f>IF(COUNT(F142,U142)=1,0,1)</f>
        <v>1</v>
      </c>
      <c r="CN142" s="245">
        <f>IF(COUNT(H142,W142)=1,0,1)</f>
        <v>1</v>
      </c>
      <c r="CO142" s="245">
        <f>IF(COUNT(G142,V142)=2,0,1)</f>
        <v>1</v>
      </c>
      <c r="CP142" s="245">
        <f>IF(COUNT(U142,W142)=1,0,1)</f>
        <v>1</v>
      </c>
      <c r="CQ142" s="245">
        <f>IF(SUM(G142-V142)&gt;3,1,0)</f>
        <v>0</v>
      </c>
      <c r="CR142" s="245">
        <f>IF(SUM(G142-V142)&lt;-3,1,0)</f>
        <v>0</v>
      </c>
      <c r="CS142" s="264">
        <f>IF(AJ142=9,IF(AH142&lt;141,1,0),IF(AH142="",0,IF(AH142&gt;1,0,1)))</f>
        <v>0</v>
      </c>
      <c r="CT142" s="264">
        <f>IF(AX142=9,IF(AV142&lt;141,1,0),IF(AV142="",0,IF(AV142&gt;1,0,1)))</f>
        <v>0</v>
      </c>
      <c r="CU142" s="264">
        <f>IF(AI142="",0,IF(AI142&lt;502,0,1))</f>
        <v>0</v>
      </c>
      <c r="CV142" s="264">
        <f>IF(AW142="",0,IF(AW142&lt;502,0,1))</f>
        <v>0</v>
      </c>
      <c r="CW142" s="264">
        <f>IF(AI142="",IF(AJ142&lt;9,1,0),IF(AJ142&lt;9,1,0))</f>
        <v>0</v>
      </c>
      <c r="CX142" s="264">
        <f>IF(AW142="",IF(AX142&lt;9,1,0),IF(AX142&lt;9,1,0))</f>
        <v>0</v>
      </c>
      <c r="CY142" s="374"/>
      <c r="CZ142" s="374"/>
      <c r="DA142" s="374"/>
      <c r="DB142" s="374"/>
      <c r="DC142" s="265">
        <f>IF(AJ142="",0,SUM(CL142:CX142))</f>
        <v>0</v>
      </c>
      <c r="DD142" s="265">
        <f>IF(AJ142="",0,SUM(CL142,CS142,CU142,CW142))</f>
        <v>0</v>
      </c>
      <c r="DE142" s="265">
        <f>IF(AJ142="",0,SUM(CP142,CT142,CV142,CX142))</f>
        <v>0</v>
      </c>
      <c r="DF142" s="238"/>
      <c r="DG142" s="248" t="str">
        <f>IF(G142="","",SUM(G142-V142))</f>
        <v/>
      </c>
      <c r="DH142" s="245">
        <f>IF(F142="",0,1)</f>
        <v>0</v>
      </c>
      <c r="DI142" s="245" t="str">
        <f>IF(DG142=0,DH142,DG142)</f>
        <v/>
      </c>
      <c r="DJ142" s="245" t="e">
        <f>SIGN(DI142)</f>
        <v>#VALUE!</v>
      </c>
      <c r="DK142" s="245" t="str">
        <f>IF(G142="","",IF(DJ142=1,"*",""))</f>
        <v/>
      </c>
      <c r="DL142" s="245" t="str">
        <f>IF(G142="","",IF(DJ142=-1,"*",IF(DJ142=0,"*","")))</f>
        <v/>
      </c>
      <c r="DM142" s="245">
        <v>1</v>
      </c>
      <c r="DN142" s="245" t="str">
        <f>CONCATENATE(DM142,DK142)</f>
        <v>1</v>
      </c>
      <c r="DO142" s="245" t="str">
        <f>CONCATENATE(DM142,DL142)</f>
        <v>1</v>
      </c>
      <c r="DP142" s="245">
        <f>IF(DK142="*",1,0)</f>
        <v>0</v>
      </c>
      <c r="DQ142" s="245">
        <f>IF(DL142="*",1,0)</f>
        <v>0</v>
      </c>
      <c r="DR142" s="245"/>
      <c r="DS142" s="245"/>
      <c r="DT142" s="245"/>
      <c r="DU142" s="245"/>
      <c r="DV142" s="266"/>
      <c r="DW142" s="266"/>
      <c r="DX142" s="238">
        <f>IF(AK142="",0,1)</f>
        <v>0</v>
      </c>
      <c r="DY142" s="238">
        <f>IF(DG142=-3,1,0)</f>
        <v>0</v>
      </c>
      <c r="DZ142" s="238">
        <f>SUM(DX142:DY142)</f>
        <v>0</v>
      </c>
      <c r="EA142" s="238">
        <f>IF(AK142="",1,0)</f>
        <v>1</v>
      </c>
      <c r="EB142" s="238">
        <f>IF(DG142=3,1,0)</f>
        <v>0</v>
      </c>
      <c r="EC142" s="238">
        <f>SUM(EA142:EB142)</f>
        <v>1</v>
      </c>
      <c r="ED142" s="267">
        <f>IF(EC142=2,1,0)</f>
        <v>0</v>
      </c>
      <c r="EE142" s="267">
        <f>IF(DZ142=2,1,0)</f>
        <v>0</v>
      </c>
      <c r="EG142" s="166"/>
      <c r="EH142" s="238"/>
      <c r="EI142" s="238"/>
      <c r="EJ142" s="238"/>
      <c r="EK142" s="238"/>
      <c r="EL142" s="238"/>
      <c r="EM142" s="245">
        <f>IF(AK142="",0,1)</f>
        <v>0</v>
      </c>
      <c r="EN142" s="245">
        <f>SUM(AK142)</f>
        <v>0</v>
      </c>
      <c r="EO142" s="268">
        <f>SUM(AJ142)</f>
        <v>0</v>
      </c>
      <c r="EP142" s="268">
        <f>SUM(G142/3)</f>
        <v>0</v>
      </c>
      <c r="EQ142" s="268" t="e">
        <f>SUM(EO142/EP142)</f>
        <v>#DIV/0!</v>
      </c>
      <c r="ER142" s="268">
        <f>ROUNDDOWN(EP142,0)</f>
        <v>0</v>
      </c>
      <c r="ES142" s="268">
        <f>SUM(EO142,-ER142*3)</f>
        <v>0</v>
      </c>
      <c r="ET142" s="269" t="b">
        <f>MOD(EN142/1,2)=0</f>
        <v>1</v>
      </c>
      <c r="EU142" s="245">
        <f>IF(ET142=FALSE,1,0)</f>
        <v>0</v>
      </c>
      <c r="EV142" s="245">
        <f>IF(EN142=50,0,IF(EN142&lt;40,1,0))</f>
        <v>1</v>
      </c>
      <c r="EW142" s="245">
        <f>SUM(EU142:EV142)</f>
        <v>1</v>
      </c>
      <c r="EX142" s="267">
        <f>IF(EN142=1,1,IF(EN142=50,0,IF(ES142=1,IF(EN142&gt;40,1,0),0)))</f>
        <v>0</v>
      </c>
      <c r="EY142" s="267">
        <f>IF(ES142=1,IF(EW142=2,1,0),0)+EX142+FB142+FE142</f>
        <v>0</v>
      </c>
      <c r="EZ142" s="245">
        <f>IF(EN142=109,1,IF(EN142=108,1,IF(EN142=106,1,IF(EN142=105,1,IF(EN142=103,1,IF(EN142=102,1,IF(EN142=99,1,0)))))))</f>
        <v>0</v>
      </c>
      <c r="FA142" s="245">
        <f>IF(EN142&gt;110,1,0)</f>
        <v>0</v>
      </c>
      <c r="FB142" s="267">
        <f>IF(ES142=2,SUM(EZ142:FA142),0)</f>
        <v>0</v>
      </c>
      <c r="FC142" s="245">
        <f>IF(EN142=159,1,IF(EN142=162,1,IF(EN142=163,1,IF(EN142=165,1,IF(EN142=166,1,IF(EN142=168,1,IF(EN142=169,1,0)))))))</f>
        <v>0</v>
      </c>
      <c r="FD142" s="245">
        <f>IF(EN142&gt;170,1,0)</f>
        <v>0</v>
      </c>
      <c r="FE142" s="267">
        <f>IF(ES142=0,SUM(FC142:FD142),0)</f>
        <v>0</v>
      </c>
      <c r="FF142" s="251">
        <f>IF(AJ142="",0,IF(AI142="",0,IF(EO142/ER142-3=0,0,1)))</f>
        <v>0</v>
      </c>
      <c r="FG142" s="238"/>
      <c r="FH142" s="245">
        <f>IF(AY142="",0,1)</f>
        <v>0</v>
      </c>
      <c r="FI142" s="245">
        <f>SUM(AY142)</f>
        <v>0</v>
      </c>
      <c r="FJ142" s="268">
        <f>SUM(AX142)</f>
        <v>0</v>
      </c>
      <c r="FK142" s="268">
        <f>SUM(V142/3)</f>
        <v>0</v>
      </c>
      <c r="FL142" s="268" t="e">
        <f>SUM(FJ142/FK142)</f>
        <v>#DIV/0!</v>
      </c>
      <c r="FM142" s="268">
        <f>ROUNDDOWN(FK142,0)</f>
        <v>0</v>
      </c>
      <c r="FN142" s="268">
        <f>SUM(FJ142,-FM142*3)</f>
        <v>0</v>
      </c>
      <c r="FO142" s="269" t="b">
        <f>MOD(FI142/1,2)=0</f>
        <v>1</v>
      </c>
      <c r="FP142" s="245">
        <f>IF(FO142=FALSE,1,0)</f>
        <v>0</v>
      </c>
      <c r="FQ142" s="245">
        <f>IF(FI142=50,0,IF(FI142&lt;40,1,0))</f>
        <v>1</v>
      </c>
      <c r="FR142" s="245">
        <f>SUM(FP142:FQ142)</f>
        <v>1</v>
      </c>
      <c r="FS142" s="267">
        <f>IF(FI142=1,1,IF(FI142=50,0,IF(FN142=1,IF(FI142&gt;40,1,0),0)))</f>
        <v>0</v>
      </c>
      <c r="FT142" s="267">
        <f>IF(FN142=1,IF(FR142=2,1,0),0)+FS142+FW142+FZ142</f>
        <v>0</v>
      </c>
      <c r="FU142" s="245">
        <f>IF(FI142=109,1,IF(FI142=108,1,IF(FI142=106,1,IF(FI142=105,1,IF(FI142=103,1,IF(FI142=102,1,IF(FI142=99,1,0)))))))</f>
        <v>0</v>
      </c>
      <c r="FV142" s="245">
        <f>IF(FI142&gt;110,1,0)</f>
        <v>0</v>
      </c>
      <c r="FW142" s="267">
        <f>IF(FN142=2,SUM(FU142:FV142),0)</f>
        <v>0</v>
      </c>
      <c r="FX142" s="245">
        <f>IF(FI142=159,1,IF(FI142=162,1,IF(FI142=163,1,IF(FI142=165,1,IF(FI142=166,1,IF(FI142=168,1,IF(FI142=169,1,0)))))))</f>
        <v>0</v>
      </c>
      <c r="FY142" s="245">
        <f>IF(FI142&gt;170,1,0)</f>
        <v>0</v>
      </c>
      <c r="FZ142" s="267">
        <f>IF(FN142=0,SUM(FX142:FY142),0)</f>
        <v>0</v>
      </c>
      <c r="GA142" s="251">
        <f>IF(AX142="",0,IF(AW142="",0,IF(FJ142/FM142-3=0,0,1)))</f>
        <v>0</v>
      </c>
      <c r="GD142" s="341">
        <f>IF(AK139="D",1,0)</f>
        <v>1</v>
      </c>
      <c r="GE142" s="343"/>
      <c r="GF142" s="343" t="s">
        <v>866</v>
      </c>
      <c r="GG142" s="343" t="s">
        <v>868</v>
      </c>
      <c r="GH142" s="343" t="s">
        <v>848</v>
      </c>
      <c r="GI142" s="343">
        <v>180</v>
      </c>
      <c r="GJ142" s="343" t="s">
        <v>866</v>
      </c>
      <c r="GK142" s="343" t="s">
        <v>868</v>
      </c>
      <c r="GL142" s="343" t="s">
        <v>848</v>
      </c>
      <c r="GM142" s="343">
        <v>180</v>
      </c>
      <c r="GN142" s="343" t="s">
        <v>866</v>
      </c>
      <c r="GO142" s="343" t="s">
        <v>868</v>
      </c>
      <c r="GP142" s="343" t="s">
        <v>848</v>
      </c>
      <c r="GQ142" s="343">
        <v>180</v>
      </c>
      <c r="GR142" s="343" t="s">
        <v>866</v>
      </c>
      <c r="GS142" s="343" t="s">
        <v>868</v>
      </c>
      <c r="GT142" s="343" t="s">
        <v>848</v>
      </c>
      <c r="GU142" s="343">
        <v>180</v>
      </c>
      <c r="GV142" s="343" t="s">
        <v>866</v>
      </c>
      <c r="GW142" s="343" t="s">
        <v>868</v>
      </c>
      <c r="GX142" s="343" t="s">
        <v>848</v>
      </c>
      <c r="GY142" s="343">
        <v>180</v>
      </c>
      <c r="GZ142" s="343" t="s">
        <v>866</v>
      </c>
      <c r="HA142" s="343" t="s">
        <v>868</v>
      </c>
      <c r="HB142" s="343" t="s">
        <v>848</v>
      </c>
      <c r="HC142" s="343">
        <v>180</v>
      </c>
      <c r="HD142" s="343" t="s">
        <v>866</v>
      </c>
      <c r="HE142" s="343" t="s">
        <v>868</v>
      </c>
      <c r="HF142" s="341" t="s">
        <v>975</v>
      </c>
      <c r="HG142" s="341" t="s">
        <v>976</v>
      </c>
      <c r="HH142" s="341" t="s">
        <v>899</v>
      </c>
      <c r="HJ142" s="238"/>
      <c r="HK142" s="238"/>
      <c r="HL142" s="238"/>
      <c r="HM142" s="238">
        <f>COUNT(HI143,HJ143,HK143,HL143,HM143)</f>
        <v>0</v>
      </c>
      <c r="HN142" s="341"/>
      <c r="HO142" s="341"/>
      <c r="HP142" s="341"/>
      <c r="HQ142" s="341"/>
      <c r="HR142" s="341"/>
      <c r="HS142" s="238"/>
      <c r="HT142" s="238"/>
      <c r="HU142" s="238"/>
      <c r="HV142" s="238"/>
      <c r="HX142" s="238"/>
      <c r="HY142" s="238"/>
      <c r="ID142" s="238"/>
    </row>
    <row r="143" spans="1:238" s="234" customFormat="1" ht="20.100000000000001" customHeight="1">
      <c r="A143" s="235"/>
      <c r="B143" s="231">
        <f>COUNT(AJ144,AJ143)</f>
        <v>0</v>
      </c>
      <c r="C143" s="326">
        <f>IF(DK142="*",AJ139,AI139)</f>
        <v>1.2</v>
      </c>
      <c r="D143" s="253" t="str">
        <f>REPT(DN143,1)</f>
        <v>2</v>
      </c>
      <c r="E143" s="254" t="str">
        <f>REPT(AH143,1)</f>
        <v/>
      </c>
      <c r="F143" s="168"/>
      <c r="G143" s="168"/>
      <c r="H143" s="168"/>
      <c r="I143" s="169"/>
      <c r="J143" s="270" t="str">
        <f>REPT(AM143,1)</f>
        <v/>
      </c>
      <c r="L143" s="306" t="s">
        <v>922</v>
      </c>
      <c r="M143" s="311"/>
      <c r="N143" s="270" t="str">
        <f>REPT(AP143,1)</f>
        <v/>
      </c>
      <c r="P143" s="306" t="s">
        <v>922</v>
      </c>
      <c r="Q143" s="310"/>
      <c r="R143" s="324">
        <f>IF(DL142="*",AJ139,AI139)</f>
        <v>1.2</v>
      </c>
      <c r="S143" s="253" t="str">
        <f>REPT(DO143,1)</f>
        <v>2</v>
      </c>
      <c r="T143" s="254" t="str">
        <f>REPT(AV143,1)</f>
        <v/>
      </c>
      <c r="U143" s="168"/>
      <c r="V143" s="168"/>
      <c r="W143" s="168"/>
      <c r="X143" s="169"/>
      <c r="Y143" s="270" t="str">
        <f t="shared" ref="Y143:Y145" si="324">REPT(BA143,1)</f>
        <v/>
      </c>
      <c r="Z143" s="308"/>
      <c r="AB143" s="234">
        <f>IF(AY143="",0,IF(AY143&lt;2,1,""))</f>
        <v>0</v>
      </c>
      <c r="AC143" s="238">
        <f t="shared" ref="AC143:AC144" si="325">IF(AD143=1,1,IF(AD143=3,1,IF(AD143=2,0,IF(AD143=0,0,0))))</f>
        <v>0</v>
      </c>
      <c r="AD143" s="256">
        <f t="shared" ref="AD143:AD146" si="326">SUM(AE143:AG143)</f>
        <v>0</v>
      </c>
      <c r="AE143" s="256">
        <f t="shared" si="320"/>
        <v>0</v>
      </c>
      <c r="AF143" s="256">
        <f t="shared" si="321"/>
        <v>0</v>
      </c>
      <c r="AG143" s="256">
        <f t="shared" ref="AG143:AG146" si="327">IF(H143="",0,1)</f>
        <v>0</v>
      </c>
      <c r="AH143" s="257" t="str">
        <f>IF(AK143="",IF(AI143="","",IF(AI143="",501,501-AI143)),501)</f>
        <v/>
      </c>
      <c r="AI143" s="256" t="str">
        <f>IF(F143&gt;1,F143,IF(F143=0,"",IF(F143="","","")))</f>
        <v/>
      </c>
      <c r="AJ143" s="256" t="str">
        <f>IF(G143&gt;8,G143,IF(G143="","",""))</f>
        <v/>
      </c>
      <c r="AK143" s="256" t="str">
        <f>IF(H143&gt;1,H143,IF(H143="","",""))</f>
        <v/>
      </c>
      <c r="AL143" s="256" t="str">
        <f>IF(I143&gt;0,I143,IF(I143="","",""))</f>
        <v/>
      </c>
      <c r="AM143" s="258" t="str">
        <f>IF(BK143=0,"","X")</f>
        <v/>
      </c>
      <c r="AN143" s="237"/>
      <c r="AO143" s="237"/>
      <c r="AP143" s="258" t="str">
        <f>IF(BM143=0,"","X")</f>
        <v/>
      </c>
      <c r="AQ143" s="236">
        <f t="shared" ref="AQ143:AQ144" si="328">IF(AR143=1,1,IF(AR143=3,1,IF(AR143=2,0,IF(AR143=0,0,0))))</f>
        <v>0</v>
      </c>
      <c r="AR143" s="256">
        <f t="shared" ref="AR143:AR146" si="329">SUM(AS143:AU143)</f>
        <v>0</v>
      </c>
      <c r="AS143" s="256">
        <f t="shared" si="322"/>
        <v>0</v>
      </c>
      <c r="AT143" s="256">
        <f t="shared" si="323"/>
        <v>0</v>
      </c>
      <c r="AU143" s="256">
        <f t="shared" ref="AU143:AU146" si="330">IF(W143="",0,1)</f>
        <v>0</v>
      </c>
      <c r="AV143" s="257" t="str">
        <f>IF(AY143="",IF(AW143="","",IF(AW143="",501,501-AW143)),501)</f>
        <v/>
      </c>
      <c r="AW143" s="256" t="str">
        <f>IF(U143&gt;1,U143,IF(U143=0,"",IF(U143="","","")))</f>
        <v/>
      </c>
      <c r="AX143" s="256" t="str">
        <f>IF(V143&gt;8,V143,IF(V143="","",""))</f>
        <v/>
      </c>
      <c r="AY143" s="256" t="str">
        <f>IF(W143&gt;1,W143,IF(W143="","",""))</f>
        <v/>
      </c>
      <c r="AZ143" s="256" t="str">
        <f>IF(X143&gt;0,X143,IF(X143="","",""))</f>
        <v/>
      </c>
      <c r="BA143" s="258" t="str">
        <f>IF(BL143=0,"","X")</f>
        <v/>
      </c>
      <c r="BK143" s="251">
        <f>SUM(DD143,DV143,EY143,ED143,FF143,BQ143,BS143,AC143)</f>
        <v>0</v>
      </c>
      <c r="BL143" s="251">
        <f>SUM(DE143,DW143,EE143,FT143,GA143,BR143,BT143,AQ143)</f>
        <v>0</v>
      </c>
      <c r="BM143" s="259">
        <f t="shared" ref="BM143:BM144" si="331">SUM(DC143,BK143:BL143,AC143,AQ143)</f>
        <v>0</v>
      </c>
      <c r="BN143" s="239">
        <f>COUNT(AK143)</f>
        <v>0</v>
      </c>
      <c r="BO143" s="239">
        <f>COUNT(AY143)</f>
        <v>0</v>
      </c>
      <c r="BP143" s="239">
        <f>IF(BN145=0,0,1)</f>
        <v>0</v>
      </c>
      <c r="BQ143" s="260">
        <f>IF(AL143="",0,IF(AL143&gt;2,1,0))</f>
        <v>0</v>
      </c>
      <c r="BR143" s="261">
        <f>IF(AZ143="",0,IF(AZ143&gt;2,1,0))</f>
        <v>0</v>
      </c>
      <c r="BS143" s="262">
        <f>IF(AJ143=9,IF(AK143&lt;141,1,0),0)</f>
        <v>0</v>
      </c>
      <c r="BT143" s="263">
        <f>IF(AX143=9,IF(AY143&lt;141,1,0),0)</f>
        <v>0</v>
      </c>
      <c r="BU143" s="242">
        <f>IF(H143,G143,0)</f>
        <v>0</v>
      </c>
      <c r="BV143" s="238">
        <f>IF(BU143&gt;0,AJ143/3,0)</f>
        <v>0</v>
      </c>
      <c r="BW143" s="238">
        <f>ROUNDUP(BV143,0)</f>
        <v>0</v>
      </c>
      <c r="BX143" s="244">
        <f>IF(MOD(BW143,2)=0,BW143,BW143+1)</f>
        <v>0</v>
      </c>
      <c r="BY143" s="238">
        <f>IF(AJ143&lt;9,"",SUM(BX143-BW143))</f>
        <v>0</v>
      </c>
      <c r="BZ143" s="238">
        <f>IF(BY143=1,AK143,0)</f>
        <v>0</v>
      </c>
      <c r="CA143" s="243" t="str">
        <f>IF(BY143=0,AK143,0)</f>
        <v/>
      </c>
      <c r="CB143" s="238"/>
      <c r="CC143" s="238"/>
      <c r="CD143" s="242">
        <f>IF(W143,V143,0)</f>
        <v>0</v>
      </c>
      <c r="CE143" s="238">
        <f>IF(CD143&gt;0,AX143/3,0)</f>
        <v>0</v>
      </c>
      <c r="CF143" s="238">
        <f>ROUNDUP(CE143,0)</f>
        <v>0</v>
      </c>
      <c r="CG143" s="244">
        <f>IF(MOD(CF143,2)=0,CF143,CF143+1)</f>
        <v>0</v>
      </c>
      <c r="CH143" s="238">
        <f>IF(AX143&lt;9,"",SUM(CG143-CF143))</f>
        <v>0</v>
      </c>
      <c r="CI143" s="238">
        <f>IF(CH143=1,AY143,0)</f>
        <v>0</v>
      </c>
      <c r="CJ143" s="243" t="str">
        <f>IF(CH143=0,AY143,0)</f>
        <v/>
      </c>
      <c r="CK143" s="238"/>
      <c r="CL143" s="245">
        <f>IF(COUNT(F143,H143)=1,0,1)</f>
        <v>1</v>
      </c>
      <c r="CM143" s="245">
        <f>IF(COUNT(F143,U143)=1,0,1)</f>
        <v>1</v>
      </c>
      <c r="CN143" s="245">
        <f>IF(COUNT(H143,W143)=1,0,1)</f>
        <v>1</v>
      </c>
      <c r="CO143" s="245">
        <f>IF(COUNT(G143,V143)=2,0,1)</f>
        <v>1</v>
      </c>
      <c r="CP143" s="245">
        <f>IF(COUNT(U143,W143)=1,0,1)</f>
        <v>1</v>
      </c>
      <c r="CQ143" s="245">
        <f>IF(SUM(G143-V143)&gt;3,1,0)</f>
        <v>0</v>
      </c>
      <c r="CR143" s="245">
        <f>IF(SUM(G143-V143)&lt;-3,1,0)</f>
        <v>0</v>
      </c>
      <c r="CS143" s="264">
        <f>IF(AJ143=9,IF(AH143&lt;141,1,0),IF(AH143="",0,IF(AH143&gt;1,0,1)))</f>
        <v>0</v>
      </c>
      <c r="CT143" s="264">
        <f>IF(AX143=9,IF(AV143&lt;141,1,0),IF(AV143="",0,IF(AV143&gt;1,0,1)))</f>
        <v>0</v>
      </c>
      <c r="CU143" s="264">
        <f>IF(AI143="",0,IF(AI143&lt;502,0,1))</f>
        <v>0</v>
      </c>
      <c r="CV143" s="264">
        <f>IF(AW143="",0,IF(AW143&lt;502,0,1))</f>
        <v>0</v>
      </c>
      <c r="CW143" s="264">
        <f>IF(AI143="",IF(AJ143&lt;9,1,0),IF(AJ143&lt;9,1,0))</f>
        <v>0</v>
      </c>
      <c r="CX143" s="264">
        <f>IF(AW143="",IF(AX143&lt;9,1,0),IF(AX143&lt;9,1,0))</f>
        <v>0</v>
      </c>
      <c r="CY143" s="374"/>
      <c r="CZ143" s="374"/>
      <c r="DA143" s="374"/>
      <c r="DB143" s="374"/>
      <c r="DC143" s="265">
        <f>IF(AJ143="",0,SUM(CL143:CX143))</f>
        <v>0</v>
      </c>
      <c r="DD143" s="265">
        <f>IF(AJ143="",0,SUM(CL143,CS143,CU143,CW143))</f>
        <v>0</v>
      </c>
      <c r="DE143" s="265">
        <f>IF(AJ143="",0,SUM(CP143,CT143,CV143,CX143))</f>
        <v>0</v>
      </c>
      <c r="DF143" s="238"/>
      <c r="DG143" s="248">
        <f>SUM(G143-V143)</f>
        <v>0</v>
      </c>
      <c r="DH143" s="245">
        <f>IF(F143="",0,1)</f>
        <v>0</v>
      </c>
      <c r="DI143" s="245">
        <f t="shared" ref="DI143:DI146" si="332">IF(DG143=0,DH143,DG143)</f>
        <v>0</v>
      </c>
      <c r="DJ143" s="245">
        <f t="shared" ref="DJ143:DJ146" si="333">SIGN(DI143)</f>
        <v>0</v>
      </c>
      <c r="DK143" s="245" t="str">
        <f>IF(G143="","",IF(DJ143=1,"*",""))</f>
        <v/>
      </c>
      <c r="DL143" s="245" t="str">
        <f>IF(G143="","",IF(DJ143=-1,"*",IF(DJ143=0,"*","")))</f>
        <v/>
      </c>
      <c r="DM143" s="245">
        <v>2</v>
      </c>
      <c r="DN143" s="245" t="str">
        <f t="shared" ref="DN143:DN146" si="334">CONCATENATE(DM143,DK143)</f>
        <v>2</v>
      </c>
      <c r="DO143" s="245" t="str">
        <f t="shared" ref="DO143:DO146" si="335">CONCATENATE(DM143,DL143)</f>
        <v>2</v>
      </c>
      <c r="DP143" s="245">
        <f>SUM(DQ142)</f>
        <v>0</v>
      </c>
      <c r="DQ143" s="245">
        <f>SUM(DP142)</f>
        <v>0</v>
      </c>
      <c r="DR143" s="245">
        <f>IF(DK143="*",1,0)</f>
        <v>0</v>
      </c>
      <c r="DS143" s="245">
        <f>IF(DL143="*",1,0)</f>
        <v>0</v>
      </c>
      <c r="DT143" s="245">
        <f>IF(H133="",0,IF(DP143=DR143,1,0))</f>
        <v>0</v>
      </c>
      <c r="DU143" s="245">
        <f>IF(V143="",0,IF(DQ143=DS143,0,1))</f>
        <v>0</v>
      </c>
      <c r="DV143" s="267">
        <f>SUM(DT143)</f>
        <v>0</v>
      </c>
      <c r="DW143" s="267">
        <f>IF(V143="",0,SUM(DU143))</f>
        <v>0</v>
      </c>
      <c r="DX143" s="238">
        <f>IF(AK143="",0,1)</f>
        <v>0</v>
      </c>
      <c r="DY143" s="238">
        <f>IF(DG143=-3,1,0)</f>
        <v>0</v>
      </c>
      <c r="DZ143" s="238">
        <f>SUM(DX143:DY143)</f>
        <v>0</v>
      </c>
      <c r="EA143" s="238">
        <f>IF(AK143="",1,0)</f>
        <v>1</v>
      </c>
      <c r="EB143" s="238">
        <f>IF(DG143=3,1,0)</f>
        <v>0</v>
      </c>
      <c r="EC143" s="238">
        <f>SUM(EA143:EB143)</f>
        <v>1</v>
      </c>
      <c r="ED143" s="267">
        <f>IF(EC143=2,1,0)</f>
        <v>0</v>
      </c>
      <c r="EE143" s="267">
        <f>IF(DZ143=2,1,0)</f>
        <v>0</v>
      </c>
      <c r="EG143" s="166"/>
      <c r="EH143" s="238"/>
      <c r="EI143" s="238"/>
      <c r="EJ143" s="238"/>
      <c r="EK143" s="238"/>
      <c r="EL143" s="238"/>
      <c r="EM143" s="245">
        <f>IF(AK143="",0,1)</f>
        <v>0</v>
      </c>
      <c r="EN143" s="245">
        <f>SUM(AK143)</f>
        <v>0</v>
      </c>
      <c r="EO143" s="268">
        <f>SUM(AJ143)</f>
        <v>0</v>
      </c>
      <c r="EP143" s="268">
        <f>SUM(G143/3)</f>
        <v>0</v>
      </c>
      <c r="EQ143" s="268" t="e">
        <f>SUM(EO143/EP143)</f>
        <v>#DIV/0!</v>
      </c>
      <c r="ER143" s="268">
        <f>ROUNDDOWN(EP143,0)</f>
        <v>0</v>
      </c>
      <c r="ES143" s="268">
        <f>SUM(EO143,-ER143*3)</f>
        <v>0</v>
      </c>
      <c r="ET143" s="269" t="b">
        <f>MOD(EN143/1,2)=0</f>
        <v>1</v>
      </c>
      <c r="EU143" s="245">
        <f>IF(ET143=FALSE,1,0)</f>
        <v>0</v>
      </c>
      <c r="EV143" s="245">
        <f>IF(EN143=50,0,IF(EN143&lt;40,1,0))</f>
        <v>1</v>
      </c>
      <c r="EW143" s="245">
        <f>SUM(EU143:EV143)</f>
        <v>1</v>
      </c>
      <c r="EX143" s="267">
        <f>IF(EN143=1,1,IF(EN143=50,0,IF(ES143=1,IF(EN143&gt;40,1,0),0)))</f>
        <v>0</v>
      </c>
      <c r="EY143" s="267">
        <f>IF(ES143=1,IF(EW143=2,1,0),0)+EX143+FB143+FE143</f>
        <v>0</v>
      </c>
      <c r="EZ143" s="245">
        <f>IF(EN143=109,1,IF(EN143=108,1,IF(EN143=106,1,IF(EN143=105,1,IF(EN143=103,1,IF(EN143=102,1,IF(EN143=99,1,0)))))))</f>
        <v>0</v>
      </c>
      <c r="FA143" s="245">
        <f>IF(EN143&gt;110,1,0)</f>
        <v>0</v>
      </c>
      <c r="FB143" s="267">
        <f>IF(ES143=2,SUM(EZ143:FA143),0)</f>
        <v>0</v>
      </c>
      <c r="FC143" s="245">
        <f>IF(EN143=159,1,IF(EN143=162,1,IF(EN143=163,1,IF(EN143=165,1,IF(EN143=166,1,IF(EN143=168,1,IF(EN143=169,1,0)))))))</f>
        <v>0</v>
      </c>
      <c r="FD143" s="245">
        <f>IF(EN143&gt;170,1,0)</f>
        <v>0</v>
      </c>
      <c r="FE143" s="267">
        <f>IF(ES143=0,SUM(FC143:FD143),0)</f>
        <v>0</v>
      </c>
      <c r="FF143" s="251">
        <f t="shared" ref="FF143:FF146" si="336">IF(AJ143="",0,IF(AI143="",0,IF(EO143/ER143-3=0,0,1)))</f>
        <v>0</v>
      </c>
      <c r="FG143" s="238"/>
      <c r="FH143" s="245">
        <f>IF(AY143="",0,1)</f>
        <v>0</v>
      </c>
      <c r="FI143" s="245">
        <f>SUM(AY143)</f>
        <v>0</v>
      </c>
      <c r="FJ143" s="268">
        <f>SUM(AX143)</f>
        <v>0</v>
      </c>
      <c r="FK143" s="268">
        <f>SUM(V143/3)</f>
        <v>0</v>
      </c>
      <c r="FL143" s="268" t="e">
        <f>SUM(FJ143/FK143)</f>
        <v>#DIV/0!</v>
      </c>
      <c r="FM143" s="268">
        <f>ROUNDDOWN(FK143,0)</f>
        <v>0</v>
      </c>
      <c r="FN143" s="268">
        <f>SUM(FJ143,-FM143*3)</f>
        <v>0</v>
      </c>
      <c r="FO143" s="269" t="b">
        <f>MOD(FI143/1,2)=0</f>
        <v>1</v>
      </c>
      <c r="FP143" s="245">
        <f>IF(FO143=FALSE,1,0)</f>
        <v>0</v>
      </c>
      <c r="FQ143" s="245">
        <f>IF(FI143=50,0,IF(FI143&lt;40,1,0))</f>
        <v>1</v>
      </c>
      <c r="FR143" s="245">
        <f>SUM(FP143:FQ143)</f>
        <v>1</v>
      </c>
      <c r="FS143" s="267">
        <f>IF(FI143=1,1,IF(FI143=50,0,IF(FN143=1,IF(FI143&gt;40,1,0),0)))</f>
        <v>0</v>
      </c>
      <c r="FT143" s="267">
        <f>IF(FN143=1,IF(FR143=2,1,0),0)+FS143+FW143+FZ143</f>
        <v>0</v>
      </c>
      <c r="FU143" s="245">
        <f>IF(FI143=109,1,IF(FI143=108,1,IF(FI143=106,1,IF(FI143=105,1,IF(FI143=103,1,IF(FI143=102,1,IF(FI143=99,1,0)))))))</f>
        <v>0</v>
      </c>
      <c r="FV143" s="245">
        <f>IF(FI143&gt;110,1,0)</f>
        <v>0</v>
      </c>
      <c r="FW143" s="267">
        <f>IF(FN143=2,SUM(FU143:FV143),0)</f>
        <v>0</v>
      </c>
      <c r="FX143" s="245">
        <f>IF(FI143=159,1,IF(FI143=162,1,IF(FI143=163,1,IF(FI143=165,1,IF(FI143=166,1,IF(FI143=168,1,IF(FI143=169,1,0)))))))</f>
        <v>0</v>
      </c>
      <c r="FY143" s="245">
        <f>IF(FI143&gt;170,1,0)</f>
        <v>0</v>
      </c>
      <c r="FZ143" s="267">
        <f>IF(FN143=0,SUM(FX143:FY143),0)</f>
        <v>0</v>
      </c>
      <c r="GA143" s="251">
        <f t="shared" ref="GA143:GA146" si="337">IF(AX143="",0,IF(AW143="",0,IF(FJ143/FM143-3=0,0,1)))</f>
        <v>0</v>
      </c>
      <c r="GC143" s="238" t="str">
        <f>VLOOKUP(AH139,Chema!BL:BR,2,FALSE)</f>
        <v>HD 1.2</v>
      </c>
      <c r="GD143" s="341">
        <f>IF(E149="FORFAIT",1,0)</f>
        <v>0</v>
      </c>
      <c r="GE143" s="343" t="str">
        <f>IF(C149="","",SUM(C149))</f>
        <v/>
      </c>
      <c r="GF143" s="344">
        <f>SUM(AH142)</f>
        <v>0</v>
      </c>
      <c r="GG143" s="344">
        <f>SUM(AJ142)</f>
        <v>0</v>
      </c>
      <c r="GH143" s="344">
        <f t="shared" ref="GH143" si="338">SUM(AK142)</f>
        <v>0</v>
      </c>
      <c r="GI143" s="344">
        <f t="shared" ref="GI143" si="339">SUM(AL142)</f>
        <v>0</v>
      </c>
      <c r="GJ143" s="344">
        <f>SUM(AH143)</f>
        <v>0</v>
      </c>
      <c r="GK143" s="344">
        <f>SUM(AJ143)</f>
        <v>0</v>
      </c>
      <c r="GL143" s="344">
        <f>SUM(AK143)</f>
        <v>0</v>
      </c>
      <c r="GM143" s="344">
        <f>SUM(AL143)</f>
        <v>0</v>
      </c>
      <c r="GN143" s="344">
        <f>SUM(AH144)</f>
        <v>0</v>
      </c>
      <c r="GO143" s="344">
        <f>SUM(AJ144)</f>
        <v>0</v>
      </c>
      <c r="GP143" s="344">
        <f>SUM(AK144)</f>
        <v>0</v>
      </c>
      <c r="GQ143" s="344">
        <f>SUM(AL144)</f>
        <v>0</v>
      </c>
      <c r="GR143" s="344">
        <f>SUM(AH145)</f>
        <v>0</v>
      </c>
      <c r="GS143" s="344">
        <f>SUM(AJ145)</f>
        <v>0</v>
      </c>
      <c r="GT143" s="344">
        <f>SUM(AK145)</f>
        <v>0</v>
      </c>
      <c r="GU143" s="344">
        <f>SUM(AL145)</f>
        <v>0</v>
      </c>
      <c r="GV143" s="344">
        <f>SUM(AH146)</f>
        <v>0</v>
      </c>
      <c r="GW143" s="344">
        <f>SUM(AJ146)</f>
        <v>0</v>
      </c>
      <c r="GX143" s="344">
        <f>SUM(AK146)</f>
        <v>0</v>
      </c>
      <c r="GY143" s="344">
        <f>SUM(AL146)</f>
        <v>0</v>
      </c>
      <c r="GZ143" s="344">
        <f>SUM(GF143,GJ143,GN143,GR143,GV143)</f>
        <v>0</v>
      </c>
      <c r="HA143" s="344">
        <f t="shared" ref="HA143" si="340">SUM(GG143,GK143,GO143,GS143,GW143)</f>
        <v>0</v>
      </c>
      <c r="HB143" s="344" t="str">
        <f>IF(GD142=1,L149,MAX(GH143,GL143,GP143,GT143,GX143))</f>
        <v/>
      </c>
      <c r="HC143" s="344">
        <f>IF(GD142=1,I149,SUM(GI143,GM143,GQ143,GU143,GY143))</f>
        <v>0</v>
      </c>
      <c r="HD143" s="345">
        <f>IF(GD142=1,0,SUM(GF143,GJ143,GN143,GR143,GV143))</f>
        <v>0</v>
      </c>
      <c r="HE143" s="345">
        <f>IF(GD142=1,0,SUM(GG143,GK143,GO143,GS143,GW143))</f>
        <v>0</v>
      </c>
      <c r="HF143" s="341">
        <f>IF(GD142=1,0,MIN(HI143,HJ143,HK143,HL143,HM143))</f>
        <v>0</v>
      </c>
      <c r="HG143" s="341">
        <f>IF(HF143=0,0,COUNTIF(HI143:HM143,HF143))</f>
        <v>0</v>
      </c>
      <c r="HH143" s="341">
        <f>SUM(GH144,GL144,GP144,GT144,GX144)</f>
        <v>0</v>
      </c>
      <c r="HI143" s="343" t="str">
        <f>IF(GH144=1,GG143,"")</f>
        <v/>
      </c>
      <c r="HJ143" s="343" t="str">
        <f>IF(GL144=1,GK143,"")</f>
        <v/>
      </c>
      <c r="HK143" s="343" t="str">
        <f>IF(GP144=1,GO143,"")</f>
        <v/>
      </c>
      <c r="HL143" s="343" t="str">
        <f>IF(GT144=1,GS143,"")</f>
        <v/>
      </c>
      <c r="HM143" s="343" t="str">
        <f>IF(GX144=1,GW143,"")</f>
        <v/>
      </c>
      <c r="HN143" s="341"/>
      <c r="HO143" s="341" t="s">
        <v>928</v>
      </c>
      <c r="HP143" s="341" t="s">
        <v>982</v>
      </c>
      <c r="HQ143" s="341" t="s">
        <v>983</v>
      </c>
      <c r="HR143" s="341" t="s">
        <v>984</v>
      </c>
      <c r="HS143" s="238" t="s">
        <v>932</v>
      </c>
      <c r="HT143" s="238" t="s">
        <v>933</v>
      </c>
      <c r="HU143" s="238" t="s">
        <v>985</v>
      </c>
      <c r="HV143" s="238" t="s">
        <v>986</v>
      </c>
      <c r="HW143" s="238" t="str">
        <f>IFERROR(IF(GD142=0,SUM(HZ144:IA144),""),"")</f>
        <v/>
      </c>
      <c r="HY143" s="238"/>
      <c r="HZ143" s="238" t="s">
        <v>1132</v>
      </c>
      <c r="IA143" s="238" t="s">
        <v>1133</v>
      </c>
      <c r="IB143" s="238" t="s">
        <v>1132</v>
      </c>
      <c r="IC143" s="238" t="s">
        <v>1133</v>
      </c>
      <c r="ID143" s="238"/>
    </row>
    <row r="144" spans="1:238" s="234" customFormat="1" ht="20.100000000000001" customHeight="1">
      <c r="A144" s="235"/>
      <c r="B144" s="231">
        <f>COUNT(AJ145,AJ144)</f>
        <v>0</v>
      </c>
      <c r="C144" s="235"/>
      <c r="D144" s="271" t="str">
        <f>REPT(DN144,1)</f>
        <v>3</v>
      </c>
      <c r="E144" s="254" t="str">
        <f>REPT(AH144,1)</f>
        <v/>
      </c>
      <c r="F144" s="168"/>
      <c r="G144" s="168"/>
      <c r="H144" s="168"/>
      <c r="I144" s="169"/>
      <c r="J144" s="270" t="str">
        <f t="shared" ref="J144:J145" si="341">REPT(AM144,1)</f>
        <v/>
      </c>
      <c r="L144" s="312">
        <f>SUM(L142*3)</f>
        <v>0</v>
      </c>
      <c r="M144" s="307"/>
      <c r="N144" s="270" t="str">
        <f>REPT(AP144,1)</f>
        <v/>
      </c>
      <c r="P144" s="312">
        <f>SUM(P142*3)</f>
        <v>0</v>
      </c>
      <c r="Q144" s="310"/>
      <c r="R144" s="235"/>
      <c r="S144" s="271" t="str">
        <f>REPT(DO144,1)</f>
        <v>3</v>
      </c>
      <c r="T144" s="254" t="str">
        <f>REPT(AV144,1)</f>
        <v/>
      </c>
      <c r="U144" s="168"/>
      <c r="V144" s="168"/>
      <c r="W144" s="168"/>
      <c r="X144" s="169"/>
      <c r="Y144" s="270" t="str">
        <f t="shared" si="324"/>
        <v/>
      </c>
      <c r="Z144" s="308"/>
      <c r="AB144" s="234">
        <f>IF(AY144="",0,IF(AY144&lt;2,1,""))</f>
        <v>0</v>
      </c>
      <c r="AC144" s="238">
        <f t="shared" si="325"/>
        <v>0</v>
      </c>
      <c r="AD144" s="256">
        <f t="shared" si="326"/>
        <v>0</v>
      </c>
      <c r="AE144" s="256">
        <f t="shared" si="320"/>
        <v>0</v>
      </c>
      <c r="AF144" s="256">
        <f t="shared" si="321"/>
        <v>0</v>
      </c>
      <c r="AG144" s="256">
        <f t="shared" si="327"/>
        <v>0</v>
      </c>
      <c r="AH144" s="257" t="str">
        <f>IF(AK144="",IF(AI144="","",IF(AI144="",501,501-AI144)),501)</f>
        <v/>
      </c>
      <c r="AI144" s="256" t="str">
        <f>IF(F144&gt;1,F144,IF(F144=0,"",IF(F144="","","")))</f>
        <v/>
      </c>
      <c r="AJ144" s="256" t="str">
        <f>IF(G144&gt;8,G144,IF(G144="","",""))</f>
        <v/>
      </c>
      <c r="AK144" s="256" t="str">
        <f>IF(H144&gt;1,H144,IF(H144="","",""))</f>
        <v/>
      </c>
      <c r="AL144" s="256" t="str">
        <f>IF(I144&gt;0,I144,IF(I144="","",""))</f>
        <v/>
      </c>
      <c r="AM144" s="258" t="str">
        <f>IF(BK144=0,"","X")</f>
        <v/>
      </c>
      <c r="AN144" s="237"/>
      <c r="AO144" s="237"/>
      <c r="AP144" s="258" t="str">
        <f>IF(BM144=0,"","X")</f>
        <v/>
      </c>
      <c r="AQ144" s="236">
        <f t="shared" si="328"/>
        <v>0</v>
      </c>
      <c r="AR144" s="256">
        <f t="shared" si="329"/>
        <v>0</v>
      </c>
      <c r="AS144" s="256">
        <f t="shared" si="322"/>
        <v>0</v>
      </c>
      <c r="AT144" s="256">
        <f t="shared" si="323"/>
        <v>0</v>
      </c>
      <c r="AU144" s="256">
        <f t="shared" si="330"/>
        <v>0</v>
      </c>
      <c r="AV144" s="257" t="str">
        <f>IF(AY144="",IF(AW144="","",IF(AW144="",501,501-AW144)),501)</f>
        <v/>
      </c>
      <c r="AW144" s="256" t="str">
        <f>IF(U144&gt;1,U144,IF(U144=0,"",IF(U144="","","")))</f>
        <v/>
      </c>
      <c r="AX144" s="256" t="str">
        <f>IF(V144&gt;8,V144,IF(V144="","",""))</f>
        <v/>
      </c>
      <c r="AY144" s="256" t="str">
        <f>IF(W144&gt;1,W144,IF(W144="","",""))</f>
        <v/>
      </c>
      <c r="AZ144" s="256" t="str">
        <f>IF(X144&gt;0,X144,IF(X144="","",""))</f>
        <v/>
      </c>
      <c r="BA144" s="258" t="str">
        <f>IF(BL144=0,"","X")</f>
        <v/>
      </c>
      <c r="BK144" s="251">
        <f>SUM(DD144,DV144,EY144,ED144,FF144,BQ144,BS144,AC144,BK151)</f>
        <v>0</v>
      </c>
      <c r="BL144" s="251">
        <f>SUM(DE144,DW144,EE144,FT144,GA144,BR144,BT144,AQ144,BL151,CZ144)</f>
        <v>0</v>
      </c>
      <c r="BM144" s="259">
        <f t="shared" si="331"/>
        <v>0</v>
      </c>
      <c r="BN144" s="239">
        <f>COUNT(AK144)</f>
        <v>0</v>
      </c>
      <c r="BO144" s="239">
        <f>COUNT(AY144)</f>
        <v>0</v>
      </c>
      <c r="BP144" s="239">
        <f>IF(BN146=0,0,1)</f>
        <v>0</v>
      </c>
      <c r="BQ144" s="260">
        <f>IF(AL144="",0,IF(AL144&gt;2,1,0))</f>
        <v>0</v>
      </c>
      <c r="BR144" s="261">
        <f>IF(AZ144="",0,IF(AZ144&gt;2,1,0))</f>
        <v>0</v>
      </c>
      <c r="BS144" s="262">
        <f>IF(AJ144=9,IF(AK144&lt;141,1,0),0)</f>
        <v>0</v>
      </c>
      <c r="BT144" s="263">
        <f>IF(AX144=9,IF(AY144&lt;141,1,0),0)</f>
        <v>0</v>
      </c>
      <c r="BU144" s="242">
        <f>IF(H144,G144,0)</f>
        <v>0</v>
      </c>
      <c r="BV144" s="238">
        <f>IF(BU144&gt;0,AJ144/3,0)</f>
        <v>0</v>
      </c>
      <c r="BW144" s="238">
        <f>ROUNDUP(BV144,0)</f>
        <v>0</v>
      </c>
      <c r="BX144" s="244">
        <f>IF(MOD(BW144,2)=0,BW144,BW144+1)</f>
        <v>0</v>
      </c>
      <c r="BY144" s="238">
        <f>IF(AJ144&lt;9,"",SUM(BX144-BW144))</f>
        <v>0</v>
      </c>
      <c r="BZ144" s="238">
        <f>IF(BY144=1,AK144,0)</f>
        <v>0</v>
      </c>
      <c r="CA144" s="243" t="str">
        <f>IF(BY144=0,AK144,0)</f>
        <v/>
      </c>
      <c r="CB144" s="238"/>
      <c r="CC144" s="238"/>
      <c r="CD144" s="242">
        <f>IF(W144,V144,0)</f>
        <v>0</v>
      </c>
      <c r="CE144" s="238">
        <f>IF(CD144&gt;0,AX144/3,0)</f>
        <v>0</v>
      </c>
      <c r="CF144" s="238">
        <f>ROUNDUP(CE144,0)</f>
        <v>0</v>
      </c>
      <c r="CG144" s="244">
        <f>IF(MOD(CF144,2)=0,CF144,CF144+1)</f>
        <v>0</v>
      </c>
      <c r="CH144" s="238">
        <f>IF(AX144&lt;9,"",SUM(CG144-CF144))</f>
        <v>0</v>
      </c>
      <c r="CI144" s="238">
        <f>IF(CH144=1,AY144,0)</f>
        <v>0</v>
      </c>
      <c r="CJ144" s="243" t="str">
        <f>IF(CH144=0,AY144,0)</f>
        <v/>
      </c>
      <c r="CK144" s="238"/>
      <c r="CL144" s="245">
        <f>IF(COUNT(F144,H144)=1,0,1)</f>
        <v>1</v>
      </c>
      <c r="CM144" s="245">
        <f>IF(COUNT(F144,U144)=1,0,1)</f>
        <v>1</v>
      </c>
      <c r="CN144" s="245">
        <f>IF(COUNT(H144,W144)=1,0,1)</f>
        <v>1</v>
      </c>
      <c r="CO144" s="245">
        <f>IF(COUNT(G144,V144)=2,0,1)</f>
        <v>1</v>
      </c>
      <c r="CP144" s="245">
        <f>IF(COUNT(U144,W144)=1,0,1)</f>
        <v>1</v>
      </c>
      <c r="CQ144" s="245">
        <f>IF(SUM(G144-V144)&gt;3,1,0)</f>
        <v>0</v>
      </c>
      <c r="CR144" s="245">
        <f>IF(SUM(G144-V144)&lt;-3,1,0)</f>
        <v>0</v>
      </c>
      <c r="CS144" s="264">
        <f>IF(AJ144=9,IF(AH144&lt;141,1,0),IF(AH144="",0,IF(AH144&gt;1,0,1)))</f>
        <v>0</v>
      </c>
      <c r="CT144" s="264">
        <f>IF(AX144=9,IF(AV144&lt;141,1,0),IF(AV144="",0,IF(AV144&gt;1,0,1)))</f>
        <v>0</v>
      </c>
      <c r="CU144" s="264">
        <f>IF(AI144="",0,IF(AI144&lt;502,0,1))</f>
        <v>0</v>
      </c>
      <c r="CV144" s="264">
        <f>IF(AW144="",0,IF(AW144&lt;502,0,1))</f>
        <v>0</v>
      </c>
      <c r="CW144" s="264">
        <f>IF(AI144="",IF(AJ144&lt;9,1,0),IF(AJ144&lt;9,1,0))</f>
        <v>0</v>
      </c>
      <c r="CX144" s="264">
        <f>IF(AW144="",IF(AX144&lt;9,1,0),IF(AX144&lt;9,1,0))</f>
        <v>0</v>
      </c>
      <c r="CY144" s="374">
        <f>COUNT(U142,U143,U144)</f>
        <v>0</v>
      </c>
      <c r="CZ144" s="375">
        <f>IF(AL139=3,IF(CY144&gt;2,1,0),0)</f>
        <v>0</v>
      </c>
      <c r="DA144" s="374"/>
      <c r="DB144" s="374"/>
      <c r="DC144" s="265">
        <f>IF(AJ144="",0,SUM(CL144:CX144))</f>
        <v>0</v>
      </c>
      <c r="DD144" s="265">
        <f>IF(AJ144="",0,SUM(CL144,CS144,CU144,CW144))</f>
        <v>0</v>
      </c>
      <c r="DE144" s="265">
        <f>IF(AJ144="",0,SUM(CP144,CT144,CV144,CX144))</f>
        <v>0</v>
      </c>
      <c r="DF144" s="238"/>
      <c r="DG144" s="248">
        <f>SUM(G144-V144)</f>
        <v>0</v>
      </c>
      <c r="DH144" s="245">
        <f>IF(F144="",0,1)</f>
        <v>0</v>
      </c>
      <c r="DI144" s="245">
        <f t="shared" si="332"/>
        <v>0</v>
      </c>
      <c r="DJ144" s="245">
        <f t="shared" si="333"/>
        <v>0</v>
      </c>
      <c r="DK144" s="245" t="str">
        <f>IF(G144="","",IF(DJ144=1,"*",""))</f>
        <v/>
      </c>
      <c r="DL144" s="245" t="str">
        <f>IF(G144="","",IF(DJ144=-1,"*",IF(DJ144=0,"*","")))</f>
        <v/>
      </c>
      <c r="DM144" s="245">
        <v>3</v>
      </c>
      <c r="DN144" s="245" t="str">
        <f t="shared" si="334"/>
        <v>3</v>
      </c>
      <c r="DO144" s="245" t="str">
        <f t="shared" si="335"/>
        <v>3</v>
      </c>
      <c r="DP144" s="245">
        <f>SUM(DP142)</f>
        <v>0</v>
      </c>
      <c r="DQ144" s="245">
        <f>SUM(DQ142)</f>
        <v>0</v>
      </c>
      <c r="DR144" s="245">
        <f t="shared" ref="DR144:DR146" si="342">IF(DK144="*",1,0)</f>
        <v>0</v>
      </c>
      <c r="DS144" s="245">
        <f t="shared" ref="DS144:DS146" si="343">IF(DL144="*",1,0)</f>
        <v>0</v>
      </c>
      <c r="DT144" s="245">
        <f t="shared" ref="DT144:DT146" si="344">IF(H134="",0,IF(DP144=DR144,1,0))</f>
        <v>0</v>
      </c>
      <c r="DU144" s="245">
        <f>IF(V144="",0,IF(DQ144=DS144,0,1))</f>
        <v>0</v>
      </c>
      <c r="DV144" s="267">
        <f t="shared" ref="DV144:DV146" si="345">SUM(DT144)</f>
        <v>0</v>
      </c>
      <c r="DW144" s="267">
        <f>IF(V144="",0,SUM(DU144))</f>
        <v>0</v>
      </c>
      <c r="DX144" s="238">
        <f>IF(AK144="",0,1)</f>
        <v>0</v>
      </c>
      <c r="DY144" s="238">
        <f>IF(DG144=-3,1,0)</f>
        <v>0</v>
      </c>
      <c r="DZ144" s="238">
        <f>SUM(DX144:DY144)</f>
        <v>0</v>
      </c>
      <c r="EA144" s="238">
        <f>IF(AK144="",1,0)</f>
        <v>1</v>
      </c>
      <c r="EB144" s="238">
        <f>IF(DG144=3,1,0)</f>
        <v>0</v>
      </c>
      <c r="EC144" s="238">
        <f>SUM(EA144:EB144)</f>
        <v>1</v>
      </c>
      <c r="ED144" s="267">
        <f>IF(EC144=2,1,0)</f>
        <v>0</v>
      </c>
      <c r="EE144" s="267">
        <f>IF(DZ144=2,1,0)</f>
        <v>0</v>
      </c>
      <c r="EG144" s="166"/>
      <c r="EH144" s="238"/>
      <c r="EI144" s="238"/>
      <c r="EJ144" s="238"/>
      <c r="EK144" s="238"/>
      <c r="EL144" s="238"/>
      <c r="EM144" s="245">
        <f>IF(AK144="",0,1)</f>
        <v>0</v>
      </c>
      <c r="EN144" s="245">
        <f>SUM(AK144)</f>
        <v>0</v>
      </c>
      <c r="EO144" s="268">
        <f>SUM(AJ144)</f>
        <v>0</v>
      </c>
      <c r="EP144" s="268">
        <f>SUM(G144/3)</f>
        <v>0</v>
      </c>
      <c r="EQ144" s="268" t="e">
        <f>SUM(EO144/EP144)</f>
        <v>#DIV/0!</v>
      </c>
      <c r="ER144" s="268">
        <f>ROUNDDOWN(EP144,0)</f>
        <v>0</v>
      </c>
      <c r="ES144" s="268">
        <f>SUM(EO144,-ER144*3)</f>
        <v>0</v>
      </c>
      <c r="ET144" s="269" t="b">
        <f>MOD(EN144/1,2)=0</f>
        <v>1</v>
      </c>
      <c r="EU144" s="245">
        <f>IF(ET144=FALSE,1,0)</f>
        <v>0</v>
      </c>
      <c r="EV144" s="245">
        <f>IF(EN144=50,0,IF(EN144&lt;40,1,0))</f>
        <v>1</v>
      </c>
      <c r="EW144" s="245">
        <f>SUM(EU144:EV144)</f>
        <v>1</v>
      </c>
      <c r="EX144" s="267">
        <f>IF(EN144=1,1,IF(EN144=50,0,IF(ES144=1,IF(EN144&gt;40,1,0),0)))</f>
        <v>0</v>
      </c>
      <c r="EY144" s="267">
        <f>IF(ES144=1,IF(EW144=2,1,0),0)+EX144+FB144+FE144</f>
        <v>0</v>
      </c>
      <c r="EZ144" s="245">
        <f>IF(EN144=109,1,IF(EN144=108,1,IF(EN144=106,1,IF(EN144=105,1,IF(EN144=103,1,IF(EN144=102,1,IF(EN144=99,1,0)))))))</f>
        <v>0</v>
      </c>
      <c r="FA144" s="245">
        <f>IF(EN144&gt;110,1,0)</f>
        <v>0</v>
      </c>
      <c r="FB144" s="267">
        <f>IF(ES144=2,SUM(EZ144:FA144),0)</f>
        <v>0</v>
      </c>
      <c r="FC144" s="245">
        <f>IF(EN144=159,1,IF(EN144=162,1,IF(EN144=163,1,IF(EN144=165,1,IF(EN144=166,1,IF(EN144=168,1,IF(EN144=169,1,0)))))))</f>
        <v>0</v>
      </c>
      <c r="FD144" s="245">
        <f>IF(EN144&gt;170,1,0)</f>
        <v>0</v>
      </c>
      <c r="FE144" s="267">
        <f>IF(ES144=0,SUM(FC144:FD144),0)</f>
        <v>0</v>
      </c>
      <c r="FF144" s="251">
        <f t="shared" si="336"/>
        <v>0</v>
      </c>
      <c r="FG144" s="238"/>
      <c r="FH144" s="245">
        <f>IF(AY144="",0,1)</f>
        <v>0</v>
      </c>
      <c r="FI144" s="245">
        <f>SUM(AY144)</f>
        <v>0</v>
      </c>
      <c r="FJ144" s="268">
        <f>SUM(AX144)</f>
        <v>0</v>
      </c>
      <c r="FK144" s="268">
        <f>SUM(V144/3)</f>
        <v>0</v>
      </c>
      <c r="FL144" s="268" t="e">
        <f>SUM(FJ144/FK144)</f>
        <v>#DIV/0!</v>
      </c>
      <c r="FM144" s="268">
        <f>ROUNDDOWN(FK144,0)</f>
        <v>0</v>
      </c>
      <c r="FN144" s="268">
        <f>SUM(FJ144,-FM144*3)</f>
        <v>0</v>
      </c>
      <c r="FO144" s="269" t="b">
        <f>MOD(FI144/1,2)=0</f>
        <v>1</v>
      </c>
      <c r="FP144" s="245">
        <f>IF(FO144=FALSE,1,0)</f>
        <v>0</v>
      </c>
      <c r="FQ144" s="245">
        <f>IF(FI144=50,0,IF(FI144&lt;40,1,0))</f>
        <v>1</v>
      </c>
      <c r="FR144" s="245">
        <f>SUM(FP144:FQ144)</f>
        <v>1</v>
      </c>
      <c r="FS144" s="267">
        <f>IF(FI144=1,1,IF(FI144=50,0,IF(FN144=1,IF(FI144&gt;40,1,0),0)))</f>
        <v>0</v>
      </c>
      <c r="FT144" s="267">
        <f>IF(FN144=1,IF(FR144=2,1,0),0)+FS144+FW144+FZ144</f>
        <v>0</v>
      </c>
      <c r="FU144" s="245">
        <f>IF(FI144=109,1,IF(FI144=108,1,IF(FI144=106,1,IF(FI144=105,1,IF(FI144=103,1,IF(FI144=102,1,IF(FI144=99,1,0)))))))</f>
        <v>0</v>
      </c>
      <c r="FV144" s="245">
        <f>IF(FI144&gt;110,1,0)</f>
        <v>0</v>
      </c>
      <c r="FW144" s="267">
        <f>IF(FN144=2,SUM(FU144:FV144),0)</f>
        <v>0</v>
      </c>
      <c r="FX144" s="245">
        <f>IF(FI144=159,1,IF(FI144=162,1,IF(FI144=163,1,IF(FI144=165,1,IF(FI144=166,1,IF(FI144=168,1,IF(FI144=169,1,0)))))))</f>
        <v>0</v>
      </c>
      <c r="FY144" s="245">
        <f>IF(FI144&gt;170,1,0)</f>
        <v>0</v>
      </c>
      <c r="FZ144" s="267">
        <f>IF(FN144=0,SUM(FX144:FY144),0)</f>
        <v>0</v>
      </c>
      <c r="GA144" s="251">
        <f t="shared" si="337"/>
        <v>0</v>
      </c>
      <c r="GC144" s="238" t="str">
        <f>VLOOKUP(AH139,Chema!BL:BR,3,FALSE)</f>
        <v>HD 1.2.2</v>
      </c>
      <c r="GD144" s="341"/>
      <c r="GE144" s="343" t="str">
        <f>IF(C150="","",SUM(C150))</f>
        <v/>
      </c>
      <c r="GF144" s="346"/>
      <c r="GG144" s="340"/>
      <c r="GH144" s="343">
        <f>IF(GH143&gt;0,1,0)</f>
        <v>0</v>
      </c>
      <c r="GI144" s="346"/>
      <c r="GJ144" s="343"/>
      <c r="GK144" s="340"/>
      <c r="GL144" s="343">
        <f>IF(GL143&gt;0,1,0)</f>
        <v>0</v>
      </c>
      <c r="GM144" s="343"/>
      <c r="GN144" s="343"/>
      <c r="GO144" s="340"/>
      <c r="GP144" s="343">
        <f>IF(GP143&gt;0,1,0)</f>
        <v>0</v>
      </c>
      <c r="GQ144" s="343"/>
      <c r="GR144" s="343"/>
      <c r="GS144" s="340"/>
      <c r="GT144" s="343">
        <f>IF(GT143&gt;0,1,0)</f>
        <v>0</v>
      </c>
      <c r="GU144" s="343"/>
      <c r="GV144" s="343"/>
      <c r="GW144" s="340"/>
      <c r="GX144" s="343">
        <f>IF(GX143&gt;0,1,0)</f>
        <v>0</v>
      </c>
      <c r="GY144" s="343"/>
      <c r="GZ144" s="343"/>
      <c r="HA144" s="343"/>
      <c r="HB144" s="343" t="str">
        <f>IF(GD142=1,L150,"")</f>
        <v/>
      </c>
      <c r="HC144" s="343">
        <f>IF(GD142=1,I150,"")</f>
        <v>0</v>
      </c>
      <c r="HD144" s="345"/>
      <c r="HE144" s="340"/>
      <c r="HF144" s="340"/>
      <c r="HG144" s="347">
        <f>IF(GE143="",0,IF(AL139=3,2,IF(AL139=5,3,0)))</f>
        <v>0</v>
      </c>
      <c r="HH144" s="347">
        <f>IF(HK144=0,0,IF(HG146=0,0,1))</f>
        <v>0</v>
      </c>
      <c r="HI144" s="340"/>
      <c r="HJ144" s="340"/>
      <c r="HK144" s="340">
        <f>SUM(HM142,HM146)</f>
        <v>0</v>
      </c>
      <c r="HL144" s="340">
        <f>IF(HK144=0,0,IF(HM142=HG144,1,0))</f>
        <v>0</v>
      </c>
      <c r="HM144" s="340">
        <f>IF(HK144=0,0,IF(HM146=HG144,1,0))</f>
        <v>0</v>
      </c>
      <c r="HN144" s="341" t="str">
        <f>REPT(N139,1)</f>
        <v>Spiel 10</v>
      </c>
      <c r="HO144" s="348" t="str">
        <f>IF(HK144=0,"",IF(HH144=0,SUM(HH143),""))</f>
        <v/>
      </c>
      <c r="HP144" s="348" t="str">
        <f>IF(HK144=0,"",IF(HH144=0,SUM(HH145),""))</f>
        <v/>
      </c>
      <c r="HQ144" s="348" t="e">
        <f>IF(HH144=0,SUM(GZ143/HA143),"")</f>
        <v>#DIV/0!</v>
      </c>
      <c r="HR144" s="348" t="e">
        <f>IF(HH144=0,SUM(GZ145/HA145),"")</f>
        <v>#DIV/0!</v>
      </c>
      <c r="HS144" s="238" t="str">
        <f>REPT(DK142,1)</f>
        <v/>
      </c>
      <c r="HT144" s="238" t="str">
        <f>REPT(DL142,1)</f>
        <v/>
      </c>
      <c r="HU144" s="238">
        <f>IF(HH144=0,HL144,"")</f>
        <v>0</v>
      </c>
      <c r="HV144" s="238">
        <f>IF(HH144=0,HM144,"")</f>
        <v>0</v>
      </c>
      <c r="HW144" s="238" t="s">
        <v>1131</v>
      </c>
      <c r="HY144" s="238"/>
      <c r="HZ144" s="238" t="str">
        <f>IF(AL139=5,IF(HU144=1,SUM(HO144*2-HP144),HO144+HP144-2),"")</f>
        <v/>
      </c>
      <c r="IA144" s="238" t="e">
        <f>IF(AL139=3,IF(HU144=1,SUM(HO144-HP144+3),HO144+HP144-1),"")</f>
        <v>#VALUE!</v>
      </c>
      <c r="IB144" s="238" t="str">
        <f>IF(AL139=5,IF(HV144=1,SUM(HP144*2-HO144),HO144+HP144-2),"")</f>
        <v/>
      </c>
      <c r="IC144" s="238" t="e">
        <f>IF(AL139=3,IF(HV144=1,SUM(HP144-HO144+3),HO144+HP144-1),"")</f>
        <v>#VALUE!</v>
      </c>
      <c r="ID144" s="238">
        <f>SUM(BM148)</f>
        <v>0</v>
      </c>
    </row>
    <row r="145" spans="1:238" s="234" customFormat="1" ht="20.100000000000001" customHeight="1">
      <c r="A145" s="235"/>
      <c r="B145" s="231">
        <f>COUNT(AJ146,AJ145)</f>
        <v>0</v>
      </c>
      <c r="C145" s="235"/>
      <c r="D145" s="328" t="str">
        <f>REPT(DN145,1)</f>
        <v>4</v>
      </c>
      <c r="E145" s="329" t="str">
        <f>REPT(AH145,1)</f>
        <v/>
      </c>
      <c r="F145" s="330"/>
      <c r="G145" s="330"/>
      <c r="H145" s="330"/>
      <c r="I145" s="331"/>
      <c r="J145" s="270" t="str">
        <f t="shared" si="341"/>
        <v/>
      </c>
      <c r="M145" s="311"/>
      <c r="N145" s="270" t="str">
        <f>REPT(AP145,1)</f>
        <v/>
      </c>
      <c r="Q145" s="310"/>
      <c r="R145" s="235"/>
      <c r="S145" s="328" t="str">
        <f>REPT(DO145,1)</f>
        <v>4</v>
      </c>
      <c r="T145" s="329" t="str">
        <f>REPT(AV145,1)</f>
        <v/>
      </c>
      <c r="U145" s="330"/>
      <c r="V145" s="330"/>
      <c r="W145" s="330"/>
      <c r="X145" s="331"/>
      <c r="Y145" s="270" t="str">
        <f t="shared" si="324"/>
        <v/>
      </c>
      <c r="Z145" s="308"/>
      <c r="AA145" s="238">
        <f>SUM(AL139)</f>
        <v>3</v>
      </c>
      <c r="AB145" s="234">
        <f>IF(AY145="",0,IF(AY145&lt;2,1,""))</f>
        <v>0</v>
      </c>
      <c r="AC145" s="238">
        <f>IF(AL139=3,0,IF(AD145=1,1,IF(AD145=3,1,IF(AD145=2,0,IF(AD145=0,0,0)))))</f>
        <v>0</v>
      </c>
      <c r="AD145" s="256">
        <f t="shared" si="326"/>
        <v>0</v>
      </c>
      <c r="AE145" s="256">
        <f t="shared" si="320"/>
        <v>0</v>
      </c>
      <c r="AF145" s="256">
        <f t="shared" si="321"/>
        <v>0</v>
      </c>
      <c r="AG145" s="256">
        <f t="shared" si="327"/>
        <v>0</v>
      </c>
      <c r="AH145" s="257" t="str">
        <f>IF(AL139=3,"",IF(AK145="",IF(AI145="","",IF(AI145="",501,501-AI145)),501))</f>
        <v/>
      </c>
      <c r="AI145" s="256" t="str">
        <f>IF(AL139=3,"",IF(F145&gt;1,F145,IF(F145=0,"",IF(F145="","",""))))</f>
        <v/>
      </c>
      <c r="AJ145" s="256" t="str">
        <f>IF(AL139=3,"",IF(G145&gt;8,G145,IF(G145="","","")))</f>
        <v/>
      </c>
      <c r="AK145" s="256" t="str">
        <f>IF(AL139=3,"",IF(H145&gt;1,H145,IF(H145="","","")))</f>
        <v/>
      </c>
      <c r="AL145" s="256" t="str">
        <f>IF(AL139=3,"",IF(I145&gt;0,I145,IF(I145="","","")))</f>
        <v/>
      </c>
      <c r="AM145" s="258" t="str">
        <f>IF(BK145=0,"","X")</f>
        <v/>
      </c>
      <c r="AN145" s="237"/>
      <c r="AO145" s="237"/>
      <c r="AP145" s="258" t="str">
        <f>IF(BM145=0,"","X")</f>
        <v/>
      </c>
      <c r="AQ145" s="236">
        <f>IF(AL139=3,0,IF(AR145=1,1,IF(AR145=3,1,IF(AR145=2,0,IF(AR145=0,0,0)))))</f>
        <v>0</v>
      </c>
      <c r="AR145" s="256">
        <f t="shared" si="329"/>
        <v>0</v>
      </c>
      <c r="AS145" s="256">
        <f t="shared" si="322"/>
        <v>0</v>
      </c>
      <c r="AT145" s="256">
        <f t="shared" si="323"/>
        <v>0</v>
      </c>
      <c r="AU145" s="256">
        <f t="shared" si="330"/>
        <v>0</v>
      </c>
      <c r="AV145" s="257" t="str">
        <f>IF(AY145="",IF(AW145="","",IF(AW145="",501,501-AW145)),501)</f>
        <v/>
      </c>
      <c r="AW145" s="256" t="str">
        <f>IF(AL139=3,"",IF(U145&gt;1,U145,IF(U145=0,"",IF(U145="","",""))))</f>
        <v/>
      </c>
      <c r="AX145" s="256" t="str">
        <f>IF(AL139=3,"",IF(V145&gt;8,V145,IF(V145="","","")))</f>
        <v/>
      </c>
      <c r="AY145" s="256" t="str">
        <f>IF(AL139=3,"",IF(W145&gt;1,W145,IF(W145="","","")))</f>
        <v/>
      </c>
      <c r="AZ145" s="256" t="str">
        <f>IF(AL139=3,"",IF(X145&gt;0,X145,IF(X145="","","")))</f>
        <v/>
      </c>
      <c r="BA145" s="258" t="str">
        <f>IF(BL145=0,"","X")</f>
        <v/>
      </c>
      <c r="BK145" s="251">
        <f>IF(AL139=3,0,SUM(DD145,DV145,EY145,ED145,FF145,BQ145,BS145,AC145))</f>
        <v>0</v>
      </c>
      <c r="BL145" s="251">
        <f>IF(AL139=3,0,SUM(DE145,DW145,EE145,FT145,GA145,BR145,BT145,AQ145))</f>
        <v>0</v>
      </c>
      <c r="BM145" s="259">
        <f>IF(AL139=3,0,SUM(DC145,BK145:BL145,AC145,AQ145))</f>
        <v>0</v>
      </c>
      <c r="BN145" s="239">
        <f>COUNT(AK145)</f>
        <v>0</v>
      </c>
      <c r="BO145" s="239">
        <f>COUNT(AY145)</f>
        <v>0</v>
      </c>
      <c r="BP145" s="239">
        <f>IF(BZ147=0,0,1)</f>
        <v>0</v>
      </c>
      <c r="BQ145" s="260">
        <f>IF(AL145="",0,IF(AL145&gt;2,1,0))</f>
        <v>0</v>
      </c>
      <c r="BR145" s="261">
        <f>IF(AZ145="",0,IF(AZ145&gt;2,1,0))</f>
        <v>0</v>
      </c>
      <c r="BS145" s="262">
        <f>IF(AJ145=9,IF(AK145&lt;141,1,0),0)</f>
        <v>0</v>
      </c>
      <c r="BT145" s="263">
        <f>IF(AX145=9,IF(AY145&lt;141,1,0),0)</f>
        <v>0</v>
      </c>
      <c r="BU145" s="242">
        <f>IF(AL139=3,0,IF(H145,G145,0))</f>
        <v>0</v>
      </c>
      <c r="BV145" s="238">
        <f>IF(BU145&gt;0,AJ145/3,0)</f>
        <v>0</v>
      </c>
      <c r="BW145" s="238">
        <f>ROUNDUP(BV145,0)</f>
        <v>0</v>
      </c>
      <c r="BX145" s="244">
        <f>IF(MOD(BW145,2)=0,BW145,BW145+1)</f>
        <v>0</v>
      </c>
      <c r="BY145" s="238">
        <f>IF(AJ145&lt;9,"",SUM(BX145-BW145))</f>
        <v>0</v>
      </c>
      <c r="BZ145" s="238">
        <f>IF(BY145=1,AK145,0)</f>
        <v>0</v>
      </c>
      <c r="CA145" s="243" t="str">
        <f>IF(BY145=0,AK145,0)</f>
        <v/>
      </c>
      <c r="CB145" s="238"/>
      <c r="CC145" s="238"/>
      <c r="CD145" s="242">
        <f>IF(AL139=3,0,IF(W145,V145,0))</f>
        <v>0</v>
      </c>
      <c r="CE145" s="238">
        <f>IF(CD145&gt;0,AX145/3,0)</f>
        <v>0</v>
      </c>
      <c r="CF145" s="238">
        <f>ROUNDUP(CE145,0)</f>
        <v>0</v>
      </c>
      <c r="CG145" s="244">
        <f>IF(MOD(CF145,2)=0,CF145,CF145+1)</f>
        <v>0</v>
      </c>
      <c r="CH145" s="238">
        <f>IF(AX145&lt;9,"",SUM(CG145-CF145))</f>
        <v>0</v>
      </c>
      <c r="CI145" s="238">
        <f>IF(CH145=1,AY145,0)</f>
        <v>0</v>
      </c>
      <c r="CJ145" s="243" t="str">
        <f>IF(CH145=0,AY145,0)</f>
        <v/>
      </c>
      <c r="CK145" s="238"/>
      <c r="CL145" s="245">
        <f>IF(COUNT(F145,H145)=1,0,1)</f>
        <v>1</v>
      </c>
      <c r="CM145" s="245">
        <f>IF(COUNT(F145,U145)=1,0,1)</f>
        <v>1</v>
      </c>
      <c r="CN145" s="245">
        <f>IF(COUNT(H145,W145)=1,0,1)</f>
        <v>1</v>
      </c>
      <c r="CO145" s="245">
        <f>IF(COUNT(G145,V145)=2,0,1)</f>
        <v>1</v>
      </c>
      <c r="CP145" s="245">
        <f>IF(COUNT(U145,W145)=1,0,1)</f>
        <v>1</v>
      </c>
      <c r="CQ145" s="245">
        <f>IF(SUM(G145-V145)&gt;3,1,0)</f>
        <v>0</v>
      </c>
      <c r="CR145" s="245">
        <f>IF(SUM(G145-V145)&lt;-3,1,0)</f>
        <v>0</v>
      </c>
      <c r="CS145" s="264">
        <f>IF(AJ145=9,IF(AH145&lt;141,1,0),IF(AH145="",0,IF(AH145&gt;1,0,1)))</f>
        <v>0</v>
      </c>
      <c r="CT145" s="264">
        <f>IF(AX145=9,IF(AV145&lt;141,1,0),IF(AV145="",0,IF(AV145&gt;1,0,1)))</f>
        <v>0</v>
      </c>
      <c r="CU145" s="264">
        <f>IF(AI145="",0,IF(AI145&lt;502,0,1))</f>
        <v>0</v>
      </c>
      <c r="CV145" s="264">
        <f>IF(AW145="",0,IF(AW145&lt;502,0,1))</f>
        <v>0</v>
      </c>
      <c r="CW145" s="264">
        <f>IF(AI145="",IF(AJ145&lt;9,1,0),IF(AJ145&lt;9,1,0))</f>
        <v>0</v>
      </c>
      <c r="CX145" s="264">
        <f>IF(AW145="",IF(AX145&lt;9,1,0),IF(AX145&lt;9,1,0))</f>
        <v>0</v>
      </c>
      <c r="CY145" s="374"/>
      <c r="CZ145" s="374"/>
      <c r="DA145" s="374"/>
      <c r="DB145" s="374"/>
      <c r="DC145" s="265">
        <f>IF(AJ145="",0,SUM(CL145:CX145))</f>
        <v>0</v>
      </c>
      <c r="DD145" s="265">
        <f>IF(AJ145="",0,SUM(CL145,CS145,CU145,CW145))</f>
        <v>0</v>
      </c>
      <c r="DE145" s="265">
        <f>IF(AJ145="",0,SUM(CP145,CT145,CV145,CX145))</f>
        <v>0</v>
      </c>
      <c r="DF145" s="238"/>
      <c r="DG145" s="248">
        <f>IF(AL139=3,0,SUM(G145-V145))</f>
        <v>0</v>
      </c>
      <c r="DH145" s="245">
        <f>IF(F145="",0,1)</f>
        <v>0</v>
      </c>
      <c r="DI145" s="245">
        <f t="shared" si="332"/>
        <v>0</v>
      </c>
      <c r="DJ145" s="245">
        <f t="shared" si="333"/>
        <v>0</v>
      </c>
      <c r="DK145" s="245" t="str">
        <f>IF(G145="","",IF(DJ145=1,"*",""))</f>
        <v/>
      </c>
      <c r="DL145" s="245" t="str">
        <f>IF(AL139=3,"",IF(G145="","",IF(DJ145=-1,"*",IF(DJ145=0,"*",""))))</f>
        <v/>
      </c>
      <c r="DM145" s="245">
        <v>4</v>
      </c>
      <c r="DN145" s="245" t="str">
        <f t="shared" si="334"/>
        <v>4</v>
      </c>
      <c r="DO145" s="245" t="str">
        <f t="shared" si="335"/>
        <v>4</v>
      </c>
      <c r="DP145" s="245">
        <f>SUM(DQ142)</f>
        <v>0</v>
      </c>
      <c r="DQ145" s="245">
        <f>SUM(DP142)</f>
        <v>0</v>
      </c>
      <c r="DR145" s="245">
        <f t="shared" si="342"/>
        <v>0</v>
      </c>
      <c r="DS145" s="245">
        <f t="shared" si="343"/>
        <v>0</v>
      </c>
      <c r="DT145" s="245">
        <f t="shared" si="344"/>
        <v>0</v>
      </c>
      <c r="DU145" s="245">
        <f>IF(V145="",0,IF(DQ145=DS145,0,1))</f>
        <v>0</v>
      </c>
      <c r="DV145" s="267">
        <f t="shared" si="345"/>
        <v>0</v>
      </c>
      <c r="DW145" s="267">
        <f>IF(V145="",0,SUM(DU145))</f>
        <v>0</v>
      </c>
      <c r="DX145" s="238">
        <f>IF(AK145="",0,1)</f>
        <v>0</v>
      </c>
      <c r="DY145" s="238">
        <f>IF(DG145=-3,1,0)</f>
        <v>0</v>
      </c>
      <c r="DZ145" s="238">
        <f>SUM(DX145:DY145)</f>
        <v>0</v>
      </c>
      <c r="EA145" s="238">
        <f>IF(AK145="",1,0)</f>
        <v>1</v>
      </c>
      <c r="EB145" s="238">
        <f>IF(DG145=3,1,0)</f>
        <v>0</v>
      </c>
      <c r="EC145" s="238">
        <f>SUM(EA145:EB145)</f>
        <v>1</v>
      </c>
      <c r="ED145" s="267">
        <f>IF(EC145=2,1,0)</f>
        <v>0</v>
      </c>
      <c r="EE145" s="267">
        <f>IF(DZ145=2,1,0)</f>
        <v>0</v>
      </c>
      <c r="EG145" s="166"/>
      <c r="EH145" s="238"/>
      <c r="EI145" s="238"/>
      <c r="EJ145" s="238"/>
      <c r="EK145" s="238"/>
      <c r="EL145" s="238"/>
      <c r="EM145" s="245">
        <f>IF(AK145="",0,1)</f>
        <v>0</v>
      </c>
      <c r="EN145" s="245">
        <f>SUM(AK145)</f>
        <v>0</v>
      </c>
      <c r="EO145" s="268">
        <f>SUM(AJ145)</f>
        <v>0</v>
      </c>
      <c r="EP145" s="268">
        <f>SUM(G145/3)</f>
        <v>0</v>
      </c>
      <c r="EQ145" s="268" t="e">
        <f>SUM(EO145/EP145)</f>
        <v>#DIV/0!</v>
      </c>
      <c r="ER145" s="268">
        <f>ROUNDDOWN(EP145,0)</f>
        <v>0</v>
      </c>
      <c r="ES145" s="268">
        <f>SUM(EO145,-ER145*3)</f>
        <v>0</v>
      </c>
      <c r="ET145" s="269" t="b">
        <f>MOD(EN145/1,2)=0</f>
        <v>1</v>
      </c>
      <c r="EU145" s="245">
        <f>IF(ET145=FALSE,1,0)</f>
        <v>0</v>
      </c>
      <c r="EV145" s="245">
        <f>IF(EN145=50,0,IF(EN145&lt;40,1,0))</f>
        <v>1</v>
      </c>
      <c r="EW145" s="245">
        <f>SUM(EU145:EV145)</f>
        <v>1</v>
      </c>
      <c r="EX145" s="267">
        <f>IF(EN145=1,1,IF(EN145=50,0,IF(ES145=1,IF(EN145&gt;40,1,0),0)))</f>
        <v>0</v>
      </c>
      <c r="EY145" s="267">
        <f>IF(ES145=1,IF(EW145=2,1,0),0)+EX145+FB145+FE145</f>
        <v>0</v>
      </c>
      <c r="EZ145" s="245">
        <f>IF(EN145=109,1,IF(EN145=108,1,IF(EN145=106,1,IF(EN145=105,1,IF(EN145=103,1,IF(EN145=102,1,IF(EN145=99,1,0)))))))</f>
        <v>0</v>
      </c>
      <c r="FA145" s="245">
        <f>IF(EN145&gt;110,1,0)</f>
        <v>0</v>
      </c>
      <c r="FB145" s="267">
        <f>IF(ES145=2,SUM(EZ145:FA145),0)</f>
        <v>0</v>
      </c>
      <c r="FC145" s="245">
        <f>IF(EN145=159,1,IF(EN145=162,1,IF(EN145=163,1,IF(EN145=165,1,IF(EN145=166,1,IF(EN145=168,1,IF(EN145=169,1,0)))))))</f>
        <v>0</v>
      </c>
      <c r="FD145" s="245">
        <f>IF(EN145&gt;170,1,0)</f>
        <v>0</v>
      </c>
      <c r="FE145" s="267">
        <f>IF(ES145=0,SUM(FC145:FD145),0)</f>
        <v>0</v>
      </c>
      <c r="FF145" s="251">
        <f t="shared" si="336"/>
        <v>0</v>
      </c>
      <c r="FG145" s="238"/>
      <c r="FH145" s="245">
        <f>IF(AY145="",0,1)</f>
        <v>0</v>
      </c>
      <c r="FI145" s="245">
        <f>SUM(AY145)</f>
        <v>0</v>
      </c>
      <c r="FJ145" s="268">
        <f>SUM(AX145)</f>
        <v>0</v>
      </c>
      <c r="FK145" s="268">
        <f>SUM(V145/3)</f>
        <v>0</v>
      </c>
      <c r="FL145" s="268" t="e">
        <f>SUM(FJ145/FK145)</f>
        <v>#DIV/0!</v>
      </c>
      <c r="FM145" s="268">
        <f>ROUNDDOWN(FK145,0)</f>
        <v>0</v>
      </c>
      <c r="FN145" s="268">
        <f>SUM(FJ145,-FM145*3)</f>
        <v>0</v>
      </c>
      <c r="FO145" s="269" t="b">
        <f>MOD(FI145/1,2)=0</f>
        <v>1</v>
      </c>
      <c r="FP145" s="245">
        <f>IF(FO145=FALSE,1,0)</f>
        <v>0</v>
      </c>
      <c r="FQ145" s="245">
        <f>IF(FI145=50,0,IF(FI145&lt;40,1,0))</f>
        <v>1</v>
      </c>
      <c r="FR145" s="245">
        <f>SUM(FP145:FQ145)</f>
        <v>1</v>
      </c>
      <c r="FS145" s="267">
        <f>IF(FI145=1,1,IF(FI145=50,0,IF(FN145=1,IF(FI145&gt;40,1,0),0)))</f>
        <v>0</v>
      </c>
      <c r="FT145" s="267">
        <f>IF(FN145=1,IF(FR145=2,1,0),0)+FS145+FW145+FZ145</f>
        <v>0</v>
      </c>
      <c r="FU145" s="245">
        <f>IF(FI145=109,1,IF(FI145=108,1,IF(FI145=106,1,IF(FI145=105,1,IF(FI145=103,1,IF(FI145=102,1,IF(FI145=99,1,0)))))))</f>
        <v>0</v>
      </c>
      <c r="FV145" s="245">
        <f>IF(FI145&gt;110,1,0)</f>
        <v>0</v>
      </c>
      <c r="FW145" s="267">
        <f>IF(FN145=2,SUM(FU145:FV145),0)</f>
        <v>0</v>
      </c>
      <c r="FX145" s="245">
        <f>IF(FI145=159,1,IF(FI145=162,1,IF(FI145=163,1,IF(FI145=165,1,IF(FI145=166,1,IF(FI145=168,1,IF(FI145=169,1,0)))))))</f>
        <v>0</v>
      </c>
      <c r="FY145" s="245">
        <f>IF(FI145&gt;170,1,0)</f>
        <v>0</v>
      </c>
      <c r="FZ145" s="267">
        <f>IF(FN145=0,SUM(FX145:FY145),0)</f>
        <v>0</v>
      </c>
      <c r="GA145" s="251">
        <f t="shared" si="337"/>
        <v>0</v>
      </c>
      <c r="GC145" s="238" t="str">
        <f>VLOOKUP(AH139,Chema!BL:BR,4,FALSE)</f>
        <v>GD 1.2</v>
      </c>
      <c r="GD145" s="341">
        <f>IF(T149="FORFAIT",1,0)</f>
        <v>0</v>
      </c>
      <c r="GE145" s="343" t="str">
        <f>IF(R149="","",SUM(R149))</f>
        <v/>
      </c>
      <c r="GF145" s="344">
        <f>SUM(AV142)</f>
        <v>0</v>
      </c>
      <c r="GG145" s="344">
        <f>SUM(AX142)</f>
        <v>0</v>
      </c>
      <c r="GH145" s="344">
        <f t="shared" ref="GH145" si="346">SUM(AY142)</f>
        <v>0</v>
      </c>
      <c r="GI145" s="344">
        <f t="shared" ref="GI145" si="347">SUM(AZ142)</f>
        <v>0</v>
      </c>
      <c r="GJ145" s="344">
        <f>SUM(AV143)</f>
        <v>0</v>
      </c>
      <c r="GK145" s="344">
        <f>SUM(AX143)</f>
        <v>0</v>
      </c>
      <c r="GL145" s="344">
        <f>SUM(AY143)</f>
        <v>0</v>
      </c>
      <c r="GM145" s="344">
        <f>SUM(AZ143)</f>
        <v>0</v>
      </c>
      <c r="GN145" s="344">
        <f>SUM(AV144)</f>
        <v>0</v>
      </c>
      <c r="GO145" s="344">
        <f>SUM(AX144)</f>
        <v>0</v>
      </c>
      <c r="GP145" s="344">
        <f>SUM(AY144)</f>
        <v>0</v>
      </c>
      <c r="GQ145" s="344">
        <f>SUM(AZ144)</f>
        <v>0</v>
      </c>
      <c r="GR145" s="344">
        <f>SUM(AV145)</f>
        <v>0</v>
      </c>
      <c r="GS145" s="344">
        <f>SUM(AX145)</f>
        <v>0</v>
      </c>
      <c r="GT145" s="344">
        <f>SUM(AY145)</f>
        <v>0</v>
      </c>
      <c r="GU145" s="344">
        <f>SUM(AZ145)</f>
        <v>0</v>
      </c>
      <c r="GV145" s="344">
        <f>SUM(AV146)</f>
        <v>0</v>
      </c>
      <c r="GW145" s="344">
        <f>SUM(AX146)</f>
        <v>0</v>
      </c>
      <c r="GX145" s="344">
        <f>SUM(AY146)</f>
        <v>0</v>
      </c>
      <c r="GY145" s="344">
        <f>SUM(AZ146)</f>
        <v>0</v>
      </c>
      <c r="GZ145" s="344">
        <f>SUM(GF145,GJ145,GN145,GR145,GV145)</f>
        <v>0</v>
      </c>
      <c r="HA145" s="344">
        <f t="shared" ref="HA145" si="348">SUM(GG145,GK145,GO145,GS145,GW145)</f>
        <v>0</v>
      </c>
      <c r="HB145" s="344" t="str">
        <f>IF(GD142=1,P149,MAX(GH145,GL145,GP145,GT145,GX145))</f>
        <v/>
      </c>
      <c r="HC145" s="344">
        <f>IF(GD142=1,X149,SUM(GI145,GM145,GQ145,GU145,GY145))</f>
        <v>0</v>
      </c>
      <c r="HD145" s="345">
        <f>IF(GD142=1,0,SUM(GF145,GJ145,GN145,GR145,GV145))</f>
        <v>0</v>
      </c>
      <c r="HE145" s="345">
        <f>IF(GD142=1,0,SUM(GG145,GK145,GO145,GS145,GW145))</f>
        <v>0</v>
      </c>
      <c r="HF145" s="341">
        <f>IF(GD142=1,0,MIN(HI145,HJ145,HK145,HL145,HM145))</f>
        <v>0</v>
      </c>
      <c r="HG145" s="341">
        <f>IF(HF145=0,0,COUNTIF(HI145:HM145,HF145))</f>
        <v>0</v>
      </c>
      <c r="HH145" s="341">
        <f>SUM(GH146,GL146,GP146,GT146,GX146)</f>
        <v>0</v>
      </c>
      <c r="HI145" s="343" t="str">
        <f>IF(GH146=1,GG145,"")</f>
        <v/>
      </c>
      <c r="HJ145" s="343" t="str">
        <f>IF(GL146=1,GK145,"")</f>
        <v/>
      </c>
      <c r="HK145" s="343" t="str">
        <f>IF(GP146=1,GO145,"")</f>
        <v/>
      </c>
      <c r="HL145" s="343" t="str">
        <f>IF(GT146=1,GS145,"")</f>
        <v/>
      </c>
      <c r="HM145" s="343" t="str">
        <f>IF(GX146=1,GW145,"")</f>
        <v/>
      </c>
      <c r="HN145" s="341"/>
      <c r="HO145" s="341"/>
      <c r="HP145" s="341"/>
      <c r="HQ145" s="341"/>
      <c r="HR145" s="341"/>
      <c r="HS145" s="238"/>
      <c r="HT145" s="238"/>
      <c r="HU145" s="238"/>
      <c r="HV145" s="238"/>
      <c r="HW145" s="238" t="str">
        <f>IFERROR(IF(GD142=0,SUM(IB144:IC144),""),"")</f>
        <v/>
      </c>
      <c r="HY145" s="238"/>
      <c r="ID145" s="238"/>
    </row>
    <row r="146" spans="1:238" s="234" customFormat="1" ht="20.100000000000001" customHeight="1">
      <c r="A146" s="235"/>
      <c r="B146" s="231">
        <f>COUNT(AJ147,AJ146)</f>
        <v>1</v>
      </c>
      <c r="C146" s="235"/>
      <c r="D146" s="271" t="str">
        <f>REPT(DN146,1)</f>
        <v>5</v>
      </c>
      <c r="E146" s="254" t="str">
        <f>REPT(AH146,1)</f>
        <v/>
      </c>
      <c r="F146" s="168"/>
      <c r="G146" s="168"/>
      <c r="H146" s="168"/>
      <c r="I146" s="169"/>
      <c r="J146" s="272" t="str">
        <f>REPT(AM146,1)</f>
        <v/>
      </c>
      <c r="L146" s="310"/>
      <c r="M146" s="310"/>
      <c r="N146" s="272" t="str">
        <f>REPT(AP146,1)</f>
        <v/>
      </c>
      <c r="O146" s="118"/>
      <c r="Q146" s="310"/>
      <c r="R146" s="235"/>
      <c r="S146" s="271" t="str">
        <f>REPT(DO146,1)</f>
        <v>5</v>
      </c>
      <c r="T146" s="254" t="str">
        <f>REPT(AV146,1)</f>
        <v/>
      </c>
      <c r="U146" s="168"/>
      <c r="V146" s="168"/>
      <c r="W146" s="168"/>
      <c r="X146" s="169"/>
      <c r="Y146" s="272" t="str">
        <f>REPT(BA146,1)</f>
        <v/>
      </c>
      <c r="Z146" s="308"/>
      <c r="AA146" s="238">
        <f>SUM(AL139)</f>
        <v>3</v>
      </c>
      <c r="AB146" s="234">
        <f>IF(AY146="",0,IF(AY146&lt;2,1,""))</f>
        <v>0</v>
      </c>
      <c r="AC146" s="238">
        <f>IF(AL139=3,0,IF(AD146=1,1,IF(AD146=3,1,IF(AD146=2,0,IF(AD146=0,0,0)))))</f>
        <v>0</v>
      </c>
      <c r="AD146" s="256">
        <f t="shared" si="326"/>
        <v>0</v>
      </c>
      <c r="AE146" s="256">
        <f t="shared" si="320"/>
        <v>0</v>
      </c>
      <c r="AF146" s="256">
        <f t="shared" si="321"/>
        <v>0</v>
      </c>
      <c r="AG146" s="256">
        <f t="shared" si="327"/>
        <v>0</v>
      </c>
      <c r="AH146" s="257" t="str">
        <f>IF(AL139=3,"",IF(AK146="",IF(AI146="","",IF(AI146="",501,501-AI146)),501))</f>
        <v/>
      </c>
      <c r="AI146" s="256" t="str">
        <f>IF(AL139=3,"",IF(F146&gt;1,F146,IF(F146=0,"",IF(F146="","",""))))</f>
        <v/>
      </c>
      <c r="AJ146" s="256" t="str">
        <f>IF(AL139=3,"",IF(G146&gt;8,G146,IF(G146="","","")))</f>
        <v/>
      </c>
      <c r="AK146" s="256" t="str">
        <f>IF(AL139=3,"",IF(H146&gt;1,H146,IF(H146="","","")))</f>
        <v/>
      </c>
      <c r="AL146" s="256" t="str">
        <f>IF(AL139=3,"",IF(I146&gt;0,I146,IF(I146="","","")))</f>
        <v/>
      </c>
      <c r="AM146" s="258" t="str">
        <f>IF(BK146=0,"","X")</f>
        <v/>
      </c>
      <c r="AN146" s="237"/>
      <c r="AO146" s="237"/>
      <c r="AP146" s="258" t="str">
        <f>IF(BM146=0,"","X")</f>
        <v/>
      </c>
      <c r="AQ146" s="236">
        <f>IF(AL139=3,0,IF(AR146=1,1,IF(AR146=3,1,IF(AR146=2,0,IF(AR146=0,0,0)))))</f>
        <v>0</v>
      </c>
      <c r="AR146" s="256">
        <f t="shared" si="329"/>
        <v>0</v>
      </c>
      <c r="AS146" s="256">
        <f t="shared" si="322"/>
        <v>0</v>
      </c>
      <c r="AT146" s="256">
        <f t="shared" si="323"/>
        <v>0</v>
      </c>
      <c r="AU146" s="256">
        <f t="shared" si="330"/>
        <v>0</v>
      </c>
      <c r="AV146" s="257" t="str">
        <f>IF(AY146="",IF(AW146="","",IF(AW146="",501,501-AW146)),501)</f>
        <v/>
      </c>
      <c r="AW146" s="256" t="str">
        <f>IF(AL139=3,"",IF(U146&gt;1,U146,IF(U146=0,"",IF(U146="","",""))))</f>
        <v/>
      </c>
      <c r="AX146" s="256" t="str">
        <f>IF(AL139=3,"",IF(V146&gt;8,V146,IF(V146="","","")))</f>
        <v/>
      </c>
      <c r="AY146" s="256" t="str">
        <f>IF(AL139=3,"",IF(W146&gt;1,W146,IF(W146="","","")))</f>
        <v/>
      </c>
      <c r="AZ146" s="256" t="str">
        <f>IF(AL139=3,"",IF(X146&gt;0,X146,IF(X146="","","")))</f>
        <v/>
      </c>
      <c r="BA146" s="258" t="str">
        <f>IF(BL146=0,"","X")</f>
        <v/>
      </c>
      <c r="BK146" s="251">
        <f>IF(AL139=3,0,SUM(DD146,DV146,EY146,ED146,FF146,BQ146,BS146,AC146))</f>
        <v>0</v>
      </c>
      <c r="BL146" s="251">
        <f>SUM(DE146,DW146,EE146,FT146,GA146,BR146,BT146,AQ146)</f>
        <v>0</v>
      </c>
      <c r="BM146" s="259">
        <f>IF(AL139=3,0,SUM(DC146,BK146:BL146,AC146,AQ146))</f>
        <v>0</v>
      </c>
      <c r="BN146" s="239">
        <f>COUNT(AK146)</f>
        <v>0</v>
      </c>
      <c r="BO146" s="239">
        <f>COUNT(AY146)</f>
        <v>0</v>
      </c>
      <c r="BP146" s="239">
        <f>IF(BN148=0,0,1)</f>
        <v>0</v>
      </c>
      <c r="BQ146" s="260">
        <f>IF(AL146="",0,IF(AL146&gt;2,1,0))</f>
        <v>0</v>
      </c>
      <c r="BR146" s="261">
        <f>IF(AZ146="",0,IF(AZ146&gt;2,1,0))</f>
        <v>0</v>
      </c>
      <c r="BS146" s="262">
        <f>IF(AJ146=9,IF(AK146&lt;141,1,0),0)</f>
        <v>0</v>
      </c>
      <c r="BT146" s="263">
        <f>IF(AX146=9,IF(AY146&lt;141,1,0),0)</f>
        <v>0</v>
      </c>
      <c r="BU146" s="242">
        <f>IF(AL139=3,0,IF(H146,G146,0))</f>
        <v>0</v>
      </c>
      <c r="BV146" s="238">
        <f>IF(BU146&gt;0,AJ146/3,0)</f>
        <v>0</v>
      </c>
      <c r="BW146" s="238">
        <f>ROUNDUP(BV146,0)</f>
        <v>0</v>
      </c>
      <c r="BX146" s="244">
        <f>IF(MOD(BW146,2)=0,BW146,BW146+1)</f>
        <v>0</v>
      </c>
      <c r="BY146" s="238">
        <f>IF(AJ146&lt;9,"",SUM(BX146-BW146))</f>
        <v>0</v>
      </c>
      <c r="BZ146" s="238">
        <f>IF(BY146=1,AK146,0)</f>
        <v>0</v>
      </c>
      <c r="CA146" s="243" t="str">
        <f>IF(BY146=0,AK146,0)</f>
        <v/>
      </c>
      <c r="CB146" s="238"/>
      <c r="CC146" s="238"/>
      <c r="CD146" s="242">
        <f>IF(AL139=3,0,IF(W146,V146,0))</f>
        <v>0</v>
      </c>
      <c r="CE146" s="238">
        <f>IF(CD146&gt;0,AX146/3,0)</f>
        <v>0</v>
      </c>
      <c r="CF146" s="238">
        <f>ROUNDUP(CE146,0)</f>
        <v>0</v>
      </c>
      <c r="CG146" s="244">
        <f>IF(MOD(CF146,2)=0,CF146,CF146+1)</f>
        <v>0</v>
      </c>
      <c r="CH146" s="238">
        <f>IF(AX146&lt;9,"",SUM(CG146-CF146))</f>
        <v>0</v>
      </c>
      <c r="CI146" s="238">
        <f>IF(CH146=1,AY146,0)</f>
        <v>0</v>
      </c>
      <c r="CJ146" s="243" t="str">
        <f>IF(CH146=0,AY146,0)</f>
        <v/>
      </c>
      <c r="CK146" s="238"/>
      <c r="CL146" s="245">
        <f>IF(COUNT(F146,H146)=1,0,1)</f>
        <v>1</v>
      </c>
      <c r="CM146" s="245">
        <f>IF(COUNT(F146,U146)=1,0,1)</f>
        <v>1</v>
      </c>
      <c r="CN146" s="245">
        <f>IF(COUNT(H146,W146)=1,0,1)</f>
        <v>1</v>
      </c>
      <c r="CO146" s="245">
        <f>IF(COUNT(G146,V146)=2,0,1)</f>
        <v>1</v>
      </c>
      <c r="CP146" s="245">
        <f>IF(COUNT(U146,W146)=1,0,1)</f>
        <v>1</v>
      </c>
      <c r="CQ146" s="245">
        <f>IF(SUM(G146-V146)&gt;3,1,0)</f>
        <v>0</v>
      </c>
      <c r="CR146" s="245">
        <f>IF(SUM(G146-V146)&lt;-3,1,0)</f>
        <v>0</v>
      </c>
      <c r="CS146" s="264">
        <f>IF(AJ146=9,IF(AH146&lt;141,1,0),IF(AH146="",0,IF(AH146&gt;1,0,1)))</f>
        <v>0</v>
      </c>
      <c r="CT146" s="264">
        <f>IF(AX146=9,IF(AV146&lt;141,1,0),IF(AV146="",0,IF(AV146&gt;1,0,1)))</f>
        <v>0</v>
      </c>
      <c r="CU146" s="264">
        <f>IF(AI146="",0,IF(AI146&lt;502,0,1))</f>
        <v>0</v>
      </c>
      <c r="CV146" s="264">
        <f>IF(AW146="",0,IF(AW146&lt;502,0,1))</f>
        <v>0</v>
      </c>
      <c r="CW146" s="264">
        <f>IF(AI146="",IF(AJ146&lt;9,1,0),IF(AJ146&lt;9,1,0))</f>
        <v>0</v>
      </c>
      <c r="CX146" s="264">
        <f>IF(AW146="",IF(AX146&lt;9,1,0),IF(AX146&lt;9,1,0))</f>
        <v>0</v>
      </c>
      <c r="CY146" s="374"/>
      <c r="CZ146" s="374"/>
      <c r="DA146" s="374"/>
      <c r="DB146" s="374"/>
      <c r="DC146" s="265">
        <f>IF(AJ146="",0,SUM(CL146:CX146))</f>
        <v>0</v>
      </c>
      <c r="DD146" s="265">
        <f>IF(AJ146="",0,SUM(CL146,CS146,CU146,CW146))</f>
        <v>0</v>
      </c>
      <c r="DE146" s="265">
        <f>IF(AJ146="",0,SUM(CP146,CT146,CV146,CX146))</f>
        <v>0</v>
      </c>
      <c r="DF146" s="238"/>
      <c r="DG146" s="248">
        <f>IF(AL139=3,0,SUM(G146-V146))</f>
        <v>0</v>
      </c>
      <c r="DH146" s="245">
        <f>IF(F146="",0,1)</f>
        <v>0</v>
      </c>
      <c r="DI146" s="245">
        <f t="shared" si="332"/>
        <v>0</v>
      </c>
      <c r="DJ146" s="245">
        <f t="shared" si="333"/>
        <v>0</v>
      </c>
      <c r="DK146" s="245" t="str">
        <f>IF(G146="","",IF(DJ146=1,"*",""))</f>
        <v/>
      </c>
      <c r="DL146" s="245" t="str">
        <f>IF(AL139=3,"",IF(G146="","",IF(DJ146=-1,"*",IF(DJ146=0,"*",""))))</f>
        <v/>
      </c>
      <c r="DM146" s="245">
        <v>5</v>
      </c>
      <c r="DN146" s="245" t="str">
        <f t="shared" si="334"/>
        <v>5</v>
      </c>
      <c r="DO146" s="245" t="str">
        <f t="shared" si="335"/>
        <v>5</v>
      </c>
      <c r="DP146" s="245">
        <f>SUM(DP142)</f>
        <v>0</v>
      </c>
      <c r="DQ146" s="245">
        <f>SUM(DQ142)</f>
        <v>0</v>
      </c>
      <c r="DR146" s="245">
        <f t="shared" si="342"/>
        <v>0</v>
      </c>
      <c r="DS146" s="245">
        <f t="shared" si="343"/>
        <v>0</v>
      </c>
      <c r="DT146" s="245">
        <f t="shared" si="344"/>
        <v>0</v>
      </c>
      <c r="DU146" s="245">
        <f>IF(V146="",0,IF(DQ146=DS146,0,1))</f>
        <v>0</v>
      </c>
      <c r="DV146" s="267">
        <f t="shared" si="345"/>
        <v>0</v>
      </c>
      <c r="DW146" s="267">
        <f>IF(V146="",0,SUM(DU146))</f>
        <v>0</v>
      </c>
      <c r="DX146" s="238">
        <f>IF(AK146="",0,1)</f>
        <v>0</v>
      </c>
      <c r="DY146" s="238">
        <f>IF(DG146=-3,1,0)</f>
        <v>0</v>
      </c>
      <c r="DZ146" s="238">
        <f>SUM(DX146:DY146)</f>
        <v>0</v>
      </c>
      <c r="EA146" s="238">
        <f>IF(AK146="",1,0)</f>
        <v>1</v>
      </c>
      <c r="EB146" s="238">
        <f>IF(DG146=3,1,0)</f>
        <v>0</v>
      </c>
      <c r="EC146" s="238">
        <f>SUM(EA146:EB146)</f>
        <v>1</v>
      </c>
      <c r="ED146" s="267">
        <f>IF(EC146=2,1,0)</f>
        <v>0</v>
      </c>
      <c r="EE146" s="267">
        <f>IF(DZ146=2,1,0)</f>
        <v>0</v>
      </c>
      <c r="EG146" s="166"/>
      <c r="EH146" s="238"/>
      <c r="EI146" s="238"/>
      <c r="EJ146" s="238"/>
      <c r="EK146" s="238"/>
      <c r="EL146" s="238"/>
      <c r="EM146" s="245">
        <f>IF(AK146="",0,1)</f>
        <v>0</v>
      </c>
      <c r="EN146" s="245">
        <f>SUM(AK146)</f>
        <v>0</v>
      </c>
      <c r="EO146" s="268">
        <f>SUM(AJ146)</f>
        <v>0</v>
      </c>
      <c r="EP146" s="268">
        <f>SUM(G146/3)</f>
        <v>0</v>
      </c>
      <c r="EQ146" s="268" t="e">
        <f>SUM(EO146/EP146)</f>
        <v>#DIV/0!</v>
      </c>
      <c r="ER146" s="268">
        <f>ROUNDDOWN(EP146,0)</f>
        <v>0</v>
      </c>
      <c r="ES146" s="268">
        <f>SUM(EO146,-ER146*3)</f>
        <v>0</v>
      </c>
      <c r="ET146" s="269" t="b">
        <f>MOD(EN146/1,2)=0</f>
        <v>1</v>
      </c>
      <c r="EU146" s="245">
        <f>IF(ET146=FALSE,1,0)</f>
        <v>0</v>
      </c>
      <c r="EV146" s="245">
        <f>IF(EN146=50,0,IF(EN146&lt;40,1,0))</f>
        <v>1</v>
      </c>
      <c r="EW146" s="245">
        <f>SUM(EU146:EV146)</f>
        <v>1</v>
      </c>
      <c r="EX146" s="267">
        <f>IF(EN146=1,1,IF(EN146=50,0,IF(ES146=1,IF(EN146&gt;40,1,0),0)))</f>
        <v>0</v>
      </c>
      <c r="EY146" s="267">
        <f>IF(ES146=1,IF(EW146=2,1,0),0)+EX146+FB146+FE146</f>
        <v>0</v>
      </c>
      <c r="EZ146" s="245">
        <f>IF(EN146=109,1,IF(EN146=108,1,IF(EN146=106,1,IF(EN146=105,1,IF(EN146=103,1,IF(EN146=102,1,IF(EN146=99,1,0)))))))</f>
        <v>0</v>
      </c>
      <c r="FA146" s="245">
        <f>IF(EN146&gt;110,1,0)</f>
        <v>0</v>
      </c>
      <c r="FB146" s="267">
        <f>IF(ES146=2,SUM(EZ146:FA146),0)</f>
        <v>0</v>
      </c>
      <c r="FC146" s="245">
        <f>IF(EN146=159,1,IF(EN146=162,1,IF(EN146=163,1,IF(EN146=165,1,IF(EN146=166,1,IF(EN146=168,1,IF(EN146=169,1,0)))))))</f>
        <v>0</v>
      </c>
      <c r="FD146" s="245">
        <f>IF(EN146&gt;170,1,0)</f>
        <v>0</v>
      </c>
      <c r="FE146" s="267">
        <f>IF(ES146=0,SUM(FC146:FD146),0)</f>
        <v>0</v>
      </c>
      <c r="FF146" s="251">
        <f t="shared" si="336"/>
        <v>0</v>
      </c>
      <c r="FG146" s="238"/>
      <c r="FH146" s="245">
        <f>IF(AY146="",0,1)</f>
        <v>0</v>
      </c>
      <c r="FI146" s="245">
        <f>SUM(AY146)</f>
        <v>0</v>
      </c>
      <c r="FJ146" s="268">
        <f>SUM(AX146)</f>
        <v>0</v>
      </c>
      <c r="FK146" s="268">
        <f>SUM(V146/3)</f>
        <v>0</v>
      </c>
      <c r="FL146" s="268" t="e">
        <f>SUM(FJ146/FK146)</f>
        <v>#DIV/0!</v>
      </c>
      <c r="FM146" s="268">
        <f>ROUNDDOWN(FK146,0)</f>
        <v>0</v>
      </c>
      <c r="FN146" s="268">
        <f>SUM(FJ146,-FM146*3)</f>
        <v>0</v>
      </c>
      <c r="FO146" s="269" t="b">
        <f>MOD(FI146/1,2)=0</f>
        <v>1</v>
      </c>
      <c r="FP146" s="245">
        <f>IF(FO146=FALSE,1,0)</f>
        <v>0</v>
      </c>
      <c r="FQ146" s="245">
        <f>IF(FI146=50,0,IF(FI146&lt;40,1,0))</f>
        <v>1</v>
      </c>
      <c r="FR146" s="245">
        <f>SUM(FP146:FQ146)</f>
        <v>1</v>
      </c>
      <c r="FS146" s="267">
        <f>IF(FI146=1,1,IF(FI146=50,0,IF(FN146=1,IF(FI146&gt;40,1,0),0)))</f>
        <v>0</v>
      </c>
      <c r="FT146" s="267">
        <f>IF(FN146=1,IF(FR146=2,1,0),0)+FS146+FW146+FZ146</f>
        <v>0</v>
      </c>
      <c r="FU146" s="245">
        <f>IF(FI146=109,1,IF(FI146=108,1,IF(FI146=106,1,IF(FI146=105,1,IF(FI146=103,1,IF(FI146=102,1,IF(FI146=99,1,0)))))))</f>
        <v>0</v>
      </c>
      <c r="FV146" s="245">
        <f>IF(FI146&gt;110,1,0)</f>
        <v>0</v>
      </c>
      <c r="FW146" s="267">
        <f>IF(FN146=2,SUM(FU146:FV146),0)</f>
        <v>0</v>
      </c>
      <c r="FX146" s="245">
        <f>IF(FI146=159,1,IF(FI146=162,1,IF(FI146=163,1,IF(FI146=165,1,IF(FI146=166,1,IF(FI146=168,1,IF(FI146=169,1,0)))))))</f>
        <v>0</v>
      </c>
      <c r="FY146" s="245">
        <f>IF(FI146&gt;170,1,0)</f>
        <v>0</v>
      </c>
      <c r="FZ146" s="267">
        <f>IF(FN146=0,SUM(FX146:FY146),0)</f>
        <v>0</v>
      </c>
      <c r="GA146" s="251">
        <f t="shared" si="337"/>
        <v>0</v>
      </c>
      <c r="GC146" s="238" t="str">
        <f>VLOOKUP(AH139,Chema!BL:BR,5,FALSE)</f>
        <v>GD 1.2.2</v>
      </c>
      <c r="GD146" s="341"/>
      <c r="GE146" s="343" t="str">
        <f>IF(R150="","",SUM(R150))</f>
        <v/>
      </c>
      <c r="GF146" s="340"/>
      <c r="GG146" s="346"/>
      <c r="GH146" s="343">
        <f>IF(GH145&gt;0,1,0)</f>
        <v>0</v>
      </c>
      <c r="GI146" s="346"/>
      <c r="GJ146" s="343"/>
      <c r="GK146" s="346"/>
      <c r="GL146" s="343">
        <f>IF(GL145&gt;0,1,0)</f>
        <v>0</v>
      </c>
      <c r="GM146" s="343"/>
      <c r="GN146" s="343"/>
      <c r="GO146" s="346"/>
      <c r="GP146" s="343">
        <f>IF(GP145&gt;0,1,0)</f>
        <v>0</v>
      </c>
      <c r="GQ146" s="343"/>
      <c r="GR146" s="343"/>
      <c r="GS146" s="346"/>
      <c r="GT146" s="343">
        <f>IF(GT145&gt;0,1,0)</f>
        <v>0</v>
      </c>
      <c r="GU146" s="343"/>
      <c r="GV146" s="343"/>
      <c r="GW146" s="346"/>
      <c r="GX146" s="343">
        <f>IF(GX145&gt;0,1,0)</f>
        <v>0</v>
      </c>
      <c r="GY146" s="340"/>
      <c r="GZ146" s="343"/>
      <c r="HA146" s="343"/>
      <c r="HB146" s="343" t="str">
        <f>IF(GD142=1,P150,"")</f>
        <v/>
      </c>
      <c r="HC146" s="343">
        <f>IF(GD142=1,X150,"")</f>
        <v>0</v>
      </c>
      <c r="HD146" s="340"/>
      <c r="HE146" s="340"/>
      <c r="HF146" s="340"/>
      <c r="HG146" s="340">
        <f>IF(HG144=HM142,0,IF(HG144=HM146,0,1))</f>
        <v>0</v>
      </c>
      <c r="HH146" s="340">
        <f>IF(HH143=HH145,1,0)</f>
        <v>1</v>
      </c>
      <c r="HI146" s="340"/>
      <c r="HJ146" s="340"/>
      <c r="HK146" s="340"/>
      <c r="HL146" s="340"/>
      <c r="HM146" s="341">
        <f>COUNT(HI145,HJ145,HK145,HL145,HM145)</f>
        <v>0</v>
      </c>
      <c r="HN146" s="341"/>
      <c r="HO146" s="341"/>
      <c r="HP146" s="341"/>
      <c r="HQ146" s="341"/>
      <c r="HR146" s="341"/>
      <c r="HS146" s="238"/>
      <c r="HT146" s="238"/>
      <c r="HU146" s="238"/>
      <c r="HV146" s="238"/>
      <c r="HX146" s="238"/>
      <c r="HY146" s="238"/>
      <c r="ID146" s="238"/>
    </row>
    <row r="147" spans="1:238" s="234" customFormat="1" ht="6.6" customHeight="1">
      <c r="A147" s="235"/>
      <c r="B147" s="231"/>
      <c r="C147" s="310"/>
      <c r="D147" s="310"/>
      <c r="E147" s="310"/>
      <c r="F147" s="310"/>
      <c r="G147" s="313"/>
      <c r="H147" s="310"/>
      <c r="I147" s="310"/>
      <c r="J147" s="273"/>
      <c r="K147" s="313"/>
      <c r="O147" s="118"/>
      <c r="R147" s="310"/>
      <c r="S147" s="310"/>
      <c r="T147" s="310"/>
      <c r="U147" s="310"/>
      <c r="V147" s="313"/>
      <c r="W147" s="310"/>
      <c r="X147" s="310"/>
      <c r="Y147" s="273"/>
      <c r="Z147" s="308"/>
      <c r="AA147" s="274"/>
      <c r="AD147" s="235"/>
      <c r="AE147" s="237">
        <f>IF(AF147=0,0,1)</f>
        <v>0</v>
      </c>
      <c r="AF147" s="237">
        <f>IF(AL147=0,0,SUM(AL149:AL150,-AL148))</f>
        <v>0</v>
      </c>
      <c r="AG147" s="237"/>
      <c r="AH147" s="275">
        <f>SUM(AH142,AH143,AH144,AH145,AH146)</f>
        <v>0</v>
      </c>
      <c r="AI147" s="275">
        <f t="shared" ref="AI147" si="349">SUM(AI142,AI143,AI144,AI145,AI146)</f>
        <v>0</v>
      </c>
      <c r="AJ147" s="275">
        <f t="shared" ref="AJ147" si="350">SUM(AJ142,AJ143,AJ144,AJ145,AJ146)</f>
        <v>0</v>
      </c>
      <c r="AK147" s="275">
        <f>MAX(AK142,AK143,AK144,AK145,AK146)</f>
        <v>0</v>
      </c>
      <c r="AL147" s="275">
        <f t="shared" ref="AL147" si="351">SUM(AL142,AL143,AL144,AL145,AL146)</f>
        <v>0</v>
      </c>
      <c r="AM147" s="275">
        <f>IF(AK139="D",SUM(AL142,AL143,AL144,AL145,AL146,-AL149,-AL150),0)</f>
        <v>0</v>
      </c>
      <c r="AN147" s="235"/>
      <c r="AO147" s="235"/>
      <c r="AP147" s="235"/>
      <c r="AQ147" s="235"/>
      <c r="AR147" s="235"/>
      <c r="AS147" s="237">
        <f>IF(AT147=0,0,1)</f>
        <v>0</v>
      </c>
      <c r="AT147" s="237">
        <f>IF(AZ147=0,0,SUM(AZ149:AZ150,-AZ148))</f>
        <v>0</v>
      </c>
      <c r="AU147" s="237"/>
      <c r="AV147" s="275">
        <f>SUM(AV142,AV143,AV144,AV145,AV146)</f>
        <v>0</v>
      </c>
      <c r="AW147" s="275">
        <f t="shared" ref="AW147" si="352">SUM(AW142,AW143,AW144,AW145,AW146)</f>
        <v>0</v>
      </c>
      <c r="AX147" s="275">
        <f t="shared" ref="AX147" si="353">SUM(AX142,AX143,AX144,AX145,AX146)</f>
        <v>0</v>
      </c>
      <c r="AY147" s="275">
        <f>MAX(AY142,AY143,AY144,AY145,AY146)</f>
        <v>0</v>
      </c>
      <c r="AZ147" s="275">
        <f t="shared" ref="AZ147" si="354">SUM(AZ142,AZ143,AZ144,AZ145,AZ146)</f>
        <v>0</v>
      </c>
      <c r="BA147" s="275">
        <f>IF(AK139="D",SUM(AZ142,AZ143,AZ144,AZ145,AZ146,-AZ149,-AZ150),0)</f>
        <v>0</v>
      </c>
      <c r="BJ147" s="236"/>
      <c r="BK147" s="238"/>
      <c r="BL147" s="238"/>
      <c r="BM147" s="238"/>
      <c r="BP147" s="238"/>
      <c r="BQ147" s="238"/>
      <c r="BR147" s="238"/>
      <c r="BS147" s="238"/>
      <c r="BT147" s="238"/>
      <c r="BU147" s="238"/>
      <c r="BY147" s="238"/>
      <c r="BZ147" s="238">
        <f>MAX(BZ142,BZ143,BZ144,BZ145,BZ146)</f>
        <v>0</v>
      </c>
      <c r="CA147" s="238">
        <f>MAX(CA142,CA143,CA144,CA145,CA146)</f>
        <v>0</v>
      </c>
      <c r="CB147" s="238"/>
      <c r="CC147" s="238"/>
      <c r="CD147" s="238"/>
      <c r="CG147" s="244"/>
      <c r="CH147" s="238"/>
      <c r="CI147" s="238">
        <f>MAX(CI142,CI143,CI144,CI145,CI146)</f>
        <v>0</v>
      </c>
      <c r="CJ147" s="238">
        <f>MAX(CJ142,CJ143,CJ144,CJ145,CJ146)</f>
        <v>0</v>
      </c>
      <c r="CK147" s="238"/>
      <c r="CL147" s="238"/>
      <c r="CM147" s="238"/>
      <c r="CN147" s="238"/>
      <c r="CO147" s="238"/>
      <c r="CP147" s="238"/>
      <c r="CQ147" s="238"/>
      <c r="CR147" s="238"/>
      <c r="CS147" s="238"/>
      <c r="CT147" s="238"/>
      <c r="CU147" s="238"/>
      <c r="CV147" s="238"/>
      <c r="CW147" s="238"/>
      <c r="CX147" s="238"/>
      <c r="CY147" s="238"/>
      <c r="CZ147" s="238"/>
      <c r="DA147" s="238"/>
      <c r="DB147" s="238"/>
      <c r="DC147" s="238"/>
      <c r="DD147" s="238"/>
      <c r="DE147" s="238"/>
      <c r="DF147" s="238"/>
      <c r="DG147" s="238"/>
      <c r="DH147" s="238"/>
      <c r="DI147" s="238"/>
      <c r="DJ147" s="238"/>
      <c r="DK147" s="238"/>
      <c r="DL147" s="238"/>
      <c r="DM147" s="238"/>
      <c r="DN147" s="238"/>
      <c r="DO147" s="238"/>
      <c r="DP147" s="238"/>
      <c r="DQ147" s="238"/>
      <c r="DR147" s="238"/>
      <c r="DS147" s="238"/>
      <c r="DT147" s="238"/>
      <c r="DU147" s="238"/>
      <c r="DV147" s="238"/>
      <c r="DW147" s="238"/>
      <c r="DX147" s="238"/>
      <c r="DY147" s="238"/>
      <c r="DZ147" s="238"/>
      <c r="EA147" s="238"/>
      <c r="EB147" s="238"/>
      <c r="EC147" s="238"/>
      <c r="ED147" s="238"/>
      <c r="EE147" s="238"/>
      <c r="EF147" s="238"/>
      <c r="EG147" s="238"/>
      <c r="EH147" s="238"/>
      <c r="EI147" s="238"/>
      <c r="EJ147" s="238"/>
      <c r="EK147" s="238"/>
      <c r="EL147" s="238"/>
      <c r="EM147" s="166"/>
      <c r="EN147" s="166"/>
      <c r="EO147" s="166"/>
      <c r="EP147" s="238">
        <f>SUM(EN147-EO147)</f>
        <v>0</v>
      </c>
      <c r="EQ147" s="238"/>
      <c r="ER147" s="238"/>
      <c r="ES147" s="238"/>
      <c r="ET147" s="244"/>
      <c r="EU147" s="238"/>
      <c r="EV147" s="238"/>
      <c r="EW147" s="238"/>
      <c r="EX147" s="238"/>
      <c r="EY147" s="238"/>
      <c r="EZ147" s="238"/>
      <c r="FA147" s="238"/>
      <c r="FB147" s="238"/>
      <c r="FC147" s="238"/>
      <c r="FD147" s="238"/>
      <c r="FE147" s="238"/>
      <c r="FF147" s="238"/>
      <c r="FG147" s="238"/>
      <c r="FH147" s="238"/>
      <c r="FI147" s="238"/>
      <c r="FJ147" s="238"/>
      <c r="FK147" s="238"/>
      <c r="FL147" s="238"/>
      <c r="FM147" s="238"/>
      <c r="FN147" s="238"/>
      <c r="FO147" s="244"/>
      <c r="FP147" s="238"/>
      <c r="FQ147" s="238"/>
      <c r="FR147" s="238"/>
      <c r="FS147" s="238"/>
      <c r="FT147" s="238"/>
      <c r="FU147" s="238"/>
      <c r="FV147" s="238"/>
      <c r="FW147" s="238"/>
      <c r="FX147" s="238"/>
      <c r="FY147" s="238"/>
      <c r="FZ147" s="238"/>
      <c r="GA147" s="238"/>
      <c r="GB147" s="238"/>
      <c r="GC147" s="238"/>
      <c r="GD147" s="341"/>
      <c r="GE147" s="340"/>
      <c r="GF147" s="340"/>
      <c r="GG147" s="340"/>
      <c r="GH147" s="340"/>
      <c r="GI147" s="340"/>
      <c r="GJ147" s="340"/>
      <c r="GK147" s="340"/>
      <c r="GL147" s="340"/>
      <c r="GM147" s="340"/>
      <c r="GN147" s="340"/>
      <c r="GO147" s="340"/>
      <c r="GP147" s="340"/>
      <c r="GQ147" s="340"/>
      <c r="GR147" s="340"/>
      <c r="GS147" s="340"/>
      <c r="GT147" s="340"/>
      <c r="GU147" s="340"/>
      <c r="GV147" s="340"/>
      <c r="GW147" s="340"/>
      <c r="GX147" s="340"/>
      <c r="GY147" s="340"/>
      <c r="GZ147" s="340"/>
      <c r="HA147" s="340"/>
      <c r="HB147" s="340"/>
      <c r="HC147" s="340"/>
      <c r="HD147" s="341"/>
      <c r="HE147" s="341"/>
      <c r="HF147" s="341"/>
      <c r="HG147" s="341"/>
      <c r="HH147" s="341"/>
      <c r="HI147" s="341"/>
      <c r="HJ147" s="341"/>
      <c r="HK147" s="341"/>
      <c r="HL147" s="341"/>
      <c r="HM147" s="341"/>
      <c r="HN147" s="341"/>
      <c r="HO147" s="341"/>
      <c r="HP147" s="341"/>
      <c r="HQ147" s="341"/>
      <c r="HR147" s="341"/>
      <c r="HS147" s="238"/>
      <c r="HT147" s="238"/>
      <c r="HU147" s="238"/>
      <c r="HV147" s="238"/>
      <c r="HX147" s="238"/>
      <c r="HY147" s="238"/>
      <c r="ID147" s="238"/>
    </row>
    <row r="148" spans="1:238" s="234" customFormat="1" ht="20.100000000000001" customHeight="1">
      <c r="A148" s="235"/>
      <c r="B148" s="231"/>
      <c r="C148" s="314" t="s">
        <v>771</v>
      </c>
      <c r="D148" s="276" t="str">
        <f>REPT(Sprache!$K$58,1)</f>
        <v>Spieler</v>
      </c>
      <c r="E148" s="277" t="str">
        <f>REPT(Sprache!$K$33,1)</f>
        <v>Name / Vorname</v>
      </c>
      <c r="F148" s="278"/>
      <c r="G148" s="278"/>
      <c r="H148" s="279"/>
      <c r="I148" s="280"/>
      <c r="J148" s="281" t="str">
        <f>REPT(AM148,1)</f>
        <v/>
      </c>
      <c r="L148" s="306" t="s">
        <v>848</v>
      </c>
      <c r="M148" s="238"/>
      <c r="P148" s="306" t="s">
        <v>848</v>
      </c>
      <c r="R148" s="314" t="s">
        <v>771</v>
      </c>
      <c r="S148" s="276" t="str">
        <f>REPT(Sprache!$K$58,1)</f>
        <v>Spieler</v>
      </c>
      <c r="T148" s="277" t="str">
        <f>REPT(Sprache!$K$33,1)</f>
        <v>Name / Vorname</v>
      </c>
      <c r="U148" s="278"/>
      <c r="V148" s="278"/>
      <c r="W148" s="279"/>
      <c r="X148" s="280"/>
      <c r="Y148" s="281" t="str">
        <f>REPT(BA148,1)</f>
        <v/>
      </c>
      <c r="Z148" s="308"/>
      <c r="AD148" s="235"/>
      <c r="AE148" s="235"/>
      <c r="AF148" s="237" t="s">
        <v>771</v>
      </c>
      <c r="AG148" s="282" t="s">
        <v>877</v>
      </c>
      <c r="AH148" s="283" t="str">
        <f>IF(AH147=0,"",AH147)</f>
        <v/>
      </c>
      <c r="AI148" s="283" t="str">
        <f>IF(AI147=0,"",AI147)</f>
        <v/>
      </c>
      <c r="AJ148" s="283" t="str">
        <f>IF(AJ147=0,"",AJ147)</f>
        <v/>
      </c>
      <c r="AK148" s="283" t="str">
        <f>IF(AK147=0,"",AK147)</f>
        <v/>
      </c>
      <c r="AL148" s="283" t="str">
        <f>IF(AL147=0,"",AL147)</f>
        <v/>
      </c>
      <c r="AM148" s="258" t="str">
        <f>IF(AK139="D",IF(AF147=0,"","X"),"")</f>
        <v/>
      </c>
      <c r="AN148" s="235"/>
      <c r="AO148" s="235"/>
      <c r="AP148" s="284"/>
      <c r="AQ148" s="235"/>
      <c r="AR148" s="235"/>
      <c r="AS148" s="235"/>
      <c r="AT148" s="237" t="s">
        <v>771</v>
      </c>
      <c r="AU148" s="282" t="s">
        <v>877</v>
      </c>
      <c r="AV148" s="283" t="str">
        <f>IF(AV147=0,"",AV147)</f>
        <v/>
      </c>
      <c r="AW148" s="283" t="str">
        <f>IF(AW147=0,"",AW147)</f>
        <v/>
      </c>
      <c r="AX148" s="283" t="str">
        <f>IF(AX147=0,"",AX147)</f>
        <v/>
      </c>
      <c r="AY148" s="283" t="str">
        <f>IF(AY147=0,"",AY147)</f>
        <v/>
      </c>
      <c r="AZ148" s="421" t="str">
        <f>IF(AZ147=0,"",AZ147)</f>
        <v/>
      </c>
      <c r="BA148" s="258" t="str">
        <f>IF(AK139="D",IF(AT147=0,"","X"),"")</f>
        <v/>
      </c>
      <c r="BJ148" s="236"/>
      <c r="BK148" s="238"/>
      <c r="BL148" s="244">
        <f>IF(BM148=0,0,1)</f>
        <v>0</v>
      </c>
      <c r="BM148" s="244">
        <f>SUM(BM142,BM143,BM144,BM145,BM146,HH144,AN149,AN150,BB149,BB150)</f>
        <v>0</v>
      </c>
      <c r="BN148" s="166">
        <f t="shared" ref="BN148:BO148" si="355">SUM(BN142,BN143,BN144,BN145,BN146)</f>
        <v>0</v>
      </c>
      <c r="BO148" s="166">
        <f t="shared" si="355"/>
        <v>0</v>
      </c>
      <c r="BP148" s="244"/>
      <c r="BQ148" s="238"/>
      <c r="BR148" s="238"/>
      <c r="BS148" s="238"/>
      <c r="BT148" s="238"/>
      <c r="BU148" s="238"/>
      <c r="BV148" s="238"/>
      <c r="BW148" s="238"/>
      <c r="BX148" s="236"/>
      <c r="BY148" s="238"/>
      <c r="BZ148" s="238"/>
      <c r="CA148" s="238"/>
      <c r="CB148" s="238"/>
      <c r="CC148" s="238"/>
      <c r="CD148" s="238"/>
      <c r="CE148" s="238"/>
      <c r="CF148" s="238"/>
      <c r="CG148" s="244"/>
      <c r="CH148" s="238"/>
      <c r="CI148" s="238"/>
      <c r="CJ148" s="238"/>
      <c r="CK148" s="238"/>
      <c r="CL148" s="238"/>
      <c r="CM148" s="238"/>
      <c r="CN148" s="238"/>
      <c r="CO148" s="238"/>
      <c r="CP148" s="238"/>
      <c r="CQ148" s="238"/>
      <c r="CR148" s="238"/>
      <c r="CS148" s="238"/>
      <c r="CT148" s="238"/>
      <c r="CU148" s="238"/>
      <c r="CV148" s="238"/>
      <c r="CW148" s="238"/>
      <c r="CX148" s="238"/>
      <c r="CY148" s="238"/>
      <c r="CZ148" s="238"/>
      <c r="DA148" s="238"/>
      <c r="DB148" s="238"/>
      <c r="DC148" s="238"/>
      <c r="DD148" s="238"/>
      <c r="DE148" s="238"/>
      <c r="DF148" s="238"/>
      <c r="DG148" s="238"/>
      <c r="DH148" s="238"/>
      <c r="DI148" s="238"/>
      <c r="DJ148" s="238"/>
      <c r="DK148" s="238"/>
      <c r="DL148" s="238"/>
      <c r="DM148" s="238"/>
      <c r="DN148" s="238"/>
      <c r="DO148" s="238"/>
      <c r="DP148" s="238"/>
      <c r="DQ148" s="238"/>
      <c r="DR148" s="238"/>
      <c r="DS148" s="238"/>
      <c r="DT148" s="238"/>
      <c r="DU148" s="238"/>
      <c r="DV148" s="238"/>
      <c r="DW148" s="238"/>
      <c r="DX148" s="238"/>
      <c r="DY148" s="238"/>
      <c r="DZ148" s="238"/>
      <c r="EA148" s="238"/>
      <c r="EB148" s="238"/>
      <c r="EC148" s="238"/>
      <c r="ED148" s="238"/>
      <c r="EE148" s="238"/>
      <c r="EF148" s="238"/>
      <c r="EG148" s="238"/>
      <c r="EH148" s="238"/>
      <c r="EI148" s="238"/>
      <c r="EJ148" s="238"/>
      <c r="EK148" s="238"/>
      <c r="EL148" s="238"/>
      <c r="EM148" s="238"/>
      <c r="EN148" s="238"/>
      <c r="EO148" s="238"/>
      <c r="EP148" s="238"/>
      <c r="EQ148" s="238"/>
      <c r="ER148" s="238"/>
      <c r="ES148" s="238"/>
      <c r="ET148" s="244"/>
      <c r="EU148" s="238"/>
      <c r="EV148" s="238"/>
      <c r="EW148" s="238"/>
      <c r="EX148" s="238"/>
      <c r="EY148" s="238"/>
      <c r="EZ148" s="238"/>
      <c r="FA148" s="238"/>
      <c r="FB148" s="238"/>
      <c r="FC148" s="238"/>
      <c r="FD148" s="238"/>
      <c r="FE148" s="238"/>
      <c r="FF148" s="238"/>
      <c r="FG148" s="238"/>
      <c r="FH148" s="238"/>
      <c r="FI148" s="238"/>
      <c r="FJ148" s="238"/>
      <c r="FK148" s="238"/>
      <c r="FL148" s="238"/>
      <c r="FM148" s="238"/>
      <c r="FN148" s="238"/>
      <c r="FO148" s="244"/>
      <c r="FP148" s="238"/>
      <c r="FQ148" s="238"/>
      <c r="FR148" s="238"/>
      <c r="FS148" s="238"/>
      <c r="FT148" s="238"/>
      <c r="FU148" s="238"/>
      <c r="FV148" s="238"/>
      <c r="FW148" s="238"/>
      <c r="FX148" s="238"/>
      <c r="FY148" s="238"/>
      <c r="FZ148" s="238"/>
      <c r="GA148" s="238"/>
      <c r="GB148" s="238"/>
      <c r="GC148" s="238"/>
      <c r="GD148" s="341"/>
      <c r="GE148" s="340"/>
      <c r="GF148" s="340"/>
      <c r="GG148" s="340"/>
      <c r="GH148" s="340"/>
      <c r="GI148" s="340"/>
      <c r="GJ148" s="340"/>
      <c r="GK148" s="340"/>
      <c r="GL148" s="340"/>
      <c r="GM148" s="340"/>
      <c r="GN148" s="340"/>
      <c r="GO148" s="340"/>
      <c r="GP148" s="340"/>
      <c r="GQ148" s="340"/>
      <c r="GR148" s="340"/>
      <c r="GS148" s="340"/>
      <c r="GT148" s="340"/>
      <c r="GU148" s="340"/>
      <c r="GV148" s="340"/>
      <c r="GW148" s="340"/>
      <c r="GX148" s="340"/>
      <c r="GY148" s="340"/>
      <c r="GZ148" s="340"/>
      <c r="HA148" s="340"/>
      <c r="HB148" s="340"/>
      <c r="HC148" s="340"/>
      <c r="HD148" s="341"/>
      <c r="HE148" s="341"/>
      <c r="HF148" s="341"/>
      <c r="HG148" s="341"/>
      <c r="HH148" s="341"/>
      <c r="HI148" s="341"/>
      <c r="HJ148" s="341"/>
      <c r="HK148" s="341"/>
      <c r="HL148" s="341"/>
      <c r="HM148" s="341"/>
      <c r="HN148" s="341"/>
      <c r="HO148" s="341"/>
      <c r="HP148" s="341"/>
      <c r="HQ148" s="341"/>
      <c r="HR148" s="341"/>
      <c r="HS148" s="238"/>
      <c r="HT148" s="238"/>
      <c r="HU148" s="238"/>
      <c r="HV148" s="238"/>
      <c r="HX148" s="238"/>
      <c r="HY148" s="238"/>
      <c r="ID148" s="238"/>
    </row>
    <row r="149" spans="1:238" s="234" customFormat="1" ht="20.100000000000001" customHeight="1">
      <c r="A149" s="235"/>
      <c r="B149" s="231"/>
      <c r="C149" s="285" t="str">
        <f>IF(AF149="","",SUM(AF149))</f>
        <v/>
      </c>
      <c r="D149" s="286">
        <f>IF(AK139="D",1,"")</f>
        <v>1</v>
      </c>
      <c r="E149" s="287" t="str">
        <f>IF(C149="","",VLOOKUP(C149,Licenses!B:C,2,FALSE))</f>
        <v/>
      </c>
      <c r="F149" s="288"/>
      <c r="G149" s="288"/>
      <c r="H149" s="289"/>
      <c r="I149" s="169"/>
      <c r="J149" s="270" t="str">
        <f>REPT(AM149,1)</f>
        <v/>
      </c>
      <c r="L149" s="290" t="str">
        <f>IF(AK139="D",AK149,IF(AK148="","",AK148))</f>
        <v/>
      </c>
      <c r="M149" s="311"/>
      <c r="P149" s="290" t="str">
        <f>IF(AK139="D",AY149,IF(AY148="","",AY148))</f>
        <v/>
      </c>
      <c r="R149" s="291" t="str">
        <f>IF(AT149="","",SUM(AT149))</f>
        <v/>
      </c>
      <c r="S149" s="286">
        <f>IF(AK139="D",1,"")</f>
        <v>1</v>
      </c>
      <c r="T149" s="292" t="str">
        <f>IF(R149="","",VLOOKUP(R149,Licenses!B:C,2,FALSE))</f>
        <v/>
      </c>
      <c r="U149" s="293"/>
      <c r="V149" s="293"/>
      <c r="W149" s="294"/>
      <c r="X149" s="169"/>
      <c r="Y149" s="270" t="str">
        <f>REPT(BA149,1)</f>
        <v/>
      </c>
      <c r="Z149" s="308"/>
      <c r="AD149" s="235"/>
      <c r="AE149" s="235"/>
      <c r="AF149" s="256" t="str">
        <f>IF(AM139="","",SUM(AM139))</f>
        <v/>
      </c>
      <c r="AG149" s="237"/>
      <c r="AH149" s="256"/>
      <c r="AI149" s="256"/>
      <c r="AJ149" s="256"/>
      <c r="AK149" s="256" t="str">
        <f>IF(BZ147&gt;1,BZ147,"")</f>
        <v/>
      </c>
      <c r="AL149" s="257">
        <f>IF(AK139="D",SUM(I149),0)</f>
        <v>0</v>
      </c>
      <c r="AM149" s="258" t="str">
        <f>IF(AM147=0,IF(AL149&lt;6,"","X"),"X")</f>
        <v/>
      </c>
      <c r="AN149" s="347" t="str">
        <f>IF(AM147=0,IF(AL149&lt;6,"",1),1)</f>
        <v/>
      </c>
      <c r="AO149" s="235"/>
      <c r="AP149" s="236"/>
      <c r="AQ149" s="235"/>
      <c r="AR149" s="235"/>
      <c r="AS149" s="235"/>
      <c r="AT149" s="256" t="str">
        <f>IF(BA139="","",SUM(BA139))</f>
        <v/>
      </c>
      <c r="AU149" s="237"/>
      <c r="AV149" s="256"/>
      <c r="AW149" s="256"/>
      <c r="AX149" s="256"/>
      <c r="AY149" s="256" t="str">
        <f>IF(CI147&gt;1,CI147,"")</f>
        <v/>
      </c>
      <c r="AZ149" s="257">
        <f>IF(AK139="D",SUM(X149),0)</f>
        <v>0</v>
      </c>
      <c r="BA149" s="258" t="str">
        <f>IF(BA147=0,IF(AZ149&lt;6,"","X"),"X")</f>
        <v/>
      </c>
      <c r="BB149" s="347" t="str">
        <f>IF(BA147=0,IF(AZ149&lt;6,"",1),1)</f>
        <v/>
      </c>
      <c r="BC149" s="236"/>
      <c r="BD149" s="236"/>
      <c r="BE149" s="236"/>
      <c r="BF149" s="236"/>
      <c r="BG149" s="236"/>
      <c r="BH149" s="236"/>
      <c r="BI149" s="236"/>
      <c r="BJ149" s="236"/>
      <c r="BK149" s="238"/>
      <c r="BL149" s="238"/>
      <c r="BM149" s="295"/>
      <c r="BN149" s="295"/>
      <c r="BO149" s="295"/>
      <c r="BP149" s="295"/>
      <c r="BQ149" s="295"/>
      <c r="BR149" s="295"/>
      <c r="BS149" s="295"/>
      <c r="BT149" s="295"/>
      <c r="BU149" s="295"/>
      <c r="BV149" s="295"/>
      <c r="BW149" s="295"/>
      <c r="BX149" s="236"/>
      <c r="BY149" s="295"/>
      <c r="BZ149" s="295"/>
      <c r="CA149" s="295"/>
      <c r="CB149" s="295"/>
      <c r="CC149" s="295"/>
      <c r="CD149" s="295"/>
      <c r="CE149" s="295"/>
      <c r="CF149" s="295"/>
      <c r="CG149" s="296"/>
      <c r="CH149" s="295"/>
      <c r="CI149" s="295"/>
      <c r="CJ149" s="295"/>
      <c r="CK149" s="238"/>
      <c r="CL149" s="238"/>
      <c r="CM149" s="238"/>
      <c r="CN149" s="238"/>
      <c r="CO149" s="238"/>
      <c r="CP149" s="238"/>
      <c r="CQ149" s="238"/>
      <c r="CR149" s="238"/>
      <c r="CS149" s="238"/>
      <c r="CT149" s="238"/>
      <c r="CU149" s="238"/>
      <c r="CV149" s="238"/>
      <c r="CW149" s="238"/>
      <c r="CX149" s="238"/>
      <c r="CY149" s="238"/>
      <c r="CZ149" s="238"/>
      <c r="DA149" s="238"/>
      <c r="DB149" s="238"/>
      <c r="DC149" s="238"/>
      <c r="DD149" s="238"/>
      <c r="DE149" s="238"/>
      <c r="DF149" s="238"/>
      <c r="DG149" s="238"/>
      <c r="DH149" s="238"/>
      <c r="DI149" s="238"/>
      <c r="DJ149" s="238"/>
      <c r="DK149" s="238"/>
      <c r="DL149" s="238"/>
      <c r="DM149" s="238"/>
      <c r="DN149" s="238"/>
      <c r="DO149" s="238"/>
      <c r="DP149" s="238"/>
      <c r="DQ149" s="238"/>
      <c r="DR149" s="238"/>
      <c r="DS149" s="238"/>
      <c r="DT149" s="238"/>
      <c r="DU149" s="238"/>
      <c r="DV149" s="238"/>
      <c r="DW149" s="238"/>
      <c r="DX149" s="238"/>
      <c r="DY149" s="238"/>
      <c r="DZ149" s="238"/>
      <c r="EA149" s="238"/>
      <c r="EB149" s="238"/>
      <c r="EC149" s="238"/>
      <c r="ED149" s="238"/>
      <c r="EE149" s="238"/>
      <c r="EF149" s="238"/>
      <c r="EG149" s="238"/>
      <c r="EH149" s="238"/>
      <c r="EI149" s="238"/>
      <c r="EJ149" s="238"/>
      <c r="EK149" s="238"/>
      <c r="EL149" s="238"/>
      <c r="EM149" s="238"/>
      <c r="EN149" s="238"/>
      <c r="EO149" s="238"/>
      <c r="EP149" s="238"/>
      <c r="EQ149" s="238"/>
      <c r="ER149" s="238"/>
      <c r="ES149" s="238"/>
      <c r="ET149" s="244"/>
      <c r="EU149" s="238"/>
      <c r="EV149" s="238"/>
      <c r="EW149" s="238"/>
      <c r="EX149" s="238"/>
      <c r="EY149" s="238"/>
      <c r="EZ149" s="238"/>
      <c r="FA149" s="238"/>
      <c r="FB149" s="238"/>
      <c r="FC149" s="238"/>
      <c r="FD149" s="238"/>
      <c r="FE149" s="238"/>
      <c r="FF149" s="238"/>
      <c r="FG149" s="238"/>
      <c r="FH149" s="238"/>
      <c r="FI149" s="238"/>
      <c r="FJ149" s="238"/>
      <c r="FK149" s="238"/>
      <c r="FL149" s="238"/>
      <c r="FM149" s="238"/>
      <c r="FN149" s="238"/>
      <c r="FO149" s="244"/>
      <c r="FP149" s="238"/>
      <c r="FQ149" s="238"/>
      <c r="FR149" s="238"/>
      <c r="FS149" s="238"/>
      <c r="FT149" s="238"/>
      <c r="FU149" s="238"/>
      <c r="FV149" s="238"/>
      <c r="FW149" s="238"/>
      <c r="FX149" s="238"/>
      <c r="FY149" s="238"/>
      <c r="FZ149" s="238"/>
      <c r="GA149" s="238"/>
      <c r="GB149" s="238"/>
      <c r="GC149" s="238"/>
      <c r="GD149" s="341"/>
      <c r="GE149" s="340"/>
      <c r="GF149" s="340"/>
      <c r="GG149" s="340"/>
      <c r="GH149" s="340"/>
      <c r="GI149" s="340"/>
      <c r="GJ149" s="340"/>
      <c r="GK149" s="340"/>
      <c r="GL149" s="340"/>
      <c r="GM149" s="340"/>
      <c r="GN149" s="340"/>
      <c r="GO149" s="340"/>
      <c r="GP149" s="340"/>
      <c r="GQ149" s="340"/>
      <c r="GR149" s="340"/>
      <c r="GS149" s="340"/>
      <c r="GT149" s="340"/>
      <c r="GU149" s="340"/>
      <c r="GV149" s="340"/>
      <c r="GW149" s="340"/>
      <c r="GX149" s="340"/>
      <c r="GY149" s="340"/>
      <c r="GZ149" s="340"/>
      <c r="HA149" s="340"/>
      <c r="HB149" s="340"/>
      <c r="HC149" s="340"/>
      <c r="HD149" s="341"/>
      <c r="HE149" s="341"/>
      <c r="HF149" s="341"/>
      <c r="HG149" s="341"/>
      <c r="HH149" s="341"/>
      <c r="HI149" s="341"/>
      <c r="HJ149" s="341"/>
      <c r="HK149" s="341"/>
      <c r="HL149" s="341"/>
      <c r="HM149" s="341"/>
      <c r="HN149" s="341"/>
      <c r="HO149" s="341"/>
      <c r="HP149" s="341"/>
      <c r="HQ149" s="341"/>
      <c r="HR149" s="341"/>
      <c r="HS149" s="238"/>
      <c r="HT149" s="238"/>
      <c r="HU149" s="238"/>
      <c r="HV149" s="238"/>
      <c r="HX149" s="238"/>
      <c r="HY149" s="238"/>
      <c r="ID149" s="238"/>
    </row>
    <row r="150" spans="1:238" s="234" customFormat="1" ht="20.100000000000001" customHeight="1">
      <c r="A150" s="235"/>
      <c r="B150" s="231"/>
      <c r="C150" s="336" t="str">
        <f>IF(AF150="","",SUM(AF150))</f>
        <v/>
      </c>
      <c r="D150" s="333">
        <f>IF(AK139="D",2,"")</f>
        <v>2</v>
      </c>
      <c r="E150" s="337" t="str">
        <f>IF(C150="","",VLOOKUP(C150,Licenses!B:C,2,FALSE))</f>
        <v/>
      </c>
      <c r="F150" s="290"/>
      <c r="G150" s="290"/>
      <c r="H150" s="338"/>
      <c r="I150" s="331"/>
      <c r="J150" s="272" t="str">
        <f>REPT(AM150,1)</f>
        <v/>
      </c>
      <c r="L150" s="315" t="str">
        <f>IF(AK139="D",AK150,"")</f>
        <v/>
      </c>
      <c r="M150" s="311"/>
      <c r="P150" s="315" t="str">
        <f>IF(AK139="D",AY150,"")</f>
        <v/>
      </c>
      <c r="R150" s="332" t="str">
        <f>IF(AT150="","",SUM(AT150))</f>
        <v/>
      </c>
      <c r="S150" s="333">
        <f>IF(AK139="D",2,"")</f>
        <v>2</v>
      </c>
      <c r="T150" s="334" t="str">
        <f>IF(R150="","",VLOOKUP(R150,Licenses!B:C,2,FALSE))</f>
        <v/>
      </c>
      <c r="U150" s="297"/>
      <c r="V150" s="297"/>
      <c r="W150" s="335"/>
      <c r="X150" s="331"/>
      <c r="Y150" s="272" t="str">
        <f>REPT(BA150,1)</f>
        <v/>
      </c>
      <c r="Z150" s="308"/>
      <c r="AA150" s="238">
        <f>IF(AK139="D",0,1)</f>
        <v>0</v>
      </c>
      <c r="AD150" s="235"/>
      <c r="AE150" s="235"/>
      <c r="AF150" s="256" t="str">
        <f>IF(AM140="","",SUM(AM140))</f>
        <v/>
      </c>
      <c r="AG150" s="237"/>
      <c r="AH150" s="256"/>
      <c r="AI150" s="256"/>
      <c r="AJ150" s="256"/>
      <c r="AK150" s="256" t="str">
        <f>IF(CA147&gt;1,CA147,"")</f>
        <v/>
      </c>
      <c r="AL150" s="257">
        <f>IF(AK139="D",SUM(I150),0)</f>
        <v>0</v>
      </c>
      <c r="AM150" s="258" t="str">
        <f>IF(AM147=0,IF(AL150&lt;6,"","X"),"X")</f>
        <v/>
      </c>
      <c r="AN150" s="347" t="str">
        <f>IF(AM147=0,IF(AL150&lt;6,"",1),1)</f>
        <v/>
      </c>
      <c r="AO150" s="235"/>
      <c r="AP150" s="236"/>
      <c r="AQ150" s="235"/>
      <c r="AR150" s="235"/>
      <c r="AS150" s="235"/>
      <c r="AT150" s="256" t="str">
        <f>IF(BA140="","",SUM(BA140))</f>
        <v/>
      </c>
      <c r="AU150" s="237"/>
      <c r="AV150" s="256"/>
      <c r="AW150" s="256"/>
      <c r="AX150" s="256"/>
      <c r="AY150" s="256" t="str">
        <f>IF(CJ147&gt;1,CJ147,"")</f>
        <v/>
      </c>
      <c r="AZ150" s="257">
        <f>IF(AK139="D",SUM(X150),0)</f>
        <v>0</v>
      </c>
      <c r="BA150" s="258" t="str">
        <f>IF(BA147=0,IF(AZ150&lt;6,"","X"),"X")</f>
        <v/>
      </c>
      <c r="BB150" s="347" t="str">
        <f>IF(BA147=0,IF(AZ150&lt;6,"",1),1)</f>
        <v/>
      </c>
      <c r="BC150" s="236"/>
      <c r="BD150" s="236"/>
      <c r="BE150" s="236"/>
      <c r="BF150" s="236"/>
      <c r="BG150" s="236"/>
      <c r="BH150" s="236"/>
      <c r="BI150" s="236"/>
      <c r="BJ150" s="236"/>
      <c r="BK150" s="238"/>
      <c r="BM150" s="238"/>
      <c r="BN150" s="238"/>
      <c r="BO150" s="238"/>
      <c r="BP150" s="238"/>
      <c r="BQ150" s="238" t="s">
        <v>899</v>
      </c>
      <c r="BR150" s="238"/>
      <c r="BS150" s="238"/>
      <c r="BT150" s="238"/>
      <c r="BU150" s="238"/>
      <c r="BV150" s="238"/>
      <c r="BW150" s="238"/>
      <c r="BX150" s="236"/>
      <c r="BY150" s="238"/>
      <c r="BZ150" s="238"/>
      <c r="CA150" s="238"/>
      <c r="CB150" s="238"/>
      <c r="CC150" s="238"/>
      <c r="CD150" s="238" t="s">
        <v>899</v>
      </c>
      <c r="CE150" s="238"/>
      <c r="CF150" s="238"/>
      <c r="CG150" s="244"/>
      <c r="CH150" s="238"/>
      <c r="CI150" s="238"/>
      <c r="CJ150" s="238"/>
      <c r="CK150" s="238"/>
      <c r="CL150" s="238"/>
      <c r="CM150" s="238"/>
      <c r="CN150" s="238"/>
      <c r="CO150" s="238"/>
      <c r="CP150" s="238"/>
      <c r="CQ150" s="238"/>
      <c r="CR150" s="238"/>
      <c r="CS150" s="238"/>
      <c r="CT150" s="238"/>
      <c r="CU150" s="238"/>
      <c r="CV150" s="238"/>
      <c r="CW150" s="238"/>
      <c r="CX150" s="238"/>
      <c r="CY150" s="238"/>
      <c r="CZ150" s="238"/>
      <c r="DA150" s="238"/>
      <c r="DB150" s="238"/>
      <c r="DC150" s="238"/>
      <c r="DD150" s="238"/>
      <c r="DE150" s="238"/>
      <c r="DF150" s="238"/>
      <c r="DG150" s="238"/>
      <c r="DH150" s="238"/>
      <c r="DI150" s="238"/>
      <c r="DJ150" s="238"/>
      <c r="DK150" s="238"/>
      <c r="DL150" s="238"/>
      <c r="DM150" s="238"/>
      <c r="DN150" s="238"/>
      <c r="DO150" s="238"/>
      <c r="DP150" s="238"/>
      <c r="DQ150" s="238"/>
      <c r="DR150" s="238"/>
      <c r="DS150" s="238"/>
      <c r="DT150" s="238"/>
      <c r="DU150" s="238"/>
      <c r="DV150" s="238"/>
      <c r="DW150" s="238"/>
      <c r="DX150" s="238"/>
      <c r="DY150" s="238"/>
      <c r="DZ150" s="238"/>
      <c r="EA150" s="238"/>
      <c r="EB150" s="238"/>
      <c r="EC150" s="238"/>
      <c r="ED150" s="238"/>
      <c r="EE150" s="238"/>
      <c r="EF150" s="238"/>
      <c r="EG150" s="238"/>
      <c r="EH150" s="238"/>
      <c r="EI150" s="238"/>
      <c r="EJ150" s="238"/>
      <c r="EK150" s="238"/>
      <c r="EL150" s="238"/>
      <c r="EM150" s="238"/>
      <c r="EN150" s="238"/>
      <c r="EO150" s="238"/>
      <c r="EP150" s="238"/>
      <c r="EQ150" s="238"/>
      <c r="ER150" s="238"/>
      <c r="ES150" s="238"/>
      <c r="ET150" s="244"/>
      <c r="EU150" s="238"/>
      <c r="EV150" s="238"/>
      <c r="EW150" s="238"/>
      <c r="EX150" s="238"/>
      <c r="EY150" s="238"/>
      <c r="EZ150" s="238"/>
      <c r="FA150" s="238"/>
      <c r="FB150" s="238"/>
      <c r="FC150" s="238"/>
      <c r="FD150" s="238"/>
      <c r="FE150" s="238"/>
      <c r="FF150" s="238"/>
      <c r="FG150" s="238"/>
      <c r="FH150" s="238"/>
      <c r="FI150" s="238"/>
      <c r="FJ150" s="238"/>
      <c r="FK150" s="238"/>
      <c r="FL150" s="238"/>
      <c r="FM150" s="238"/>
      <c r="FN150" s="238"/>
      <c r="FO150" s="244"/>
      <c r="FP150" s="238"/>
      <c r="FQ150" s="238"/>
      <c r="FR150" s="238"/>
      <c r="FS150" s="238"/>
      <c r="FT150" s="238"/>
      <c r="FU150" s="238"/>
      <c r="FV150" s="238"/>
      <c r="FW150" s="238"/>
      <c r="FX150" s="238"/>
      <c r="FY150" s="238"/>
      <c r="FZ150" s="238"/>
      <c r="GA150" s="238"/>
      <c r="GB150" s="238"/>
      <c r="GC150" s="238"/>
      <c r="GD150" s="341"/>
      <c r="GE150" s="340"/>
      <c r="GF150" s="340"/>
      <c r="GG150" s="340"/>
      <c r="GH150" s="340"/>
      <c r="GI150" s="340"/>
      <c r="GJ150" s="340"/>
      <c r="GK150" s="340"/>
      <c r="GL150" s="340"/>
      <c r="GM150" s="340"/>
      <c r="GN150" s="340"/>
      <c r="GO150" s="340"/>
      <c r="GP150" s="340"/>
      <c r="GQ150" s="340"/>
      <c r="GR150" s="340"/>
      <c r="GS150" s="340"/>
      <c r="GT150" s="340"/>
      <c r="GU150" s="340"/>
      <c r="GV150" s="340"/>
      <c r="GW150" s="340"/>
      <c r="GX150" s="340"/>
      <c r="GY150" s="340"/>
      <c r="GZ150" s="340"/>
      <c r="HA150" s="340"/>
      <c r="HB150" s="340"/>
      <c r="HC150" s="340"/>
      <c r="HD150" s="341"/>
      <c r="HE150" s="341"/>
      <c r="HF150" s="341"/>
      <c r="HG150" s="341"/>
      <c r="HH150" s="341"/>
      <c r="HI150" s="341"/>
      <c r="HJ150" s="341"/>
      <c r="HK150" s="341"/>
      <c r="HL150" s="341"/>
      <c r="HM150" s="341"/>
      <c r="HN150" s="341"/>
      <c r="HO150" s="341"/>
      <c r="HP150" s="341"/>
      <c r="HQ150" s="341"/>
      <c r="HR150" s="341"/>
      <c r="HS150" s="238"/>
      <c r="HT150" s="238"/>
      <c r="HU150" s="238"/>
      <c r="HV150" s="238"/>
      <c r="HX150" s="238"/>
      <c r="HY150" s="238"/>
      <c r="ID150" s="238"/>
    </row>
    <row r="151" spans="1:238" s="234" customFormat="1" ht="20.100000000000001" customHeight="1">
      <c r="A151" s="235"/>
      <c r="B151" s="316"/>
      <c r="C151" s="317"/>
      <c r="D151" s="317"/>
      <c r="E151" s="318"/>
      <c r="F151" s="318"/>
      <c r="G151" s="318"/>
      <c r="H151" s="318"/>
      <c r="I151" s="318"/>
      <c r="J151" s="318"/>
      <c r="K151" s="319"/>
      <c r="L151" s="319"/>
      <c r="M151" s="319"/>
      <c r="N151" s="319"/>
      <c r="O151" s="319"/>
      <c r="P151" s="320"/>
      <c r="Q151" s="319"/>
      <c r="R151" s="317"/>
      <c r="S151" s="318"/>
      <c r="T151" s="318"/>
      <c r="U151" s="318"/>
      <c r="V151" s="318"/>
      <c r="W151" s="318"/>
      <c r="X151" s="318"/>
      <c r="Y151" s="318"/>
      <c r="Z151" s="321"/>
      <c r="AD151" s="235"/>
      <c r="AE151" s="237"/>
      <c r="AF151" s="237"/>
      <c r="AG151" s="237"/>
      <c r="AH151" s="237" t="s">
        <v>921</v>
      </c>
      <c r="AI151" s="237" t="s">
        <v>922</v>
      </c>
      <c r="AJ151" s="298" t="str">
        <f>IF(BS151="","",SUM(AM151)*3)</f>
        <v/>
      </c>
      <c r="AK151" s="299" t="s">
        <v>923</v>
      </c>
      <c r="AL151" s="256"/>
      <c r="AM151" s="256" t="str">
        <f>IF(BS151="","",SUM(BS151))</f>
        <v/>
      </c>
      <c r="AN151" s="235"/>
      <c r="AO151" s="235"/>
      <c r="AP151" s="236"/>
      <c r="AQ151" s="235"/>
      <c r="AR151" s="235"/>
      <c r="AS151" s="237"/>
      <c r="AT151" s="237"/>
      <c r="AU151" s="237"/>
      <c r="AV151" s="237" t="s">
        <v>921</v>
      </c>
      <c r="AW151" s="237" t="s">
        <v>922</v>
      </c>
      <c r="AX151" s="298" t="str">
        <f>IF(BS151="","",SUM(BA151)*3)</f>
        <v/>
      </c>
      <c r="AY151" s="299" t="s">
        <v>923</v>
      </c>
      <c r="AZ151" s="256"/>
      <c r="BA151" s="256" t="str">
        <f>IF(BS151="","",SUM(CF151))</f>
        <v/>
      </c>
      <c r="BB151" s="236"/>
      <c r="BC151" s="236"/>
      <c r="BD151" s="236"/>
      <c r="BE151" s="236"/>
      <c r="BF151" s="236"/>
      <c r="BG151" s="236"/>
      <c r="BH151" s="236"/>
      <c r="BI151" s="236"/>
      <c r="BJ151" s="236"/>
      <c r="BK151" s="373">
        <f>IF(AL139=BQ151,1,0)</f>
        <v>0</v>
      </c>
      <c r="BL151" s="373">
        <f>IF(AL139=CD151,1,0)</f>
        <v>0</v>
      </c>
      <c r="BM151" s="256">
        <f>IF(BN151&gt;2,1,0)</f>
        <v>0</v>
      </c>
      <c r="BN151" s="256">
        <f>COUNT(AH142,AH143,AH144)</f>
        <v>0</v>
      </c>
      <c r="BO151" s="256" t="str">
        <f>IF(AH148="","",SUM(AH148/AJ148))</f>
        <v/>
      </c>
      <c r="BP151" s="256"/>
      <c r="BQ151" s="300">
        <f>COUNT(AK142,AK143,AK144,AK145,AK146)</f>
        <v>0</v>
      </c>
      <c r="BR151" s="256"/>
      <c r="BS151" s="256" t="str">
        <f>IF(BL148=0,IF(AJ143="","",BO151),"")</f>
        <v/>
      </c>
      <c r="BT151" s="236"/>
      <c r="BU151" s="236"/>
      <c r="BV151" s="236"/>
      <c r="BW151" s="236"/>
      <c r="BX151" s="236"/>
      <c r="BY151" s="256">
        <f>IF(CD151&gt;2,1,0)</f>
        <v>0</v>
      </c>
      <c r="BZ151" s="256">
        <f>IF(CA151&gt;2,1,0)</f>
        <v>0</v>
      </c>
      <c r="CA151" s="256">
        <f>COUNT(AV142,AV143,AV144)</f>
        <v>0</v>
      </c>
      <c r="CB151" s="256" t="str">
        <f>IF(AV148="","",SUM(AV148/AX148))</f>
        <v/>
      </c>
      <c r="CC151" s="256"/>
      <c r="CD151" s="300">
        <f>COUNT(AY142,AY143,AY144,AY145,AY146)</f>
        <v>0</v>
      </c>
      <c r="CE151" s="256"/>
      <c r="CF151" s="256" t="str">
        <f>IF(BL148=0,IF(AX143="","",CB151),"")</f>
        <v/>
      </c>
      <c r="CG151" s="236"/>
      <c r="CH151" s="188"/>
      <c r="CI151" s="188"/>
      <c r="CJ151" s="196"/>
      <c r="CK151" s="196"/>
      <c r="CL151" s="196"/>
      <c r="CM151" s="196"/>
      <c r="CN151" s="196"/>
      <c r="CO151" s="196"/>
      <c r="CP151" s="196"/>
      <c r="CQ151" s="196"/>
      <c r="CR151" s="196"/>
      <c r="CS151" s="196"/>
      <c r="CT151" s="196"/>
      <c r="CU151" s="196"/>
      <c r="CV151" s="196"/>
      <c r="CW151" s="196"/>
      <c r="CX151" s="196"/>
      <c r="CY151" s="196"/>
      <c r="CZ151" s="196"/>
      <c r="DA151" s="196"/>
      <c r="DB151" s="196"/>
      <c r="DC151" s="196"/>
      <c r="DD151" s="196"/>
      <c r="DE151" s="196"/>
      <c r="DF151" s="196"/>
      <c r="DG151" s="196"/>
      <c r="DH151" s="196"/>
      <c r="DI151" s="196"/>
      <c r="DJ151" s="196"/>
      <c r="DK151" s="196"/>
      <c r="DL151" s="196"/>
      <c r="DM151" s="196"/>
      <c r="DN151" s="196"/>
      <c r="DO151" s="196"/>
      <c r="DP151" s="196"/>
      <c r="DQ151" s="196"/>
      <c r="DR151" s="196"/>
      <c r="DS151" s="196"/>
      <c r="DT151" s="196"/>
      <c r="DU151" s="196"/>
      <c r="DV151" s="196"/>
      <c r="DW151" s="196"/>
      <c r="DX151" s="196"/>
      <c r="DY151" s="196"/>
      <c r="DZ151" s="196"/>
      <c r="EA151" s="196"/>
      <c r="EB151" s="196"/>
      <c r="EC151" s="196"/>
      <c r="ED151" s="196"/>
      <c r="EE151" s="196"/>
      <c r="EF151" s="196"/>
      <c r="EG151" s="196"/>
      <c r="EH151" s="196"/>
      <c r="EI151" s="196"/>
      <c r="EJ151" s="196"/>
      <c r="EK151" s="196"/>
      <c r="EL151" s="196"/>
      <c r="EM151" s="196"/>
      <c r="EN151" s="196"/>
      <c r="EO151" s="196"/>
      <c r="EP151" s="196"/>
      <c r="EQ151" s="196"/>
      <c r="ER151" s="196"/>
      <c r="ES151" s="196"/>
      <c r="ET151" s="301"/>
      <c r="EU151" s="196"/>
      <c r="EV151" s="196"/>
      <c r="EW151" s="196"/>
      <c r="EX151" s="196"/>
      <c r="EY151" s="196"/>
      <c r="EZ151" s="196"/>
      <c r="FA151" s="196"/>
      <c r="FB151" s="196"/>
      <c r="FC151" s="196"/>
      <c r="FD151" s="196"/>
      <c r="FE151" s="196"/>
      <c r="FF151" s="196"/>
      <c r="FG151" s="196"/>
      <c r="FH151" s="196"/>
      <c r="FI151" s="196"/>
      <c r="FJ151" s="196"/>
      <c r="FK151" s="196"/>
      <c r="FL151" s="196"/>
      <c r="FM151" s="196"/>
      <c r="FN151" s="196"/>
      <c r="FO151" s="301"/>
      <c r="FP151" s="196"/>
      <c r="FQ151" s="196"/>
      <c r="FR151" s="196"/>
      <c r="FS151" s="196"/>
      <c r="FT151" s="196"/>
      <c r="FU151" s="196"/>
      <c r="FV151" s="196"/>
      <c r="FW151" s="196"/>
      <c r="FX151" s="196"/>
      <c r="FY151" s="196"/>
      <c r="FZ151" s="196"/>
      <c r="GA151" s="196"/>
      <c r="GB151" s="238"/>
      <c r="GC151" s="238"/>
      <c r="GD151" s="341"/>
      <c r="GE151" s="341"/>
      <c r="GF151" s="341"/>
      <c r="GG151" s="341"/>
      <c r="GH151" s="341"/>
      <c r="GI151" s="341"/>
      <c r="GJ151" s="341"/>
      <c r="GK151" s="341"/>
      <c r="GL151" s="341"/>
      <c r="GM151" s="341"/>
      <c r="GN151" s="341"/>
      <c r="GO151" s="341"/>
      <c r="GP151" s="341"/>
      <c r="GQ151" s="341"/>
      <c r="GR151" s="341"/>
      <c r="GS151" s="341"/>
      <c r="GT151" s="341"/>
      <c r="GU151" s="341"/>
      <c r="GV151" s="341"/>
      <c r="GW151" s="341"/>
      <c r="GX151" s="341"/>
      <c r="GY151" s="341"/>
      <c r="GZ151" s="341"/>
      <c r="HA151" s="341"/>
      <c r="HB151" s="341"/>
      <c r="HC151" s="341"/>
      <c r="HD151" s="341"/>
      <c r="HE151" s="341"/>
      <c r="HF151" s="341"/>
      <c r="HG151" s="341"/>
      <c r="HH151" s="341"/>
      <c r="HI151" s="341"/>
      <c r="HJ151" s="341"/>
      <c r="HK151" s="341"/>
      <c r="HL151" s="341"/>
      <c r="HM151" s="341"/>
      <c r="HN151" s="341"/>
      <c r="HO151" s="341"/>
      <c r="HP151" s="341"/>
      <c r="HQ151" s="341"/>
      <c r="HR151" s="341"/>
      <c r="HS151" s="238"/>
      <c r="HT151" s="238"/>
      <c r="HU151" s="238"/>
      <c r="HV151" s="238"/>
      <c r="HX151" s="238"/>
      <c r="HY151" s="238"/>
      <c r="ID151" s="238"/>
    </row>
    <row r="152" spans="1:238" ht="14.1" customHeight="1">
      <c r="B152" s="214"/>
      <c r="C152" s="171"/>
      <c r="D152" s="171"/>
      <c r="E152" s="171"/>
      <c r="F152" s="171"/>
      <c r="G152" s="171"/>
      <c r="H152" s="171"/>
      <c r="I152" s="171"/>
      <c r="J152" s="171"/>
      <c r="K152" s="171"/>
      <c r="L152" s="171"/>
      <c r="M152" s="171"/>
      <c r="N152" s="171"/>
      <c r="O152" s="171"/>
      <c r="P152" s="171"/>
      <c r="Q152" s="171"/>
      <c r="R152" s="171"/>
      <c r="S152" s="171"/>
      <c r="T152" s="171"/>
      <c r="U152" s="171"/>
      <c r="V152" s="171"/>
      <c r="W152" s="171"/>
      <c r="X152" s="171"/>
      <c r="Y152" s="171"/>
      <c r="Z152" s="302"/>
      <c r="AA152" s="215"/>
      <c r="AB152" s="215"/>
      <c r="AC152" s="215"/>
      <c r="AD152" s="215"/>
      <c r="AE152" s="215"/>
      <c r="AF152" s="215"/>
      <c r="BB152" s="215"/>
      <c r="BC152" s="215"/>
      <c r="BD152" s="215"/>
      <c r="BE152" s="215"/>
      <c r="BF152" s="215"/>
      <c r="BG152" s="215"/>
      <c r="BH152" s="215"/>
      <c r="GD152" s="339"/>
      <c r="GE152" s="339"/>
      <c r="GF152" s="339"/>
      <c r="GG152" s="339"/>
      <c r="GH152" s="339"/>
      <c r="GI152" s="339"/>
      <c r="GJ152" s="339"/>
      <c r="GK152" s="339"/>
      <c r="GL152" s="339"/>
      <c r="GM152" s="339"/>
      <c r="GN152" s="339"/>
      <c r="GO152" s="339"/>
      <c r="GP152" s="339"/>
      <c r="GQ152" s="339"/>
      <c r="GR152" s="339"/>
      <c r="GS152" s="339"/>
      <c r="GT152" s="339"/>
      <c r="GU152" s="339"/>
      <c r="GV152" s="339"/>
      <c r="GW152" s="339"/>
      <c r="GX152" s="339"/>
      <c r="GY152" s="339"/>
      <c r="GZ152" s="339"/>
      <c r="HA152" s="339"/>
      <c r="HB152" s="339"/>
      <c r="HC152" s="339"/>
      <c r="HD152" s="339"/>
      <c r="HE152" s="339"/>
      <c r="HF152" s="339"/>
      <c r="HG152" s="339"/>
      <c r="HH152" s="339"/>
      <c r="HI152" s="339"/>
      <c r="HJ152" s="339"/>
      <c r="HK152" s="339"/>
      <c r="HL152" s="339"/>
      <c r="HM152" s="339"/>
      <c r="HN152" s="339"/>
      <c r="HO152" s="339"/>
      <c r="HP152" s="339"/>
      <c r="HQ152" s="339"/>
      <c r="HR152" s="339"/>
    </row>
    <row r="153" spans="1:238" ht="24" customHeight="1">
      <c r="B153" s="216"/>
      <c r="C153" s="181"/>
      <c r="D153" s="181"/>
      <c r="E153" s="181"/>
      <c r="F153" s="181"/>
      <c r="G153" s="181"/>
      <c r="H153" s="181"/>
      <c r="I153" s="181"/>
      <c r="J153" s="181"/>
      <c r="K153" s="185"/>
      <c r="L153" s="217"/>
      <c r="M153" s="218"/>
      <c r="N153" s="327" t="str">
        <f>CONCATENATE(AG153," ",AH153)</f>
        <v>Spiel 11</v>
      </c>
      <c r="O153" s="218"/>
      <c r="P153" s="219"/>
      <c r="Q153" s="185"/>
      <c r="R153" s="181"/>
      <c r="S153" s="181"/>
      <c r="T153" s="181"/>
      <c r="U153" s="181"/>
      <c r="V153" s="181"/>
      <c r="W153" s="181"/>
      <c r="X153" s="181"/>
      <c r="Y153" s="181"/>
      <c r="Z153" s="303"/>
      <c r="AA153" s="200"/>
      <c r="AB153" s="200"/>
      <c r="AC153" s="200"/>
      <c r="AD153" s="200"/>
      <c r="AE153" s="200"/>
      <c r="AF153" s="200"/>
      <c r="AG153" s="200" t="s">
        <v>863</v>
      </c>
      <c r="AH153" s="220">
        <v>11</v>
      </c>
      <c r="AI153" s="173">
        <f>VLOOKUP(AH153,Chema!R:T,3,FALSE)</f>
        <v>1.3</v>
      </c>
      <c r="AJ153" s="200" t="str">
        <f>VLOOKUP(AH153,Chema!BL:BQ,6,FALSE)</f>
        <v>1.3*</v>
      </c>
      <c r="AK153" s="200" t="str">
        <f>VLOOKUP(AH153,'Matchblatt  FEUILLE DE MATCH'!AI:AJ,2,FALSE)</f>
        <v>D</v>
      </c>
      <c r="AL153" s="200">
        <f>VLOOKUP(AH153,Chema!R:U,4,FALSE)</f>
        <v>3</v>
      </c>
      <c r="AM153" s="215" t="str">
        <f>VLOOKUP(AH153,'Matchblatt  FEUILLE DE MATCH'!AI:AS,10,FALSE)</f>
        <v/>
      </c>
      <c r="AN153" s="215"/>
      <c r="AO153" s="215"/>
      <c r="AP153" s="215"/>
      <c r="AQ153" s="215"/>
      <c r="AR153" s="215"/>
      <c r="AS153" s="215"/>
      <c r="AT153" s="215"/>
      <c r="AU153" s="215"/>
      <c r="AV153" s="215"/>
      <c r="AW153" s="215"/>
      <c r="AX153" s="215"/>
      <c r="AY153" s="215"/>
      <c r="AZ153" s="215"/>
      <c r="BA153" s="215" t="str">
        <f>VLOOKUP(AH153,'Matchblatt  FEUILLE DE MATCH'!AI:AS,11,FALSE)</f>
        <v/>
      </c>
      <c r="BB153" s="200"/>
      <c r="BC153" s="200"/>
      <c r="BD153" s="200"/>
      <c r="BE153" s="200"/>
      <c r="BF153" s="200"/>
      <c r="BG153" s="200"/>
      <c r="BH153" s="200"/>
      <c r="BK153" s="196"/>
      <c r="BL153" s="196"/>
      <c r="BM153" s="196"/>
      <c r="BN153" s="196"/>
      <c r="BO153" s="196"/>
      <c r="BP153" s="196"/>
      <c r="BQ153" s="221" t="s">
        <v>843</v>
      </c>
      <c r="BR153" s="222"/>
      <c r="BS153" s="222"/>
      <c r="BT153" s="223"/>
      <c r="BU153" s="222" t="s">
        <v>843</v>
      </c>
      <c r="BV153" s="222"/>
      <c r="BW153" s="222"/>
      <c r="BX153" s="224"/>
      <c r="BY153" s="222"/>
      <c r="BZ153" s="222"/>
      <c r="CA153" s="222"/>
      <c r="CB153" s="222"/>
      <c r="CC153" s="222"/>
      <c r="CD153" s="222"/>
      <c r="CE153" s="222"/>
      <c r="CF153" s="222"/>
      <c r="CG153" s="224"/>
      <c r="CH153" s="222"/>
      <c r="CI153" s="222"/>
      <c r="CJ153" s="223"/>
      <c r="CK153" s="196"/>
      <c r="CL153" s="196"/>
      <c r="CM153" s="196"/>
      <c r="CN153" s="196"/>
      <c r="CO153" s="196"/>
      <c r="CP153" s="196"/>
      <c r="CQ153" s="196"/>
      <c r="CR153" s="196"/>
      <c r="CS153" s="196"/>
      <c r="CT153" s="196"/>
      <c r="CU153" s="196"/>
      <c r="CV153" s="196"/>
      <c r="CW153" s="196"/>
      <c r="CX153" s="196"/>
      <c r="CY153" s="196"/>
      <c r="CZ153" s="196"/>
      <c r="DA153" s="196"/>
      <c r="DB153" s="196"/>
      <c r="DC153" s="196"/>
      <c r="DD153" s="196"/>
      <c r="DE153" s="196"/>
      <c r="DF153" s="196"/>
      <c r="DG153" s="196"/>
      <c r="DH153" s="196"/>
      <c r="DI153" s="196"/>
      <c r="DJ153" s="196"/>
      <c r="DK153" s="196"/>
      <c r="DL153" s="196"/>
      <c r="DM153" s="196"/>
      <c r="DN153" s="196"/>
      <c r="DO153" s="196"/>
      <c r="DP153" s="196"/>
      <c r="DQ153" s="196"/>
      <c r="DR153" s="196"/>
      <c r="DS153" s="196"/>
      <c r="DT153" s="196"/>
      <c r="DU153" s="196"/>
      <c r="DV153" s="196"/>
      <c r="DW153" s="196"/>
      <c r="DX153" s="196"/>
      <c r="DY153" s="196"/>
      <c r="DZ153" s="196"/>
      <c r="EA153" s="196"/>
      <c r="EB153" s="196"/>
      <c r="EC153" s="196"/>
      <c r="ED153" s="196"/>
      <c r="EE153" s="196"/>
      <c r="EF153" s="196"/>
      <c r="EG153" s="196"/>
      <c r="EH153" s="196"/>
      <c r="EI153" s="196"/>
      <c r="EJ153" s="196"/>
      <c r="EK153" s="196"/>
      <c r="EL153" s="196"/>
      <c r="EM153" s="221" t="s">
        <v>7</v>
      </c>
      <c r="EN153" s="222"/>
      <c r="EO153" s="222"/>
      <c r="EP153" s="222"/>
      <c r="EQ153" s="222"/>
      <c r="ER153" s="222"/>
      <c r="ES153" s="222"/>
      <c r="ET153" s="224"/>
      <c r="EU153" s="222"/>
      <c r="EV153" s="222"/>
      <c r="EW153" s="222"/>
      <c r="EX153" s="222"/>
      <c r="EY153" s="222"/>
      <c r="EZ153" s="222"/>
      <c r="FA153" s="222"/>
      <c r="FB153" s="222"/>
      <c r="FC153" s="222"/>
      <c r="FD153" s="222"/>
      <c r="FE153" s="223"/>
      <c r="FF153" s="196"/>
      <c r="FG153" s="196"/>
      <c r="FH153" s="221" t="s">
        <v>12</v>
      </c>
      <c r="FI153" s="222"/>
      <c r="FJ153" s="222"/>
      <c r="FK153" s="222"/>
      <c r="FL153" s="222"/>
      <c r="FM153" s="222"/>
      <c r="FN153" s="222"/>
      <c r="FO153" s="224"/>
      <c r="FP153" s="222"/>
      <c r="FQ153" s="222"/>
      <c r="FR153" s="222"/>
      <c r="FS153" s="222"/>
      <c r="FT153" s="222"/>
      <c r="FU153" s="222"/>
      <c r="FV153" s="222"/>
      <c r="FW153" s="222"/>
      <c r="FX153" s="222"/>
      <c r="FY153" s="222"/>
      <c r="FZ153" s="223"/>
      <c r="GA153" s="196"/>
      <c r="GD153" s="339"/>
      <c r="GE153" s="339"/>
      <c r="GF153" s="339"/>
      <c r="GG153" s="339"/>
      <c r="GH153" s="339"/>
      <c r="GI153" s="339"/>
      <c r="GJ153" s="339"/>
      <c r="GK153" s="339"/>
      <c r="GL153" s="339"/>
      <c r="GM153" s="339"/>
      <c r="GN153" s="339"/>
      <c r="GO153" s="339"/>
      <c r="GP153" s="339"/>
      <c r="GQ153" s="339"/>
      <c r="GR153" s="339"/>
      <c r="GS153" s="339"/>
      <c r="GT153" s="339"/>
      <c r="GU153" s="339"/>
      <c r="GV153" s="339"/>
      <c r="GW153" s="339"/>
      <c r="GX153" s="339"/>
      <c r="GY153" s="339"/>
      <c r="GZ153" s="339"/>
      <c r="HA153" s="339"/>
      <c r="HB153" s="339"/>
      <c r="HC153" s="339"/>
      <c r="HD153" s="339"/>
      <c r="HE153" s="339"/>
      <c r="HF153" s="339"/>
      <c r="HG153" s="339"/>
      <c r="HH153" s="339"/>
      <c r="HI153" s="339"/>
      <c r="HJ153" s="339"/>
      <c r="HK153" s="339"/>
      <c r="HL153" s="339"/>
      <c r="HM153" s="339"/>
      <c r="HN153" s="339"/>
      <c r="HO153" s="339"/>
      <c r="HP153" s="339"/>
      <c r="HQ153" s="339"/>
      <c r="HR153" s="339"/>
    </row>
    <row r="154" spans="1:238" ht="14.1" customHeight="1">
      <c r="B154" s="225"/>
      <c r="C154" s="304"/>
      <c r="D154" s="304"/>
      <c r="E154" s="304"/>
      <c r="F154" s="304"/>
      <c r="G154" s="304"/>
      <c r="H154" s="304"/>
      <c r="I154" s="304"/>
      <c r="J154" s="304"/>
      <c r="K154" s="166"/>
      <c r="L154" s="166"/>
      <c r="M154" s="166"/>
      <c r="N154" s="304"/>
      <c r="O154" s="304"/>
      <c r="P154" s="166"/>
      <c r="Q154" s="166"/>
      <c r="R154" s="304"/>
      <c r="S154" s="304"/>
      <c r="T154" s="304"/>
      <c r="U154" s="304"/>
      <c r="V154" s="304"/>
      <c r="W154" s="304"/>
      <c r="X154" s="166"/>
      <c r="Y154" s="166"/>
      <c r="Z154" s="305"/>
      <c r="AA154" s="63"/>
      <c r="AB154" s="63"/>
      <c r="AC154" s="63"/>
      <c r="AD154" s="63"/>
      <c r="AE154" s="63"/>
      <c r="AF154" s="63"/>
      <c r="AJ154" s="173" t="str">
        <f>VLOOKUP(AH153,Chema!BL:BR,7,FALSE)</f>
        <v>1.3.2</v>
      </c>
      <c r="AL154" s="200"/>
      <c r="AM154" s="200" t="str">
        <f>IF(AK153="D",VLOOKUP(AJ154,'Matchblatt  FEUILLE DE MATCH'!AK:AS,8,FALSE),"")</f>
        <v/>
      </c>
      <c r="AN154" s="200"/>
      <c r="AO154" s="200"/>
      <c r="AP154" s="200"/>
      <c r="AQ154" s="200"/>
      <c r="AR154" s="200"/>
      <c r="AS154" s="200"/>
      <c r="AT154" s="200"/>
      <c r="AU154" s="200"/>
      <c r="AV154" s="200"/>
      <c r="AW154" s="200"/>
      <c r="AX154" s="200"/>
      <c r="AY154" s="200"/>
      <c r="AZ154" s="200"/>
      <c r="BA154" s="200" t="str">
        <f>IF(AK153="D",VLOOKUP(AJ154,'Matchblatt  FEUILLE DE MATCH'!AK:AS,9,FALSE),"")</f>
        <v/>
      </c>
      <c r="BB154" s="63"/>
      <c r="BC154" s="63"/>
      <c r="BD154" s="63"/>
      <c r="BE154" s="63"/>
      <c r="BF154" s="63"/>
      <c r="BG154" s="63"/>
      <c r="BH154" s="63"/>
      <c r="BK154" s="166" t="s">
        <v>7</v>
      </c>
      <c r="BL154" s="166" t="s">
        <v>12</v>
      </c>
      <c r="BM154" s="166"/>
      <c r="BN154" s="166" t="s">
        <v>7</v>
      </c>
      <c r="BO154" s="166" t="s">
        <v>12</v>
      </c>
      <c r="BP154" s="166"/>
      <c r="BQ154" s="226" t="s">
        <v>894</v>
      </c>
      <c r="BR154" s="227" t="s">
        <v>895</v>
      </c>
      <c r="BS154" s="228" t="s">
        <v>896</v>
      </c>
      <c r="BT154" s="229"/>
      <c r="BU154" s="226" t="s">
        <v>7</v>
      </c>
      <c r="BV154" s="166"/>
      <c r="BW154" s="166"/>
      <c r="BX154" s="230"/>
      <c r="BY154" s="166"/>
      <c r="BZ154" s="166"/>
      <c r="CA154" s="227"/>
      <c r="CB154" s="166"/>
      <c r="CC154" s="166"/>
      <c r="CD154" s="226" t="s">
        <v>12</v>
      </c>
      <c r="CE154" s="166"/>
      <c r="CF154" s="166"/>
      <c r="CG154" s="230"/>
      <c r="CH154" s="166"/>
      <c r="CI154" s="166"/>
      <c r="CJ154" s="227"/>
      <c r="CK154" s="166"/>
      <c r="CL154" s="166" t="s">
        <v>897</v>
      </c>
      <c r="CM154" s="166"/>
      <c r="CN154" s="166"/>
      <c r="CO154" s="166"/>
      <c r="CP154" s="166"/>
      <c r="CQ154" s="166"/>
      <c r="CR154" s="166"/>
      <c r="CS154" s="166"/>
      <c r="CT154" s="166"/>
      <c r="CU154" s="166" t="s">
        <v>843</v>
      </c>
      <c r="CV154" s="166"/>
      <c r="CW154" s="166" t="s">
        <v>843</v>
      </c>
      <c r="CX154" s="166"/>
      <c r="CY154" s="166"/>
      <c r="CZ154" s="166"/>
      <c r="DA154" s="166"/>
      <c r="DB154" s="166"/>
      <c r="DC154" s="166"/>
      <c r="DD154" s="166" t="s">
        <v>894</v>
      </c>
      <c r="DE154" s="166" t="s">
        <v>895</v>
      </c>
      <c r="DF154" s="166"/>
      <c r="DG154" s="166" t="s">
        <v>927</v>
      </c>
      <c r="DH154" s="166"/>
      <c r="DI154" s="166"/>
      <c r="DJ154" s="166"/>
      <c r="DK154" s="166"/>
      <c r="DL154" s="166"/>
      <c r="DM154" s="166"/>
      <c r="DN154" s="166" t="s">
        <v>928</v>
      </c>
      <c r="DO154" s="166" t="s">
        <v>929</v>
      </c>
      <c r="DP154" s="166"/>
      <c r="DQ154" s="166"/>
      <c r="DR154" s="166"/>
      <c r="DS154" s="166"/>
      <c r="DT154" s="166"/>
      <c r="DU154" s="166"/>
      <c r="DV154" s="166" t="s">
        <v>894</v>
      </c>
      <c r="DW154" s="166" t="s">
        <v>895</v>
      </c>
      <c r="DX154" s="166"/>
      <c r="DY154" s="166"/>
      <c r="DZ154" s="166"/>
      <c r="EA154" s="166"/>
      <c r="EB154" s="166"/>
      <c r="EC154" s="166"/>
      <c r="ED154" s="166" t="s">
        <v>894</v>
      </c>
      <c r="EE154" s="166" t="s">
        <v>895</v>
      </c>
      <c r="EF154" s="166"/>
      <c r="EG154" s="166"/>
      <c r="EH154" s="166"/>
      <c r="EI154" s="166"/>
      <c r="EJ154" s="166"/>
      <c r="EK154" s="166"/>
      <c r="EL154" s="166"/>
      <c r="EM154" s="166"/>
      <c r="EN154" s="166"/>
      <c r="EO154" s="166"/>
      <c r="EP154" s="166"/>
      <c r="EQ154" s="166"/>
      <c r="ER154" s="166"/>
      <c r="ES154" s="166"/>
      <c r="ET154" s="230"/>
      <c r="EU154" s="166"/>
      <c r="EV154" s="166"/>
      <c r="EW154" s="166"/>
      <c r="EX154" s="166"/>
      <c r="EY154" s="166"/>
      <c r="EZ154" s="166"/>
      <c r="FA154" s="166"/>
      <c r="FB154" s="166"/>
      <c r="FC154" s="166"/>
      <c r="FD154" s="166"/>
      <c r="FE154" s="166"/>
      <c r="FF154" s="166"/>
      <c r="FG154" s="166"/>
      <c r="FH154" s="166"/>
      <c r="FI154" s="166"/>
      <c r="FJ154" s="166"/>
      <c r="FK154" s="166"/>
      <c r="FL154" s="166"/>
      <c r="FM154" s="166"/>
      <c r="FN154" s="166"/>
      <c r="FO154" s="230"/>
      <c r="FP154" s="166"/>
      <c r="FQ154" s="166"/>
      <c r="FR154" s="166"/>
      <c r="FS154" s="166"/>
      <c r="FT154" s="166"/>
      <c r="FU154" s="166"/>
      <c r="FV154" s="166"/>
      <c r="FW154" s="166"/>
      <c r="FX154" s="166"/>
      <c r="FY154" s="166"/>
      <c r="FZ154" s="166"/>
      <c r="GA154" s="166"/>
      <c r="GD154" s="339"/>
      <c r="GE154" s="339"/>
      <c r="GF154" s="339"/>
      <c r="GG154" s="339"/>
      <c r="GH154" s="339"/>
      <c r="GI154" s="339"/>
      <c r="GJ154" s="339"/>
      <c r="GK154" s="339"/>
      <c r="GL154" s="339"/>
      <c r="GM154" s="339"/>
      <c r="GN154" s="339"/>
      <c r="GO154" s="339"/>
      <c r="GP154" s="339"/>
      <c r="GQ154" s="339"/>
      <c r="GR154" s="339"/>
      <c r="GS154" s="339"/>
      <c r="GT154" s="339"/>
      <c r="GU154" s="339"/>
      <c r="GV154" s="339"/>
      <c r="GW154" s="339"/>
      <c r="GX154" s="339"/>
      <c r="GY154" s="339"/>
      <c r="GZ154" s="339"/>
      <c r="HA154" s="339"/>
      <c r="HB154" s="339"/>
      <c r="HC154" s="339"/>
      <c r="HD154" s="339"/>
      <c r="HE154" s="339"/>
      <c r="HF154" s="339"/>
      <c r="HG154" s="339"/>
      <c r="HH154" s="339"/>
      <c r="HI154" s="339"/>
      <c r="HJ154" s="339"/>
      <c r="HK154" s="339"/>
      <c r="HL154" s="339"/>
      <c r="HM154" s="339"/>
      <c r="HN154" s="339"/>
      <c r="HO154" s="339"/>
      <c r="HP154" s="339"/>
      <c r="HQ154" s="339"/>
      <c r="HR154" s="339"/>
    </row>
    <row r="155" spans="1:238" s="234" customFormat="1" ht="20.100000000000001" customHeight="1">
      <c r="A155" s="235"/>
      <c r="B155" s="231"/>
      <c r="C155" s="232" t="str">
        <f>REPT(Sprache!$K$12,1)</f>
        <v>SPIEL</v>
      </c>
      <c r="D155" s="233" t="s">
        <v>869</v>
      </c>
      <c r="E155" s="233" t="str">
        <f>REPT(Sprache!$K$62,1)</f>
        <v>Punkte</v>
      </c>
      <c r="F155" s="233" t="str">
        <f>REPT(Sprache!$K$61,1)</f>
        <v>Rest</v>
      </c>
      <c r="G155" s="233" t="s">
        <v>898</v>
      </c>
      <c r="H155" s="233" t="s">
        <v>848</v>
      </c>
      <c r="I155" s="233">
        <v>180</v>
      </c>
      <c r="J155" s="233" t="str">
        <f>REPT(Sprache!$K$63,1)</f>
        <v>Fehler</v>
      </c>
      <c r="L155" s="306" t="s">
        <v>923</v>
      </c>
      <c r="M155" s="307"/>
      <c r="P155" s="306" t="s">
        <v>923</v>
      </c>
      <c r="R155" s="232" t="str">
        <f>REPT(Sprache!$K$12,1)</f>
        <v>SPIEL</v>
      </c>
      <c r="S155" s="233" t="s">
        <v>869</v>
      </c>
      <c r="T155" s="233" t="str">
        <f>REPT(Sprache!$K$62,1)</f>
        <v>Punkte</v>
      </c>
      <c r="U155" s="233" t="str">
        <f>REPT(Sprache!$K$61,1)</f>
        <v>Rest</v>
      </c>
      <c r="V155" s="233" t="s">
        <v>898</v>
      </c>
      <c r="W155" s="233" t="s">
        <v>848</v>
      </c>
      <c r="X155" s="233">
        <v>180</v>
      </c>
      <c r="Y155" s="233" t="str">
        <f>REPT(Sprache!$K$63,1)</f>
        <v>Fehler</v>
      </c>
      <c r="Z155" s="308"/>
      <c r="AD155" s="235"/>
      <c r="AE155" s="236" t="s">
        <v>966</v>
      </c>
      <c r="AF155" s="236" t="s">
        <v>967</v>
      </c>
      <c r="AG155" s="236" t="s">
        <v>965</v>
      </c>
      <c r="AH155" s="237" t="str">
        <f>LEFT($BM$6,10)</f>
        <v/>
      </c>
      <c r="AI155" s="237" t="str">
        <f>LEFT($BN$6,10)</f>
        <v/>
      </c>
      <c r="AJ155" s="237" t="s">
        <v>898</v>
      </c>
      <c r="AK155" s="237" t="s">
        <v>848</v>
      </c>
      <c r="AL155" s="237">
        <v>180</v>
      </c>
      <c r="AM155" s="237" t="str">
        <f>LEFT($BL$6,50)</f>
        <v/>
      </c>
      <c r="AN155" s="235"/>
      <c r="AO155" s="235"/>
      <c r="AP155" s="235"/>
      <c r="AQ155" s="235"/>
      <c r="AR155" s="235"/>
      <c r="AS155" s="235"/>
      <c r="AT155" s="235"/>
      <c r="AU155" s="235"/>
      <c r="AV155" s="237" t="str">
        <f>LEFT($BM$6,10)</f>
        <v/>
      </c>
      <c r="AW155" s="237" t="str">
        <f>LEFT($BN$6,10)</f>
        <v/>
      </c>
      <c r="AX155" s="237" t="s">
        <v>898</v>
      </c>
      <c r="AY155" s="237" t="s">
        <v>848</v>
      </c>
      <c r="AZ155" s="237">
        <v>180</v>
      </c>
      <c r="BA155" s="237" t="str">
        <f>LEFT($BL$6,50)</f>
        <v/>
      </c>
      <c r="BI155" s="238"/>
      <c r="BJ155" s="238"/>
      <c r="BK155" s="238" t="s">
        <v>165</v>
      </c>
      <c r="BL155" s="238" t="s">
        <v>165</v>
      </c>
      <c r="BM155" s="239" t="s">
        <v>165</v>
      </c>
      <c r="BN155" s="239" t="s">
        <v>899</v>
      </c>
      <c r="BO155" s="239" t="s">
        <v>899</v>
      </c>
      <c r="BP155" s="239" t="s">
        <v>900</v>
      </c>
      <c r="BQ155" s="240" t="s">
        <v>901</v>
      </c>
      <c r="BR155" s="241"/>
      <c r="BS155" s="242" t="s">
        <v>926</v>
      </c>
      <c r="BT155" s="243"/>
      <c r="BU155" s="242" t="s">
        <v>902</v>
      </c>
      <c r="BV155" s="238"/>
      <c r="BW155" s="238"/>
      <c r="BX155" s="244"/>
      <c r="BY155" s="238"/>
      <c r="BZ155" s="238" t="s">
        <v>903</v>
      </c>
      <c r="CA155" s="243" t="s">
        <v>904</v>
      </c>
      <c r="CB155" s="238"/>
      <c r="CC155" s="238"/>
      <c r="CD155" s="242" t="s">
        <v>902</v>
      </c>
      <c r="CE155" s="238"/>
      <c r="CF155" s="238"/>
      <c r="CG155" s="244"/>
      <c r="CH155" s="238"/>
      <c r="CI155" s="238" t="s">
        <v>903</v>
      </c>
      <c r="CJ155" s="243" t="s">
        <v>904</v>
      </c>
      <c r="CK155" s="238"/>
      <c r="CL155" s="245" t="s">
        <v>905</v>
      </c>
      <c r="CM155" s="245" t="s">
        <v>906</v>
      </c>
      <c r="CN155" s="245" t="s">
        <v>907</v>
      </c>
      <c r="CO155" s="245" t="s">
        <v>908</v>
      </c>
      <c r="CP155" s="245" t="s">
        <v>909</v>
      </c>
      <c r="CQ155" s="246" t="s">
        <v>910</v>
      </c>
      <c r="CR155" s="247"/>
      <c r="CS155" s="246" t="s">
        <v>911</v>
      </c>
      <c r="CT155" s="248"/>
      <c r="CU155" s="246" t="s">
        <v>912</v>
      </c>
      <c r="CV155" s="248"/>
      <c r="CW155" s="246" t="s">
        <v>913</v>
      </c>
      <c r="CX155" s="248"/>
      <c r="CY155" s="238"/>
      <c r="CZ155" s="238"/>
      <c r="DA155" s="238"/>
      <c r="DB155" s="238"/>
      <c r="DC155" s="249" t="s">
        <v>165</v>
      </c>
      <c r="DD155" s="249" t="s">
        <v>165</v>
      </c>
      <c r="DE155" s="249" t="s">
        <v>165</v>
      </c>
      <c r="DF155" s="238"/>
      <c r="DG155" s="238" t="s">
        <v>914</v>
      </c>
      <c r="DH155" s="238" t="s">
        <v>930</v>
      </c>
      <c r="DI155" s="238" t="s">
        <v>931</v>
      </c>
      <c r="DK155" s="238" t="s">
        <v>932</v>
      </c>
      <c r="DL155" s="238" t="s">
        <v>933</v>
      </c>
      <c r="DM155" s="238" t="s">
        <v>869</v>
      </c>
      <c r="DN155" s="230" t="s">
        <v>915</v>
      </c>
      <c r="DO155" s="250" t="s">
        <v>915</v>
      </c>
      <c r="DP155" s="322" t="s">
        <v>934</v>
      </c>
      <c r="DQ155" s="238"/>
      <c r="DR155" s="166" t="s">
        <v>894</v>
      </c>
      <c r="DS155" s="166" t="s">
        <v>895</v>
      </c>
      <c r="DT155" s="166" t="s">
        <v>935</v>
      </c>
      <c r="DU155" s="166" t="s">
        <v>936</v>
      </c>
      <c r="DV155" s="251" t="s">
        <v>165</v>
      </c>
      <c r="DW155" s="251" t="s">
        <v>165</v>
      </c>
      <c r="DX155" s="238" t="s">
        <v>916</v>
      </c>
      <c r="DY155" s="238"/>
      <c r="DZ155" s="238"/>
      <c r="EA155" s="238"/>
      <c r="EB155" s="238"/>
      <c r="EC155" s="238"/>
      <c r="ED155" s="251" t="s">
        <v>165</v>
      </c>
      <c r="EE155" s="251" t="s">
        <v>165</v>
      </c>
      <c r="EF155" s="166"/>
      <c r="EG155" s="238"/>
      <c r="EH155" s="238"/>
      <c r="EI155" s="238"/>
      <c r="EJ155" s="238"/>
      <c r="EK155" s="238"/>
      <c r="EL155" s="238"/>
      <c r="EM155" s="238"/>
      <c r="EN155" s="238"/>
      <c r="EO155" s="246" t="s">
        <v>917</v>
      </c>
      <c r="EP155" s="247"/>
      <c r="EQ155" s="247"/>
      <c r="ER155" s="247"/>
      <c r="ES155" s="247"/>
      <c r="ET155" s="252"/>
      <c r="EU155" s="248"/>
      <c r="EV155" s="246" t="s">
        <v>918</v>
      </c>
      <c r="EW155" s="247"/>
      <c r="EX155" s="248"/>
      <c r="EY155" s="251" t="s">
        <v>165</v>
      </c>
      <c r="EZ155" s="246" t="s">
        <v>919</v>
      </c>
      <c r="FA155" s="247"/>
      <c r="FB155" s="248"/>
      <c r="FC155" s="246" t="s">
        <v>920</v>
      </c>
      <c r="FD155" s="247"/>
      <c r="FE155" s="248"/>
      <c r="FF155" s="238"/>
      <c r="FG155" s="238"/>
      <c r="FH155" s="238"/>
      <c r="FI155" s="238"/>
      <c r="FJ155" s="246" t="s">
        <v>917</v>
      </c>
      <c r="FK155" s="247"/>
      <c r="FL155" s="247"/>
      <c r="FM155" s="247"/>
      <c r="FN155" s="247"/>
      <c r="FO155" s="252"/>
      <c r="FP155" s="248"/>
      <c r="FQ155" s="246" t="s">
        <v>918</v>
      </c>
      <c r="FR155" s="247"/>
      <c r="FS155" s="248"/>
      <c r="FT155" s="251" t="s">
        <v>165</v>
      </c>
      <c r="FU155" s="246" t="s">
        <v>919</v>
      </c>
      <c r="FV155" s="247"/>
      <c r="FW155" s="248"/>
      <c r="FX155" s="246" t="s">
        <v>920</v>
      </c>
      <c r="FY155" s="247"/>
      <c r="FZ155" s="248"/>
      <c r="GD155" s="340"/>
      <c r="GE155" s="340"/>
      <c r="GF155" s="341" t="s">
        <v>968</v>
      </c>
      <c r="GG155" s="340"/>
      <c r="GH155" s="340"/>
      <c r="GI155" s="340"/>
      <c r="GJ155" s="341" t="s">
        <v>972</v>
      </c>
      <c r="GK155" s="340"/>
      <c r="GL155" s="340"/>
      <c r="GM155" s="340"/>
      <c r="GN155" s="341" t="s">
        <v>971</v>
      </c>
      <c r="GO155" s="340"/>
      <c r="GP155" s="340"/>
      <c r="GQ155" s="340"/>
      <c r="GR155" s="341" t="s">
        <v>970</v>
      </c>
      <c r="GS155" s="340"/>
      <c r="GT155" s="340"/>
      <c r="GU155" s="340"/>
      <c r="GV155" s="341" t="s">
        <v>969</v>
      </c>
      <c r="GW155" s="340"/>
      <c r="GX155" s="340"/>
      <c r="GY155" s="340"/>
      <c r="GZ155" s="342" t="s">
        <v>973</v>
      </c>
      <c r="HA155" s="340"/>
      <c r="HB155" s="340"/>
      <c r="HC155" s="340"/>
      <c r="HD155" s="342" t="s">
        <v>974</v>
      </c>
      <c r="HE155" s="340"/>
      <c r="HF155" s="340"/>
      <c r="HG155" s="340"/>
      <c r="HH155" s="340"/>
      <c r="HI155" s="340"/>
      <c r="HJ155" s="340"/>
      <c r="HK155" s="340"/>
      <c r="HL155" s="340"/>
      <c r="HM155" s="341"/>
      <c r="HN155" s="341"/>
      <c r="HO155" s="341"/>
      <c r="HP155" s="341"/>
      <c r="HQ155" s="341"/>
      <c r="HR155" s="341"/>
      <c r="HS155" s="238"/>
      <c r="HT155" s="238"/>
      <c r="HU155" s="238"/>
      <c r="HV155" s="238"/>
      <c r="HX155" s="238"/>
      <c r="HY155" s="238"/>
      <c r="HZ155" s="238"/>
      <c r="ID155" s="238"/>
    </row>
    <row r="156" spans="1:238" s="234" customFormat="1" ht="20.100000000000001" customHeight="1">
      <c r="A156" s="235"/>
      <c r="B156" s="231">
        <f>COUNT(AJ157,AJ156)</f>
        <v>0</v>
      </c>
      <c r="C156" s="325" t="str">
        <f>CONCATENATE(BG156,BE156)</f>
        <v>HD</v>
      </c>
      <c r="D156" s="253" t="str">
        <f>REPT(DN156,1)</f>
        <v>1</v>
      </c>
      <c r="E156" s="254" t="str">
        <f>REPT(AH156,1)</f>
        <v/>
      </c>
      <c r="F156" s="168"/>
      <c r="G156" s="168"/>
      <c r="H156" s="168"/>
      <c r="I156" s="169"/>
      <c r="J156" s="255" t="str">
        <f>REPT(AM156,1)</f>
        <v/>
      </c>
      <c r="L156" s="309">
        <f>SUM(BS165)</f>
        <v>0</v>
      </c>
      <c r="M156" s="238"/>
      <c r="N156" s="255" t="str">
        <f>REPT(AP156,1)</f>
        <v/>
      </c>
      <c r="P156" s="309">
        <f>SUM(CF165)</f>
        <v>0</v>
      </c>
      <c r="Q156" s="310"/>
      <c r="R156" s="323" t="str">
        <f>CONCATENATE(BH156,BE156)</f>
        <v>GD</v>
      </c>
      <c r="S156" s="253" t="str">
        <f>REPT(DO156,1)</f>
        <v>1</v>
      </c>
      <c r="T156" s="254" t="str">
        <f>REPT(AV156,1)</f>
        <v/>
      </c>
      <c r="U156" s="168"/>
      <c r="V156" s="168"/>
      <c r="W156" s="168"/>
      <c r="X156" s="169"/>
      <c r="Y156" s="255" t="str">
        <f>REPT(BA156,1)</f>
        <v/>
      </c>
      <c r="Z156" s="308"/>
      <c r="AB156" s="234">
        <f>IF(AY156="",0,IF(AY156&lt;2,1,""))</f>
        <v>0</v>
      </c>
      <c r="AC156" s="238">
        <f>IF(AD156=1,1,IF(AD156=3,1,IF(AD156=2,0,IF(AD156=0,0,0))))</f>
        <v>0</v>
      </c>
      <c r="AD156" s="256">
        <f>SUM(AE156:AG156)</f>
        <v>0</v>
      </c>
      <c r="AE156" s="256">
        <f t="shared" ref="AE156:AE160" si="356">IF(F156="",0,1)</f>
        <v>0</v>
      </c>
      <c r="AF156" s="256">
        <f t="shared" ref="AF156:AF160" si="357">IF(G156="",0,1)</f>
        <v>0</v>
      </c>
      <c r="AG156" s="256">
        <f>IF(H156="",0,1)</f>
        <v>0</v>
      </c>
      <c r="AH156" s="257" t="str">
        <f>IF(AK156="",IF(AI156="","",IF(AI156="",501,501-AI156)),501)</f>
        <v/>
      </c>
      <c r="AI156" s="256" t="str">
        <f>IF(F156&gt;1,F156,IF(F156=0,"",IF(F156="","","")))</f>
        <v/>
      </c>
      <c r="AJ156" s="256" t="str">
        <f>IF(G156&gt;8,G156,IF(G156="","",""))</f>
        <v/>
      </c>
      <c r="AK156" s="256" t="str">
        <f>IF(H156&gt;1,H156,IF(H156="","",""))</f>
        <v/>
      </c>
      <c r="AL156" s="256" t="str">
        <f>IF(I156&gt;0,I156,IF(I156="","",""))</f>
        <v/>
      </c>
      <c r="AM156" s="258" t="str">
        <f>IF(BK156=0,"","X")</f>
        <v/>
      </c>
      <c r="AN156" s="237"/>
      <c r="AO156" s="237"/>
      <c r="AP156" s="258" t="str">
        <f>IF(BM156=0,"","X")</f>
        <v/>
      </c>
      <c r="AQ156" s="236">
        <f>IF(AR156=1,1,IF(AR156=3,1,IF(AR156=2,0,IF(AR156=0,0,0))))</f>
        <v>0</v>
      </c>
      <c r="AR156" s="256">
        <f>SUM(AS156:AU156)</f>
        <v>0</v>
      </c>
      <c r="AS156" s="256">
        <f t="shared" ref="AS156:AS160" si="358">IF(U156="",0,1)</f>
        <v>0</v>
      </c>
      <c r="AT156" s="256">
        <f t="shared" ref="AT156:AT160" si="359">IF(V156="",0,1)</f>
        <v>0</v>
      </c>
      <c r="AU156" s="256">
        <f>IF(W156="",0,1)</f>
        <v>0</v>
      </c>
      <c r="AV156" s="257" t="str">
        <f>IF(AY156="",IF(AW156="","",IF(AW156="",501,501-AW156)),501)</f>
        <v/>
      </c>
      <c r="AW156" s="256" t="str">
        <f>IF(U156&gt;1,U156,IF(U156=0,"",IF(U156="","","")))</f>
        <v/>
      </c>
      <c r="AX156" s="256" t="str">
        <f>IF(V156&gt;8,V156,IF(V156="","",""))</f>
        <v/>
      </c>
      <c r="AY156" s="256" t="str">
        <f>IF(W156&gt;1,W156,IF(W156="","",""))</f>
        <v/>
      </c>
      <c r="AZ156" s="256" t="str">
        <f>IF(X156&gt;0,X156,IF(X156="","",""))</f>
        <v/>
      </c>
      <c r="BA156" s="258" t="str">
        <f>IF(BL156=0,"","X")</f>
        <v/>
      </c>
      <c r="BF156" s="238" t="s">
        <v>894</v>
      </c>
      <c r="BG156" s="238" t="str">
        <f>CONCATENATE(BF156,AK153)</f>
        <v>HD</v>
      </c>
      <c r="BH156" s="238" t="str">
        <f>CONCATENATE(BI156,AK153)</f>
        <v>GD</v>
      </c>
      <c r="BI156" s="238" t="s">
        <v>895</v>
      </c>
      <c r="BJ156" s="238"/>
      <c r="BK156" s="251">
        <f>SUM(DD156,DV156,EY156,ED156,FF156,BQ156,BS156,AC156)</f>
        <v>0</v>
      </c>
      <c r="BL156" s="251">
        <f>SUM(DE156,DW156,EE156,FT156,GA156,BR156,BT156,AQ156)</f>
        <v>0</v>
      </c>
      <c r="BM156" s="259">
        <f>SUM(DC156,BK156:BL156,AC156,AQ156)</f>
        <v>0</v>
      </c>
      <c r="BN156" s="239">
        <f>COUNT(AK156)</f>
        <v>0</v>
      </c>
      <c r="BO156" s="239">
        <f>COUNT(AY156)</f>
        <v>0</v>
      </c>
      <c r="BP156" s="239">
        <f>IF(BN158=0,0,1)</f>
        <v>0</v>
      </c>
      <c r="BQ156" s="260">
        <f>IF(AL156="",0,IF(AL156&gt;2,1,0))</f>
        <v>0</v>
      </c>
      <c r="BR156" s="261">
        <f>IF(AZ156="",0,IF(AZ156&gt;2,1,0))</f>
        <v>0</v>
      </c>
      <c r="BS156" s="262">
        <f>IF(AJ156=9,IF(AK156&lt;141,1,0),0)</f>
        <v>0</v>
      </c>
      <c r="BT156" s="263">
        <f>IF(AX156=9,IF(AY156&lt;141,1,0),0)</f>
        <v>0</v>
      </c>
      <c r="BU156" s="242">
        <f>IF(H156,G156,0)</f>
        <v>0</v>
      </c>
      <c r="BV156" s="238">
        <f>IF(BU156&gt;0,AJ156/3,0)</f>
        <v>0</v>
      </c>
      <c r="BW156" s="238">
        <f>ROUNDUP(BV156,0)</f>
        <v>0</v>
      </c>
      <c r="BX156" s="244">
        <f>IF(MOD(BW156,2)=0,BW156,BW156+1)</f>
        <v>0</v>
      </c>
      <c r="BY156" s="238">
        <f>IF(AJ156&lt;9,"",SUM(BX156-BW156))</f>
        <v>0</v>
      </c>
      <c r="BZ156" s="238">
        <f>IF(BY156=1,AK156,0)</f>
        <v>0</v>
      </c>
      <c r="CA156" s="243" t="str">
        <f>IF(BY156=0,AK156,0)</f>
        <v/>
      </c>
      <c r="CB156" s="238"/>
      <c r="CC156" s="238"/>
      <c r="CD156" s="242">
        <f>IF(W156,V156,0)</f>
        <v>0</v>
      </c>
      <c r="CE156" s="238">
        <f>IF(CD156&gt;0,AX156/3,0)</f>
        <v>0</v>
      </c>
      <c r="CF156" s="238">
        <f>ROUNDUP(CE156,0)</f>
        <v>0</v>
      </c>
      <c r="CG156" s="244">
        <f>IF(MOD(CF156,2)=0,CF156,CF156+1)</f>
        <v>0</v>
      </c>
      <c r="CH156" s="238">
        <f>IF(AX156&lt;9,"",SUM(CG156-CF156))</f>
        <v>0</v>
      </c>
      <c r="CI156" s="238">
        <f>IF(CH156=1,AY156,0)</f>
        <v>0</v>
      </c>
      <c r="CJ156" s="243" t="str">
        <f>IF(CH156=0,AY156,0)</f>
        <v/>
      </c>
      <c r="CK156" s="238"/>
      <c r="CL156" s="245">
        <f>IF(COUNT(F156,H156)=1,0,1)</f>
        <v>1</v>
      </c>
      <c r="CM156" s="245">
        <f>IF(COUNT(F156,U156)=1,0,1)</f>
        <v>1</v>
      </c>
      <c r="CN156" s="245">
        <f>IF(COUNT(H156,W156)=1,0,1)</f>
        <v>1</v>
      </c>
      <c r="CO156" s="245">
        <f>IF(COUNT(G156,V156)=2,0,1)</f>
        <v>1</v>
      </c>
      <c r="CP156" s="245">
        <f>IF(COUNT(U156,W156)=1,0,1)</f>
        <v>1</v>
      </c>
      <c r="CQ156" s="245">
        <f>IF(SUM(G156-V156)&gt;3,1,0)</f>
        <v>0</v>
      </c>
      <c r="CR156" s="245">
        <f>IF(SUM(G156-V156)&lt;-3,1,0)</f>
        <v>0</v>
      </c>
      <c r="CS156" s="264">
        <f>IF(AJ156=9,IF(AH156&lt;141,1,0),IF(AH156="",0,IF(AH156&gt;1,0,1)))</f>
        <v>0</v>
      </c>
      <c r="CT156" s="264">
        <f>IF(AX156=9,IF(AV156&lt;141,1,0),IF(AV156="",0,IF(AV156&gt;1,0,1)))</f>
        <v>0</v>
      </c>
      <c r="CU156" s="264">
        <f>IF(AI156="",0,IF(AI156&lt;502,0,1))</f>
        <v>0</v>
      </c>
      <c r="CV156" s="264">
        <f>IF(AW156="",0,IF(AW156&lt;502,0,1))</f>
        <v>0</v>
      </c>
      <c r="CW156" s="264">
        <f>IF(AI156="",IF(AJ156&lt;9,1,0),IF(AJ156&lt;9,1,0))</f>
        <v>0</v>
      </c>
      <c r="CX156" s="264">
        <f>IF(AW156="",IF(AX156&lt;9,1,0),IF(AX156&lt;9,1,0))</f>
        <v>0</v>
      </c>
      <c r="CY156" s="374"/>
      <c r="CZ156" s="374"/>
      <c r="DA156" s="374"/>
      <c r="DB156" s="374"/>
      <c r="DC156" s="265">
        <f>IF(AJ156="",0,SUM(CL156:CX156))</f>
        <v>0</v>
      </c>
      <c r="DD156" s="265">
        <f>IF(AJ156="",0,SUM(CL156,CS156,CU156,CW156))</f>
        <v>0</v>
      </c>
      <c r="DE156" s="265">
        <f>IF(AJ156="",0,SUM(CP156,CT156,CV156,CX156))</f>
        <v>0</v>
      </c>
      <c r="DF156" s="238"/>
      <c r="DG156" s="248" t="str">
        <f>IF(G156="","",SUM(G156-V156))</f>
        <v/>
      </c>
      <c r="DH156" s="245">
        <f>IF(F156="",0,1)</f>
        <v>0</v>
      </c>
      <c r="DI156" s="245" t="str">
        <f>IF(DG156=0,DH156,DG156)</f>
        <v/>
      </c>
      <c r="DJ156" s="245" t="e">
        <f>SIGN(DI156)</f>
        <v>#VALUE!</v>
      </c>
      <c r="DK156" s="245" t="str">
        <f>IF(G156="","",IF(DJ156=1,"*",""))</f>
        <v/>
      </c>
      <c r="DL156" s="245" t="str">
        <f>IF(G156="","",IF(DJ156=-1,"*",IF(DJ156=0,"*","")))</f>
        <v/>
      </c>
      <c r="DM156" s="245">
        <v>1</v>
      </c>
      <c r="DN156" s="245" t="str">
        <f>CONCATENATE(DM156,DK156)</f>
        <v>1</v>
      </c>
      <c r="DO156" s="245" t="str">
        <f>CONCATENATE(DM156,DL156)</f>
        <v>1</v>
      </c>
      <c r="DP156" s="245">
        <f>IF(DK156="*",1,0)</f>
        <v>0</v>
      </c>
      <c r="DQ156" s="245">
        <f>IF(DL156="*",1,0)</f>
        <v>0</v>
      </c>
      <c r="DR156" s="245"/>
      <c r="DS156" s="245"/>
      <c r="DT156" s="245"/>
      <c r="DU156" s="245"/>
      <c r="DV156" s="266"/>
      <c r="DW156" s="266"/>
      <c r="DX156" s="238">
        <f>IF(AK156="",0,1)</f>
        <v>0</v>
      </c>
      <c r="DY156" s="238">
        <f>IF(DG156=-3,1,0)</f>
        <v>0</v>
      </c>
      <c r="DZ156" s="238">
        <f>SUM(DX156:DY156)</f>
        <v>0</v>
      </c>
      <c r="EA156" s="238">
        <f>IF(AK156="",1,0)</f>
        <v>1</v>
      </c>
      <c r="EB156" s="238">
        <f>IF(DG156=3,1,0)</f>
        <v>0</v>
      </c>
      <c r="EC156" s="238">
        <f>SUM(EA156:EB156)</f>
        <v>1</v>
      </c>
      <c r="ED156" s="267">
        <f>IF(EC156=2,1,0)</f>
        <v>0</v>
      </c>
      <c r="EE156" s="267">
        <f>IF(DZ156=2,1,0)</f>
        <v>0</v>
      </c>
      <c r="EG156" s="166"/>
      <c r="EH156" s="238"/>
      <c r="EI156" s="238"/>
      <c r="EJ156" s="238"/>
      <c r="EK156" s="238"/>
      <c r="EL156" s="238"/>
      <c r="EM156" s="245">
        <f>IF(AK156="",0,1)</f>
        <v>0</v>
      </c>
      <c r="EN156" s="245">
        <f>SUM(AK156)</f>
        <v>0</v>
      </c>
      <c r="EO156" s="268">
        <f>SUM(AJ156)</f>
        <v>0</v>
      </c>
      <c r="EP156" s="268">
        <f>SUM(G156/3)</f>
        <v>0</v>
      </c>
      <c r="EQ156" s="268" t="e">
        <f>SUM(EO156/EP156)</f>
        <v>#DIV/0!</v>
      </c>
      <c r="ER156" s="268">
        <f>ROUNDDOWN(EP156,0)</f>
        <v>0</v>
      </c>
      <c r="ES156" s="268">
        <f>SUM(EO156,-ER156*3)</f>
        <v>0</v>
      </c>
      <c r="ET156" s="269" t="b">
        <f>MOD(EN156/1,2)=0</f>
        <v>1</v>
      </c>
      <c r="EU156" s="245">
        <f>IF(ET156=FALSE,1,0)</f>
        <v>0</v>
      </c>
      <c r="EV156" s="245">
        <f>IF(EN156=50,0,IF(EN156&lt;40,1,0))</f>
        <v>1</v>
      </c>
      <c r="EW156" s="245">
        <f>SUM(EU156:EV156)</f>
        <v>1</v>
      </c>
      <c r="EX156" s="267">
        <f>IF(EN156=1,1,IF(EN156=50,0,IF(ES156=1,IF(EN156&gt;40,1,0),0)))</f>
        <v>0</v>
      </c>
      <c r="EY156" s="267">
        <f>IF(ES156=1,IF(EW156=2,1,0),0)+EX156+FB156+FE156</f>
        <v>0</v>
      </c>
      <c r="EZ156" s="245">
        <f>IF(EN156=109,1,IF(EN156=108,1,IF(EN156=106,1,IF(EN156=105,1,IF(EN156=103,1,IF(EN156=102,1,IF(EN156=99,1,0)))))))</f>
        <v>0</v>
      </c>
      <c r="FA156" s="245">
        <f>IF(EN156&gt;110,1,0)</f>
        <v>0</v>
      </c>
      <c r="FB156" s="267">
        <f>IF(ES156=2,SUM(EZ156:FA156),0)</f>
        <v>0</v>
      </c>
      <c r="FC156" s="245">
        <f>IF(EN156=159,1,IF(EN156=162,1,IF(EN156=163,1,IF(EN156=165,1,IF(EN156=166,1,IF(EN156=168,1,IF(EN156=169,1,0)))))))</f>
        <v>0</v>
      </c>
      <c r="FD156" s="245">
        <f>IF(EN156&gt;170,1,0)</f>
        <v>0</v>
      </c>
      <c r="FE156" s="267">
        <f>IF(ES156=0,SUM(FC156:FD156),0)</f>
        <v>0</v>
      </c>
      <c r="FF156" s="251">
        <f>IF(AJ156="",0,IF(AI156="",0,IF(EO156/ER156-3=0,0,1)))</f>
        <v>0</v>
      </c>
      <c r="FG156" s="238"/>
      <c r="FH156" s="245">
        <f>IF(AY156="",0,1)</f>
        <v>0</v>
      </c>
      <c r="FI156" s="245">
        <f>SUM(AY156)</f>
        <v>0</v>
      </c>
      <c r="FJ156" s="268">
        <f>SUM(AX156)</f>
        <v>0</v>
      </c>
      <c r="FK156" s="268">
        <f>SUM(V156/3)</f>
        <v>0</v>
      </c>
      <c r="FL156" s="268" t="e">
        <f>SUM(FJ156/FK156)</f>
        <v>#DIV/0!</v>
      </c>
      <c r="FM156" s="268">
        <f>ROUNDDOWN(FK156,0)</f>
        <v>0</v>
      </c>
      <c r="FN156" s="268">
        <f>SUM(FJ156,-FM156*3)</f>
        <v>0</v>
      </c>
      <c r="FO156" s="269" t="b">
        <f>MOD(FI156/1,2)=0</f>
        <v>1</v>
      </c>
      <c r="FP156" s="245">
        <f>IF(FO156=FALSE,1,0)</f>
        <v>0</v>
      </c>
      <c r="FQ156" s="245">
        <f>IF(FI156=50,0,IF(FI156&lt;40,1,0))</f>
        <v>1</v>
      </c>
      <c r="FR156" s="245">
        <f>SUM(FP156:FQ156)</f>
        <v>1</v>
      </c>
      <c r="FS156" s="267">
        <f>IF(FI156=1,1,IF(FI156=50,0,IF(FN156=1,IF(FI156&gt;40,1,0),0)))</f>
        <v>0</v>
      </c>
      <c r="FT156" s="267">
        <f>IF(FN156=1,IF(FR156=2,1,0),0)+FS156+FW156+FZ156</f>
        <v>0</v>
      </c>
      <c r="FU156" s="245">
        <f>IF(FI156=109,1,IF(FI156=108,1,IF(FI156=106,1,IF(FI156=105,1,IF(FI156=103,1,IF(FI156=102,1,IF(FI156=99,1,0)))))))</f>
        <v>0</v>
      </c>
      <c r="FV156" s="245">
        <f>IF(FI156&gt;110,1,0)</f>
        <v>0</v>
      </c>
      <c r="FW156" s="267">
        <f>IF(FN156=2,SUM(FU156:FV156),0)</f>
        <v>0</v>
      </c>
      <c r="FX156" s="245">
        <f>IF(FI156=159,1,IF(FI156=162,1,IF(FI156=163,1,IF(FI156=165,1,IF(FI156=166,1,IF(FI156=168,1,IF(FI156=169,1,0)))))))</f>
        <v>0</v>
      </c>
      <c r="FY156" s="245">
        <f>IF(FI156&gt;170,1,0)</f>
        <v>0</v>
      </c>
      <c r="FZ156" s="267">
        <f>IF(FN156=0,SUM(FX156:FY156),0)</f>
        <v>0</v>
      </c>
      <c r="GA156" s="251">
        <f>IF(AX156="",0,IF(AW156="",0,IF(FJ156/FM156-3=0,0,1)))</f>
        <v>0</v>
      </c>
      <c r="GD156" s="341">
        <f>IF(AK153="D",1,0)</f>
        <v>1</v>
      </c>
      <c r="GE156" s="343"/>
      <c r="GF156" s="343" t="s">
        <v>866</v>
      </c>
      <c r="GG156" s="343" t="s">
        <v>868</v>
      </c>
      <c r="GH156" s="343" t="s">
        <v>848</v>
      </c>
      <c r="GI156" s="343">
        <v>180</v>
      </c>
      <c r="GJ156" s="343" t="s">
        <v>866</v>
      </c>
      <c r="GK156" s="343" t="s">
        <v>868</v>
      </c>
      <c r="GL156" s="343" t="s">
        <v>848</v>
      </c>
      <c r="GM156" s="343">
        <v>180</v>
      </c>
      <c r="GN156" s="343" t="s">
        <v>866</v>
      </c>
      <c r="GO156" s="343" t="s">
        <v>868</v>
      </c>
      <c r="GP156" s="343" t="s">
        <v>848</v>
      </c>
      <c r="GQ156" s="343">
        <v>180</v>
      </c>
      <c r="GR156" s="343" t="s">
        <v>866</v>
      </c>
      <c r="GS156" s="343" t="s">
        <v>868</v>
      </c>
      <c r="GT156" s="343" t="s">
        <v>848</v>
      </c>
      <c r="GU156" s="343">
        <v>180</v>
      </c>
      <c r="GV156" s="343" t="s">
        <v>866</v>
      </c>
      <c r="GW156" s="343" t="s">
        <v>868</v>
      </c>
      <c r="GX156" s="343" t="s">
        <v>848</v>
      </c>
      <c r="GY156" s="343">
        <v>180</v>
      </c>
      <c r="GZ156" s="343" t="s">
        <v>866</v>
      </c>
      <c r="HA156" s="343" t="s">
        <v>868</v>
      </c>
      <c r="HB156" s="343" t="s">
        <v>848</v>
      </c>
      <c r="HC156" s="343">
        <v>180</v>
      </c>
      <c r="HD156" s="343" t="s">
        <v>866</v>
      </c>
      <c r="HE156" s="343" t="s">
        <v>868</v>
      </c>
      <c r="HF156" s="341" t="s">
        <v>975</v>
      </c>
      <c r="HG156" s="341" t="s">
        <v>976</v>
      </c>
      <c r="HH156" s="341" t="s">
        <v>899</v>
      </c>
      <c r="HJ156" s="238"/>
      <c r="HK156" s="238"/>
      <c r="HL156" s="238"/>
      <c r="HM156" s="238">
        <f>COUNT(HI157,HJ157,HK157,HL157,HM157)</f>
        <v>0</v>
      </c>
      <c r="HN156" s="341"/>
      <c r="HO156" s="341"/>
      <c r="HP156" s="341"/>
      <c r="HQ156" s="341"/>
      <c r="HR156" s="341"/>
      <c r="HS156" s="238"/>
      <c r="HT156" s="238"/>
      <c r="HU156" s="238"/>
      <c r="HV156" s="238"/>
      <c r="HX156" s="238"/>
      <c r="HY156" s="238"/>
      <c r="ID156" s="238"/>
    </row>
    <row r="157" spans="1:238" s="234" customFormat="1" ht="20.100000000000001" customHeight="1">
      <c r="A157" s="235"/>
      <c r="B157" s="231">
        <f>COUNT(AJ158,AJ157)</f>
        <v>0</v>
      </c>
      <c r="C157" s="326">
        <f>IF(DK156="*",AJ153,AI153)</f>
        <v>1.3</v>
      </c>
      <c r="D157" s="253" t="str">
        <f>REPT(DN157,1)</f>
        <v>2</v>
      </c>
      <c r="E157" s="254" t="str">
        <f>REPT(AH157,1)</f>
        <v/>
      </c>
      <c r="F157" s="168"/>
      <c r="G157" s="168"/>
      <c r="H157" s="168"/>
      <c r="I157" s="169"/>
      <c r="J157" s="270" t="str">
        <f>REPT(AM157,1)</f>
        <v/>
      </c>
      <c r="L157" s="306" t="s">
        <v>922</v>
      </c>
      <c r="M157" s="311"/>
      <c r="N157" s="270" t="str">
        <f>REPT(AP157,1)</f>
        <v/>
      </c>
      <c r="P157" s="306" t="s">
        <v>922</v>
      </c>
      <c r="Q157" s="310"/>
      <c r="R157" s="324">
        <f>IF(DL156="*",AJ153,AI153)</f>
        <v>1.3</v>
      </c>
      <c r="S157" s="253" t="str">
        <f>REPT(DO157,1)</f>
        <v>2</v>
      </c>
      <c r="T157" s="254" t="str">
        <f>REPT(AV157,1)</f>
        <v/>
      </c>
      <c r="U157" s="168"/>
      <c r="V157" s="168"/>
      <c r="W157" s="168"/>
      <c r="X157" s="169"/>
      <c r="Y157" s="270" t="str">
        <f t="shared" ref="Y157:Y159" si="360">REPT(BA157,1)</f>
        <v/>
      </c>
      <c r="Z157" s="308"/>
      <c r="AB157" s="234">
        <f>IF(AY157="",0,IF(AY157&lt;2,1,""))</f>
        <v>0</v>
      </c>
      <c r="AC157" s="238">
        <f t="shared" ref="AC157:AC158" si="361">IF(AD157=1,1,IF(AD157=3,1,IF(AD157=2,0,IF(AD157=0,0,0))))</f>
        <v>0</v>
      </c>
      <c r="AD157" s="256">
        <f t="shared" ref="AD157:AD160" si="362">SUM(AE157:AG157)</f>
        <v>0</v>
      </c>
      <c r="AE157" s="256">
        <f t="shared" si="356"/>
        <v>0</v>
      </c>
      <c r="AF157" s="256">
        <f t="shared" si="357"/>
        <v>0</v>
      </c>
      <c r="AG157" s="256">
        <f t="shared" ref="AG157:AG160" si="363">IF(H157="",0,1)</f>
        <v>0</v>
      </c>
      <c r="AH157" s="257" t="str">
        <f>IF(AK157="",IF(AI157="","",IF(AI157="",501,501-AI157)),501)</f>
        <v/>
      </c>
      <c r="AI157" s="256" t="str">
        <f>IF(F157&gt;1,F157,IF(F157=0,"",IF(F157="","","")))</f>
        <v/>
      </c>
      <c r="AJ157" s="256" t="str">
        <f>IF(G157&gt;8,G157,IF(G157="","",""))</f>
        <v/>
      </c>
      <c r="AK157" s="256" t="str">
        <f>IF(H157&gt;1,H157,IF(H157="","",""))</f>
        <v/>
      </c>
      <c r="AL157" s="256" t="str">
        <f>IF(I157&gt;0,I157,IF(I157="","",""))</f>
        <v/>
      </c>
      <c r="AM157" s="258" t="str">
        <f>IF(BK157=0,"","X")</f>
        <v/>
      </c>
      <c r="AN157" s="237"/>
      <c r="AO157" s="237"/>
      <c r="AP157" s="258" t="str">
        <f>IF(BM157=0,"","X")</f>
        <v/>
      </c>
      <c r="AQ157" s="236">
        <f t="shared" ref="AQ157:AQ158" si="364">IF(AR157=1,1,IF(AR157=3,1,IF(AR157=2,0,IF(AR157=0,0,0))))</f>
        <v>0</v>
      </c>
      <c r="AR157" s="256">
        <f t="shared" ref="AR157:AR160" si="365">SUM(AS157:AU157)</f>
        <v>0</v>
      </c>
      <c r="AS157" s="256">
        <f t="shared" si="358"/>
        <v>0</v>
      </c>
      <c r="AT157" s="256">
        <f t="shared" si="359"/>
        <v>0</v>
      </c>
      <c r="AU157" s="256">
        <f t="shared" ref="AU157:AU160" si="366">IF(W157="",0,1)</f>
        <v>0</v>
      </c>
      <c r="AV157" s="257" t="str">
        <f>IF(AY157="",IF(AW157="","",IF(AW157="",501,501-AW157)),501)</f>
        <v/>
      </c>
      <c r="AW157" s="256" t="str">
        <f>IF(U157&gt;1,U157,IF(U157=0,"",IF(U157="","","")))</f>
        <v/>
      </c>
      <c r="AX157" s="256" t="str">
        <f>IF(V157&gt;8,V157,IF(V157="","",""))</f>
        <v/>
      </c>
      <c r="AY157" s="256" t="str">
        <f>IF(W157&gt;1,W157,IF(W157="","",""))</f>
        <v/>
      </c>
      <c r="AZ157" s="256" t="str">
        <f>IF(X157&gt;0,X157,IF(X157="","",""))</f>
        <v/>
      </c>
      <c r="BA157" s="258" t="str">
        <f>IF(BL157=0,"","X")</f>
        <v/>
      </c>
      <c r="BK157" s="251">
        <f>SUM(DD157,DV157,EY157,ED157,FF157,BQ157,BS157,AC157)</f>
        <v>0</v>
      </c>
      <c r="BL157" s="251">
        <f>SUM(DE157,DW157,EE157,FT157,GA157,BR157,BT157,AQ157)</f>
        <v>0</v>
      </c>
      <c r="BM157" s="259">
        <f t="shared" ref="BM157:BM158" si="367">SUM(DC157,BK157:BL157,AC157,AQ157)</f>
        <v>0</v>
      </c>
      <c r="BN157" s="239">
        <f>COUNT(AK157)</f>
        <v>0</v>
      </c>
      <c r="BO157" s="239">
        <f>COUNT(AY157)</f>
        <v>0</v>
      </c>
      <c r="BP157" s="239">
        <f>IF(BN159=0,0,1)</f>
        <v>0</v>
      </c>
      <c r="BQ157" s="260">
        <f>IF(AL157="",0,IF(AL157&gt;2,1,0))</f>
        <v>0</v>
      </c>
      <c r="BR157" s="261">
        <f>IF(AZ157="",0,IF(AZ157&gt;2,1,0))</f>
        <v>0</v>
      </c>
      <c r="BS157" s="262">
        <f>IF(AJ157=9,IF(AK157&lt;141,1,0),0)</f>
        <v>0</v>
      </c>
      <c r="BT157" s="263">
        <f>IF(AX157=9,IF(AY157&lt;141,1,0),0)</f>
        <v>0</v>
      </c>
      <c r="BU157" s="242">
        <f>IF(H157,G157,0)</f>
        <v>0</v>
      </c>
      <c r="BV157" s="238">
        <f>IF(BU157&gt;0,AJ157/3,0)</f>
        <v>0</v>
      </c>
      <c r="BW157" s="238">
        <f>ROUNDUP(BV157,0)</f>
        <v>0</v>
      </c>
      <c r="BX157" s="244">
        <f>IF(MOD(BW157,2)=0,BW157,BW157+1)</f>
        <v>0</v>
      </c>
      <c r="BY157" s="238">
        <f>IF(AJ157&lt;9,"",SUM(BX157-BW157))</f>
        <v>0</v>
      </c>
      <c r="BZ157" s="238">
        <f>IF(BY157=1,AK157,0)</f>
        <v>0</v>
      </c>
      <c r="CA157" s="243" t="str">
        <f>IF(BY157=0,AK157,0)</f>
        <v/>
      </c>
      <c r="CB157" s="238"/>
      <c r="CC157" s="238"/>
      <c r="CD157" s="242">
        <f>IF(W157,V157,0)</f>
        <v>0</v>
      </c>
      <c r="CE157" s="238">
        <f>IF(CD157&gt;0,AX157/3,0)</f>
        <v>0</v>
      </c>
      <c r="CF157" s="238">
        <f>ROUNDUP(CE157,0)</f>
        <v>0</v>
      </c>
      <c r="CG157" s="244">
        <f>IF(MOD(CF157,2)=0,CF157,CF157+1)</f>
        <v>0</v>
      </c>
      <c r="CH157" s="238">
        <f>IF(AX157&lt;9,"",SUM(CG157-CF157))</f>
        <v>0</v>
      </c>
      <c r="CI157" s="238">
        <f>IF(CH157=1,AY157,0)</f>
        <v>0</v>
      </c>
      <c r="CJ157" s="243" t="str">
        <f>IF(CH157=0,AY157,0)</f>
        <v/>
      </c>
      <c r="CK157" s="238"/>
      <c r="CL157" s="245">
        <f>IF(COUNT(F157,H157)=1,0,1)</f>
        <v>1</v>
      </c>
      <c r="CM157" s="245">
        <f>IF(COUNT(F157,U157)=1,0,1)</f>
        <v>1</v>
      </c>
      <c r="CN157" s="245">
        <f>IF(COUNT(H157,W157)=1,0,1)</f>
        <v>1</v>
      </c>
      <c r="CO157" s="245">
        <f>IF(COUNT(G157,V157)=2,0,1)</f>
        <v>1</v>
      </c>
      <c r="CP157" s="245">
        <f>IF(COUNT(U157,W157)=1,0,1)</f>
        <v>1</v>
      </c>
      <c r="CQ157" s="245">
        <f>IF(SUM(G157-V157)&gt;3,1,0)</f>
        <v>0</v>
      </c>
      <c r="CR157" s="245">
        <f>IF(SUM(G157-V157)&lt;-3,1,0)</f>
        <v>0</v>
      </c>
      <c r="CS157" s="264">
        <f>IF(AJ157=9,IF(AH157&lt;141,1,0),IF(AH157="",0,IF(AH157&gt;1,0,1)))</f>
        <v>0</v>
      </c>
      <c r="CT157" s="264">
        <f>IF(AX157=9,IF(AV157&lt;141,1,0),IF(AV157="",0,IF(AV157&gt;1,0,1)))</f>
        <v>0</v>
      </c>
      <c r="CU157" s="264">
        <f>IF(AI157="",0,IF(AI157&lt;502,0,1))</f>
        <v>0</v>
      </c>
      <c r="CV157" s="264">
        <f>IF(AW157="",0,IF(AW157&lt;502,0,1))</f>
        <v>0</v>
      </c>
      <c r="CW157" s="264">
        <f>IF(AI157="",IF(AJ157&lt;9,1,0),IF(AJ157&lt;9,1,0))</f>
        <v>0</v>
      </c>
      <c r="CX157" s="264">
        <f>IF(AW157="",IF(AX157&lt;9,1,0),IF(AX157&lt;9,1,0))</f>
        <v>0</v>
      </c>
      <c r="CY157" s="374"/>
      <c r="CZ157" s="374"/>
      <c r="DA157" s="374"/>
      <c r="DB157" s="374"/>
      <c r="DC157" s="265">
        <f>IF(AJ157="",0,SUM(CL157:CX157))</f>
        <v>0</v>
      </c>
      <c r="DD157" s="265">
        <f>IF(AJ157="",0,SUM(CL157,CS157,CU157,CW157))</f>
        <v>0</v>
      </c>
      <c r="DE157" s="265">
        <f>IF(AJ157="",0,SUM(CP157,CT157,CV157,CX157))</f>
        <v>0</v>
      </c>
      <c r="DF157" s="238"/>
      <c r="DG157" s="248">
        <f>SUM(G157-V157)</f>
        <v>0</v>
      </c>
      <c r="DH157" s="245">
        <f>IF(F157="",0,1)</f>
        <v>0</v>
      </c>
      <c r="DI157" s="245">
        <f t="shared" ref="DI157:DI160" si="368">IF(DG157=0,DH157,DG157)</f>
        <v>0</v>
      </c>
      <c r="DJ157" s="245">
        <f t="shared" ref="DJ157:DJ160" si="369">SIGN(DI157)</f>
        <v>0</v>
      </c>
      <c r="DK157" s="245" t="str">
        <f>IF(G157="","",IF(DJ157=1,"*",""))</f>
        <v/>
      </c>
      <c r="DL157" s="245" t="str">
        <f>IF(G157="","",IF(DJ157=-1,"*",IF(DJ157=0,"*","")))</f>
        <v/>
      </c>
      <c r="DM157" s="245">
        <v>2</v>
      </c>
      <c r="DN157" s="245" t="str">
        <f t="shared" ref="DN157:DN160" si="370">CONCATENATE(DM157,DK157)</f>
        <v>2</v>
      </c>
      <c r="DO157" s="245" t="str">
        <f t="shared" ref="DO157:DO160" si="371">CONCATENATE(DM157,DL157)</f>
        <v>2</v>
      </c>
      <c r="DP157" s="245">
        <f>SUM(DQ156)</f>
        <v>0</v>
      </c>
      <c r="DQ157" s="245">
        <f>SUM(DP156)</f>
        <v>0</v>
      </c>
      <c r="DR157" s="245">
        <f>IF(DK157="*",1,0)</f>
        <v>0</v>
      </c>
      <c r="DS157" s="245">
        <f>IF(DL157="*",1,0)</f>
        <v>0</v>
      </c>
      <c r="DT157" s="245">
        <f>IF(H147="",0,IF(DP157=DR157,1,0))</f>
        <v>0</v>
      </c>
      <c r="DU157" s="245">
        <f>IF(V157="",0,IF(DQ157=DS157,0,1))</f>
        <v>0</v>
      </c>
      <c r="DV157" s="267">
        <f>SUM(DT157)</f>
        <v>0</v>
      </c>
      <c r="DW157" s="267">
        <f>IF(V157="",0,SUM(DU157))</f>
        <v>0</v>
      </c>
      <c r="DX157" s="238">
        <f>IF(AK157="",0,1)</f>
        <v>0</v>
      </c>
      <c r="DY157" s="238">
        <f>IF(DG157=-3,1,0)</f>
        <v>0</v>
      </c>
      <c r="DZ157" s="238">
        <f>SUM(DX157:DY157)</f>
        <v>0</v>
      </c>
      <c r="EA157" s="238">
        <f>IF(AK157="",1,0)</f>
        <v>1</v>
      </c>
      <c r="EB157" s="238">
        <f>IF(DG157=3,1,0)</f>
        <v>0</v>
      </c>
      <c r="EC157" s="238">
        <f>SUM(EA157:EB157)</f>
        <v>1</v>
      </c>
      <c r="ED157" s="267">
        <f>IF(EC157=2,1,0)</f>
        <v>0</v>
      </c>
      <c r="EE157" s="267">
        <f>IF(DZ157=2,1,0)</f>
        <v>0</v>
      </c>
      <c r="EG157" s="166"/>
      <c r="EH157" s="238"/>
      <c r="EI157" s="238"/>
      <c r="EJ157" s="238"/>
      <c r="EK157" s="238"/>
      <c r="EL157" s="238"/>
      <c r="EM157" s="245">
        <f>IF(AK157="",0,1)</f>
        <v>0</v>
      </c>
      <c r="EN157" s="245">
        <f>SUM(AK157)</f>
        <v>0</v>
      </c>
      <c r="EO157" s="268">
        <f>SUM(AJ157)</f>
        <v>0</v>
      </c>
      <c r="EP157" s="268">
        <f>SUM(G157/3)</f>
        <v>0</v>
      </c>
      <c r="EQ157" s="268" t="e">
        <f>SUM(EO157/EP157)</f>
        <v>#DIV/0!</v>
      </c>
      <c r="ER157" s="268">
        <f>ROUNDDOWN(EP157,0)</f>
        <v>0</v>
      </c>
      <c r="ES157" s="268">
        <f>SUM(EO157,-ER157*3)</f>
        <v>0</v>
      </c>
      <c r="ET157" s="269" t="b">
        <f>MOD(EN157/1,2)=0</f>
        <v>1</v>
      </c>
      <c r="EU157" s="245">
        <f>IF(ET157=FALSE,1,0)</f>
        <v>0</v>
      </c>
      <c r="EV157" s="245">
        <f>IF(EN157=50,0,IF(EN157&lt;40,1,0))</f>
        <v>1</v>
      </c>
      <c r="EW157" s="245">
        <f>SUM(EU157:EV157)</f>
        <v>1</v>
      </c>
      <c r="EX157" s="267">
        <f>IF(EN157=1,1,IF(EN157=50,0,IF(ES157=1,IF(EN157&gt;40,1,0),0)))</f>
        <v>0</v>
      </c>
      <c r="EY157" s="267">
        <f>IF(ES157=1,IF(EW157=2,1,0),0)+EX157+FB157+FE157</f>
        <v>0</v>
      </c>
      <c r="EZ157" s="245">
        <f>IF(EN157=109,1,IF(EN157=108,1,IF(EN157=106,1,IF(EN157=105,1,IF(EN157=103,1,IF(EN157=102,1,IF(EN157=99,1,0)))))))</f>
        <v>0</v>
      </c>
      <c r="FA157" s="245">
        <f>IF(EN157&gt;110,1,0)</f>
        <v>0</v>
      </c>
      <c r="FB157" s="267">
        <f>IF(ES157=2,SUM(EZ157:FA157),0)</f>
        <v>0</v>
      </c>
      <c r="FC157" s="245">
        <f>IF(EN157=159,1,IF(EN157=162,1,IF(EN157=163,1,IF(EN157=165,1,IF(EN157=166,1,IF(EN157=168,1,IF(EN157=169,1,0)))))))</f>
        <v>0</v>
      </c>
      <c r="FD157" s="245">
        <f>IF(EN157&gt;170,1,0)</f>
        <v>0</v>
      </c>
      <c r="FE157" s="267">
        <f>IF(ES157=0,SUM(FC157:FD157),0)</f>
        <v>0</v>
      </c>
      <c r="FF157" s="251">
        <f t="shared" ref="FF157:FF160" si="372">IF(AJ157="",0,IF(AI157="",0,IF(EO157/ER157-3=0,0,1)))</f>
        <v>0</v>
      </c>
      <c r="FG157" s="238"/>
      <c r="FH157" s="245">
        <f>IF(AY157="",0,1)</f>
        <v>0</v>
      </c>
      <c r="FI157" s="245">
        <f>SUM(AY157)</f>
        <v>0</v>
      </c>
      <c r="FJ157" s="268">
        <f>SUM(AX157)</f>
        <v>0</v>
      </c>
      <c r="FK157" s="268">
        <f>SUM(V157/3)</f>
        <v>0</v>
      </c>
      <c r="FL157" s="268" t="e">
        <f>SUM(FJ157/FK157)</f>
        <v>#DIV/0!</v>
      </c>
      <c r="FM157" s="268">
        <f>ROUNDDOWN(FK157,0)</f>
        <v>0</v>
      </c>
      <c r="FN157" s="268">
        <f>SUM(FJ157,-FM157*3)</f>
        <v>0</v>
      </c>
      <c r="FO157" s="269" t="b">
        <f>MOD(FI157/1,2)=0</f>
        <v>1</v>
      </c>
      <c r="FP157" s="245">
        <f>IF(FO157=FALSE,1,0)</f>
        <v>0</v>
      </c>
      <c r="FQ157" s="245">
        <f>IF(FI157=50,0,IF(FI157&lt;40,1,0))</f>
        <v>1</v>
      </c>
      <c r="FR157" s="245">
        <f>SUM(FP157:FQ157)</f>
        <v>1</v>
      </c>
      <c r="FS157" s="267">
        <f>IF(FI157=1,1,IF(FI157=50,0,IF(FN157=1,IF(FI157&gt;40,1,0),0)))</f>
        <v>0</v>
      </c>
      <c r="FT157" s="267">
        <f>IF(FN157=1,IF(FR157=2,1,0),0)+FS157+FW157+FZ157</f>
        <v>0</v>
      </c>
      <c r="FU157" s="245">
        <f>IF(FI157=109,1,IF(FI157=108,1,IF(FI157=106,1,IF(FI157=105,1,IF(FI157=103,1,IF(FI157=102,1,IF(FI157=99,1,0)))))))</f>
        <v>0</v>
      </c>
      <c r="FV157" s="245">
        <f>IF(FI157&gt;110,1,0)</f>
        <v>0</v>
      </c>
      <c r="FW157" s="267">
        <f>IF(FN157=2,SUM(FU157:FV157),0)</f>
        <v>0</v>
      </c>
      <c r="FX157" s="245">
        <f>IF(FI157=159,1,IF(FI157=162,1,IF(FI157=163,1,IF(FI157=165,1,IF(FI157=166,1,IF(FI157=168,1,IF(FI157=169,1,0)))))))</f>
        <v>0</v>
      </c>
      <c r="FY157" s="245">
        <f>IF(FI157&gt;170,1,0)</f>
        <v>0</v>
      </c>
      <c r="FZ157" s="267">
        <f>IF(FN157=0,SUM(FX157:FY157),0)</f>
        <v>0</v>
      </c>
      <c r="GA157" s="251">
        <f t="shared" ref="GA157:GA160" si="373">IF(AX157="",0,IF(AW157="",0,IF(FJ157/FM157-3=0,0,1)))</f>
        <v>0</v>
      </c>
      <c r="GC157" s="238" t="str">
        <f>VLOOKUP(AH153,Chema!BL:BR,2,FALSE)</f>
        <v>HD 1.3</v>
      </c>
      <c r="GD157" s="341">
        <f>IF(E163="FORFAIT",1,0)</f>
        <v>0</v>
      </c>
      <c r="GE157" s="343" t="str">
        <f>IF(C163="","",SUM(C163))</f>
        <v/>
      </c>
      <c r="GF157" s="344">
        <f>SUM(AH156)</f>
        <v>0</v>
      </c>
      <c r="GG157" s="344">
        <f>SUM(AJ156)</f>
        <v>0</v>
      </c>
      <c r="GH157" s="344">
        <f t="shared" ref="GH157" si="374">SUM(AK156)</f>
        <v>0</v>
      </c>
      <c r="GI157" s="344">
        <f t="shared" ref="GI157" si="375">SUM(AL156)</f>
        <v>0</v>
      </c>
      <c r="GJ157" s="344">
        <f>SUM(AH157)</f>
        <v>0</v>
      </c>
      <c r="GK157" s="344">
        <f>SUM(AJ157)</f>
        <v>0</v>
      </c>
      <c r="GL157" s="344">
        <f>SUM(AK157)</f>
        <v>0</v>
      </c>
      <c r="GM157" s="344">
        <f>SUM(AL157)</f>
        <v>0</v>
      </c>
      <c r="GN157" s="344">
        <f>SUM(AH158)</f>
        <v>0</v>
      </c>
      <c r="GO157" s="344">
        <f>SUM(AJ158)</f>
        <v>0</v>
      </c>
      <c r="GP157" s="344">
        <f>SUM(AK158)</f>
        <v>0</v>
      </c>
      <c r="GQ157" s="344">
        <f>SUM(AL158)</f>
        <v>0</v>
      </c>
      <c r="GR157" s="344">
        <f>SUM(AH159)</f>
        <v>0</v>
      </c>
      <c r="GS157" s="344">
        <f>SUM(AJ159)</f>
        <v>0</v>
      </c>
      <c r="GT157" s="344">
        <f>SUM(AK159)</f>
        <v>0</v>
      </c>
      <c r="GU157" s="344">
        <f>SUM(AL159)</f>
        <v>0</v>
      </c>
      <c r="GV157" s="344">
        <f>SUM(AH160)</f>
        <v>0</v>
      </c>
      <c r="GW157" s="344">
        <f>SUM(AJ160)</f>
        <v>0</v>
      </c>
      <c r="GX157" s="344">
        <f>SUM(AK160)</f>
        <v>0</v>
      </c>
      <c r="GY157" s="344">
        <f>SUM(AL160)</f>
        <v>0</v>
      </c>
      <c r="GZ157" s="344">
        <f>SUM(GF157,GJ157,GN157,GR157,GV157)</f>
        <v>0</v>
      </c>
      <c r="HA157" s="344">
        <f t="shared" ref="HA157" si="376">SUM(GG157,GK157,GO157,GS157,GW157)</f>
        <v>0</v>
      </c>
      <c r="HB157" s="344" t="str">
        <f>IF(GD156=1,L163,MAX(GH157,GL157,GP157,GT157,GX157))</f>
        <v/>
      </c>
      <c r="HC157" s="344">
        <f>IF(GD156=1,I163,SUM(GI157,GM157,GQ157,GU157,GY157))</f>
        <v>0</v>
      </c>
      <c r="HD157" s="345">
        <f>IF(GD156=1,0,SUM(GF157,GJ157,GN157,GR157,GV157))</f>
        <v>0</v>
      </c>
      <c r="HE157" s="345">
        <f>IF(GD156=1,0,SUM(GG157,GK157,GO157,GS157,GW157))</f>
        <v>0</v>
      </c>
      <c r="HF157" s="341">
        <f>IF(GD156=1,0,MIN(HI157,HJ157,HK157,HL157,HM157))</f>
        <v>0</v>
      </c>
      <c r="HG157" s="341">
        <f>IF(HF157=0,0,COUNTIF(HI157:HM157,HF157))</f>
        <v>0</v>
      </c>
      <c r="HH157" s="341">
        <f>SUM(GH158,GL158,GP158,GT158,GX158)</f>
        <v>0</v>
      </c>
      <c r="HI157" s="343" t="str">
        <f>IF(GH158=1,GG157,"")</f>
        <v/>
      </c>
      <c r="HJ157" s="343" t="str">
        <f>IF(GL158=1,GK157,"")</f>
        <v/>
      </c>
      <c r="HK157" s="343" t="str">
        <f>IF(GP158=1,GO157,"")</f>
        <v/>
      </c>
      <c r="HL157" s="343" t="str">
        <f>IF(GT158=1,GS157,"")</f>
        <v/>
      </c>
      <c r="HM157" s="343" t="str">
        <f>IF(GX158=1,GW157,"")</f>
        <v/>
      </c>
      <c r="HN157" s="341"/>
      <c r="HO157" s="341" t="s">
        <v>928</v>
      </c>
      <c r="HP157" s="341" t="s">
        <v>982</v>
      </c>
      <c r="HQ157" s="341" t="s">
        <v>983</v>
      </c>
      <c r="HR157" s="341" t="s">
        <v>984</v>
      </c>
      <c r="HS157" s="238" t="s">
        <v>932</v>
      </c>
      <c r="HT157" s="238" t="s">
        <v>933</v>
      </c>
      <c r="HU157" s="238" t="s">
        <v>985</v>
      </c>
      <c r="HV157" s="238" t="s">
        <v>986</v>
      </c>
      <c r="HW157" s="238" t="str">
        <f>IFERROR(IF(GD156=0,SUM(HZ158:IA158),""),"")</f>
        <v/>
      </c>
      <c r="HY157" s="238"/>
      <c r="HZ157" s="238" t="s">
        <v>1132</v>
      </c>
      <c r="IA157" s="238" t="s">
        <v>1133</v>
      </c>
      <c r="IB157" s="238" t="s">
        <v>1132</v>
      </c>
      <c r="IC157" s="238" t="s">
        <v>1133</v>
      </c>
      <c r="ID157" s="238"/>
    </row>
    <row r="158" spans="1:238" s="234" customFormat="1" ht="20.100000000000001" customHeight="1">
      <c r="A158" s="235"/>
      <c r="B158" s="231">
        <f>COUNT(AJ159,AJ158)</f>
        <v>0</v>
      </c>
      <c r="C158" s="235"/>
      <c r="D158" s="271" t="str">
        <f>REPT(DN158,1)</f>
        <v>3</v>
      </c>
      <c r="E158" s="254" t="str">
        <f>REPT(AH158,1)</f>
        <v/>
      </c>
      <c r="F158" s="168"/>
      <c r="G158" s="168"/>
      <c r="H158" s="168"/>
      <c r="I158" s="169"/>
      <c r="J158" s="270" t="str">
        <f t="shared" ref="J158:J159" si="377">REPT(AM158,1)</f>
        <v/>
      </c>
      <c r="L158" s="312">
        <f>SUM(L156*3)</f>
        <v>0</v>
      </c>
      <c r="M158" s="307"/>
      <c r="N158" s="270" t="str">
        <f>REPT(AP158,1)</f>
        <v/>
      </c>
      <c r="P158" s="312">
        <f>SUM(P156*3)</f>
        <v>0</v>
      </c>
      <c r="Q158" s="310"/>
      <c r="R158" s="235"/>
      <c r="S158" s="271" t="str">
        <f>REPT(DO158,1)</f>
        <v>3</v>
      </c>
      <c r="T158" s="254" t="str">
        <f>REPT(AV158,1)</f>
        <v/>
      </c>
      <c r="U158" s="168"/>
      <c r="V158" s="168"/>
      <c r="W158" s="168"/>
      <c r="X158" s="169"/>
      <c r="Y158" s="270" t="str">
        <f t="shared" si="360"/>
        <v/>
      </c>
      <c r="Z158" s="308"/>
      <c r="AB158" s="234">
        <f>IF(AY158="",0,IF(AY158&lt;2,1,""))</f>
        <v>0</v>
      </c>
      <c r="AC158" s="238">
        <f t="shared" si="361"/>
        <v>0</v>
      </c>
      <c r="AD158" s="256">
        <f t="shared" si="362"/>
        <v>0</v>
      </c>
      <c r="AE158" s="256">
        <f t="shared" si="356"/>
        <v>0</v>
      </c>
      <c r="AF158" s="256">
        <f t="shared" si="357"/>
        <v>0</v>
      </c>
      <c r="AG158" s="256">
        <f t="shared" si="363"/>
        <v>0</v>
      </c>
      <c r="AH158" s="257" t="str">
        <f>IF(AK158="",IF(AI158="","",IF(AI158="",501,501-AI158)),501)</f>
        <v/>
      </c>
      <c r="AI158" s="256" t="str">
        <f>IF(F158&gt;1,F158,IF(F158=0,"",IF(F158="","","")))</f>
        <v/>
      </c>
      <c r="AJ158" s="256" t="str">
        <f>IF(G158&gt;8,G158,IF(G158="","",""))</f>
        <v/>
      </c>
      <c r="AK158" s="256" t="str">
        <f>IF(H158&gt;1,H158,IF(H158="","",""))</f>
        <v/>
      </c>
      <c r="AL158" s="256" t="str">
        <f>IF(I158&gt;0,I158,IF(I158="","",""))</f>
        <v/>
      </c>
      <c r="AM158" s="258" t="str">
        <f>IF(BK158=0,"","X")</f>
        <v/>
      </c>
      <c r="AN158" s="237"/>
      <c r="AO158" s="237"/>
      <c r="AP158" s="258" t="str">
        <f>IF(BM158=0,"","X")</f>
        <v/>
      </c>
      <c r="AQ158" s="236">
        <f t="shared" si="364"/>
        <v>0</v>
      </c>
      <c r="AR158" s="256">
        <f t="shared" si="365"/>
        <v>0</v>
      </c>
      <c r="AS158" s="256">
        <f t="shared" si="358"/>
        <v>0</v>
      </c>
      <c r="AT158" s="256">
        <f t="shared" si="359"/>
        <v>0</v>
      </c>
      <c r="AU158" s="256">
        <f t="shared" si="366"/>
        <v>0</v>
      </c>
      <c r="AV158" s="257" t="str">
        <f>IF(AY158="",IF(AW158="","",IF(AW158="",501,501-AW158)),501)</f>
        <v/>
      </c>
      <c r="AW158" s="256" t="str">
        <f>IF(U158&gt;1,U158,IF(U158=0,"",IF(U158="","","")))</f>
        <v/>
      </c>
      <c r="AX158" s="256" t="str">
        <f>IF(V158&gt;8,V158,IF(V158="","",""))</f>
        <v/>
      </c>
      <c r="AY158" s="256" t="str">
        <f>IF(W158&gt;1,W158,IF(W158="","",""))</f>
        <v/>
      </c>
      <c r="AZ158" s="256" t="str">
        <f>IF(X158&gt;0,X158,IF(X158="","",""))</f>
        <v/>
      </c>
      <c r="BA158" s="258" t="str">
        <f>IF(BL158=0,"","X")</f>
        <v/>
      </c>
      <c r="BK158" s="251">
        <f>SUM(DD158,DV158,EY158,ED158,FF158,BQ158,BS158,AC158,BK165)</f>
        <v>0</v>
      </c>
      <c r="BL158" s="251">
        <f>SUM(DE158,DW158,EE158,FT158,GA158,BR158,BT158,AQ158,BL165,CZ158)</f>
        <v>0</v>
      </c>
      <c r="BM158" s="259">
        <f t="shared" si="367"/>
        <v>0</v>
      </c>
      <c r="BN158" s="239">
        <f>COUNT(AK158)</f>
        <v>0</v>
      </c>
      <c r="BO158" s="239">
        <f>COUNT(AY158)</f>
        <v>0</v>
      </c>
      <c r="BP158" s="239">
        <f>IF(BN160=0,0,1)</f>
        <v>0</v>
      </c>
      <c r="BQ158" s="260">
        <f>IF(AL158="",0,IF(AL158&gt;2,1,0))</f>
        <v>0</v>
      </c>
      <c r="BR158" s="261">
        <f>IF(AZ158="",0,IF(AZ158&gt;2,1,0))</f>
        <v>0</v>
      </c>
      <c r="BS158" s="262">
        <f>IF(AJ158=9,IF(AK158&lt;141,1,0),0)</f>
        <v>0</v>
      </c>
      <c r="BT158" s="263">
        <f>IF(AX158=9,IF(AY158&lt;141,1,0),0)</f>
        <v>0</v>
      </c>
      <c r="BU158" s="242">
        <f>IF(H158,G158,0)</f>
        <v>0</v>
      </c>
      <c r="BV158" s="238">
        <f>IF(BU158&gt;0,AJ158/3,0)</f>
        <v>0</v>
      </c>
      <c r="BW158" s="238">
        <f>ROUNDUP(BV158,0)</f>
        <v>0</v>
      </c>
      <c r="BX158" s="244">
        <f>IF(MOD(BW158,2)=0,BW158,BW158+1)</f>
        <v>0</v>
      </c>
      <c r="BY158" s="238">
        <f>IF(AJ158&lt;9,"",SUM(BX158-BW158))</f>
        <v>0</v>
      </c>
      <c r="BZ158" s="238">
        <f>IF(BY158=1,AK158,0)</f>
        <v>0</v>
      </c>
      <c r="CA158" s="243" t="str">
        <f>IF(BY158=0,AK158,0)</f>
        <v/>
      </c>
      <c r="CB158" s="238"/>
      <c r="CC158" s="238"/>
      <c r="CD158" s="242">
        <f>IF(W158,V158,0)</f>
        <v>0</v>
      </c>
      <c r="CE158" s="238">
        <f>IF(CD158&gt;0,AX158/3,0)</f>
        <v>0</v>
      </c>
      <c r="CF158" s="238">
        <f>ROUNDUP(CE158,0)</f>
        <v>0</v>
      </c>
      <c r="CG158" s="244">
        <f>IF(MOD(CF158,2)=0,CF158,CF158+1)</f>
        <v>0</v>
      </c>
      <c r="CH158" s="238">
        <f>IF(AX158&lt;9,"",SUM(CG158-CF158))</f>
        <v>0</v>
      </c>
      <c r="CI158" s="238">
        <f>IF(CH158=1,AY158,0)</f>
        <v>0</v>
      </c>
      <c r="CJ158" s="243" t="str">
        <f>IF(CH158=0,AY158,0)</f>
        <v/>
      </c>
      <c r="CK158" s="238"/>
      <c r="CL158" s="245">
        <f>IF(COUNT(F158,H158)=1,0,1)</f>
        <v>1</v>
      </c>
      <c r="CM158" s="245">
        <f>IF(COUNT(F158,U158)=1,0,1)</f>
        <v>1</v>
      </c>
      <c r="CN158" s="245">
        <f>IF(COUNT(H158,W158)=1,0,1)</f>
        <v>1</v>
      </c>
      <c r="CO158" s="245">
        <f>IF(COUNT(G158,V158)=2,0,1)</f>
        <v>1</v>
      </c>
      <c r="CP158" s="245">
        <f>IF(COUNT(U158,W158)=1,0,1)</f>
        <v>1</v>
      </c>
      <c r="CQ158" s="245">
        <f>IF(SUM(G158-V158)&gt;3,1,0)</f>
        <v>0</v>
      </c>
      <c r="CR158" s="245">
        <f>IF(SUM(G158-V158)&lt;-3,1,0)</f>
        <v>0</v>
      </c>
      <c r="CS158" s="264">
        <f>IF(AJ158=9,IF(AH158&lt;141,1,0),IF(AH158="",0,IF(AH158&gt;1,0,1)))</f>
        <v>0</v>
      </c>
      <c r="CT158" s="264">
        <f>IF(AX158=9,IF(AV158&lt;141,1,0),IF(AV158="",0,IF(AV158&gt;1,0,1)))</f>
        <v>0</v>
      </c>
      <c r="CU158" s="264">
        <f>IF(AI158="",0,IF(AI158&lt;502,0,1))</f>
        <v>0</v>
      </c>
      <c r="CV158" s="264">
        <f>IF(AW158="",0,IF(AW158&lt;502,0,1))</f>
        <v>0</v>
      </c>
      <c r="CW158" s="264">
        <f>IF(AI158="",IF(AJ158&lt;9,1,0),IF(AJ158&lt;9,1,0))</f>
        <v>0</v>
      </c>
      <c r="CX158" s="264">
        <f>IF(AW158="",IF(AX158&lt;9,1,0),IF(AX158&lt;9,1,0))</f>
        <v>0</v>
      </c>
      <c r="CY158" s="374">
        <f>COUNT(U156,U157,U158)</f>
        <v>0</v>
      </c>
      <c r="CZ158" s="375">
        <f>IF(AL153=3,IF(CY158&gt;2,1,0),0)</f>
        <v>0</v>
      </c>
      <c r="DA158" s="374"/>
      <c r="DB158" s="374"/>
      <c r="DC158" s="265">
        <f>IF(AJ158="",0,SUM(CL158:CX158))</f>
        <v>0</v>
      </c>
      <c r="DD158" s="265">
        <f>IF(AJ158="",0,SUM(CL158,CS158,CU158,CW158))</f>
        <v>0</v>
      </c>
      <c r="DE158" s="265">
        <f>IF(AJ158="",0,SUM(CP158,CT158,CV158,CX158))</f>
        <v>0</v>
      </c>
      <c r="DF158" s="238"/>
      <c r="DG158" s="248">
        <f>SUM(G158-V158)</f>
        <v>0</v>
      </c>
      <c r="DH158" s="245">
        <f>IF(F158="",0,1)</f>
        <v>0</v>
      </c>
      <c r="DI158" s="245">
        <f t="shared" si="368"/>
        <v>0</v>
      </c>
      <c r="DJ158" s="245">
        <f t="shared" si="369"/>
        <v>0</v>
      </c>
      <c r="DK158" s="245" t="str">
        <f>IF(G158="","",IF(DJ158=1,"*",""))</f>
        <v/>
      </c>
      <c r="DL158" s="245" t="str">
        <f>IF(G158="","",IF(DJ158=-1,"*",IF(DJ158=0,"*","")))</f>
        <v/>
      </c>
      <c r="DM158" s="245">
        <v>3</v>
      </c>
      <c r="DN158" s="245" t="str">
        <f t="shared" si="370"/>
        <v>3</v>
      </c>
      <c r="DO158" s="245" t="str">
        <f t="shared" si="371"/>
        <v>3</v>
      </c>
      <c r="DP158" s="245">
        <f>SUM(DP156)</f>
        <v>0</v>
      </c>
      <c r="DQ158" s="245">
        <f>SUM(DQ156)</f>
        <v>0</v>
      </c>
      <c r="DR158" s="245">
        <f t="shared" ref="DR158:DR160" si="378">IF(DK158="*",1,0)</f>
        <v>0</v>
      </c>
      <c r="DS158" s="245">
        <f t="shared" ref="DS158:DS160" si="379">IF(DL158="*",1,0)</f>
        <v>0</v>
      </c>
      <c r="DT158" s="245">
        <f t="shared" ref="DT158:DT160" si="380">IF(H148="",0,IF(DP158=DR158,1,0))</f>
        <v>0</v>
      </c>
      <c r="DU158" s="245">
        <f>IF(V158="",0,IF(DQ158=DS158,0,1))</f>
        <v>0</v>
      </c>
      <c r="DV158" s="267">
        <f t="shared" ref="DV158:DV160" si="381">SUM(DT158)</f>
        <v>0</v>
      </c>
      <c r="DW158" s="267">
        <f>IF(V158="",0,SUM(DU158))</f>
        <v>0</v>
      </c>
      <c r="DX158" s="238">
        <f>IF(AK158="",0,1)</f>
        <v>0</v>
      </c>
      <c r="DY158" s="238">
        <f>IF(DG158=-3,1,0)</f>
        <v>0</v>
      </c>
      <c r="DZ158" s="238">
        <f>SUM(DX158:DY158)</f>
        <v>0</v>
      </c>
      <c r="EA158" s="238">
        <f>IF(AK158="",1,0)</f>
        <v>1</v>
      </c>
      <c r="EB158" s="238">
        <f>IF(DG158=3,1,0)</f>
        <v>0</v>
      </c>
      <c r="EC158" s="238">
        <f>SUM(EA158:EB158)</f>
        <v>1</v>
      </c>
      <c r="ED158" s="267">
        <f>IF(EC158=2,1,0)</f>
        <v>0</v>
      </c>
      <c r="EE158" s="267">
        <f>IF(DZ158=2,1,0)</f>
        <v>0</v>
      </c>
      <c r="EG158" s="166"/>
      <c r="EH158" s="238"/>
      <c r="EI158" s="238"/>
      <c r="EJ158" s="238"/>
      <c r="EK158" s="238"/>
      <c r="EL158" s="238"/>
      <c r="EM158" s="245">
        <f>IF(AK158="",0,1)</f>
        <v>0</v>
      </c>
      <c r="EN158" s="245">
        <f>SUM(AK158)</f>
        <v>0</v>
      </c>
      <c r="EO158" s="268">
        <f>SUM(AJ158)</f>
        <v>0</v>
      </c>
      <c r="EP158" s="268">
        <f>SUM(G158/3)</f>
        <v>0</v>
      </c>
      <c r="EQ158" s="268" t="e">
        <f>SUM(EO158/EP158)</f>
        <v>#DIV/0!</v>
      </c>
      <c r="ER158" s="268">
        <f>ROUNDDOWN(EP158,0)</f>
        <v>0</v>
      </c>
      <c r="ES158" s="268">
        <f>SUM(EO158,-ER158*3)</f>
        <v>0</v>
      </c>
      <c r="ET158" s="269" t="b">
        <f>MOD(EN158/1,2)=0</f>
        <v>1</v>
      </c>
      <c r="EU158" s="245">
        <f>IF(ET158=FALSE,1,0)</f>
        <v>0</v>
      </c>
      <c r="EV158" s="245">
        <f>IF(EN158=50,0,IF(EN158&lt;40,1,0))</f>
        <v>1</v>
      </c>
      <c r="EW158" s="245">
        <f>SUM(EU158:EV158)</f>
        <v>1</v>
      </c>
      <c r="EX158" s="267">
        <f>IF(EN158=1,1,IF(EN158=50,0,IF(ES158=1,IF(EN158&gt;40,1,0),0)))</f>
        <v>0</v>
      </c>
      <c r="EY158" s="267">
        <f>IF(ES158=1,IF(EW158=2,1,0),0)+EX158+FB158+FE158</f>
        <v>0</v>
      </c>
      <c r="EZ158" s="245">
        <f>IF(EN158=109,1,IF(EN158=108,1,IF(EN158=106,1,IF(EN158=105,1,IF(EN158=103,1,IF(EN158=102,1,IF(EN158=99,1,0)))))))</f>
        <v>0</v>
      </c>
      <c r="FA158" s="245">
        <f>IF(EN158&gt;110,1,0)</f>
        <v>0</v>
      </c>
      <c r="FB158" s="267">
        <f>IF(ES158=2,SUM(EZ158:FA158),0)</f>
        <v>0</v>
      </c>
      <c r="FC158" s="245">
        <f>IF(EN158=159,1,IF(EN158=162,1,IF(EN158=163,1,IF(EN158=165,1,IF(EN158=166,1,IF(EN158=168,1,IF(EN158=169,1,0)))))))</f>
        <v>0</v>
      </c>
      <c r="FD158" s="245">
        <f>IF(EN158&gt;170,1,0)</f>
        <v>0</v>
      </c>
      <c r="FE158" s="267">
        <f>IF(ES158=0,SUM(FC158:FD158),0)</f>
        <v>0</v>
      </c>
      <c r="FF158" s="251">
        <f t="shared" si="372"/>
        <v>0</v>
      </c>
      <c r="FG158" s="238"/>
      <c r="FH158" s="245">
        <f>IF(AY158="",0,1)</f>
        <v>0</v>
      </c>
      <c r="FI158" s="245">
        <f>SUM(AY158)</f>
        <v>0</v>
      </c>
      <c r="FJ158" s="268">
        <f>SUM(AX158)</f>
        <v>0</v>
      </c>
      <c r="FK158" s="268">
        <f>SUM(V158/3)</f>
        <v>0</v>
      </c>
      <c r="FL158" s="268" t="e">
        <f>SUM(FJ158/FK158)</f>
        <v>#DIV/0!</v>
      </c>
      <c r="FM158" s="268">
        <f>ROUNDDOWN(FK158,0)</f>
        <v>0</v>
      </c>
      <c r="FN158" s="268">
        <f>SUM(FJ158,-FM158*3)</f>
        <v>0</v>
      </c>
      <c r="FO158" s="269" t="b">
        <f>MOD(FI158/1,2)=0</f>
        <v>1</v>
      </c>
      <c r="FP158" s="245">
        <f>IF(FO158=FALSE,1,0)</f>
        <v>0</v>
      </c>
      <c r="FQ158" s="245">
        <f>IF(FI158=50,0,IF(FI158&lt;40,1,0))</f>
        <v>1</v>
      </c>
      <c r="FR158" s="245">
        <f>SUM(FP158:FQ158)</f>
        <v>1</v>
      </c>
      <c r="FS158" s="267">
        <f>IF(FI158=1,1,IF(FI158=50,0,IF(FN158=1,IF(FI158&gt;40,1,0),0)))</f>
        <v>0</v>
      </c>
      <c r="FT158" s="267">
        <f>IF(FN158=1,IF(FR158=2,1,0),0)+FS158+FW158+FZ158</f>
        <v>0</v>
      </c>
      <c r="FU158" s="245">
        <f>IF(FI158=109,1,IF(FI158=108,1,IF(FI158=106,1,IF(FI158=105,1,IF(FI158=103,1,IF(FI158=102,1,IF(FI158=99,1,0)))))))</f>
        <v>0</v>
      </c>
      <c r="FV158" s="245">
        <f>IF(FI158&gt;110,1,0)</f>
        <v>0</v>
      </c>
      <c r="FW158" s="267">
        <f>IF(FN158=2,SUM(FU158:FV158),0)</f>
        <v>0</v>
      </c>
      <c r="FX158" s="245">
        <f>IF(FI158=159,1,IF(FI158=162,1,IF(FI158=163,1,IF(FI158=165,1,IF(FI158=166,1,IF(FI158=168,1,IF(FI158=169,1,0)))))))</f>
        <v>0</v>
      </c>
      <c r="FY158" s="245">
        <f>IF(FI158&gt;170,1,0)</f>
        <v>0</v>
      </c>
      <c r="FZ158" s="267">
        <f>IF(FN158=0,SUM(FX158:FY158),0)</f>
        <v>0</v>
      </c>
      <c r="GA158" s="251">
        <f t="shared" si="373"/>
        <v>0</v>
      </c>
      <c r="GC158" s="238" t="str">
        <f>VLOOKUP(AH153,Chema!BL:BR,3,FALSE)</f>
        <v>HD 1.3.2</v>
      </c>
      <c r="GD158" s="341"/>
      <c r="GE158" s="343" t="str">
        <f>IF(C164="","",SUM(C164))</f>
        <v/>
      </c>
      <c r="GF158" s="346"/>
      <c r="GG158" s="340"/>
      <c r="GH158" s="343">
        <f>IF(GH157&gt;0,1,0)</f>
        <v>0</v>
      </c>
      <c r="GI158" s="346"/>
      <c r="GJ158" s="343"/>
      <c r="GK158" s="340"/>
      <c r="GL158" s="343">
        <f>IF(GL157&gt;0,1,0)</f>
        <v>0</v>
      </c>
      <c r="GM158" s="343"/>
      <c r="GN158" s="343"/>
      <c r="GO158" s="340"/>
      <c r="GP158" s="343">
        <f>IF(GP157&gt;0,1,0)</f>
        <v>0</v>
      </c>
      <c r="GQ158" s="343"/>
      <c r="GR158" s="343"/>
      <c r="GS158" s="340"/>
      <c r="GT158" s="343">
        <f>IF(GT157&gt;0,1,0)</f>
        <v>0</v>
      </c>
      <c r="GU158" s="343"/>
      <c r="GV158" s="343"/>
      <c r="GW158" s="340"/>
      <c r="GX158" s="343">
        <f>IF(GX157&gt;0,1,0)</f>
        <v>0</v>
      </c>
      <c r="GY158" s="343"/>
      <c r="GZ158" s="343"/>
      <c r="HA158" s="343"/>
      <c r="HB158" s="343" t="str">
        <f>IF(GD156=1,L164,"")</f>
        <v/>
      </c>
      <c r="HC158" s="343">
        <f>IF(GD156=1,I164,"")</f>
        <v>0</v>
      </c>
      <c r="HD158" s="345"/>
      <c r="HE158" s="340"/>
      <c r="HF158" s="340"/>
      <c r="HG158" s="347">
        <f>IF(GE157="",0,IF(AL153=3,2,IF(AL153=5,3,0)))</f>
        <v>0</v>
      </c>
      <c r="HH158" s="347">
        <f>IF(HK158=0,0,IF(HG160=0,0,1))</f>
        <v>0</v>
      </c>
      <c r="HI158" s="340"/>
      <c r="HJ158" s="340"/>
      <c r="HK158" s="340">
        <f>SUM(HM156,HM160)</f>
        <v>0</v>
      </c>
      <c r="HL158" s="340">
        <f>IF(HK158=0,0,IF(HM156=HG158,1,0))</f>
        <v>0</v>
      </c>
      <c r="HM158" s="340">
        <f>IF(HK158=0,0,IF(HM160=HG158,1,0))</f>
        <v>0</v>
      </c>
      <c r="HN158" s="341" t="str">
        <f>REPT(N153,1)</f>
        <v>Spiel 11</v>
      </c>
      <c r="HO158" s="348" t="str">
        <f>IF(HK158=0,"",IF(HH158=0,SUM(HH157),""))</f>
        <v/>
      </c>
      <c r="HP158" s="348" t="str">
        <f>IF(HK158=0,"",IF(HH158=0,SUM(HH159),""))</f>
        <v/>
      </c>
      <c r="HQ158" s="348" t="e">
        <f>IF(HH158=0,SUM(GZ157/HA157),"")</f>
        <v>#DIV/0!</v>
      </c>
      <c r="HR158" s="348" t="e">
        <f>IF(HH158=0,SUM(GZ159/HA159),"")</f>
        <v>#DIV/0!</v>
      </c>
      <c r="HS158" s="238" t="str">
        <f>REPT(DK156,1)</f>
        <v/>
      </c>
      <c r="HT158" s="238" t="str">
        <f>REPT(DL156,1)</f>
        <v/>
      </c>
      <c r="HU158" s="238">
        <f>IF(HH158=0,HL158,"")</f>
        <v>0</v>
      </c>
      <c r="HV158" s="238">
        <f>IF(HH158=0,HM158,"")</f>
        <v>0</v>
      </c>
      <c r="HW158" s="238" t="s">
        <v>1131</v>
      </c>
      <c r="HY158" s="238"/>
      <c r="HZ158" s="238" t="str">
        <f>IF(AL153=5,IF(HU158=1,SUM(HO158*2-HP158),HO158+HP158-2),"")</f>
        <v/>
      </c>
      <c r="IA158" s="238" t="e">
        <f>IF(AL153=3,IF(HU158=1,SUM(HO158-HP158+3),HO158+HP158-1),"")</f>
        <v>#VALUE!</v>
      </c>
      <c r="IB158" s="238" t="str">
        <f>IF(AL153=5,IF(HV158=1,SUM(HP158*2-HO158),HO158+HP158-2),"")</f>
        <v/>
      </c>
      <c r="IC158" s="238" t="e">
        <f>IF(AL153=3,IF(HV158=1,SUM(HP158-HO158+3),HO158+HP158-1),"")</f>
        <v>#VALUE!</v>
      </c>
      <c r="ID158" s="238">
        <f>SUM(BM162)</f>
        <v>0</v>
      </c>
    </row>
    <row r="159" spans="1:238" s="234" customFormat="1" ht="20.100000000000001" customHeight="1">
      <c r="A159" s="235"/>
      <c r="B159" s="231">
        <f>COUNT(AJ160,AJ159)</f>
        <v>0</v>
      </c>
      <c r="C159" s="235"/>
      <c r="D159" s="328" t="str">
        <f>REPT(DN159,1)</f>
        <v>4</v>
      </c>
      <c r="E159" s="329" t="str">
        <f>REPT(AH159,1)</f>
        <v/>
      </c>
      <c r="F159" s="330"/>
      <c r="G159" s="330"/>
      <c r="H159" s="330"/>
      <c r="I159" s="331"/>
      <c r="J159" s="270" t="str">
        <f t="shared" si="377"/>
        <v/>
      </c>
      <c r="M159" s="311"/>
      <c r="N159" s="270" t="str">
        <f>REPT(AP159,1)</f>
        <v/>
      </c>
      <c r="Q159" s="310"/>
      <c r="R159" s="235"/>
      <c r="S159" s="328" t="str">
        <f>REPT(DO159,1)</f>
        <v>4</v>
      </c>
      <c r="T159" s="329" t="str">
        <f>REPT(AV159,1)</f>
        <v/>
      </c>
      <c r="U159" s="330"/>
      <c r="V159" s="330"/>
      <c r="W159" s="330"/>
      <c r="X159" s="331"/>
      <c r="Y159" s="270" t="str">
        <f t="shared" si="360"/>
        <v/>
      </c>
      <c r="Z159" s="308"/>
      <c r="AA159" s="238">
        <f>SUM(AL153)</f>
        <v>3</v>
      </c>
      <c r="AB159" s="234">
        <f>IF(AY159="",0,IF(AY159&lt;2,1,""))</f>
        <v>0</v>
      </c>
      <c r="AC159" s="238">
        <f>IF(AL153=3,0,IF(AD159=1,1,IF(AD159=3,1,IF(AD159=2,0,IF(AD159=0,0,0)))))</f>
        <v>0</v>
      </c>
      <c r="AD159" s="256">
        <f t="shared" si="362"/>
        <v>0</v>
      </c>
      <c r="AE159" s="256">
        <f t="shared" si="356"/>
        <v>0</v>
      </c>
      <c r="AF159" s="256">
        <f t="shared" si="357"/>
        <v>0</v>
      </c>
      <c r="AG159" s="256">
        <f t="shared" si="363"/>
        <v>0</v>
      </c>
      <c r="AH159" s="257" t="str">
        <f>IF(AL153=3,"",IF(AK159="",IF(AI159="","",IF(AI159="",501,501-AI159)),501))</f>
        <v/>
      </c>
      <c r="AI159" s="256" t="str">
        <f>IF(AL153=3,"",IF(F159&gt;1,F159,IF(F159=0,"",IF(F159="","",""))))</f>
        <v/>
      </c>
      <c r="AJ159" s="256" t="str">
        <f>IF(AL153=3,"",IF(G159&gt;8,G159,IF(G159="","","")))</f>
        <v/>
      </c>
      <c r="AK159" s="256" t="str">
        <f>IF(AL153=3,"",IF(H159&gt;1,H159,IF(H159="","","")))</f>
        <v/>
      </c>
      <c r="AL159" s="256" t="str">
        <f>IF(AL153=3,"",IF(I159&gt;0,I159,IF(I159="","","")))</f>
        <v/>
      </c>
      <c r="AM159" s="258" t="str">
        <f>IF(BK159=0,"","X")</f>
        <v/>
      </c>
      <c r="AN159" s="237"/>
      <c r="AO159" s="237"/>
      <c r="AP159" s="258" t="str">
        <f>IF(BM159=0,"","X")</f>
        <v/>
      </c>
      <c r="AQ159" s="236">
        <f>IF(AL153=3,0,IF(AR159=1,1,IF(AR159=3,1,IF(AR159=2,0,IF(AR159=0,0,0)))))</f>
        <v>0</v>
      </c>
      <c r="AR159" s="256">
        <f t="shared" si="365"/>
        <v>0</v>
      </c>
      <c r="AS159" s="256">
        <f t="shared" si="358"/>
        <v>0</v>
      </c>
      <c r="AT159" s="256">
        <f t="shared" si="359"/>
        <v>0</v>
      </c>
      <c r="AU159" s="256">
        <f t="shared" si="366"/>
        <v>0</v>
      </c>
      <c r="AV159" s="257" t="str">
        <f>IF(AY159="",IF(AW159="","",IF(AW159="",501,501-AW159)),501)</f>
        <v/>
      </c>
      <c r="AW159" s="256" t="str">
        <f>IF(AL153=3,"",IF(U159&gt;1,U159,IF(U159=0,"",IF(U159="","",""))))</f>
        <v/>
      </c>
      <c r="AX159" s="256" t="str">
        <f>IF(AL153=3,"",IF(V159&gt;8,V159,IF(V159="","","")))</f>
        <v/>
      </c>
      <c r="AY159" s="256" t="str">
        <f>IF(AL153=3,"",IF(W159&gt;1,W159,IF(W159="","","")))</f>
        <v/>
      </c>
      <c r="AZ159" s="256" t="str">
        <f>IF(AL153=3,"",IF(X159&gt;0,X159,IF(X159="","","")))</f>
        <v/>
      </c>
      <c r="BA159" s="258" t="str">
        <f>IF(BL159=0,"","X")</f>
        <v/>
      </c>
      <c r="BK159" s="251">
        <f>IF(AL153=3,0,SUM(DD159,DV159,EY159,ED159,FF159,BQ159,BS159,AC159))</f>
        <v>0</v>
      </c>
      <c r="BL159" s="251">
        <f>IF(AL153=3,0,SUM(DE159,DW159,EE159,FT159,GA159,BR159,BT159,AQ159))</f>
        <v>0</v>
      </c>
      <c r="BM159" s="259">
        <f>IF(AL153=3,0,SUM(DC159,BK159:BL159,AC159,AQ159))</f>
        <v>0</v>
      </c>
      <c r="BN159" s="239">
        <f>COUNT(AK159)</f>
        <v>0</v>
      </c>
      <c r="BO159" s="239">
        <f>COUNT(AY159)</f>
        <v>0</v>
      </c>
      <c r="BP159" s="239">
        <f>IF(BZ161=0,0,1)</f>
        <v>0</v>
      </c>
      <c r="BQ159" s="260">
        <f>IF(AL159="",0,IF(AL159&gt;2,1,0))</f>
        <v>0</v>
      </c>
      <c r="BR159" s="261">
        <f>IF(AZ159="",0,IF(AZ159&gt;2,1,0))</f>
        <v>0</v>
      </c>
      <c r="BS159" s="262">
        <f>IF(AJ159=9,IF(AK159&lt;141,1,0),0)</f>
        <v>0</v>
      </c>
      <c r="BT159" s="263">
        <f>IF(AX159=9,IF(AY159&lt;141,1,0),0)</f>
        <v>0</v>
      </c>
      <c r="BU159" s="242">
        <f>IF(AL153=3,0,IF(H159,G159,0))</f>
        <v>0</v>
      </c>
      <c r="BV159" s="238">
        <f>IF(BU159&gt;0,AJ159/3,0)</f>
        <v>0</v>
      </c>
      <c r="BW159" s="238">
        <f>ROUNDUP(BV159,0)</f>
        <v>0</v>
      </c>
      <c r="BX159" s="244">
        <f>IF(MOD(BW159,2)=0,BW159,BW159+1)</f>
        <v>0</v>
      </c>
      <c r="BY159" s="238">
        <f>IF(AJ159&lt;9,"",SUM(BX159-BW159))</f>
        <v>0</v>
      </c>
      <c r="BZ159" s="238">
        <f>IF(BY159=1,AK159,0)</f>
        <v>0</v>
      </c>
      <c r="CA159" s="243" t="str">
        <f>IF(BY159=0,AK159,0)</f>
        <v/>
      </c>
      <c r="CB159" s="238"/>
      <c r="CC159" s="238"/>
      <c r="CD159" s="242">
        <f>IF(AL153=3,0,IF(W159,V159,0))</f>
        <v>0</v>
      </c>
      <c r="CE159" s="238">
        <f>IF(CD159&gt;0,AX159/3,0)</f>
        <v>0</v>
      </c>
      <c r="CF159" s="238">
        <f>ROUNDUP(CE159,0)</f>
        <v>0</v>
      </c>
      <c r="CG159" s="244">
        <f>IF(MOD(CF159,2)=0,CF159,CF159+1)</f>
        <v>0</v>
      </c>
      <c r="CH159" s="238">
        <f>IF(AX159&lt;9,"",SUM(CG159-CF159))</f>
        <v>0</v>
      </c>
      <c r="CI159" s="238">
        <f>IF(CH159=1,AY159,0)</f>
        <v>0</v>
      </c>
      <c r="CJ159" s="243" t="str">
        <f>IF(CH159=0,AY159,0)</f>
        <v/>
      </c>
      <c r="CK159" s="238"/>
      <c r="CL159" s="245">
        <f>IF(COUNT(F159,H159)=1,0,1)</f>
        <v>1</v>
      </c>
      <c r="CM159" s="245">
        <f>IF(COUNT(F159,U159)=1,0,1)</f>
        <v>1</v>
      </c>
      <c r="CN159" s="245">
        <f>IF(COUNT(H159,W159)=1,0,1)</f>
        <v>1</v>
      </c>
      <c r="CO159" s="245">
        <f>IF(COUNT(G159,V159)=2,0,1)</f>
        <v>1</v>
      </c>
      <c r="CP159" s="245">
        <f>IF(COUNT(U159,W159)=1,0,1)</f>
        <v>1</v>
      </c>
      <c r="CQ159" s="245">
        <f>IF(SUM(G159-V159)&gt;3,1,0)</f>
        <v>0</v>
      </c>
      <c r="CR159" s="245">
        <f>IF(SUM(G159-V159)&lt;-3,1,0)</f>
        <v>0</v>
      </c>
      <c r="CS159" s="264">
        <f>IF(AJ159=9,IF(AH159&lt;141,1,0),IF(AH159="",0,IF(AH159&gt;1,0,1)))</f>
        <v>0</v>
      </c>
      <c r="CT159" s="264">
        <f>IF(AX159=9,IF(AV159&lt;141,1,0),IF(AV159="",0,IF(AV159&gt;1,0,1)))</f>
        <v>0</v>
      </c>
      <c r="CU159" s="264">
        <f>IF(AI159="",0,IF(AI159&lt;502,0,1))</f>
        <v>0</v>
      </c>
      <c r="CV159" s="264">
        <f>IF(AW159="",0,IF(AW159&lt;502,0,1))</f>
        <v>0</v>
      </c>
      <c r="CW159" s="264">
        <f>IF(AI159="",IF(AJ159&lt;9,1,0),IF(AJ159&lt;9,1,0))</f>
        <v>0</v>
      </c>
      <c r="CX159" s="264">
        <f>IF(AW159="",IF(AX159&lt;9,1,0),IF(AX159&lt;9,1,0))</f>
        <v>0</v>
      </c>
      <c r="CY159" s="374"/>
      <c r="CZ159" s="374"/>
      <c r="DA159" s="374"/>
      <c r="DB159" s="374"/>
      <c r="DC159" s="265">
        <f>IF(AJ159="",0,SUM(CL159:CX159))</f>
        <v>0</v>
      </c>
      <c r="DD159" s="265">
        <f>IF(AJ159="",0,SUM(CL159,CS159,CU159,CW159))</f>
        <v>0</v>
      </c>
      <c r="DE159" s="265">
        <f>IF(AJ159="",0,SUM(CP159,CT159,CV159,CX159))</f>
        <v>0</v>
      </c>
      <c r="DF159" s="238"/>
      <c r="DG159" s="248">
        <f>IF(AL153=3,0,SUM(G159-V159))</f>
        <v>0</v>
      </c>
      <c r="DH159" s="245">
        <f>IF(F159="",0,1)</f>
        <v>0</v>
      </c>
      <c r="DI159" s="245">
        <f t="shared" si="368"/>
        <v>0</v>
      </c>
      <c r="DJ159" s="245">
        <f t="shared" si="369"/>
        <v>0</v>
      </c>
      <c r="DK159" s="245" t="str">
        <f>IF(G159="","",IF(DJ159=1,"*",""))</f>
        <v/>
      </c>
      <c r="DL159" s="245" t="str">
        <f>IF(AL153=3,"",IF(G159="","",IF(DJ159=-1,"*",IF(DJ159=0,"*",""))))</f>
        <v/>
      </c>
      <c r="DM159" s="245">
        <v>4</v>
      </c>
      <c r="DN159" s="245" t="str">
        <f t="shared" si="370"/>
        <v>4</v>
      </c>
      <c r="DO159" s="245" t="str">
        <f t="shared" si="371"/>
        <v>4</v>
      </c>
      <c r="DP159" s="245">
        <f>SUM(DQ156)</f>
        <v>0</v>
      </c>
      <c r="DQ159" s="245">
        <f>SUM(DP156)</f>
        <v>0</v>
      </c>
      <c r="DR159" s="245">
        <f t="shared" si="378"/>
        <v>0</v>
      </c>
      <c r="DS159" s="245">
        <f t="shared" si="379"/>
        <v>0</v>
      </c>
      <c r="DT159" s="245">
        <f t="shared" si="380"/>
        <v>0</v>
      </c>
      <c r="DU159" s="245">
        <f>IF(V159="",0,IF(DQ159=DS159,0,1))</f>
        <v>0</v>
      </c>
      <c r="DV159" s="267">
        <f t="shared" si="381"/>
        <v>0</v>
      </c>
      <c r="DW159" s="267">
        <f>IF(V159="",0,SUM(DU159))</f>
        <v>0</v>
      </c>
      <c r="DX159" s="238">
        <f>IF(AK159="",0,1)</f>
        <v>0</v>
      </c>
      <c r="DY159" s="238">
        <f>IF(DG159=-3,1,0)</f>
        <v>0</v>
      </c>
      <c r="DZ159" s="238">
        <f>SUM(DX159:DY159)</f>
        <v>0</v>
      </c>
      <c r="EA159" s="238">
        <f>IF(AK159="",1,0)</f>
        <v>1</v>
      </c>
      <c r="EB159" s="238">
        <f>IF(DG159=3,1,0)</f>
        <v>0</v>
      </c>
      <c r="EC159" s="238">
        <f>SUM(EA159:EB159)</f>
        <v>1</v>
      </c>
      <c r="ED159" s="267">
        <f>IF(EC159=2,1,0)</f>
        <v>0</v>
      </c>
      <c r="EE159" s="267">
        <f>IF(DZ159=2,1,0)</f>
        <v>0</v>
      </c>
      <c r="EG159" s="166"/>
      <c r="EH159" s="238"/>
      <c r="EI159" s="238"/>
      <c r="EJ159" s="238"/>
      <c r="EK159" s="238"/>
      <c r="EL159" s="238"/>
      <c r="EM159" s="245">
        <f>IF(AK159="",0,1)</f>
        <v>0</v>
      </c>
      <c r="EN159" s="245">
        <f>SUM(AK159)</f>
        <v>0</v>
      </c>
      <c r="EO159" s="268">
        <f>SUM(AJ159)</f>
        <v>0</v>
      </c>
      <c r="EP159" s="268">
        <f>SUM(G159/3)</f>
        <v>0</v>
      </c>
      <c r="EQ159" s="268" t="e">
        <f>SUM(EO159/EP159)</f>
        <v>#DIV/0!</v>
      </c>
      <c r="ER159" s="268">
        <f>ROUNDDOWN(EP159,0)</f>
        <v>0</v>
      </c>
      <c r="ES159" s="268">
        <f>SUM(EO159,-ER159*3)</f>
        <v>0</v>
      </c>
      <c r="ET159" s="269" t="b">
        <f>MOD(EN159/1,2)=0</f>
        <v>1</v>
      </c>
      <c r="EU159" s="245">
        <f>IF(ET159=FALSE,1,0)</f>
        <v>0</v>
      </c>
      <c r="EV159" s="245">
        <f>IF(EN159=50,0,IF(EN159&lt;40,1,0))</f>
        <v>1</v>
      </c>
      <c r="EW159" s="245">
        <f>SUM(EU159:EV159)</f>
        <v>1</v>
      </c>
      <c r="EX159" s="267">
        <f>IF(EN159=1,1,IF(EN159=50,0,IF(ES159=1,IF(EN159&gt;40,1,0),0)))</f>
        <v>0</v>
      </c>
      <c r="EY159" s="267">
        <f>IF(ES159=1,IF(EW159=2,1,0),0)+EX159+FB159+FE159</f>
        <v>0</v>
      </c>
      <c r="EZ159" s="245">
        <f>IF(EN159=109,1,IF(EN159=108,1,IF(EN159=106,1,IF(EN159=105,1,IF(EN159=103,1,IF(EN159=102,1,IF(EN159=99,1,0)))))))</f>
        <v>0</v>
      </c>
      <c r="FA159" s="245">
        <f>IF(EN159&gt;110,1,0)</f>
        <v>0</v>
      </c>
      <c r="FB159" s="267">
        <f>IF(ES159=2,SUM(EZ159:FA159),0)</f>
        <v>0</v>
      </c>
      <c r="FC159" s="245">
        <f>IF(EN159=159,1,IF(EN159=162,1,IF(EN159=163,1,IF(EN159=165,1,IF(EN159=166,1,IF(EN159=168,1,IF(EN159=169,1,0)))))))</f>
        <v>0</v>
      </c>
      <c r="FD159" s="245">
        <f>IF(EN159&gt;170,1,0)</f>
        <v>0</v>
      </c>
      <c r="FE159" s="267">
        <f>IF(ES159=0,SUM(FC159:FD159),0)</f>
        <v>0</v>
      </c>
      <c r="FF159" s="251">
        <f t="shared" si="372"/>
        <v>0</v>
      </c>
      <c r="FG159" s="238"/>
      <c r="FH159" s="245">
        <f>IF(AY159="",0,1)</f>
        <v>0</v>
      </c>
      <c r="FI159" s="245">
        <f>SUM(AY159)</f>
        <v>0</v>
      </c>
      <c r="FJ159" s="268">
        <f>SUM(AX159)</f>
        <v>0</v>
      </c>
      <c r="FK159" s="268">
        <f>SUM(V159/3)</f>
        <v>0</v>
      </c>
      <c r="FL159" s="268" t="e">
        <f>SUM(FJ159/FK159)</f>
        <v>#DIV/0!</v>
      </c>
      <c r="FM159" s="268">
        <f>ROUNDDOWN(FK159,0)</f>
        <v>0</v>
      </c>
      <c r="FN159" s="268">
        <f>SUM(FJ159,-FM159*3)</f>
        <v>0</v>
      </c>
      <c r="FO159" s="269" t="b">
        <f>MOD(FI159/1,2)=0</f>
        <v>1</v>
      </c>
      <c r="FP159" s="245">
        <f>IF(FO159=FALSE,1,0)</f>
        <v>0</v>
      </c>
      <c r="FQ159" s="245">
        <f>IF(FI159=50,0,IF(FI159&lt;40,1,0))</f>
        <v>1</v>
      </c>
      <c r="FR159" s="245">
        <f>SUM(FP159:FQ159)</f>
        <v>1</v>
      </c>
      <c r="FS159" s="267">
        <f>IF(FI159=1,1,IF(FI159=50,0,IF(FN159=1,IF(FI159&gt;40,1,0),0)))</f>
        <v>0</v>
      </c>
      <c r="FT159" s="267">
        <f>IF(FN159=1,IF(FR159=2,1,0),0)+FS159+FW159+FZ159</f>
        <v>0</v>
      </c>
      <c r="FU159" s="245">
        <f>IF(FI159=109,1,IF(FI159=108,1,IF(FI159=106,1,IF(FI159=105,1,IF(FI159=103,1,IF(FI159=102,1,IF(FI159=99,1,0)))))))</f>
        <v>0</v>
      </c>
      <c r="FV159" s="245">
        <f>IF(FI159&gt;110,1,0)</f>
        <v>0</v>
      </c>
      <c r="FW159" s="267">
        <f>IF(FN159=2,SUM(FU159:FV159),0)</f>
        <v>0</v>
      </c>
      <c r="FX159" s="245">
        <f>IF(FI159=159,1,IF(FI159=162,1,IF(FI159=163,1,IF(FI159=165,1,IF(FI159=166,1,IF(FI159=168,1,IF(FI159=169,1,0)))))))</f>
        <v>0</v>
      </c>
      <c r="FY159" s="245">
        <f>IF(FI159&gt;170,1,0)</f>
        <v>0</v>
      </c>
      <c r="FZ159" s="267">
        <f>IF(FN159=0,SUM(FX159:FY159),0)</f>
        <v>0</v>
      </c>
      <c r="GA159" s="251">
        <f t="shared" si="373"/>
        <v>0</v>
      </c>
      <c r="GC159" s="238" t="str">
        <f>VLOOKUP(AH153,Chema!BL:BR,4,FALSE)</f>
        <v>GD 1.3</v>
      </c>
      <c r="GD159" s="341">
        <f>IF(T163="FORFAIT",1,0)</f>
        <v>0</v>
      </c>
      <c r="GE159" s="343" t="str">
        <f>IF(R163="","",SUM(R163))</f>
        <v/>
      </c>
      <c r="GF159" s="344">
        <f>SUM(AV156)</f>
        <v>0</v>
      </c>
      <c r="GG159" s="344">
        <f>SUM(AX156)</f>
        <v>0</v>
      </c>
      <c r="GH159" s="344">
        <f t="shared" ref="GH159" si="382">SUM(AY156)</f>
        <v>0</v>
      </c>
      <c r="GI159" s="344">
        <f t="shared" ref="GI159" si="383">SUM(AZ156)</f>
        <v>0</v>
      </c>
      <c r="GJ159" s="344">
        <f>SUM(AV157)</f>
        <v>0</v>
      </c>
      <c r="GK159" s="344">
        <f>SUM(AX157)</f>
        <v>0</v>
      </c>
      <c r="GL159" s="344">
        <f>SUM(AY157)</f>
        <v>0</v>
      </c>
      <c r="GM159" s="344">
        <f>SUM(AZ157)</f>
        <v>0</v>
      </c>
      <c r="GN159" s="344">
        <f>SUM(AV158)</f>
        <v>0</v>
      </c>
      <c r="GO159" s="344">
        <f>SUM(AX158)</f>
        <v>0</v>
      </c>
      <c r="GP159" s="344">
        <f>SUM(AY158)</f>
        <v>0</v>
      </c>
      <c r="GQ159" s="344">
        <f>SUM(AZ158)</f>
        <v>0</v>
      </c>
      <c r="GR159" s="344">
        <f>SUM(AV159)</f>
        <v>0</v>
      </c>
      <c r="GS159" s="344">
        <f>SUM(AX159)</f>
        <v>0</v>
      </c>
      <c r="GT159" s="344">
        <f>SUM(AY159)</f>
        <v>0</v>
      </c>
      <c r="GU159" s="344">
        <f>SUM(AZ159)</f>
        <v>0</v>
      </c>
      <c r="GV159" s="344">
        <f>SUM(AV160)</f>
        <v>0</v>
      </c>
      <c r="GW159" s="344">
        <f>SUM(AX160)</f>
        <v>0</v>
      </c>
      <c r="GX159" s="344">
        <f>SUM(AY160)</f>
        <v>0</v>
      </c>
      <c r="GY159" s="344">
        <f>SUM(AZ160)</f>
        <v>0</v>
      </c>
      <c r="GZ159" s="344">
        <f>SUM(GF159,GJ159,GN159,GR159,GV159)</f>
        <v>0</v>
      </c>
      <c r="HA159" s="344">
        <f t="shared" ref="HA159" si="384">SUM(GG159,GK159,GO159,GS159,GW159)</f>
        <v>0</v>
      </c>
      <c r="HB159" s="344" t="str">
        <f>IF(GD156=1,P163,MAX(GH159,GL159,GP159,GT159,GX159))</f>
        <v/>
      </c>
      <c r="HC159" s="344">
        <f>IF(GD156=1,X163,SUM(GI159,GM159,GQ159,GU159,GY159))</f>
        <v>0</v>
      </c>
      <c r="HD159" s="345">
        <f>IF(GD156=1,0,SUM(GF159,GJ159,GN159,GR159,GV159))</f>
        <v>0</v>
      </c>
      <c r="HE159" s="345">
        <f>IF(GD156=1,0,SUM(GG159,GK159,GO159,GS159,GW159))</f>
        <v>0</v>
      </c>
      <c r="HF159" s="341">
        <f>IF(GD156=1,0,MIN(HI159,HJ159,HK159,HL159,HM159))</f>
        <v>0</v>
      </c>
      <c r="HG159" s="341">
        <f>IF(HF159=0,0,COUNTIF(HI159:HM159,HF159))</f>
        <v>0</v>
      </c>
      <c r="HH159" s="341">
        <f>SUM(GH160,GL160,GP160,GT160,GX160)</f>
        <v>0</v>
      </c>
      <c r="HI159" s="343" t="str">
        <f>IF(GH160=1,GG159,"")</f>
        <v/>
      </c>
      <c r="HJ159" s="343" t="str">
        <f>IF(GL160=1,GK159,"")</f>
        <v/>
      </c>
      <c r="HK159" s="343" t="str">
        <f>IF(GP160=1,GO159,"")</f>
        <v/>
      </c>
      <c r="HL159" s="343" t="str">
        <f>IF(GT160=1,GS159,"")</f>
        <v/>
      </c>
      <c r="HM159" s="343" t="str">
        <f>IF(GX160=1,GW159,"")</f>
        <v/>
      </c>
      <c r="HN159" s="341"/>
      <c r="HO159" s="341"/>
      <c r="HP159" s="341"/>
      <c r="HQ159" s="341"/>
      <c r="HR159" s="341"/>
      <c r="HS159" s="238"/>
      <c r="HT159" s="238"/>
      <c r="HU159" s="238"/>
      <c r="HV159" s="238"/>
      <c r="HW159" s="238" t="str">
        <f>IFERROR(IF(GD156=0,SUM(IB158:IC158),""),"")</f>
        <v/>
      </c>
      <c r="HY159" s="238"/>
      <c r="ID159" s="238"/>
    </row>
    <row r="160" spans="1:238" s="234" customFormat="1" ht="20.100000000000001" customHeight="1">
      <c r="A160" s="235"/>
      <c r="B160" s="231">
        <f>COUNT(AJ161,AJ160)</f>
        <v>1</v>
      </c>
      <c r="C160" s="235"/>
      <c r="D160" s="271" t="str">
        <f>REPT(DN160,1)</f>
        <v>5</v>
      </c>
      <c r="E160" s="254" t="str">
        <f>REPT(AH160,1)</f>
        <v/>
      </c>
      <c r="F160" s="168"/>
      <c r="G160" s="168"/>
      <c r="H160" s="168"/>
      <c r="I160" s="169"/>
      <c r="J160" s="272" t="str">
        <f>REPT(AM160,1)</f>
        <v/>
      </c>
      <c r="L160" s="310"/>
      <c r="M160" s="310"/>
      <c r="N160" s="272" t="str">
        <f>REPT(AP160,1)</f>
        <v/>
      </c>
      <c r="O160" s="118"/>
      <c r="Q160" s="310"/>
      <c r="R160" s="235"/>
      <c r="S160" s="271" t="str">
        <f>REPT(DO160,1)</f>
        <v>5</v>
      </c>
      <c r="T160" s="254" t="str">
        <f>REPT(AV160,1)</f>
        <v/>
      </c>
      <c r="U160" s="168"/>
      <c r="V160" s="168"/>
      <c r="W160" s="168"/>
      <c r="X160" s="169"/>
      <c r="Y160" s="272" t="str">
        <f>REPT(BA160,1)</f>
        <v/>
      </c>
      <c r="Z160" s="308"/>
      <c r="AA160" s="238">
        <f>SUM(AL153)</f>
        <v>3</v>
      </c>
      <c r="AB160" s="234">
        <f>IF(AY160="",0,IF(AY160&lt;2,1,""))</f>
        <v>0</v>
      </c>
      <c r="AC160" s="238">
        <f>IF(AL153=3,0,IF(AD160=1,1,IF(AD160=3,1,IF(AD160=2,0,IF(AD160=0,0,0)))))</f>
        <v>0</v>
      </c>
      <c r="AD160" s="256">
        <f t="shared" si="362"/>
        <v>0</v>
      </c>
      <c r="AE160" s="256">
        <f t="shared" si="356"/>
        <v>0</v>
      </c>
      <c r="AF160" s="256">
        <f t="shared" si="357"/>
        <v>0</v>
      </c>
      <c r="AG160" s="256">
        <f t="shared" si="363"/>
        <v>0</v>
      </c>
      <c r="AH160" s="257" t="str">
        <f>IF(AL153=3,"",IF(AK160="",IF(AI160="","",IF(AI160="",501,501-AI160)),501))</f>
        <v/>
      </c>
      <c r="AI160" s="256" t="str">
        <f>IF(AL153=3,"",IF(F160&gt;1,F160,IF(F160=0,"",IF(F160="","",""))))</f>
        <v/>
      </c>
      <c r="AJ160" s="256" t="str">
        <f>IF(AL153=3,"",IF(G160&gt;8,G160,IF(G160="","","")))</f>
        <v/>
      </c>
      <c r="AK160" s="256" t="str">
        <f>IF(AL153=3,"",IF(H160&gt;1,H160,IF(H160="","","")))</f>
        <v/>
      </c>
      <c r="AL160" s="256" t="str">
        <f>IF(AL153=3,"",IF(I160&gt;0,I160,IF(I160="","","")))</f>
        <v/>
      </c>
      <c r="AM160" s="258" t="str">
        <f>IF(BK160=0,"","X")</f>
        <v/>
      </c>
      <c r="AN160" s="237"/>
      <c r="AO160" s="237"/>
      <c r="AP160" s="258" t="str">
        <f>IF(BM160=0,"","X")</f>
        <v/>
      </c>
      <c r="AQ160" s="236">
        <f>IF(AL153=3,0,IF(AR160=1,1,IF(AR160=3,1,IF(AR160=2,0,IF(AR160=0,0,0)))))</f>
        <v>0</v>
      </c>
      <c r="AR160" s="256">
        <f t="shared" si="365"/>
        <v>0</v>
      </c>
      <c r="AS160" s="256">
        <f t="shared" si="358"/>
        <v>0</v>
      </c>
      <c r="AT160" s="256">
        <f t="shared" si="359"/>
        <v>0</v>
      </c>
      <c r="AU160" s="256">
        <f t="shared" si="366"/>
        <v>0</v>
      </c>
      <c r="AV160" s="257" t="str">
        <f>IF(AY160="",IF(AW160="","",IF(AW160="",501,501-AW160)),501)</f>
        <v/>
      </c>
      <c r="AW160" s="256" t="str">
        <f>IF(AL153=3,"",IF(U160&gt;1,U160,IF(U160=0,"",IF(U160="","",""))))</f>
        <v/>
      </c>
      <c r="AX160" s="256" t="str">
        <f>IF(AL153=3,"",IF(V160&gt;8,V160,IF(V160="","","")))</f>
        <v/>
      </c>
      <c r="AY160" s="256" t="str">
        <f>IF(AL153=3,"",IF(W160&gt;1,W160,IF(W160="","","")))</f>
        <v/>
      </c>
      <c r="AZ160" s="256" t="str">
        <f>IF(AL153=3,"",IF(X160&gt;0,X160,IF(X160="","","")))</f>
        <v/>
      </c>
      <c r="BA160" s="258" t="str">
        <f>IF(BL160=0,"","X")</f>
        <v/>
      </c>
      <c r="BK160" s="251">
        <f>IF(AL153=3,0,SUM(DD160,DV160,EY160,ED160,FF160,BQ160,BS160,AC160))</f>
        <v>0</v>
      </c>
      <c r="BL160" s="251">
        <f>SUM(DE160,DW160,EE160,FT160,GA160,BR160,BT160,AQ160)</f>
        <v>0</v>
      </c>
      <c r="BM160" s="259">
        <f>IF(AL153=3,0,SUM(DC160,BK160:BL160,AC160,AQ160))</f>
        <v>0</v>
      </c>
      <c r="BN160" s="239">
        <f>COUNT(AK160)</f>
        <v>0</v>
      </c>
      <c r="BO160" s="239">
        <f>COUNT(AY160)</f>
        <v>0</v>
      </c>
      <c r="BP160" s="239">
        <f>IF(BN162=0,0,1)</f>
        <v>0</v>
      </c>
      <c r="BQ160" s="260">
        <f>IF(AL160="",0,IF(AL160&gt;2,1,0))</f>
        <v>0</v>
      </c>
      <c r="BR160" s="261">
        <f>IF(AZ160="",0,IF(AZ160&gt;2,1,0))</f>
        <v>0</v>
      </c>
      <c r="BS160" s="262">
        <f>IF(AJ160=9,IF(AK160&lt;141,1,0),0)</f>
        <v>0</v>
      </c>
      <c r="BT160" s="263">
        <f>IF(AX160=9,IF(AY160&lt;141,1,0),0)</f>
        <v>0</v>
      </c>
      <c r="BU160" s="242">
        <f>IF(AL153=3,0,IF(H160,G160,0))</f>
        <v>0</v>
      </c>
      <c r="BV160" s="238">
        <f>IF(BU160&gt;0,AJ160/3,0)</f>
        <v>0</v>
      </c>
      <c r="BW160" s="238">
        <f>ROUNDUP(BV160,0)</f>
        <v>0</v>
      </c>
      <c r="BX160" s="244">
        <f>IF(MOD(BW160,2)=0,BW160,BW160+1)</f>
        <v>0</v>
      </c>
      <c r="BY160" s="238">
        <f>IF(AJ160&lt;9,"",SUM(BX160-BW160))</f>
        <v>0</v>
      </c>
      <c r="BZ160" s="238">
        <f>IF(BY160=1,AK160,0)</f>
        <v>0</v>
      </c>
      <c r="CA160" s="243" t="str">
        <f>IF(BY160=0,AK160,0)</f>
        <v/>
      </c>
      <c r="CB160" s="238"/>
      <c r="CC160" s="238"/>
      <c r="CD160" s="242">
        <f>IF(AL153=3,0,IF(W160,V160,0))</f>
        <v>0</v>
      </c>
      <c r="CE160" s="238">
        <f>IF(CD160&gt;0,AX160/3,0)</f>
        <v>0</v>
      </c>
      <c r="CF160" s="238">
        <f>ROUNDUP(CE160,0)</f>
        <v>0</v>
      </c>
      <c r="CG160" s="244">
        <f>IF(MOD(CF160,2)=0,CF160,CF160+1)</f>
        <v>0</v>
      </c>
      <c r="CH160" s="238">
        <f>IF(AX160&lt;9,"",SUM(CG160-CF160))</f>
        <v>0</v>
      </c>
      <c r="CI160" s="238">
        <f>IF(CH160=1,AY160,0)</f>
        <v>0</v>
      </c>
      <c r="CJ160" s="243" t="str">
        <f>IF(CH160=0,AY160,0)</f>
        <v/>
      </c>
      <c r="CK160" s="238"/>
      <c r="CL160" s="245">
        <f>IF(COUNT(F160,H160)=1,0,1)</f>
        <v>1</v>
      </c>
      <c r="CM160" s="245">
        <f>IF(COUNT(F160,U160)=1,0,1)</f>
        <v>1</v>
      </c>
      <c r="CN160" s="245">
        <f>IF(COUNT(H160,W160)=1,0,1)</f>
        <v>1</v>
      </c>
      <c r="CO160" s="245">
        <f>IF(COUNT(G160,V160)=2,0,1)</f>
        <v>1</v>
      </c>
      <c r="CP160" s="245">
        <f>IF(COUNT(U160,W160)=1,0,1)</f>
        <v>1</v>
      </c>
      <c r="CQ160" s="245">
        <f>IF(SUM(G160-V160)&gt;3,1,0)</f>
        <v>0</v>
      </c>
      <c r="CR160" s="245">
        <f>IF(SUM(G160-V160)&lt;-3,1,0)</f>
        <v>0</v>
      </c>
      <c r="CS160" s="264">
        <f>IF(AJ160=9,IF(AH160&lt;141,1,0),IF(AH160="",0,IF(AH160&gt;1,0,1)))</f>
        <v>0</v>
      </c>
      <c r="CT160" s="264">
        <f>IF(AX160=9,IF(AV160&lt;141,1,0),IF(AV160="",0,IF(AV160&gt;1,0,1)))</f>
        <v>0</v>
      </c>
      <c r="CU160" s="264">
        <f>IF(AI160="",0,IF(AI160&lt;502,0,1))</f>
        <v>0</v>
      </c>
      <c r="CV160" s="264">
        <f>IF(AW160="",0,IF(AW160&lt;502,0,1))</f>
        <v>0</v>
      </c>
      <c r="CW160" s="264">
        <f>IF(AI160="",IF(AJ160&lt;9,1,0),IF(AJ160&lt;9,1,0))</f>
        <v>0</v>
      </c>
      <c r="CX160" s="264">
        <f>IF(AW160="",IF(AX160&lt;9,1,0),IF(AX160&lt;9,1,0))</f>
        <v>0</v>
      </c>
      <c r="CY160" s="374"/>
      <c r="CZ160" s="374"/>
      <c r="DA160" s="374"/>
      <c r="DB160" s="374"/>
      <c r="DC160" s="265">
        <f>IF(AJ160="",0,SUM(CL160:CX160))</f>
        <v>0</v>
      </c>
      <c r="DD160" s="265">
        <f>IF(AJ160="",0,SUM(CL160,CS160,CU160,CW160))</f>
        <v>0</v>
      </c>
      <c r="DE160" s="265">
        <f>IF(AJ160="",0,SUM(CP160,CT160,CV160,CX160))</f>
        <v>0</v>
      </c>
      <c r="DF160" s="238"/>
      <c r="DG160" s="248">
        <f>IF(AL153=3,0,SUM(G160-V160))</f>
        <v>0</v>
      </c>
      <c r="DH160" s="245">
        <f>IF(F160="",0,1)</f>
        <v>0</v>
      </c>
      <c r="DI160" s="245">
        <f t="shared" si="368"/>
        <v>0</v>
      </c>
      <c r="DJ160" s="245">
        <f t="shared" si="369"/>
        <v>0</v>
      </c>
      <c r="DK160" s="245" t="str">
        <f>IF(G160="","",IF(DJ160=1,"*",""))</f>
        <v/>
      </c>
      <c r="DL160" s="245" t="str">
        <f>IF(AL153=3,"",IF(G160="","",IF(DJ160=-1,"*",IF(DJ160=0,"*",""))))</f>
        <v/>
      </c>
      <c r="DM160" s="245">
        <v>5</v>
      </c>
      <c r="DN160" s="245" t="str">
        <f t="shared" si="370"/>
        <v>5</v>
      </c>
      <c r="DO160" s="245" t="str">
        <f t="shared" si="371"/>
        <v>5</v>
      </c>
      <c r="DP160" s="245">
        <f>SUM(DP156)</f>
        <v>0</v>
      </c>
      <c r="DQ160" s="245">
        <f>SUM(DQ156)</f>
        <v>0</v>
      </c>
      <c r="DR160" s="245">
        <f t="shared" si="378"/>
        <v>0</v>
      </c>
      <c r="DS160" s="245">
        <f t="shared" si="379"/>
        <v>0</v>
      </c>
      <c r="DT160" s="245">
        <f t="shared" si="380"/>
        <v>0</v>
      </c>
      <c r="DU160" s="245">
        <f>IF(V160="",0,IF(DQ160=DS160,0,1))</f>
        <v>0</v>
      </c>
      <c r="DV160" s="267">
        <f t="shared" si="381"/>
        <v>0</v>
      </c>
      <c r="DW160" s="267">
        <f>IF(V160="",0,SUM(DU160))</f>
        <v>0</v>
      </c>
      <c r="DX160" s="238">
        <f>IF(AK160="",0,1)</f>
        <v>0</v>
      </c>
      <c r="DY160" s="238">
        <f>IF(DG160=-3,1,0)</f>
        <v>0</v>
      </c>
      <c r="DZ160" s="238">
        <f>SUM(DX160:DY160)</f>
        <v>0</v>
      </c>
      <c r="EA160" s="238">
        <f>IF(AK160="",1,0)</f>
        <v>1</v>
      </c>
      <c r="EB160" s="238">
        <f>IF(DG160=3,1,0)</f>
        <v>0</v>
      </c>
      <c r="EC160" s="238">
        <f>SUM(EA160:EB160)</f>
        <v>1</v>
      </c>
      <c r="ED160" s="267">
        <f>IF(EC160=2,1,0)</f>
        <v>0</v>
      </c>
      <c r="EE160" s="267">
        <f>IF(DZ160=2,1,0)</f>
        <v>0</v>
      </c>
      <c r="EG160" s="166"/>
      <c r="EH160" s="238"/>
      <c r="EI160" s="238"/>
      <c r="EJ160" s="238"/>
      <c r="EK160" s="238"/>
      <c r="EL160" s="238"/>
      <c r="EM160" s="245">
        <f>IF(AK160="",0,1)</f>
        <v>0</v>
      </c>
      <c r="EN160" s="245">
        <f>SUM(AK160)</f>
        <v>0</v>
      </c>
      <c r="EO160" s="268">
        <f>SUM(AJ160)</f>
        <v>0</v>
      </c>
      <c r="EP160" s="268">
        <f>SUM(G160/3)</f>
        <v>0</v>
      </c>
      <c r="EQ160" s="268" t="e">
        <f>SUM(EO160/EP160)</f>
        <v>#DIV/0!</v>
      </c>
      <c r="ER160" s="268">
        <f>ROUNDDOWN(EP160,0)</f>
        <v>0</v>
      </c>
      <c r="ES160" s="268">
        <f>SUM(EO160,-ER160*3)</f>
        <v>0</v>
      </c>
      <c r="ET160" s="269" t="b">
        <f>MOD(EN160/1,2)=0</f>
        <v>1</v>
      </c>
      <c r="EU160" s="245">
        <f>IF(ET160=FALSE,1,0)</f>
        <v>0</v>
      </c>
      <c r="EV160" s="245">
        <f>IF(EN160=50,0,IF(EN160&lt;40,1,0))</f>
        <v>1</v>
      </c>
      <c r="EW160" s="245">
        <f>SUM(EU160:EV160)</f>
        <v>1</v>
      </c>
      <c r="EX160" s="267">
        <f>IF(EN160=1,1,IF(EN160=50,0,IF(ES160=1,IF(EN160&gt;40,1,0),0)))</f>
        <v>0</v>
      </c>
      <c r="EY160" s="267">
        <f>IF(ES160=1,IF(EW160=2,1,0),0)+EX160+FB160+FE160</f>
        <v>0</v>
      </c>
      <c r="EZ160" s="245">
        <f>IF(EN160=109,1,IF(EN160=108,1,IF(EN160=106,1,IF(EN160=105,1,IF(EN160=103,1,IF(EN160=102,1,IF(EN160=99,1,0)))))))</f>
        <v>0</v>
      </c>
      <c r="FA160" s="245">
        <f>IF(EN160&gt;110,1,0)</f>
        <v>0</v>
      </c>
      <c r="FB160" s="267">
        <f>IF(ES160=2,SUM(EZ160:FA160),0)</f>
        <v>0</v>
      </c>
      <c r="FC160" s="245">
        <f>IF(EN160=159,1,IF(EN160=162,1,IF(EN160=163,1,IF(EN160=165,1,IF(EN160=166,1,IF(EN160=168,1,IF(EN160=169,1,0)))))))</f>
        <v>0</v>
      </c>
      <c r="FD160" s="245">
        <f>IF(EN160&gt;170,1,0)</f>
        <v>0</v>
      </c>
      <c r="FE160" s="267">
        <f>IF(ES160=0,SUM(FC160:FD160),0)</f>
        <v>0</v>
      </c>
      <c r="FF160" s="251">
        <f t="shared" si="372"/>
        <v>0</v>
      </c>
      <c r="FG160" s="238"/>
      <c r="FH160" s="245">
        <f>IF(AY160="",0,1)</f>
        <v>0</v>
      </c>
      <c r="FI160" s="245">
        <f>SUM(AY160)</f>
        <v>0</v>
      </c>
      <c r="FJ160" s="268">
        <f>SUM(AX160)</f>
        <v>0</v>
      </c>
      <c r="FK160" s="268">
        <f>SUM(V160/3)</f>
        <v>0</v>
      </c>
      <c r="FL160" s="268" t="e">
        <f>SUM(FJ160/FK160)</f>
        <v>#DIV/0!</v>
      </c>
      <c r="FM160" s="268">
        <f>ROUNDDOWN(FK160,0)</f>
        <v>0</v>
      </c>
      <c r="FN160" s="268">
        <f>SUM(FJ160,-FM160*3)</f>
        <v>0</v>
      </c>
      <c r="FO160" s="269" t="b">
        <f>MOD(FI160/1,2)=0</f>
        <v>1</v>
      </c>
      <c r="FP160" s="245">
        <f>IF(FO160=FALSE,1,0)</f>
        <v>0</v>
      </c>
      <c r="FQ160" s="245">
        <f>IF(FI160=50,0,IF(FI160&lt;40,1,0))</f>
        <v>1</v>
      </c>
      <c r="FR160" s="245">
        <f>SUM(FP160:FQ160)</f>
        <v>1</v>
      </c>
      <c r="FS160" s="267">
        <f>IF(FI160=1,1,IF(FI160=50,0,IF(FN160=1,IF(FI160&gt;40,1,0),0)))</f>
        <v>0</v>
      </c>
      <c r="FT160" s="267">
        <f>IF(FN160=1,IF(FR160=2,1,0),0)+FS160+FW160+FZ160</f>
        <v>0</v>
      </c>
      <c r="FU160" s="245">
        <f>IF(FI160=109,1,IF(FI160=108,1,IF(FI160=106,1,IF(FI160=105,1,IF(FI160=103,1,IF(FI160=102,1,IF(FI160=99,1,0)))))))</f>
        <v>0</v>
      </c>
      <c r="FV160" s="245">
        <f>IF(FI160&gt;110,1,0)</f>
        <v>0</v>
      </c>
      <c r="FW160" s="267">
        <f>IF(FN160=2,SUM(FU160:FV160),0)</f>
        <v>0</v>
      </c>
      <c r="FX160" s="245">
        <f>IF(FI160=159,1,IF(FI160=162,1,IF(FI160=163,1,IF(FI160=165,1,IF(FI160=166,1,IF(FI160=168,1,IF(FI160=169,1,0)))))))</f>
        <v>0</v>
      </c>
      <c r="FY160" s="245">
        <f>IF(FI160&gt;170,1,0)</f>
        <v>0</v>
      </c>
      <c r="FZ160" s="267">
        <f>IF(FN160=0,SUM(FX160:FY160),0)</f>
        <v>0</v>
      </c>
      <c r="GA160" s="251">
        <f t="shared" si="373"/>
        <v>0</v>
      </c>
      <c r="GC160" s="238" t="str">
        <f>VLOOKUP(AH153,Chema!BL:BR,5,FALSE)</f>
        <v>GD 1.3.2</v>
      </c>
      <c r="GD160" s="341"/>
      <c r="GE160" s="343" t="str">
        <f>IF(R164="","",SUM(R164))</f>
        <v/>
      </c>
      <c r="GF160" s="340"/>
      <c r="GG160" s="346"/>
      <c r="GH160" s="343">
        <f>IF(GH159&gt;0,1,0)</f>
        <v>0</v>
      </c>
      <c r="GI160" s="346"/>
      <c r="GJ160" s="343"/>
      <c r="GK160" s="346"/>
      <c r="GL160" s="343">
        <f>IF(GL159&gt;0,1,0)</f>
        <v>0</v>
      </c>
      <c r="GM160" s="343"/>
      <c r="GN160" s="343"/>
      <c r="GO160" s="346"/>
      <c r="GP160" s="343">
        <f>IF(GP159&gt;0,1,0)</f>
        <v>0</v>
      </c>
      <c r="GQ160" s="343"/>
      <c r="GR160" s="343"/>
      <c r="GS160" s="346"/>
      <c r="GT160" s="343">
        <f>IF(GT159&gt;0,1,0)</f>
        <v>0</v>
      </c>
      <c r="GU160" s="343"/>
      <c r="GV160" s="343"/>
      <c r="GW160" s="346"/>
      <c r="GX160" s="343">
        <f>IF(GX159&gt;0,1,0)</f>
        <v>0</v>
      </c>
      <c r="GY160" s="340"/>
      <c r="GZ160" s="343"/>
      <c r="HA160" s="343"/>
      <c r="HB160" s="343" t="str">
        <f>IF(GD156=1,P164,"")</f>
        <v/>
      </c>
      <c r="HC160" s="343">
        <f>IF(GD156=1,X164,"")</f>
        <v>0</v>
      </c>
      <c r="HD160" s="340"/>
      <c r="HE160" s="340"/>
      <c r="HF160" s="340"/>
      <c r="HG160" s="340">
        <f>IF(HG158=HM156,0,IF(HG158=HM160,0,1))</f>
        <v>0</v>
      </c>
      <c r="HH160" s="340">
        <f>IF(HH157=HH159,1,0)</f>
        <v>1</v>
      </c>
      <c r="HI160" s="340"/>
      <c r="HJ160" s="340"/>
      <c r="HK160" s="340"/>
      <c r="HL160" s="340"/>
      <c r="HM160" s="341">
        <f>COUNT(HI159,HJ159,HK159,HL159,HM159)</f>
        <v>0</v>
      </c>
      <c r="HN160" s="341"/>
      <c r="HO160" s="341"/>
      <c r="HP160" s="341"/>
      <c r="HQ160" s="341"/>
      <c r="HR160" s="341"/>
      <c r="HS160" s="238"/>
      <c r="HT160" s="238"/>
      <c r="HU160" s="238"/>
      <c r="HV160" s="238"/>
      <c r="HX160" s="238"/>
      <c r="HY160" s="238"/>
      <c r="ID160" s="238"/>
    </row>
    <row r="161" spans="1:238" s="234" customFormat="1" ht="6.6" customHeight="1">
      <c r="A161" s="235"/>
      <c r="B161" s="231"/>
      <c r="C161" s="310"/>
      <c r="D161" s="310"/>
      <c r="E161" s="310"/>
      <c r="F161" s="310"/>
      <c r="G161" s="313"/>
      <c r="H161" s="310"/>
      <c r="I161" s="310"/>
      <c r="J161" s="273"/>
      <c r="K161" s="313"/>
      <c r="O161" s="118"/>
      <c r="R161" s="310"/>
      <c r="S161" s="310"/>
      <c r="T161" s="310"/>
      <c r="U161" s="310"/>
      <c r="V161" s="313"/>
      <c r="W161" s="310"/>
      <c r="X161" s="310"/>
      <c r="Y161" s="273"/>
      <c r="Z161" s="308"/>
      <c r="AA161" s="274"/>
      <c r="AD161" s="235"/>
      <c r="AE161" s="237">
        <f>IF(AF161=0,0,1)</f>
        <v>0</v>
      </c>
      <c r="AF161" s="237">
        <f>IF(AL161=0,0,SUM(AL163:AL164,-AL162))</f>
        <v>0</v>
      </c>
      <c r="AG161" s="237"/>
      <c r="AH161" s="275">
        <f>SUM(AH156,AH157,AH158,AH159,AH160)</f>
        <v>0</v>
      </c>
      <c r="AI161" s="275">
        <f t="shared" ref="AI161" si="385">SUM(AI156,AI157,AI158,AI159,AI160)</f>
        <v>0</v>
      </c>
      <c r="AJ161" s="275">
        <f t="shared" ref="AJ161" si="386">SUM(AJ156,AJ157,AJ158,AJ159,AJ160)</f>
        <v>0</v>
      </c>
      <c r="AK161" s="275">
        <f>MAX(AK156,AK157,AK158,AK159,AK160)</f>
        <v>0</v>
      </c>
      <c r="AL161" s="275">
        <f t="shared" ref="AL161" si="387">SUM(AL156,AL157,AL158,AL159,AL160)</f>
        <v>0</v>
      </c>
      <c r="AM161" s="275">
        <f>IF(AK153="D",SUM(AL156,AL157,AL158,AL159,AL160,-AL163,-AL164),0)</f>
        <v>0</v>
      </c>
      <c r="AN161" s="235"/>
      <c r="AO161" s="235"/>
      <c r="AP161" s="235"/>
      <c r="AQ161" s="235"/>
      <c r="AR161" s="235"/>
      <c r="AS161" s="237">
        <f>IF(AT161=0,0,1)</f>
        <v>0</v>
      </c>
      <c r="AT161" s="237">
        <f>IF(AZ161=0,0,SUM(AZ163:AZ164,-AZ162))</f>
        <v>0</v>
      </c>
      <c r="AU161" s="237"/>
      <c r="AV161" s="275">
        <f>SUM(AV156,AV157,AV158,AV159,AV160)</f>
        <v>0</v>
      </c>
      <c r="AW161" s="275">
        <f t="shared" ref="AW161" si="388">SUM(AW156,AW157,AW158,AW159,AW160)</f>
        <v>0</v>
      </c>
      <c r="AX161" s="275">
        <f t="shared" ref="AX161" si="389">SUM(AX156,AX157,AX158,AX159,AX160)</f>
        <v>0</v>
      </c>
      <c r="AY161" s="275">
        <f>MAX(AY156,AY157,AY158,AY159,AY160)</f>
        <v>0</v>
      </c>
      <c r="AZ161" s="275">
        <f t="shared" ref="AZ161" si="390">SUM(AZ156,AZ157,AZ158,AZ159,AZ160)</f>
        <v>0</v>
      </c>
      <c r="BA161" s="275">
        <f>IF(AK153="D",SUM(AZ156,AZ157,AZ158,AZ159,AZ160,-AZ163,-AZ164),0)</f>
        <v>0</v>
      </c>
      <c r="BJ161" s="236"/>
      <c r="BK161" s="238"/>
      <c r="BL161" s="238"/>
      <c r="BM161" s="238"/>
      <c r="BP161" s="238"/>
      <c r="BQ161" s="238"/>
      <c r="BR161" s="238"/>
      <c r="BS161" s="238"/>
      <c r="BT161" s="238"/>
      <c r="BU161" s="238"/>
      <c r="BY161" s="238"/>
      <c r="BZ161" s="238">
        <f>MAX(BZ156,BZ157,BZ158,BZ159,BZ160)</f>
        <v>0</v>
      </c>
      <c r="CA161" s="238">
        <f>MAX(CA156,CA157,CA158,CA159,CA160)</f>
        <v>0</v>
      </c>
      <c r="CB161" s="238"/>
      <c r="CC161" s="238"/>
      <c r="CD161" s="238"/>
      <c r="CG161" s="244"/>
      <c r="CH161" s="238"/>
      <c r="CI161" s="238">
        <f>MAX(CI156,CI157,CI158,CI159,CI160)</f>
        <v>0</v>
      </c>
      <c r="CJ161" s="238">
        <f>MAX(CJ156,CJ157,CJ158,CJ159,CJ160)</f>
        <v>0</v>
      </c>
      <c r="CK161" s="238"/>
      <c r="CL161" s="238"/>
      <c r="CM161" s="238"/>
      <c r="CN161" s="238"/>
      <c r="CO161" s="238"/>
      <c r="CP161" s="238"/>
      <c r="CQ161" s="238"/>
      <c r="CR161" s="238"/>
      <c r="CS161" s="238"/>
      <c r="CT161" s="238"/>
      <c r="CU161" s="238"/>
      <c r="CV161" s="238"/>
      <c r="CW161" s="238"/>
      <c r="CX161" s="238"/>
      <c r="CY161" s="238"/>
      <c r="CZ161" s="238"/>
      <c r="DA161" s="238"/>
      <c r="DB161" s="238"/>
      <c r="DC161" s="238"/>
      <c r="DD161" s="238"/>
      <c r="DE161" s="238"/>
      <c r="DF161" s="238"/>
      <c r="DG161" s="238"/>
      <c r="DH161" s="238"/>
      <c r="DI161" s="238"/>
      <c r="DJ161" s="238"/>
      <c r="DK161" s="238"/>
      <c r="DL161" s="238"/>
      <c r="DM161" s="238"/>
      <c r="DN161" s="238"/>
      <c r="DO161" s="238"/>
      <c r="DP161" s="238"/>
      <c r="DQ161" s="238"/>
      <c r="DR161" s="238"/>
      <c r="DS161" s="238"/>
      <c r="DT161" s="238"/>
      <c r="DU161" s="238"/>
      <c r="DV161" s="238"/>
      <c r="DW161" s="238"/>
      <c r="DX161" s="238"/>
      <c r="DY161" s="238"/>
      <c r="DZ161" s="238"/>
      <c r="EA161" s="238"/>
      <c r="EB161" s="238"/>
      <c r="EC161" s="238"/>
      <c r="ED161" s="238"/>
      <c r="EE161" s="238"/>
      <c r="EF161" s="238"/>
      <c r="EG161" s="238"/>
      <c r="EH161" s="238"/>
      <c r="EI161" s="238"/>
      <c r="EJ161" s="238"/>
      <c r="EK161" s="238"/>
      <c r="EL161" s="238"/>
      <c r="EM161" s="166"/>
      <c r="EN161" s="166"/>
      <c r="EO161" s="166"/>
      <c r="EP161" s="238">
        <f>SUM(EN161-EO161)</f>
        <v>0</v>
      </c>
      <c r="EQ161" s="238"/>
      <c r="ER161" s="238"/>
      <c r="ES161" s="238"/>
      <c r="ET161" s="244"/>
      <c r="EU161" s="238"/>
      <c r="EV161" s="238"/>
      <c r="EW161" s="238"/>
      <c r="EX161" s="238"/>
      <c r="EY161" s="238"/>
      <c r="EZ161" s="238"/>
      <c r="FA161" s="238"/>
      <c r="FB161" s="238"/>
      <c r="FC161" s="238"/>
      <c r="FD161" s="238"/>
      <c r="FE161" s="238"/>
      <c r="FF161" s="238"/>
      <c r="FG161" s="238"/>
      <c r="FH161" s="238"/>
      <c r="FI161" s="238"/>
      <c r="FJ161" s="238"/>
      <c r="FK161" s="238"/>
      <c r="FL161" s="238"/>
      <c r="FM161" s="238"/>
      <c r="FN161" s="238"/>
      <c r="FO161" s="244"/>
      <c r="FP161" s="238"/>
      <c r="FQ161" s="238"/>
      <c r="FR161" s="238"/>
      <c r="FS161" s="238"/>
      <c r="FT161" s="238"/>
      <c r="FU161" s="238"/>
      <c r="FV161" s="238"/>
      <c r="FW161" s="238"/>
      <c r="FX161" s="238"/>
      <c r="FY161" s="238"/>
      <c r="FZ161" s="238"/>
      <c r="GA161" s="238"/>
      <c r="GB161" s="238"/>
      <c r="GC161" s="238"/>
      <c r="GD161" s="341"/>
      <c r="GE161" s="340"/>
      <c r="GF161" s="340"/>
      <c r="GG161" s="340"/>
      <c r="GH161" s="340"/>
      <c r="GI161" s="340"/>
      <c r="GJ161" s="340"/>
      <c r="GK161" s="340"/>
      <c r="GL161" s="340"/>
      <c r="GM161" s="340"/>
      <c r="GN161" s="340"/>
      <c r="GO161" s="340"/>
      <c r="GP161" s="340"/>
      <c r="GQ161" s="340"/>
      <c r="GR161" s="340"/>
      <c r="GS161" s="340"/>
      <c r="GT161" s="340"/>
      <c r="GU161" s="340"/>
      <c r="GV161" s="340"/>
      <c r="GW161" s="340"/>
      <c r="GX161" s="340"/>
      <c r="GY161" s="340"/>
      <c r="GZ161" s="340"/>
      <c r="HA161" s="340"/>
      <c r="HB161" s="340"/>
      <c r="HC161" s="340"/>
      <c r="HD161" s="341"/>
      <c r="HE161" s="341"/>
      <c r="HF161" s="341"/>
      <c r="HG161" s="341"/>
      <c r="HH161" s="341"/>
      <c r="HI161" s="341"/>
      <c r="HJ161" s="341"/>
      <c r="HK161" s="341"/>
      <c r="HL161" s="341"/>
      <c r="HM161" s="341"/>
      <c r="HN161" s="341"/>
      <c r="HO161" s="341"/>
      <c r="HP161" s="341"/>
      <c r="HQ161" s="341"/>
      <c r="HR161" s="341"/>
      <c r="HS161" s="238"/>
      <c r="HT161" s="238"/>
      <c r="HU161" s="238"/>
      <c r="HV161" s="238"/>
      <c r="HX161" s="238"/>
      <c r="HY161" s="238"/>
      <c r="ID161" s="238"/>
    </row>
    <row r="162" spans="1:238" s="234" customFormat="1" ht="20.100000000000001" customHeight="1">
      <c r="A162" s="235"/>
      <c r="B162" s="231"/>
      <c r="C162" s="314" t="s">
        <v>771</v>
      </c>
      <c r="D162" s="276" t="str">
        <f>REPT(Sprache!$K$58,1)</f>
        <v>Spieler</v>
      </c>
      <c r="E162" s="277" t="str">
        <f>REPT(Sprache!$K$33,1)</f>
        <v>Name / Vorname</v>
      </c>
      <c r="F162" s="278"/>
      <c r="G162" s="278"/>
      <c r="H162" s="279"/>
      <c r="I162" s="280"/>
      <c r="J162" s="281" t="str">
        <f>REPT(AM162,1)</f>
        <v/>
      </c>
      <c r="L162" s="306" t="s">
        <v>848</v>
      </c>
      <c r="M162" s="238"/>
      <c r="P162" s="306" t="s">
        <v>848</v>
      </c>
      <c r="R162" s="314" t="s">
        <v>771</v>
      </c>
      <c r="S162" s="276" t="str">
        <f>REPT(Sprache!$K$58,1)</f>
        <v>Spieler</v>
      </c>
      <c r="T162" s="277" t="str">
        <f>REPT(Sprache!$K$33,1)</f>
        <v>Name / Vorname</v>
      </c>
      <c r="U162" s="278"/>
      <c r="V162" s="278"/>
      <c r="W162" s="279"/>
      <c r="X162" s="280"/>
      <c r="Y162" s="281" t="str">
        <f>REPT(BA162,1)</f>
        <v/>
      </c>
      <c r="Z162" s="308"/>
      <c r="AD162" s="235"/>
      <c r="AE162" s="235"/>
      <c r="AF162" s="237" t="s">
        <v>771</v>
      </c>
      <c r="AG162" s="282" t="s">
        <v>877</v>
      </c>
      <c r="AH162" s="283" t="str">
        <f>IF(AH161=0,"",AH161)</f>
        <v/>
      </c>
      <c r="AI162" s="283" t="str">
        <f>IF(AI161=0,"",AI161)</f>
        <v/>
      </c>
      <c r="AJ162" s="283" t="str">
        <f>IF(AJ161=0,"",AJ161)</f>
        <v/>
      </c>
      <c r="AK162" s="283" t="str">
        <f>IF(AK161=0,"",AK161)</f>
        <v/>
      </c>
      <c r="AL162" s="283" t="str">
        <f>IF(AL161=0,"",AL161)</f>
        <v/>
      </c>
      <c r="AM162" s="258" t="str">
        <f>IF(AK153="D",IF(AF161=0,"","X"),"")</f>
        <v/>
      </c>
      <c r="AN162" s="235"/>
      <c r="AO162" s="235"/>
      <c r="AP162" s="284"/>
      <c r="AQ162" s="235"/>
      <c r="AR162" s="235"/>
      <c r="AS162" s="235"/>
      <c r="AT162" s="237" t="s">
        <v>771</v>
      </c>
      <c r="AU162" s="282" t="s">
        <v>877</v>
      </c>
      <c r="AV162" s="283" t="str">
        <f>IF(AV161=0,"",AV161)</f>
        <v/>
      </c>
      <c r="AW162" s="283" t="str">
        <f>IF(AW161=0,"",AW161)</f>
        <v/>
      </c>
      <c r="AX162" s="283" t="str">
        <f>IF(AX161=0,"",AX161)</f>
        <v/>
      </c>
      <c r="AY162" s="283" t="str">
        <f>IF(AY161=0,"",AY161)</f>
        <v/>
      </c>
      <c r="AZ162" s="421" t="str">
        <f>IF(AZ161=0,"",AZ161)</f>
        <v/>
      </c>
      <c r="BA162" s="258" t="str">
        <f>IF(AK153="D",IF(AT161=0,"","X"),"")</f>
        <v/>
      </c>
      <c r="BJ162" s="236"/>
      <c r="BK162" s="238"/>
      <c r="BL162" s="244">
        <f>IF(BM162=0,0,1)</f>
        <v>0</v>
      </c>
      <c r="BM162" s="244">
        <f>SUM(BM156,BM157,BM158,BM159,BM160,HH158,AN163,AN164,BB163,BB164)</f>
        <v>0</v>
      </c>
      <c r="BN162" s="166">
        <f t="shared" ref="BN162:BO162" si="391">SUM(BN156,BN157,BN158,BN159,BN160)</f>
        <v>0</v>
      </c>
      <c r="BO162" s="166">
        <f t="shared" si="391"/>
        <v>0</v>
      </c>
      <c r="BP162" s="244"/>
      <c r="BQ162" s="238"/>
      <c r="BR162" s="238"/>
      <c r="BS162" s="238"/>
      <c r="BT162" s="238"/>
      <c r="BU162" s="238"/>
      <c r="BV162" s="238"/>
      <c r="BW162" s="238"/>
      <c r="BX162" s="236"/>
      <c r="BY162" s="238"/>
      <c r="BZ162" s="238"/>
      <c r="CA162" s="238"/>
      <c r="CB162" s="238"/>
      <c r="CC162" s="238"/>
      <c r="CD162" s="238"/>
      <c r="CE162" s="238"/>
      <c r="CF162" s="238"/>
      <c r="CG162" s="244"/>
      <c r="CH162" s="238"/>
      <c r="CI162" s="238"/>
      <c r="CJ162" s="238"/>
      <c r="CK162" s="238"/>
      <c r="CL162" s="238"/>
      <c r="CM162" s="238"/>
      <c r="CN162" s="238"/>
      <c r="CO162" s="238"/>
      <c r="CP162" s="238"/>
      <c r="CQ162" s="238"/>
      <c r="CR162" s="238"/>
      <c r="CS162" s="238"/>
      <c r="CT162" s="238"/>
      <c r="CU162" s="238"/>
      <c r="CV162" s="238"/>
      <c r="CW162" s="238"/>
      <c r="CX162" s="238"/>
      <c r="CY162" s="238"/>
      <c r="CZ162" s="238"/>
      <c r="DA162" s="238"/>
      <c r="DB162" s="238"/>
      <c r="DC162" s="238"/>
      <c r="DD162" s="238"/>
      <c r="DE162" s="238"/>
      <c r="DF162" s="238"/>
      <c r="DG162" s="238"/>
      <c r="DH162" s="238"/>
      <c r="DI162" s="238"/>
      <c r="DJ162" s="238"/>
      <c r="DK162" s="238"/>
      <c r="DL162" s="238"/>
      <c r="DM162" s="238"/>
      <c r="DN162" s="238"/>
      <c r="DO162" s="238"/>
      <c r="DP162" s="238"/>
      <c r="DQ162" s="238"/>
      <c r="DR162" s="238"/>
      <c r="DS162" s="238"/>
      <c r="DT162" s="238"/>
      <c r="DU162" s="238"/>
      <c r="DV162" s="238"/>
      <c r="DW162" s="238"/>
      <c r="DX162" s="238"/>
      <c r="DY162" s="238"/>
      <c r="DZ162" s="238"/>
      <c r="EA162" s="238"/>
      <c r="EB162" s="238"/>
      <c r="EC162" s="238"/>
      <c r="ED162" s="238"/>
      <c r="EE162" s="238"/>
      <c r="EF162" s="238"/>
      <c r="EG162" s="238"/>
      <c r="EH162" s="238"/>
      <c r="EI162" s="238"/>
      <c r="EJ162" s="238"/>
      <c r="EK162" s="238"/>
      <c r="EL162" s="238"/>
      <c r="EM162" s="238"/>
      <c r="EN162" s="238"/>
      <c r="EO162" s="238"/>
      <c r="EP162" s="238"/>
      <c r="EQ162" s="238"/>
      <c r="ER162" s="238"/>
      <c r="ES162" s="238"/>
      <c r="ET162" s="244"/>
      <c r="EU162" s="238"/>
      <c r="EV162" s="238"/>
      <c r="EW162" s="238"/>
      <c r="EX162" s="238"/>
      <c r="EY162" s="238"/>
      <c r="EZ162" s="238"/>
      <c r="FA162" s="238"/>
      <c r="FB162" s="238"/>
      <c r="FC162" s="238"/>
      <c r="FD162" s="238"/>
      <c r="FE162" s="238"/>
      <c r="FF162" s="238"/>
      <c r="FG162" s="238"/>
      <c r="FH162" s="238"/>
      <c r="FI162" s="238"/>
      <c r="FJ162" s="238"/>
      <c r="FK162" s="238"/>
      <c r="FL162" s="238"/>
      <c r="FM162" s="238"/>
      <c r="FN162" s="238"/>
      <c r="FO162" s="244"/>
      <c r="FP162" s="238"/>
      <c r="FQ162" s="238"/>
      <c r="FR162" s="238"/>
      <c r="FS162" s="238"/>
      <c r="FT162" s="238"/>
      <c r="FU162" s="238"/>
      <c r="FV162" s="238"/>
      <c r="FW162" s="238"/>
      <c r="FX162" s="238"/>
      <c r="FY162" s="238"/>
      <c r="FZ162" s="238"/>
      <c r="GA162" s="238"/>
      <c r="GB162" s="238"/>
      <c r="GC162" s="238"/>
      <c r="GD162" s="341"/>
      <c r="GE162" s="340"/>
      <c r="GF162" s="340"/>
      <c r="GG162" s="340"/>
      <c r="GH162" s="340"/>
      <c r="GI162" s="340"/>
      <c r="GJ162" s="340"/>
      <c r="GK162" s="340"/>
      <c r="GL162" s="340"/>
      <c r="GM162" s="340"/>
      <c r="GN162" s="340"/>
      <c r="GO162" s="340"/>
      <c r="GP162" s="340"/>
      <c r="GQ162" s="340"/>
      <c r="GR162" s="340"/>
      <c r="GS162" s="340"/>
      <c r="GT162" s="340"/>
      <c r="GU162" s="340"/>
      <c r="GV162" s="340"/>
      <c r="GW162" s="340"/>
      <c r="GX162" s="340"/>
      <c r="GY162" s="340"/>
      <c r="GZ162" s="340"/>
      <c r="HA162" s="340"/>
      <c r="HB162" s="340"/>
      <c r="HC162" s="340"/>
      <c r="HD162" s="341"/>
      <c r="HE162" s="341"/>
      <c r="HF162" s="341"/>
      <c r="HG162" s="341"/>
      <c r="HH162" s="341"/>
      <c r="HI162" s="341"/>
      <c r="HJ162" s="341"/>
      <c r="HK162" s="341"/>
      <c r="HL162" s="341"/>
      <c r="HM162" s="341"/>
      <c r="HN162" s="341"/>
      <c r="HO162" s="341"/>
      <c r="HP162" s="341"/>
      <c r="HQ162" s="341"/>
      <c r="HR162" s="341"/>
      <c r="HS162" s="238"/>
      <c r="HT162" s="238"/>
      <c r="HU162" s="238"/>
      <c r="HV162" s="238"/>
      <c r="HX162" s="238"/>
      <c r="HY162" s="238"/>
      <c r="ID162" s="238"/>
    </row>
    <row r="163" spans="1:238" s="234" customFormat="1" ht="20.100000000000001" customHeight="1">
      <c r="A163" s="235"/>
      <c r="B163" s="231"/>
      <c r="C163" s="285" t="str">
        <f>IF(AF163="","",SUM(AF163))</f>
        <v/>
      </c>
      <c r="D163" s="286">
        <f>IF(AK153="D",1,"")</f>
        <v>1</v>
      </c>
      <c r="E163" s="287" t="str">
        <f>IF(C163="","",VLOOKUP(C163,Licenses!B:C,2,FALSE))</f>
        <v/>
      </c>
      <c r="F163" s="288"/>
      <c r="G163" s="288"/>
      <c r="H163" s="289"/>
      <c r="I163" s="169"/>
      <c r="J163" s="270" t="str">
        <f>REPT(AM163,1)</f>
        <v/>
      </c>
      <c r="L163" s="290" t="str">
        <f>IF(AK153="D",AK163,IF(AK162="","",AK162))</f>
        <v/>
      </c>
      <c r="M163" s="311"/>
      <c r="P163" s="290" t="str">
        <f>IF(AK153="D",AY163,IF(AY162="","",AY162))</f>
        <v/>
      </c>
      <c r="R163" s="291" t="str">
        <f>IF(AT163="","",SUM(AT163))</f>
        <v/>
      </c>
      <c r="S163" s="286">
        <f>IF(AK153="D",1,"")</f>
        <v>1</v>
      </c>
      <c r="T163" s="292" t="str">
        <f>IF(R163="","",VLOOKUP(R163,Licenses!B:C,2,FALSE))</f>
        <v/>
      </c>
      <c r="U163" s="293"/>
      <c r="V163" s="293"/>
      <c r="W163" s="294"/>
      <c r="X163" s="169"/>
      <c r="Y163" s="270" t="str">
        <f>REPT(BA163,1)</f>
        <v/>
      </c>
      <c r="Z163" s="308"/>
      <c r="AD163" s="235"/>
      <c r="AE163" s="235"/>
      <c r="AF163" s="256" t="str">
        <f>IF(AM153="","",SUM(AM153))</f>
        <v/>
      </c>
      <c r="AG163" s="237"/>
      <c r="AH163" s="256"/>
      <c r="AI163" s="256"/>
      <c r="AJ163" s="256"/>
      <c r="AK163" s="256" t="str">
        <f>IF(BZ161&gt;1,BZ161,"")</f>
        <v/>
      </c>
      <c r="AL163" s="257">
        <f>IF(AK153="D",SUM(I163),0)</f>
        <v>0</v>
      </c>
      <c r="AM163" s="258" t="str">
        <f>IF(AM161=0,IF(AL163&lt;6,"","X"),"X")</f>
        <v/>
      </c>
      <c r="AN163" s="347" t="str">
        <f>IF(AM161=0,IF(AL163&lt;6,"",1),1)</f>
        <v/>
      </c>
      <c r="AO163" s="235"/>
      <c r="AP163" s="236"/>
      <c r="AQ163" s="235"/>
      <c r="AR163" s="235"/>
      <c r="AS163" s="235"/>
      <c r="AT163" s="256" t="str">
        <f>IF(BA153="","",SUM(BA153))</f>
        <v/>
      </c>
      <c r="AU163" s="237"/>
      <c r="AV163" s="256"/>
      <c r="AW163" s="256"/>
      <c r="AX163" s="256"/>
      <c r="AY163" s="256" t="str">
        <f>IF(CI161&gt;1,CI161,"")</f>
        <v/>
      </c>
      <c r="AZ163" s="257">
        <f>IF(AK153="D",SUM(X163),0)</f>
        <v>0</v>
      </c>
      <c r="BA163" s="258" t="str">
        <f>IF(BA161=0,IF(AZ163&lt;6,"","X"),"X")</f>
        <v/>
      </c>
      <c r="BB163" s="347" t="str">
        <f>IF(BA161=0,IF(AZ163&lt;6,"",1),1)</f>
        <v/>
      </c>
      <c r="BC163" s="236"/>
      <c r="BD163" s="236"/>
      <c r="BE163" s="236"/>
      <c r="BF163" s="236"/>
      <c r="BG163" s="236"/>
      <c r="BH163" s="236"/>
      <c r="BI163" s="236"/>
      <c r="BJ163" s="236"/>
      <c r="BK163" s="238"/>
      <c r="BL163" s="238"/>
      <c r="BM163" s="295"/>
      <c r="BN163" s="295"/>
      <c r="BO163" s="295"/>
      <c r="BP163" s="295"/>
      <c r="BQ163" s="295"/>
      <c r="BR163" s="295"/>
      <c r="BS163" s="295"/>
      <c r="BT163" s="295"/>
      <c r="BU163" s="295"/>
      <c r="BV163" s="295"/>
      <c r="BW163" s="295"/>
      <c r="BX163" s="236"/>
      <c r="BY163" s="295"/>
      <c r="BZ163" s="295"/>
      <c r="CA163" s="295"/>
      <c r="CB163" s="295"/>
      <c r="CC163" s="295"/>
      <c r="CD163" s="295"/>
      <c r="CE163" s="295"/>
      <c r="CF163" s="295"/>
      <c r="CG163" s="296"/>
      <c r="CH163" s="295"/>
      <c r="CI163" s="295"/>
      <c r="CJ163" s="295"/>
      <c r="CK163" s="238"/>
      <c r="CL163" s="238"/>
      <c r="CM163" s="238"/>
      <c r="CN163" s="238"/>
      <c r="CO163" s="238"/>
      <c r="CP163" s="238"/>
      <c r="CQ163" s="238"/>
      <c r="CR163" s="238"/>
      <c r="CS163" s="238"/>
      <c r="CT163" s="238"/>
      <c r="CU163" s="238"/>
      <c r="CV163" s="238"/>
      <c r="CW163" s="238"/>
      <c r="CX163" s="238"/>
      <c r="CY163" s="238"/>
      <c r="CZ163" s="238"/>
      <c r="DA163" s="238"/>
      <c r="DB163" s="238"/>
      <c r="DC163" s="238"/>
      <c r="DD163" s="238"/>
      <c r="DE163" s="238"/>
      <c r="DF163" s="238"/>
      <c r="DG163" s="238"/>
      <c r="DH163" s="238"/>
      <c r="DI163" s="238"/>
      <c r="DJ163" s="238"/>
      <c r="DK163" s="238"/>
      <c r="DL163" s="238"/>
      <c r="DM163" s="238"/>
      <c r="DN163" s="238"/>
      <c r="DO163" s="238"/>
      <c r="DP163" s="238"/>
      <c r="DQ163" s="238"/>
      <c r="DR163" s="238"/>
      <c r="DS163" s="238"/>
      <c r="DT163" s="238"/>
      <c r="DU163" s="238"/>
      <c r="DV163" s="238"/>
      <c r="DW163" s="238"/>
      <c r="DX163" s="238"/>
      <c r="DY163" s="238"/>
      <c r="DZ163" s="238"/>
      <c r="EA163" s="238"/>
      <c r="EB163" s="238"/>
      <c r="EC163" s="238"/>
      <c r="ED163" s="238"/>
      <c r="EE163" s="238"/>
      <c r="EF163" s="238"/>
      <c r="EG163" s="238"/>
      <c r="EH163" s="238"/>
      <c r="EI163" s="238"/>
      <c r="EJ163" s="238"/>
      <c r="EK163" s="238"/>
      <c r="EL163" s="238"/>
      <c r="EM163" s="238"/>
      <c r="EN163" s="238"/>
      <c r="EO163" s="238"/>
      <c r="EP163" s="238"/>
      <c r="EQ163" s="238"/>
      <c r="ER163" s="238"/>
      <c r="ES163" s="238"/>
      <c r="ET163" s="244"/>
      <c r="EU163" s="238"/>
      <c r="EV163" s="238"/>
      <c r="EW163" s="238"/>
      <c r="EX163" s="238"/>
      <c r="EY163" s="238"/>
      <c r="EZ163" s="238"/>
      <c r="FA163" s="238"/>
      <c r="FB163" s="238"/>
      <c r="FC163" s="238"/>
      <c r="FD163" s="238"/>
      <c r="FE163" s="238"/>
      <c r="FF163" s="238"/>
      <c r="FG163" s="238"/>
      <c r="FH163" s="238"/>
      <c r="FI163" s="238"/>
      <c r="FJ163" s="238"/>
      <c r="FK163" s="238"/>
      <c r="FL163" s="238"/>
      <c r="FM163" s="238"/>
      <c r="FN163" s="238"/>
      <c r="FO163" s="244"/>
      <c r="FP163" s="238"/>
      <c r="FQ163" s="238"/>
      <c r="FR163" s="238"/>
      <c r="FS163" s="238"/>
      <c r="FT163" s="238"/>
      <c r="FU163" s="238"/>
      <c r="FV163" s="238"/>
      <c r="FW163" s="238"/>
      <c r="FX163" s="238"/>
      <c r="FY163" s="238"/>
      <c r="FZ163" s="238"/>
      <c r="GA163" s="238"/>
      <c r="GB163" s="238"/>
      <c r="GC163" s="238"/>
      <c r="GD163" s="341"/>
      <c r="GE163" s="340"/>
      <c r="GF163" s="340"/>
      <c r="GG163" s="340"/>
      <c r="GH163" s="340"/>
      <c r="GI163" s="340"/>
      <c r="GJ163" s="340"/>
      <c r="GK163" s="340"/>
      <c r="GL163" s="340"/>
      <c r="GM163" s="340"/>
      <c r="GN163" s="340"/>
      <c r="GO163" s="340"/>
      <c r="GP163" s="340"/>
      <c r="GQ163" s="340"/>
      <c r="GR163" s="340"/>
      <c r="GS163" s="340"/>
      <c r="GT163" s="340"/>
      <c r="GU163" s="340"/>
      <c r="GV163" s="340"/>
      <c r="GW163" s="340"/>
      <c r="GX163" s="340"/>
      <c r="GY163" s="340"/>
      <c r="GZ163" s="340"/>
      <c r="HA163" s="340"/>
      <c r="HB163" s="340"/>
      <c r="HC163" s="340"/>
      <c r="HD163" s="341"/>
      <c r="HE163" s="341"/>
      <c r="HF163" s="341"/>
      <c r="HG163" s="341"/>
      <c r="HH163" s="341"/>
      <c r="HI163" s="341"/>
      <c r="HJ163" s="341"/>
      <c r="HK163" s="341"/>
      <c r="HL163" s="341"/>
      <c r="HM163" s="341"/>
      <c r="HN163" s="341"/>
      <c r="HO163" s="341"/>
      <c r="HP163" s="341"/>
      <c r="HQ163" s="341"/>
      <c r="HR163" s="341"/>
      <c r="HS163" s="238"/>
      <c r="HT163" s="238"/>
      <c r="HU163" s="238"/>
      <c r="HV163" s="238"/>
      <c r="HX163" s="238"/>
      <c r="HY163" s="238"/>
      <c r="ID163" s="238"/>
    </row>
    <row r="164" spans="1:238" s="234" customFormat="1" ht="20.100000000000001" customHeight="1">
      <c r="A164" s="235"/>
      <c r="B164" s="231"/>
      <c r="C164" s="336" t="str">
        <f>IF(AF164="","",SUM(AF164))</f>
        <v/>
      </c>
      <c r="D164" s="333">
        <f>IF(AK153="D",2,"")</f>
        <v>2</v>
      </c>
      <c r="E164" s="337" t="str">
        <f>IF(C164="","",VLOOKUP(C164,Licenses!B:C,2,FALSE))</f>
        <v/>
      </c>
      <c r="F164" s="290"/>
      <c r="G164" s="290"/>
      <c r="H164" s="338"/>
      <c r="I164" s="331"/>
      <c r="J164" s="272" t="str">
        <f>REPT(AM164,1)</f>
        <v/>
      </c>
      <c r="L164" s="315" t="str">
        <f>IF(AK153="D",AK164,"")</f>
        <v/>
      </c>
      <c r="M164" s="311"/>
      <c r="P164" s="315" t="str">
        <f>IF(AK153="D",AY164,"")</f>
        <v/>
      </c>
      <c r="R164" s="332" t="str">
        <f>IF(AT164="","",SUM(AT164))</f>
        <v/>
      </c>
      <c r="S164" s="333">
        <f>IF(AK153="D",2,"")</f>
        <v>2</v>
      </c>
      <c r="T164" s="334" t="str">
        <f>IF(R164="","",VLOOKUP(R164,Licenses!B:C,2,FALSE))</f>
        <v/>
      </c>
      <c r="U164" s="297"/>
      <c r="V164" s="297"/>
      <c r="W164" s="335"/>
      <c r="X164" s="331"/>
      <c r="Y164" s="272" t="str">
        <f>REPT(BA164,1)</f>
        <v/>
      </c>
      <c r="Z164" s="308"/>
      <c r="AA164" s="238">
        <f>IF(AK153="D",0,1)</f>
        <v>0</v>
      </c>
      <c r="AD164" s="235"/>
      <c r="AE164" s="235"/>
      <c r="AF164" s="256" t="str">
        <f>IF(AM154="","",SUM(AM154))</f>
        <v/>
      </c>
      <c r="AG164" s="237"/>
      <c r="AH164" s="256"/>
      <c r="AI164" s="256"/>
      <c r="AJ164" s="256"/>
      <c r="AK164" s="256" t="str">
        <f>IF(CA161&gt;1,CA161,"")</f>
        <v/>
      </c>
      <c r="AL164" s="257">
        <f>IF(AK153="D",SUM(I164),0)</f>
        <v>0</v>
      </c>
      <c r="AM164" s="258" t="str">
        <f>IF(AM161=0,IF(AL164&lt;6,"","X"),"X")</f>
        <v/>
      </c>
      <c r="AN164" s="347" t="str">
        <f>IF(AM161=0,IF(AL164&lt;6,"",1),1)</f>
        <v/>
      </c>
      <c r="AO164" s="235"/>
      <c r="AP164" s="236"/>
      <c r="AQ164" s="235"/>
      <c r="AR164" s="235"/>
      <c r="AS164" s="235"/>
      <c r="AT164" s="256" t="str">
        <f>IF(BA154="","",SUM(BA154))</f>
        <v/>
      </c>
      <c r="AU164" s="237"/>
      <c r="AV164" s="256"/>
      <c r="AW164" s="256"/>
      <c r="AX164" s="256"/>
      <c r="AY164" s="256" t="str">
        <f>IF(CJ161&gt;1,CJ161,"")</f>
        <v/>
      </c>
      <c r="AZ164" s="257">
        <f>IF(AK153="D",SUM(X164),0)</f>
        <v>0</v>
      </c>
      <c r="BA164" s="258" t="str">
        <f>IF(BA161=0,IF(AZ164&lt;6,"","X"),"X")</f>
        <v/>
      </c>
      <c r="BB164" s="347" t="str">
        <f>IF(BA161=0,IF(AZ164&lt;6,"",1),1)</f>
        <v/>
      </c>
      <c r="BC164" s="236"/>
      <c r="BD164" s="236"/>
      <c r="BE164" s="236"/>
      <c r="BF164" s="236"/>
      <c r="BG164" s="236"/>
      <c r="BH164" s="236"/>
      <c r="BI164" s="236"/>
      <c r="BJ164" s="236"/>
      <c r="BK164" s="238"/>
      <c r="BM164" s="238"/>
      <c r="BN164" s="238"/>
      <c r="BO164" s="238"/>
      <c r="BP164" s="238"/>
      <c r="BQ164" s="238" t="s">
        <v>899</v>
      </c>
      <c r="BR164" s="238"/>
      <c r="BS164" s="238"/>
      <c r="BT164" s="238"/>
      <c r="BU164" s="238"/>
      <c r="BV164" s="238"/>
      <c r="BW164" s="238"/>
      <c r="BX164" s="236"/>
      <c r="BY164" s="238"/>
      <c r="BZ164" s="238"/>
      <c r="CA164" s="238"/>
      <c r="CB164" s="238"/>
      <c r="CC164" s="238"/>
      <c r="CD164" s="238" t="s">
        <v>899</v>
      </c>
      <c r="CE164" s="238"/>
      <c r="CF164" s="238"/>
      <c r="CG164" s="244"/>
      <c r="CH164" s="238"/>
      <c r="CI164" s="238"/>
      <c r="CJ164" s="238"/>
      <c r="CK164" s="238"/>
      <c r="CL164" s="238"/>
      <c r="CM164" s="238"/>
      <c r="CN164" s="238"/>
      <c r="CO164" s="238"/>
      <c r="CP164" s="238"/>
      <c r="CQ164" s="238"/>
      <c r="CR164" s="238"/>
      <c r="CS164" s="238"/>
      <c r="CT164" s="238"/>
      <c r="CU164" s="238"/>
      <c r="CV164" s="238"/>
      <c r="CW164" s="238"/>
      <c r="CX164" s="238"/>
      <c r="CY164" s="238"/>
      <c r="CZ164" s="238"/>
      <c r="DA164" s="238"/>
      <c r="DB164" s="238"/>
      <c r="DC164" s="238"/>
      <c r="DD164" s="238"/>
      <c r="DE164" s="238"/>
      <c r="DF164" s="238"/>
      <c r="DG164" s="238"/>
      <c r="DH164" s="238"/>
      <c r="DI164" s="238"/>
      <c r="DJ164" s="238"/>
      <c r="DK164" s="238"/>
      <c r="DL164" s="238"/>
      <c r="DM164" s="238"/>
      <c r="DN164" s="238"/>
      <c r="DO164" s="238"/>
      <c r="DP164" s="238"/>
      <c r="DQ164" s="238"/>
      <c r="DR164" s="238"/>
      <c r="DS164" s="238"/>
      <c r="DT164" s="238"/>
      <c r="DU164" s="238"/>
      <c r="DV164" s="238"/>
      <c r="DW164" s="238"/>
      <c r="DX164" s="238"/>
      <c r="DY164" s="238"/>
      <c r="DZ164" s="238"/>
      <c r="EA164" s="238"/>
      <c r="EB164" s="238"/>
      <c r="EC164" s="238"/>
      <c r="ED164" s="238"/>
      <c r="EE164" s="238"/>
      <c r="EF164" s="238"/>
      <c r="EG164" s="238"/>
      <c r="EH164" s="238"/>
      <c r="EI164" s="238"/>
      <c r="EJ164" s="238"/>
      <c r="EK164" s="238"/>
      <c r="EL164" s="238"/>
      <c r="EM164" s="238"/>
      <c r="EN164" s="238"/>
      <c r="EO164" s="238"/>
      <c r="EP164" s="238"/>
      <c r="EQ164" s="238"/>
      <c r="ER164" s="238"/>
      <c r="ES164" s="238"/>
      <c r="ET164" s="244"/>
      <c r="EU164" s="238"/>
      <c r="EV164" s="238"/>
      <c r="EW164" s="238"/>
      <c r="EX164" s="238"/>
      <c r="EY164" s="238"/>
      <c r="EZ164" s="238"/>
      <c r="FA164" s="238"/>
      <c r="FB164" s="238"/>
      <c r="FC164" s="238"/>
      <c r="FD164" s="238"/>
      <c r="FE164" s="238"/>
      <c r="FF164" s="238"/>
      <c r="FG164" s="238"/>
      <c r="FH164" s="238"/>
      <c r="FI164" s="238"/>
      <c r="FJ164" s="238"/>
      <c r="FK164" s="238"/>
      <c r="FL164" s="238"/>
      <c r="FM164" s="238"/>
      <c r="FN164" s="238"/>
      <c r="FO164" s="244"/>
      <c r="FP164" s="238"/>
      <c r="FQ164" s="238"/>
      <c r="FR164" s="238"/>
      <c r="FS164" s="238"/>
      <c r="FT164" s="238"/>
      <c r="FU164" s="238"/>
      <c r="FV164" s="238"/>
      <c r="FW164" s="238"/>
      <c r="FX164" s="238"/>
      <c r="FY164" s="238"/>
      <c r="FZ164" s="238"/>
      <c r="GA164" s="238"/>
      <c r="GB164" s="238"/>
      <c r="GC164" s="238"/>
      <c r="GD164" s="341"/>
      <c r="GE164" s="340"/>
      <c r="GF164" s="340"/>
      <c r="GG164" s="340"/>
      <c r="GH164" s="340"/>
      <c r="GI164" s="340"/>
      <c r="GJ164" s="340"/>
      <c r="GK164" s="340"/>
      <c r="GL164" s="340"/>
      <c r="GM164" s="340"/>
      <c r="GN164" s="340"/>
      <c r="GO164" s="340"/>
      <c r="GP164" s="340"/>
      <c r="GQ164" s="340"/>
      <c r="GR164" s="340"/>
      <c r="GS164" s="340"/>
      <c r="GT164" s="340"/>
      <c r="GU164" s="340"/>
      <c r="GV164" s="340"/>
      <c r="GW164" s="340"/>
      <c r="GX164" s="340"/>
      <c r="GY164" s="340"/>
      <c r="GZ164" s="340"/>
      <c r="HA164" s="340"/>
      <c r="HB164" s="340"/>
      <c r="HC164" s="340"/>
      <c r="HD164" s="341"/>
      <c r="HE164" s="341"/>
      <c r="HF164" s="341"/>
      <c r="HG164" s="341"/>
      <c r="HH164" s="341"/>
      <c r="HI164" s="341"/>
      <c r="HJ164" s="341"/>
      <c r="HK164" s="341"/>
      <c r="HL164" s="341"/>
      <c r="HM164" s="341"/>
      <c r="HN164" s="341"/>
      <c r="HO164" s="341"/>
      <c r="HP164" s="341"/>
      <c r="HQ164" s="341"/>
      <c r="HR164" s="341"/>
      <c r="HS164" s="238"/>
      <c r="HT164" s="238"/>
      <c r="HU164" s="238"/>
      <c r="HV164" s="238"/>
      <c r="HX164" s="238"/>
      <c r="HY164" s="238"/>
      <c r="ID164" s="238"/>
    </row>
    <row r="165" spans="1:238" s="234" customFormat="1" ht="20.100000000000001" customHeight="1">
      <c r="A165" s="235"/>
      <c r="B165" s="316"/>
      <c r="C165" s="317"/>
      <c r="D165" s="317"/>
      <c r="E165" s="318"/>
      <c r="F165" s="318"/>
      <c r="G165" s="318"/>
      <c r="H165" s="318"/>
      <c r="I165" s="318"/>
      <c r="J165" s="318"/>
      <c r="K165" s="319"/>
      <c r="L165" s="319"/>
      <c r="M165" s="319"/>
      <c r="N165" s="319"/>
      <c r="O165" s="319"/>
      <c r="P165" s="320"/>
      <c r="Q165" s="319"/>
      <c r="R165" s="317"/>
      <c r="S165" s="318"/>
      <c r="T165" s="318"/>
      <c r="U165" s="318"/>
      <c r="V165" s="318"/>
      <c r="W165" s="318"/>
      <c r="X165" s="318"/>
      <c r="Y165" s="318"/>
      <c r="Z165" s="321"/>
      <c r="AD165" s="235"/>
      <c r="AE165" s="237"/>
      <c r="AF165" s="237"/>
      <c r="AG165" s="237"/>
      <c r="AH165" s="237" t="s">
        <v>921</v>
      </c>
      <c r="AI165" s="237" t="s">
        <v>922</v>
      </c>
      <c r="AJ165" s="298" t="str">
        <f>IF(BS165="","",SUM(AM165)*3)</f>
        <v/>
      </c>
      <c r="AK165" s="299" t="s">
        <v>923</v>
      </c>
      <c r="AL165" s="256"/>
      <c r="AM165" s="256" t="str">
        <f>IF(BS165="","",SUM(BS165))</f>
        <v/>
      </c>
      <c r="AN165" s="235"/>
      <c r="AO165" s="235"/>
      <c r="AP165" s="236"/>
      <c r="AQ165" s="235"/>
      <c r="AR165" s="235"/>
      <c r="AS165" s="237"/>
      <c r="AT165" s="237"/>
      <c r="AU165" s="237"/>
      <c r="AV165" s="237" t="s">
        <v>921</v>
      </c>
      <c r="AW165" s="237" t="s">
        <v>922</v>
      </c>
      <c r="AX165" s="298" t="str">
        <f>IF(BS165="","",SUM(BA165)*3)</f>
        <v/>
      </c>
      <c r="AY165" s="299" t="s">
        <v>923</v>
      </c>
      <c r="AZ165" s="256"/>
      <c r="BA165" s="256" t="str">
        <f>IF(BS165="","",SUM(CF165))</f>
        <v/>
      </c>
      <c r="BB165" s="236"/>
      <c r="BC165" s="236"/>
      <c r="BD165" s="236"/>
      <c r="BE165" s="236"/>
      <c r="BF165" s="236"/>
      <c r="BG165" s="236"/>
      <c r="BH165" s="236"/>
      <c r="BI165" s="236"/>
      <c r="BJ165" s="236"/>
      <c r="BK165" s="373">
        <f>IF(AL153=BQ165,1,0)</f>
        <v>0</v>
      </c>
      <c r="BL165" s="373">
        <f>IF(AL153=CD165,1,0)</f>
        <v>0</v>
      </c>
      <c r="BM165" s="256">
        <f>IF(BN165&gt;2,1,0)</f>
        <v>0</v>
      </c>
      <c r="BN165" s="256">
        <f>COUNT(AH156,AH157,AH158)</f>
        <v>0</v>
      </c>
      <c r="BO165" s="256" t="str">
        <f>IF(AH162="","",SUM(AH162/AJ162))</f>
        <v/>
      </c>
      <c r="BP165" s="256"/>
      <c r="BQ165" s="300">
        <f>COUNT(AK156,AK157,AK158,AK159,AK160)</f>
        <v>0</v>
      </c>
      <c r="BR165" s="256"/>
      <c r="BS165" s="256" t="str">
        <f>IF(BL162=0,IF(AJ157="","",BO165),"")</f>
        <v/>
      </c>
      <c r="BT165" s="236"/>
      <c r="BU165" s="236"/>
      <c r="BV165" s="236"/>
      <c r="BW165" s="236"/>
      <c r="BX165" s="236"/>
      <c r="BY165" s="256">
        <f>IF(CD165&gt;2,1,0)</f>
        <v>0</v>
      </c>
      <c r="BZ165" s="256">
        <f>IF(CA165&gt;2,1,0)</f>
        <v>0</v>
      </c>
      <c r="CA165" s="256">
        <f>COUNT(AV156,AV157,AV158)</f>
        <v>0</v>
      </c>
      <c r="CB165" s="256" t="str">
        <f>IF(AV162="","",SUM(AV162/AX162))</f>
        <v/>
      </c>
      <c r="CC165" s="256"/>
      <c r="CD165" s="300">
        <f>COUNT(AY156,AY157,AY158,AY159,AY160)</f>
        <v>0</v>
      </c>
      <c r="CE165" s="256"/>
      <c r="CF165" s="256" t="str">
        <f>IF(BL162=0,IF(AX157="","",CB165),"")</f>
        <v/>
      </c>
      <c r="CG165" s="236"/>
      <c r="CH165" s="188"/>
      <c r="CI165" s="188"/>
      <c r="CJ165" s="196"/>
      <c r="CK165" s="196"/>
      <c r="CL165" s="196"/>
      <c r="CM165" s="196"/>
      <c r="CN165" s="196"/>
      <c r="CO165" s="196"/>
      <c r="CP165" s="196"/>
      <c r="CQ165" s="196"/>
      <c r="CR165" s="196"/>
      <c r="CS165" s="196"/>
      <c r="CT165" s="196"/>
      <c r="CU165" s="196"/>
      <c r="CV165" s="196"/>
      <c r="CW165" s="196"/>
      <c r="CX165" s="196"/>
      <c r="CY165" s="196"/>
      <c r="CZ165" s="196"/>
      <c r="DA165" s="196"/>
      <c r="DB165" s="196"/>
      <c r="DC165" s="196"/>
      <c r="DD165" s="196"/>
      <c r="DE165" s="196"/>
      <c r="DF165" s="196"/>
      <c r="DG165" s="196"/>
      <c r="DH165" s="196"/>
      <c r="DI165" s="196"/>
      <c r="DJ165" s="196"/>
      <c r="DK165" s="196"/>
      <c r="DL165" s="196"/>
      <c r="DM165" s="196"/>
      <c r="DN165" s="196"/>
      <c r="DO165" s="196"/>
      <c r="DP165" s="196"/>
      <c r="DQ165" s="196"/>
      <c r="DR165" s="196"/>
      <c r="DS165" s="196"/>
      <c r="DT165" s="196"/>
      <c r="DU165" s="196"/>
      <c r="DV165" s="196"/>
      <c r="DW165" s="196"/>
      <c r="DX165" s="196"/>
      <c r="DY165" s="196"/>
      <c r="DZ165" s="196"/>
      <c r="EA165" s="196"/>
      <c r="EB165" s="196"/>
      <c r="EC165" s="196"/>
      <c r="ED165" s="196"/>
      <c r="EE165" s="196"/>
      <c r="EF165" s="196"/>
      <c r="EG165" s="196"/>
      <c r="EH165" s="196"/>
      <c r="EI165" s="196"/>
      <c r="EJ165" s="196"/>
      <c r="EK165" s="196"/>
      <c r="EL165" s="196"/>
      <c r="EM165" s="196"/>
      <c r="EN165" s="196"/>
      <c r="EO165" s="196"/>
      <c r="EP165" s="196"/>
      <c r="EQ165" s="196"/>
      <c r="ER165" s="196"/>
      <c r="ES165" s="196"/>
      <c r="ET165" s="301"/>
      <c r="EU165" s="196"/>
      <c r="EV165" s="196"/>
      <c r="EW165" s="196"/>
      <c r="EX165" s="196"/>
      <c r="EY165" s="196"/>
      <c r="EZ165" s="196"/>
      <c r="FA165" s="196"/>
      <c r="FB165" s="196"/>
      <c r="FC165" s="196"/>
      <c r="FD165" s="196"/>
      <c r="FE165" s="196"/>
      <c r="FF165" s="196"/>
      <c r="FG165" s="196"/>
      <c r="FH165" s="196"/>
      <c r="FI165" s="196"/>
      <c r="FJ165" s="196"/>
      <c r="FK165" s="196"/>
      <c r="FL165" s="196"/>
      <c r="FM165" s="196"/>
      <c r="FN165" s="196"/>
      <c r="FO165" s="301"/>
      <c r="FP165" s="196"/>
      <c r="FQ165" s="196"/>
      <c r="FR165" s="196"/>
      <c r="FS165" s="196"/>
      <c r="FT165" s="196"/>
      <c r="FU165" s="196"/>
      <c r="FV165" s="196"/>
      <c r="FW165" s="196"/>
      <c r="FX165" s="196"/>
      <c r="FY165" s="196"/>
      <c r="FZ165" s="196"/>
      <c r="GA165" s="196"/>
      <c r="GB165" s="238"/>
      <c r="GC165" s="238"/>
      <c r="GD165" s="341"/>
      <c r="GE165" s="341"/>
      <c r="GF165" s="341"/>
      <c r="GG165" s="341"/>
      <c r="GH165" s="341"/>
      <c r="GI165" s="341"/>
      <c r="GJ165" s="341"/>
      <c r="GK165" s="341"/>
      <c r="GL165" s="341"/>
      <c r="GM165" s="341"/>
      <c r="GN165" s="341"/>
      <c r="GO165" s="341"/>
      <c r="GP165" s="341"/>
      <c r="GQ165" s="341"/>
      <c r="GR165" s="341"/>
      <c r="GS165" s="341"/>
      <c r="GT165" s="341"/>
      <c r="GU165" s="341"/>
      <c r="GV165" s="341"/>
      <c r="GW165" s="341"/>
      <c r="GX165" s="341"/>
      <c r="GY165" s="341"/>
      <c r="GZ165" s="341"/>
      <c r="HA165" s="341"/>
      <c r="HB165" s="341"/>
      <c r="HC165" s="341"/>
      <c r="HD165" s="341"/>
      <c r="HE165" s="341"/>
      <c r="HF165" s="341"/>
      <c r="HG165" s="341"/>
      <c r="HH165" s="341"/>
      <c r="HI165" s="341"/>
      <c r="HJ165" s="341"/>
      <c r="HK165" s="341"/>
      <c r="HL165" s="341"/>
      <c r="HM165" s="341"/>
      <c r="HN165" s="341"/>
      <c r="HO165" s="341"/>
      <c r="HP165" s="341"/>
      <c r="HQ165" s="341"/>
      <c r="HR165" s="341"/>
      <c r="HS165" s="238"/>
      <c r="HT165" s="238"/>
      <c r="HU165" s="238"/>
      <c r="HV165" s="238"/>
      <c r="HX165" s="238"/>
      <c r="HY165" s="238"/>
      <c r="ID165" s="238"/>
    </row>
    <row r="166" spans="1:238" ht="14.1" customHeight="1">
      <c r="B166" s="214"/>
      <c r="C166" s="171"/>
      <c r="D166" s="171"/>
      <c r="E166" s="171"/>
      <c r="F166" s="171"/>
      <c r="G166" s="171"/>
      <c r="H166" s="171"/>
      <c r="I166" s="171"/>
      <c r="J166" s="171"/>
      <c r="K166" s="171"/>
      <c r="L166" s="171"/>
      <c r="M166" s="171"/>
      <c r="N166" s="171"/>
      <c r="O166" s="171"/>
      <c r="P166" s="171"/>
      <c r="Q166" s="171"/>
      <c r="R166" s="171"/>
      <c r="S166" s="171"/>
      <c r="T166" s="171"/>
      <c r="U166" s="171"/>
      <c r="V166" s="171"/>
      <c r="W166" s="171"/>
      <c r="X166" s="171"/>
      <c r="Y166" s="171"/>
      <c r="Z166" s="302"/>
      <c r="AA166" s="215"/>
      <c r="AB166" s="215"/>
      <c r="AC166" s="215"/>
      <c r="AD166" s="215"/>
      <c r="AE166" s="215"/>
      <c r="AF166" s="215"/>
      <c r="BB166" s="215"/>
      <c r="BC166" s="215"/>
      <c r="BD166" s="215"/>
      <c r="BE166" s="215"/>
      <c r="BF166" s="215"/>
      <c r="BG166" s="215"/>
      <c r="BH166" s="215"/>
      <c r="GD166" s="339"/>
      <c r="GE166" s="339"/>
      <c r="GF166" s="339"/>
      <c r="GG166" s="339"/>
      <c r="GH166" s="339"/>
      <c r="GI166" s="339"/>
      <c r="GJ166" s="339"/>
      <c r="GK166" s="339"/>
      <c r="GL166" s="339"/>
      <c r="GM166" s="339"/>
      <c r="GN166" s="339"/>
      <c r="GO166" s="339"/>
      <c r="GP166" s="339"/>
      <c r="GQ166" s="339"/>
      <c r="GR166" s="339"/>
      <c r="GS166" s="339"/>
      <c r="GT166" s="339"/>
      <c r="GU166" s="339"/>
      <c r="GV166" s="339"/>
      <c r="GW166" s="339"/>
      <c r="GX166" s="339"/>
      <c r="GY166" s="339"/>
      <c r="GZ166" s="339"/>
      <c r="HA166" s="339"/>
      <c r="HB166" s="339"/>
      <c r="HC166" s="339"/>
      <c r="HD166" s="339"/>
      <c r="HE166" s="339"/>
      <c r="HF166" s="339"/>
      <c r="HG166" s="339"/>
      <c r="HH166" s="339"/>
      <c r="HI166" s="339"/>
      <c r="HJ166" s="339"/>
      <c r="HK166" s="339"/>
      <c r="HL166" s="339"/>
      <c r="HM166" s="339"/>
      <c r="HN166" s="339"/>
      <c r="HO166" s="339"/>
      <c r="HP166" s="339"/>
      <c r="HQ166" s="339"/>
      <c r="HR166" s="339"/>
    </row>
    <row r="167" spans="1:238" ht="24" customHeight="1">
      <c r="B167" s="216"/>
      <c r="C167" s="181"/>
      <c r="D167" s="181"/>
      <c r="E167" s="181"/>
      <c r="F167" s="181"/>
      <c r="G167" s="181"/>
      <c r="H167" s="181"/>
      <c r="I167" s="181"/>
      <c r="J167" s="181"/>
      <c r="K167" s="185"/>
      <c r="L167" s="217"/>
      <c r="M167" s="218"/>
      <c r="N167" s="327" t="str">
        <f>CONCATENATE(AG167," ",AH167)</f>
        <v>Spiel 12</v>
      </c>
      <c r="O167" s="218"/>
      <c r="P167" s="219"/>
      <c r="Q167" s="185"/>
      <c r="R167" s="181"/>
      <c r="S167" s="181"/>
      <c r="T167" s="181"/>
      <c r="U167" s="181"/>
      <c r="V167" s="181"/>
      <c r="W167" s="181"/>
      <c r="X167" s="181"/>
      <c r="Y167" s="181"/>
      <c r="Z167" s="303"/>
      <c r="AA167" s="200"/>
      <c r="AB167" s="200"/>
      <c r="AC167" s="200"/>
      <c r="AD167" s="200"/>
      <c r="AE167" s="200"/>
      <c r="AF167" s="200"/>
      <c r="AG167" s="200" t="s">
        <v>863</v>
      </c>
      <c r="AH167" s="220">
        <v>12</v>
      </c>
      <c r="AI167" s="173">
        <f>VLOOKUP(AH167,Chema!R:T,3,FALSE)</f>
        <v>1.4</v>
      </c>
      <c r="AJ167" s="200" t="str">
        <f>VLOOKUP(AH167,Chema!BL:BQ,6,FALSE)</f>
        <v>1.4*</v>
      </c>
      <c r="AK167" s="200" t="str">
        <f>VLOOKUP(AH167,'Matchblatt  FEUILLE DE MATCH'!AI:AJ,2,FALSE)</f>
        <v>D</v>
      </c>
      <c r="AL167" s="200">
        <f>VLOOKUP(AH167,Chema!R:U,4,FALSE)</f>
        <v>3</v>
      </c>
      <c r="AM167" s="215" t="str">
        <f>VLOOKUP(AH167,'Matchblatt  FEUILLE DE MATCH'!AI:AS,10,FALSE)</f>
        <v/>
      </c>
      <c r="AN167" s="215"/>
      <c r="AO167" s="215"/>
      <c r="AP167" s="215"/>
      <c r="AQ167" s="215"/>
      <c r="AR167" s="215"/>
      <c r="AS167" s="215"/>
      <c r="AT167" s="215"/>
      <c r="AU167" s="215"/>
      <c r="AV167" s="215"/>
      <c r="AW167" s="215"/>
      <c r="AX167" s="215"/>
      <c r="AY167" s="215"/>
      <c r="AZ167" s="215"/>
      <c r="BA167" s="215" t="str">
        <f>VLOOKUP(AH167,'Matchblatt  FEUILLE DE MATCH'!AI:AS,11,FALSE)</f>
        <v/>
      </c>
      <c r="BB167" s="200"/>
      <c r="BC167" s="200"/>
      <c r="BD167" s="200"/>
      <c r="BE167" s="200"/>
      <c r="BF167" s="200"/>
      <c r="BG167" s="200"/>
      <c r="BH167" s="200"/>
      <c r="BK167" s="196"/>
      <c r="BL167" s="196"/>
      <c r="BM167" s="196"/>
      <c r="BN167" s="196"/>
      <c r="BO167" s="196"/>
      <c r="BP167" s="196"/>
      <c r="BQ167" s="221" t="s">
        <v>843</v>
      </c>
      <c r="BR167" s="222"/>
      <c r="BS167" s="222"/>
      <c r="BT167" s="223"/>
      <c r="BU167" s="222" t="s">
        <v>843</v>
      </c>
      <c r="BV167" s="222"/>
      <c r="BW167" s="222"/>
      <c r="BX167" s="224"/>
      <c r="BY167" s="222"/>
      <c r="BZ167" s="222"/>
      <c r="CA167" s="222"/>
      <c r="CB167" s="222"/>
      <c r="CC167" s="222"/>
      <c r="CD167" s="222"/>
      <c r="CE167" s="222"/>
      <c r="CF167" s="222"/>
      <c r="CG167" s="224"/>
      <c r="CH167" s="222"/>
      <c r="CI167" s="222"/>
      <c r="CJ167" s="223"/>
      <c r="CK167" s="196"/>
      <c r="CL167" s="196"/>
      <c r="CM167" s="196"/>
      <c r="CN167" s="196"/>
      <c r="CO167" s="196"/>
      <c r="CP167" s="196"/>
      <c r="CQ167" s="196"/>
      <c r="CR167" s="196"/>
      <c r="CS167" s="196"/>
      <c r="CT167" s="196"/>
      <c r="CU167" s="196"/>
      <c r="CV167" s="196"/>
      <c r="CW167" s="196"/>
      <c r="CX167" s="196"/>
      <c r="CY167" s="196"/>
      <c r="CZ167" s="196"/>
      <c r="DA167" s="196"/>
      <c r="DB167" s="196"/>
      <c r="DC167" s="196"/>
      <c r="DD167" s="196"/>
      <c r="DE167" s="196"/>
      <c r="DF167" s="196"/>
      <c r="DG167" s="196"/>
      <c r="DH167" s="196"/>
      <c r="DI167" s="196"/>
      <c r="DJ167" s="196"/>
      <c r="DK167" s="196"/>
      <c r="DL167" s="196"/>
      <c r="DM167" s="196"/>
      <c r="DN167" s="196"/>
      <c r="DO167" s="196"/>
      <c r="DP167" s="196"/>
      <c r="DQ167" s="196"/>
      <c r="DR167" s="196"/>
      <c r="DS167" s="196"/>
      <c r="DT167" s="196"/>
      <c r="DU167" s="196"/>
      <c r="DV167" s="196"/>
      <c r="DW167" s="196"/>
      <c r="DX167" s="196"/>
      <c r="DY167" s="196"/>
      <c r="DZ167" s="196"/>
      <c r="EA167" s="196"/>
      <c r="EB167" s="196"/>
      <c r="EC167" s="196"/>
      <c r="ED167" s="196"/>
      <c r="EE167" s="196"/>
      <c r="EF167" s="196"/>
      <c r="EG167" s="196"/>
      <c r="EH167" s="196"/>
      <c r="EI167" s="196"/>
      <c r="EJ167" s="196"/>
      <c r="EK167" s="196"/>
      <c r="EL167" s="196"/>
      <c r="EM167" s="221" t="s">
        <v>7</v>
      </c>
      <c r="EN167" s="222"/>
      <c r="EO167" s="222"/>
      <c r="EP167" s="222"/>
      <c r="EQ167" s="222"/>
      <c r="ER167" s="222"/>
      <c r="ES167" s="222"/>
      <c r="ET167" s="224"/>
      <c r="EU167" s="222"/>
      <c r="EV167" s="222"/>
      <c r="EW167" s="222"/>
      <c r="EX167" s="222"/>
      <c r="EY167" s="222"/>
      <c r="EZ167" s="222"/>
      <c r="FA167" s="222"/>
      <c r="FB167" s="222"/>
      <c r="FC167" s="222"/>
      <c r="FD167" s="222"/>
      <c r="FE167" s="223"/>
      <c r="FF167" s="196"/>
      <c r="FG167" s="196"/>
      <c r="FH167" s="221" t="s">
        <v>12</v>
      </c>
      <c r="FI167" s="222"/>
      <c r="FJ167" s="222"/>
      <c r="FK167" s="222"/>
      <c r="FL167" s="222"/>
      <c r="FM167" s="222"/>
      <c r="FN167" s="222"/>
      <c r="FO167" s="224"/>
      <c r="FP167" s="222"/>
      <c r="FQ167" s="222"/>
      <c r="FR167" s="222"/>
      <c r="FS167" s="222"/>
      <c r="FT167" s="222"/>
      <c r="FU167" s="222"/>
      <c r="FV167" s="222"/>
      <c r="FW167" s="222"/>
      <c r="FX167" s="222"/>
      <c r="FY167" s="222"/>
      <c r="FZ167" s="223"/>
      <c r="GA167" s="196"/>
      <c r="GD167" s="339"/>
      <c r="GE167" s="339"/>
      <c r="GF167" s="339"/>
      <c r="GG167" s="339"/>
      <c r="GH167" s="339"/>
      <c r="GI167" s="339"/>
      <c r="GJ167" s="339"/>
      <c r="GK167" s="339"/>
      <c r="GL167" s="339"/>
      <c r="GM167" s="339"/>
      <c r="GN167" s="339"/>
      <c r="GO167" s="339"/>
      <c r="GP167" s="339"/>
      <c r="GQ167" s="339"/>
      <c r="GR167" s="339"/>
      <c r="GS167" s="339"/>
      <c r="GT167" s="339"/>
      <c r="GU167" s="339"/>
      <c r="GV167" s="339"/>
      <c r="GW167" s="339"/>
      <c r="GX167" s="339"/>
      <c r="GY167" s="339"/>
      <c r="GZ167" s="339"/>
      <c r="HA167" s="339"/>
      <c r="HB167" s="339"/>
      <c r="HC167" s="339"/>
      <c r="HD167" s="339"/>
      <c r="HE167" s="339"/>
      <c r="HF167" s="339"/>
      <c r="HG167" s="339"/>
      <c r="HH167" s="339"/>
      <c r="HI167" s="339"/>
      <c r="HJ167" s="339"/>
      <c r="HK167" s="339"/>
      <c r="HL167" s="339"/>
      <c r="HM167" s="339"/>
      <c r="HN167" s="339"/>
      <c r="HO167" s="339"/>
      <c r="HP167" s="339"/>
      <c r="HQ167" s="339"/>
      <c r="HR167" s="339"/>
    </row>
    <row r="168" spans="1:238" ht="14.1" customHeight="1">
      <c r="B168" s="225"/>
      <c r="C168" s="304"/>
      <c r="D168" s="304"/>
      <c r="E168" s="304"/>
      <c r="F168" s="304"/>
      <c r="G168" s="304"/>
      <c r="H168" s="304"/>
      <c r="I168" s="304"/>
      <c r="J168" s="304"/>
      <c r="K168" s="166"/>
      <c r="L168" s="166"/>
      <c r="M168" s="166"/>
      <c r="N168" s="304"/>
      <c r="O168" s="304"/>
      <c r="P168" s="166"/>
      <c r="Q168" s="166"/>
      <c r="R168" s="304"/>
      <c r="S168" s="304"/>
      <c r="T168" s="304"/>
      <c r="U168" s="304"/>
      <c r="V168" s="304"/>
      <c r="W168" s="304"/>
      <c r="X168" s="166"/>
      <c r="Y168" s="166"/>
      <c r="Z168" s="305"/>
      <c r="AA168" s="63"/>
      <c r="AB168" s="63"/>
      <c r="AC168" s="63"/>
      <c r="AD168" s="63"/>
      <c r="AE168" s="63"/>
      <c r="AF168" s="63"/>
      <c r="AJ168" s="173" t="str">
        <f>VLOOKUP(AH167,Chema!BL:BR,7,FALSE)</f>
        <v>1.4.2</v>
      </c>
      <c r="AL168" s="200"/>
      <c r="AM168" s="200" t="str">
        <f>IF(AK167="D",VLOOKUP(AJ168,'Matchblatt  FEUILLE DE MATCH'!AK:AS,8,FALSE),"")</f>
        <v/>
      </c>
      <c r="AN168" s="200"/>
      <c r="AO168" s="200"/>
      <c r="AP168" s="200"/>
      <c r="AQ168" s="200"/>
      <c r="AR168" s="200"/>
      <c r="AS168" s="200"/>
      <c r="AT168" s="200"/>
      <c r="AU168" s="200"/>
      <c r="AV168" s="200"/>
      <c r="AW168" s="200"/>
      <c r="AX168" s="200"/>
      <c r="AY168" s="200"/>
      <c r="AZ168" s="200"/>
      <c r="BA168" s="200" t="str">
        <f>IF(AK167="D",VLOOKUP(AJ168,'Matchblatt  FEUILLE DE MATCH'!AK:AS,9,FALSE),"")</f>
        <v/>
      </c>
      <c r="BB168" s="63"/>
      <c r="BC168" s="63"/>
      <c r="BD168" s="63"/>
      <c r="BE168" s="63"/>
      <c r="BF168" s="63"/>
      <c r="BG168" s="63"/>
      <c r="BH168" s="63"/>
      <c r="BK168" s="166" t="s">
        <v>7</v>
      </c>
      <c r="BL168" s="166" t="s">
        <v>12</v>
      </c>
      <c r="BM168" s="166"/>
      <c r="BN168" s="166" t="s">
        <v>7</v>
      </c>
      <c r="BO168" s="166" t="s">
        <v>12</v>
      </c>
      <c r="BP168" s="166"/>
      <c r="BQ168" s="226" t="s">
        <v>894</v>
      </c>
      <c r="BR168" s="227" t="s">
        <v>895</v>
      </c>
      <c r="BS168" s="228" t="s">
        <v>896</v>
      </c>
      <c r="BT168" s="229"/>
      <c r="BU168" s="226" t="s">
        <v>7</v>
      </c>
      <c r="BV168" s="166"/>
      <c r="BW168" s="166"/>
      <c r="BX168" s="230"/>
      <c r="BY168" s="166"/>
      <c r="BZ168" s="166"/>
      <c r="CA168" s="227"/>
      <c r="CB168" s="166"/>
      <c r="CC168" s="166"/>
      <c r="CD168" s="226" t="s">
        <v>12</v>
      </c>
      <c r="CE168" s="166"/>
      <c r="CF168" s="166"/>
      <c r="CG168" s="230"/>
      <c r="CH168" s="166"/>
      <c r="CI168" s="166"/>
      <c r="CJ168" s="227"/>
      <c r="CK168" s="166"/>
      <c r="CL168" s="166" t="s">
        <v>897</v>
      </c>
      <c r="CM168" s="166"/>
      <c r="CN168" s="166"/>
      <c r="CO168" s="166"/>
      <c r="CP168" s="166"/>
      <c r="CQ168" s="166"/>
      <c r="CR168" s="166"/>
      <c r="CS168" s="166"/>
      <c r="CT168" s="166"/>
      <c r="CU168" s="166" t="s">
        <v>843</v>
      </c>
      <c r="CV168" s="166"/>
      <c r="CW168" s="166" t="s">
        <v>843</v>
      </c>
      <c r="CX168" s="166"/>
      <c r="CY168" s="166"/>
      <c r="CZ168" s="166"/>
      <c r="DA168" s="166"/>
      <c r="DB168" s="166"/>
      <c r="DC168" s="166"/>
      <c r="DD168" s="166" t="s">
        <v>894</v>
      </c>
      <c r="DE168" s="166" t="s">
        <v>895</v>
      </c>
      <c r="DF168" s="166"/>
      <c r="DG168" s="166" t="s">
        <v>927</v>
      </c>
      <c r="DH168" s="166"/>
      <c r="DI168" s="166"/>
      <c r="DJ168" s="166"/>
      <c r="DK168" s="166"/>
      <c r="DL168" s="166"/>
      <c r="DM168" s="166"/>
      <c r="DN168" s="166" t="s">
        <v>928</v>
      </c>
      <c r="DO168" s="166" t="s">
        <v>929</v>
      </c>
      <c r="DP168" s="166"/>
      <c r="DQ168" s="166"/>
      <c r="DR168" s="166"/>
      <c r="DS168" s="166"/>
      <c r="DT168" s="166"/>
      <c r="DU168" s="166"/>
      <c r="DV168" s="166" t="s">
        <v>894</v>
      </c>
      <c r="DW168" s="166" t="s">
        <v>895</v>
      </c>
      <c r="DX168" s="166"/>
      <c r="DY168" s="166"/>
      <c r="DZ168" s="166"/>
      <c r="EA168" s="166"/>
      <c r="EB168" s="166"/>
      <c r="EC168" s="166"/>
      <c r="ED168" s="166" t="s">
        <v>894</v>
      </c>
      <c r="EE168" s="166" t="s">
        <v>895</v>
      </c>
      <c r="EF168" s="166"/>
      <c r="EG168" s="166"/>
      <c r="EH168" s="166"/>
      <c r="EI168" s="166"/>
      <c r="EJ168" s="166"/>
      <c r="EK168" s="166"/>
      <c r="EL168" s="166"/>
      <c r="EM168" s="166"/>
      <c r="EN168" s="166"/>
      <c r="EO168" s="166"/>
      <c r="EP168" s="166"/>
      <c r="EQ168" s="166"/>
      <c r="ER168" s="166"/>
      <c r="ES168" s="166"/>
      <c r="ET168" s="230"/>
      <c r="EU168" s="166"/>
      <c r="EV168" s="166"/>
      <c r="EW168" s="166"/>
      <c r="EX168" s="166"/>
      <c r="EY168" s="166"/>
      <c r="EZ168" s="166"/>
      <c r="FA168" s="166"/>
      <c r="FB168" s="166"/>
      <c r="FC168" s="166"/>
      <c r="FD168" s="166"/>
      <c r="FE168" s="166"/>
      <c r="FF168" s="166"/>
      <c r="FG168" s="166"/>
      <c r="FH168" s="166"/>
      <c r="FI168" s="166"/>
      <c r="FJ168" s="166"/>
      <c r="FK168" s="166"/>
      <c r="FL168" s="166"/>
      <c r="FM168" s="166"/>
      <c r="FN168" s="166"/>
      <c r="FO168" s="230"/>
      <c r="FP168" s="166"/>
      <c r="FQ168" s="166"/>
      <c r="FR168" s="166"/>
      <c r="FS168" s="166"/>
      <c r="FT168" s="166"/>
      <c r="FU168" s="166"/>
      <c r="FV168" s="166"/>
      <c r="FW168" s="166"/>
      <c r="FX168" s="166"/>
      <c r="FY168" s="166"/>
      <c r="FZ168" s="166"/>
      <c r="GA168" s="166"/>
      <c r="GD168" s="339"/>
      <c r="GE168" s="339"/>
      <c r="GF168" s="339"/>
      <c r="GG168" s="339"/>
      <c r="GH168" s="339"/>
      <c r="GI168" s="339"/>
      <c r="GJ168" s="339"/>
      <c r="GK168" s="339"/>
      <c r="GL168" s="339"/>
      <c r="GM168" s="339"/>
      <c r="GN168" s="339"/>
      <c r="GO168" s="339"/>
      <c r="GP168" s="339"/>
      <c r="GQ168" s="339"/>
      <c r="GR168" s="339"/>
      <c r="GS168" s="339"/>
      <c r="GT168" s="339"/>
      <c r="GU168" s="339"/>
      <c r="GV168" s="339"/>
      <c r="GW168" s="339"/>
      <c r="GX168" s="339"/>
      <c r="GY168" s="339"/>
      <c r="GZ168" s="339"/>
      <c r="HA168" s="339"/>
      <c r="HB168" s="339"/>
      <c r="HC168" s="339"/>
      <c r="HD168" s="339"/>
      <c r="HE168" s="339"/>
      <c r="HF168" s="339"/>
      <c r="HG168" s="339"/>
      <c r="HH168" s="339"/>
      <c r="HI168" s="339"/>
      <c r="HJ168" s="339"/>
      <c r="HK168" s="339"/>
      <c r="HL168" s="339"/>
      <c r="HM168" s="339"/>
      <c r="HN168" s="339"/>
      <c r="HO168" s="339"/>
      <c r="HP168" s="339"/>
      <c r="HQ168" s="339"/>
      <c r="HR168" s="339"/>
    </row>
    <row r="169" spans="1:238" s="234" customFormat="1" ht="20.100000000000001" customHeight="1">
      <c r="A169" s="235"/>
      <c r="B169" s="231"/>
      <c r="C169" s="232" t="str">
        <f>REPT(Sprache!$K$12,1)</f>
        <v>SPIEL</v>
      </c>
      <c r="D169" s="233" t="s">
        <v>869</v>
      </c>
      <c r="E169" s="233" t="str">
        <f>REPT(Sprache!$K$62,1)</f>
        <v>Punkte</v>
      </c>
      <c r="F169" s="233" t="str">
        <f>REPT(Sprache!$K$61,1)</f>
        <v>Rest</v>
      </c>
      <c r="G169" s="233" t="s">
        <v>898</v>
      </c>
      <c r="H169" s="233" t="s">
        <v>848</v>
      </c>
      <c r="I169" s="233">
        <v>180</v>
      </c>
      <c r="J169" s="233" t="str">
        <f>REPT(Sprache!$K$63,1)</f>
        <v>Fehler</v>
      </c>
      <c r="L169" s="306" t="s">
        <v>923</v>
      </c>
      <c r="M169" s="307"/>
      <c r="P169" s="306" t="s">
        <v>923</v>
      </c>
      <c r="R169" s="232" t="str">
        <f>REPT(Sprache!$K$12,1)</f>
        <v>SPIEL</v>
      </c>
      <c r="S169" s="233" t="s">
        <v>869</v>
      </c>
      <c r="T169" s="233" t="str">
        <f>REPT(Sprache!$K$62,1)</f>
        <v>Punkte</v>
      </c>
      <c r="U169" s="233" t="str">
        <f>REPT(Sprache!$K$61,1)</f>
        <v>Rest</v>
      </c>
      <c r="V169" s="233" t="s">
        <v>898</v>
      </c>
      <c r="W169" s="233" t="s">
        <v>848</v>
      </c>
      <c r="X169" s="233">
        <v>180</v>
      </c>
      <c r="Y169" s="233" t="str">
        <f>REPT(Sprache!$K$63,1)</f>
        <v>Fehler</v>
      </c>
      <c r="Z169" s="308"/>
      <c r="AD169" s="235"/>
      <c r="AE169" s="236" t="s">
        <v>966</v>
      </c>
      <c r="AF169" s="236" t="s">
        <v>967</v>
      </c>
      <c r="AG169" s="236" t="s">
        <v>965</v>
      </c>
      <c r="AH169" s="237" t="str">
        <f>LEFT($BM$6,10)</f>
        <v/>
      </c>
      <c r="AI169" s="237" t="str">
        <f>LEFT($BN$6,10)</f>
        <v/>
      </c>
      <c r="AJ169" s="237" t="s">
        <v>898</v>
      </c>
      <c r="AK169" s="237" t="s">
        <v>848</v>
      </c>
      <c r="AL169" s="237">
        <v>180</v>
      </c>
      <c r="AM169" s="237" t="str">
        <f>LEFT($BL$6,50)</f>
        <v/>
      </c>
      <c r="AN169" s="235"/>
      <c r="AO169" s="235"/>
      <c r="AP169" s="235"/>
      <c r="AQ169" s="235"/>
      <c r="AR169" s="235"/>
      <c r="AS169" s="235"/>
      <c r="AT169" s="235"/>
      <c r="AU169" s="235"/>
      <c r="AV169" s="237" t="str">
        <f>LEFT($BM$6,10)</f>
        <v/>
      </c>
      <c r="AW169" s="237" t="str">
        <f>LEFT($BN$6,10)</f>
        <v/>
      </c>
      <c r="AX169" s="237" t="s">
        <v>898</v>
      </c>
      <c r="AY169" s="237" t="s">
        <v>848</v>
      </c>
      <c r="AZ169" s="237">
        <v>180</v>
      </c>
      <c r="BA169" s="237" t="str">
        <f>LEFT($BL$6,50)</f>
        <v/>
      </c>
      <c r="BI169" s="238"/>
      <c r="BJ169" s="238"/>
      <c r="BK169" s="238" t="s">
        <v>165</v>
      </c>
      <c r="BL169" s="238" t="s">
        <v>165</v>
      </c>
      <c r="BM169" s="239" t="s">
        <v>165</v>
      </c>
      <c r="BN169" s="239" t="s">
        <v>899</v>
      </c>
      <c r="BO169" s="239" t="s">
        <v>899</v>
      </c>
      <c r="BP169" s="239" t="s">
        <v>900</v>
      </c>
      <c r="BQ169" s="240" t="s">
        <v>901</v>
      </c>
      <c r="BR169" s="241"/>
      <c r="BS169" s="242" t="s">
        <v>926</v>
      </c>
      <c r="BT169" s="243"/>
      <c r="BU169" s="242" t="s">
        <v>902</v>
      </c>
      <c r="BV169" s="238"/>
      <c r="BW169" s="238"/>
      <c r="BX169" s="244"/>
      <c r="BY169" s="238"/>
      <c r="BZ169" s="238" t="s">
        <v>903</v>
      </c>
      <c r="CA169" s="243" t="s">
        <v>904</v>
      </c>
      <c r="CB169" s="238"/>
      <c r="CC169" s="238"/>
      <c r="CD169" s="242" t="s">
        <v>902</v>
      </c>
      <c r="CE169" s="238"/>
      <c r="CF169" s="238"/>
      <c r="CG169" s="244"/>
      <c r="CH169" s="238"/>
      <c r="CI169" s="238" t="s">
        <v>903</v>
      </c>
      <c r="CJ169" s="243" t="s">
        <v>904</v>
      </c>
      <c r="CK169" s="238"/>
      <c r="CL169" s="245" t="s">
        <v>905</v>
      </c>
      <c r="CM169" s="245" t="s">
        <v>906</v>
      </c>
      <c r="CN169" s="245" t="s">
        <v>907</v>
      </c>
      <c r="CO169" s="245" t="s">
        <v>908</v>
      </c>
      <c r="CP169" s="245" t="s">
        <v>909</v>
      </c>
      <c r="CQ169" s="246" t="s">
        <v>910</v>
      </c>
      <c r="CR169" s="247"/>
      <c r="CS169" s="246" t="s">
        <v>911</v>
      </c>
      <c r="CT169" s="248"/>
      <c r="CU169" s="246" t="s">
        <v>912</v>
      </c>
      <c r="CV169" s="248"/>
      <c r="CW169" s="246" t="s">
        <v>913</v>
      </c>
      <c r="CX169" s="248"/>
      <c r="CY169" s="238"/>
      <c r="CZ169" s="238"/>
      <c r="DA169" s="238"/>
      <c r="DB169" s="238"/>
      <c r="DC169" s="249" t="s">
        <v>165</v>
      </c>
      <c r="DD169" s="249" t="s">
        <v>165</v>
      </c>
      <c r="DE169" s="249" t="s">
        <v>165</v>
      </c>
      <c r="DF169" s="238"/>
      <c r="DG169" s="238" t="s">
        <v>914</v>
      </c>
      <c r="DH169" s="238" t="s">
        <v>930</v>
      </c>
      <c r="DI169" s="238" t="s">
        <v>931</v>
      </c>
      <c r="DK169" s="238" t="s">
        <v>932</v>
      </c>
      <c r="DL169" s="238" t="s">
        <v>933</v>
      </c>
      <c r="DM169" s="238" t="s">
        <v>869</v>
      </c>
      <c r="DN169" s="230" t="s">
        <v>915</v>
      </c>
      <c r="DO169" s="250" t="s">
        <v>915</v>
      </c>
      <c r="DP169" s="322" t="s">
        <v>934</v>
      </c>
      <c r="DQ169" s="238"/>
      <c r="DR169" s="166" t="s">
        <v>894</v>
      </c>
      <c r="DS169" s="166" t="s">
        <v>895</v>
      </c>
      <c r="DT169" s="166" t="s">
        <v>935</v>
      </c>
      <c r="DU169" s="166" t="s">
        <v>936</v>
      </c>
      <c r="DV169" s="251" t="s">
        <v>165</v>
      </c>
      <c r="DW169" s="251" t="s">
        <v>165</v>
      </c>
      <c r="DX169" s="238" t="s">
        <v>916</v>
      </c>
      <c r="DY169" s="238"/>
      <c r="DZ169" s="238"/>
      <c r="EA169" s="238"/>
      <c r="EB169" s="238"/>
      <c r="EC169" s="238"/>
      <c r="ED169" s="251" t="s">
        <v>165</v>
      </c>
      <c r="EE169" s="251" t="s">
        <v>165</v>
      </c>
      <c r="EF169" s="166"/>
      <c r="EG169" s="238"/>
      <c r="EH169" s="238"/>
      <c r="EI169" s="238"/>
      <c r="EJ169" s="238"/>
      <c r="EK169" s="238"/>
      <c r="EL169" s="238"/>
      <c r="EM169" s="238"/>
      <c r="EN169" s="238"/>
      <c r="EO169" s="246" t="s">
        <v>917</v>
      </c>
      <c r="EP169" s="247"/>
      <c r="EQ169" s="247"/>
      <c r="ER169" s="247"/>
      <c r="ES169" s="247"/>
      <c r="ET169" s="252"/>
      <c r="EU169" s="248"/>
      <c r="EV169" s="246" t="s">
        <v>918</v>
      </c>
      <c r="EW169" s="247"/>
      <c r="EX169" s="248"/>
      <c r="EY169" s="251" t="s">
        <v>165</v>
      </c>
      <c r="EZ169" s="246" t="s">
        <v>919</v>
      </c>
      <c r="FA169" s="247"/>
      <c r="FB169" s="248"/>
      <c r="FC169" s="246" t="s">
        <v>920</v>
      </c>
      <c r="FD169" s="247"/>
      <c r="FE169" s="248"/>
      <c r="FF169" s="238"/>
      <c r="FG169" s="238"/>
      <c r="FH169" s="238"/>
      <c r="FI169" s="238"/>
      <c r="FJ169" s="246" t="s">
        <v>917</v>
      </c>
      <c r="FK169" s="247"/>
      <c r="FL169" s="247"/>
      <c r="FM169" s="247"/>
      <c r="FN169" s="247"/>
      <c r="FO169" s="252"/>
      <c r="FP169" s="248"/>
      <c r="FQ169" s="246" t="s">
        <v>918</v>
      </c>
      <c r="FR169" s="247"/>
      <c r="FS169" s="248"/>
      <c r="FT169" s="251" t="s">
        <v>165</v>
      </c>
      <c r="FU169" s="246" t="s">
        <v>919</v>
      </c>
      <c r="FV169" s="247"/>
      <c r="FW169" s="248"/>
      <c r="FX169" s="246" t="s">
        <v>920</v>
      </c>
      <c r="FY169" s="247"/>
      <c r="FZ169" s="248"/>
      <c r="GD169" s="340"/>
      <c r="GE169" s="340"/>
      <c r="GF169" s="341" t="s">
        <v>968</v>
      </c>
      <c r="GG169" s="340"/>
      <c r="GH169" s="340"/>
      <c r="GI169" s="340"/>
      <c r="GJ169" s="341" t="s">
        <v>972</v>
      </c>
      <c r="GK169" s="340"/>
      <c r="GL169" s="340"/>
      <c r="GM169" s="340"/>
      <c r="GN169" s="341" t="s">
        <v>971</v>
      </c>
      <c r="GO169" s="340"/>
      <c r="GP169" s="340"/>
      <c r="GQ169" s="340"/>
      <c r="GR169" s="341" t="s">
        <v>970</v>
      </c>
      <c r="GS169" s="340"/>
      <c r="GT169" s="340"/>
      <c r="GU169" s="340"/>
      <c r="GV169" s="341" t="s">
        <v>969</v>
      </c>
      <c r="GW169" s="340"/>
      <c r="GX169" s="340"/>
      <c r="GY169" s="340"/>
      <c r="GZ169" s="342" t="s">
        <v>973</v>
      </c>
      <c r="HA169" s="340"/>
      <c r="HB169" s="340"/>
      <c r="HC169" s="340"/>
      <c r="HD169" s="342" t="s">
        <v>974</v>
      </c>
      <c r="HE169" s="340"/>
      <c r="HF169" s="340"/>
      <c r="HG169" s="340"/>
      <c r="HH169" s="340"/>
      <c r="HI169" s="340"/>
      <c r="HJ169" s="340"/>
      <c r="HK169" s="340"/>
      <c r="HL169" s="340"/>
      <c r="HM169" s="341"/>
      <c r="HN169" s="341"/>
      <c r="HO169" s="341"/>
      <c r="HP169" s="341"/>
      <c r="HQ169" s="341"/>
      <c r="HR169" s="341"/>
      <c r="HS169" s="238"/>
      <c r="HT169" s="238"/>
      <c r="HU169" s="238"/>
      <c r="HV169" s="238"/>
      <c r="HX169" s="238"/>
      <c r="HY169" s="238"/>
      <c r="HZ169" s="238"/>
      <c r="ID169" s="238"/>
    </row>
    <row r="170" spans="1:238" s="234" customFormat="1" ht="20.100000000000001" customHeight="1">
      <c r="A170" s="235"/>
      <c r="B170" s="231">
        <f>COUNT(AJ171,AJ170)</f>
        <v>0</v>
      </c>
      <c r="C170" s="325" t="str">
        <f>CONCATENATE(BG170,BE170)</f>
        <v>HD</v>
      </c>
      <c r="D170" s="253" t="str">
        <f>REPT(DN170,1)</f>
        <v>1</v>
      </c>
      <c r="E170" s="254" t="str">
        <f>REPT(AH170,1)</f>
        <v/>
      </c>
      <c r="F170" s="168"/>
      <c r="G170" s="168"/>
      <c r="H170" s="168"/>
      <c r="I170" s="169"/>
      <c r="J170" s="255" t="str">
        <f>REPT(AM170,1)</f>
        <v/>
      </c>
      <c r="L170" s="309">
        <f>SUM(BS179)</f>
        <v>0</v>
      </c>
      <c r="M170" s="238"/>
      <c r="N170" s="255" t="str">
        <f>REPT(AP170,1)</f>
        <v/>
      </c>
      <c r="P170" s="309">
        <f>SUM(CF179)</f>
        <v>0</v>
      </c>
      <c r="Q170" s="310"/>
      <c r="R170" s="323" t="str">
        <f>CONCATENATE(BH170,BE170)</f>
        <v>GD</v>
      </c>
      <c r="S170" s="253" t="str">
        <f>REPT(DO170,1)</f>
        <v>1</v>
      </c>
      <c r="T170" s="254" t="str">
        <f>REPT(AV170,1)</f>
        <v/>
      </c>
      <c r="U170" s="168"/>
      <c r="V170" s="168"/>
      <c r="W170" s="168"/>
      <c r="X170" s="169"/>
      <c r="Y170" s="255" t="str">
        <f>REPT(BA170,1)</f>
        <v/>
      </c>
      <c r="Z170" s="308"/>
      <c r="AB170" s="234">
        <f>IF(AY170="",0,IF(AY170&lt;2,1,""))</f>
        <v>0</v>
      </c>
      <c r="AC170" s="238">
        <f>IF(AD170=1,1,IF(AD170=3,1,IF(AD170=2,0,IF(AD170=0,0,0))))</f>
        <v>0</v>
      </c>
      <c r="AD170" s="256">
        <f>SUM(AE170:AG170)</f>
        <v>0</v>
      </c>
      <c r="AE170" s="256">
        <f t="shared" ref="AE170:AE174" si="392">IF(F170="",0,1)</f>
        <v>0</v>
      </c>
      <c r="AF170" s="256">
        <f t="shared" ref="AF170:AF174" si="393">IF(G170="",0,1)</f>
        <v>0</v>
      </c>
      <c r="AG170" s="256">
        <f>IF(H170="",0,1)</f>
        <v>0</v>
      </c>
      <c r="AH170" s="257" t="str">
        <f>IF(AK170="",IF(AI170="","",IF(AI170="",501,501-AI170)),501)</f>
        <v/>
      </c>
      <c r="AI170" s="256" t="str">
        <f>IF(F170&gt;1,F170,IF(F170=0,"",IF(F170="","","")))</f>
        <v/>
      </c>
      <c r="AJ170" s="256" t="str">
        <f>IF(G170&gt;8,G170,IF(G170="","",""))</f>
        <v/>
      </c>
      <c r="AK170" s="256" t="str">
        <f>IF(H170&gt;1,H170,IF(H170="","",""))</f>
        <v/>
      </c>
      <c r="AL170" s="256" t="str">
        <f>IF(I170&gt;0,I170,IF(I170="","",""))</f>
        <v/>
      </c>
      <c r="AM170" s="258" t="str">
        <f>IF(BK170=0,"","X")</f>
        <v/>
      </c>
      <c r="AN170" s="237"/>
      <c r="AO170" s="237"/>
      <c r="AP170" s="258" t="str">
        <f>IF(BM170=0,"","X")</f>
        <v/>
      </c>
      <c r="AQ170" s="236">
        <f>IF(AR170=1,1,IF(AR170=3,1,IF(AR170=2,0,IF(AR170=0,0,0))))</f>
        <v>0</v>
      </c>
      <c r="AR170" s="256">
        <f>SUM(AS170:AU170)</f>
        <v>0</v>
      </c>
      <c r="AS170" s="256">
        <f t="shared" ref="AS170:AS174" si="394">IF(U170="",0,1)</f>
        <v>0</v>
      </c>
      <c r="AT170" s="256">
        <f t="shared" ref="AT170:AT174" si="395">IF(V170="",0,1)</f>
        <v>0</v>
      </c>
      <c r="AU170" s="256">
        <f>IF(W170="",0,1)</f>
        <v>0</v>
      </c>
      <c r="AV170" s="257" t="str">
        <f>IF(AY170="",IF(AW170="","",IF(AW170="",501,501-AW170)),501)</f>
        <v/>
      </c>
      <c r="AW170" s="256" t="str">
        <f>IF(U170&gt;1,U170,IF(U170=0,"",IF(U170="","","")))</f>
        <v/>
      </c>
      <c r="AX170" s="256" t="str">
        <f>IF(V170&gt;8,V170,IF(V170="","",""))</f>
        <v/>
      </c>
      <c r="AY170" s="256" t="str">
        <f>IF(W170&gt;1,W170,IF(W170="","",""))</f>
        <v/>
      </c>
      <c r="AZ170" s="256" t="str">
        <f>IF(X170&gt;0,X170,IF(X170="","",""))</f>
        <v/>
      </c>
      <c r="BA170" s="258" t="str">
        <f>IF(BL170=0,"","X")</f>
        <v/>
      </c>
      <c r="BF170" s="238" t="s">
        <v>894</v>
      </c>
      <c r="BG170" s="238" t="str">
        <f>CONCATENATE(BF170,AK167)</f>
        <v>HD</v>
      </c>
      <c r="BH170" s="238" t="str">
        <f>CONCATENATE(BI170,AK167)</f>
        <v>GD</v>
      </c>
      <c r="BI170" s="238" t="s">
        <v>895</v>
      </c>
      <c r="BJ170" s="238"/>
      <c r="BK170" s="251">
        <f>SUM(DD170,DV170,EY170,ED170,FF170,BQ170,BS170,AC170)</f>
        <v>0</v>
      </c>
      <c r="BL170" s="251">
        <f>SUM(DE170,DW170,EE170,FT170,GA170,BR170,BT170,AQ170)</f>
        <v>0</v>
      </c>
      <c r="BM170" s="259">
        <f>SUM(DC170,BK170:BL170,AC170,AQ170)</f>
        <v>0</v>
      </c>
      <c r="BN170" s="239">
        <f>COUNT(AK170)</f>
        <v>0</v>
      </c>
      <c r="BO170" s="239">
        <f>COUNT(AY170)</f>
        <v>0</v>
      </c>
      <c r="BP170" s="239">
        <f>IF(BN172=0,0,1)</f>
        <v>0</v>
      </c>
      <c r="BQ170" s="260">
        <f>IF(AL170="",0,IF(AL170&gt;2,1,0))</f>
        <v>0</v>
      </c>
      <c r="BR170" s="261">
        <f>IF(AZ170="",0,IF(AZ170&gt;2,1,0))</f>
        <v>0</v>
      </c>
      <c r="BS170" s="262">
        <f>IF(AJ170=9,IF(AK170&lt;141,1,0),0)</f>
        <v>0</v>
      </c>
      <c r="BT170" s="263">
        <f>IF(AX170=9,IF(AY170&lt;141,1,0),0)</f>
        <v>0</v>
      </c>
      <c r="BU170" s="242">
        <f>IF(H170,G170,0)</f>
        <v>0</v>
      </c>
      <c r="BV170" s="238">
        <f>IF(BU170&gt;0,AJ170/3,0)</f>
        <v>0</v>
      </c>
      <c r="BW170" s="238">
        <f>ROUNDUP(BV170,0)</f>
        <v>0</v>
      </c>
      <c r="BX170" s="244">
        <f>IF(MOD(BW170,2)=0,BW170,BW170+1)</f>
        <v>0</v>
      </c>
      <c r="BY170" s="238">
        <f>IF(AJ170&lt;9,"",SUM(BX170-BW170))</f>
        <v>0</v>
      </c>
      <c r="BZ170" s="238">
        <f>IF(BY170=1,AK170,0)</f>
        <v>0</v>
      </c>
      <c r="CA170" s="243" t="str">
        <f>IF(BY170=0,AK170,0)</f>
        <v/>
      </c>
      <c r="CB170" s="238"/>
      <c r="CC170" s="238"/>
      <c r="CD170" s="242">
        <f>IF(W170,V170,0)</f>
        <v>0</v>
      </c>
      <c r="CE170" s="238">
        <f>IF(CD170&gt;0,AX170/3,0)</f>
        <v>0</v>
      </c>
      <c r="CF170" s="238">
        <f>ROUNDUP(CE170,0)</f>
        <v>0</v>
      </c>
      <c r="CG170" s="244">
        <f>IF(MOD(CF170,2)=0,CF170,CF170+1)</f>
        <v>0</v>
      </c>
      <c r="CH170" s="238">
        <f>IF(AX170&lt;9,"",SUM(CG170-CF170))</f>
        <v>0</v>
      </c>
      <c r="CI170" s="238">
        <f>IF(CH170=1,AY170,0)</f>
        <v>0</v>
      </c>
      <c r="CJ170" s="243" t="str">
        <f>IF(CH170=0,AY170,0)</f>
        <v/>
      </c>
      <c r="CK170" s="238"/>
      <c r="CL170" s="245">
        <f>IF(COUNT(F170,H170)=1,0,1)</f>
        <v>1</v>
      </c>
      <c r="CM170" s="245">
        <f>IF(COUNT(F170,U170)=1,0,1)</f>
        <v>1</v>
      </c>
      <c r="CN170" s="245">
        <f>IF(COUNT(H170,W170)=1,0,1)</f>
        <v>1</v>
      </c>
      <c r="CO170" s="245">
        <f>IF(COUNT(G170,V170)=2,0,1)</f>
        <v>1</v>
      </c>
      <c r="CP170" s="245">
        <f>IF(COUNT(U170,W170)=1,0,1)</f>
        <v>1</v>
      </c>
      <c r="CQ170" s="245">
        <f>IF(SUM(G170-V170)&gt;3,1,0)</f>
        <v>0</v>
      </c>
      <c r="CR170" s="245">
        <f>IF(SUM(G170-V170)&lt;-3,1,0)</f>
        <v>0</v>
      </c>
      <c r="CS170" s="264">
        <f>IF(AJ170=9,IF(AH170&lt;141,1,0),IF(AH170="",0,IF(AH170&gt;1,0,1)))</f>
        <v>0</v>
      </c>
      <c r="CT170" s="264">
        <f>IF(AX170=9,IF(AV170&lt;141,1,0),IF(AV170="",0,IF(AV170&gt;1,0,1)))</f>
        <v>0</v>
      </c>
      <c r="CU170" s="264">
        <f>IF(AI170="",0,IF(AI170&lt;502,0,1))</f>
        <v>0</v>
      </c>
      <c r="CV170" s="264">
        <f>IF(AW170="",0,IF(AW170&lt;502,0,1))</f>
        <v>0</v>
      </c>
      <c r="CW170" s="264">
        <f>IF(AI170="",IF(AJ170&lt;9,1,0),IF(AJ170&lt;9,1,0))</f>
        <v>0</v>
      </c>
      <c r="CX170" s="264">
        <f>IF(AW170="",IF(AX170&lt;9,1,0),IF(AX170&lt;9,1,0))</f>
        <v>0</v>
      </c>
      <c r="CY170" s="374"/>
      <c r="CZ170" s="374"/>
      <c r="DA170" s="374"/>
      <c r="DB170" s="374"/>
      <c r="DC170" s="265">
        <f>IF(AJ170="",0,SUM(CL170:CX170))</f>
        <v>0</v>
      </c>
      <c r="DD170" s="265">
        <f>IF(AJ170="",0,SUM(CL170,CS170,CU170,CW170))</f>
        <v>0</v>
      </c>
      <c r="DE170" s="265">
        <f>IF(AJ170="",0,SUM(CP170,CT170,CV170,CX170))</f>
        <v>0</v>
      </c>
      <c r="DF170" s="238"/>
      <c r="DG170" s="248" t="str">
        <f>IF(G170="","",SUM(G170-V170))</f>
        <v/>
      </c>
      <c r="DH170" s="245">
        <f>IF(F170="",0,1)</f>
        <v>0</v>
      </c>
      <c r="DI170" s="245" t="str">
        <f>IF(DG170=0,DH170,DG170)</f>
        <v/>
      </c>
      <c r="DJ170" s="245" t="e">
        <f>SIGN(DI170)</f>
        <v>#VALUE!</v>
      </c>
      <c r="DK170" s="245" t="str">
        <f>IF(G170="","",IF(DJ170=1,"*",""))</f>
        <v/>
      </c>
      <c r="DL170" s="245" t="str">
        <f>IF(G170="","",IF(DJ170=-1,"*",IF(DJ170=0,"*","")))</f>
        <v/>
      </c>
      <c r="DM170" s="245">
        <v>1</v>
      </c>
      <c r="DN170" s="245" t="str">
        <f>CONCATENATE(DM170,DK170)</f>
        <v>1</v>
      </c>
      <c r="DO170" s="245" t="str">
        <f>CONCATENATE(DM170,DL170)</f>
        <v>1</v>
      </c>
      <c r="DP170" s="245">
        <f>IF(DK170="*",1,0)</f>
        <v>0</v>
      </c>
      <c r="DQ170" s="245">
        <f>IF(DL170="*",1,0)</f>
        <v>0</v>
      </c>
      <c r="DR170" s="245"/>
      <c r="DS170" s="245"/>
      <c r="DT170" s="245"/>
      <c r="DU170" s="245"/>
      <c r="DV170" s="266"/>
      <c r="DW170" s="266"/>
      <c r="DX170" s="238">
        <f>IF(AK170="",0,1)</f>
        <v>0</v>
      </c>
      <c r="DY170" s="238">
        <f>IF(DG170=-3,1,0)</f>
        <v>0</v>
      </c>
      <c r="DZ170" s="238">
        <f>SUM(DX170:DY170)</f>
        <v>0</v>
      </c>
      <c r="EA170" s="238">
        <f>IF(AK170="",1,0)</f>
        <v>1</v>
      </c>
      <c r="EB170" s="238">
        <f>IF(DG170=3,1,0)</f>
        <v>0</v>
      </c>
      <c r="EC170" s="238">
        <f>SUM(EA170:EB170)</f>
        <v>1</v>
      </c>
      <c r="ED170" s="267">
        <f>IF(EC170=2,1,0)</f>
        <v>0</v>
      </c>
      <c r="EE170" s="267">
        <f>IF(DZ170=2,1,0)</f>
        <v>0</v>
      </c>
      <c r="EG170" s="166"/>
      <c r="EH170" s="238"/>
      <c r="EI170" s="238"/>
      <c r="EJ170" s="238"/>
      <c r="EK170" s="238"/>
      <c r="EL170" s="238"/>
      <c r="EM170" s="245">
        <f>IF(AK170="",0,1)</f>
        <v>0</v>
      </c>
      <c r="EN170" s="245">
        <f>SUM(AK170)</f>
        <v>0</v>
      </c>
      <c r="EO170" s="268">
        <f>SUM(AJ170)</f>
        <v>0</v>
      </c>
      <c r="EP170" s="268">
        <f>SUM(G170/3)</f>
        <v>0</v>
      </c>
      <c r="EQ170" s="268" t="e">
        <f>SUM(EO170/EP170)</f>
        <v>#DIV/0!</v>
      </c>
      <c r="ER170" s="268">
        <f>ROUNDDOWN(EP170,0)</f>
        <v>0</v>
      </c>
      <c r="ES170" s="268">
        <f>SUM(EO170,-ER170*3)</f>
        <v>0</v>
      </c>
      <c r="ET170" s="269" t="b">
        <f>MOD(EN170/1,2)=0</f>
        <v>1</v>
      </c>
      <c r="EU170" s="245">
        <f>IF(ET170=FALSE,1,0)</f>
        <v>0</v>
      </c>
      <c r="EV170" s="245">
        <f>IF(EN170=50,0,IF(EN170&lt;40,1,0))</f>
        <v>1</v>
      </c>
      <c r="EW170" s="245">
        <f>SUM(EU170:EV170)</f>
        <v>1</v>
      </c>
      <c r="EX170" s="267">
        <f>IF(EN170=1,1,IF(EN170=50,0,IF(ES170=1,IF(EN170&gt;40,1,0),0)))</f>
        <v>0</v>
      </c>
      <c r="EY170" s="267">
        <f>IF(ES170=1,IF(EW170=2,1,0),0)+EX170+FB170+FE170</f>
        <v>0</v>
      </c>
      <c r="EZ170" s="245">
        <f>IF(EN170=109,1,IF(EN170=108,1,IF(EN170=106,1,IF(EN170=105,1,IF(EN170=103,1,IF(EN170=102,1,IF(EN170=99,1,0)))))))</f>
        <v>0</v>
      </c>
      <c r="FA170" s="245">
        <f>IF(EN170&gt;110,1,0)</f>
        <v>0</v>
      </c>
      <c r="FB170" s="267">
        <f>IF(ES170=2,SUM(EZ170:FA170),0)</f>
        <v>0</v>
      </c>
      <c r="FC170" s="245">
        <f>IF(EN170=159,1,IF(EN170=162,1,IF(EN170=163,1,IF(EN170=165,1,IF(EN170=166,1,IF(EN170=168,1,IF(EN170=169,1,0)))))))</f>
        <v>0</v>
      </c>
      <c r="FD170" s="245">
        <f>IF(EN170&gt;170,1,0)</f>
        <v>0</v>
      </c>
      <c r="FE170" s="267">
        <f>IF(ES170=0,SUM(FC170:FD170),0)</f>
        <v>0</v>
      </c>
      <c r="FF170" s="251">
        <f>IF(AJ170="",0,IF(AI170="",0,IF(EO170/ER170-3=0,0,1)))</f>
        <v>0</v>
      </c>
      <c r="FG170" s="238"/>
      <c r="FH170" s="245">
        <f>IF(AY170="",0,1)</f>
        <v>0</v>
      </c>
      <c r="FI170" s="245">
        <f>SUM(AY170)</f>
        <v>0</v>
      </c>
      <c r="FJ170" s="268">
        <f>SUM(AX170)</f>
        <v>0</v>
      </c>
      <c r="FK170" s="268">
        <f>SUM(V170/3)</f>
        <v>0</v>
      </c>
      <c r="FL170" s="268" t="e">
        <f>SUM(FJ170/FK170)</f>
        <v>#DIV/0!</v>
      </c>
      <c r="FM170" s="268">
        <f>ROUNDDOWN(FK170,0)</f>
        <v>0</v>
      </c>
      <c r="FN170" s="268">
        <f>SUM(FJ170,-FM170*3)</f>
        <v>0</v>
      </c>
      <c r="FO170" s="269" t="b">
        <f>MOD(FI170/1,2)=0</f>
        <v>1</v>
      </c>
      <c r="FP170" s="245">
        <f>IF(FO170=FALSE,1,0)</f>
        <v>0</v>
      </c>
      <c r="FQ170" s="245">
        <f>IF(FI170=50,0,IF(FI170&lt;40,1,0))</f>
        <v>1</v>
      </c>
      <c r="FR170" s="245">
        <f>SUM(FP170:FQ170)</f>
        <v>1</v>
      </c>
      <c r="FS170" s="267">
        <f>IF(FI170=1,1,IF(FI170=50,0,IF(FN170=1,IF(FI170&gt;40,1,0),0)))</f>
        <v>0</v>
      </c>
      <c r="FT170" s="267">
        <f>IF(FN170=1,IF(FR170=2,1,0),0)+FS170+FW170+FZ170</f>
        <v>0</v>
      </c>
      <c r="FU170" s="245">
        <f>IF(FI170=109,1,IF(FI170=108,1,IF(FI170=106,1,IF(FI170=105,1,IF(FI170=103,1,IF(FI170=102,1,IF(FI170=99,1,0)))))))</f>
        <v>0</v>
      </c>
      <c r="FV170" s="245">
        <f>IF(FI170&gt;110,1,0)</f>
        <v>0</v>
      </c>
      <c r="FW170" s="267">
        <f>IF(FN170=2,SUM(FU170:FV170),0)</f>
        <v>0</v>
      </c>
      <c r="FX170" s="245">
        <f>IF(FI170=159,1,IF(FI170=162,1,IF(FI170=163,1,IF(FI170=165,1,IF(FI170=166,1,IF(FI170=168,1,IF(FI170=169,1,0)))))))</f>
        <v>0</v>
      </c>
      <c r="FY170" s="245">
        <f>IF(FI170&gt;170,1,0)</f>
        <v>0</v>
      </c>
      <c r="FZ170" s="267">
        <f>IF(FN170=0,SUM(FX170:FY170),0)</f>
        <v>0</v>
      </c>
      <c r="GA170" s="251">
        <f>IF(AX170="",0,IF(AW170="",0,IF(FJ170/FM170-3=0,0,1)))</f>
        <v>0</v>
      </c>
      <c r="GD170" s="341">
        <f>IF(AK167="D",1,0)</f>
        <v>1</v>
      </c>
      <c r="GE170" s="343"/>
      <c r="GF170" s="343" t="s">
        <v>866</v>
      </c>
      <c r="GG170" s="343" t="s">
        <v>868</v>
      </c>
      <c r="GH170" s="343" t="s">
        <v>848</v>
      </c>
      <c r="GI170" s="343">
        <v>180</v>
      </c>
      <c r="GJ170" s="343" t="s">
        <v>866</v>
      </c>
      <c r="GK170" s="343" t="s">
        <v>868</v>
      </c>
      <c r="GL170" s="343" t="s">
        <v>848</v>
      </c>
      <c r="GM170" s="343">
        <v>180</v>
      </c>
      <c r="GN170" s="343" t="s">
        <v>866</v>
      </c>
      <c r="GO170" s="343" t="s">
        <v>868</v>
      </c>
      <c r="GP170" s="343" t="s">
        <v>848</v>
      </c>
      <c r="GQ170" s="343">
        <v>180</v>
      </c>
      <c r="GR170" s="343" t="s">
        <v>866</v>
      </c>
      <c r="GS170" s="343" t="s">
        <v>868</v>
      </c>
      <c r="GT170" s="343" t="s">
        <v>848</v>
      </c>
      <c r="GU170" s="343">
        <v>180</v>
      </c>
      <c r="GV170" s="343" t="s">
        <v>866</v>
      </c>
      <c r="GW170" s="343" t="s">
        <v>868</v>
      </c>
      <c r="GX170" s="343" t="s">
        <v>848</v>
      </c>
      <c r="GY170" s="343">
        <v>180</v>
      </c>
      <c r="GZ170" s="343" t="s">
        <v>866</v>
      </c>
      <c r="HA170" s="343" t="s">
        <v>868</v>
      </c>
      <c r="HB170" s="343" t="s">
        <v>848</v>
      </c>
      <c r="HC170" s="343">
        <v>180</v>
      </c>
      <c r="HD170" s="343" t="s">
        <v>866</v>
      </c>
      <c r="HE170" s="343" t="s">
        <v>868</v>
      </c>
      <c r="HF170" s="341" t="s">
        <v>975</v>
      </c>
      <c r="HG170" s="341" t="s">
        <v>976</v>
      </c>
      <c r="HH170" s="341" t="s">
        <v>899</v>
      </c>
      <c r="HJ170" s="238"/>
      <c r="HK170" s="238"/>
      <c r="HL170" s="238"/>
      <c r="HM170" s="238">
        <f>COUNT(HI171,HJ171,HK171,HL171,HM171)</f>
        <v>0</v>
      </c>
      <c r="HN170" s="341"/>
      <c r="HO170" s="341"/>
      <c r="HP170" s="341"/>
      <c r="HQ170" s="341"/>
      <c r="HR170" s="341"/>
      <c r="HS170" s="238"/>
      <c r="HT170" s="238"/>
      <c r="HU170" s="238"/>
      <c r="HV170" s="238"/>
      <c r="HX170" s="238"/>
      <c r="HY170" s="238"/>
      <c r="ID170" s="238"/>
    </row>
    <row r="171" spans="1:238" s="234" customFormat="1" ht="20.100000000000001" customHeight="1">
      <c r="A171" s="235"/>
      <c r="B171" s="231">
        <f>COUNT(AJ172,AJ171)</f>
        <v>0</v>
      </c>
      <c r="C171" s="326">
        <f>IF(DK170="*",AJ167,AI167)</f>
        <v>1.4</v>
      </c>
      <c r="D171" s="253" t="str">
        <f>REPT(DN171,1)</f>
        <v>2</v>
      </c>
      <c r="E171" s="254" t="str">
        <f>REPT(AH171,1)</f>
        <v/>
      </c>
      <c r="F171" s="168"/>
      <c r="G171" s="168"/>
      <c r="H171" s="168"/>
      <c r="I171" s="169"/>
      <c r="J171" s="270" t="str">
        <f>REPT(AM171,1)</f>
        <v/>
      </c>
      <c r="L171" s="306" t="s">
        <v>922</v>
      </c>
      <c r="M171" s="311"/>
      <c r="N171" s="270" t="str">
        <f>REPT(AP171,1)</f>
        <v/>
      </c>
      <c r="P171" s="306" t="s">
        <v>922</v>
      </c>
      <c r="Q171" s="310"/>
      <c r="R171" s="324">
        <f>IF(DL170="*",AJ167,AI167)</f>
        <v>1.4</v>
      </c>
      <c r="S171" s="253" t="str">
        <f>REPT(DO171,1)</f>
        <v>2</v>
      </c>
      <c r="T171" s="254" t="str">
        <f>REPT(AV171,1)</f>
        <v/>
      </c>
      <c r="U171" s="168"/>
      <c r="V171" s="168"/>
      <c r="W171" s="168"/>
      <c r="X171" s="169"/>
      <c r="Y171" s="270" t="str">
        <f t="shared" ref="Y171:Y173" si="396">REPT(BA171,1)</f>
        <v/>
      </c>
      <c r="Z171" s="308"/>
      <c r="AB171" s="234">
        <f>IF(AY171="",0,IF(AY171&lt;2,1,""))</f>
        <v>0</v>
      </c>
      <c r="AC171" s="238">
        <f t="shared" ref="AC171:AC172" si="397">IF(AD171=1,1,IF(AD171=3,1,IF(AD171=2,0,IF(AD171=0,0,0))))</f>
        <v>0</v>
      </c>
      <c r="AD171" s="256">
        <f t="shared" ref="AD171:AD174" si="398">SUM(AE171:AG171)</f>
        <v>0</v>
      </c>
      <c r="AE171" s="256">
        <f t="shared" si="392"/>
        <v>0</v>
      </c>
      <c r="AF171" s="256">
        <f t="shared" si="393"/>
        <v>0</v>
      </c>
      <c r="AG171" s="256">
        <f t="shared" ref="AG171:AG174" si="399">IF(H171="",0,1)</f>
        <v>0</v>
      </c>
      <c r="AH171" s="257" t="str">
        <f>IF(AK171="",IF(AI171="","",IF(AI171="",501,501-AI171)),501)</f>
        <v/>
      </c>
      <c r="AI171" s="256" t="str">
        <f>IF(F171&gt;1,F171,IF(F171=0,"",IF(F171="","","")))</f>
        <v/>
      </c>
      <c r="AJ171" s="256" t="str">
        <f>IF(G171&gt;8,G171,IF(G171="","",""))</f>
        <v/>
      </c>
      <c r="AK171" s="256" t="str">
        <f>IF(H171&gt;1,H171,IF(H171="","",""))</f>
        <v/>
      </c>
      <c r="AL171" s="256" t="str">
        <f>IF(I171&gt;0,I171,IF(I171="","",""))</f>
        <v/>
      </c>
      <c r="AM171" s="258" t="str">
        <f>IF(BK171=0,"","X")</f>
        <v/>
      </c>
      <c r="AN171" s="237"/>
      <c r="AO171" s="237"/>
      <c r="AP171" s="258" t="str">
        <f>IF(BM171=0,"","X")</f>
        <v/>
      </c>
      <c r="AQ171" s="236">
        <f t="shared" ref="AQ171:AQ172" si="400">IF(AR171=1,1,IF(AR171=3,1,IF(AR171=2,0,IF(AR171=0,0,0))))</f>
        <v>0</v>
      </c>
      <c r="AR171" s="256">
        <f t="shared" ref="AR171:AR174" si="401">SUM(AS171:AU171)</f>
        <v>0</v>
      </c>
      <c r="AS171" s="256">
        <f t="shared" si="394"/>
        <v>0</v>
      </c>
      <c r="AT171" s="256">
        <f t="shared" si="395"/>
        <v>0</v>
      </c>
      <c r="AU171" s="256">
        <f t="shared" ref="AU171:AU174" si="402">IF(W171="",0,1)</f>
        <v>0</v>
      </c>
      <c r="AV171" s="257" t="str">
        <f>IF(AY171="",IF(AW171="","",IF(AW171="",501,501-AW171)),501)</f>
        <v/>
      </c>
      <c r="AW171" s="256" t="str">
        <f>IF(U171&gt;1,U171,IF(U171=0,"",IF(U171="","","")))</f>
        <v/>
      </c>
      <c r="AX171" s="256" t="str">
        <f>IF(V171&gt;8,V171,IF(V171="","",""))</f>
        <v/>
      </c>
      <c r="AY171" s="256" t="str">
        <f>IF(W171&gt;1,W171,IF(W171="","",""))</f>
        <v/>
      </c>
      <c r="AZ171" s="256" t="str">
        <f>IF(X171&gt;0,X171,IF(X171="","",""))</f>
        <v/>
      </c>
      <c r="BA171" s="258" t="str">
        <f>IF(BL171=0,"","X")</f>
        <v/>
      </c>
      <c r="BK171" s="251">
        <f>SUM(DD171,DV171,EY171,ED171,FF171,BQ171,BS171,AC171)</f>
        <v>0</v>
      </c>
      <c r="BL171" s="251">
        <f>SUM(DE171,DW171,EE171,FT171,GA171,BR171,BT171,AQ171)</f>
        <v>0</v>
      </c>
      <c r="BM171" s="259">
        <f t="shared" ref="BM171:BM172" si="403">SUM(DC171,BK171:BL171,AC171,AQ171)</f>
        <v>0</v>
      </c>
      <c r="BN171" s="239">
        <f>COUNT(AK171)</f>
        <v>0</v>
      </c>
      <c r="BO171" s="239">
        <f>COUNT(AY171)</f>
        <v>0</v>
      </c>
      <c r="BP171" s="239">
        <f>IF(BN173=0,0,1)</f>
        <v>0</v>
      </c>
      <c r="BQ171" s="260">
        <f>IF(AL171="",0,IF(AL171&gt;2,1,0))</f>
        <v>0</v>
      </c>
      <c r="BR171" s="261">
        <f>IF(AZ171="",0,IF(AZ171&gt;2,1,0))</f>
        <v>0</v>
      </c>
      <c r="BS171" s="262">
        <f>IF(AJ171=9,IF(AK171&lt;141,1,0),0)</f>
        <v>0</v>
      </c>
      <c r="BT171" s="263">
        <f>IF(AX171=9,IF(AY171&lt;141,1,0),0)</f>
        <v>0</v>
      </c>
      <c r="BU171" s="242">
        <f>IF(H171,G171,0)</f>
        <v>0</v>
      </c>
      <c r="BV171" s="238">
        <f>IF(BU171&gt;0,AJ171/3,0)</f>
        <v>0</v>
      </c>
      <c r="BW171" s="238">
        <f>ROUNDUP(BV171,0)</f>
        <v>0</v>
      </c>
      <c r="BX171" s="244">
        <f>IF(MOD(BW171,2)=0,BW171,BW171+1)</f>
        <v>0</v>
      </c>
      <c r="BY171" s="238">
        <f>IF(AJ171&lt;9,"",SUM(BX171-BW171))</f>
        <v>0</v>
      </c>
      <c r="BZ171" s="238">
        <f>IF(BY171=1,AK171,0)</f>
        <v>0</v>
      </c>
      <c r="CA171" s="243" t="str">
        <f>IF(BY171=0,AK171,0)</f>
        <v/>
      </c>
      <c r="CB171" s="238"/>
      <c r="CC171" s="238"/>
      <c r="CD171" s="242">
        <f>IF(W171,V171,0)</f>
        <v>0</v>
      </c>
      <c r="CE171" s="238">
        <f>IF(CD171&gt;0,AX171/3,0)</f>
        <v>0</v>
      </c>
      <c r="CF171" s="238">
        <f>ROUNDUP(CE171,0)</f>
        <v>0</v>
      </c>
      <c r="CG171" s="244">
        <f>IF(MOD(CF171,2)=0,CF171,CF171+1)</f>
        <v>0</v>
      </c>
      <c r="CH171" s="238">
        <f>IF(AX171&lt;9,"",SUM(CG171-CF171))</f>
        <v>0</v>
      </c>
      <c r="CI171" s="238">
        <f>IF(CH171=1,AY171,0)</f>
        <v>0</v>
      </c>
      <c r="CJ171" s="243" t="str">
        <f>IF(CH171=0,AY171,0)</f>
        <v/>
      </c>
      <c r="CK171" s="238"/>
      <c r="CL171" s="245">
        <f>IF(COUNT(F171,H171)=1,0,1)</f>
        <v>1</v>
      </c>
      <c r="CM171" s="245">
        <f>IF(COUNT(F171,U171)=1,0,1)</f>
        <v>1</v>
      </c>
      <c r="CN171" s="245">
        <f>IF(COUNT(H171,W171)=1,0,1)</f>
        <v>1</v>
      </c>
      <c r="CO171" s="245">
        <f>IF(COUNT(G171,V171)=2,0,1)</f>
        <v>1</v>
      </c>
      <c r="CP171" s="245">
        <f>IF(COUNT(U171,W171)=1,0,1)</f>
        <v>1</v>
      </c>
      <c r="CQ171" s="245">
        <f>IF(SUM(G171-V171)&gt;3,1,0)</f>
        <v>0</v>
      </c>
      <c r="CR171" s="245">
        <f>IF(SUM(G171-V171)&lt;-3,1,0)</f>
        <v>0</v>
      </c>
      <c r="CS171" s="264">
        <f>IF(AJ171=9,IF(AH171&lt;141,1,0),IF(AH171="",0,IF(AH171&gt;1,0,1)))</f>
        <v>0</v>
      </c>
      <c r="CT171" s="264">
        <f>IF(AX171=9,IF(AV171&lt;141,1,0),IF(AV171="",0,IF(AV171&gt;1,0,1)))</f>
        <v>0</v>
      </c>
      <c r="CU171" s="264">
        <f>IF(AI171="",0,IF(AI171&lt;502,0,1))</f>
        <v>0</v>
      </c>
      <c r="CV171" s="264">
        <f>IF(AW171="",0,IF(AW171&lt;502,0,1))</f>
        <v>0</v>
      </c>
      <c r="CW171" s="264">
        <f>IF(AI171="",IF(AJ171&lt;9,1,0),IF(AJ171&lt;9,1,0))</f>
        <v>0</v>
      </c>
      <c r="CX171" s="264">
        <f>IF(AW171="",IF(AX171&lt;9,1,0),IF(AX171&lt;9,1,0))</f>
        <v>0</v>
      </c>
      <c r="CY171" s="374"/>
      <c r="CZ171" s="374"/>
      <c r="DA171" s="374"/>
      <c r="DB171" s="374"/>
      <c r="DC171" s="265">
        <f>IF(AJ171="",0,SUM(CL171:CX171))</f>
        <v>0</v>
      </c>
      <c r="DD171" s="265">
        <f>IF(AJ171="",0,SUM(CL171,CS171,CU171,CW171))</f>
        <v>0</v>
      </c>
      <c r="DE171" s="265">
        <f>IF(AJ171="",0,SUM(CP171,CT171,CV171,CX171))</f>
        <v>0</v>
      </c>
      <c r="DF171" s="238"/>
      <c r="DG171" s="248">
        <f>SUM(G171-V171)</f>
        <v>0</v>
      </c>
      <c r="DH171" s="245">
        <f>IF(F171="",0,1)</f>
        <v>0</v>
      </c>
      <c r="DI171" s="245">
        <f t="shared" ref="DI171:DI174" si="404">IF(DG171=0,DH171,DG171)</f>
        <v>0</v>
      </c>
      <c r="DJ171" s="245">
        <f t="shared" ref="DJ171:DJ174" si="405">SIGN(DI171)</f>
        <v>0</v>
      </c>
      <c r="DK171" s="245" t="str">
        <f>IF(G171="","",IF(DJ171=1,"*",""))</f>
        <v/>
      </c>
      <c r="DL171" s="245" t="str">
        <f>IF(G171="","",IF(DJ171=-1,"*",IF(DJ171=0,"*","")))</f>
        <v/>
      </c>
      <c r="DM171" s="245">
        <v>2</v>
      </c>
      <c r="DN171" s="245" t="str">
        <f t="shared" ref="DN171:DN174" si="406">CONCATENATE(DM171,DK171)</f>
        <v>2</v>
      </c>
      <c r="DO171" s="245" t="str">
        <f t="shared" ref="DO171:DO174" si="407">CONCATENATE(DM171,DL171)</f>
        <v>2</v>
      </c>
      <c r="DP171" s="245">
        <f>SUM(DQ170)</f>
        <v>0</v>
      </c>
      <c r="DQ171" s="245">
        <f>SUM(DP170)</f>
        <v>0</v>
      </c>
      <c r="DR171" s="245">
        <f>IF(DK171="*",1,0)</f>
        <v>0</v>
      </c>
      <c r="DS171" s="245">
        <f>IF(DL171="*",1,0)</f>
        <v>0</v>
      </c>
      <c r="DT171" s="245">
        <f>IF(H161="",0,IF(DP171=DR171,1,0))</f>
        <v>0</v>
      </c>
      <c r="DU171" s="245">
        <f>IF(V171="",0,IF(DQ171=DS171,0,1))</f>
        <v>0</v>
      </c>
      <c r="DV171" s="267">
        <f>SUM(DT171)</f>
        <v>0</v>
      </c>
      <c r="DW171" s="267">
        <f>IF(V171="",0,SUM(DU171))</f>
        <v>0</v>
      </c>
      <c r="DX171" s="238">
        <f>IF(AK171="",0,1)</f>
        <v>0</v>
      </c>
      <c r="DY171" s="238">
        <f>IF(DG171=-3,1,0)</f>
        <v>0</v>
      </c>
      <c r="DZ171" s="238">
        <f>SUM(DX171:DY171)</f>
        <v>0</v>
      </c>
      <c r="EA171" s="238">
        <f>IF(AK171="",1,0)</f>
        <v>1</v>
      </c>
      <c r="EB171" s="238">
        <f>IF(DG171=3,1,0)</f>
        <v>0</v>
      </c>
      <c r="EC171" s="238">
        <f>SUM(EA171:EB171)</f>
        <v>1</v>
      </c>
      <c r="ED171" s="267">
        <f>IF(EC171=2,1,0)</f>
        <v>0</v>
      </c>
      <c r="EE171" s="267">
        <f>IF(DZ171=2,1,0)</f>
        <v>0</v>
      </c>
      <c r="EG171" s="166"/>
      <c r="EH171" s="238"/>
      <c r="EI171" s="238"/>
      <c r="EJ171" s="238"/>
      <c r="EK171" s="238"/>
      <c r="EL171" s="238"/>
      <c r="EM171" s="245">
        <f>IF(AK171="",0,1)</f>
        <v>0</v>
      </c>
      <c r="EN171" s="245">
        <f>SUM(AK171)</f>
        <v>0</v>
      </c>
      <c r="EO171" s="268">
        <f>SUM(AJ171)</f>
        <v>0</v>
      </c>
      <c r="EP171" s="268">
        <f>SUM(G171/3)</f>
        <v>0</v>
      </c>
      <c r="EQ171" s="268" t="e">
        <f>SUM(EO171/EP171)</f>
        <v>#DIV/0!</v>
      </c>
      <c r="ER171" s="268">
        <f>ROUNDDOWN(EP171,0)</f>
        <v>0</v>
      </c>
      <c r="ES171" s="268">
        <f>SUM(EO171,-ER171*3)</f>
        <v>0</v>
      </c>
      <c r="ET171" s="269" t="b">
        <f>MOD(EN171/1,2)=0</f>
        <v>1</v>
      </c>
      <c r="EU171" s="245">
        <f>IF(ET171=FALSE,1,0)</f>
        <v>0</v>
      </c>
      <c r="EV171" s="245">
        <f>IF(EN171=50,0,IF(EN171&lt;40,1,0))</f>
        <v>1</v>
      </c>
      <c r="EW171" s="245">
        <f>SUM(EU171:EV171)</f>
        <v>1</v>
      </c>
      <c r="EX171" s="267">
        <f>IF(EN171=1,1,IF(EN171=50,0,IF(ES171=1,IF(EN171&gt;40,1,0),0)))</f>
        <v>0</v>
      </c>
      <c r="EY171" s="267">
        <f>IF(ES171=1,IF(EW171=2,1,0),0)+EX171+FB171+FE171</f>
        <v>0</v>
      </c>
      <c r="EZ171" s="245">
        <f>IF(EN171=109,1,IF(EN171=108,1,IF(EN171=106,1,IF(EN171=105,1,IF(EN171=103,1,IF(EN171=102,1,IF(EN171=99,1,0)))))))</f>
        <v>0</v>
      </c>
      <c r="FA171" s="245">
        <f>IF(EN171&gt;110,1,0)</f>
        <v>0</v>
      </c>
      <c r="FB171" s="267">
        <f>IF(ES171=2,SUM(EZ171:FA171),0)</f>
        <v>0</v>
      </c>
      <c r="FC171" s="245">
        <f>IF(EN171=159,1,IF(EN171=162,1,IF(EN171=163,1,IF(EN171=165,1,IF(EN171=166,1,IF(EN171=168,1,IF(EN171=169,1,0)))))))</f>
        <v>0</v>
      </c>
      <c r="FD171" s="245">
        <f>IF(EN171&gt;170,1,0)</f>
        <v>0</v>
      </c>
      <c r="FE171" s="267">
        <f>IF(ES171=0,SUM(FC171:FD171),0)</f>
        <v>0</v>
      </c>
      <c r="FF171" s="251">
        <f t="shared" ref="FF171:FF174" si="408">IF(AJ171="",0,IF(AI171="",0,IF(EO171/ER171-3=0,0,1)))</f>
        <v>0</v>
      </c>
      <c r="FG171" s="238"/>
      <c r="FH171" s="245">
        <f>IF(AY171="",0,1)</f>
        <v>0</v>
      </c>
      <c r="FI171" s="245">
        <f>SUM(AY171)</f>
        <v>0</v>
      </c>
      <c r="FJ171" s="268">
        <f>SUM(AX171)</f>
        <v>0</v>
      </c>
      <c r="FK171" s="268">
        <f>SUM(V171/3)</f>
        <v>0</v>
      </c>
      <c r="FL171" s="268" t="e">
        <f>SUM(FJ171/FK171)</f>
        <v>#DIV/0!</v>
      </c>
      <c r="FM171" s="268">
        <f>ROUNDDOWN(FK171,0)</f>
        <v>0</v>
      </c>
      <c r="FN171" s="268">
        <f>SUM(FJ171,-FM171*3)</f>
        <v>0</v>
      </c>
      <c r="FO171" s="269" t="b">
        <f>MOD(FI171/1,2)=0</f>
        <v>1</v>
      </c>
      <c r="FP171" s="245">
        <f>IF(FO171=FALSE,1,0)</f>
        <v>0</v>
      </c>
      <c r="FQ171" s="245">
        <f>IF(FI171=50,0,IF(FI171&lt;40,1,0))</f>
        <v>1</v>
      </c>
      <c r="FR171" s="245">
        <f>SUM(FP171:FQ171)</f>
        <v>1</v>
      </c>
      <c r="FS171" s="267">
        <f>IF(FI171=1,1,IF(FI171=50,0,IF(FN171=1,IF(FI171&gt;40,1,0),0)))</f>
        <v>0</v>
      </c>
      <c r="FT171" s="267">
        <f>IF(FN171=1,IF(FR171=2,1,0),0)+FS171+FW171+FZ171</f>
        <v>0</v>
      </c>
      <c r="FU171" s="245">
        <f>IF(FI171=109,1,IF(FI171=108,1,IF(FI171=106,1,IF(FI171=105,1,IF(FI171=103,1,IF(FI171=102,1,IF(FI171=99,1,0)))))))</f>
        <v>0</v>
      </c>
      <c r="FV171" s="245">
        <f>IF(FI171&gt;110,1,0)</f>
        <v>0</v>
      </c>
      <c r="FW171" s="267">
        <f>IF(FN171=2,SUM(FU171:FV171),0)</f>
        <v>0</v>
      </c>
      <c r="FX171" s="245">
        <f>IF(FI171=159,1,IF(FI171=162,1,IF(FI171=163,1,IF(FI171=165,1,IF(FI171=166,1,IF(FI171=168,1,IF(FI171=169,1,0)))))))</f>
        <v>0</v>
      </c>
      <c r="FY171" s="245">
        <f>IF(FI171&gt;170,1,0)</f>
        <v>0</v>
      </c>
      <c r="FZ171" s="267">
        <f>IF(FN171=0,SUM(FX171:FY171),0)</f>
        <v>0</v>
      </c>
      <c r="GA171" s="251">
        <f t="shared" ref="GA171:GA174" si="409">IF(AX171="",0,IF(AW171="",0,IF(FJ171/FM171-3=0,0,1)))</f>
        <v>0</v>
      </c>
      <c r="GC171" s="238" t="str">
        <f>VLOOKUP(AH167,Chema!BL:BR,2,FALSE)</f>
        <v>HD 1.4</v>
      </c>
      <c r="GD171" s="341">
        <f>IF(E177="FORFAIT",1,0)</f>
        <v>0</v>
      </c>
      <c r="GE171" s="343" t="str">
        <f>IF(C177="","",SUM(C177))</f>
        <v/>
      </c>
      <c r="GF171" s="344">
        <f>SUM(AH170)</f>
        <v>0</v>
      </c>
      <c r="GG171" s="344">
        <f>SUM(AJ170)</f>
        <v>0</v>
      </c>
      <c r="GH171" s="344">
        <f t="shared" ref="GH171" si="410">SUM(AK170)</f>
        <v>0</v>
      </c>
      <c r="GI171" s="344">
        <f t="shared" ref="GI171" si="411">SUM(AL170)</f>
        <v>0</v>
      </c>
      <c r="GJ171" s="344">
        <f>SUM(AH171)</f>
        <v>0</v>
      </c>
      <c r="GK171" s="344">
        <f>SUM(AJ171)</f>
        <v>0</v>
      </c>
      <c r="GL171" s="344">
        <f>SUM(AK171)</f>
        <v>0</v>
      </c>
      <c r="GM171" s="344">
        <f>SUM(AL171)</f>
        <v>0</v>
      </c>
      <c r="GN171" s="344">
        <f>SUM(AH172)</f>
        <v>0</v>
      </c>
      <c r="GO171" s="344">
        <f>SUM(AJ172)</f>
        <v>0</v>
      </c>
      <c r="GP171" s="344">
        <f>SUM(AK172)</f>
        <v>0</v>
      </c>
      <c r="GQ171" s="344">
        <f>SUM(AL172)</f>
        <v>0</v>
      </c>
      <c r="GR171" s="344">
        <f>SUM(AH173)</f>
        <v>0</v>
      </c>
      <c r="GS171" s="344">
        <f>SUM(AJ173)</f>
        <v>0</v>
      </c>
      <c r="GT171" s="344">
        <f>SUM(AK173)</f>
        <v>0</v>
      </c>
      <c r="GU171" s="344">
        <f>SUM(AL173)</f>
        <v>0</v>
      </c>
      <c r="GV171" s="344">
        <f>SUM(AH174)</f>
        <v>0</v>
      </c>
      <c r="GW171" s="344">
        <f>SUM(AJ174)</f>
        <v>0</v>
      </c>
      <c r="GX171" s="344">
        <f>SUM(AK174)</f>
        <v>0</v>
      </c>
      <c r="GY171" s="344">
        <f>SUM(AL174)</f>
        <v>0</v>
      </c>
      <c r="GZ171" s="344">
        <f>SUM(GF171,GJ171,GN171,GR171,GV171)</f>
        <v>0</v>
      </c>
      <c r="HA171" s="344">
        <f t="shared" ref="HA171" si="412">SUM(GG171,GK171,GO171,GS171,GW171)</f>
        <v>0</v>
      </c>
      <c r="HB171" s="344" t="str">
        <f>IF(GD170=1,L177,MAX(GH171,GL171,GP171,GT171,GX171))</f>
        <v/>
      </c>
      <c r="HC171" s="344">
        <f>IF(GD170=1,I177,SUM(GI171,GM171,GQ171,GU171,GY171))</f>
        <v>0</v>
      </c>
      <c r="HD171" s="345">
        <f>IF(GD170=1,0,SUM(GF171,GJ171,GN171,GR171,GV171))</f>
        <v>0</v>
      </c>
      <c r="HE171" s="345">
        <f>IF(GD170=1,0,SUM(GG171,GK171,GO171,GS171,GW171))</f>
        <v>0</v>
      </c>
      <c r="HF171" s="341">
        <f>IF(GD170=1,0,MIN(HI171,HJ171,HK171,HL171,HM171))</f>
        <v>0</v>
      </c>
      <c r="HG171" s="341">
        <f>IF(HF171=0,0,COUNTIF(HI171:HM171,HF171))</f>
        <v>0</v>
      </c>
      <c r="HH171" s="341">
        <f>SUM(GH172,GL172,GP172,GT172,GX172)</f>
        <v>0</v>
      </c>
      <c r="HI171" s="343" t="str">
        <f>IF(GH172=1,GG171,"")</f>
        <v/>
      </c>
      <c r="HJ171" s="343" t="str">
        <f>IF(GL172=1,GK171,"")</f>
        <v/>
      </c>
      <c r="HK171" s="343" t="str">
        <f>IF(GP172=1,GO171,"")</f>
        <v/>
      </c>
      <c r="HL171" s="343" t="str">
        <f>IF(GT172=1,GS171,"")</f>
        <v/>
      </c>
      <c r="HM171" s="343" t="str">
        <f>IF(GX172=1,GW171,"")</f>
        <v/>
      </c>
      <c r="HN171" s="341"/>
      <c r="HO171" s="341" t="s">
        <v>928</v>
      </c>
      <c r="HP171" s="341" t="s">
        <v>982</v>
      </c>
      <c r="HQ171" s="341" t="s">
        <v>983</v>
      </c>
      <c r="HR171" s="341" t="s">
        <v>984</v>
      </c>
      <c r="HS171" s="238" t="s">
        <v>932</v>
      </c>
      <c r="HT171" s="238" t="s">
        <v>933</v>
      </c>
      <c r="HU171" s="238" t="s">
        <v>985</v>
      </c>
      <c r="HV171" s="238" t="s">
        <v>986</v>
      </c>
      <c r="HW171" s="238" t="str">
        <f>IFERROR(IF(GD170=0,SUM(HZ172:IA172),""),"")</f>
        <v/>
      </c>
      <c r="HY171" s="238"/>
      <c r="HZ171" s="238" t="s">
        <v>1132</v>
      </c>
      <c r="IA171" s="238" t="s">
        <v>1133</v>
      </c>
      <c r="IB171" s="238" t="s">
        <v>1132</v>
      </c>
      <c r="IC171" s="238" t="s">
        <v>1133</v>
      </c>
      <c r="ID171" s="238"/>
    </row>
    <row r="172" spans="1:238" s="234" customFormat="1" ht="20.100000000000001" customHeight="1">
      <c r="A172" s="235"/>
      <c r="B172" s="231">
        <f>COUNT(AJ173,AJ172)</f>
        <v>0</v>
      </c>
      <c r="C172" s="235"/>
      <c r="D172" s="271" t="str">
        <f>REPT(DN172,1)</f>
        <v>3</v>
      </c>
      <c r="E172" s="254" t="str">
        <f>REPT(AH172,1)</f>
        <v/>
      </c>
      <c r="F172" s="168"/>
      <c r="G172" s="168"/>
      <c r="H172" s="168"/>
      <c r="I172" s="169"/>
      <c r="J172" s="270" t="str">
        <f t="shared" ref="J172:J173" si="413">REPT(AM172,1)</f>
        <v/>
      </c>
      <c r="L172" s="312">
        <f>SUM(L170*3)</f>
        <v>0</v>
      </c>
      <c r="M172" s="307"/>
      <c r="N172" s="270" t="str">
        <f>REPT(AP172,1)</f>
        <v/>
      </c>
      <c r="P172" s="312">
        <f>SUM(P170*3)</f>
        <v>0</v>
      </c>
      <c r="Q172" s="310"/>
      <c r="R172" s="235"/>
      <c r="S172" s="271" t="str">
        <f>REPT(DO172,1)</f>
        <v>3</v>
      </c>
      <c r="T172" s="254" t="str">
        <f>REPT(AV172,1)</f>
        <v/>
      </c>
      <c r="U172" s="168"/>
      <c r="V172" s="168"/>
      <c r="W172" s="168"/>
      <c r="X172" s="169"/>
      <c r="Y172" s="270" t="str">
        <f t="shared" si="396"/>
        <v/>
      </c>
      <c r="Z172" s="308"/>
      <c r="AB172" s="234">
        <f>IF(AY172="",0,IF(AY172&lt;2,1,""))</f>
        <v>0</v>
      </c>
      <c r="AC172" s="238">
        <f t="shared" si="397"/>
        <v>0</v>
      </c>
      <c r="AD172" s="256">
        <f t="shared" si="398"/>
        <v>0</v>
      </c>
      <c r="AE172" s="256">
        <f t="shared" si="392"/>
        <v>0</v>
      </c>
      <c r="AF172" s="256">
        <f t="shared" si="393"/>
        <v>0</v>
      </c>
      <c r="AG172" s="256">
        <f t="shared" si="399"/>
        <v>0</v>
      </c>
      <c r="AH172" s="257" t="str">
        <f>IF(AK172="",IF(AI172="","",IF(AI172="",501,501-AI172)),501)</f>
        <v/>
      </c>
      <c r="AI172" s="256" t="str">
        <f>IF(F172&gt;1,F172,IF(F172=0,"",IF(F172="","","")))</f>
        <v/>
      </c>
      <c r="AJ172" s="256" t="str">
        <f>IF(G172&gt;8,G172,IF(G172="","",""))</f>
        <v/>
      </c>
      <c r="AK172" s="256" t="str">
        <f>IF(H172&gt;1,H172,IF(H172="","",""))</f>
        <v/>
      </c>
      <c r="AL172" s="256" t="str">
        <f>IF(I172&gt;0,I172,IF(I172="","",""))</f>
        <v/>
      </c>
      <c r="AM172" s="258" t="str">
        <f>IF(BK172=0,"","X")</f>
        <v/>
      </c>
      <c r="AN172" s="237"/>
      <c r="AO172" s="237"/>
      <c r="AP172" s="258" t="str">
        <f>IF(BM172=0,"","X")</f>
        <v/>
      </c>
      <c r="AQ172" s="236">
        <f t="shared" si="400"/>
        <v>0</v>
      </c>
      <c r="AR172" s="256">
        <f t="shared" si="401"/>
        <v>0</v>
      </c>
      <c r="AS172" s="256">
        <f t="shared" si="394"/>
        <v>0</v>
      </c>
      <c r="AT172" s="256">
        <f t="shared" si="395"/>
        <v>0</v>
      </c>
      <c r="AU172" s="256">
        <f t="shared" si="402"/>
        <v>0</v>
      </c>
      <c r="AV172" s="257" t="str">
        <f>IF(AY172="",IF(AW172="","",IF(AW172="",501,501-AW172)),501)</f>
        <v/>
      </c>
      <c r="AW172" s="256" t="str">
        <f>IF(U172&gt;1,U172,IF(U172=0,"",IF(U172="","","")))</f>
        <v/>
      </c>
      <c r="AX172" s="256" t="str">
        <f>IF(V172&gt;8,V172,IF(V172="","",""))</f>
        <v/>
      </c>
      <c r="AY172" s="256" t="str">
        <f>IF(W172&gt;1,W172,IF(W172="","",""))</f>
        <v/>
      </c>
      <c r="AZ172" s="256" t="str">
        <f>IF(X172&gt;0,X172,IF(X172="","",""))</f>
        <v/>
      </c>
      <c r="BA172" s="258" t="str">
        <f>IF(BL172=0,"","X")</f>
        <v/>
      </c>
      <c r="BK172" s="251">
        <f>SUM(DD172,DV172,EY172,ED172,FF172,BQ172,BS172,AC172,BK179)</f>
        <v>0</v>
      </c>
      <c r="BL172" s="251">
        <f>SUM(DE172,DW172,EE172,FT172,GA172,BR172,BT172,AQ172,BL179,CZ172)</f>
        <v>0</v>
      </c>
      <c r="BM172" s="259">
        <f t="shared" si="403"/>
        <v>0</v>
      </c>
      <c r="BN172" s="239">
        <f>COUNT(AK172)</f>
        <v>0</v>
      </c>
      <c r="BO172" s="239">
        <f>COUNT(AY172)</f>
        <v>0</v>
      </c>
      <c r="BP172" s="239">
        <f>IF(BN174=0,0,1)</f>
        <v>0</v>
      </c>
      <c r="BQ172" s="260">
        <f>IF(AL172="",0,IF(AL172&gt;2,1,0))</f>
        <v>0</v>
      </c>
      <c r="BR172" s="261">
        <f>IF(AZ172="",0,IF(AZ172&gt;2,1,0))</f>
        <v>0</v>
      </c>
      <c r="BS172" s="262">
        <f>IF(AJ172=9,IF(AK172&lt;141,1,0),0)</f>
        <v>0</v>
      </c>
      <c r="BT172" s="263">
        <f>IF(AX172=9,IF(AY172&lt;141,1,0),0)</f>
        <v>0</v>
      </c>
      <c r="BU172" s="242">
        <f>IF(H172,G172,0)</f>
        <v>0</v>
      </c>
      <c r="BV172" s="238">
        <f>IF(BU172&gt;0,AJ172/3,0)</f>
        <v>0</v>
      </c>
      <c r="BW172" s="238">
        <f>ROUNDUP(BV172,0)</f>
        <v>0</v>
      </c>
      <c r="BX172" s="244">
        <f>IF(MOD(BW172,2)=0,BW172,BW172+1)</f>
        <v>0</v>
      </c>
      <c r="BY172" s="238">
        <f>IF(AJ172&lt;9,"",SUM(BX172-BW172))</f>
        <v>0</v>
      </c>
      <c r="BZ172" s="238">
        <f>IF(BY172=1,AK172,0)</f>
        <v>0</v>
      </c>
      <c r="CA172" s="243" t="str">
        <f>IF(BY172=0,AK172,0)</f>
        <v/>
      </c>
      <c r="CB172" s="238"/>
      <c r="CC172" s="238"/>
      <c r="CD172" s="242">
        <f>IF(W172,V172,0)</f>
        <v>0</v>
      </c>
      <c r="CE172" s="238">
        <f>IF(CD172&gt;0,AX172/3,0)</f>
        <v>0</v>
      </c>
      <c r="CF172" s="238">
        <f>ROUNDUP(CE172,0)</f>
        <v>0</v>
      </c>
      <c r="CG172" s="244">
        <f>IF(MOD(CF172,2)=0,CF172,CF172+1)</f>
        <v>0</v>
      </c>
      <c r="CH172" s="238">
        <f>IF(AX172&lt;9,"",SUM(CG172-CF172))</f>
        <v>0</v>
      </c>
      <c r="CI172" s="238">
        <f>IF(CH172=1,AY172,0)</f>
        <v>0</v>
      </c>
      <c r="CJ172" s="243" t="str">
        <f>IF(CH172=0,AY172,0)</f>
        <v/>
      </c>
      <c r="CK172" s="238"/>
      <c r="CL172" s="245">
        <f>IF(COUNT(F172,H172)=1,0,1)</f>
        <v>1</v>
      </c>
      <c r="CM172" s="245">
        <f>IF(COUNT(F172,U172)=1,0,1)</f>
        <v>1</v>
      </c>
      <c r="CN172" s="245">
        <f>IF(COUNT(H172,W172)=1,0,1)</f>
        <v>1</v>
      </c>
      <c r="CO172" s="245">
        <f>IF(COUNT(G172,V172)=2,0,1)</f>
        <v>1</v>
      </c>
      <c r="CP172" s="245">
        <f>IF(COUNT(U172,W172)=1,0,1)</f>
        <v>1</v>
      </c>
      <c r="CQ172" s="245">
        <f>IF(SUM(G172-V172)&gt;3,1,0)</f>
        <v>0</v>
      </c>
      <c r="CR172" s="245">
        <f>IF(SUM(G172-V172)&lt;-3,1,0)</f>
        <v>0</v>
      </c>
      <c r="CS172" s="264">
        <f>IF(AJ172=9,IF(AH172&lt;141,1,0),IF(AH172="",0,IF(AH172&gt;1,0,1)))</f>
        <v>0</v>
      </c>
      <c r="CT172" s="264">
        <f>IF(AX172=9,IF(AV172&lt;141,1,0),IF(AV172="",0,IF(AV172&gt;1,0,1)))</f>
        <v>0</v>
      </c>
      <c r="CU172" s="264">
        <f>IF(AI172="",0,IF(AI172&lt;502,0,1))</f>
        <v>0</v>
      </c>
      <c r="CV172" s="264">
        <f>IF(AW172="",0,IF(AW172&lt;502,0,1))</f>
        <v>0</v>
      </c>
      <c r="CW172" s="264">
        <f>IF(AI172="",IF(AJ172&lt;9,1,0),IF(AJ172&lt;9,1,0))</f>
        <v>0</v>
      </c>
      <c r="CX172" s="264">
        <f>IF(AW172="",IF(AX172&lt;9,1,0),IF(AX172&lt;9,1,0))</f>
        <v>0</v>
      </c>
      <c r="CY172" s="374">
        <f>COUNT(U170,U171,U172)</f>
        <v>0</v>
      </c>
      <c r="CZ172" s="375">
        <f>IF(AL167=3,IF(CY172&gt;2,1,0),0)</f>
        <v>0</v>
      </c>
      <c r="DA172" s="374"/>
      <c r="DB172" s="374"/>
      <c r="DC172" s="265">
        <f>IF(AJ172="",0,SUM(CL172:CX172))</f>
        <v>0</v>
      </c>
      <c r="DD172" s="265">
        <f>IF(AJ172="",0,SUM(CL172,CS172,CU172,CW172))</f>
        <v>0</v>
      </c>
      <c r="DE172" s="265">
        <f>IF(AJ172="",0,SUM(CP172,CT172,CV172,CX172))</f>
        <v>0</v>
      </c>
      <c r="DF172" s="238"/>
      <c r="DG172" s="248">
        <f>SUM(G172-V172)</f>
        <v>0</v>
      </c>
      <c r="DH172" s="245">
        <f>IF(F172="",0,1)</f>
        <v>0</v>
      </c>
      <c r="DI172" s="245">
        <f t="shared" si="404"/>
        <v>0</v>
      </c>
      <c r="DJ172" s="245">
        <f t="shared" si="405"/>
        <v>0</v>
      </c>
      <c r="DK172" s="245" t="str">
        <f>IF(G172="","",IF(DJ172=1,"*",""))</f>
        <v/>
      </c>
      <c r="DL172" s="245" t="str">
        <f>IF(G172="","",IF(DJ172=-1,"*",IF(DJ172=0,"*","")))</f>
        <v/>
      </c>
      <c r="DM172" s="245">
        <v>3</v>
      </c>
      <c r="DN172" s="245" t="str">
        <f t="shared" si="406"/>
        <v>3</v>
      </c>
      <c r="DO172" s="245" t="str">
        <f t="shared" si="407"/>
        <v>3</v>
      </c>
      <c r="DP172" s="245">
        <f>SUM(DP170)</f>
        <v>0</v>
      </c>
      <c r="DQ172" s="245">
        <f>SUM(DQ170)</f>
        <v>0</v>
      </c>
      <c r="DR172" s="245">
        <f t="shared" ref="DR172:DR174" si="414">IF(DK172="*",1,0)</f>
        <v>0</v>
      </c>
      <c r="DS172" s="245">
        <f t="shared" ref="DS172:DS174" si="415">IF(DL172="*",1,0)</f>
        <v>0</v>
      </c>
      <c r="DT172" s="245">
        <f t="shared" ref="DT172:DT174" si="416">IF(H162="",0,IF(DP172=DR172,1,0))</f>
        <v>0</v>
      </c>
      <c r="DU172" s="245">
        <f>IF(V172="",0,IF(DQ172=DS172,0,1))</f>
        <v>0</v>
      </c>
      <c r="DV172" s="267">
        <f t="shared" ref="DV172:DV174" si="417">SUM(DT172)</f>
        <v>0</v>
      </c>
      <c r="DW172" s="267">
        <f>IF(V172="",0,SUM(DU172))</f>
        <v>0</v>
      </c>
      <c r="DX172" s="238">
        <f>IF(AK172="",0,1)</f>
        <v>0</v>
      </c>
      <c r="DY172" s="238">
        <f>IF(DG172=-3,1,0)</f>
        <v>0</v>
      </c>
      <c r="DZ172" s="238">
        <f>SUM(DX172:DY172)</f>
        <v>0</v>
      </c>
      <c r="EA172" s="238">
        <f>IF(AK172="",1,0)</f>
        <v>1</v>
      </c>
      <c r="EB172" s="238">
        <f>IF(DG172=3,1,0)</f>
        <v>0</v>
      </c>
      <c r="EC172" s="238">
        <f>SUM(EA172:EB172)</f>
        <v>1</v>
      </c>
      <c r="ED172" s="267">
        <f>IF(EC172=2,1,0)</f>
        <v>0</v>
      </c>
      <c r="EE172" s="267">
        <f>IF(DZ172=2,1,0)</f>
        <v>0</v>
      </c>
      <c r="EG172" s="166"/>
      <c r="EH172" s="238"/>
      <c r="EI172" s="238"/>
      <c r="EJ172" s="238"/>
      <c r="EK172" s="238"/>
      <c r="EL172" s="238"/>
      <c r="EM172" s="245">
        <f>IF(AK172="",0,1)</f>
        <v>0</v>
      </c>
      <c r="EN172" s="245">
        <f>SUM(AK172)</f>
        <v>0</v>
      </c>
      <c r="EO172" s="268">
        <f>SUM(AJ172)</f>
        <v>0</v>
      </c>
      <c r="EP172" s="268">
        <f>SUM(G172/3)</f>
        <v>0</v>
      </c>
      <c r="EQ172" s="268" t="e">
        <f>SUM(EO172/EP172)</f>
        <v>#DIV/0!</v>
      </c>
      <c r="ER172" s="268">
        <f>ROUNDDOWN(EP172,0)</f>
        <v>0</v>
      </c>
      <c r="ES172" s="268">
        <f>SUM(EO172,-ER172*3)</f>
        <v>0</v>
      </c>
      <c r="ET172" s="269" t="b">
        <f>MOD(EN172/1,2)=0</f>
        <v>1</v>
      </c>
      <c r="EU172" s="245">
        <f>IF(ET172=FALSE,1,0)</f>
        <v>0</v>
      </c>
      <c r="EV172" s="245">
        <f>IF(EN172=50,0,IF(EN172&lt;40,1,0))</f>
        <v>1</v>
      </c>
      <c r="EW172" s="245">
        <f>SUM(EU172:EV172)</f>
        <v>1</v>
      </c>
      <c r="EX172" s="267">
        <f>IF(EN172=1,1,IF(EN172=50,0,IF(ES172=1,IF(EN172&gt;40,1,0),0)))</f>
        <v>0</v>
      </c>
      <c r="EY172" s="267">
        <f>IF(ES172=1,IF(EW172=2,1,0),0)+EX172+FB172+FE172</f>
        <v>0</v>
      </c>
      <c r="EZ172" s="245">
        <f>IF(EN172=109,1,IF(EN172=108,1,IF(EN172=106,1,IF(EN172=105,1,IF(EN172=103,1,IF(EN172=102,1,IF(EN172=99,1,0)))))))</f>
        <v>0</v>
      </c>
      <c r="FA172" s="245">
        <f>IF(EN172&gt;110,1,0)</f>
        <v>0</v>
      </c>
      <c r="FB172" s="267">
        <f>IF(ES172=2,SUM(EZ172:FA172),0)</f>
        <v>0</v>
      </c>
      <c r="FC172" s="245">
        <f>IF(EN172=159,1,IF(EN172=162,1,IF(EN172=163,1,IF(EN172=165,1,IF(EN172=166,1,IF(EN172=168,1,IF(EN172=169,1,0)))))))</f>
        <v>0</v>
      </c>
      <c r="FD172" s="245">
        <f>IF(EN172&gt;170,1,0)</f>
        <v>0</v>
      </c>
      <c r="FE172" s="267">
        <f>IF(ES172=0,SUM(FC172:FD172),0)</f>
        <v>0</v>
      </c>
      <c r="FF172" s="251">
        <f t="shared" si="408"/>
        <v>0</v>
      </c>
      <c r="FG172" s="238"/>
      <c r="FH172" s="245">
        <f>IF(AY172="",0,1)</f>
        <v>0</v>
      </c>
      <c r="FI172" s="245">
        <f>SUM(AY172)</f>
        <v>0</v>
      </c>
      <c r="FJ172" s="268">
        <f>SUM(AX172)</f>
        <v>0</v>
      </c>
      <c r="FK172" s="268">
        <f>SUM(V172/3)</f>
        <v>0</v>
      </c>
      <c r="FL172" s="268" t="e">
        <f>SUM(FJ172/FK172)</f>
        <v>#DIV/0!</v>
      </c>
      <c r="FM172" s="268">
        <f>ROUNDDOWN(FK172,0)</f>
        <v>0</v>
      </c>
      <c r="FN172" s="268">
        <f>SUM(FJ172,-FM172*3)</f>
        <v>0</v>
      </c>
      <c r="FO172" s="269" t="b">
        <f>MOD(FI172/1,2)=0</f>
        <v>1</v>
      </c>
      <c r="FP172" s="245">
        <f>IF(FO172=FALSE,1,0)</f>
        <v>0</v>
      </c>
      <c r="FQ172" s="245">
        <f>IF(FI172=50,0,IF(FI172&lt;40,1,0))</f>
        <v>1</v>
      </c>
      <c r="FR172" s="245">
        <f>SUM(FP172:FQ172)</f>
        <v>1</v>
      </c>
      <c r="FS172" s="267">
        <f>IF(FI172=1,1,IF(FI172=50,0,IF(FN172=1,IF(FI172&gt;40,1,0),0)))</f>
        <v>0</v>
      </c>
      <c r="FT172" s="267">
        <f>IF(FN172=1,IF(FR172=2,1,0),0)+FS172+FW172+FZ172</f>
        <v>0</v>
      </c>
      <c r="FU172" s="245">
        <f>IF(FI172=109,1,IF(FI172=108,1,IF(FI172=106,1,IF(FI172=105,1,IF(FI172=103,1,IF(FI172=102,1,IF(FI172=99,1,0)))))))</f>
        <v>0</v>
      </c>
      <c r="FV172" s="245">
        <f>IF(FI172&gt;110,1,0)</f>
        <v>0</v>
      </c>
      <c r="FW172" s="267">
        <f>IF(FN172=2,SUM(FU172:FV172),0)</f>
        <v>0</v>
      </c>
      <c r="FX172" s="245">
        <f>IF(FI172=159,1,IF(FI172=162,1,IF(FI172=163,1,IF(FI172=165,1,IF(FI172=166,1,IF(FI172=168,1,IF(FI172=169,1,0)))))))</f>
        <v>0</v>
      </c>
      <c r="FY172" s="245">
        <f>IF(FI172&gt;170,1,0)</f>
        <v>0</v>
      </c>
      <c r="FZ172" s="267">
        <f>IF(FN172=0,SUM(FX172:FY172),0)</f>
        <v>0</v>
      </c>
      <c r="GA172" s="251">
        <f t="shared" si="409"/>
        <v>0</v>
      </c>
      <c r="GC172" s="238" t="str">
        <f>VLOOKUP(AH167,Chema!BL:BR,3,FALSE)</f>
        <v>HD 1.4.2</v>
      </c>
      <c r="GD172" s="341"/>
      <c r="GE172" s="343" t="str">
        <f>IF(C178="","",SUM(C178))</f>
        <v/>
      </c>
      <c r="GF172" s="346"/>
      <c r="GG172" s="340"/>
      <c r="GH172" s="343">
        <f>IF(GH171&gt;0,1,0)</f>
        <v>0</v>
      </c>
      <c r="GI172" s="346"/>
      <c r="GJ172" s="343"/>
      <c r="GK172" s="340"/>
      <c r="GL172" s="343">
        <f>IF(GL171&gt;0,1,0)</f>
        <v>0</v>
      </c>
      <c r="GM172" s="343"/>
      <c r="GN172" s="343"/>
      <c r="GO172" s="340"/>
      <c r="GP172" s="343">
        <f>IF(GP171&gt;0,1,0)</f>
        <v>0</v>
      </c>
      <c r="GQ172" s="343"/>
      <c r="GR172" s="343"/>
      <c r="GS172" s="340"/>
      <c r="GT172" s="343">
        <f>IF(GT171&gt;0,1,0)</f>
        <v>0</v>
      </c>
      <c r="GU172" s="343"/>
      <c r="GV172" s="343"/>
      <c r="GW172" s="340"/>
      <c r="GX172" s="343">
        <f>IF(GX171&gt;0,1,0)</f>
        <v>0</v>
      </c>
      <c r="GY172" s="343"/>
      <c r="GZ172" s="343"/>
      <c r="HA172" s="343"/>
      <c r="HB172" s="343" t="str">
        <f>IF(GD170=1,L178,"")</f>
        <v/>
      </c>
      <c r="HC172" s="343">
        <f>IF(GD170=1,I178,"")</f>
        <v>0</v>
      </c>
      <c r="HD172" s="345"/>
      <c r="HE172" s="340"/>
      <c r="HF172" s="340"/>
      <c r="HG172" s="347">
        <f>IF(GE171="",0,IF(AL167=3,2,IF(AL167=5,3,0)))</f>
        <v>0</v>
      </c>
      <c r="HH172" s="347">
        <f>IF(HK172=0,0,IF(HG174=0,0,1))</f>
        <v>0</v>
      </c>
      <c r="HI172" s="340"/>
      <c r="HJ172" s="340"/>
      <c r="HK172" s="340">
        <f>SUM(HM170,HM174)</f>
        <v>0</v>
      </c>
      <c r="HL172" s="340">
        <f>IF(HK172=0,0,IF(HM170=HG172,1,0))</f>
        <v>0</v>
      </c>
      <c r="HM172" s="340">
        <f>IF(HK172=0,0,IF(HM174=HG172,1,0))</f>
        <v>0</v>
      </c>
      <c r="HN172" s="341" t="str">
        <f>REPT(N167,1)</f>
        <v>Spiel 12</v>
      </c>
      <c r="HO172" s="348" t="str">
        <f>IF(HK172=0,"",IF(HH172=0,SUM(HH171),""))</f>
        <v/>
      </c>
      <c r="HP172" s="348" t="str">
        <f>IF(HK172=0,"",IF(HH172=0,SUM(HH173),""))</f>
        <v/>
      </c>
      <c r="HQ172" s="348" t="e">
        <f>IF(HH172=0,SUM(GZ171/HA171),"")</f>
        <v>#DIV/0!</v>
      </c>
      <c r="HR172" s="348" t="e">
        <f>IF(HH172=0,SUM(GZ173/HA173),"")</f>
        <v>#DIV/0!</v>
      </c>
      <c r="HS172" s="238" t="str">
        <f>REPT(DK170,1)</f>
        <v/>
      </c>
      <c r="HT172" s="238" t="str">
        <f>REPT(DL170,1)</f>
        <v/>
      </c>
      <c r="HU172" s="238">
        <f>IF(HH172=0,HL172,"")</f>
        <v>0</v>
      </c>
      <c r="HV172" s="238">
        <f>IF(HH172=0,HM172,"")</f>
        <v>0</v>
      </c>
      <c r="HW172" s="238" t="s">
        <v>1131</v>
      </c>
      <c r="HY172" s="238"/>
      <c r="HZ172" s="238" t="str">
        <f>IF(AL167=5,IF(HU172=1,SUM(HO172*2-HP172),HO172+HP172-2),"")</f>
        <v/>
      </c>
      <c r="IA172" s="238" t="e">
        <f>IF(AL167=3,IF(HU172=1,SUM(HO172-HP172+3),HO172+HP172-1),"")</f>
        <v>#VALUE!</v>
      </c>
      <c r="IB172" s="238" t="str">
        <f>IF(AL167=5,IF(HV172=1,SUM(HP172*2-HO172),HO172+HP172-2),"")</f>
        <v/>
      </c>
      <c r="IC172" s="238" t="e">
        <f>IF(AL167=3,IF(HV172=1,SUM(HP172-HO172+3),HO172+HP172-1),"")</f>
        <v>#VALUE!</v>
      </c>
      <c r="ID172" s="238">
        <f>SUM(BM176)</f>
        <v>0</v>
      </c>
    </row>
    <row r="173" spans="1:238" s="234" customFormat="1" ht="20.100000000000001" customHeight="1">
      <c r="A173" s="235"/>
      <c r="B173" s="231">
        <f>COUNT(AJ174,AJ173)</f>
        <v>0</v>
      </c>
      <c r="C173" s="235"/>
      <c r="D173" s="328" t="str">
        <f>REPT(DN173,1)</f>
        <v>4</v>
      </c>
      <c r="E173" s="329" t="str">
        <f>REPT(AH173,1)</f>
        <v/>
      </c>
      <c r="F173" s="330"/>
      <c r="G173" s="330"/>
      <c r="H173" s="330"/>
      <c r="I173" s="331"/>
      <c r="J173" s="270" t="str">
        <f t="shared" si="413"/>
        <v/>
      </c>
      <c r="M173" s="311"/>
      <c r="N173" s="270" t="str">
        <f>REPT(AP173,1)</f>
        <v/>
      </c>
      <c r="Q173" s="310"/>
      <c r="R173" s="235"/>
      <c r="S173" s="328" t="str">
        <f>REPT(DO173,1)</f>
        <v>4</v>
      </c>
      <c r="T173" s="329" t="str">
        <f>REPT(AV173,1)</f>
        <v/>
      </c>
      <c r="U173" s="330"/>
      <c r="V173" s="330"/>
      <c r="W173" s="330"/>
      <c r="X173" s="331"/>
      <c r="Y173" s="270" t="str">
        <f t="shared" si="396"/>
        <v/>
      </c>
      <c r="Z173" s="308"/>
      <c r="AA173" s="238">
        <f>SUM(AL167)</f>
        <v>3</v>
      </c>
      <c r="AB173" s="234">
        <f>IF(AY173="",0,IF(AY173&lt;2,1,""))</f>
        <v>0</v>
      </c>
      <c r="AC173" s="238">
        <f>IF(AL167=3,0,IF(AD173=1,1,IF(AD173=3,1,IF(AD173=2,0,IF(AD173=0,0,0)))))</f>
        <v>0</v>
      </c>
      <c r="AD173" s="256">
        <f t="shared" si="398"/>
        <v>0</v>
      </c>
      <c r="AE173" s="256">
        <f t="shared" si="392"/>
        <v>0</v>
      </c>
      <c r="AF173" s="256">
        <f t="shared" si="393"/>
        <v>0</v>
      </c>
      <c r="AG173" s="256">
        <f t="shared" si="399"/>
        <v>0</v>
      </c>
      <c r="AH173" s="257" t="str">
        <f>IF(AL167=3,"",IF(AK173="",IF(AI173="","",IF(AI173="",501,501-AI173)),501))</f>
        <v/>
      </c>
      <c r="AI173" s="256" t="str">
        <f>IF(AL167=3,"",IF(F173&gt;1,F173,IF(F173=0,"",IF(F173="","",""))))</f>
        <v/>
      </c>
      <c r="AJ173" s="256" t="str">
        <f>IF(AL167=3,"",IF(G173&gt;8,G173,IF(G173="","","")))</f>
        <v/>
      </c>
      <c r="AK173" s="256" t="str">
        <f>IF(AL167=3,"",IF(H173&gt;1,H173,IF(H173="","","")))</f>
        <v/>
      </c>
      <c r="AL173" s="256" t="str">
        <f>IF(AL167=3,"",IF(I173&gt;0,I173,IF(I173="","","")))</f>
        <v/>
      </c>
      <c r="AM173" s="258" t="str">
        <f>IF(BK173=0,"","X")</f>
        <v/>
      </c>
      <c r="AN173" s="237"/>
      <c r="AO173" s="237"/>
      <c r="AP173" s="258" t="str">
        <f>IF(BM173=0,"","X")</f>
        <v/>
      </c>
      <c r="AQ173" s="236">
        <f>IF(AL167=3,0,IF(AR173=1,1,IF(AR173=3,1,IF(AR173=2,0,IF(AR173=0,0,0)))))</f>
        <v>0</v>
      </c>
      <c r="AR173" s="256">
        <f t="shared" si="401"/>
        <v>0</v>
      </c>
      <c r="AS173" s="256">
        <f t="shared" si="394"/>
        <v>0</v>
      </c>
      <c r="AT173" s="256">
        <f t="shared" si="395"/>
        <v>0</v>
      </c>
      <c r="AU173" s="256">
        <f t="shared" si="402"/>
        <v>0</v>
      </c>
      <c r="AV173" s="257" t="str">
        <f>IF(AY173="",IF(AW173="","",IF(AW173="",501,501-AW173)),501)</f>
        <v/>
      </c>
      <c r="AW173" s="256" t="str">
        <f>IF(AL167=3,"",IF(U173&gt;1,U173,IF(U173=0,"",IF(U173="","",""))))</f>
        <v/>
      </c>
      <c r="AX173" s="256" t="str">
        <f>IF(AL167=3,"",IF(V173&gt;8,V173,IF(V173="","","")))</f>
        <v/>
      </c>
      <c r="AY173" s="256" t="str">
        <f>IF(AL167=3,"",IF(W173&gt;1,W173,IF(W173="","","")))</f>
        <v/>
      </c>
      <c r="AZ173" s="256" t="str">
        <f>IF(AL167=3,"",IF(X173&gt;0,X173,IF(X173="","","")))</f>
        <v/>
      </c>
      <c r="BA173" s="258" t="str">
        <f>IF(BL173=0,"","X")</f>
        <v/>
      </c>
      <c r="BK173" s="251">
        <f>IF(AL167=3,0,SUM(DD173,DV173,EY173,ED173,FF173,BQ173,BS173,AC173))</f>
        <v>0</v>
      </c>
      <c r="BL173" s="251">
        <f>IF(AL167=3,0,SUM(DE173,DW173,EE173,FT173,GA173,BR173,BT173,AQ173))</f>
        <v>0</v>
      </c>
      <c r="BM173" s="259">
        <f>IF(AL167=3,0,SUM(DC173,BK173:BL173,AC173,AQ173))</f>
        <v>0</v>
      </c>
      <c r="BN173" s="239">
        <f>COUNT(AK173)</f>
        <v>0</v>
      </c>
      <c r="BO173" s="239">
        <f>COUNT(AY173)</f>
        <v>0</v>
      </c>
      <c r="BP173" s="239">
        <f>IF(BZ175=0,0,1)</f>
        <v>0</v>
      </c>
      <c r="BQ173" s="260">
        <f>IF(AL173="",0,IF(AL173&gt;2,1,0))</f>
        <v>0</v>
      </c>
      <c r="BR173" s="261">
        <f>IF(AZ173="",0,IF(AZ173&gt;2,1,0))</f>
        <v>0</v>
      </c>
      <c r="BS173" s="262">
        <f>IF(AJ173=9,IF(AK173&lt;141,1,0),0)</f>
        <v>0</v>
      </c>
      <c r="BT173" s="263">
        <f>IF(AX173=9,IF(AY173&lt;141,1,0),0)</f>
        <v>0</v>
      </c>
      <c r="BU173" s="242">
        <f>IF(AL167=3,0,IF(H173,G173,0))</f>
        <v>0</v>
      </c>
      <c r="BV173" s="238">
        <f>IF(BU173&gt;0,AJ173/3,0)</f>
        <v>0</v>
      </c>
      <c r="BW173" s="238">
        <f>ROUNDUP(BV173,0)</f>
        <v>0</v>
      </c>
      <c r="BX173" s="244">
        <f>IF(MOD(BW173,2)=0,BW173,BW173+1)</f>
        <v>0</v>
      </c>
      <c r="BY173" s="238">
        <f>IF(AJ173&lt;9,"",SUM(BX173-BW173))</f>
        <v>0</v>
      </c>
      <c r="BZ173" s="238">
        <f>IF(BY173=1,AK173,0)</f>
        <v>0</v>
      </c>
      <c r="CA173" s="243" t="str">
        <f>IF(BY173=0,AK173,0)</f>
        <v/>
      </c>
      <c r="CB173" s="238"/>
      <c r="CC173" s="238"/>
      <c r="CD173" s="242">
        <f>IF(AL167=3,0,IF(W173,V173,0))</f>
        <v>0</v>
      </c>
      <c r="CE173" s="238">
        <f>IF(CD173&gt;0,AX173/3,0)</f>
        <v>0</v>
      </c>
      <c r="CF173" s="238">
        <f>ROUNDUP(CE173,0)</f>
        <v>0</v>
      </c>
      <c r="CG173" s="244">
        <f>IF(MOD(CF173,2)=0,CF173,CF173+1)</f>
        <v>0</v>
      </c>
      <c r="CH173" s="238">
        <f>IF(AX173&lt;9,"",SUM(CG173-CF173))</f>
        <v>0</v>
      </c>
      <c r="CI173" s="238">
        <f>IF(CH173=1,AY173,0)</f>
        <v>0</v>
      </c>
      <c r="CJ173" s="243" t="str">
        <f>IF(CH173=0,AY173,0)</f>
        <v/>
      </c>
      <c r="CK173" s="238"/>
      <c r="CL173" s="245">
        <f>IF(COUNT(F173,H173)=1,0,1)</f>
        <v>1</v>
      </c>
      <c r="CM173" s="245">
        <f>IF(COUNT(F173,U173)=1,0,1)</f>
        <v>1</v>
      </c>
      <c r="CN173" s="245">
        <f>IF(COUNT(H173,W173)=1,0,1)</f>
        <v>1</v>
      </c>
      <c r="CO173" s="245">
        <f>IF(COUNT(G173,V173)=2,0,1)</f>
        <v>1</v>
      </c>
      <c r="CP173" s="245">
        <f>IF(COUNT(U173,W173)=1,0,1)</f>
        <v>1</v>
      </c>
      <c r="CQ173" s="245">
        <f>IF(SUM(G173-V173)&gt;3,1,0)</f>
        <v>0</v>
      </c>
      <c r="CR173" s="245">
        <f>IF(SUM(G173-V173)&lt;-3,1,0)</f>
        <v>0</v>
      </c>
      <c r="CS173" s="264">
        <f>IF(AJ173=9,IF(AH173&lt;141,1,0),IF(AH173="",0,IF(AH173&gt;1,0,1)))</f>
        <v>0</v>
      </c>
      <c r="CT173" s="264">
        <f>IF(AX173=9,IF(AV173&lt;141,1,0),IF(AV173="",0,IF(AV173&gt;1,0,1)))</f>
        <v>0</v>
      </c>
      <c r="CU173" s="264">
        <f>IF(AI173="",0,IF(AI173&lt;502,0,1))</f>
        <v>0</v>
      </c>
      <c r="CV173" s="264">
        <f>IF(AW173="",0,IF(AW173&lt;502,0,1))</f>
        <v>0</v>
      </c>
      <c r="CW173" s="264">
        <f>IF(AI173="",IF(AJ173&lt;9,1,0),IF(AJ173&lt;9,1,0))</f>
        <v>0</v>
      </c>
      <c r="CX173" s="264">
        <f>IF(AW173="",IF(AX173&lt;9,1,0),IF(AX173&lt;9,1,0))</f>
        <v>0</v>
      </c>
      <c r="CY173" s="374"/>
      <c r="CZ173" s="374"/>
      <c r="DA173" s="374"/>
      <c r="DB173" s="374"/>
      <c r="DC173" s="265">
        <f>IF(AJ173="",0,SUM(CL173:CX173))</f>
        <v>0</v>
      </c>
      <c r="DD173" s="265">
        <f>IF(AJ173="",0,SUM(CL173,CS173,CU173,CW173))</f>
        <v>0</v>
      </c>
      <c r="DE173" s="265">
        <f>IF(AJ173="",0,SUM(CP173,CT173,CV173,CX173))</f>
        <v>0</v>
      </c>
      <c r="DF173" s="238"/>
      <c r="DG173" s="248">
        <f>IF(AL167=3,0,SUM(G173-V173))</f>
        <v>0</v>
      </c>
      <c r="DH173" s="245">
        <f>IF(F173="",0,1)</f>
        <v>0</v>
      </c>
      <c r="DI173" s="245">
        <f t="shared" si="404"/>
        <v>0</v>
      </c>
      <c r="DJ173" s="245">
        <f t="shared" si="405"/>
        <v>0</v>
      </c>
      <c r="DK173" s="245" t="str">
        <f>IF(G173="","",IF(DJ173=1,"*",""))</f>
        <v/>
      </c>
      <c r="DL173" s="245" t="str">
        <f>IF(AL167=3,"",IF(G173="","",IF(DJ173=-1,"*",IF(DJ173=0,"*",""))))</f>
        <v/>
      </c>
      <c r="DM173" s="245">
        <v>4</v>
      </c>
      <c r="DN173" s="245" t="str">
        <f t="shared" si="406"/>
        <v>4</v>
      </c>
      <c r="DO173" s="245" t="str">
        <f t="shared" si="407"/>
        <v>4</v>
      </c>
      <c r="DP173" s="245">
        <f>SUM(DQ170)</f>
        <v>0</v>
      </c>
      <c r="DQ173" s="245">
        <f>SUM(DP170)</f>
        <v>0</v>
      </c>
      <c r="DR173" s="245">
        <f t="shared" si="414"/>
        <v>0</v>
      </c>
      <c r="DS173" s="245">
        <f t="shared" si="415"/>
        <v>0</v>
      </c>
      <c r="DT173" s="245">
        <f t="shared" si="416"/>
        <v>0</v>
      </c>
      <c r="DU173" s="245">
        <f>IF(V173="",0,IF(DQ173=DS173,0,1))</f>
        <v>0</v>
      </c>
      <c r="DV173" s="267">
        <f t="shared" si="417"/>
        <v>0</v>
      </c>
      <c r="DW173" s="267">
        <f>IF(V173="",0,SUM(DU173))</f>
        <v>0</v>
      </c>
      <c r="DX173" s="238">
        <f>IF(AK173="",0,1)</f>
        <v>0</v>
      </c>
      <c r="DY173" s="238">
        <f>IF(DG173=-3,1,0)</f>
        <v>0</v>
      </c>
      <c r="DZ173" s="238">
        <f>SUM(DX173:DY173)</f>
        <v>0</v>
      </c>
      <c r="EA173" s="238">
        <f>IF(AK173="",1,0)</f>
        <v>1</v>
      </c>
      <c r="EB173" s="238">
        <f>IF(DG173=3,1,0)</f>
        <v>0</v>
      </c>
      <c r="EC173" s="238">
        <f>SUM(EA173:EB173)</f>
        <v>1</v>
      </c>
      <c r="ED173" s="267">
        <f>IF(EC173=2,1,0)</f>
        <v>0</v>
      </c>
      <c r="EE173" s="267">
        <f>IF(DZ173=2,1,0)</f>
        <v>0</v>
      </c>
      <c r="EG173" s="166"/>
      <c r="EH173" s="238"/>
      <c r="EI173" s="238"/>
      <c r="EJ173" s="238"/>
      <c r="EK173" s="238"/>
      <c r="EL173" s="238"/>
      <c r="EM173" s="245">
        <f>IF(AK173="",0,1)</f>
        <v>0</v>
      </c>
      <c r="EN173" s="245">
        <f>SUM(AK173)</f>
        <v>0</v>
      </c>
      <c r="EO173" s="268">
        <f>SUM(AJ173)</f>
        <v>0</v>
      </c>
      <c r="EP173" s="268">
        <f>SUM(G173/3)</f>
        <v>0</v>
      </c>
      <c r="EQ173" s="268" t="e">
        <f>SUM(EO173/EP173)</f>
        <v>#DIV/0!</v>
      </c>
      <c r="ER173" s="268">
        <f>ROUNDDOWN(EP173,0)</f>
        <v>0</v>
      </c>
      <c r="ES173" s="268">
        <f>SUM(EO173,-ER173*3)</f>
        <v>0</v>
      </c>
      <c r="ET173" s="269" t="b">
        <f>MOD(EN173/1,2)=0</f>
        <v>1</v>
      </c>
      <c r="EU173" s="245">
        <f>IF(ET173=FALSE,1,0)</f>
        <v>0</v>
      </c>
      <c r="EV173" s="245">
        <f>IF(EN173=50,0,IF(EN173&lt;40,1,0))</f>
        <v>1</v>
      </c>
      <c r="EW173" s="245">
        <f>SUM(EU173:EV173)</f>
        <v>1</v>
      </c>
      <c r="EX173" s="267">
        <f>IF(EN173=1,1,IF(EN173=50,0,IF(ES173=1,IF(EN173&gt;40,1,0),0)))</f>
        <v>0</v>
      </c>
      <c r="EY173" s="267">
        <f>IF(ES173=1,IF(EW173=2,1,0),0)+EX173+FB173+FE173</f>
        <v>0</v>
      </c>
      <c r="EZ173" s="245">
        <f>IF(EN173=109,1,IF(EN173=108,1,IF(EN173=106,1,IF(EN173=105,1,IF(EN173=103,1,IF(EN173=102,1,IF(EN173=99,1,0)))))))</f>
        <v>0</v>
      </c>
      <c r="FA173" s="245">
        <f>IF(EN173&gt;110,1,0)</f>
        <v>0</v>
      </c>
      <c r="FB173" s="267">
        <f>IF(ES173=2,SUM(EZ173:FA173),0)</f>
        <v>0</v>
      </c>
      <c r="FC173" s="245">
        <f>IF(EN173=159,1,IF(EN173=162,1,IF(EN173=163,1,IF(EN173=165,1,IF(EN173=166,1,IF(EN173=168,1,IF(EN173=169,1,0)))))))</f>
        <v>0</v>
      </c>
      <c r="FD173" s="245">
        <f>IF(EN173&gt;170,1,0)</f>
        <v>0</v>
      </c>
      <c r="FE173" s="267">
        <f>IF(ES173=0,SUM(FC173:FD173),0)</f>
        <v>0</v>
      </c>
      <c r="FF173" s="251">
        <f t="shared" si="408"/>
        <v>0</v>
      </c>
      <c r="FG173" s="238"/>
      <c r="FH173" s="245">
        <f>IF(AY173="",0,1)</f>
        <v>0</v>
      </c>
      <c r="FI173" s="245">
        <f>SUM(AY173)</f>
        <v>0</v>
      </c>
      <c r="FJ173" s="268">
        <f>SUM(AX173)</f>
        <v>0</v>
      </c>
      <c r="FK173" s="268">
        <f>SUM(V173/3)</f>
        <v>0</v>
      </c>
      <c r="FL173" s="268" t="e">
        <f>SUM(FJ173/FK173)</f>
        <v>#DIV/0!</v>
      </c>
      <c r="FM173" s="268">
        <f>ROUNDDOWN(FK173,0)</f>
        <v>0</v>
      </c>
      <c r="FN173" s="268">
        <f>SUM(FJ173,-FM173*3)</f>
        <v>0</v>
      </c>
      <c r="FO173" s="269" t="b">
        <f>MOD(FI173/1,2)=0</f>
        <v>1</v>
      </c>
      <c r="FP173" s="245">
        <f>IF(FO173=FALSE,1,0)</f>
        <v>0</v>
      </c>
      <c r="FQ173" s="245">
        <f>IF(FI173=50,0,IF(FI173&lt;40,1,0))</f>
        <v>1</v>
      </c>
      <c r="FR173" s="245">
        <f>SUM(FP173:FQ173)</f>
        <v>1</v>
      </c>
      <c r="FS173" s="267">
        <f>IF(FI173=1,1,IF(FI173=50,0,IF(FN173=1,IF(FI173&gt;40,1,0),0)))</f>
        <v>0</v>
      </c>
      <c r="FT173" s="267">
        <f>IF(FN173=1,IF(FR173=2,1,0),0)+FS173+FW173+FZ173</f>
        <v>0</v>
      </c>
      <c r="FU173" s="245">
        <f>IF(FI173=109,1,IF(FI173=108,1,IF(FI173=106,1,IF(FI173=105,1,IF(FI173=103,1,IF(FI173=102,1,IF(FI173=99,1,0)))))))</f>
        <v>0</v>
      </c>
      <c r="FV173" s="245">
        <f>IF(FI173&gt;110,1,0)</f>
        <v>0</v>
      </c>
      <c r="FW173" s="267">
        <f>IF(FN173=2,SUM(FU173:FV173),0)</f>
        <v>0</v>
      </c>
      <c r="FX173" s="245">
        <f>IF(FI173=159,1,IF(FI173=162,1,IF(FI173=163,1,IF(FI173=165,1,IF(FI173=166,1,IF(FI173=168,1,IF(FI173=169,1,0)))))))</f>
        <v>0</v>
      </c>
      <c r="FY173" s="245">
        <f>IF(FI173&gt;170,1,0)</f>
        <v>0</v>
      </c>
      <c r="FZ173" s="267">
        <f>IF(FN173=0,SUM(FX173:FY173),0)</f>
        <v>0</v>
      </c>
      <c r="GA173" s="251">
        <f t="shared" si="409"/>
        <v>0</v>
      </c>
      <c r="GC173" s="238" t="str">
        <f>VLOOKUP(AH167,Chema!BL:BR,4,FALSE)</f>
        <v>GD 1.4</v>
      </c>
      <c r="GD173" s="341">
        <f>IF(T177="FORFAIT",1,0)</f>
        <v>0</v>
      </c>
      <c r="GE173" s="343" t="str">
        <f>IF(R177="","",SUM(R177))</f>
        <v/>
      </c>
      <c r="GF173" s="344">
        <f>SUM(AV170)</f>
        <v>0</v>
      </c>
      <c r="GG173" s="344">
        <f>SUM(AX170)</f>
        <v>0</v>
      </c>
      <c r="GH173" s="344">
        <f t="shared" ref="GH173" si="418">SUM(AY170)</f>
        <v>0</v>
      </c>
      <c r="GI173" s="344">
        <f t="shared" ref="GI173" si="419">SUM(AZ170)</f>
        <v>0</v>
      </c>
      <c r="GJ173" s="344">
        <f>SUM(AV171)</f>
        <v>0</v>
      </c>
      <c r="GK173" s="344">
        <f>SUM(AX171)</f>
        <v>0</v>
      </c>
      <c r="GL173" s="344">
        <f>SUM(AY171)</f>
        <v>0</v>
      </c>
      <c r="GM173" s="344">
        <f>SUM(AZ171)</f>
        <v>0</v>
      </c>
      <c r="GN173" s="344">
        <f>SUM(AV172)</f>
        <v>0</v>
      </c>
      <c r="GO173" s="344">
        <f>SUM(AX172)</f>
        <v>0</v>
      </c>
      <c r="GP173" s="344">
        <f>SUM(AY172)</f>
        <v>0</v>
      </c>
      <c r="GQ173" s="344">
        <f>SUM(AZ172)</f>
        <v>0</v>
      </c>
      <c r="GR173" s="344">
        <f>SUM(AV173)</f>
        <v>0</v>
      </c>
      <c r="GS173" s="344">
        <f>SUM(AX173)</f>
        <v>0</v>
      </c>
      <c r="GT173" s="344">
        <f>SUM(AY173)</f>
        <v>0</v>
      </c>
      <c r="GU173" s="344">
        <f>SUM(AZ173)</f>
        <v>0</v>
      </c>
      <c r="GV173" s="344">
        <f>SUM(AV174)</f>
        <v>0</v>
      </c>
      <c r="GW173" s="344">
        <f>SUM(AX174)</f>
        <v>0</v>
      </c>
      <c r="GX173" s="344">
        <f>SUM(AY174)</f>
        <v>0</v>
      </c>
      <c r="GY173" s="344">
        <f>SUM(AZ174)</f>
        <v>0</v>
      </c>
      <c r="GZ173" s="344">
        <f>SUM(GF173,GJ173,GN173,GR173,GV173)</f>
        <v>0</v>
      </c>
      <c r="HA173" s="344">
        <f t="shared" ref="HA173" si="420">SUM(GG173,GK173,GO173,GS173,GW173)</f>
        <v>0</v>
      </c>
      <c r="HB173" s="344" t="str">
        <f>IF(GD170=1,P177,MAX(GH173,GL173,GP173,GT173,GX173))</f>
        <v/>
      </c>
      <c r="HC173" s="344">
        <f>IF(GD170=1,X177,SUM(GI173,GM173,GQ173,GU173,GY173))</f>
        <v>0</v>
      </c>
      <c r="HD173" s="345">
        <f>IF(GD170=1,0,SUM(GF173,GJ173,GN173,GR173,GV173))</f>
        <v>0</v>
      </c>
      <c r="HE173" s="345">
        <f>IF(GD170=1,0,SUM(GG173,GK173,GO173,GS173,GW173))</f>
        <v>0</v>
      </c>
      <c r="HF173" s="341">
        <f>IF(GD170=1,0,MIN(HI173,HJ173,HK173,HL173,HM173))</f>
        <v>0</v>
      </c>
      <c r="HG173" s="341">
        <f>IF(HF173=0,0,COUNTIF(HI173:HM173,HF173))</f>
        <v>0</v>
      </c>
      <c r="HH173" s="341">
        <f>SUM(GH174,GL174,GP174,GT174,GX174)</f>
        <v>0</v>
      </c>
      <c r="HI173" s="343" t="str">
        <f>IF(GH174=1,GG173,"")</f>
        <v/>
      </c>
      <c r="HJ173" s="343" t="str">
        <f>IF(GL174=1,GK173,"")</f>
        <v/>
      </c>
      <c r="HK173" s="343" t="str">
        <f>IF(GP174=1,GO173,"")</f>
        <v/>
      </c>
      <c r="HL173" s="343" t="str">
        <f>IF(GT174=1,GS173,"")</f>
        <v/>
      </c>
      <c r="HM173" s="343" t="str">
        <f>IF(GX174=1,GW173,"")</f>
        <v/>
      </c>
      <c r="HN173" s="341"/>
      <c r="HO173" s="341"/>
      <c r="HP173" s="341"/>
      <c r="HQ173" s="341"/>
      <c r="HR173" s="341"/>
      <c r="HS173" s="238"/>
      <c r="HT173" s="238"/>
      <c r="HU173" s="238"/>
      <c r="HV173" s="238"/>
      <c r="HW173" s="238" t="str">
        <f>IFERROR(IF(GD170=0,SUM(IB172:IC172),""),"")</f>
        <v/>
      </c>
      <c r="HY173" s="238"/>
      <c r="ID173" s="238"/>
    </row>
    <row r="174" spans="1:238" s="234" customFormat="1" ht="20.100000000000001" customHeight="1">
      <c r="A174" s="235"/>
      <c r="B174" s="231">
        <f>COUNT(AJ175,AJ174)</f>
        <v>1</v>
      </c>
      <c r="C174" s="235"/>
      <c r="D174" s="271" t="str">
        <f>REPT(DN174,1)</f>
        <v>5</v>
      </c>
      <c r="E174" s="254" t="str">
        <f>REPT(AH174,1)</f>
        <v/>
      </c>
      <c r="F174" s="168"/>
      <c r="G174" s="168"/>
      <c r="H174" s="168"/>
      <c r="I174" s="169"/>
      <c r="J174" s="272" t="str">
        <f>REPT(AM174,1)</f>
        <v/>
      </c>
      <c r="L174" s="310"/>
      <c r="M174" s="310"/>
      <c r="N174" s="272" t="str">
        <f>REPT(AP174,1)</f>
        <v/>
      </c>
      <c r="O174" s="118"/>
      <c r="Q174" s="310"/>
      <c r="R174" s="235"/>
      <c r="S174" s="271" t="str">
        <f>REPT(DO174,1)</f>
        <v>5</v>
      </c>
      <c r="T174" s="254" t="str">
        <f>REPT(AV174,1)</f>
        <v/>
      </c>
      <c r="U174" s="168"/>
      <c r="V174" s="168"/>
      <c r="W174" s="168"/>
      <c r="X174" s="169"/>
      <c r="Y174" s="272" t="str">
        <f>REPT(BA174,1)</f>
        <v/>
      </c>
      <c r="Z174" s="308"/>
      <c r="AA174" s="238">
        <f>SUM(AL167)</f>
        <v>3</v>
      </c>
      <c r="AB174" s="234">
        <f>IF(AY174="",0,IF(AY174&lt;2,1,""))</f>
        <v>0</v>
      </c>
      <c r="AC174" s="238">
        <f>IF(AL167=3,0,IF(AD174=1,1,IF(AD174=3,1,IF(AD174=2,0,IF(AD174=0,0,0)))))</f>
        <v>0</v>
      </c>
      <c r="AD174" s="256">
        <f t="shared" si="398"/>
        <v>0</v>
      </c>
      <c r="AE174" s="256">
        <f t="shared" si="392"/>
        <v>0</v>
      </c>
      <c r="AF174" s="256">
        <f t="shared" si="393"/>
        <v>0</v>
      </c>
      <c r="AG174" s="256">
        <f t="shared" si="399"/>
        <v>0</v>
      </c>
      <c r="AH174" s="257" t="str">
        <f>IF(AL167=3,"",IF(AK174="",IF(AI174="","",IF(AI174="",501,501-AI174)),501))</f>
        <v/>
      </c>
      <c r="AI174" s="256" t="str">
        <f>IF(AL167=3,"",IF(F174&gt;1,F174,IF(F174=0,"",IF(F174="","",""))))</f>
        <v/>
      </c>
      <c r="AJ174" s="256" t="str">
        <f>IF(AL167=3,"",IF(G174&gt;8,G174,IF(G174="","","")))</f>
        <v/>
      </c>
      <c r="AK174" s="256" t="str">
        <f>IF(AL167=3,"",IF(H174&gt;1,H174,IF(H174="","","")))</f>
        <v/>
      </c>
      <c r="AL174" s="256" t="str">
        <f>IF(AL167=3,"",IF(I174&gt;0,I174,IF(I174="","","")))</f>
        <v/>
      </c>
      <c r="AM174" s="258" t="str">
        <f>IF(BK174=0,"","X")</f>
        <v/>
      </c>
      <c r="AN174" s="237"/>
      <c r="AO174" s="237"/>
      <c r="AP174" s="258" t="str">
        <f>IF(BM174=0,"","X")</f>
        <v/>
      </c>
      <c r="AQ174" s="236">
        <f>IF(AL167=3,0,IF(AR174=1,1,IF(AR174=3,1,IF(AR174=2,0,IF(AR174=0,0,0)))))</f>
        <v>0</v>
      </c>
      <c r="AR174" s="256">
        <f t="shared" si="401"/>
        <v>0</v>
      </c>
      <c r="AS174" s="256">
        <f t="shared" si="394"/>
        <v>0</v>
      </c>
      <c r="AT174" s="256">
        <f t="shared" si="395"/>
        <v>0</v>
      </c>
      <c r="AU174" s="256">
        <f t="shared" si="402"/>
        <v>0</v>
      </c>
      <c r="AV174" s="257" t="str">
        <f>IF(AY174="",IF(AW174="","",IF(AW174="",501,501-AW174)),501)</f>
        <v/>
      </c>
      <c r="AW174" s="256" t="str">
        <f>IF(AL167=3,"",IF(U174&gt;1,U174,IF(U174=0,"",IF(U174="","",""))))</f>
        <v/>
      </c>
      <c r="AX174" s="256" t="str">
        <f>IF(AL167=3,"",IF(V174&gt;8,V174,IF(V174="","","")))</f>
        <v/>
      </c>
      <c r="AY174" s="256" t="str">
        <f>IF(AL167=3,"",IF(W174&gt;1,W174,IF(W174="","","")))</f>
        <v/>
      </c>
      <c r="AZ174" s="256" t="str">
        <f>IF(AL167=3,"",IF(X174&gt;0,X174,IF(X174="","","")))</f>
        <v/>
      </c>
      <c r="BA174" s="258" t="str">
        <f>IF(BL174=0,"","X")</f>
        <v/>
      </c>
      <c r="BK174" s="251">
        <f>IF(AL167=3,0,SUM(DD174,DV174,EY174,ED174,FF174,BQ174,BS174,AC174))</f>
        <v>0</v>
      </c>
      <c r="BL174" s="251">
        <f>SUM(DE174,DW174,EE174,FT174,GA174,BR174,BT174,AQ174)</f>
        <v>0</v>
      </c>
      <c r="BM174" s="259">
        <f>IF(AL167=3,0,SUM(DC174,BK174:BL174,AC174,AQ174))</f>
        <v>0</v>
      </c>
      <c r="BN174" s="239">
        <f>COUNT(AK174)</f>
        <v>0</v>
      </c>
      <c r="BO174" s="239">
        <f>COUNT(AY174)</f>
        <v>0</v>
      </c>
      <c r="BP174" s="239">
        <f>IF(BN176=0,0,1)</f>
        <v>0</v>
      </c>
      <c r="BQ174" s="260">
        <f>IF(AL174="",0,IF(AL174&gt;2,1,0))</f>
        <v>0</v>
      </c>
      <c r="BR174" s="261">
        <f>IF(AZ174="",0,IF(AZ174&gt;2,1,0))</f>
        <v>0</v>
      </c>
      <c r="BS174" s="262">
        <f>IF(AJ174=9,IF(AK174&lt;141,1,0),0)</f>
        <v>0</v>
      </c>
      <c r="BT174" s="263">
        <f>IF(AX174=9,IF(AY174&lt;141,1,0),0)</f>
        <v>0</v>
      </c>
      <c r="BU174" s="242">
        <f>IF(AL167=3,0,IF(H174,G174,0))</f>
        <v>0</v>
      </c>
      <c r="BV174" s="238">
        <f>IF(BU174&gt;0,AJ174/3,0)</f>
        <v>0</v>
      </c>
      <c r="BW174" s="238">
        <f>ROUNDUP(BV174,0)</f>
        <v>0</v>
      </c>
      <c r="BX174" s="244">
        <f>IF(MOD(BW174,2)=0,BW174,BW174+1)</f>
        <v>0</v>
      </c>
      <c r="BY174" s="238">
        <f>IF(AJ174&lt;9,"",SUM(BX174-BW174))</f>
        <v>0</v>
      </c>
      <c r="BZ174" s="238">
        <f>IF(BY174=1,AK174,0)</f>
        <v>0</v>
      </c>
      <c r="CA174" s="243" t="str">
        <f>IF(BY174=0,AK174,0)</f>
        <v/>
      </c>
      <c r="CB174" s="238"/>
      <c r="CC174" s="238"/>
      <c r="CD174" s="242">
        <f>IF(AL167=3,0,IF(W174,V174,0))</f>
        <v>0</v>
      </c>
      <c r="CE174" s="238">
        <f>IF(CD174&gt;0,AX174/3,0)</f>
        <v>0</v>
      </c>
      <c r="CF174" s="238">
        <f>ROUNDUP(CE174,0)</f>
        <v>0</v>
      </c>
      <c r="CG174" s="244">
        <f>IF(MOD(CF174,2)=0,CF174,CF174+1)</f>
        <v>0</v>
      </c>
      <c r="CH174" s="238">
        <f>IF(AX174&lt;9,"",SUM(CG174-CF174))</f>
        <v>0</v>
      </c>
      <c r="CI174" s="238">
        <f>IF(CH174=1,AY174,0)</f>
        <v>0</v>
      </c>
      <c r="CJ174" s="243" t="str">
        <f>IF(CH174=0,AY174,0)</f>
        <v/>
      </c>
      <c r="CK174" s="238"/>
      <c r="CL174" s="245">
        <f>IF(COUNT(F174,H174)=1,0,1)</f>
        <v>1</v>
      </c>
      <c r="CM174" s="245">
        <f>IF(COUNT(F174,U174)=1,0,1)</f>
        <v>1</v>
      </c>
      <c r="CN174" s="245">
        <f>IF(COUNT(H174,W174)=1,0,1)</f>
        <v>1</v>
      </c>
      <c r="CO174" s="245">
        <f>IF(COUNT(G174,V174)=2,0,1)</f>
        <v>1</v>
      </c>
      <c r="CP174" s="245">
        <f>IF(COUNT(U174,W174)=1,0,1)</f>
        <v>1</v>
      </c>
      <c r="CQ174" s="245">
        <f>IF(SUM(G174-V174)&gt;3,1,0)</f>
        <v>0</v>
      </c>
      <c r="CR174" s="245">
        <f>IF(SUM(G174-V174)&lt;-3,1,0)</f>
        <v>0</v>
      </c>
      <c r="CS174" s="264">
        <f>IF(AJ174=9,IF(AH174&lt;141,1,0),IF(AH174="",0,IF(AH174&gt;1,0,1)))</f>
        <v>0</v>
      </c>
      <c r="CT174" s="264">
        <f>IF(AX174=9,IF(AV174&lt;141,1,0),IF(AV174="",0,IF(AV174&gt;1,0,1)))</f>
        <v>0</v>
      </c>
      <c r="CU174" s="264">
        <f>IF(AI174="",0,IF(AI174&lt;502,0,1))</f>
        <v>0</v>
      </c>
      <c r="CV174" s="264">
        <f>IF(AW174="",0,IF(AW174&lt;502,0,1))</f>
        <v>0</v>
      </c>
      <c r="CW174" s="264">
        <f>IF(AI174="",IF(AJ174&lt;9,1,0),IF(AJ174&lt;9,1,0))</f>
        <v>0</v>
      </c>
      <c r="CX174" s="264">
        <f>IF(AW174="",IF(AX174&lt;9,1,0),IF(AX174&lt;9,1,0))</f>
        <v>0</v>
      </c>
      <c r="CY174" s="374"/>
      <c r="CZ174" s="374"/>
      <c r="DA174" s="374"/>
      <c r="DB174" s="374"/>
      <c r="DC174" s="265">
        <f>IF(AJ174="",0,SUM(CL174:CX174))</f>
        <v>0</v>
      </c>
      <c r="DD174" s="265">
        <f>IF(AJ174="",0,SUM(CL174,CS174,CU174,CW174))</f>
        <v>0</v>
      </c>
      <c r="DE174" s="265">
        <f>IF(AJ174="",0,SUM(CP174,CT174,CV174,CX174))</f>
        <v>0</v>
      </c>
      <c r="DF174" s="238"/>
      <c r="DG174" s="248">
        <f>IF(AL167=3,0,SUM(G174-V174))</f>
        <v>0</v>
      </c>
      <c r="DH174" s="245">
        <f>IF(F174="",0,1)</f>
        <v>0</v>
      </c>
      <c r="DI174" s="245">
        <f t="shared" si="404"/>
        <v>0</v>
      </c>
      <c r="DJ174" s="245">
        <f t="shared" si="405"/>
        <v>0</v>
      </c>
      <c r="DK174" s="245" t="str">
        <f>IF(G174="","",IF(DJ174=1,"*",""))</f>
        <v/>
      </c>
      <c r="DL174" s="245" t="str">
        <f>IF(AL167=3,"",IF(G174="","",IF(DJ174=-1,"*",IF(DJ174=0,"*",""))))</f>
        <v/>
      </c>
      <c r="DM174" s="245">
        <v>5</v>
      </c>
      <c r="DN174" s="245" t="str">
        <f t="shared" si="406"/>
        <v>5</v>
      </c>
      <c r="DO174" s="245" t="str">
        <f t="shared" si="407"/>
        <v>5</v>
      </c>
      <c r="DP174" s="245">
        <f>SUM(DP170)</f>
        <v>0</v>
      </c>
      <c r="DQ174" s="245">
        <f>SUM(DQ170)</f>
        <v>0</v>
      </c>
      <c r="DR174" s="245">
        <f t="shared" si="414"/>
        <v>0</v>
      </c>
      <c r="DS174" s="245">
        <f t="shared" si="415"/>
        <v>0</v>
      </c>
      <c r="DT174" s="245">
        <f t="shared" si="416"/>
        <v>0</v>
      </c>
      <c r="DU174" s="245">
        <f>IF(V174="",0,IF(DQ174=DS174,0,1))</f>
        <v>0</v>
      </c>
      <c r="DV174" s="267">
        <f t="shared" si="417"/>
        <v>0</v>
      </c>
      <c r="DW174" s="267">
        <f>IF(V174="",0,SUM(DU174))</f>
        <v>0</v>
      </c>
      <c r="DX174" s="238">
        <f>IF(AK174="",0,1)</f>
        <v>0</v>
      </c>
      <c r="DY174" s="238">
        <f>IF(DG174=-3,1,0)</f>
        <v>0</v>
      </c>
      <c r="DZ174" s="238">
        <f>SUM(DX174:DY174)</f>
        <v>0</v>
      </c>
      <c r="EA174" s="238">
        <f>IF(AK174="",1,0)</f>
        <v>1</v>
      </c>
      <c r="EB174" s="238">
        <f>IF(DG174=3,1,0)</f>
        <v>0</v>
      </c>
      <c r="EC174" s="238">
        <f>SUM(EA174:EB174)</f>
        <v>1</v>
      </c>
      <c r="ED174" s="267">
        <f>IF(EC174=2,1,0)</f>
        <v>0</v>
      </c>
      <c r="EE174" s="267">
        <f>IF(DZ174=2,1,0)</f>
        <v>0</v>
      </c>
      <c r="EG174" s="166"/>
      <c r="EH174" s="238"/>
      <c r="EI174" s="238"/>
      <c r="EJ174" s="238"/>
      <c r="EK174" s="238"/>
      <c r="EL174" s="238"/>
      <c r="EM174" s="245">
        <f>IF(AK174="",0,1)</f>
        <v>0</v>
      </c>
      <c r="EN174" s="245">
        <f>SUM(AK174)</f>
        <v>0</v>
      </c>
      <c r="EO174" s="268">
        <f>SUM(AJ174)</f>
        <v>0</v>
      </c>
      <c r="EP174" s="268">
        <f>SUM(G174/3)</f>
        <v>0</v>
      </c>
      <c r="EQ174" s="268" t="e">
        <f>SUM(EO174/EP174)</f>
        <v>#DIV/0!</v>
      </c>
      <c r="ER174" s="268">
        <f>ROUNDDOWN(EP174,0)</f>
        <v>0</v>
      </c>
      <c r="ES174" s="268">
        <f>SUM(EO174,-ER174*3)</f>
        <v>0</v>
      </c>
      <c r="ET174" s="269" t="b">
        <f>MOD(EN174/1,2)=0</f>
        <v>1</v>
      </c>
      <c r="EU174" s="245">
        <f>IF(ET174=FALSE,1,0)</f>
        <v>0</v>
      </c>
      <c r="EV174" s="245">
        <f>IF(EN174=50,0,IF(EN174&lt;40,1,0))</f>
        <v>1</v>
      </c>
      <c r="EW174" s="245">
        <f>SUM(EU174:EV174)</f>
        <v>1</v>
      </c>
      <c r="EX174" s="267">
        <f>IF(EN174=1,1,IF(EN174=50,0,IF(ES174=1,IF(EN174&gt;40,1,0),0)))</f>
        <v>0</v>
      </c>
      <c r="EY174" s="267">
        <f>IF(ES174=1,IF(EW174=2,1,0),0)+EX174+FB174+FE174</f>
        <v>0</v>
      </c>
      <c r="EZ174" s="245">
        <f>IF(EN174=109,1,IF(EN174=108,1,IF(EN174=106,1,IF(EN174=105,1,IF(EN174=103,1,IF(EN174=102,1,IF(EN174=99,1,0)))))))</f>
        <v>0</v>
      </c>
      <c r="FA174" s="245">
        <f>IF(EN174&gt;110,1,0)</f>
        <v>0</v>
      </c>
      <c r="FB174" s="267">
        <f>IF(ES174=2,SUM(EZ174:FA174),0)</f>
        <v>0</v>
      </c>
      <c r="FC174" s="245">
        <f>IF(EN174=159,1,IF(EN174=162,1,IF(EN174=163,1,IF(EN174=165,1,IF(EN174=166,1,IF(EN174=168,1,IF(EN174=169,1,0)))))))</f>
        <v>0</v>
      </c>
      <c r="FD174" s="245">
        <f>IF(EN174&gt;170,1,0)</f>
        <v>0</v>
      </c>
      <c r="FE174" s="267">
        <f>IF(ES174=0,SUM(FC174:FD174),0)</f>
        <v>0</v>
      </c>
      <c r="FF174" s="251">
        <f t="shared" si="408"/>
        <v>0</v>
      </c>
      <c r="FG174" s="238"/>
      <c r="FH174" s="245">
        <f>IF(AY174="",0,1)</f>
        <v>0</v>
      </c>
      <c r="FI174" s="245">
        <f>SUM(AY174)</f>
        <v>0</v>
      </c>
      <c r="FJ174" s="268">
        <f>SUM(AX174)</f>
        <v>0</v>
      </c>
      <c r="FK174" s="268">
        <f>SUM(V174/3)</f>
        <v>0</v>
      </c>
      <c r="FL174" s="268" t="e">
        <f>SUM(FJ174/FK174)</f>
        <v>#DIV/0!</v>
      </c>
      <c r="FM174" s="268">
        <f>ROUNDDOWN(FK174,0)</f>
        <v>0</v>
      </c>
      <c r="FN174" s="268">
        <f>SUM(FJ174,-FM174*3)</f>
        <v>0</v>
      </c>
      <c r="FO174" s="269" t="b">
        <f>MOD(FI174/1,2)=0</f>
        <v>1</v>
      </c>
      <c r="FP174" s="245">
        <f>IF(FO174=FALSE,1,0)</f>
        <v>0</v>
      </c>
      <c r="FQ174" s="245">
        <f>IF(FI174=50,0,IF(FI174&lt;40,1,0))</f>
        <v>1</v>
      </c>
      <c r="FR174" s="245">
        <f>SUM(FP174:FQ174)</f>
        <v>1</v>
      </c>
      <c r="FS174" s="267">
        <f>IF(FI174=1,1,IF(FI174=50,0,IF(FN174=1,IF(FI174&gt;40,1,0),0)))</f>
        <v>0</v>
      </c>
      <c r="FT174" s="267">
        <f>IF(FN174=1,IF(FR174=2,1,0),0)+FS174+FW174+FZ174</f>
        <v>0</v>
      </c>
      <c r="FU174" s="245">
        <f>IF(FI174=109,1,IF(FI174=108,1,IF(FI174=106,1,IF(FI174=105,1,IF(FI174=103,1,IF(FI174=102,1,IF(FI174=99,1,0)))))))</f>
        <v>0</v>
      </c>
      <c r="FV174" s="245">
        <f>IF(FI174&gt;110,1,0)</f>
        <v>0</v>
      </c>
      <c r="FW174" s="267">
        <f>IF(FN174=2,SUM(FU174:FV174),0)</f>
        <v>0</v>
      </c>
      <c r="FX174" s="245">
        <f>IF(FI174=159,1,IF(FI174=162,1,IF(FI174=163,1,IF(FI174=165,1,IF(FI174=166,1,IF(FI174=168,1,IF(FI174=169,1,0)))))))</f>
        <v>0</v>
      </c>
      <c r="FY174" s="245">
        <f>IF(FI174&gt;170,1,0)</f>
        <v>0</v>
      </c>
      <c r="FZ174" s="267">
        <f>IF(FN174=0,SUM(FX174:FY174),0)</f>
        <v>0</v>
      </c>
      <c r="GA174" s="251">
        <f t="shared" si="409"/>
        <v>0</v>
      </c>
      <c r="GC174" s="238" t="str">
        <f>VLOOKUP(AH167,Chema!BL:BR,5,FALSE)</f>
        <v>GD 1.4.2</v>
      </c>
      <c r="GD174" s="341"/>
      <c r="GE174" s="343" t="str">
        <f>IF(R178="","",SUM(R178))</f>
        <v/>
      </c>
      <c r="GF174" s="340"/>
      <c r="GG174" s="346"/>
      <c r="GH174" s="343">
        <f>IF(GH173&gt;0,1,0)</f>
        <v>0</v>
      </c>
      <c r="GI174" s="346"/>
      <c r="GJ174" s="343"/>
      <c r="GK174" s="346"/>
      <c r="GL174" s="343">
        <f>IF(GL173&gt;0,1,0)</f>
        <v>0</v>
      </c>
      <c r="GM174" s="343"/>
      <c r="GN174" s="343"/>
      <c r="GO174" s="346"/>
      <c r="GP174" s="343">
        <f>IF(GP173&gt;0,1,0)</f>
        <v>0</v>
      </c>
      <c r="GQ174" s="343"/>
      <c r="GR174" s="343"/>
      <c r="GS174" s="346"/>
      <c r="GT174" s="343">
        <f>IF(GT173&gt;0,1,0)</f>
        <v>0</v>
      </c>
      <c r="GU174" s="343"/>
      <c r="GV174" s="343"/>
      <c r="GW174" s="346"/>
      <c r="GX174" s="343">
        <f>IF(GX173&gt;0,1,0)</f>
        <v>0</v>
      </c>
      <c r="GY174" s="340"/>
      <c r="GZ174" s="343"/>
      <c r="HA174" s="343"/>
      <c r="HB174" s="343" t="str">
        <f>IF(GD170=1,P178,"")</f>
        <v/>
      </c>
      <c r="HC174" s="343">
        <f>IF(GD170=1,X178,"")</f>
        <v>0</v>
      </c>
      <c r="HD174" s="340"/>
      <c r="HE174" s="340"/>
      <c r="HF174" s="340"/>
      <c r="HG174" s="340">
        <f>IF(HG172=HM170,0,IF(HG172=HM174,0,1))</f>
        <v>0</v>
      </c>
      <c r="HH174" s="340">
        <f>IF(HH171=HH173,1,0)</f>
        <v>1</v>
      </c>
      <c r="HI174" s="340"/>
      <c r="HJ174" s="340"/>
      <c r="HK174" s="340"/>
      <c r="HL174" s="340"/>
      <c r="HM174" s="341">
        <f>COUNT(HI173,HJ173,HK173,HL173,HM173)</f>
        <v>0</v>
      </c>
      <c r="HN174" s="341"/>
      <c r="HO174" s="341"/>
      <c r="HP174" s="341"/>
      <c r="HQ174" s="341"/>
      <c r="HR174" s="341"/>
      <c r="HS174" s="238"/>
      <c r="HT174" s="238"/>
      <c r="HU174" s="238"/>
      <c r="HV174" s="238"/>
      <c r="HX174" s="238"/>
      <c r="HY174" s="238"/>
      <c r="ID174" s="238"/>
    </row>
    <row r="175" spans="1:238" s="234" customFormat="1" ht="6.6" customHeight="1">
      <c r="A175" s="235"/>
      <c r="B175" s="231"/>
      <c r="C175" s="310"/>
      <c r="D175" s="310"/>
      <c r="E175" s="310"/>
      <c r="F175" s="310"/>
      <c r="G175" s="313"/>
      <c r="H175" s="310"/>
      <c r="I175" s="310"/>
      <c r="J175" s="273"/>
      <c r="K175" s="313"/>
      <c r="O175" s="118"/>
      <c r="R175" s="310"/>
      <c r="S175" s="310"/>
      <c r="T175" s="310"/>
      <c r="U175" s="310"/>
      <c r="V175" s="313"/>
      <c r="W175" s="310"/>
      <c r="X175" s="310"/>
      <c r="Y175" s="273"/>
      <c r="Z175" s="308"/>
      <c r="AA175" s="274"/>
      <c r="AD175" s="235"/>
      <c r="AE175" s="237">
        <f>IF(AF175=0,0,1)</f>
        <v>0</v>
      </c>
      <c r="AF175" s="237">
        <f>IF(AL175=0,0,SUM(AL177:AL178,-AL176))</f>
        <v>0</v>
      </c>
      <c r="AG175" s="237"/>
      <c r="AH175" s="275">
        <f>SUM(AH170,AH171,AH172,AH173,AH174)</f>
        <v>0</v>
      </c>
      <c r="AI175" s="275">
        <f t="shared" ref="AI175" si="421">SUM(AI170,AI171,AI172,AI173,AI174)</f>
        <v>0</v>
      </c>
      <c r="AJ175" s="275">
        <f t="shared" ref="AJ175" si="422">SUM(AJ170,AJ171,AJ172,AJ173,AJ174)</f>
        <v>0</v>
      </c>
      <c r="AK175" s="275">
        <f>MAX(AK170,AK171,AK172,AK173,AK174)</f>
        <v>0</v>
      </c>
      <c r="AL175" s="275">
        <f t="shared" ref="AL175" si="423">SUM(AL170,AL171,AL172,AL173,AL174)</f>
        <v>0</v>
      </c>
      <c r="AM175" s="275">
        <f>IF(AK167="D",SUM(AL170,AL171,AL172,AL173,AL174,-AL177,-AL178),0)</f>
        <v>0</v>
      </c>
      <c r="AN175" s="235"/>
      <c r="AO175" s="235"/>
      <c r="AP175" s="235"/>
      <c r="AQ175" s="235"/>
      <c r="AR175" s="235"/>
      <c r="AS175" s="237">
        <f>IF(AT175=0,0,1)</f>
        <v>0</v>
      </c>
      <c r="AT175" s="237">
        <f>IF(AZ175=0,0,SUM(AZ177:AZ178,-AZ176))</f>
        <v>0</v>
      </c>
      <c r="AU175" s="237"/>
      <c r="AV175" s="275">
        <f>SUM(AV170,AV171,AV172,AV173,AV174)</f>
        <v>0</v>
      </c>
      <c r="AW175" s="275">
        <f t="shared" ref="AW175" si="424">SUM(AW170,AW171,AW172,AW173,AW174)</f>
        <v>0</v>
      </c>
      <c r="AX175" s="275">
        <f t="shared" ref="AX175" si="425">SUM(AX170,AX171,AX172,AX173,AX174)</f>
        <v>0</v>
      </c>
      <c r="AY175" s="275">
        <f>MAX(AY170,AY171,AY172,AY173,AY174)</f>
        <v>0</v>
      </c>
      <c r="AZ175" s="275">
        <f t="shared" ref="AZ175" si="426">SUM(AZ170,AZ171,AZ172,AZ173,AZ174)</f>
        <v>0</v>
      </c>
      <c r="BA175" s="275">
        <f>IF(AK167="D",SUM(AZ170,AZ171,AZ172,AZ173,AZ174,-AZ177,-AZ178),0)</f>
        <v>0</v>
      </c>
      <c r="BJ175" s="236"/>
      <c r="BK175" s="238"/>
      <c r="BL175" s="238"/>
      <c r="BM175" s="238"/>
      <c r="BP175" s="238"/>
      <c r="BQ175" s="238"/>
      <c r="BR175" s="238"/>
      <c r="BS175" s="238"/>
      <c r="BT175" s="238"/>
      <c r="BU175" s="238"/>
      <c r="BY175" s="238"/>
      <c r="BZ175" s="238">
        <f>MAX(BZ170,BZ171,BZ172,BZ173,BZ174)</f>
        <v>0</v>
      </c>
      <c r="CA175" s="238">
        <f>MAX(CA170,CA171,CA172,CA173,CA174)</f>
        <v>0</v>
      </c>
      <c r="CB175" s="238"/>
      <c r="CC175" s="238"/>
      <c r="CD175" s="238"/>
      <c r="CG175" s="244"/>
      <c r="CH175" s="238"/>
      <c r="CI175" s="238">
        <f>MAX(CI170,CI171,CI172,CI173,CI174)</f>
        <v>0</v>
      </c>
      <c r="CJ175" s="238">
        <f>MAX(CJ170,CJ171,CJ172,CJ173,CJ174)</f>
        <v>0</v>
      </c>
      <c r="CK175" s="238"/>
      <c r="CL175" s="238"/>
      <c r="CM175" s="238"/>
      <c r="CN175" s="238"/>
      <c r="CO175" s="238"/>
      <c r="CP175" s="238"/>
      <c r="CQ175" s="238"/>
      <c r="CR175" s="238"/>
      <c r="CS175" s="238"/>
      <c r="CT175" s="238"/>
      <c r="CU175" s="238"/>
      <c r="CV175" s="238"/>
      <c r="CW175" s="238"/>
      <c r="CX175" s="238"/>
      <c r="CY175" s="238"/>
      <c r="CZ175" s="238"/>
      <c r="DA175" s="238"/>
      <c r="DB175" s="238"/>
      <c r="DC175" s="238"/>
      <c r="DD175" s="238"/>
      <c r="DE175" s="238"/>
      <c r="DF175" s="238"/>
      <c r="DG175" s="238"/>
      <c r="DH175" s="238"/>
      <c r="DI175" s="238"/>
      <c r="DJ175" s="238"/>
      <c r="DK175" s="238"/>
      <c r="DL175" s="238"/>
      <c r="DM175" s="238"/>
      <c r="DN175" s="238"/>
      <c r="DO175" s="238"/>
      <c r="DP175" s="238"/>
      <c r="DQ175" s="238"/>
      <c r="DR175" s="238"/>
      <c r="DS175" s="238"/>
      <c r="DT175" s="238"/>
      <c r="DU175" s="238"/>
      <c r="DV175" s="238"/>
      <c r="DW175" s="238"/>
      <c r="DX175" s="238"/>
      <c r="DY175" s="238"/>
      <c r="DZ175" s="238"/>
      <c r="EA175" s="238"/>
      <c r="EB175" s="238"/>
      <c r="EC175" s="238"/>
      <c r="ED175" s="238"/>
      <c r="EE175" s="238"/>
      <c r="EF175" s="238"/>
      <c r="EG175" s="238"/>
      <c r="EH175" s="238"/>
      <c r="EI175" s="238"/>
      <c r="EJ175" s="238"/>
      <c r="EK175" s="238"/>
      <c r="EL175" s="238"/>
      <c r="EM175" s="166"/>
      <c r="EN175" s="166"/>
      <c r="EO175" s="166"/>
      <c r="EP175" s="238">
        <f>SUM(EN175-EO175)</f>
        <v>0</v>
      </c>
      <c r="EQ175" s="238"/>
      <c r="ER175" s="238"/>
      <c r="ES175" s="238"/>
      <c r="ET175" s="244"/>
      <c r="EU175" s="238"/>
      <c r="EV175" s="238"/>
      <c r="EW175" s="238"/>
      <c r="EX175" s="238"/>
      <c r="EY175" s="238"/>
      <c r="EZ175" s="238"/>
      <c r="FA175" s="238"/>
      <c r="FB175" s="238"/>
      <c r="FC175" s="238"/>
      <c r="FD175" s="238"/>
      <c r="FE175" s="238"/>
      <c r="FF175" s="238"/>
      <c r="FG175" s="238"/>
      <c r="FH175" s="238"/>
      <c r="FI175" s="238"/>
      <c r="FJ175" s="238"/>
      <c r="FK175" s="238"/>
      <c r="FL175" s="238"/>
      <c r="FM175" s="238"/>
      <c r="FN175" s="238"/>
      <c r="FO175" s="244"/>
      <c r="FP175" s="238"/>
      <c r="FQ175" s="238"/>
      <c r="FR175" s="238"/>
      <c r="FS175" s="238"/>
      <c r="FT175" s="238"/>
      <c r="FU175" s="238"/>
      <c r="FV175" s="238"/>
      <c r="FW175" s="238"/>
      <c r="FX175" s="238"/>
      <c r="FY175" s="238"/>
      <c r="FZ175" s="238"/>
      <c r="GA175" s="238"/>
      <c r="GB175" s="238"/>
      <c r="GC175" s="238"/>
      <c r="GD175" s="341"/>
      <c r="GE175" s="340"/>
      <c r="GF175" s="340"/>
      <c r="GG175" s="340"/>
      <c r="GH175" s="340"/>
      <c r="GI175" s="340"/>
      <c r="GJ175" s="340"/>
      <c r="GK175" s="340"/>
      <c r="GL175" s="340"/>
      <c r="GM175" s="340"/>
      <c r="GN175" s="340"/>
      <c r="GO175" s="340"/>
      <c r="GP175" s="340"/>
      <c r="GQ175" s="340"/>
      <c r="GR175" s="340"/>
      <c r="GS175" s="340"/>
      <c r="GT175" s="340"/>
      <c r="GU175" s="340"/>
      <c r="GV175" s="340"/>
      <c r="GW175" s="340"/>
      <c r="GX175" s="340"/>
      <c r="GY175" s="340"/>
      <c r="GZ175" s="340"/>
      <c r="HA175" s="340"/>
      <c r="HB175" s="340"/>
      <c r="HC175" s="340"/>
      <c r="HD175" s="341"/>
      <c r="HE175" s="341"/>
      <c r="HF175" s="341"/>
      <c r="HG175" s="341"/>
      <c r="HH175" s="341"/>
      <c r="HI175" s="341"/>
      <c r="HJ175" s="341"/>
      <c r="HK175" s="341"/>
      <c r="HL175" s="341"/>
      <c r="HM175" s="341"/>
      <c r="HN175" s="341"/>
      <c r="HO175" s="341"/>
      <c r="HP175" s="341"/>
      <c r="HQ175" s="341"/>
      <c r="HR175" s="341"/>
      <c r="HS175" s="238"/>
      <c r="HT175" s="238"/>
      <c r="HU175" s="238"/>
      <c r="HV175" s="238"/>
      <c r="HX175" s="238"/>
      <c r="HY175" s="238"/>
      <c r="ID175" s="238"/>
    </row>
    <row r="176" spans="1:238" s="234" customFormat="1" ht="20.100000000000001" customHeight="1">
      <c r="A176" s="235"/>
      <c r="B176" s="231"/>
      <c r="C176" s="314" t="s">
        <v>771</v>
      </c>
      <c r="D176" s="276" t="str">
        <f>REPT(Sprache!$K$58,1)</f>
        <v>Spieler</v>
      </c>
      <c r="E176" s="277" t="str">
        <f>REPT(Sprache!$K$33,1)</f>
        <v>Name / Vorname</v>
      </c>
      <c r="F176" s="278"/>
      <c r="G176" s="278"/>
      <c r="H176" s="279"/>
      <c r="I176" s="280"/>
      <c r="J176" s="281" t="str">
        <f>REPT(AM176,1)</f>
        <v/>
      </c>
      <c r="L176" s="306" t="s">
        <v>848</v>
      </c>
      <c r="M176" s="238"/>
      <c r="P176" s="306" t="s">
        <v>848</v>
      </c>
      <c r="R176" s="314" t="s">
        <v>771</v>
      </c>
      <c r="S176" s="276" t="str">
        <f>REPT(Sprache!$K$58,1)</f>
        <v>Spieler</v>
      </c>
      <c r="T176" s="277" t="str">
        <f>REPT(Sprache!$K$33,1)</f>
        <v>Name / Vorname</v>
      </c>
      <c r="U176" s="278"/>
      <c r="V176" s="278"/>
      <c r="W176" s="279"/>
      <c r="X176" s="280"/>
      <c r="Y176" s="281" t="str">
        <f>REPT(BA176,1)</f>
        <v/>
      </c>
      <c r="Z176" s="308"/>
      <c r="AD176" s="235"/>
      <c r="AE176" s="235"/>
      <c r="AF176" s="237" t="s">
        <v>771</v>
      </c>
      <c r="AG176" s="282" t="s">
        <v>877</v>
      </c>
      <c r="AH176" s="283" t="str">
        <f>IF(AH175=0,"",AH175)</f>
        <v/>
      </c>
      <c r="AI176" s="283" t="str">
        <f>IF(AI175=0,"",AI175)</f>
        <v/>
      </c>
      <c r="AJ176" s="283" t="str">
        <f>IF(AJ175=0,"",AJ175)</f>
        <v/>
      </c>
      <c r="AK176" s="283" t="str">
        <f>IF(AK175=0,"",AK175)</f>
        <v/>
      </c>
      <c r="AL176" s="283" t="str">
        <f>IF(AL175=0,"",AL175)</f>
        <v/>
      </c>
      <c r="AM176" s="258" t="str">
        <f>IF(AK167="D",IF(AF175=0,"","X"),"")</f>
        <v/>
      </c>
      <c r="AN176" s="235"/>
      <c r="AO176" s="235"/>
      <c r="AP176" s="284"/>
      <c r="AQ176" s="235"/>
      <c r="AR176" s="235"/>
      <c r="AS176" s="235"/>
      <c r="AT176" s="237" t="s">
        <v>771</v>
      </c>
      <c r="AU176" s="282" t="s">
        <v>877</v>
      </c>
      <c r="AV176" s="283" t="str">
        <f>IF(AV175=0,"",AV175)</f>
        <v/>
      </c>
      <c r="AW176" s="283" t="str">
        <f>IF(AW175=0,"",AW175)</f>
        <v/>
      </c>
      <c r="AX176" s="283" t="str">
        <f>IF(AX175=0,"",AX175)</f>
        <v/>
      </c>
      <c r="AY176" s="283" t="str">
        <f>IF(AY175=0,"",AY175)</f>
        <v/>
      </c>
      <c r="AZ176" s="421" t="str">
        <f>IF(AZ175=0,"",AZ175)</f>
        <v/>
      </c>
      <c r="BA176" s="258" t="str">
        <f>IF(AK167="D",IF(AT175=0,"","X"),"")</f>
        <v/>
      </c>
      <c r="BJ176" s="236"/>
      <c r="BK176" s="238"/>
      <c r="BL176" s="244">
        <f>IF(BM176=0,0,1)</f>
        <v>0</v>
      </c>
      <c r="BM176" s="244">
        <f>SUM(BM170,BM171,BM172,BM173,BM174,HH172,AN177,AN178,BB177,BB178)</f>
        <v>0</v>
      </c>
      <c r="BN176" s="166">
        <f t="shared" ref="BN176:BO176" si="427">SUM(BN170,BN171,BN172,BN173,BN174)</f>
        <v>0</v>
      </c>
      <c r="BO176" s="166">
        <f t="shared" si="427"/>
        <v>0</v>
      </c>
      <c r="BP176" s="244"/>
      <c r="BQ176" s="238"/>
      <c r="BR176" s="238"/>
      <c r="BS176" s="238"/>
      <c r="BT176" s="238"/>
      <c r="BU176" s="238"/>
      <c r="BV176" s="238"/>
      <c r="BW176" s="238"/>
      <c r="BX176" s="236"/>
      <c r="BY176" s="238"/>
      <c r="BZ176" s="238"/>
      <c r="CA176" s="238"/>
      <c r="CB176" s="238"/>
      <c r="CC176" s="238"/>
      <c r="CD176" s="238"/>
      <c r="CE176" s="238"/>
      <c r="CF176" s="238"/>
      <c r="CG176" s="244"/>
      <c r="CH176" s="238"/>
      <c r="CI176" s="238"/>
      <c r="CJ176" s="238"/>
      <c r="CK176" s="238"/>
      <c r="CL176" s="238"/>
      <c r="CM176" s="238"/>
      <c r="CN176" s="238"/>
      <c r="CO176" s="238"/>
      <c r="CP176" s="238"/>
      <c r="CQ176" s="238"/>
      <c r="CR176" s="238"/>
      <c r="CS176" s="238"/>
      <c r="CT176" s="238"/>
      <c r="CU176" s="238"/>
      <c r="CV176" s="238"/>
      <c r="CW176" s="238"/>
      <c r="CX176" s="238"/>
      <c r="CY176" s="238"/>
      <c r="CZ176" s="238"/>
      <c r="DA176" s="238"/>
      <c r="DB176" s="238"/>
      <c r="DC176" s="238"/>
      <c r="DD176" s="238"/>
      <c r="DE176" s="238"/>
      <c r="DF176" s="238"/>
      <c r="DG176" s="238"/>
      <c r="DH176" s="238"/>
      <c r="DI176" s="238"/>
      <c r="DJ176" s="238"/>
      <c r="DK176" s="238"/>
      <c r="DL176" s="238"/>
      <c r="DM176" s="238"/>
      <c r="DN176" s="238"/>
      <c r="DO176" s="238"/>
      <c r="DP176" s="238"/>
      <c r="DQ176" s="238"/>
      <c r="DR176" s="238"/>
      <c r="DS176" s="238"/>
      <c r="DT176" s="238"/>
      <c r="DU176" s="238"/>
      <c r="DV176" s="238"/>
      <c r="DW176" s="238"/>
      <c r="DX176" s="238"/>
      <c r="DY176" s="238"/>
      <c r="DZ176" s="238"/>
      <c r="EA176" s="238"/>
      <c r="EB176" s="238"/>
      <c r="EC176" s="238"/>
      <c r="ED176" s="238"/>
      <c r="EE176" s="238"/>
      <c r="EF176" s="238"/>
      <c r="EG176" s="238"/>
      <c r="EH176" s="238"/>
      <c r="EI176" s="238"/>
      <c r="EJ176" s="238"/>
      <c r="EK176" s="238"/>
      <c r="EL176" s="238"/>
      <c r="EM176" s="238"/>
      <c r="EN176" s="238"/>
      <c r="EO176" s="238"/>
      <c r="EP176" s="238"/>
      <c r="EQ176" s="238"/>
      <c r="ER176" s="238"/>
      <c r="ES176" s="238"/>
      <c r="ET176" s="244"/>
      <c r="EU176" s="238"/>
      <c r="EV176" s="238"/>
      <c r="EW176" s="238"/>
      <c r="EX176" s="238"/>
      <c r="EY176" s="238"/>
      <c r="EZ176" s="238"/>
      <c r="FA176" s="238"/>
      <c r="FB176" s="238"/>
      <c r="FC176" s="238"/>
      <c r="FD176" s="238"/>
      <c r="FE176" s="238"/>
      <c r="FF176" s="238"/>
      <c r="FG176" s="238"/>
      <c r="FH176" s="238"/>
      <c r="FI176" s="238"/>
      <c r="FJ176" s="238"/>
      <c r="FK176" s="238"/>
      <c r="FL176" s="238"/>
      <c r="FM176" s="238"/>
      <c r="FN176" s="238"/>
      <c r="FO176" s="244"/>
      <c r="FP176" s="238"/>
      <c r="FQ176" s="238"/>
      <c r="FR176" s="238"/>
      <c r="FS176" s="238"/>
      <c r="FT176" s="238"/>
      <c r="FU176" s="238"/>
      <c r="FV176" s="238"/>
      <c r="FW176" s="238"/>
      <c r="FX176" s="238"/>
      <c r="FY176" s="238"/>
      <c r="FZ176" s="238"/>
      <c r="GA176" s="238"/>
      <c r="GB176" s="238"/>
      <c r="GC176" s="238"/>
      <c r="GD176" s="341"/>
      <c r="GE176" s="340"/>
      <c r="GF176" s="340"/>
      <c r="GG176" s="340"/>
      <c r="GH176" s="340"/>
      <c r="GI176" s="340"/>
      <c r="GJ176" s="340"/>
      <c r="GK176" s="340"/>
      <c r="GL176" s="340"/>
      <c r="GM176" s="340"/>
      <c r="GN176" s="340"/>
      <c r="GO176" s="340"/>
      <c r="GP176" s="340"/>
      <c r="GQ176" s="340"/>
      <c r="GR176" s="340"/>
      <c r="GS176" s="340"/>
      <c r="GT176" s="340"/>
      <c r="GU176" s="340"/>
      <c r="GV176" s="340"/>
      <c r="GW176" s="340"/>
      <c r="GX176" s="340"/>
      <c r="GY176" s="340"/>
      <c r="GZ176" s="340"/>
      <c r="HA176" s="340"/>
      <c r="HB176" s="340"/>
      <c r="HC176" s="340"/>
      <c r="HD176" s="341"/>
      <c r="HE176" s="341"/>
      <c r="HF176" s="341"/>
      <c r="HG176" s="341"/>
      <c r="HH176" s="341"/>
      <c r="HI176" s="341"/>
      <c r="HJ176" s="341"/>
      <c r="HK176" s="341"/>
      <c r="HL176" s="341"/>
      <c r="HM176" s="341"/>
      <c r="HN176" s="341"/>
      <c r="HO176" s="341"/>
      <c r="HP176" s="341"/>
      <c r="HQ176" s="341"/>
      <c r="HR176" s="341"/>
      <c r="HS176" s="238"/>
      <c r="HT176" s="238"/>
      <c r="HU176" s="238"/>
      <c r="HV176" s="238"/>
      <c r="HX176" s="238"/>
      <c r="HY176" s="238"/>
      <c r="ID176" s="238"/>
    </row>
    <row r="177" spans="1:238" s="234" customFormat="1" ht="20.100000000000001" customHeight="1">
      <c r="A177" s="235"/>
      <c r="B177" s="231"/>
      <c r="C177" s="285" t="str">
        <f>IF(AF177="","",SUM(AF177))</f>
        <v/>
      </c>
      <c r="D177" s="286">
        <f>IF(AK167="D",1,"")</f>
        <v>1</v>
      </c>
      <c r="E177" s="287" t="str">
        <f>IF(C177="","",VLOOKUP(C177,Licenses!B:C,2,FALSE))</f>
        <v/>
      </c>
      <c r="F177" s="288"/>
      <c r="G177" s="288"/>
      <c r="H177" s="289"/>
      <c r="I177" s="169"/>
      <c r="J177" s="270" t="str">
        <f>REPT(AM177,1)</f>
        <v/>
      </c>
      <c r="L177" s="290" t="str">
        <f>IF(AK167="D",AK177,IF(AK176="","",AK176))</f>
        <v/>
      </c>
      <c r="M177" s="311"/>
      <c r="P177" s="290" t="str">
        <f>IF(AK167="D",AY177,IF(AY176="","",AY176))</f>
        <v/>
      </c>
      <c r="R177" s="291" t="str">
        <f>IF(AT177="","",SUM(AT177))</f>
        <v/>
      </c>
      <c r="S177" s="286">
        <f>IF(AK167="D",1,"")</f>
        <v>1</v>
      </c>
      <c r="T177" s="292" t="str">
        <f>IF(R177="","",VLOOKUP(R177,Licenses!B:C,2,FALSE))</f>
        <v/>
      </c>
      <c r="U177" s="293"/>
      <c r="V177" s="293"/>
      <c r="W177" s="294"/>
      <c r="X177" s="169"/>
      <c r="Y177" s="270" t="str">
        <f>REPT(BA177,1)</f>
        <v/>
      </c>
      <c r="Z177" s="308"/>
      <c r="AD177" s="235"/>
      <c r="AE177" s="235"/>
      <c r="AF177" s="256" t="str">
        <f>IF(AM167="","",SUM(AM167))</f>
        <v/>
      </c>
      <c r="AG177" s="237"/>
      <c r="AH177" s="256"/>
      <c r="AI177" s="256"/>
      <c r="AJ177" s="256"/>
      <c r="AK177" s="256" t="str">
        <f>IF(BZ175&gt;1,BZ175,"")</f>
        <v/>
      </c>
      <c r="AL177" s="257">
        <f>IF(AK167="D",SUM(I177),0)</f>
        <v>0</v>
      </c>
      <c r="AM177" s="258" t="str">
        <f>IF(AM175=0,IF(AL177&lt;6,"","X"),"X")</f>
        <v/>
      </c>
      <c r="AN177" s="347" t="str">
        <f>IF(AM175=0,IF(AL177&lt;6,"",1),1)</f>
        <v/>
      </c>
      <c r="AO177" s="235"/>
      <c r="AP177" s="236"/>
      <c r="AQ177" s="235"/>
      <c r="AR177" s="235"/>
      <c r="AS177" s="235"/>
      <c r="AT177" s="256" t="str">
        <f>IF(BA167="","",SUM(BA167))</f>
        <v/>
      </c>
      <c r="AU177" s="237"/>
      <c r="AV177" s="256"/>
      <c r="AW177" s="256"/>
      <c r="AX177" s="256"/>
      <c r="AY177" s="256" t="str">
        <f>IF(CI175&gt;1,CI175,"")</f>
        <v/>
      </c>
      <c r="AZ177" s="257">
        <f>IF(AK167="D",SUM(X177),0)</f>
        <v>0</v>
      </c>
      <c r="BA177" s="258" t="str">
        <f>IF(BA175=0,IF(AZ177&lt;6,"","X"),"X")</f>
        <v/>
      </c>
      <c r="BB177" s="347" t="str">
        <f>IF(BA175=0,IF(AZ177&lt;6,"",1),1)</f>
        <v/>
      </c>
      <c r="BC177" s="236"/>
      <c r="BD177" s="236"/>
      <c r="BE177" s="236"/>
      <c r="BF177" s="236"/>
      <c r="BG177" s="236"/>
      <c r="BH177" s="236"/>
      <c r="BI177" s="236"/>
      <c r="BJ177" s="236"/>
      <c r="BK177" s="238"/>
      <c r="BL177" s="238"/>
      <c r="BM177" s="295"/>
      <c r="BN177" s="295"/>
      <c r="BO177" s="295"/>
      <c r="BP177" s="295"/>
      <c r="BQ177" s="295"/>
      <c r="BR177" s="295"/>
      <c r="BS177" s="295"/>
      <c r="BT177" s="295"/>
      <c r="BU177" s="295"/>
      <c r="BV177" s="295"/>
      <c r="BW177" s="295"/>
      <c r="BX177" s="236"/>
      <c r="BY177" s="295"/>
      <c r="BZ177" s="295"/>
      <c r="CA177" s="295"/>
      <c r="CB177" s="295"/>
      <c r="CC177" s="295"/>
      <c r="CD177" s="295"/>
      <c r="CE177" s="295"/>
      <c r="CF177" s="295"/>
      <c r="CG177" s="296"/>
      <c r="CH177" s="295"/>
      <c r="CI177" s="295"/>
      <c r="CJ177" s="295"/>
      <c r="CK177" s="238"/>
      <c r="CL177" s="238"/>
      <c r="CM177" s="238"/>
      <c r="CN177" s="238"/>
      <c r="CO177" s="238"/>
      <c r="CP177" s="238"/>
      <c r="CQ177" s="238"/>
      <c r="CR177" s="238"/>
      <c r="CS177" s="238"/>
      <c r="CT177" s="238"/>
      <c r="CU177" s="238"/>
      <c r="CV177" s="238"/>
      <c r="CW177" s="238"/>
      <c r="CX177" s="238"/>
      <c r="CY177" s="238"/>
      <c r="CZ177" s="238"/>
      <c r="DA177" s="238"/>
      <c r="DB177" s="238"/>
      <c r="DC177" s="238"/>
      <c r="DD177" s="238"/>
      <c r="DE177" s="238"/>
      <c r="DF177" s="238"/>
      <c r="DG177" s="238"/>
      <c r="DH177" s="238"/>
      <c r="DI177" s="238"/>
      <c r="DJ177" s="238"/>
      <c r="DK177" s="238"/>
      <c r="DL177" s="238"/>
      <c r="DM177" s="238"/>
      <c r="DN177" s="238"/>
      <c r="DO177" s="238"/>
      <c r="DP177" s="238"/>
      <c r="DQ177" s="238"/>
      <c r="DR177" s="238"/>
      <c r="DS177" s="238"/>
      <c r="DT177" s="238"/>
      <c r="DU177" s="238"/>
      <c r="DV177" s="238"/>
      <c r="DW177" s="238"/>
      <c r="DX177" s="238"/>
      <c r="DY177" s="238"/>
      <c r="DZ177" s="238"/>
      <c r="EA177" s="238"/>
      <c r="EB177" s="238"/>
      <c r="EC177" s="238"/>
      <c r="ED177" s="238"/>
      <c r="EE177" s="238"/>
      <c r="EF177" s="238"/>
      <c r="EG177" s="238"/>
      <c r="EH177" s="238"/>
      <c r="EI177" s="238"/>
      <c r="EJ177" s="238"/>
      <c r="EK177" s="238"/>
      <c r="EL177" s="238"/>
      <c r="EM177" s="238"/>
      <c r="EN177" s="238"/>
      <c r="EO177" s="238"/>
      <c r="EP177" s="238"/>
      <c r="EQ177" s="238"/>
      <c r="ER177" s="238"/>
      <c r="ES177" s="238"/>
      <c r="ET177" s="244"/>
      <c r="EU177" s="238"/>
      <c r="EV177" s="238"/>
      <c r="EW177" s="238"/>
      <c r="EX177" s="238"/>
      <c r="EY177" s="238"/>
      <c r="EZ177" s="238"/>
      <c r="FA177" s="238"/>
      <c r="FB177" s="238"/>
      <c r="FC177" s="238"/>
      <c r="FD177" s="238"/>
      <c r="FE177" s="238"/>
      <c r="FF177" s="238"/>
      <c r="FG177" s="238"/>
      <c r="FH177" s="238"/>
      <c r="FI177" s="238"/>
      <c r="FJ177" s="238"/>
      <c r="FK177" s="238"/>
      <c r="FL177" s="238"/>
      <c r="FM177" s="238"/>
      <c r="FN177" s="238"/>
      <c r="FO177" s="244"/>
      <c r="FP177" s="238"/>
      <c r="FQ177" s="238"/>
      <c r="FR177" s="238"/>
      <c r="FS177" s="238"/>
      <c r="FT177" s="238"/>
      <c r="FU177" s="238"/>
      <c r="FV177" s="238"/>
      <c r="FW177" s="238"/>
      <c r="FX177" s="238"/>
      <c r="FY177" s="238"/>
      <c r="FZ177" s="238"/>
      <c r="GA177" s="238"/>
      <c r="GB177" s="238"/>
      <c r="GC177" s="238"/>
      <c r="GD177" s="341"/>
      <c r="GE177" s="340"/>
      <c r="GF177" s="340"/>
      <c r="GG177" s="340"/>
      <c r="GH177" s="340"/>
      <c r="GI177" s="340"/>
      <c r="GJ177" s="340"/>
      <c r="GK177" s="340"/>
      <c r="GL177" s="340"/>
      <c r="GM177" s="340"/>
      <c r="GN177" s="340"/>
      <c r="GO177" s="340"/>
      <c r="GP177" s="340"/>
      <c r="GQ177" s="340"/>
      <c r="GR177" s="340"/>
      <c r="GS177" s="340"/>
      <c r="GT177" s="340"/>
      <c r="GU177" s="340"/>
      <c r="GV177" s="340"/>
      <c r="GW177" s="340"/>
      <c r="GX177" s="340"/>
      <c r="GY177" s="340"/>
      <c r="GZ177" s="340"/>
      <c r="HA177" s="340"/>
      <c r="HB177" s="340"/>
      <c r="HC177" s="340"/>
      <c r="HD177" s="341"/>
      <c r="HE177" s="341"/>
      <c r="HF177" s="341"/>
      <c r="HG177" s="341"/>
      <c r="HH177" s="341"/>
      <c r="HI177" s="341"/>
      <c r="HJ177" s="341"/>
      <c r="HK177" s="341"/>
      <c r="HL177" s="341"/>
      <c r="HM177" s="341"/>
      <c r="HN177" s="341"/>
      <c r="HO177" s="341"/>
      <c r="HP177" s="341"/>
      <c r="HQ177" s="341"/>
      <c r="HR177" s="341"/>
      <c r="HS177" s="238"/>
      <c r="HT177" s="238"/>
      <c r="HU177" s="238"/>
      <c r="HV177" s="238"/>
      <c r="HX177" s="238"/>
      <c r="HY177" s="238"/>
      <c r="ID177" s="238"/>
    </row>
    <row r="178" spans="1:238" s="234" customFormat="1" ht="20.100000000000001" customHeight="1">
      <c r="A178" s="235"/>
      <c r="B178" s="231"/>
      <c r="C178" s="336" t="str">
        <f>IF(AF178="","",SUM(AF178))</f>
        <v/>
      </c>
      <c r="D178" s="333">
        <f>IF(AK167="D",2,"")</f>
        <v>2</v>
      </c>
      <c r="E178" s="337" t="str">
        <f>IF(C178="","",VLOOKUP(C178,Licenses!B:C,2,FALSE))</f>
        <v/>
      </c>
      <c r="F178" s="290"/>
      <c r="G178" s="290"/>
      <c r="H178" s="338"/>
      <c r="I178" s="331"/>
      <c r="J178" s="272" t="str">
        <f>REPT(AM178,1)</f>
        <v/>
      </c>
      <c r="L178" s="315" t="str">
        <f>IF(AK167="D",AK178,"")</f>
        <v/>
      </c>
      <c r="M178" s="311"/>
      <c r="P178" s="315" t="str">
        <f>IF(AK167="D",AY178,"")</f>
        <v/>
      </c>
      <c r="R178" s="332" t="str">
        <f>IF(AT178="","",SUM(AT178))</f>
        <v/>
      </c>
      <c r="S178" s="333">
        <f>IF(AK167="D",2,"")</f>
        <v>2</v>
      </c>
      <c r="T178" s="334" t="str">
        <f>IF(R178="","",VLOOKUP(R178,Licenses!B:C,2,FALSE))</f>
        <v/>
      </c>
      <c r="U178" s="297"/>
      <c r="V178" s="297"/>
      <c r="W178" s="335"/>
      <c r="X178" s="331"/>
      <c r="Y178" s="272" t="str">
        <f>REPT(BA178,1)</f>
        <v/>
      </c>
      <c r="Z178" s="308"/>
      <c r="AA178" s="238">
        <f>IF(AK167="D",0,1)</f>
        <v>0</v>
      </c>
      <c r="AD178" s="235"/>
      <c r="AE178" s="235"/>
      <c r="AF178" s="256" t="str">
        <f>IF(AM168="","",SUM(AM168))</f>
        <v/>
      </c>
      <c r="AG178" s="237"/>
      <c r="AH178" s="256"/>
      <c r="AI178" s="256"/>
      <c r="AJ178" s="256"/>
      <c r="AK178" s="256" t="str">
        <f>IF(CA175&gt;1,CA175,"")</f>
        <v/>
      </c>
      <c r="AL178" s="257">
        <f>IF(AK167="D",SUM(I178),0)</f>
        <v>0</v>
      </c>
      <c r="AM178" s="258" t="str">
        <f>IF(AM175=0,IF(AL178&lt;6,"","X"),"X")</f>
        <v/>
      </c>
      <c r="AN178" s="347" t="str">
        <f>IF(AM175=0,IF(AL178&lt;6,"",1),1)</f>
        <v/>
      </c>
      <c r="AO178" s="235"/>
      <c r="AP178" s="236"/>
      <c r="AQ178" s="235"/>
      <c r="AR178" s="235"/>
      <c r="AS178" s="235"/>
      <c r="AT178" s="256" t="str">
        <f>IF(BA168="","",SUM(BA168))</f>
        <v/>
      </c>
      <c r="AU178" s="237"/>
      <c r="AV178" s="256"/>
      <c r="AW178" s="256"/>
      <c r="AX178" s="256"/>
      <c r="AY178" s="256" t="str">
        <f>IF(CJ175&gt;1,CJ175,"")</f>
        <v/>
      </c>
      <c r="AZ178" s="257">
        <f>IF(AK167="D",SUM(X178),0)</f>
        <v>0</v>
      </c>
      <c r="BA178" s="258" t="str">
        <f>IF(BA175=0,IF(AZ178&lt;6,"","X"),"X")</f>
        <v/>
      </c>
      <c r="BB178" s="347" t="str">
        <f>IF(BA175=0,IF(AZ178&lt;6,"",1),1)</f>
        <v/>
      </c>
      <c r="BC178" s="236"/>
      <c r="BD178" s="236"/>
      <c r="BE178" s="236"/>
      <c r="BF178" s="236"/>
      <c r="BG178" s="236"/>
      <c r="BH178" s="236"/>
      <c r="BI178" s="236"/>
      <c r="BJ178" s="236"/>
      <c r="BK178" s="238"/>
      <c r="BM178" s="238"/>
      <c r="BN178" s="238"/>
      <c r="BO178" s="238"/>
      <c r="BP178" s="238"/>
      <c r="BQ178" s="238" t="s">
        <v>899</v>
      </c>
      <c r="BR178" s="238"/>
      <c r="BS178" s="238"/>
      <c r="BT178" s="238"/>
      <c r="BU178" s="238"/>
      <c r="BV178" s="238"/>
      <c r="BW178" s="238"/>
      <c r="BX178" s="236"/>
      <c r="BY178" s="238"/>
      <c r="BZ178" s="238"/>
      <c r="CA178" s="238"/>
      <c r="CB178" s="238"/>
      <c r="CC178" s="238"/>
      <c r="CD178" s="238" t="s">
        <v>899</v>
      </c>
      <c r="CE178" s="238"/>
      <c r="CF178" s="238"/>
      <c r="CG178" s="244"/>
      <c r="CH178" s="238"/>
      <c r="CI178" s="238"/>
      <c r="CJ178" s="238"/>
      <c r="CK178" s="238"/>
      <c r="CL178" s="238"/>
      <c r="CM178" s="238"/>
      <c r="CN178" s="238"/>
      <c r="CO178" s="238"/>
      <c r="CP178" s="238"/>
      <c r="CQ178" s="238"/>
      <c r="CR178" s="238"/>
      <c r="CS178" s="238"/>
      <c r="CT178" s="238"/>
      <c r="CU178" s="238"/>
      <c r="CV178" s="238"/>
      <c r="CW178" s="238"/>
      <c r="CX178" s="238"/>
      <c r="CY178" s="238"/>
      <c r="CZ178" s="238"/>
      <c r="DA178" s="238"/>
      <c r="DB178" s="238"/>
      <c r="DC178" s="238"/>
      <c r="DD178" s="238"/>
      <c r="DE178" s="238"/>
      <c r="DF178" s="238"/>
      <c r="DG178" s="238"/>
      <c r="DH178" s="238"/>
      <c r="DI178" s="238"/>
      <c r="DJ178" s="238"/>
      <c r="DK178" s="238"/>
      <c r="DL178" s="238"/>
      <c r="DM178" s="238"/>
      <c r="DN178" s="238"/>
      <c r="DO178" s="238"/>
      <c r="DP178" s="238"/>
      <c r="DQ178" s="238"/>
      <c r="DR178" s="238"/>
      <c r="DS178" s="238"/>
      <c r="DT178" s="238"/>
      <c r="DU178" s="238"/>
      <c r="DV178" s="238"/>
      <c r="DW178" s="238"/>
      <c r="DX178" s="238"/>
      <c r="DY178" s="238"/>
      <c r="DZ178" s="238"/>
      <c r="EA178" s="238"/>
      <c r="EB178" s="238"/>
      <c r="EC178" s="238"/>
      <c r="ED178" s="238"/>
      <c r="EE178" s="238"/>
      <c r="EF178" s="238"/>
      <c r="EG178" s="238"/>
      <c r="EH178" s="238"/>
      <c r="EI178" s="238"/>
      <c r="EJ178" s="238"/>
      <c r="EK178" s="238"/>
      <c r="EL178" s="238"/>
      <c r="EM178" s="238"/>
      <c r="EN178" s="238"/>
      <c r="EO178" s="238"/>
      <c r="EP178" s="238"/>
      <c r="EQ178" s="238"/>
      <c r="ER178" s="238"/>
      <c r="ES178" s="238"/>
      <c r="ET178" s="244"/>
      <c r="EU178" s="238"/>
      <c r="EV178" s="238"/>
      <c r="EW178" s="238"/>
      <c r="EX178" s="238"/>
      <c r="EY178" s="238"/>
      <c r="EZ178" s="238"/>
      <c r="FA178" s="238"/>
      <c r="FB178" s="238"/>
      <c r="FC178" s="238"/>
      <c r="FD178" s="238"/>
      <c r="FE178" s="238"/>
      <c r="FF178" s="238"/>
      <c r="FG178" s="238"/>
      <c r="FH178" s="238"/>
      <c r="FI178" s="238"/>
      <c r="FJ178" s="238"/>
      <c r="FK178" s="238"/>
      <c r="FL178" s="238"/>
      <c r="FM178" s="238"/>
      <c r="FN178" s="238"/>
      <c r="FO178" s="244"/>
      <c r="FP178" s="238"/>
      <c r="FQ178" s="238"/>
      <c r="FR178" s="238"/>
      <c r="FS178" s="238"/>
      <c r="FT178" s="238"/>
      <c r="FU178" s="238"/>
      <c r="FV178" s="238"/>
      <c r="FW178" s="238"/>
      <c r="FX178" s="238"/>
      <c r="FY178" s="238"/>
      <c r="FZ178" s="238"/>
      <c r="GA178" s="238"/>
      <c r="GB178" s="238"/>
      <c r="GC178" s="238"/>
      <c r="GD178" s="341"/>
      <c r="GE178" s="340"/>
      <c r="GF178" s="340"/>
      <c r="GG178" s="340"/>
      <c r="GH178" s="340"/>
      <c r="GI178" s="340"/>
      <c r="GJ178" s="340"/>
      <c r="GK178" s="340"/>
      <c r="GL178" s="340"/>
      <c r="GM178" s="340"/>
      <c r="GN178" s="340"/>
      <c r="GO178" s="340"/>
      <c r="GP178" s="340"/>
      <c r="GQ178" s="340"/>
      <c r="GR178" s="340"/>
      <c r="GS178" s="340"/>
      <c r="GT178" s="340"/>
      <c r="GU178" s="340"/>
      <c r="GV178" s="340"/>
      <c r="GW178" s="340"/>
      <c r="GX178" s="340"/>
      <c r="GY178" s="340"/>
      <c r="GZ178" s="340"/>
      <c r="HA178" s="340"/>
      <c r="HB178" s="340"/>
      <c r="HC178" s="340"/>
      <c r="HD178" s="341"/>
      <c r="HE178" s="341"/>
      <c r="HF178" s="341"/>
      <c r="HG178" s="341"/>
      <c r="HH178" s="341"/>
      <c r="HI178" s="341"/>
      <c r="HJ178" s="341"/>
      <c r="HK178" s="341"/>
      <c r="HL178" s="341"/>
      <c r="HM178" s="341"/>
      <c r="HN178" s="341"/>
      <c r="HO178" s="341"/>
      <c r="HP178" s="341"/>
      <c r="HQ178" s="341"/>
      <c r="HR178" s="341"/>
      <c r="HS178" s="238"/>
      <c r="HT178" s="238"/>
      <c r="HU178" s="238"/>
      <c r="HV178" s="238"/>
      <c r="HX178" s="238"/>
      <c r="HY178" s="238"/>
      <c r="ID178" s="238"/>
    </row>
    <row r="179" spans="1:238" s="234" customFormat="1" ht="20.100000000000001" customHeight="1">
      <c r="A179" s="235"/>
      <c r="B179" s="316"/>
      <c r="C179" s="317"/>
      <c r="D179" s="317"/>
      <c r="E179" s="318"/>
      <c r="F179" s="318"/>
      <c r="G179" s="318"/>
      <c r="H179" s="318"/>
      <c r="I179" s="318"/>
      <c r="J179" s="318"/>
      <c r="K179" s="319"/>
      <c r="L179" s="319"/>
      <c r="M179" s="319"/>
      <c r="N179" s="319"/>
      <c r="O179" s="319"/>
      <c r="P179" s="320"/>
      <c r="Q179" s="319"/>
      <c r="R179" s="317"/>
      <c r="S179" s="318"/>
      <c r="T179" s="318"/>
      <c r="U179" s="318"/>
      <c r="V179" s="318"/>
      <c r="W179" s="318"/>
      <c r="X179" s="318"/>
      <c r="Y179" s="318"/>
      <c r="Z179" s="321"/>
      <c r="AD179" s="235"/>
      <c r="AE179" s="237"/>
      <c r="AF179" s="237"/>
      <c r="AG179" s="237"/>
      <c r="AH179" s="237" t="s">
        <v>921</v>
      </c>
      <c r="AI179" s="237" t="s">
        <v>922</v>
      </c>
      <c r="AJ179" s="298" t="str">
        <f>IF(BS179="","",SUM(AM179)*3)</f>
        <v/>
      </c>
      <c r="AK179" s="299" t="s">
        <v>923</v>
      </c>
      <c r="AL179" s="256"/>
      <c r="AM179" s="256" t="str">
        <f>IF(BS179="","",SUM(BS179))</f>
        <v/>
      </c>
      <c r="AN179" s="235"/>
      <c r="AO179" s="235"/>
      <c r="AP179" s="236"/>
      <c r="AQ179" s="235"/>
      <c r="AR179" s="235"/>
      <c r="AS179" s="237"/>
      <c r="AT179" s="237"/>
      <c r="AU179" s="237"/>
      <c r="AV179" s="237" t="s">
        <v>921</v>
      </c>
      <c r="AW179" s="237" t="s">
        <v>922</v>
      </c>
      <c r="AX179" s="298" t="str">
        <f>IF(BS179="","",SUM(BA179)*3)</f>
        <v/>
      </c>
      <c r="AY179" s="299" t="s">
        <v>923</v>
      </c>
      <c r="AZ179" s="256"/>
      <c r="BA179" s="256" t="str">
        <f>IF(BS179="","",SUM(CF179))</f>
        <v/>
      </c>
      <c r="BB179" s="236"/>
      <c r="BC179" s="236"/>
      <c r="BD179" s="236"/>
      <c r="BE179" s="236"/>
      <c r="BF179" s="236"/>
      <c r="BG179" s="236"/>
      <c r="BH179" s="236"/>
      <c r="BI179" s="236"/>
      <c r="BJ179" s="236"/>
      <c r="BK179" s="373">
        <f>IF(AL167=BQ179,1,0)</f>
        <v>0</v>
      </c>
      <c r="BL179" s="373">
        <f>IF(AL167=CD179,1,0)</f>
        <v>0</v>
      </c>
      <c r="BM179" s="256">
        <f>IF(BN179&gt;2,1,0)</f>
        <v>0</v>
      </c>
      <c r="BN179" s="256">
        <f>COUNT(AH170,AH171,AH172)</f>
        <v>0</v>
      </c>
      <c r="BO179" s="256" t="str">
        <f>IF(AH176="","",SUM(AH176/AJ176))</f>
        <v/>
      </c>
      <c r="BP179" s="256"/>
      <c r="BQ179" s="300">
        <f>COUNT(AK170,AK171,AK172,AK173,AK174)</f>
        <v>0</v>
      </c>
      <c r="BR179" s="256"/>
      <c r="BS179" s="256" t="str">
        <f>IF(BL176=0,IF(AJ171="","",BO179),"")</f>
        <v/>
      </c>
      <c r="BT179" s="236"/>
      <c r="BU179" s="236"/>
      <c r="BV179" s="236"/>
      <c r="BW179" s="236"/>
      <c r="BX179" s="236"/>
      <c r="BY179" s="256">
        <f>IF(CD179&gt;2,1,0)</f>
        <v>0</v>
      </c>
      <c r="BZ179" s="256">
        <f>IF(CA179&gt;2,1,0)</f>
        <v>0</v>
      </c>
      <c r="CA179" s="256">
        <f>COUNT(AV170,AV171,AV172)</f>
        <v>0</v>
      </c>
      <c r="CB179" s="256" t="str">
        <f>IF(AV176="","",SUM(AV176/AX176))</f>
        <v/>
      </c>
      <c r="CC179" s="256"/>
      <c r="CD179" s="300">
        <f>COUNT(AY170,AY171,AY172,AY173,AY174)</f>
        <v>0</v>
      </c>
      <c r="CE179" s="256"/>
      <c r="CF179" s="256" t="str">
        <f>IF(BL176=0,IF(AX171="","",CB179),"")</f>
        <v/>
      </c>
      <c r="CG179" s="236"/>
      <c r="CH179" s="188"/>
      <c r="CI179" s="188"/>
      <c r="CJ179" s="196"/>
      <c r="CK179" s="196"/>
      <c r="CL179" s="196"/>
      <c r="CM179" s="196"/>
      <c r="CN179" s="196"/>
      <c r="CO179" s="196"/>
      <c r="CP179" s="196"/>
      <c r="CQ179" s="196"/>
      <c r="CR179" s="196"/>
      <c r="CS179" s="196"/>
      <c r="CT179" s="196"/>
      <c r="CU179" s="196"/>
      <c r="CV179" s="196"/>
      <c r="CW179" s="196"/>
      <c r="CX179" s="196"/>
      <c r="CY179" s="196"/>
      <c r="CZ179" s="196"/>
      <c r="DA179" s="196"/>
      <c r="DB179" s="196"/>
      <c r="DC179" s="196"/>
      <c r="DD179" s="196"/>
      <c r="DE179" s="196"/>
      <c r="DF179" s="196"/>
      <c r="DG179" s="196"/>
      <c r="DH179" s="196"/>
      <c r="DI179" s="196"/>
      <c r="DJ179" s="196"/>
      <c r="DK179" s="196"/>
      <c r="DL179" s="196"/>
      <c r="DM179" s="196"/>
      <c r="DN179" s="196"/>
      <c r="DO179" s="196"/>
      <c r="DP179" s="196"/>
      <c r="DQ179" s="196"/>
      <c r="DR179" s="196"/>
      <c r="DS179" s="196"/>
      <c r="DT179" s="196"/>
      <c r="DU179" s="196"/>
      <c r="DV179" s="196"/>
      <c r="DW179" s="196"/>
      <c r="DX179" s="196"/>
      <c r="DY179" s="196"/>
      <c r="DZ179" s="196"/>
      <c r="EA179" s="196"/>
      <c r="EB179" s="196"/>
      <c r="EC179" s="196"/>
      <c r="ED179" s="196"/>
      <c r="EE179" s="196"/>
      <c r="EF179" s="196"/>
      <c r="EG179" s="196"/>
      <c r="EH179" s="196"/>
      <c r="EI179" s="196"/>
      <c r="EJ179" s="196"/>
      <c r="EK179" s="196"/>
      <c r="EL179" s="196"/>
      <c r="EM179" s="196"/>
      <c r="EN179" s="196"/>
      <c r="EO179" s="196"/>
      <c r="EP179" s="196"/>
      <c r="EQ179" s="196"/>
      <c r="ER179" s="196"/>
      <c r="ES179" s="196"/>
      <c r="ET179" s="301"/>
      <c r="EU179" s="196"/>
      <c r="EV179" s="196"/>
      <c r="EW179" s="196"/>
      <c r="EX179" s="196"/>
      <c r="EY179" s="196"/>
      <c r="EZ179" s="196"/>
      <c r="FA179" s="196"/>
      <c r="FB179" s="196"/>
      <c r="FC179" s="196"/>
      <c r="FD179" s="196"/>
      <c r="FE179" s="196"/>
      <c r="FF179" s="196"/>
      <c r="FG179" s="196"/>
      <c r="FH179" s="196"/>
      <c r="FI179" s="196"/>
      <c r="FJ179" s="196"/>
      <c r="FK179" s="196"/>
      <c r="FL179" s="196"/>
      <c r="FM179" s="196"/>
      <c r="FN179" s="196"/>
      <c r="FO179" s="301"/>
      <c r="FP179" s="196"/>
      <c r="FQ179" s="196"/>
      <c r="FR179" s="196"/>
      <c r="FS179" s="196"/>
      <c r="FT179" s="196"/>
      <c r="FU179" s="196"/>
      <c r="FV179" s="196"/>
      <c r="FW179" s="196"/>
      <c r="FX179" s="196"/>
      <c r="FY179" s="196"/>
      <c r="FZ179" s="196"/>
      <c r="GA179" s="196"/>
      <c r="GB179" s="238"/>
      <c r="GC179" s="238"/>
      <c r="GD179" s="341"/>
      <c r="GE179" s="341"/>
      <c r="GF179" s="341"/>
      <c r="GG179" s="341"/>
      <c r="GH179" s="341"/>
      <c r="GI179" s="341"/>
      <c r="GJ179" s="341"/>
      <c r="GK179" s="341"/>
      <c r="GL179" s="341"/>
      <c r="GM179" s="341"/>
      <c r="GN179" s="341"/>
      <c r="GO179" s="341"/>
      <c r="GP179" s="341"/>
      <c r="GQ179" s="341"/>
      <c r="GR179" s="341"/>
      <c r="GS179" s="341"/>
      <c r="GT179" s="341"/>
      <c r="GU179" s="341"/>
      <c r="GV179" s="341"/>
      <c r="GW179" s="341"/>
      <c r="GX179" s="341"/>
      <c r="GY179" s="341"/>
      <c r="GZ179" s="341"/>
      <c r="HA179" s="341"/>
      <c r="HB179" s="341"/>
      <c r="HC179" s="341"/>
      <c r="HD179" s="341"/>
      <c r="HE179" s="341"/>
      <c r="HF179" s="341"/>
      <c r="HG179" s="341"/>
      <c r="HH179" s="341"/>
      <c r="HI179" s="341"/>
      <c r="HJ179" s="341"/>
      <c r="HK179" s="341"/>
      <c r="HL179" s="341"/>
      <c r="HM179" s="341"/>
      <c r="HN179" s="341"/>
      <c r="HO179" s="341"/>
      <c r="HP179" s="341"/>
      <c r="HQ179" s="341"/>
      <c r="HR179" s="341"/>
      <c r="HS179" s="238"/>
      <c r="HT179" s="238"/>
      <c r="HU179" s="238"/>
      <c r="HV179" s="238"/>
      <c r="HX179" s="238"/>
      <c r="HY179" s="238"/>
      <c r="ID179" s="238"/>
    </row>
    <row r="180" spans="1:238" ht="14.1" customHeight="1">
      <c r="B180" s="214"/>
      <c r="C180" s="171"/>
      <c r="D180" s="171"/>
      <c r="E180" s="171"/>
      <c r="F180" s="171"/>
      <c r="G180" s="171"/>
      <c r="H180" s="171"/>
      <c r="I180" s="171"/>
      <c r="J180" s="171"/>
      <c r="K180" s="171"/>
      <c r="L180" s="171"/>
      <c r="M180" s="171"/>
      <c r="N180" s="171"/>
      <c r="O180" s="171"/>
      <c r="P180" s="171"/>
      <c r="Q180" s="171"/>
      <c r="R180" s="171"/>
      <c r="S180" s="171"/>
      <c r="T180" s="171"/>
      <c r="U180" s="171"/>
      <c r="V180" s="171"/>
      <c r="W180" s="171"/>
      <c r="X180" s="171"/>
      <c r="Y180" s="171"/>
      <c r="Z180" s="302"/>
      <c r="AA180" s="215"/>
      <c r="AB180" s="215"/>
      <c r="AC180" s="215"/>
      <c r="AD180" s="215"/>
      <c r="AE180" s="215"/>
      <c r="AF180" s="215"/>
      <c r="BB180" s="215"/>
      <c r="BC180" s="215"/>
      <c r="BD180" s="215"/>
      <c r="BE180" s="215"/>
      <c r="BF180" s="215"/>
      <c r="BG180" s="215"/>
      <c r="BH180" s="215"/>
      <c r="GD180" s="339"/>
      <c r="GE180" s="339"/>
      <c r="GF180" s="339"/>
      <c r="GG180" s="339"/>
      <c r="GH180" s="339"/>
      <c r="GI180" s="339"/>
      <c r="GJ180" s="339"/>
      <c r="GK180" s="339"/>
      <c r="GL180" s="339"/>
      <c r="GM180" s="339"/>
      <c r="GN180" s="339"/>
      <c r="GO180" s="339"/>
      <c r="GP180" s="339"/>
      <c r="GQ180" s="339"/>
      <c r="GR180" s="339"/>
      <c r="GS180" s="339"/>
      <c r="GT180" s="339"/>
      <c r="GU180" s="339"/>
      <c r="GV180" s="339"/>
      <c r="GW180" s="339"/>
      <c r="GX180" s="339"/>
      <c r="GY180" s="339"/>
      <c r="GZ180" s="339"/>
      <c r="HA180" s="339"/>
      <c r="HB180" s="339"/>
      <c r="HC180" s="339"/>
      <c r="HD180" s="339"/>
      <c r="HE180" s="339"/>
      <c r="HF180" s="339"/>
      <c r="HG180" s="339"/>
      <c r="HH180" s="339"/>
      <c r="HI180" s="339"/>
      <c r="HJ180" s="339"/>
      <c r="HK180" s="339"/>
      <c r="HL180" s="339"/>
      <c r="HM180" s="339"/>
      <c r="HN180" s="339"/>
      <c r="HO180" s="339"/>
      <c r="HP180" s="339"/>
      <c r="HQ180" s="339"/>
      <c r="HR180" s="339"/>
    </row>
    <row r="181" spans="1:238" ht="24" customHeight="1">
      <c r="B181" s="216"/>
      <c r="C181" s="181"/>
      <c r="D181" s="181"/>
      <c r="E181" s="181"/>
      <c r="F181" s="181"/>
      <c r="G181" s="181"/>
      <c r="H181" s="181"/>
      <c r="I181" s="181"/>
      <c r="J181" s="181"/>
      <c r="K181" s="185"/>
      <c r="L181" s="217"/>
      <c r="M181" s="218"/>
      <c r="N181" s="327" t="str">
        <f>CONCATENATE(AG181," ",AH181)</f>
        <v>Spiel 13</v>
      </c>
      <c r="O181" s="218"/>
      <c r="P181" s="219"/>
      <c r="Q181" s="185"/>
      <c r="R181" s="181"/>
      <c r="S181" s="181"/>
      <c r="T181" s="181"/>
      <c r="U181" s="181"/>
      <c r="V181" s="181"/>
      <c r="W181" s="181"/>
      <c r="X181" s="181"/>
      <c r="Y181" s="181"/>
      <c r="Z181" s="303"/>
      <c r="AA181" s="200"/>
      <c r="AB181" s="200"/>
      <c r="AC181" s="200"/>
      <c r="AD181" s="200"/>
      <c r="AE181" s="200"/>
      <c r="AF181" s="200"/>
      <c r="AG181" s="200" t="s">
        <v>863</v>
      </c>
      <c r="AH181" s="220">
        <v>13</v>
      </c>
      <c r="AI181" s="173">
        <f>VLOOKUP(AH181,Chema!R:T,3,FALSE)</f>
        <v>2.1</v>
      </c>
      <c r="AJ181" s="200" t="str">
        <f>VLOOKUP(AH181,Chema!BL:BQ,6,FALSE)</f>
        <v>2.1*</v>
      </c>
      <c r="AK181" s="200" t="str">
        <f>VLOOKUP(AH181,'Matchblatt  FEUILLE DE MATCH'!AI:AJ,2,FALSE)</f>
        <v>S</v>
      </c>
      <c r="AL181" s="200">
        <f>VLOOKUP(AH181,Chema!R:U,4,FALSE)</f>
        <v>5</v>
      </c>
      <c r="AM181" s="215" t="str">
        <f>VLOOKUP(AH181,'Matchblatt  FEUILLE DE MATCH'!AI:AS,10,FALSE)</f>
        <v/>
      </c>
      <c r="AN181" s="215"/>
      <c r="AO181" s="215"/>
      <c r="AP181" s="215"/>
      <c r="AQ181" s="215"/>
      <c r="AR181" s="215"/>
      <c r="AS181" s="215"/>
      <c r="AT181" s="215"/>
      <c r="AU181" s="215"/>
      <c r="AV181" s="215"/>
      <c r="AW181" s="215"/>
      <c r="AX181" s="215"/>
      <c r="AY181" s="215"/>
      <c r="AZ181" s="215"/>
      <c r="BA181" s="215" t="str">
        <f>VLOOKUP(AH181,'Matchblatt  FEUILLE DE MATCH'!AI:AS,11,FALSE)</f>
        <v/>
      </c>
      <c r="BB181" s="200"/>
      <c r="BC181" s="200"/>
      <c r="BD181" s="200"/>
      <c r="BE181" s="200"/>
      <c r="BF181" s="200"/>
      <c r="BG181" s="200"/>
      <c r="BH181" s="200"/>
      <c r="BK181" s="196"/>
      <c r="BL181" s="196"/>
      <c r="BM181" s="196"/>
      <c r="BN181" s="196"/>
      <c r="BO181" s="196"/>
      <c r="BP181" s="196"/>
      <c r="BQ181" s="221" t="s">
        <v>843</v>
      </c>
      <c r="BR181" s="222"/>
      <c r="BS181" s="222"/>
      <c r="BT181" s="223"/>
      <c r="BU181" s="222" t="s">
        <v>843</v>
      </c>
      <c r="BV181" s="222"/>
      <c r="BW181" s="222"/>
      <c r="BX181" s="224"/>
      <c r="BY181" s="222"/>
      <c r="BZ181" s="222"/>
      <c r="CA181" s="222"/>
      <c r="CB181" s="222"/>
      <c r="CC181" s="222"/>
      <c r="CD181" s="222"/>
      <c r="CE181" s="222"/>
      <c r="CF181" s="222"/>
      <c r="CG181" s="224"/>
      <c r="CH181" s="222"/>
      <c r="CI181" s="222"/>
      <c r="CJ181" s="223"/>
      <c r="CK181" s="196"/>
      <c r="CL181" s="196"/>
      <c r="CM181" s="196"/>
      <c r="CN181" s="196"/>
      <c r="CO181" s="196"/>
      <c r="CP181" s="196"/>
      <c r="CQ181" s="196"/>
      <c r="CR181" s="196"/>
      <c r="CS181" s="196"/>
      <c r="CT181" s="196"/>
      <c r="CU181" s="196"/>
      <c r="CV181" s="196"/>
      <c r="CW181" s="196"/>
      <c r="CX181" s="196"/>
      <c r="CY181" s="196"/>
      <c r="CZ181" s="196"/>
      <c r="DA181" s="196"/>
      <c r="DB181" s="196"/>
      <c r="DC181" s="196"/>
      <c r="DD181" s="196"/>
      <c r="DE181" s="196"/>
      <c r="DF181" s="196"/>
      <c r="DG181" s="196"/>
      <c r="DH181" s="196"/>
      <c r="DI181" s="196"/>
      <c r="DJ181" s="196"/>
      <c r="DK181" s="196"/>
      <c r="DL181" s="196"/>
      <c r="DM181" s="196"/>
      <c r="DN181" s="196"/>
      <c r="DO181" s="196"/>
      <c r="DP181" s="196"/>
      <c r="DQ181" s="196"/>
      <c r="DR181" s="196"/>
      <c r="DS181" s="196"/>
      <c r="DT181" s="196"/>
      <c r="DU181" s="196"/>
      <c r="DV181" s="196"/>
      <c r="DW181" s="196"/>
      <c r="DX181" s="196"/>
      <c r="DY181" s="196"/>
      <c r="DZ181" s="196"/>
      <c r="EA181" s="196"/>
      <c r="EB181" s="196"/>
      <c r="EC181" s="196"/>
      <c r="ED181" s="196"/>
      <c r="EE181" s="196"/>
      <c r="EF181" s="196"/>
      <c r="EG181" s="196"/>
      <c r="EH181" s="196"/>
      <c r="EI181" s="196"/>
      <c r="EJ181" s="196"/>
      <c r="EK181" s="196"/>
      <c r="EL181" s="196"/>
      <c r="EM181" s="221" t="s">
        <v>7</v>
      </c>
      <c r="EN181" s="222"/>
      <c r="EO181" s="222"/>
      <c r="EP181" s="222"/>
      <c r="EQ181" s="222"/>
      <c r="ER181" s="222"/>
      <c r="ES181" s="222"/>
      <c r="ET181" s="224"/>
      <c r="EU181" s="222"/>
      <c r="EV181" s="222"/>
      <c r="EW181" s="222"/>
      <c r="EX181" s="222"/>
      <c r="EY181" s="222"/>
      <c r="EZ181" s="222"/>
      <c r="FA181" s="222"/>
      <c r="FB181" s="222"/>
      <c r="FC181" s="222"/>
      <c r="FD181" s="222"/>
      <c r="FE181" s="223"/>
      <c r="FF181" s="196"/>
      <c r="FG181" s="196"/>
      <c r="FH181" s="221" t="s">
        <v>12</v>
      </c>
      <c r="FI181" s="222"/>
      <c r="FJ181" s="222"/>
      <c r="FK181" s="222"/>
      <c r="FL181" s="222"/>
      <c r="FM181" s="222"/>
      <c r="FN181" s="222"/>
      <c r="FO181" s="224"/>
      <c r="FP181" s="222"/>
      <c r="FQ181" s="222"/>
      <c r="FR181" s="222"/>
      <c r="FS181" s="222"/>
      <c r="FT181" s="222"/>
      <c r="FU181" s="222"/>
      <c r="FV181" s="222"/>
      <c r="FW181" s="222"/>
      <c r="FX181" s="222"/>
      <c r="FY181" s="222"/>
      <c r="FZ181" s="223"/>
      <c r="GA181" s="196"/>
      <c r="GD181" s="339"/>
      <c r="GE181" s="339"/>
      <c r="GF181" s="339"/>
      <c r="GG181" s="339"/>
      <c r="GH181" s="339"/>
      <c r="GI181" s="339"/>
      <c r="GJ181" s="339"/>
      <c r="GK181" s="339"/>
      <c r="GL181" s="339"/>
      <c r="GM181" s="339"/>
      <c r="GN181" s="339"/>
      <c r="GO181" s="339"/>
      <c r="GP181" s="339"/>
      <c r="GQ181" s="339"/>
      <c r="GR181" s="339"/>
      <c r="GS181" s="339"/>
      <c r="GT181" s="339"/>
      <c r="GU181" s="339"/>
      <c r="GV181" s="339"/>
      <c r="GW181" s="339"/>
      <c r="GX181" s="339"/>
      <c r="GY181" s="339"/>
      <c r="GZ181" s="339"/>
      <c r="HA181" s="339"/>
      <c r="HB181" s="339"/>
      <c r="HC181" s="339"/>
      <c r="HD181" s="339"/>
      <c r="HE181" s="339"/>
      <c r="HF181" s="339"/>
      <c r="HG181" s="339"/>
      <c r="HH181" s="339"/>
      <c r="HI181" s="339"/>
      <c r="HJ181" s="339"/>
      <c r="HK181" s="339"/>
      <c r="HL181" s="339"/>
      <c r="HM181" s="339"/>
      <c r="HN181" s="339"/>
      <c r="HO181" s="339"/>
      <c r="HP181" s="339"/>
      <c r="HQ181" s="339"/>
      <c r="HR181" s="339"/>
    </row>
    <row r="182" spans="1:238" ht="14.1" customHeight="1">
      <c r="B182" s="225"/>
      <c r="C182" s="304"/>
      <c r="D182" s="304"/>
      <c r="E182" s="304"/>
      <c r="F182" s="304"/>
      <c r="G182" s="304"/>
      <c r="H182" s="304"/>
      <c r="I182" s="304"/>
      <c r="J182" s="304"/>
      <c r="K182" s="166"/>
      <c r="L182" s="166"/>
      <c r="M182" s="166"/>
      <c r="N182" s="304"/>
      <c r="O182" s="304"/>
      <c r="P182" s="166"/>
      <c r="Q182" s="166"/>
      <c r="R182" s="304"/>
      <c r="S182" s="304"/>
      <c r="T182" s="304"/>
      <c r="U182" s="304"/>
      <c r="V182" s="304"/>
      <c r="W182" s="304"/>
      <c r="X182" s="166"/>
      <c r="Y182" s="166"/>
      <c r="Z182" s="305"/>
      <c r="AA182" s="63"/>
      <c r="AB182" s="63"/>
      <c r="AC182" s="63"/>
      <c r="AD182" s="63"/>
      <c r="AE182" s="63"/>
      <c r="AF182" s="63"/>
      <c r="AJ182" s="173" t="str">
        <f>VLOOKUP(AH181,Chema!BL:BR,7,FALSE)</f>
        <v/>
      </c>
      <c r="AL182" s="200"/>
      <c r="AM182" s="200" t="str">
        <f>IF(AK181="D",VLOOKUP(AJ182,'Matchblatt  FEUILLE DE MATCH'!AK:AS,8,FALSE),"")</f>
        <v/>
      </c>
      <c r="AN182" s="200"/>
      <c r="AO182" s="200"/>
      <c r="AP182" s="200"/>
      <c r="AQ182" s="200"/>
      <c r="AR182" s="200"/>
      <c r="AS182" s="200"/>
      <c r="AT182" s="200"/>
      <c r="AU182" s="200"/>
      <c r="AV182" s="200"/>
      <c r="AW182" s="200"/>
      <c r="AX182" s="200"/>
      <c r="AY182" s="200"/>
      <c r="AZ182" s="200"/>
      <c r="BA182" s="200" t="str">
        <f>IF(AK181="D",VLOOKUP(AJ182,'Matchblatt  FEUILLE DE MATCH'!AK:AS,9,FALSE),"")</f>
        <v/>
      </c>
      <c r="BB182" s="63"/>
      <c r="BC182" s="63"/>
      <c r="BD182" s="63"/>
      <c r="BE182" s="63"/>
      <c r="BF182" s="63"/>
      <c r="BG182" s="63"/>
      <c r="BH182" s="63"/>
      <c r="BK182" s="166" t="s">
        <v>7</v>
      </c>
      <c r="BL182" s="166" t="s">
        <v>12</v>
      </c>
      <c r="BM182" s="166"/>
      <c r="BN182" s="166" t="s">
        <v>7</v>
      </c>
      <c r="BO182" s="166" t="s">
        <v>12</v>
      </c>
      <c r="BP182" s="166"/>
      <c r="BQ182" s="226" t="s">
        <v>894</v>
      </c>
      <c r="BR182" s="227" t="s">
        <v>895</v>
      </c>
      <c r="BS182" s="228" t="s">
        <v>896</v>
      </c>
      <c r="BT182" s="229"/>
      <c r="BU182" s="226" t="s">
        <v>7</v>
      </c>
      <c r="BV182" s="166"/>
      <c r="BW182" s="166"/>
      <c r="BX182" s="230"/>
      <c r="BY182" s="166"/>
      <c r="BZ182" s="166"/>
      <c r="CA182" s="227"/>
      <c r="CB182" s="166"/>
      <c r="CC182" s="166"/>
      <c r="CD182" s="226" t="s">
        <v>12</v>
      </c>
      <c r="CE182" s="166"/>
      <c r="CF182" s="166"/>
      <c r="CG182" s="230"/>
      <c r="CH182" s="166"/>
      <c r="CI182" s="166"/>
      <c r="CJ182" s="227"/>
      <c r="CK182" s="166"/>
      <c r="CL182" s="166" t="s">
        <v>897</v>
      </c>
      <c r="CM182" s="166"/>
      <c r="CN182" s="166"/>
      <c r="CO182" s="166"/>
      <c r="CP182" s="166"/>
      <c r="CQ182" s="166"/>
      <c r="CR182" s="166"/>
      <c r="CS182" s="166"/>
      <c r="CT182" s="166"/>
      <c r="CU182" s="166" t="s">
        <v>843</v>
      </c>
      <c r="CV182" s="166"/>
      <c r="CW182" s="166" t="s">
        <v>843</v>
      </c>
      <c r="CX182" s="166"/>
      <c r="CY182" s="166"/>
      <c r="CZ182" s="166"/>
      <c r="DA182" s="166"/>
      <c r="DB182" s="166"/>
      <c r="DC182" s="166"/>
      <c r="DD182" s="166" t="s">
        <v>894</v>
      </c>
      <c r="DE182" s="166" t="s">
        <v>895</v>
      </c>
      <c r="DF182" s="166"/>
      <c r="DG182" s="166" t="s">
        <v>927</v>
      </c>
      <c r="DH182" s="166"/>
      <c r="DI182" s="166"/>
      <c r="DJ182" s="166"/>
      <c r="DK182" s="166"/>
      <c r="DL182" s="166"/>
      <c r="DM182" s="166"/>
      <c r="DN182" s="166" t="s">
        <v>928</v>
      </c>
      <c r="DO182" s="166" t="s">
        <v>929</v>
      </c>
      <c r="DP182" s="166"/>
      <c r="DQ182" s="166"/>
      <c r="DR182" s="166"/>
      <c r="DS182" s="166"/>
      <c r="DT182" s="166"/>
      <c r="DU182" s="166"/>
      <c r="DV182" s="166" t="s">
        <v>894</v>
      </c>
      <c r="DW182" s="166" t="s">
        <v>895</v>
      </c>
      <c r="DX182" s="166"/>
      <c r="DY182" s="166"/>
      <c r="DZ182" s="166"/>
      <c r="EA182" s="166"/>
      <c r="EB182" s="166"/>
      <c r="EC182" s="166"/>
      <c r="ED182" s="166" t="s">
        <v>894</v>
      </c>
      <c r="EE182" s="166" t="s">
        <v>895</v>
      </c>
      <c r="EF182" s="166"/>
      <c r="EG182" s="166"/>
      <c r="EH182" s="166"/>
      <c r="EI182" s="166"/>
      <c r="EJ182" s="166"/>
      <c r="EK182" s="166"/>
      <c r="EL182" s="166"/>
      <c r="EM182" s="166"/>
      <c r="EN182" s="166"/>
      <c r="EO182" s="166"/>
      <c r="EP182" s="166"/>
      <c r="EQ182" s="166"/>
      <c r="ER182" s="166"/>
      <c r="ES182" s="166"/>
      <c r="ET182" s="230"/>
      <c r="EU182" s="166"/>
      <c r="EV182" s="166"/>
      <c r="EW182" s="166"/>
      <c r="EX182" s="166"/>
      <c r="EY182" s="166"/>
      <c r="EZ182" s="166"/>
      <c r="FA182" s="166"/>
      <c r="FB182" s="166"/>
      <c r="FC182" s="166"/>
      <c r="FD182" s="166"/>
      <c r="FE182" s="166"/>
      <c r="FF182" s="166"/>
      <c r="FG182" s="166"/>
      <c r="FH182" s="166"/>
      <c r="FI182" s="166"/>
      <c r="FJ182" s="166"/>
      <c r="FK182" s="166"/>
      <c r="FL182" s="166"/>
      <c r="FM182" s="166"/>
      <c r="FN182" s="166"/>
      <c r="FO182" s="230"/>
      <c r="FP182" s="166"/>
      <c r="FQ182" s="166"/>
      <c r="FR182" s="166"/>
      <c r="FS182" s="166"/>
      <c r="FT182" s="166"/>
      <c r="FU182" s="166"/>
      <c r="FV182" s="166"/>
      <c r="FW182" s="166"/>
      <c r="FX182" s="166"/>
      <c r="FY182" s="166"/>
      <c r="FZ182" s="166"/>
      <c r="GA182" s="166"/>
      <c r="GD182" s="339"/>
      <c r="GE182" s="339"/>
      <c r="GF182" s="339"/>
      <c r="GG182" s="339"/>
      <c r="GH182" s="339"/>
      <c r="GI182" s="339"/>
      <c r="GJ182" s="339"/>
      <c r="GK182" s="339"/>
      <c r="GL182" s="339"/>
      <c r="GM182" s="339"/>
      <c r="GN182" s="339"/>
      <c r="GO182" s="339"/>
      <c r="GP182" s="339"/>
      <c r="GQ182" s="339"/>
      <c r="GR182" s="339"/>
      <c r="GS182" s="339"/>
      <c r="GT182" s="339"/>
      <c r="GU182" s="339"/>
      <c r="GV182" s="339"/>
      <c r="GW182" s="339"/>
      <c r="GX182" s="339"/>
      <c r="GY182" s="339"/>
      <c r="GZ182" s="339"/>
      <c r="HA182" s="339"/>
      <c r="HB182" s="339"/>
      <c r="HC182" s="339"/>
      <c r="HD182" s="339"/>
      <c r="HE182" s="339"/>
      <c r="HF182" s="339"/>
      <c r="HG182" s="339"/>
      <c r="HH182" s="339"/>
      <c r="HI182" s="339"/>
      <c r="HJ182" s="339"/>
      <c r="HK182" s="339"/>
      <c r="HL182" s="339"/>
      <c r="HM182" s="339"/>
      <c r="HN182" s="339"/>
      <c r="HO182" s="339"/>
      <c r="HP182" s="339"/>
      <c r="HQ182" s="339"/>
      <c r="HR182" s="339"/>
    </row>
    <row r="183" spans="1:238" s="234" customFormat="1" ht="20.100000000000001" customHeight="1">
      <c r="A183" s="235"/>
      <c r="B183" s="231"/>
      <c r="C183" s="232" t="str">
        <f>REPT(Sprache!$K$12,1)</f>
        <v>SPIEL</v>
      </c>
      <c r="D183" s="233" t="s">
        <v>869</v>
      </c>
      <c r="E183" s="233" t="str">
        <f>REPT(Sprache!$K$62,1)</f>
        <v>Punkte</v>
      </c>
      <c r="F183" s="233" t="str">
        <f>REPT(Sprache!$K$61,1)</f>
        <v>Rest</v>
      </c>
      <c r="G183" s="233" t="s">
        <v>898</v>
      </c>
      <c r="H183" s="233" t="s">
        <v>848</v>
      </c>
      <c r="I183" s="233">
        <v>180</v>
      </c>
      <c r="J183" s="233" t="str">
        <f>REPT(Sprache!$K$63,1)</f>
        <v>Fehler</v>
      </c>
      <c r="L183" s="306" t="s">
        <v>923</v>
      </c>
      <c r="M183" s="307"/>
      <c r="P183" s="306" t="s">
        <v>923</v>
      </c>
      <c r="R183" s="232" t="str">
        <f>REPT(Sprache!$K$12,1)</f>
        <v>SPIEL</v>
      </c>
      <c r="S183" s="233" t="s">
        <v>869</v>
      </c>
      <c r="T183" s="233" t="str">
        <f>REPT(Sprache!$K$62,1)</f>
        <v>Punkte</v>
      </c>
      <c r="U183" s="233" t="str">
        <f>REPT(Sprache!$K$61,1)</f>
        <v>Rest</v>
      </c>
      <c r="V183" s="233" t="s">
        <v>898</v>
      </c>
      <c r="W183" s="233" t="s">
        <v>848</v>
      </c>
      <c r="X183" s="233">
        <v>180</v>
      </c>
      <c r="Y183" s="233" t="str">
        <f>REPT(Sprache!$K$63,1)</f>
        <v>Fehler</v>
      </c>
      <c r="Z183" s="308"/>
      <c r="AD183" s="235"/>
      <c r="AE183" s="236" t="s">
        <v>966</v>
      </c>
      <c r="AF183" s="236" t="s">
        <v>967</v>
      </c>
      <c r="AG183" s="236" t="s">
        <v>965</v>
      </c>
      <c r="AH183" s="237" t="str">
        <f>LEFT($BM$6,10)</f>
        <v/>
      </c>
      <c r="AI183" s="237" t="str">
        <f>LEFT($BN$6,10)</f>
        <v/>
      </c>
      <c r="AJ183" s="237" t="s">
        <v>898</v>
      </c>
      <c r="AK183" s="237" t="s">
        <v>848</v>
      </c>
      <c r="AL183" s="237">
        <v>180</v>
      </c>
      <c r="AM183" s="237" t="str">
        <f>LEFT($BL$6,50)</f>
        <v/>
      </c>
      <c r="AN183" s="235"/>
      <c r="AO183" s="235"/>
      <c r="AP183" s="235"/>
      <c r="AQ183" s="235"/>
      <c r="AR183" s="235"/>
      <c r="AS183" s="235"/>
      <c r="AT183" s="235"/>
      <c r="AU183" s="235"/>
      <c r="AV183" s="237" t="str">
        <f>LEFT($BM$6,10)</f>
        <v/>
      </c>
      <c r="AW183" s="237" t="str">
        <f>LEFT($BN$6,10)</f>
        <v/>
      </c>
      <c r="AX183" s="237" t="s">
        <v>898</v>
      </c>
      <c r="AY183" s="237" t="s">
        <v>848</v>
      </c>
      <c r="AZ183" s="237">
        <v>180</v>
      </c>
      <c r="BA183" s="237" t="str">
        <f>LEFT($BL$6,50)</f>
        <v/>
      </c>
      <c r="BI183" s="238"/>
      <c r="BJ183" s="238"/>
      <c r="BK183" s="238" t="s">
        <v>165</v>
      </c>
      <c r="BL183" s="238" t="s">
        <v>165</v>
      </c>
      <c r="BM183" s="239" t="s">
        <v>165</v>
      </c>
      <c r="BN183" s="239" t="s">
        <v>899</v>
      </c>
      <c r="BO183" s="239" t="s">
        <v>899</v>
      </c>
      <c r="BP183" s="239" t="s">
        <v>900</v>
      </c>
      <c r="BQ183" s="240" t="s">
        <v>901</v>
      </c>
      <c r="BR183" s="241"/>
      <c r="BS183" s="242" t="s">
        <v>926</v>
      </c>
      <c r="BT183" s="243"/>
      <c r="BU183" s="242" t="s">
        <v>902</v>
      </c>
      <c r="BV183" s="238"/>
      <c r="BW183" s="238"/>
      <c r="BX183" s="244"/>
      <c r="BY183" s="238"/>
      <c r="BZ183" s="238" t="s">
        <v>903</v>
      </c>
      <c r="CA183" s="243" t="s">
        <v>904</v>
      </c>
      <c r="CB183" s="238"/>
      <c r="CC183" s="238"/>
      <c r="CD183" s="242" t="s">
        <v>902</v>
      </c>
      <c r="CE183" s="238"/>
      <c r="CF183" s="238"/>
      <c r="CG183" s="244"/>
      <c r="CH183" s="238"/>
      <c r="CI183" s="238" t="s">
        <v>903</v>
      </c>
      <c r="CJ183" s="243" t="s">
        <v>904</v>
      </c>
      <c r="CK183" s="238"/>
      <c r="CL183" s="245" t="s">
        <v>905</v>
      </c>
      <c r="CM183" s="245" t="s">
        <v>906</v>
      </c>
      <c r="CN183" s="245" t="s">
        <v>907</v>
      </c>
      <c r="CO183" s="245" t="s">
        <v>908</v>
      </c>
      <c r="CP183" s="245" t="s">
        <v>909</v>
      </c>
      <c r="CQ183" s="246" t="s">
        <v>910</v>
      </c>
      <c r="CR183" s="247"/>
      <c r="CS183" s="246" t="s">
        <v>911</v>
      </c>
      <c r="CT183" s="248"/>
      <c r="CU183" s="246" t="s">
        <v>912</v>
      </c>
      <c r="CV183" s="248"/>
      <c r="CW183" s="246" t="s">
        <v>913</v>
      </c>
      <c r="CX183" s="248"/>
      <c r="CY183" s="238"/>
      <c r="CZ183" s="238"/>
      <c r="DA183" s="238"/>
      <c r="DB183" s="238"/>
      <c r="DC183" s="249" t="s">
        <v>165</v>
      </c>
      <c r="DD183" s="249" t="s">
        <v>165</v>
      </c>
      <c r="DE183" s="249" t="s">
        <v>165</v>
      </c>
      <c r="DF183" s="238"/>
      <c r="DG183" s="238" t="s">
        <v>914</v>
      </c>
      <c r="DH183" s="238" t="s">
        <v>930</v>
      </c>
      <c r="DI183" s="238" t="s">
        <v>931</v>
      </c>
      <c r="DK183" s="238" t="s">
        <v>932</v>
      </c>
      <c r="DL183" s="238" t="s">
        <v>933</v>
      </c>
      <c r="DM183" s="238" t="s">
        <v>869</v>
      </c>
      <c r="DN183" s="230" t="s">
        <v>915</v>
      </c>
      <c r="DO183" s="250" t="s">
        <v>915</v>
      </c>
      <c r="DP183" s="322" t="s">
        <v>934</v>
      </c>
      <c r="DQ183" s="238"/>
      <c r="DR183" s="166" t="s">
        <v>894</v>
      </c>
      <c r="DS183" s="166" t="s">
        <v>895</v>
      </c>
      <c r="DT183" s="166" t="s">
        <v>935</v>
      </c>
      <c r="DU183" s="166" t="s">
        <v>936</v>
      </c>
      <c r="DV183" s="251" t="s">
        <v>165</v>
      </c>
      <c r="DW183" s="251" t="s">
        <v>165</v>
      </c>
      <c r="DX183" s="238" t="s">
        <v>916</v>
      </c>
      <c r="DY183" s="238"/>
      <c r="DZ183" s="238"/>
      <c r="EA183" s="238"/>
      <c r="EB183" s="238"/>
      <c r="EC183" s="238"/>
      <c r="ED183" s="251" t="s">
        <v>165</v>
      </c>
      <c r="EE183" s="251" t="s">
        <v>165</v>
      </c>
      <c r="EF183" s="166"/>
      <c r="EG183" s="238"/>
      <c r="EH183" s="238"/>
      <c r="EI183" s="238"/>
      <c r="EJ183" s="238"/>
      <c r="EK183" s="238"/>
      <c r="EL183" s="238"/>
      <c r="EM183" s="238"/>
      <c r="EN183" s="238"/>
      <c r="EO183" s="246" t="s">
        <v>917</v>
      </c>
      <c r="EP183" s="247"/>
      <c r="EQ183" s="247"/>
      <c r="ER183" s="247"/>
      <c r="ES183" s="247"/>
      <c r="ET183" s="252"/>
      <c r="EU183" s="248"/>
      <c r="EV183" s="246" t="s">
        <v>918</v>
      </c>
      <c r="EW183" s="247"/>
      <c r="EX183" s="248"/>
      <c r="EY183" s="251" t="s">
        <v>165</v>
      </c>
      <c r="EZ183" s="246" t="s">
        <v>919</v>
      </c>
      <c r="FA183" s="247"/>
      <c r="FB183" s="248"/>
      <c r="FC183" s="246" t="s">
        <v>920</v>
      </c>
      <c r="FD183" s="247"/>
      <c r="FE183" s="248"/>
      <c r="FF183" s="238"/>
      <c r="FG183" s="238"/>
      <c r="FH183" s="238"/>
      <c r="FI183" s="238"/>
      <c r="FJ183" s="246" t="s">
        <v>917</v>
      </c>
      <c r="FK183" s="247"/>
      <c r="FL183" s="247"/>
      <c r="FM183" s="247"/>
      <c r="FN183" s="247"/>
      <c r="FO183" s="252"/>
      <c r="FP183" s="248"/>
      <c r="FQ183" s="246" t="s">
        <v>918</v>
      </c>
      <c r="FR183" s="247"/>
      <c r="FS183" s="248"/>
      <c r="FT183" s="251" t="s">
        <v>165</v>
      </c>
      <c r="FU183" s="246" t="s">
        <v>919</v>
      </c>
      <c r="FV183" s="247"/>
      <c r="FW183" s="248"/>
      <c r="FX183" s="246" t="s">
        <v>920</v>
      </c>
      <c r="FY183" s="247"/>
      <c r="FZ183" s="248"/>
      <c r="GD183" s="340"/>
      <c r="GE183" s="340"/>
      <c r="GF183" s="341" t="s">
        <v>968</v>
      </c>
      <c r="GG183" s="340"/>
      <c r="GH183" s="340"/>
      <c r="GI183" s="340"/>
      <c r="GJ183" s="341" t="s">
        <v>972</v>
      </c>
      <c r="GK183" s="340"/>
      <c r="GL183" s="340"/>
      <c r="GM183" s="340"/>
      <c r="GN183" s="341" t="s">
        <v>971</v>
      </c>
      <c r="GO183" s="340"/>
      <c r="GP183" s="340"/>
      <c r="GQ183" s="340"/>
      <c r="GR183" s="341" t="s">
        <v>970</v>
      </c>
      <c r="GS183" s="340"/>
      <c r="GT183" s="340"/>
      <c r="GU183" s="340"/>
      <c r="GV183" s="341" t="s">
        <v>969</v>
      </c>
      <c r="GW183" s="340"/>
      <c r="GX183" s="340"/>
      <c r="GY183" s="340"/>
      <c r="GZ183" s="342" t="s">
        <v>973</v>
      </c>
      <c r="HA183" s="340"/>
      <c r="HB183" s="340"/>
      <c r="HC183" s="340"/>
      <c r="HD183" s="342" t="s">
        <v>974</v>
      </c>
      <c r="HE183" s="340"/>
      <c r="HF183" s="340"/>
      <c r="HG183" s="340"/>
      <c r="HH183" s="340"/>
      <c r="HI183" s="340"/>
      <c r="HJ183" s="340"/>
      <c r="HK183" s="340"/>
      <c r="HL183" s="340"/>
      <c r="HM183" s="341"/>
      <c r="HN183" s="341"/>
      <c r="HO183" s="341"/>
      <c r="HP183" s="341"/>
      <c r="HQ183" s="341"/>
      <c r="HR183" s="341"/>
      <c r="HS183" s="238"/>
      <c r="HT183" s="238"/>
      <c r="HU183" s="238"/>
      <c r="HV183" s="238"/>
      <c r="HX183" s="238"/>
      <c r="HY183" s="238"/>
      <c r="HZ183" s="238"/>
      <c r="ID183" s="238"/>
    </row>
    <row r="184" spans="1:238" s="234" customFormat="1" ht="20.100000000000001" customHeight="1">
      <c r="A184" s="235"/>
      <c r="B184" s="231">
        <f>COUNT(AJ185,AJ184)</f>
        <v>0</v>
      </c>
      <c r="C184" s="325" t="str">
        <f>CONCATENATE(BG184,BE184)</f>
        <v>HS</v>
      </c>
      <c r="D184" s="253" t="str">
        <f>REPT(DN184,1)</f>
        <v>1</v>
      </c>
      <c r="E184" s="254" t="str">
        <f>REPT(AH184,1)</f>
        <v/>
      </c>
      <c r="F184" s="168"/>
      <c r="G184" s="168"/>
      <c r="H184" s="168"/>
      <c r="I184" s="169"/>
      <c r="J184" s="255" t="str">
        <f>REPT(AM184,1)</f>
        <v/>
      </c>
      <c r="L184" s="309">
        <f>SUM(BS193)</f>
        <v>0</v>
      </c>
      <c r="M184" s="238"/>
      <c r="N184" s="255" t="str">
        <f>REPT(AP184,1)</f>
        <v/>
      </c>
      <c r="P184" s="309">
        <f>SUM(CF193)</f>
        <v>0</v>
      </c>
      <c r="Q184" s="310"/>
      <c r="R184" s="323" t="str">
        <f>CONCATENATE(BH184,BE184)</f>
        <v>GS</v>
      </c>
      <c r="S184" s="253" t="str">
        <f>REPT(DO184,1)</f>
        <v>1</v>
      </c>
      <c r="T184" s="254" t="str">
        <f>REPT(AV184,1)</f>
        <v/>
      </c>
      <c r="U184" s="168"/>
      <c r="V184" s="168"/>
      <c r="W184" s="168"/>
      <c r="X184" s="169"/>
      <c r="Y184" s="255" t="str">
        <f>REPT(BA184,1)</f>
        <v/>
      </c>
      <c r="Z184" s="308"/>
      <c r="AB184" s="234">
        <f>IF(AY184="",0,IF(AY184&lt;2,1,""))</f>
        <v>0</v>
      </c>
      <c r="AC184" s="238">
        <f>IF(AD184=1,1,IF(AD184=3,1,IF(AD184=2,0,IF(AD184=0,0,0))))</f>
        <v>0</v>
      </c>
      <c r="AD184" s="256">
        <f>SUM(AE184:AG184)</f>
        <v>0</v>
      </c>
      <c r="AE184" s="256">
        <f t="shared" ref="AE184:AE188" si="428">IF(F184="",0,1)</f>
        <v>0</v>
      </c>
      <c r="AF184" s="256">
        <f t="shared" ref="AF184:AF188" si="429">IF(G184="",0,1)</f>
        <v>0</v>
      </c>
      <c r="AG184" s="256">
        <f>IF(H184="",0,1)</f>
        <v>0</v>
      </c>
      <c r="AH184" s="257" t="str">
        <f>IF(AK184="",IF(AI184="","",IF(AI184="",501,501-AI184)),501)</f>
        <v/>
      </c>
      <c r="AI184" s="256" t="str">
        <f>IF(F184&gt;1,F184,IF(F184=0,"",IF(F184="","","")))</f>
        <v/>
      </c>
      <c r="AJ184" s="256" t="str">
        <f>IF(G184&gt;8,G184,IF(G184="","",""))</f>
        <v/>
      </c>
      <c r="AK184" s="256" t="str">
        <f>IF(H184&gt;1,H184,IF(H184="","",""))</f>
        <v/>
      </c>
      <c r="AL184" s="256" t="str">
        <f>IF(I184&gt;0,I184,IF(I184="","",""))</f>
        <v/>
      </c>
      <c r="AM184" s="258" t="str">
        <f>IF(BK184=0,"","X")</f>
        <v/>
      </c>
      <c r="AN184" s="237"/>
      <c r="AO184" s="237"/>
      <c r="AP184" s="258" t="str">
        <f>IF(BM184=0,"","X")</f>
        <v/>
      </c>
      <c r="AQ184" s="236">
        <f>IF(AR184=1,1,IF(AR184=3,1,IF(AR184=2,0,IF(AR184=0,0,0))))</f>
        <v>0</v>
      </c>
      <c r="AR184" s="256">
        <f>SUM(AS184:AU184)</f>
        <v>0</v>
      </c>
      <c r="AS184" s="256">
        <f t="shared" ref="AS184:AS188" si="430">IF(U184="",0,1)</f>
        <v>0</v>
      </c>
      <c r="AT184" s="256">
        <f t="shared" ref="AT184:AT188" si="431">IF(V184="",0,1)</f>
        <v>0</v>
      </c>
      <c r="AU184" s="256">
        <f>IF(W184="",0,1)</f>
        <v>0</v>
      </c>
      <c r="AV184" s="257" t="str">
        <f>IF(AY184="",IF(AW184="","",IF(AW184="",501,501-AW184)),501)</f>
        <v/>
      </c>
      <c r="AW184" s="256" t="str">
        <f>IF(U184&gt;1,U184,IF(U184=0,"",IF(U184="","","")))</f>
        <v/>
      </c>
      <c r="AX184" s="256" t="str">
        <f>IF(V184&gt;8,V184,IF(V184="","",""))</f>
        <v/>
      </c>
      <c r="AY184" s="256" t="str">
        <f>IF(W184&gt;1,W184,IF(W184="","",""))</f>
        <v/>
      </c>
      <c r="AZ184" s="256" t="str">
        <f>IF(X184&gt;0,X184,IF(X184="","",""))</f>
        <v/>
      </c>
      <c r="BA184" s="258" t="str">
        <f>IF(BL184=0,"","X")</f>
        <v/>
      </c>
      <c r="BF184" s="238" t="s">
        <v>894</v>
      </c>
      <c r="BG184" s="238" t="str">
        <f>CONCATENATE(BF184,AK181)</f>
        <v>HS</v>
      </c>
      <c r="BH184" s="238" t="str">
        <f>CONCATENATE(BI184,AK181)</f>
        <v>GS</v>
      </c>
      <c r="BI184" s="238" t="s">
        <v>895</v>
      </c>
      <c r="BJ184" s="238"/>
      <c r="BK184" s="251">
        <f>SUM(DD184,DV184,EY184,ED184,FF184,BQ184,BS184,AC184)</f>
        <v>0</v>
      </c>
      <c r="BL184" s="251">
        <f>SUM(DE184,DW184,EE184,FT184,GA184,BR184,BT184,AQ184)</f>
        <v>0</v>
      </c>
      <c r="BM184" s="259">
        <f>SUM(DC184,BK184:BL184,AC184,AQ184)</f>
        <v>0</v>
      </c>
      <c r="BN184" s="239">
        <f>COUNT(AK184)</f>
        <v>0</v>
      </c>
      <c r="BO184" s="239">
        <f>COUNT(AY184)</f>
        <v>0</v>
      </c>
      <c r="BP184" s="239">
        <f>IF(BN186=0,0,1)</f>
        <v>0</v>
      </c>
      <c r="BQ184" s="260">
        <f>IF(AL184="",0,IF(AL184&gt;2,1,0))</f>
        <v>0</v>
      </c>
      <c r="BR184" s="261">
        <f>IF(AZ184="",0,IF(AZ184&gt;2,1,0))</f>
        <v>0</v>
      </c>
      <c r="BS184" s="262">
        <f>IF(AJ184=9,IF(AK184&lt;141,1,0),0)</f>
        <v>0</v>
      </c>
      <c r="BT184" s="263">
        <f>IF(AX184=9,IF(AY184&lt;141,1,0),0)</f>
        <v>0</v>
      </c>
      <c r="BU184" s="242">
        <f>IF(H184,G184,0)</f>
        <v>0</v>
      </c>
      <c r="BV184" s="238">
        <f>IF(BU184&gt;0,AJ184/3,0)</f>
        <v>0</v>
      </c>
      <c r="BW184" s="238">
        <f>ROUNDUP(BV184,0)</f>
        <v>0</v>
      </c>
      <c r="BX184" s="244">
        <f>IF(MOD(BW184,2)=0,BW184,BW184+1)</f>
        <v>0</v>
      </c>
      <c r="BY184" s="238">
        <f>IF(AJ184&lt;9,"",SUM(BX184-BW184))</f>
        <v>0</v>
      </c>
      <c r="BZ184" s="238">
        <f>IF(BY184=1,AK184,0)</f>
        <v>0</v>
      </c>
      <c r="CA184" s="243" t="str">
        <f>IF(BY184=0,AK184,0)</f>
        <v/>
      </c>
      <c r="CB184" s="238"/>
      <c r="CC184" s="238"/>
      <c r="CD184" s="242">
        <f>IF(W184,V184,0)</f>
        <v>0</v>
      </c>
      <c r="CE184" s="238">
        <f>IF(CD184&gt;0,AX184/3,0)</f>
        <v>0</v>
      </c>
      <c r="CF184" s="238">
        <f>ROUNDUP(CE184,0)</f>
        <v>0</v>
      </c>
      <c r="CG184" s="244">
        <f>IF(MOD(CF184,2)=0,CF184,CF184+1)</f>
        <v>0</v>
      </c>
      <c r="CH184" s="238">
        <f>IF(AX184&lt;9,"",SUM(CG184-CF184))</f>
        <v>0</v>
      </c>
      <c r="CI184" s="238">
        <f>IF(CH184=1,AY184,0)</f>
        <v>0</v>
      </c>
      <c r="CJ184" s="243" t="str">
        <f>IF(CH184=0,AY184,0)</f>
        <v/>
      </c>
      <c r="CK184" s="238"/>
      <c r="CL184" s="245">
        <f>IF(COUNT(F184,H184)=1,0,1)</f>
        <v>1</v>
      </c>
      <c r="CM184" s="245">
        <f>IF(COUNT(F184,U184)=1,0,1)</f>
        <v>1</v>
      </c>
      <c r="CN184" s="245">
        <f>IF(COUNT(H184,W184)=1,0,1)</f>
        <v>1</v>
      </c>
      <c r="CO184" s="245">
        <f>IF(COUNT(G184,V184)=2,0,1)</f>
        <v>1</v>
      </c>
      <c r="CP184" s="245">
        <f>IF(COUNT(U184,W184)=1,0,1)</f>
        <v>1</v>
      </c>
      <c r="CQ184" s="245">
        <f>IF(SUM(G184-V184)&gt;3,1,0)</f>
        <v>0</v>
      </c>
      <c r="CR184" s="245">
        <f>IF(SUM(G184-V184)&lt;-3,1,0)</f>
        <v>0</v>
      </c>
      <c r="CS184" s="264">
        <f>IF(AJ184=9,IF(AH184&lt;141,1,0),IF(AH184="",0,IF(AH184&gt;1,0,1)))</f>
        <v>0</v>
      </c>
      <c r="CT184" s="264">
        <f>IF(AX184=9,IF(AV184&lt;141,1,0),IF(AV184="",0,IF(AV184&gt;1,0,1)))</f>
        <v>0</v>
      </c>
      <c r="CU184" s="264">
        <f>IF(AI184="",0,IF(AI184&lt;502,0,1))</f>
        <v>0</v>
      </c>
      <c r="CV184" s="264">
        <f>IF(AW184="",0,IF(AW184&lt;502,0,1))</f>
        <v>0</v>
      </c>
      <c r="CW184" s="264">
        <f>IF(AI184="",IF(AJ184&lt;9,1,0),IF(AJ184&lt;9,1,0))</f>
        <v>0</v>
      </c>
      <c r="CX184" s="264">
        <f>IF(AW184="",IF(AX184&lt;9,1,0),IF(AX184&lt;9,1,0))</f>
        <v>0</v>
      </c>
      <c r="CY184" s="374"/>
      <c r="CZ184" s="374"/>
      <c r="DA184" s="374"/>
      <c r="DB184" s="374"/>
      <c r="DC184" s="265">
        <f>IF(AJ184="",0,SUM(CL184:CX184))</f>
        <v>0</v>
      </c>
      <c r="DD184" s="265">
        <f>IF(AJ184="",0,SUM(CL184,CS184,CU184,CW184))</f>
        <v>0</v>
      </c>
      <c r="DE184" s="265">
        <f>IF(AJ184="",0,SUM(CP184,CT184,CV184,CX184))</f>
        <v>0</v>
      </c>
      <c r="DF184" s="238"/>
      <c r="DG184" s="248" t="str">
        <f>IF(G184="","",SUM(G184-V184))</f>
        <v/>
      </c>
      <c r="DH184" s="245">
        <f>IF(F184="",0,1)</f>
        <v>0</v>
      </c>
      <c r="DI184" s="245" t="str">
        <f>IF(DG184=0,DH184,DG184)</f>
        <v/>
      </c>
      <c r="DJ184" s="245" t="e">
        <f>SIGN(DI184)</f>
        <v>#VALUE!</v>
      </c>
      <c r="DK184" s="245" t="str">
        <f>IF(G184="","",IF(DJ184=1,"*",""))</f>
        <v/>
      </c>
      <c r="DL184" s="245" t="str">
        <f>IF(G184="","",IF(DJ184=-1,"*",IF(DJ184=0,"*","")))</f>
        <v/>
      </c>
      <c r="DM184" s="245">
        <v>1</v>
      </c>
      <c r="DN184" s="245" t="str">
        <f>CONCATENATE(DM184,DK184)</f>
        <v>1</v>
      </c>
      <c r="DO184" s="245" t="str">
        <f>CONCATENATE(DM184,DL184)</f>
        <v>1</v>
      </c>
      <c r="DP184" s="245">
        <f>IF(DK184="*",1,0)</f>
        <v>0</v>
      </c>
      <c r="DQ184" s="245">
        <f>IF(DL184="*",1,0)</f>
        <v>0</v>
      </c>
      <c r="DR184" s="245"/>
      <c r="DS184" s="245"/>
      <c r="DT184" s="245"/>
      <c r="DU184" s="245"/>
      <c r="DV184" s="266"/>
      <c r="DW184" s="266"/>
      <c r="DX184" s="238">
        <f>IF(AK184="",0,1)</f>
        <v>0</v>
      </c>
      <c r="DY184" s="238">
        <f>IF(DG184=-3,1,0)</f>
        <v>0</v>
      </c>
      <c r="DZ184" s="238">
        <f>SUM(DX184:DY184)</f>
        <v>0</v>
      </c>
      <c r="EA184" s="238">
        <f>IF(AK184="",1,0)</f>
        <v>1</v>
      </c>
      <c r="EB184" s="238">
        <f>IF(DG184=3,1,0)</f>
        <v>0</v>
      </c>
      <c r="EC184" s="238">
        <f>SUM(EA184:EB184)</f>
        <v>1</v>
      </c>
      <c r="ED184" s="267">
        <f>IF(EC184=2,1,0)</f>
        <v>0</v>
      </c>
      <c r="EE184" s="267">
        <f>IF(DZ184=2,1,0)</f>
        <v>0</v>
      </c>
      <c r="EG184" s="166"/>
      <c r="EH184" s="238"/>
      <c r="EI184" s="238"/>
      <c r="EJ184" s="238"/>
      <c r="EK184" s="238"/>
      <c r="EL184" s="238"/>
      <c r="EM184" s="245">
        <f>IF(AK184="",0,1)</f>
        <v>0</v>
      </c>
      <c r="EN184" s="245">
        <f>SUM(AK184)</f>
        <v>0</v>
      </c>
      <c r="EO184" s="268">
        <f>SUM(AJ184)</f>
        <v>0</v>
      </c>
      <c r="EP184" s="268">
        <f>SUM(G184/3)</f>
        <v>0</v>
      </c>
      <c r="EQ184" s="268" t="e">
        <f>SUM(EO184/EP184)</f>
        <v>#DIV/0!</v>
      </c>
      <c r="ER184" s="268">
        <f>ROUNDDOWN(EP184,0)</f>
        <v>0</v>
      </c>
      <c r="ES184" s="268">
        <f>SUM(EO184,-ER184*3)</f>
        <v>0</v>
      </c>
      <c r="ET184" s="269" t="b">
        <f>MOD(EN184/1,2)=0</f>
        <v>1</v>
      </c>
      <c r="EU184" s="245">
        <f>IF(ET184=FALSE,1,0)</f>
        <v>0</v>
      </c>
      <c r="EV184" s="245">
        <f>IF(EN184=50,0,IF(EN184&lt;40,1,0))</f>
        <v>1</v>
      </c>
      <c r="EW184" s="245">
        <f>SUM(EU184:EV184)</f>
        <v>1</v>
      </c>
      <c r="EX184" s="267">
        <f>IF(EN184=1,1,IF(EN184=50,0,IF(ES184=1,IF(EN184&gt;40,1,0),0)))</f>
        <v>0</v>
      </c>
      <c r="EY184" s="267">
        <f>IF(ES184=1,IF(EW184=2,1,0),0)+EX184+FB184+FE184</f>
        <v>0</v>
      </c>
      <c r="EZ184" s="245">
        <f>IF(EN184=109,1,IF(EN184=108,1,IF(EN184=106,1,IF(EN184=105,1,IF(EN184=103,1,IF(EN184=102,1,IF(EN184=99,1,0)))))))</f>
        <v>0</v>
      </c>
      <c r="FA184" s="245">
        <f>IF(EN184&gt;110,1,0)</f>
        <v>0</v>
      </c>
      <c r="FB184" s="267">
        <f>IF(ES184=2,SUM(EZ184:FA184),0)</f>
        <v>0</v>
      </c>
      <c r="FC184" s="245">
        <f>IF(EN184=159,1,IF(EN184=162,1,IF(EN184=163,1,IF(EN184=165,1,IF(EN184=166,1,IF(EN184=168,1,IF(EN184=169,1,0)))))))</f>
        <v>0</v>
      </c>
      <c r="FD184" s="245">
        <f>IF(EN184&gt;170,1,0)</f>
        <v>0</v>
      </c>
      <c r="FE184" s="267">
        <f>IF(ES184=0,SUM(FC184:FD184),0)</f>
        <v>0</v>
      </c>
      <c r="FF184" s="251">
        <f>IF(AJ184="",0,IF(AI184="",0,IF(EO184/ER184-3=0,0,1)))</f>
        <v>0</v>
      </c>
      <c r="FG184" s="238"/>
      <c r="FH184" s="245">
        <f>IF(AY184="",0,1)</f>
        <v>0</v>
      </c>
      <c r="FI184" s="245">
        <f>SUM(AY184)</f>
        <v>0</v>
      </c>
      <c r="FJ184" s="268">
        <f>SUM(AX184)</f>
        <v>0</v>
      </c>
      <c r="FK184" s="268">
        <f>SUM(V184/3)</f>
        <v>0</v>
      </c>
      <c r="FL184" s="268" t="e">
        <f>SUM(FJ184/FK184)</f>
        <v>#DIV/0!</v>
      </c>
      <c r="FM184" s="268">
        <f>ROUNDDOWN(FK184,0)</f>
        <v>0</v>
      </c>
      <c r="FN184" s="268">
        <f>SUM(FJ184,-FM184*3)</f>
        <v>0</v>
      </c>
      <c r="FO184" s="269" t="b">
        <f>MOD(FI184/1,2)=0</f>
        <v>1</v>
      </c>
      <c r="FP184" s="245">
        <f>IF(FO184=FALSE,1,0)</f>
        <v>0</v>
      </c>
      <c r="FQ184" s="245">
        <f>IF(FI184=50,0,IF(FI184&lt;40,1,0))</f>
        <v>1</v>
      </c>
      <c r="FR184" s="245">
        <f>SUM(FP184:FQ184)</f>
        <v>1</v>
      </c>
      <c r="FS184" s="267">
        <f>IF(FI184=1,1,IF(FI184=50,0,IF(FN184=1,IF(FI184&gt;40,1,0),0)))</f>
        <v>0</v>
      </c>
      <c r="FT184" s="267">
        <f>IF(FN184=1,IF(FR184=2,1,0),0)+FS184+FW184+FZ184</f>
        <v>0</v>
      </c>
      <c r="FU184" s="245">
        <f>IF(FI184=109,1,IF(FI184=108,1,IF(FI184=106,1,IF(FI184=105,1,IF(FI184=103,1,IF(FI184=102,1,IF(FI184=99,1,0)))))))</f>
        <v>0</v>
      </c>
      <c r="FV184" s="245">
        <f>IF(FI184&gt;110,1,0)</f>
        <v>0</v>
      </c>
      <c r="FW184" s="267">
        <f>IF(FN184=2,SUM(FU184:FV184),0)</f>
        <v>0</v>
      </c>
      <c r="FX184" s="245">
        <f>IF(FI184=159,1,IF(FI184=162,1,IF(FI184=163,1,IF(FI184=165,1,IF(FI184=166,1,IF(FI184=168,1,IF(FI184=169,1,0)))))))</f>
        <v>0</v>
      </c>
      <c r="FY184" s="245">
        <f>IF(FI184&gt;170,1,0)</f>
        <v>0</v>
      </c>
      <c r="FZ184" s="267">
        <f>IF(FN184=0,SUM(FX184:FY184),0)</f>
        <v>0</v>
      </c>
      <c r="GA184" s="251">
        <f>IF(AX184="",0,IF(AW184="",0,IF(FJ184/FM184-3=0,0,1)))</f>
        <v>0</v>
      </c>
      <c r="GD184" s="341">
        <f>IF(AK181="D",1,0)</f>
        <v>0</v>
      </c>
      <c r="GE184" s="343"/>
      <c r="GF184" s="343" t="s">
        <v>866</v>
      </c>
      <c r="GG184" s="343" t="s">
        <v>868</v>
      </c>
      <c r="GH184" s="343" t="s">
        <v>848</v>
      </c>
      <c r="GI184" s="343">
        <v>180</v>
      </c>
      <c r="GJ184" s="343" t="s">
        <v>866</v>
      </c>
      <c r="GK184" s="343" t="s">
        <v>868</v>
      </c>
      <c r="GL184" s="343" t="s">
        <v>848</v>
      </c>
      <c r="GM184" s="343">
        <v>180</v>
      </c>
      <c r="GN184" s="343" t="s">
        <v>866</v>
      </c>
      <c r="GO184" s="343" t="s">
        <v>868</v>
      </c>
      <c r="GP184" s="343" t="s">
        <v>848</v>
      </c>
      <c r="GQ184" s="343">
        <v>180</v>
      </c>
      <c r="GR184" s="343" t="s">
        <v>866</v>
      </c>
      <c r="GS184" s="343" t="s">
        <v>868</v>
      </c>
      <c r="GT184" s="343" t="s">
        <v>848</v>
      </c>
      <c r="GU184" s="343">
        <v>180</v>
      </c>
      <c r="GV184" s="343" t="s">
        <v>866</v>
      </c>
      <c r="GW184" s="343" t="s">
        <v>868</v>
      </c>
      <c r="GX184" s="343" t="s">
        <v>848</v>
      </c>
      <c r="GY184" s="343">
        <v>180</v>
      </c>
      <c r="GZ184" s="343" t="s">
        <v>866</v>
      </c>
      <c r="HA184" s="343" t="s">
        <v>868</v>
      </c>
      <c r="HB184" s="343" t="s">
        <v>848</v>
      </c>
      <c r="HC184" s="343">
        <v>180</v>
      </c>
      <c r="HD184" s="343" t="s">
        <v>866</v>
      </c>
      <c r="HE184" s="343" t="s">
        <v>868</v>
      </c>
      <c r="HF184" s="341" t="s">
        <v>975</v>
      </c>
      <c r="HG184" s="341" t="s">
        <v>976</v>
      </c>
      <c r="HH184" s="341" t="s">
        <v>899</v>
      </c>
      <c r="HJ184" s="238"/>
      <c r="HK184" s="238"/>
      <c r="HL184" s="238"/>
      <c r="HM184" s="238">
        <f>COUNT(HI185,HJ185,HK185,HL185,HM185)</f>
        <v>0</v>
      </c>
      <c r="HN184" s="341"/>
      <c r="HO184" s="341"/>
      <c r="HP184" s="341"/>
      <c r="HQ184" s="341"/>
      <c r="HR184" s="341"/>
      <c r="HS184" s="238"/>
      <c r="HT184" s="238"/>
      <c r="HU184" s="238"/>
      <c r="HV184" s="238"/>
      <c r="HX184" s="238"/>
      <c r="HY184" s="238"/>
      <c r="ID184" s="238"/>
    </row>
    <row r="185" spans="1:238" s="234" customFormat="1" ht="20.100000000000001" customHeight="1">
      <c r="A185" s="235"/>
      <c r="B185" s="231">
        <f>COUNT(AJ186,AJ185)</f>
        <v>0</v>
      </c>
      <c r="C185" s="326">
        <f>IF(DK184="*",AJ181,AI181)</f>
        <v>2.1</v>
      </c>
      <c r="D185" s="253" t="str">
        <f>REPT(DN185,1)</f>
        <v>2</v>
      </c>
      <c r="E185" s="254" t="str">
        <f>REPT(AH185,1)</f>
        <v/>
      </c>
      <c r="F185" s="168"/>
      <c r="G185" s="168"/>
      <c r="H185" s="168"/>
      <c r="I185" s="169"/>
      <c r="J185" s="270" t="str">
        <f>REPT(AM185,1)</f>
        <v/>
      </c>
      <c r="L185" s="306" t="s">
        <v>922</v>
      </c>
      <c r="M185" s="311"/>
      <c r="N185" s="270" t="str">
        <f>REPT(AP185,1)</f>
        <v/>
      </c>
      <c r="P185" s="306" t="s">
        <v>922</v>
      </c>
      <c r="Q185" s="310"/>
      <c r="R185" s="324">
        <f>IF(DL184="*",AJ181,AI181)</f>
        <v>2.1</v>
      </c>
      <c r="S185" s="253" t="str">
        <f>REPT(DO185,1)</f>
        <v>2</v>
      </c>
      <c r="T185" s="254" t="str">
        <f>REPT(AV185,1)</f>
        <v/>
      </c>
      <c r="U185" s="168"/>
      <c r="V185" s="168"/>
      <c r="W185" s="168"/>
      <c r="X185" s="169"/>
      <c r="Y185" s="270" t="str">
        <f t="shared" ref="Y185:Y187" si="432">REPT(BA185,1)</f>
        <v/>
      </c>
      <c r="Z185" s="308"/>
      <c r="AB185" s="234">
        <f>IF(AY185="",0,IF(AY185&lt;2,1,""))</f>
        <v>0</v>
      </c>
      <c r="AC185" s="238">
        <f t="shared" ref="AC185:AC186" si="433">IF(AD185=1,1,IF(AD185=3,1,IF(AD185=2,0,IF(AD185=0,0,0))))</f>
        <v>0</v>
      </c>
      <c r="AD185" s="256">
        <f t="shared" ref="AD185:AD188" si="434">SUM(AE185:AG185)</f>
        <v>0</v>
      </c>
      <c r="AE185" s="256">
        <f t="shared" si="428"/>
        <v>0</v>
      </c>
      <c r="AF185" s="256">
        <f t="shared" si="429"/>
        <v>0</v>
      </c>
      <c r="AG185" s="256">
        <f t="shared" ref="AG185:AG188" si="435">IF(H185="",0,1)</f>
        <v>0</v>
      </c>
      <c r="AH185" s="257" t="str">
        <f>IF(AK185="",IF(AI185="","",IF(AI185="",501,501-AI185)),501)</f>
        <v/>
      </c>
      <c r="AI185" s="256" t="str">
        <f>IF(F185&gt;1,F185,IF(F185=0,"",IF(F185="","","")))</f>
        <v/>
      </c>
      <c r="AJ185" s="256" t="str">
        <f>IF(G185&gt;8,G185,IF(G185="","",""))</f>
        <v/>
      </c>
      <c r="AK185" s="256" t="str">
        <f>IF(H185&gt;1,H185,IF(H185="","",""))</f>
        <v/>
      </c>
      <c r="AL185" s="256" t="str">
        <f>IF(I185&gt;0,I185,IF(I185="","",""))</f>
        <v/>
      </c>
      <c r="AM185" s="258" t="str">
        <f>IF(BK185=0,"","X")</f>
        <v/>
      </c>
      <c r="AN185" s="237"/>
      <c r="AO185" s="237"/>
      <c r="AP185" s="258" t="str">
        <f>IF(BM185=0,"","X")</f>
        <v/>
      </c>
      <c r="AQ185" s="236">
        <f t="shared" ref="AQ185:AQ186" si="436">IF(AR185=1,1,IF(AR185=3,1,IF(AR185=2,0,IF(AR185=0,0,0))))</f>
        <v>0</v>
      </c>
      <c r="AR185" s="256">
        <f t="shared" ref="AR185:AR188" si="437">SUM(AS185:AU185)</f>
        <v>0</v>
      </c>
      <c r="AS185" s="256">
        <f t="shared" si="430"/>
        <v>0</v>
      </c>
      <c r="AT185" s="256">
        <f t="shared" si="431"/>
        <v>0</v>
      </c>
      <c r="AU185" s="256">
        <f t="shared" ref="AU185:AU188" si="438">IF(W185="",0,1)</f>
        <v>0</v>
      </c>
      <c r="AV185" s="257" t="str">
        <f>IF(AY185="",IF(AW185="","",IF(AW185="",501,501-AW185)),501)</f>
        <v/>
      </c>
      <c r="AW185" s="256" t="str">
        <f>IF(U185&gt;1,U185,IF(U185=0,"",IF(U185="","","")))</f>
        <v/>
      </c>
      <c r="AX185" s="256" t="str">
        <f>IF(V185&gt;8,V185,IF(V185="","",""))</f>
        <v/>
      </c>
      <c r="AY185" s="256" t="str">
        <f>IF(W185&gt;1,W185,IF(W185="","",""))</f>
        <v/>
      </c>
      <c r="AZ185" s="256" t="str">
        <f>IF(X185&gt;0,X185,IF(X185="","",""))</f>
        <v/>
      </c>
      <c r="BA185" s="258" t="str">
        <f>IF(BL185=0,"","X")</f>
        <v/>
      </c>
      <c r="BK185" s="251">
        <f>SUM(DD185,DV185,EY185,ED185,FF185,BQ185,BS185,AC185)</f>
        <v>0</v>
      </c>
      <c r="BL185" s="251">
        <f>SUM(DE185,DW185,EE185,FT185,GA185,BR185,BT185,AQ185)</f>
        <v>0</v>
      </c>
      <c r="BM185" s="259">
        <f t="shared" ref="BM185:BM186" si="439">SUM(DC185,BK185:BL185,AC185,AQ185)</f>
        <v>0</v>
      </c>
      <c r="BN185" s="239">
        <f>COUNT(AK185)</f>
        <v>0</v>
      </c>
      <c r="BO185" s="239">
        <f>COUNT(AY185)</f>
        <v>0</v>
      </c>
      <c r="BP185" s="239">
        <f>IF(BN187=0,0,1)</f>
        <v>0</v>
      </c>
      <c r="BQ185" s="260">
        <f>IF(AL185="",0,IF(AL185&gt;2,1,0))</f>
        <v>0</v>
      </c>
      <c r="BR185" s="261">
        <f>IF(AZ185="",0,IF(AZ185&gt;2,1,0))</f>
        <v>0</v>
      </c>
      <c r="BS185" s="262">
        <f>IF(AJ185=9,IF(AK185&lt;141,1,0),0)</f>
        <v>0</v>
      </c>
      <c r="BT185" s="263">
        <f>IF(AX185=9,IF(AY185&lt;141,1,0),0)</f>
        <v>0</v>
      </c>
      <c r="BU185" s="242">
        <f>IF(H185,G185,0)</f>
        <v>0</v>
      </c>
      <c r="BV185" s="238">
        <f>IF(BU185&gt;0,AJ185/3,0)</f>
        <v>0</v>
      </c>
      <c r="BW185" s="238">
        <f>ROUNDUP(BV185,0)</f>
        <v>0</v>
      </c>
      <c r="BX185" s="244">
        <f>IF(MOD(BW185,2)=0,BW185,BW185+1)</f>
        <v>0</v>
      </c>
      <c r="BY185" s="238">
        <f>IF(AJ185&lt;9,"",SUM(BX185-BW185))</f>
        <v>0</v>
      </c>
      <c r="BZ185" s="238">
        <f>IF(BY185=1,AK185,0)</f>
        <v>0</v>
      </c>
      <c r="CA185" s="243" t="str">
        <f>IF(BY185=0,AK185,0)</f>
        <v/>
      </c>
      <c r="CB185" s="238"/>
      <c r="CC185" s="238"/>
      <c r="CD185" s="242">
        <f>IF(W185,V185,0)</f>
        <v>0</v>
      </c>
      <c r="CE185" s="238">
        <f>IF(CD185&gt;0,AX185/3,0)</f>
        <v>0</v>
      </c>
      <c r="CF185" s="238">
        <f>ROUNDUP(CE185,0)</f>
        <v>0</v>
      </c>
      <c r="CG185" s="244">
        <f>IF(MOD(CF185,2)=0,CF185,CF185+1)</f>
        <v>0</v>
      </c>
      <c r="CH185" s="238">
        <f>IF(AX185&lt;9,"",SUM(CG185-CF185))</f>
        <v>0</v>
      </c>
      <c r="CI185" s="238">
        <f>IF(CH185=1,AY185,0)</f>
        <v>0</v>
      </c>
      <c r="CJ185" s="243" t="str">
        <f>IF(CH185=0,AY185,0)</f>
        <v/>
      </c>
      <c r="CK185" s="238"/>
      <c r="CL185" s="245">
        <f>IF(COUNT(F185,H185)=1,0,1)</f>
        <v>1</v>
      </c>
      <c r="CM185" s="245">
        <f>IF(COUNT(F185,U185)=1,0,1)</f>
        <v>1</v>
      </c>
      <c r="CN185" s="245">
        <f>IF(COUNT(H185,W185)=1,0,1)</f>
        <v>1</v>
      </c>
      <c r="CO185" s="245">
        <f>IF(COUNT(G185,V185)=2,0,1)</f>
        <v>1</v>
      </c>
      <c r="CP185" s="245">
        <f>IF(COUNT(U185,W185)=1,0,1)</f>
        <v>1</v>
      </c>
      <c r="CQ185" s="245">
        <f>IF(SUM(G185-V185)&gt;3,1,0)</f>
        <v>0</v>
      </c>
      <c r="CR185" s="245">
        <f>IF(SUM(G185-V185)&lt;-3,1,0)</f>
        <v>0</v>
      </c>
      <c r="CS185" s="264">
        <f>IF(AJ185=9,IF(AH185&lt;141,1,0),IF(AH185="",0,IF(AH185&gt;1,0,1)))</f>
        <v>0</v>
      </c>
      <c r="CT185" s="264">
        <f>IF(AX185=9,IF(AV185&lt;141,1,0),IF(AV185="",0,IF(AV185&gt;1,0,1)))</f>
        <v>0</v>
      </c>
      <c r="CU185" s="264">
        <f>IF(AI185="",0,IF(AI185&lt;502,0,1))</f>
        <v>0</v>
      </c>
      <c r="CV185" s="264">
        <f>IF(AW185="",0,IF(AW185&lt;502,0,1))</f>
        <v>0</v>
      </c>
      <c r="CW185" s="264">
        <f>IF(AI185="",IF(AJ185&lt;9,1,0),IF(AJ185&lt;9,1,0))</f>
        <v>0</v>
      </c>
      <c r="CX185" s="264">
        <f>IF(AW185="",IF(AX185&lt;9,1,0),IF(AX185&lt;9,1,0))</f>
        <v>0</v>
      </c>
      <c r="CY185" s="374"/>
      <c r="CZ185" s="374"/>
      <c r="DA185" s="374"/>
      <c r="DB185" s="374"/>
      <c r="DC185" s="265">
        <f>IF(AJ185="",0,SUM(CL185:CX185))</f>
        <v>0</v>
      </c>
      <c r="DD185" s="265">
        <f>IF(AJ185="",0,SUM(CL185,CS185,CU185,CW185))</f>
        <v>0</v>
      </c>
      <c r="DE185" s="265">
        <f>IF(AJ185="",0,SUM(CP185,CT185,CV185,CX185))</f>
        <v>0</v>
      </c>
      <c r="DF185" s="238"/>
      <c r="DG185" s="248">
        <f>SUM(G185-V185)</f>
        <v>0</v>
      </c>
      <c r="DH185" s="245">
        <f>IF(F185="",0,1)</f>
        <v>0</v>
      </c>
      <c r="DI185" s="245">
        <f t="shared" ref="DI185:DI188" si="440">IF(DG185=0,DH185,DG185)</f>
        <v>0</v>
      </c>
      <c r="DJ185" s="245">
        <f t="shared" ref="DJ185:DJ188" si="441">SIGN(DI185)</f>
        <v>0</v>
      </c>
      <c r="DK185" s="245" t="str">
        <f>IF(G185="","",IF(DJ185=1,"*",""))</f>
        <v/>
      </c>
      <c r="DL185" s="245" t="str">
        <f>IF(G185="","",IF(DJ185=-1,"*",IF(DJ185=0,"*","")))</f>
        <v/>
      </c>
      <c r="DM185" s="245">
        <v>2</v>
      </c>
      <c r="DN185" s="245" t="str">
        <f t="shared" ref="DN185:DN188" si="442">CONCATENATE(DM185,DK185)</f>
        <v>2</v>
      </c>
      <c r="DO185" s="245" t="str">
        <f t="shared" ref="DO185:DO188" si="443">CONCATENATE(DM185,DL185)</f>
        <v>2</v>
      </c>
      <c r="DP185" s="245">
        <f>SUM(DQ184)</f>
        <v>0</v>
      </c>
      <c r="DQ185" s="245">
        <f>SUM(DP184)</f>
        <v>0</v>
      </c>
      <c r="DR185" s="245">
        <f>IF(DK185="*",1,0)</f>
        <v>0</v>
      </c>
      <c r="DS185" s="245">
        <f>IF(DL185="*",1,0)</f>
        <v>0</v>
      </c>
      <c r="DT185" s="245">
        <f>IF(H175="",0,IF(DP185=DR185,1,0))</f>
        <v>0</v>
      </c>
      <c r="DU185" s="245">
        <f>IF(V185="",0,IF(DQ185=DS185,0,1))</f>
        <v>0</v>
      </c>
      <c r="DV185" s="267">
        <f>SUM(DT185)</f>
        <v>0</v>
      </c>
      <c r="DW185" s="267">
        <f>IF(V185="",0,SUM(DU185))</f>
        <v>0</v>
      </c>
      <c r="DX185" s="238">
        <f>IF(AK185="",0,1)</f>
        <v>0</v>
      </c>
      <c r="DY185" s="238">
        <f>IF(DG185=-3,1,0)</f>
        <v>0</v>
      </c>
      <c r="DZ185" s="238">
        <f>SUM(DX185:DY185)</f>
        <v>0</v>
      </c>
      <c r="EA185" s="238">
        <f>IF(AK185="",1,0)</f>
        <v>1</v>
      </c>
      <c r="EB185" s="238">
        <f>IF(DG185=3,1,0)</f>
        <v>0</v>
      </c>
      <c r="EC185" s="238">
        <f>SUM(EA185:EB185)</f>
        <v>1</v>
      </c>
      <c r="ED185" s="267">
        <f>IF(EC185=2,1,0)</f>
        <v>0</v>
      </c>
      <c r="EE185" s="267">
        <f>IF(DZ185=2,1,0)</f>
        <v>0</v>
      </c>
      <c r="EG185" s="166"/>
      <c r="EH185" s="238"/>
      <c r="EI185" s="238"/>
      <c r="EJ185" s="238"/>
      <c r="EK185" s="238"/>
      <c r="EL185" s="238"/>
      <c r="EM185" s="245">
        <f>IF(AK185="",0,1)</f>
        <v>0</v>
      </c>
      <c r="EN185" s="245">
        <f>SUM(AK185)</f>
        <v>0</v>
      </c>
      <c r="EO185" s="268">
        <f>SUM(AJ185)</f>
        <v>0</v>
      </c>
      <c r="EP185" s="268">
        <f>SUM(G185/3)</f>
        <v>0</v>
      </c>
      <c r="EQ185" s="268" t="e">
        <f>SUM(EO185/EP185)</f>
        <v>#DIV/0!</v>
      </c>
      <c r="ER185" s="268">
        <f>ROUNDDOWN(EP185,0)</f>
        <v>0</v>
      </c>
      <c r="ES185" s="268">
        <f>SUM(EO185,-ER185*3)</f>
        <v>0</v>
      </c>
      <c r="ET185" s="269" t="b">
        <f>MOD(EN185/1,2)=0</f>
        <v>1</v>
      </c>
      <c r="EU185" s="245">
        <f>IF(ET185=FALSE,1,0)</f>
        <v>0</v>
      </c>
      <c r="EV185" s="245">
        <f>IF(EN185=50,0,IF(EN185&lt;40,1,0))</f>
        <v>1</v>
      </c>
      <c r="EW185" s="245">
        <f>SUM(EU185:EV185)</f>
        <v>1</v>
      </c>
      <c r="EX185" s="267">
        <f>IF(EN185=1,1,IF(EN185=50,0,IF(ES185=1,IF(EN185&gt;40,1,0),0)))</f>
        <v>0</v>
      </c>
      <c r="EY185" s="267">
        <f>IF(ES185=1,IF(EW185=2,1,0),0)+EX185+FB185+FE185</f>
        <v>0</v>
      </c>
      <c r="EZ185" s="245">
        <f>IF(EN185=109,1,IF(EN185=108,1,IF(EN185=106,1,IF(EN185=105,1,IF(EN185=103,1,IF(EN185=102,1,IF(EN185=99,1,0)))))))</f>
        <v>0</v>
      </c>
      <c r="FA185" s="245">
        <f>IF(EN185&gt;110,1,0)</f>
        <v>0</v>
      </c>
      <c r="FB185" s="267">
        <f>IF(ES185=2,SUM(EZ185:FA185),0)</f>
        <v>0</v>
      </c>
      <c r="FC185" s="245">
        <f>IF(EN185=159,1,IF(EN185=162,1,IF(EN185=163,1,IF(EN185=165,1,IF(EN185=166,1,IF(EN185=168,1,IF(EN185=169,1,0)))))))</f>
        <v>0</v>
      </c>
      <c r="FD185" s="245">
        <f>IF(EN185&gt;170,1,0)</f>
        <v>0</v>
      </c>
      <c r="FE185" s="267">
        <f>IF(ES185=0,SUM(FC185:FD185),0)</f>
        <v>0</v>
      </c>
      <c r="FF185" s="251">
        <f t="shared" ref="FF185:FF188" si="444">IF(AJ185="",0,IF(AI185="",0,IF(EO185/ER185-3=0,0,1)))</f>
        <v>0</v>
      </c>
      <c r="FG185" s="238"/>
      <c r="FH185" s="245">
        <f>IF(AY185="",0,1)</f>
        <v>0</v>
      </c>
      <c r="FI185" s="245">
        <f>SUM(AY185)</f>
        <v>0</v>
      </c>
      <c r="FJ185" s="268">
        <f>SUM(AX185)</f>
        <v>0</v>
      </c>
      <c r="FK185" s="268">
        <f>SUM(V185/3)</f>
        <v>0</v>
      </c>
      <c r="FL185" s="268" t="e">
        <f>SUM(FJ185/FK185)</f>
        <v>#DIV/0!</v>
      </c>
      <c r="FM185" s="268">
        <f>ROUNDDOWN(FK185,0)</f>
        <v>0</v>
      </c>
      <c r="FN185" s="268">
        <f>SUM(FJ185,-FM185*3)</f>
        <v>0</v>
      </c>
      <c r="FO185" s="269" t="b">
        <f>MOD(FI185/1,2)=0</f>
        <v>1</v>
      </c>
      <c r="FP185" s="245">
        <f>IF(FO185=FALSE,1,0)</f>
        <v>0</v>
      </c>
      <c r="FQ185" s="245">
        <f>IF(FI185=50,0,IF(FI185&lt;40,1,0))</f>
        <v>1</v>
      </c>
      <c r="FR185" s="245">
        <f>SUM(FP185:FQ185)</f>
        <v>1</v>
      </c>
      <c r="FS185" s="267">
        <f>IF(FI185=1,1,IF(FI185=50,0,IF(FN185=1,IF(FI185&gt;40,1,0),0)))</f>
        <v>0</v>
      </c>
      <c r="FT185" s="267">
        <f>IF(FN185=1,IF(FR185=2,1,0),0)+FS185+FW185+FZ185</f>
        <v>0</v>
      </c>
      <c r="FU185" s="245">
        <f>IF(FI185=109,1,IF(FI185=108,1,IF(FI185=106,1,IF(FI185=105,1,IF(FI185=103,1,IF(FI185=102,1,IF(FI185=99,1,0)))))))</f>
        <v>0</v>
      </c>
      <c r="FV185" s="245">
        <f>IF(FI185&gt;110,1,0)</f>
        <v>0</v>
      </c>
      <c r="FW185" s="267">
        <f>IF(FN185=2,SUM(FU185:FV185),0)</f>
        <v>0</v>
      </c>
      <c r="FX185" s="245">
        <f>IF(FI185=159,1,IF(FI185=162,1,IF(FI185=163,1,IF(FI185=165,1,IF(FI185=166,1,IF(FI185=168,1,IF(FI185=169,1,0)))))))</f>
        <v>0</v>
      </c>
      <c r="FY185" s="245">
        <f>IF(FI185&gt;170,1,0)</f>
        <v>0</v>
      </c>
      <c r="FZ185" s="267">
        <f>IF(FN185=0,SUM(FX185:FY185),0)</f>
        <v>0</v>
      </c>
      <c r="GA185" s="251">
        <f t="shared" ref="GA185:GA188" si="445">IF(AX185="",0,IF(AW185="",0,IF(FJ185/FM185-3=0,0,1)))</f>
        <v>0</v>
      </c>
      <c r="GC185" s="238" t="str">
        <f>VLOOKUP(AH181,Chema!BL:BR,2,FALSE)</f>
        <v>HS 2.1</v>
      </c>
      <c r="GD185" s="341">
        <f>IF(E191="FORFAIT",1,0)</f>
        <v>0</v>
      </c>
      <c r="GE185" s="343" t="str">
        <f>IF(C191="","",SUM(C191))</f>
        <v/>
      </c>
      <c r="GF185" s="344">
        <f>SUM(AH184)</f>
        <v>0</v>
      </c>
      <c r="GG185" s="344">
        <f>SUM(AJ184)</f>
        <v>0</v>
      </c>
      <c r="GH185" s="344">
        <f t="shared" ref="GH185" si="446">SUM(AK184)</f>
        <v>0</v>
      </c>
      <c r="GI185" s="344">
        <f t="shared" ref="GI185" si="447">SUM(AL184)</f>
        <v>0</v>
      </c>
      <c r="GJ185" s="344">
        <f>SUM(AH185)</f>
        <v>0</v>
      </c>
      <c r="GK185" s="344">
        <f>SUM(AJ185)</f>
        <v>0</v>
      </c>
      <c r="GL185" s="344">
        <f>SUM(AK185)</f>
        <v>0</v>
      </c>
      <c r="GM185" s="344">
        <f>SUM(AL185)</f>
        <v>0</v>
      </c>
      <c r="GN185" s="344">
        <f>SUM(AH186)</f>
        <v>0</v>
      </c>
      <c r="GO185" s="344">
        <f>SUM(AJ186)</f>
        <v>0</v>
      </c>
      <c r="GP185" s="344">
        <f>SUM(AK186)</f>
        <v>0</v>
      </c>
      <c r="GQ185" s="344">
        <f>SUM(AL186)</f>
        <v>0</v>
      </c>
      <c r="GR185" s="344">
        <f>SUM(AH187)</f>
        <v>0</v>
      </c>
      <c r="GS185" s="344">
        <f>SUM(AJ187)</f>
        <v>0</v>
      </c>
      <c r="GT185" s="344">
        <f>SUM(AK187)</f>
        <v>0</v>
      </c>
      <c r="GU185" s="344">
        <f>SUM(AL187)</f>
        <v>0</v>
      </c>
      <c r="GV185" s="344">
        <f>SUM(AH188)</f>
        <v>0</v>
      </c>
      <c r="GW185" s="344">
        <f>SUM(AJ188)</f>
        <v>0</v>
      </c>
      <c r="GX185" s="344">
        <f>SUM(AK188)</f>
        <v>0</v>
      </c>
      <c r="GY185" s="344">
        <f>SUM(AL188)</f>
        <v>0</v>
      </c>
      <c r="GZ185" s="344">
        <f>SUM(GF185,GJ185,GN185,GR185,GV185)</f>
        <v>0</v>
      </c>
      <c r="HA185" s="344">
        <f t="shared" ref="HA185" si="448">SUM(GG185,GK185,GO185,GS185,GW185)</f>
        <v>0</v>
      </c>
      <c r="HB185" s="344">
        <f>IF(GD184=1,L191,MAX(GH185,GL185,GP185,GT185,GX185))</f>
        <v>0</v>
      </c>
      <c r="HC185" s="344">
        <f>IF(GD184=1,I191,SUM(GI185,GM185,GQ185,GU185,GY185))</f>
        <v>0</v>
      </c>
      <c r="HD185" s="345">
        <f>IF(GD184=1,0,SUM(GF185,GJ185,GN185,GR185,GV185))</f>
        <v>0</v>
      </c>
      <c r="HE185" s="345">
        <f>IF(GD184=1,0,SUM(GG185,GK185,GO185,GS185,GW185))</f>
        <v>0</v>
      </c>
      <c r="HF185" s="341">
        <f>IF(GD184=1,0,MIN(HI185,HJ185,HK185,HL185,HM185))</f>
        <v>0</v>
      </c>
      <c r="HG185" s="341">
        <f>IF(HF185=0,0,COUNTIF(HI185:HM185,HF185))</f>
        <v>0</v>
      </c>
      <c r="HH185" s="341">
        <f>SUM(GH186,GL186,GP186,GT186,GX186)</f>
        <v>0</v>
      </c>
      <c r="HI185" s="343" t="str">
        <f>IF(GH186=1,GG185,"")</f>
        <v/>
      </c>
      <c r="HJ185" s="343" t="str">
        <f>IF(GL186=1,GK185,"")</f>
        <v/>
      </c>
      <c r="HK185" s="343" t="str">
        <f>IF(GP186=1,GO185,"")</f>
        <v/>
      </c>
      <c r="HL185" s="343" t="str">
        <f>IF(GT186=1,GS185,"")</f>
        <v/>
      </c>
      <c r="HM185" s="343" t="str">
        <f>IF(GX186=1,GW185,"")</f>
        <v/>
      </c>
      <c r="HN185" s="341"/>
      <c r="HO185" s="341" t="s">
        <v>928</v>
      </c>
      <c r="HP185" s="341" t="s">
        <v>982</v>
      </c>
      <c r="HQ185" s="341" t="s">
        <v>983</v>
      </c>
      <c r="HR185" s="341" t="s">
        <v>984</v>
      </c>
      <c r="HS185" s="238" t="s">
        <v>932</v>
      </c>
      <c r="HT185" s="238" t="s">
        <v>933</v>
      </c>
      <c r="HU185" s="238" t="s">
        <v>985</v>
      </c>
      <c r="HV185" s="238" t="s">
        <v>986</v>
      </c>
      <c r="HW185" s="238" t="str">
        <f>IFERROR(IF(GD184=0,SUM(HZ186:IA186),""),"")</f>
        <v/>
      </c>
      <c r="HY185" s="238"/>
      <c r="HZ185" s="238" t="s">
        <v>1132</v>
      </c>
      <c r="IA185" s="238" t="s">
        <v>1133</v>
      </c>
      <c r="IB185" s="238" t="s">
        <v>1132</v>
      </c>
      <c r="IC185" s="238" t="s">
        <v>1133</v>
      </c>
      <c r="ID185" s="238"/>
    </row>
    <row r="186" spans="1:238" s="234" customFormat="1" ht="20.100000000000001" customHeight="1">
      <c r="A186" s="235"/>
      <c r="B186" s="231">
        <f>COUNT(AJ187,AJ186)</f>
        <v>0</v>
      </c>
      <c r="C186" s="235"/>
      <c r="D186" s="271" t="str">
        <f>REPT(DN186,1)</f>
        <v>3</v>
      </c>
      <c r="E186" s="254" t="str">
        <f>REPT(AH186,1)</f>
        <v/>
      </c>
      <c r="F186" s="168"/>
      <c r="G186" s="168"/>
      <c r="H186" s="168"/>
      <c r="I186" s="169"/>
      <c r="J186" s="270" t="str">
        <f t="shared" ref="J186:J187" si="449">REPT(AM186,1)</f>
        <v/>
      </c>
      <c r="L186" s="312">
        <f>SUM(L184*3)</f>
        <v>0</v>
      </c>
      <c r="M186" s="307"/>
      <c r="N186" s="270" t="str">
        <f>REPT(AP186,1)</f>
        <v/>
      </c>
      <c r="P186" s="312">
        <f>SUM(P184*3)</f>
        <v>0</v>
      </c>
      <c r="Q186" s="310"/>
      <c r="R186" s="235"/>
      <c r="S186" s="271" t="str">
        <f>REPT(DO186,1)</f>
        <v>3</v>
      </c>
      <c r="T186" s="254" t="str">
        <f>REPT(AV186,1)</f>
        <v/>
      </c>
      <c r="U186" s="168"/>
      <c r="V186" s="168"/>
      <c r="W186" s="168"/>
      <c r="X186" s="169"/>
      <c r="Y186" s="270" t="str">
        <f t="shared" si="432"/>
        <v/>
      </c>
      <c r="Z186" s="308"/>
      <c r="AB186" s="234">
        <f>IF(AY186="",0,IF(AY186&lt;2,1,""))</f>
        <v>0</v>
      </c>
      <c r="AC186" s="238">
        <f t="shared" si="433"/>
        <v>0</v>
      </c>
      <c r="AD186" s="256">
        <f t="shared" si="434"/>
        <v>0</v>
      </c>
      <c r="AE186" s="256">
        <f t="shared" si="428"/>
        <v>0</v>
      </c>
      <c r="AF186" s="256">
        <f t="shared" si="429"/>
        <v>0</v>
      </c>
      <c r="AG186" s="256">
        <f t="shared" si="435"/>
        <v>0</v>
      </c>
      <c r="AH186" s="257" t="str">
        <f>IF(AK186="",IF(AI186="","",IF(AI186="",501,501-AI186)),501)</f>
        <v/>
      </c>
      <c r="AI186" s="256" t="str">
        <f>IF(F186&gt;1,F186,IF(F186=0,"",IF(F186="","","")))</f>
        <v/>
      </c>
      <c r="AJ186" s="256" t="str">
        <f>IF(G186&gt;8,G186,IF(G186="","",""))</f>
        <v/>
      </c>
      <c r="AK186" s="256" t="str">
        <f>IF(H186&gt;1,H186,IF(H186="","",""))</f>
        <v/>
      </c>
      <c r="AL186" s="256" t="str">
        <f>IF(I186&gt;0,I186,IF(I186="","",""))</f>
        <v/>
      </c>
      <c r="AM186" s="258" t="str">
        <f>IF(BK186=0,"","X")</f>
        <v/>
      </c>
      <c r="AN186" s="237"/>
      <c r="AO186" s="237"/>
      <c r="AP186" s="258" t="str">
        <f>IF(BM186=0,"","X")</f>
        <v/>
      </c>
      <c r="AQ186" s="236">
        <f t="shared" si="436"/>
        <v>0</v>
      </c>
      <c r="AR186" s="256">
        <f t="shared" si="437"/>
        <v>0</v>
      </c>
      <c r="AS186" s="256">
        <f t="shared" si="430"/>
        <v>0</v>
      </c>
      <c r="AT186" s="256">
        <f t="shared" si="431"/>
        <v>0</v>
      </c>
      <c r="AU186" s="256">
        <f t="shared" si="438"/>
        <v>0</v>
      </c>
      <c r="AV186" s="257" t="str">
        <f>IF(AY186="",IF(AW186="","",IF(AW186="",501,501-AW186)),501)</f>
        <v/>
      </c>
      <c r="AW186" s="256" t="str">
        <f>IF(U186&gt;1,U186,IF(U186=0,"",IF(U186="","","")))</f>
        <v/>
      </c>
      <c r="AX186" s="256" t="str">
        <f>IF(V186&gt;8,V186,IF(V186="","",""))</f>
        <v/>
      </c>
      <c r="AY186" s="256" t="str">
        <f>IF(W186&gt;1,W186,IF(W186="","",""))</f>
        <v/>
      </c>
      <c r="AZ186" s="256" t="str">
        <f>IF(X186&gt;0,X186,IF(X186="","",""))</f>
        <v/>
      </c>
      <c r="BA186" s="258" t="str">
        <f>IF(BL186=0,"","X")</f>
        <v/>
      </c>
      <c r="BK186" s="251">
        <f>SUM(DD186,DV186,EY186,ED186,FF186,BQ186,BS186,AC186,BK193)</f>
        <v>0</v>
      </c>
      <c r="BL186" s="251">
        <f>SUM(DE186,DW186,EE186,FT186,GA186,BR186,BT186,AQ186,BL193,CZ186)</f>
        <v>0</v>
      </c>
      <c r="BM186" s="259">
        <f t="shared" si="439"/>
        <v>0</v>
      </c>
      <c r="BN186" s="239">
        <f>COUNT(AK186)</f>
        <v>0</v>
      </c>
      <c r="BO186" s="239">
        <f>COUNT(AY186)</f>
        <v>0</v>
      </c>
      <c r="BP186" s="239">
        <f>IF(BN188=0,0,1)</f>
        <v>0</v>
      </c>
      <c r="BQ186" s="260">
        <f>IF(AL186="",0,IF(AL186&gt;2,1,0))</f>
        <v>0</v>
      </c>
      <c r="BR186" s="261">
        <f>IF(AZ186="",0,IF(AZ186&gt;2,1,0))</f>
        <v>0</v>
      </c>
      <c r="BS186" s="262">
        <f>IF(AJ186=9,IF(AK186&lt;141,1,0),0)</f>
        <v>0</v>
      </c>
      <c r="BT186" s="263">
        <f>IF(AX186=9,IF(AY186&lt;141,1,0),0)</f>
        <v>0</v>
      </c>
      <c r="BU186" s="242">
        <f>IF(H186,G186,0)</f>
        <v>0</v>
      </c>
      <c r="BV186" s="238">
        <f>IF(BU186&gt;0,AJ186/3,0)</f>
        <v>0</v>
      </c>
      <c r="BW186" s="238">
        <f>ROUNDUP(BV186,0)</f>
        <v>0</v>
      </c>
      <c r="BX186" s="244">
        <f>IF(MOD(BW186,2)=0,BW186,BW186+1)</f>
        <v>0</v>
      </c>
      <c r="BY186" s="238">
        <f>IF(AJ186&lt;9,"",SUM(BX186-BW186))</f>
        <v>0</v>
      </c>
      <c r="BZ186" s="238">
        <f>IF(BY186=1,AK186,0)</f>
        <v>0</v>
      </c>
      <c r="CA186" s="243" t="str">
        <f>IF(BY186=0,AK186,0)</f>
        <v/>
      </c>
      <c r="CB186" s="238"/>
      <c r="CC186" s="238"/>
      <c r="CD186" s="242">
        <f>IF(W186,V186,0)</f>
        <v>0</v>
      </c>
      <c r="CE186" s="238">
        <f>IF(CD186&gt;0,AX186/3,0)</f>
        <v>0</v>
      </c>
      <c r="CF186" s="238">
        <f>ROUNDUP(CE186,0)</f>
        <v>0</v>
      </c>
      <c r="CG186" s="244">
        <f>IF(MOD(CF186,2)=0,CF186,CF186+1)</f>
        <v>0</v>
      </c>
      <c r="CH186" s="238">
        <f>IF(AX186&lt;9,"",SUM(CG186-CF186))</f>
        <v>0</v>
      </c>
      <c r="CI186" s="238">
        <f>IF(CH186=1,AY186,0)</f>
        <v>0</v>
      </c>
      <c r="CJ186" s="243" t="str">
        <f>IF(CH186=0,AY186,0)</f>
        <v/>
      </c>
      <c r="CK186" s="238"/>
      <c r="CL186" s="245">
        <f>IF(COUNT(F186,H186)=1,0,1)</f>
        <v>1</v>
      </c>
      <c r="CM186" s="245">
        <f>IF(COUNT(F186,U186)=1,0,1)</f>
        <v>1</v>
      </c>
      <c r="CN186" s="245">
        <f>IF(COUNT(H186,W186)=1,0,1)</f>
        <v>1</v>
      </c>
      <c r="CO186" s="245">
        <f>IF(COUNT(G186,V186)=2,0,1)</f>
        <v>1</v>
      </c>
      <c r="CP186" s="245">
        <f>IF(COUNT(U186,W186)=1,0,1)</f>
        <v>1</v>
      </c>
      <c r="CQ186" s="245">
        <f>IF(SUM(G186-V186)&gt;3,1,0)</f>
        <v>0</v>
      </c>
      <c r="CR186" s="245">
        <f>IF(SUM(G186-V186)&lt;-3,1,0)</f>
        <v>0</v>
      </c>
      <c r="CS186" s="264">
        <f>IF(AJ186=9,IF(AH186&lt;141,1,0),IF(AH186="",0,IF(AH186&gt;1,0,1)))</f>
        <v>0</v>
      </c>
      <c r="CT186" s="264">
        <f>IF(AX186=9,IF(AV186&lt;141,1,0),IF(AV186="",0,IF(AV186&gt;1,0,1)))</f>
        <v>0</v>
      </c>
      <c r="CU186" s="264">
        <f>IF(AI186="",0,IF(AI186&lt;502,0,1))</f>
        <v>0</v>
      </c>
      <c r="CV186" s="264">
        <f>IF(AW186="",0,IF(AW186&lt;502,0,1))</f>
        <v>0</v>
      </c>
      <c r="CW186" s="264">
        <f>IF(AI186="",IF(AJ186&lt;9,1,0),IF(AJ186&lt;9,1,0))</f>
        <v>0</v>
      </c>
      <c r="CX186" s="264">
        <f>IF(AW186="",IF(AX186&lt;9,1,0),IF(AX186&lt;9,1,0))</f>
        <v>0</v>
      </c>
      <c r="CY186" s="374">
        <f>COUNT(U184,U185,U186)</f>
        <v>0</v>
      </c>
      <c r="CZ186" s="375">
        <f>IF(AL181=3,IF(CY186&gt;2,1,0),0)</f>
        <v>0</v>
      </c>
      <c r="DA186" s="374"/>
      <c r="DB186" s="374"/>
      <c r="DC186" s="265">
        <f>IF(AJ186="",0,SUM(CL186:CX186))</f>
        <v>0</v>
      </c>
      <c r="DD186" s="265">
        <f>IF(AJ186="",0,SUM(CL186,CS186,CU186,CW186))</f>
        <v>0</v>
      </c>
      <c r="DE186" s="265">
        <f>IF(AJ186="",0,SUM(CP186,CT186,CV186,CX186))</f>
        <v>0</v>
      </c>
      <c r="DF186" s="238"/>
      <c r="DG186" s="248">
        <f>SUM(G186-V186)</f>
        <v>0</v>
      </c>
      <c r="DH186" s="245">
        <f>IF(F186="",0,1)</f>
        <v>0</v>
      </c>
      <c r="DI186" s="245">
        <f t="shared" si="440"/>
        <v>0</v>
      </c>
      <c r="DJ186" s="245">
        <f t="shared" si="441"/>
        <v>0</v>
      </c>
      <c r="DK186" s="245" t="str">
        <f>IF(G186="","",IF(DJ186=1,"*",""))</f>
        <v/>
      </c>
      <c r="DL186" s="245" t="str">
        <f>IF(G186="","",IF(DJ186=-1,"*",IF(DJ186=0,"*","")))</f>
        <v/>
      </c>
      <c r="DM186" s="245">
        <v>3</v>
      </c>
      <c r="DN186" s="245" t="str">
        <f t="shared" si="442"/>
        <v>3</v>
      </c>
      <c r="DO186" s="245" t="str">
        <f t="shared" si="443"/>
        <v>3</v>
      </c>
      <c r="DP186" s="245">
        <f>SUM(DP184)</f>
        <v>0</v>
      </c>
      <c r="DQ186" s="245">
        <f>SUM(DQ184)</f>
        <v>0</v>
      </c>
      <c r="DR186" s="245">
        <f t="shared" ref="DR186:DR188" si="450">IF(DK186="*",1,0)</f>
        <v>0</v>
      </c>
      <c r="DS186" s="245">
        <f t="shared" ref="DS186:DS188" si="451">IF(DL186="*",1,0)</f>
        <v>0</v>
      </c>
      <c r="DT186" s="245">
        <f t="shared" ref="DT186:DT188" si="452">IF(H176="",0,IF(DP186=DR186,1,0))</f>
        <v>0</v>
      </c>
      <c r="DU186" s="245">
        <f>IF(V186="",0,IF(DQ186=DS186,0,1))</f>
        <v>0</v>
      </c>
      <c r="DV186" s="267">
        <f t="shared" ref="DV186:DV188" si="453">SUM(DT186)</f>
        <v>0</v>
      </c>
      <c r="DW186" s="267">
        <f>IF(V186="",0,SUM(DU186))</f>
        <v>0</v>
      </c>
      <c r="DX186" s="238">
        <f>IF(AK186="",0,1)</f>
        <v>0</v>
      </c>
      <c r="DY186" s="238">
        <f>IF(DG186=-3,1,0)</f>
        <v>0</v>
      </c>
      <c r="DZ186" s="238">
        <f>SUM(DX186:DY186)</f>
        <v>0</v>
      </c>
      <c r="EA186" s="238">
        <f>IF(AK186="",1,0)</f>
        <v>1</v>
      </c>
      <c r="EB186" s="238">
        <f>IF(DG186=3,1,0)</f>
        <v>0</v>
      </c>
      <c r="EC186" s="238">
        <f>SUM(EA186:EB186)</f>
        <v>1</v>
      </c>
      <c r="ED186" s="267">
        <f>IF(EC186=2,1,0)</f>
        <v>0</v>
      </c>
      <c r="EE186" s="267">
        <f>IF(DZ186=2,1,0)</f>
        <v>0</v>
      </c>
      <c r="EG186" s="166"/>
      <c r="EH186" s="238"/>
      <c r="EI186" s="238"/>
      <c r="EJ186" s="238"/>
      <c r="EK186" s="238"/>
      <c r="EL186" s="238"/>
      <c r="EM186" s="245">
        <f>IF(AK186="",0,1)</f>
        <v>0</v>
      </c>
      <c r="EN186" s="245">
        <f>SUM(AK186)</f>
        <v>0</v>
      </c>
      <c r="EO186" s="268">
        <f>SUM(AJ186)</f>
        <v>0</v>
      </c>
      <c r="EP186" s="268">
        <f>SUM(G186/3)</f>
        <v>0</v>
      </c>
      <c r="EQ186" s="268" t="e">
        <f>SUM(EO186/EP186)</f>
        <v>#DIV/0!</v>
      </c>
      <c r="ER186" s="268">
        <f>ROUNDDOWN(EP186,0)</f>
        <v>0</v>
      </c>
      <c r="ES186" s="268">
        <f>SUM(EO186,-ER186*3)</f>
        <v>0</v>
      </c>
      <c r="ET186" s="269" t="b">
        <f>MOD(EN186/1,2)=0</f>
        <v>1</v>
      </c>
      <c r="EU186" s="245">
        <f>IF(ET186=FALSE,1,0)</f>
        <v>0</v>
      </c>
      <c r="EV186" s="245">
        <f>IF(EN186=50,0,IF(EN186&lt;40,1,0))</f>
        <v>1</v>
      </c>
      <c r="EW186" s="245">
        <f>SUM(EU186:EV186)</f>
        <v>1</v>
      </c>
      <c r="EX186" s="267">
        <f>IF(EN186=1,1,IF(EN186=50,0,IF(ES186=1,IF(EN186&gt;40,1,0),0)))</f>
        <v>0</v>
      </c>
      <c r="EY186" s="267">
        <f>IF(ES186=1,IF(EW186=2,1,0),0)+EX186+FB186+FE186</f>
        <v>0</v>
      </c>
      <c r="EZ186" s="245">
        <f>IF(EN186=109,1,IF(EN186=108,1,IF(EN186=106,1,IF(EN186=105,1,IF(EN186=103,1,IF(EN186=102,1,IF(EN186=99,1,0)))))))</f>
        <v>0</v>
      </c>
      <c r="FA186" s="245">
        <f>IF(EN186&gt;110,1,0)</f>
        <v>0</v>
      </c>
      <c r="FB186" s="267">
        <f>IF(ES186=2,SUM(EZ186:FA186),0)</f>
        <v>0</v>
      </c>
      <c r="FC186" s="245">
        <f>IF(EN186=159,1,IF(EN186=162,1,IF(EN186=163,1,IF(EN186=165,1,IF(EN186=166,1,IF(EN186=168,1,IF(EN186=169,1,0)))))))</f>
        <v>0</v>
      </c>
      <c r="FD186" s="245">
        <f>IF(EN186&gt;170,1,0)</f>
        <v>0</v>
      </c>
      <c r="FE186" s="267">
        <f>IF(ES186=0,SUM(FC186:FD186),0)</f>
        <v>0</v>
      </c>
      <c r="FF186" s="251">
        <f t="shared" si="444"/>
        <v>0</v>
      </c>
      <c r="FG186" s="238"/>
      <c r="FH186" s="245">
        <f>IF(AY186="",0,1)</f>
        <v>0</v>
      </c>
      <c r="FI186" s="245">
        <f>SUM(AY186)</f>
        <v>0</v>
      </c>
      <c r="FJ186" s="268">
        <f>SUM(AX186)</f>
        <v>0</v>
      </c>
      <c r="FK186" s="268">
        <f>SUM(V186/3)</f>
        <v>0</v>
      </c>
      <c r="FL186" s="268" t="e">
        <f>SUM(FJ186/FK186)</f>
        <v>#DIV/0!</v>
      </c>
      <c r="FM186" s="268">
        <f>ROUNDDOWN(FK186,0)</f>
        <v>0</v>
      </c>
      <c r="FN186" s="268">
        <f>SUM(FJ186,-FM186*3)</f>
        <v>0</v>
      </c>
      <c r="FO186" s="269" t="b">
        <f>MOD(FI186/1,2)=0</f>
        <v>1</v>
      </c>
      <c r="FP186" s="245">
        <f>IF(FO186=FALSE,1,0)</f>
        <v>0</v>
      </c>
      <c r="FQ186" s="245">
        <f>IF(FI186=50,0,IF(FI186&lt;40,1,0))</f>
        <v>1</v>
      </c>
      <c r="FR186" s="245">
        <f>SUM(FP186:FQ186)</f>
        <v>1</v>
      </c>
      <c r="FS186" s="267">
        <f>IF(FI186=1,1,IF(FI186=50,0,IF(FN186=1,IF(FI186&gt;40,1,0),0)))</f>
        <v>0</v>
      </c>
      <c r="FT186" s="267">
        <f>IF(FN186=1,IF(FR186=2,1,0),0)+FS186+FW186+FZ186</f>
        <v>0</v>
      </c>
      <c r="FU186" s="245">
        <f>IF(FI186=109,1,IF(FI186=108,1,IF(FI186=106,1,IF(FI186=105,1,IF(FI186=103,1,IF(FI186=102,1,IF(FI186=99,1,0)))))))</f>
        <v>0</v>
      </c>
      <c r="FV186" s="245">
        <f>IF(FI186&gt;110,1,0)</f>
        <v>0</v>
      </c>
      <c r="FW186" s="267">
        <f>IF(FN186=2,SUM(FU186:FV186),0)</f>
        <v>0</v>
      </c>
      <c r="FX186" s="245">
        <f>IF(FI186=159,1,IF(FI186=162,1,IF(FI186=163,1,IF(FI186=165,1,IF(FI186=166,1,IF(FI186=168,1,IF(FI186=169,1,0)))))))</f>
        <v>0</v>
      </c>
      <c r="FY186" s="245">
        <f>IF(FI186&gt;170,1,0)</f>
        <v>0</v>
      </c>
      <c r="FZ186" s="267">
        <f>IF(FN186=0,SUM(FX186:FY186),0)</f>
        <v>0</v>
      </c>
      <c r="GA186" s="251">
        <f t="shared" si="445"/>
        <v>0</v>
      </c>
      <c r="GC186" s="238" t="str">
        <f>VLOOKUP(AH181,Chema!BL:BR,3,FALSE)</f>
        <v/>
      </c>
      <c r="GD186" s="341"/>
      <c r="GE186" s="343" t="str">
        <f>IF(C192="","",SUM(C192))</f>
        <v/>
      </c>
      <c r="GF186" s="346"/>
      <c r="GG186" s="340"/>
      <c r="GH186" s="343">
        <f>IF(GH185&gt;0,1,0)</f>
        <v>0</v>
      </c>
      <c r="GI186" s="346"/>
      <c r="GJ186" s="343"/>
      <c r="GK186" s="340"/>
      <c r="GL186" s="343">
        <f>IF(GL185&gt;0,1,0)</f>
        <v>0</v>
      </c>
      <c r="GM186" s="343"/>
      <c r="GN186" s="343"/>
      <c r="GO186" s="340"/>
      <c r="GP186" s="343">
        <f>IF(GP185&gt;0,1,0)</f>
        <v>0</v>
      </c>
      <c r="GQ186" s="343"/>
      <c r="GR186" s="343"/>
      <c r="GS186" s="340"/>
      <c r="GT186" s="343">
        <f>IF(GT185&gt;0,1,0)</f>
        <v>0</v>
      </c>
      <c r="GU186" s="343"/>
      <c r="GV186" s="343"/>
      <c r="GW186" s="340"/>
      <c r="GX186" s="343">
        <f>IF(GX185&gt;0,1,0)</f>
        <v>0</v>
      </c>
      <c r="GY186" s="343"/>
      <c r="GZ186" s="343"/>
      <c r="HA186" s="343"/>
      <c r="HB186" s="343" t="str">
        <f>IF(GD184=1,L192,"")</f>
        <v/>
      </c>
      <c r="HC186" s="343" t="str">
        <f>IF(GD184=1,I192,"")</f>
        <v/>
      </c>
      <c r="HD186" s="345"/>
      <c r="HE186" s="340"/>
      <c r="HF186" s="340"/>
      <c r="HG186" s="347">
        <f>IF(GE185="",0,IF(AL181=3,2,IF(AL181=5,3,0)))</f>
        <v>0</v>
      </c>
      <c r="HH186" s="347">
        <f>IF(HK186=0,0,IF(HG188=0,0,1))</f>
        <v>0</v>
      </c>
      <c r="HI186" s="340"/>
      <c r="HJ186" s="340"/>
      <c r="HK186" s="340">
        <f>SUM(HM184,HM188)</f>
        <v>0</v>
      </c>
      <c r="HL186" s="340">
        <f>IF(HK186=0,0,IF(HM184=HG186,1,0))</f>
        <v>0</v>
      </c>
      <c r="HM186" s="340">
        <f>IF(HK186=0,0,IF(HM188=HG186,1,0))</f>
        <v>0</v>
      </c>
      <c r="HN186" s="341" t="str">
        <f>REPT(N181,1)</f>
        <v>Spiel 13</v>
      </c>
      <c r="HO186" s="348" t="str">
        <f>IF(HK186=0,"",IF(HH186=0,SUM(HH185),""))</f>
        <v/>
      </c>
      <c r="HP186" s="348" t="str">
        <f>IF(HK186=0,"",IF(HH186=0,SUM(HH187),""))</f>
        <v/>
      </c>
      <c r="HQ186" s="348" t="e">
        <f>IF(HH186=0,SUM(GZ185/HA185),"")</f>
        <v>#DIV/0!</v>
      </c>
      <c r="HR186" s="348" t="e">
        <f>IF(HH186=0,SUM(GZ187/HA187),"")</f>
        <v>#DIV/0!</v>
      </c>
      <c r="HS186" s="238" t="str">
        <f>REPT(DK184,1)</f>
        <v/>
      </c>
      <c r="HT186" s="238" t="str">
        <f>REPT(DL184,1)</f>
        <v/>
      </c>
      <c r="HU186" s="238">
        <f>IF(HH186=0,HL186,"")</f>
        <v>0</v>
      </c>
      <c r="HV186" s="238">
        <f>IF(HH186=0,HM186,"")</f>
        <v>0</v>
      </c>
      <c r="HW186" s="238" t="s">
        <v>1131</v>
      </c>
      <c r="HY186" s="238"/>
      <c r="HZ186" s="238" t="e">
        <f>IF(AL181=5,IF(HU186=1,SUM(HO186*2-HP186),HO186+HP186-2),"")</f>
        <v>#VALUE!</v>
      </c>
      <c r="IA186" s="238" t="str">
        <f>IF(AL181=3,IF(HU186=1,SUM(HO186-HP186+3),HO186+HP186-1),"")</f>
        <v/>
      </c>
      <c r="IB186" s="238" t="e">
        <f>IF(AL181=5,IF(HV186=1,SUM(HP186*2-HO186),HO186+HP186-2),"")</f>
        <v>#VALUE!</v>
      </c>
      <c r="IC186" s="238" t="str">
        <f>IF(AL181=3,IF(HV186=1,SUM(HP186-HO186+3),HO186+HP186-1),"")</f>
        <v/>
      </c>
      <c r="ID186" s="238">
        <f>SUM(BM190)</f>
        <v>0</v>
      </c>
    </row>
    <row r="187" spans="1:238" s="234" customFormat="1" ht="20.100000000000001" customHeight="1">
      <c r="A187" s="235"/>
      <c r="B187" s="231">
        <f>COUNT(AJ188,AJ187)</f>
        <v>0</v>
      </c>
      <c r="C187" s="235"/>
      <c r="D187" s="328" t="str">
        <f>REPT(DN187,1)</f>
        <v>4</v>
      </c>
      <c r="E187" s="329" t="str">
        <f>REPT(AH187,1)</f>
        <v/>
      </c>
      <c r="F187" s="330"/>
      <c r="G187" s="330"/>
      <c r="H187" s="330"/>
      <c r="I187" s="331"/>
      <c r="J187" s="270" t="str">
        <f t="shared" si="449"/>
        <v/>
      </c>
      <c r="M187" s="311"/>
      <c r="N187" s="270" t="str">
        <f>REPT(AP187,1)</f>
        <v/>
      </c>
      <c r="Q187" s="310"/>
      <c r="R187" s="235"/>
      <c r="S187" s="328" t="str">
        <f>REPT(DO187,1)</f>
        <v>4</v>
      </c>
      <c r="T187" s="329" t="str">
        <f>REPT(AV187,1)</f>
        <v/>
      </c>
      <c r="U187" s="330"/>
      <c r="V187" s="330"/>
      <c r="W187" s="330"/>
      <c r="X187" s="331"/>
      <c r="Y187" s="270" t="str">
        <f t="shared" si="432"/>
        <v/>
      </c>
      <c r="Z187" s="308"/>
      <c r="AA187" s="238">
        <f>SUM(AL181)</f>
        <v>5</v>
      </c>
      <c r="AB187" s="234">
        <f>IF(AY187="",0,IF(AY187&lt;2,1,""))</f>
        <v>0</v>
      </c>
      <c r="AC187" s="238">
        <f>IF(AL181=3,0,IF(AD187=1,1,IF(AD187=3,1,IF(AD187=2,0,IF(AD187=0,0,0)))))</f>
        <v>0</v>
      </c>
      <c r="AD187" s="256">
        <f t="shared" si="434"/>
        <v>0</v>
      </c>
      <c r="AE187" s="256">
        <f t="shared" si="428"/>
        <v>0</v>
      </c>
      <c r="AF187" s="256">
        <f t="shared" si="429"/>
        <v>0</v>
      </c>
      <c r="AG187" s="256">
        <f t="shared" si="435"/>
        <v>0</v>
      </c>
      <c r="AH187" s="257" t="str">
        <f>IF(AL181=3,"",IF(AK187="",IF(AI187="","",IF(AI187="",501,501-AI187)),501))</f>
        <v/>
      </c>
      <c r="AI187" s="256" t="str">
        <f>IF(AL181=3,"",IF(F187&gt;1,F187,IF(F187=0,"",IF(F187="","",""))))</f>
        <v/>
      </c>
      <c r="AJ187" s="256" t="str">
        <f>IF(AL181=3,"",IF(G187&gt;8,G187,IF(G187="","","")))</f>
        <v/>
      </c>
      <c r="AK187" s="256" t="str">
        <f>IF(AL181=3,"",IF(H187&gt;1,H187,IF(H187="","","")))</f>
        <v/>
      </c>
      <c r="AL187" s="256" t="str">
        <f>IF(AL181=3,"",IF(I187&gt;0,I187,IF(I187="","","")))</f>
        <v/>
      </c>
      <c r="AM187" s="258" t="str">
        <f>IF(BK187=0,"","X")</f>
        <v/>
      </c>
      <c r="AN187" s="237"/>
      <c r="AO187" s="237"/>
      <c r="AP187" s="258" t="str">
        <f>IF(BM187=0,"","X")</f>
        <v/>
      </c>
      <c r="AQ187" s="236">
        <f>IF(AL181=3,0,IF(AR187=1,1,IF(AR187=3,1,IF(AR187=2,0,IF(AR187=0,0,0)))))</f>
        <v>0</v>
      </c>
      <c r="AR187" s="256">
        <f t="shared" si="437"/>
        <v>0</v>
      </c>
      <c r="AS187" s="256">
        <f t="shared" si="430"/>
        <v>0</v>
      </c>
      <c r="AT187" s="256">
        <f t="shared" si="431"/>
        <v>0</v>
      </c>
      <c r="AU187" s="256">
        <f t="shared" si="438"/>
        <v>0</v>
      </c>
      <c r="AV187" s="257" t="str">
        <f>IF(AY187="",IF(AW187="","",IF(AW187="",501,501-AW187)),501)</f>
        <v/>
      </c>
      <c r="AW187" s="256" t="str">
        <f>IF(AL181=3,"",IF(U187&gt;1,U187,IF(U187=0,"",IF(U187="","",""))))</f>
        <v/>
      </c>
      <c r="AX187" s="256" t="str">
        <f>IF(AL181=3,"",IF(V187&gt;8,V187,IF(V187="","","")))</f>
        <v/>
      </c>
      <c r="AY187" s="256" t="str">
        <f>IF(AL181=3,"",IF(W187&gt;1,W187,IF(W187="","","")))</f>
        <v/>
      </c>
      <c r="AZ187" s="256" t="str">
        <f>IF(AL181=3,"",IF(X187&gt;0,X187,IF(X187="","","")))</f>
        <v/>
      </c>
      <c r="BA187" s="258" t="str">
        <f>IF(BL187=0,"","X")</f>
        <v/>
      </c>
      <c r="BK187" s="251">
        <f>IF(AL181=3,0,SUM(DD187,DV187,EY187,ED187,FF187,BQ187,BS187,AC187))</f>
        <v>0</v>
      </c>
      <c r="BL187" s="251">
        <f>IF(AL181=3,0,SUM(DE187,DW187,EE187,FT187,GA187,BR187,BT187,AQ187))</f>
        <v>0</v>
      </c>
      <c r="BM187" s="259">
        <f>IF(AL181=3,0,SUM(DC187,BK187:BL187,AC187,AQ187))</f>
        <v>0</v>
      </c>
      <c r="BN187" s="239">
        <f>COUNT(AK187)</f>
        <v>0</v>
      </c>
      <c r="BO187" s="239">
        <f>COUNT(AY187)</f>
        <v>0</v>
      </c>
      <c r="BP187" s="239">
        <f>IF(BZ189=0,0,1)</f>
        <v>0</v>
      </c>
      <c r="BQ187" s="260">
        <f>IF(AL187="",0,IF(AL187&gt;2,1,0))</f>
        <v>0</v>
      </c>
      <c r="BR187" s="261">
        <f>IF(AZ187="",0,IF(AZ187&gt;2,1,0))</f>
        <v>0</v>
      </c>
      <c r="BS187" s="262">
        <f>IF(AJ187=9,IF(AK187&lt;141,1,0),0)</f>
        <v>0</v>
      </c>
      <c r="BT187" s="263">
        <f>IF(AX187=9,IF(AY187&lt;141,1,0),0)</f>
        <v>0</v>
      </c>
      <c r="BU187" s="242">
        <f>IF(AL181=3,0,IF(H187,G187,0))</f>
        <v>0</v>
      </c>
      <c r="BV187" s="238">
        <f>IF(BU187&gt;0,AJ187/3,0)</f>
        <v>0</v>
      </c>
      <c r="BW187" s="238">
        <f>ROUNDUP(BV187,0)</f>
        <v>0</v>
      </c>
      <c r="BX187" s="244">
        <f>IF(MOD(BW187,2)=0,BW187,BW187+1)</f>
        <v>0</v>
      </c>
      <c r="BY187" s="238">
        <f>IF(AJ187&lt;9,"",SUM(BX187-BW187))</f>
        <v>0</v>
      </c>
      <c r="BZ187" s="238">
        <f>IF(BY187=1,AK187,0)</f>
        <v>0</v>
      </c>
      <c r="CA187" s="243" t="str">
        <f>IF(BY187=0,AK187,0)</f>
        <v/>
      </c>
      <c r="CB187" s="238"/>
      <c r="CC187" s="238"/>
      <c r="CD187" s="242">
        <f>IF(AL181=3,0,IF(W187,V187,0))</f>
        <v>0</v>
      </c>
      <c r="CE187" s="238">
        <f>IF(CD187&gt;0,AX187/3,0)</f>
        <v>0</v>
      </c>
      <c r="CF187" s="238">
        <f>ROUNDUP(CE187,0)</f>
        <v>0</v>
      </c>
      <c r="CG187" s="244">
        <f>IF(MOD(CF187,2)=0,CF187,CF187+1)</f>
        <v>0</v>
      </c>
      <c r="CH187" s="238">
        <f>IF(AX187&lt;9,"",SUM(CG187-CF187))</f>
        <v>0</v>
      </c>
      <c r="CI187" s="238">
        <f>IF(CH187=1,AY187,0)</f>
        <v>0</v>
      </c>
      <c r="CJ187" s="243" t="str">
        <f>IF(CH187=0,AY187,0)</f>
        <v/>
      </c>
      <c r="CK187" s="238"/>
      <c r="CL187" s="245">
        <f>IF(COUNT(F187,H187)=1,0,1)</f>
        <v>1</v>
      </c>
      <c r="CM187" s="245">
        <f>IF(COUNT(F187,U187)=1,0,1)</f>
        <v>1</v>
      </c>
      <c r="CN187" s="245">
        <f>IF(COUNT(H187,W187)=1,0,1)</f>
        <v>1</v>
      </c>
      <c r="CO187" s="245">
        <f>IF(COUNT(G187,V187)=2,0,1)</f>
        <v>1</v>
      </c>
      <c r="CP187" s="245">
        <f>IF(COUNT(U187,W187)=1,0,1)</f>
        <v>1</v>
      </c>
      <c r="CQ187" s="245">
        <f>IF(SUM(G187-V187)&gt;3,1,0)</f>
        <v>0</v>
      </c>
      <c r="CR187" s="245">
        <f>IF(SUM(G187-V187)&lt;-3,1,0)</f>
        <v>0</v>
      </c>
      <c r="CS187" s="264">
        <f>IF(AJ187=9,IF(AH187&lt;141,1,0),IF(AH187="",0,IF(AH187&gt;1,0,1)))</f>
        <v>0</v>
      </c>
      <c r="CT187" s="264">
        <f>IF(AX187=9,IF(AV187&lt;141,1,0),IF(AV187="",0,IF(AV187&gt;1,0,1)))</f>
        <v>0</v>
      </c>
      <c r="CU187" s="264">
        <f>IF(AI187="",0,IF(AI187&lt;502,0,1))</f>
        <v>0</v>
      </c>
      <c r="CV187" s="264">
        <f>IF(AW187="",0,IF(AW187&lt;502,0,1))</f>
        <v>0</v>
      </c>
      <c r="CW187" s="264">
        <f>IF(AI187="",IF(AJ187&lt;9,1,0),IF(AJ187&lt;9,1,0))</f>
        <v>0</v>
      </c>
      <c r="CX187" s="264">
        <f>IF(AW187="",IF(AX187&lt;9,1,0),IF(AX187&lt;9,1,0))</f>
        <v>0</v>
      </c>
      <c r="CY187" s="374"/>
      <c r="CZ187" s="374"/>
      <c r="DA187" s="374"/>
      <c r="DB187" s="374"/>
      <c r="DC187" s="265">
        <f>IF(AJ187="",0,SUM(CL187:CX187))</f>
        <v>0</v>
      </c>
      <c r="DD187" s="265">
        <f>IF(AJ187="",0,SUM(CL187,CS187,CU187,CW187))</f>
        <v>0</v>
      </c>
      <c r="DE187" s="265">
        <f>IF(AJ187="",0,SUM(CP187,CT187,CV187,CX187))</f>
        <v>0</v>
      </c>
      <c r="DF187" s="238"/>
      <c r="DG187" s="248">
        <f>IF(AL181=3,0,SUM(G187-V187))</f>
        <v>0</v>
      </c>
      <c r="DH187" s="245">
        <f>IF(F187="",0,1)</f>
        <v>0</v>
      </c>
      <c r="DI187" s="245">
        <f t="shared" si="440"/>
        <v>0</v>
      </c>
      <c r="DJ187" s="245">
        <f t="shared" si="441"/>
        <v>0</v>
      </c>
      <c r="DK187" s="245" t="str">
        <f>IF(G187="","",IF(DJ187=1,"*",""))</f>
        <v/>
      </c>
      <c r="DL187" s="245" t="str">
        <f>IF(AL181=3,"",IF(G187="","",IF(DJ187=-1,"*",IF(DJ187=0,"*",""))))</f>
        <v/>
      </c>
      <c r="DM187" s="245">
        <v>4</v>
      </c>
      <c r="DN187" s="245" t="str">
        <f t="shared" si="442"/>
        <v>4</v>
      </c>
      <c r="DO187" s="245" t="str">
        <f t="shared" si="443"/>
        <v>4</v>
      </c>
      <c r="DP187" s="245">
        <f>SUM(DQ184)</f>
        <v>0</v>
      </c>
      <c r="DQ187" s="245">
        <f>SUM(DP184)</f>
        <v>0</v>
      </c>
      <c r="DR187" s="245">
        <f t="shared" si="450"/>
        <v>0</v>
      </c>
      <c r="DS187" s="245">
        <f t="shared" si="451"/>
        <v>0</v>
      </c>
      <c r="DT187" s="245">
        <f t="shared" si="452"/>
        <v>0</v>
      </c>
      <c r="DU187" s="245">
        <f>IF(V187="",0,IF(DQ187=DS187,0,1))</f>
        <v>0</v>
      </c>
      <c r="DV187" s="267">
        <f t="shared" si="453"/>
        <v>0</v>
      </c>
      <c r="DW187" s="267">
        <f>IF(V187="",0,SUM(DU187))</f>
        <v>0</v>
      </c>
      <c r="DX187" s="238">
        <f>IF(AK187="",0,1)</f>
        <v>0</v>
      </c>
      <c r="DY187" s="238">
        <f>IF(DG187=-3,1,0)</f>
        <v>0</v>
      </c>
      <c r="DZ187" s="238">
        <f>SUM(DX187:DY187)</f>
        <v>0</v>
      </c>
      <c r="EA187" s="238">
        <f>IF(AK187="",1,0)</f>
        <v>1</v>
      </c>
      <c r="EB187" s="238">
        <f>IF(DG187=3,1,0)</f>
        <v>0</v>
      </c>
      <c r="EC187" s="238">
        <f>SUM(EA187:EB187)</f>
        <v>1</v>
      </c>
      <c r="ED187" s="267">
        <f>IF(EC187=2,1,0)</f>
        <v>0</v>
      </c>
      <c r="EE187" s="267">
        <f>IF(DZ187=2,1,0)</f>
        <v>0</v>
      </c>
      <c r="EG187" s="166"/>
      <c r="EH187" s="238"/>
      <c r="EI187" s="238"/>
      <c r="EJ187" s="238"/>
      <c r="EK187" s="238"/>
      <c r="EL187" s="238"/>
      <c r="EM187" s="245">
        <f>IF(AK187="",0,1)</f>
        <v>0</v>
      </c>
      <c r="EN187" s="245">
        <f>SUM(AK187)</f>
        <v>0</v>
      </c>
      <c r="EO187" s="268">
        <f>SUM(AJ187)</f>
        <v>0</v>
      </c>
      <c r="EP187" s="268">
        <f>SUM(G187/3)</f>
        <v>0</v>
      </c>
      <c r="EQ187" s="268" t="e">
        <f>SUM(EO187/EP187)</f>
        <v>#DIV/0!</v>
      </c>
      <c r="ER187" s="268">
        <f>ROUNDDOWN(EP187,0)</f>
        <v>0</v>
      </c>
      <c r="ES187" s="268">
        <f>SUM(EO187,-ER187*3)</f>
        <v>0</v>
      </c>
      <c r="ET187" s="269" t="b">
        <f>MOD(EN187/1,2)=0</f>
        <v>1</v>
      </c>
      <c r="EU187" s="245">
        <f>IF(ET187=FALSE,1,0)</f>
        <v>0</v>
      </c>
      <c r="EV187" s="245">
        <f>IF(EN187=50,0,IF(EN187&lt;40,1,0))</f>
        <v>1</v>
      </c>
      <c r="EW187" s="245">
        <f>SUM(EU187:EV187)</f>
        <v>1</v>
      </c>
      <c r="EX187" s="267">
        <f>IF(EN187=1,1,IF(EN187=50,0,IF(ES187=1,IF(EN187&gt;40,1,0),0)))</f>
        <v>0</v>
      </c>
      <c r="EY187" s="267">
        <f>IF(ES187=1,IF(EW187=2,1,0),0)+EX187+FB187+FE187</f>
        <v>0</v>
      </c>
      <c r="EZ187" s="245">
        <f>IF(EN187=109,1,IF(EN187=108,1,IF(EN187=106,1,IF(EN187=105,1,IF(EN187=103,1,IF(EN187=102,1,IF(EN187=99,1,0)))))))</f>
        <v>0</v>
      </c>
      <c r="FA187" s="245">
        <f>IF(EN187&gt;110,1,0)</f>
        <v>0</v>
      </c>
      <c r="FB187" s="267">
        <f>IF(ES187=2,SUM(EZ187:FA187),0)</f>
        <v>0</v>
      </c>
      <c r="FC187" s="245">
        <f>IF(EN187=159,1,IF(EN187=162,1,IF(EN187=163,1,IF(EN187=165,1,IF(EN187=166,1,IF(EN187=168,1,IF(EN187=169,1,0)))))))</f>
        <v>0</v>
      </c>
      <c r="FD187" s="245">
        <f>IF(EN187&gt;170,1,0)</f>
        <v>0</v>
      </c>
      <c r="FE187" s="267">
        <f>IF(ES187=0,SUM(FC187:FD187),0)</f>
        <v>0</v>
      </c>
      <c r="FF187" s="251">
        <f t="shared" si="444"/>
        <v>0</v>
      </c>
      <c r="FG187" s="238"/>
      <c r="FH187" s="245">
        <f>IF(AY187="",0,1)</f>
        <v>0</v>
      </c>
      <c r="FI187" s="245">
        <f>SUM(AY187)</f>
        <v>0</v>
      </c>
      <c r="FJ187" s="268">
        <f>SUM(AX187)</f>
        <v>0</v>
      </c>
      <c r="FK187" s="268">
        <f>SUM(V187/3)</f>
        <v>0</v>
      </c>
      <c r="FL187" s="268" t="e">
        <f>SUM(FJ187/FK187)</f>
        <v>#DIV/0!</v>
      </c>
      <c r="FM187" s="268">
        <f>ROUNDDOWN(FK187,0)</f>
        <v>0</v>
      </c>
      <c r="FN187" s="268">
        <f>SUM(FJ187,-FM187*3)</f>
        <v>0</v>
      </c>
      <c r="FO187" s="269" t="b">
        <f>MOD(FI187/1,2)=0</f>
        <v>1</v>
      </c>
      <c r="FP187" s="245">
        <f>IF(FO187=FALSE,1,0)</f>
        <v>0</v>
      </c>
      <c r="FQ187" s="245">
        <f>IF(FI187=50,0,IF(FI187&lt;40,1,0))</f>
        <v>1</v>
      </c>
      <c r="FR187" s="245">
        <f>SUM(FP187:FQ187)</f>
        <v>1</v>
      </c>
      <c r="FS187" s="267">
        <f>IF(FI187=1,1,IF(FI187=50,0,IF(FN187=1,IF(FI187&gt;40,1,0),0)))</f>
        <v>0</v>
      </c>
      <c r="FT187" s="267">
        <f>IF(FN187=1,IF(FR187=2,1,0),0)+FS187+FW187+FZ187</f>
        <v>0</v>
      </c>
      <c r="FU187" s="245">
        <f>IF(FI187=109,1,IF(FI187=108,1,IF(FI187=106,1,IF(FI187=105,1,IF(FI187=103,1,IF(FI187=102,1,IF(FI187=99,1,0)))))))</f>
        <v>0</v>
      </c>
      <c r="FV187" s="245">
        <f>IF(FI187&gt;110,1,0)</f>
        <v>0</v>
      </c>
      <c r="FW187" s="267">
        <f>IF(FN187=2,SUM(FU187:FV187),0)</f>
        <v>0</v>
      </c>
      <c r="FX187" s="245">
        <f>IF(FI187=159,1,IF(FI187=162,1,IF(FI187=163,1,IF(FI187=165,1,IF(FI187=166,1,IF(FI187=168,1,IF(FI187=169,1,0)))))))</f>
        <v>0</v>
      </c>
      <c r="FY187" s="245">
        <f>IF(FI187&gt;170,1,0)</f>
        <v>0</v>
      </c>
      <c r="FZ187" s="267">
        <f>IF(FN187=0,SUM(FX187:FY187),0)</f>
        <v>0</v>
      </c>
      <c r="GA187" s="251">
        <f t="shared" si="445"/>
        <v>0</v>
      </c>
      <c r="GC187" s="238" t="str">
        <f>VLOOKUP(AH181,Chema!BL:BR,4,FALSE)</f>
        <v>GS 2.1</v>
      </c>
      <c r="GD187" s="341">
        <f>IF(T191="FORFAIT",1,0)</f>
        <v>0</v>
      </c>
      <c r="GE187" s="343" t="str">
        <f>IF(R191="","",SUM(R191))</f>
        <v/>
      </c>
      <c r="GF187" s="344">
        <f>SUM(AV184)</f>
        <v>0</v>
      </c>
      <c r="GG187" s="344">
        <f>SUM(AX184)</f>
        <v>0</v>
      </c>
      <c r="GH187" s="344">
        <f t="shared" ref="GH187" si="454">SUM(AY184)</f>
        <v>0</v>
      </c>
      <c r="GI187" s="344">
        <f t="shared" ref="GI187" si="455">SUM(AZ184)</f>
        <v>0</v>
      </c>
      <c r="GJ187" s="344">
        <f>SUM(AV185)</f>
        <v>0</v>
      </c>
      <c r="GK187" s="344">
        <f>SUM(AX185)</f>
        <v>0</v>
      </c>
      <c r="GL187" s="344">
        <f>SUM(AY185)</f>
        <v>0</v>
      </c>
      <c r="GM187" s="344">
        <f>SUM(AZ185)</f>
        <v>0</v>
      </c>
      <c r="GN187" s="344">
        <f>SUM(AV186)</f>
        <v>0</v>
      </c>
      <c r="GO187" s="344">
        <f>SUM(AX186)</f>
        <v>0</v>
      </c>
      <c r="GP187" s="344">
        <f>SUM(AY186)</f>
        <v>0</v>
      </c>
      <c r="GQ187" s="344">
        <f>SUM(AZ186)</f>
        <v>0</v>
      </c>
      <c r="GR187" s="344">
        <f>SUM(AV187)</f>
        <v>0</v>
      </c>
      <c r="GS187" s="344">
        <f>SUM(AX187)</f>
        <v>0</v>
      </c>
      <c r="GT187" s="344">
        <f>SUM(AY187)</f>
        <v>0</v>
      </c>
      <c r="GU187" s="344">
        <f>SUM(AZ187)</f>
        <v>0</v>
      </c>
      <c r="GV187" s="344">
        <f>SUM(AV188)</f>
        <v>0</v>
      </c>
      <c r="GW187" s="344">
        <f>SUM(AX188)</f>
        <v>0</v>
      </c>
      <c r="GX187" s="344">
        <f>SUM(AY188)</f>
        <v>0</v>
      </c>
      <c r="GY187" s="344">
        <f>SUM(AZ188)</f>
        <v>0</v>
      </c>
      <c r="GZ187" s="344">
        <f>SUM(GF187,GJ187,GN187,GR187,GV187)</f>
        <v>0</v>
      </c>
      <c r="HA187" s="344">
        <f t="shared" ref="HA187" si="456">SUM(GG187,GK187,GO187,GS187,GW187)</f>
        <v>0</v>
      </c>
      <c r="HB187" s="344">
        <f>IF(GD184=1,P191,MAX(GH187,GL187,GP187,GT187,GX187))</f>
        <v>0</v>
      </c>
      <c r="HC187" s="344">
        <f>IF(GD184=1,X191,SUM(GI187,GM187,GQ187,GU187,GY187))</f>
        <v>0</v>
      </c>
      <c r="HD187" s="345">
        <f>IF(GD184=1,0,SUM(GF187,GJ187,GN187,GR187,GV187))</f>
        <v>0</v>
      </c>
      <c r="HE187" s="345">
        <f>IF(GD184=1,0,SUM(GG187,GK187,GO187,GS187,GW187))</f>
        <v>0</v>
      </c>
      <c r="HF187" s="341">
        <f>IF(GD184=1,0,MIN(HI187,HJ187,HK187,HL187,HM187))</f>
        <v>0</v>
      </c>
      <c r="HG187" s="341">
        <f>IF(HF187=0,0,COUNTIF(HI187:HM187,HF187))</f>
        <v>0</v>
      </c>
      <c r="HH187" s="341">
        <f>SUM(GH188,GL188,GP188,GT188,GX188)</f>
        <v>0</v>
      </c>
      <c r="HI187" s="343" t="str">
        <f>IF(GH188=1,GG187,"")</f>
        <v/>
      </c>
      <c r="HJ187" s="343" t="str">
        <f>IF(GL188=1,GK187,"")</f>
        <v/>
      </c>
      <c r="HK187" s="343" t="str">
        <f>IF(GP188=1,GO187,"")</f>
        <v/>
      </c>
      <c r="HL187" s="343" t="str">
        <f>IF(GT188=1,GS187,"")</f>
        <v/>
      </c>
      <c r="HM187" s="343" t="str">
        <f>IF(GX188=1,GW187,"")</f>
        <v/>
      </c>
      <c r="HN187" s="341"/>
      <c r="HO187" s="341"/>
      <c r="HP187" s="341"/>
      <c r="HQ187" s="341"/>
      <c r="HR187" s="341"/>
      <c r="HS187" s="238"/>
      <c r="HT187" s="238"/>
      <c r="HU187" s="238"/>
      <c r="HV187" s="238"/>
      <c r="HW187" s="238" t="str">
        <f>IFERROR(IF(GD184=0,SUM(IB186:IC186),""),"")</f>
        <v/>
      </c>
      <c r="HY187" s="238"/>
      <c r="ID187" s="238"/>
    </row>
    <row r="188" spans="1:238" s="234" customFormat="1" ht="20.100000000000001" customHeight="1">
      <c r="A188" s="235"/>
      <c r="B188" s="231">
        <f>COUNT(AJ189,AJ188)</f>
        <v>1</v>
      </c>
      <c r="C188" s="235"/>
      <c r="D188" s="271" t="str">
        <f>REPT(DN188,1)</f>
        <v>5</v>
      </c>
      <c r="E188" s="254" t="str">
        <f>REPT(AH188,1)</f>
        <v/>
      </c>
      <c r="F188" s="168"/>
      <c r="G188" s="168"/>
      <c r="H188" s="168"/>
      <c r="I188" s="169"/>
      <c r="J188" s="272" t="str">
        <f>REPT(AM188,1)</f>
        <v/>
      </c>
      <c r="L188" s="310"/>
      <c r="M188" s="310"/>
      <c r="N188" s="272" t="str">
        <f>REPT(AP188,1)</f>
        <v/>
      </c>
      <c r="O188" s="118"/>
      <c r="Q188" s="310"/>
      <c r="R188" s="235"/>
      <c r="S188" s="271" t="str">
        <f>REPT(DO188,1)</f>
        <v>5</v>
      </c>
      <c r="T188" s="254" t="str">
        <f>REPT(AV188,1)</f>
        <v/>
      </c>
      <c r="U188" s="168"/>
      <c r="V188" s="168"/>
      <c r="W188" s="168"/>
      <c r="X188" s="169"/>
      <c r="Y188" s="272" t="str">
        <f>REPT(BA188,1)</f>
        <v/>
      </c>
      <c r="Z188" s="308"/>
      <c r="AA188" s="238">
        <f>SUM(AL181)</f>
        <v>5</v>
      </c>
      <c r="AB188" s="234">
        <f>IF(AY188="",0,IF(AY188&lt;2,1,""))</f>
        <v>0</v>
      </c>
      <c r="AC188" s="238">
        <f>IF(AL181=3,0,IF(AD188=1,1,IF(AD188=3,1,IF(AD188=2,0,IF(AD188=0,0,0)))))</f>
        <v>0</v>
      </c>
      <c r="AD188" s="256">
        <f t="shared" si="434"/>
        <v>0</v>
      </c>
      <c r="AE188" s="256">
        <f t="shared" si="428"/>
        <v>0</v>
      </c>
      <c r="AF188" s="256">
        <f t="shared" si="429"/>
        <v>0</v>
      </c>
      <c r="AG188" s="256">
        <f t="shared" si="435"/>
        <v>0</v>
      </c>
      <c r="AH188" s="257" t="str">
        <f>IF(AL181=3,"",IF(AK188="",IF(AI188="","",IF(AI188="",501,501-AI188)),501))</f>
        <v/>
      </c>
      <c r="AI188" s="256" t="str">
        <f>IF(AL181=3,"",IF(F188&gt;1,F188,IF(F188=0,"",IF(F188="","",""))))</f>
        <v/>
      </c>
      <c r="AJ188" s="256" t="str">
        <f>IF(AL181=3,"",IF(G188&gt;8,G188,IF(G188="","","")))</f>
        <v/>
      </c>
      <c r="AK188" s="256" t="str">
        <f>IF(AL181=3,"",IF(H188&gt;1,H188,IF(H188="","","")))</f>
        <v/>
      </c>
      <c r="AL188" s="256" t="str">
        <f>IF(AL181=3,"",IF(I188&gt;0,I188,IF(I188="","","")))</f>
        <v/>
      </c>
      <c r="AM188" s="258" t="str">
        <f>IF(BK188=0,"","X")</f>
        <v/>
      </c>
      <c r="AN188" s="237"/>
      <c r="AO188" s="237"/>
      <c r="AP188" s="258" t="str">
        <f>IF(BM188=0,"","X")</f>
        <v/>
      </c>
      <c r="AQ188" s="236">
        <f>IF(AL181=3,0,IF(AR188=1,1,IF(AR188=3,1,IF(AR188=2,0,IF(AR188=0,0,0)))))</f>
        <v>0</v>
      </c>
      <c r="AR188" s="256">
        <f t="shared" si="437"/>
        <v>0</v>
      </c>
      <c r="AS188" s="256">
        <f t="shared" si="430"/>
        <v>0</v>
      </c>
      <c r="AT188" s="256">
        <f t="shared" si="431"/>
        <v>0</v>
      </c>
      <c r="AU188" s="256">
        <f t="shared" si="438"/>
        <v>0</v>
      </c>
      <c r="AV188" s="257" t="str">
        <f>IF(AY188="",IF(AW188="","",IF(AW188="",501,501-AW188)),501)</f>
        <v/>
      </c>
      <c r="AW188" s="256" t="str">
        <f>IF(AL181=3,"",IF(U188&gt;1,U188,IF(U188=0,"",IF(U188="","",""))))</f>
        <v/>
      </c>
      <c r="AX188" s="256" t="str">
        <f>IF(AL181=3,"",IF(V188&gt;8,V188,IF(V188="","","")))</f>
        <v/>
      </c>
      <c r="AY188" s="256" t="str">
        <f>IF(AL181=3,"",IF(W188&gt;1,W188,IF(W188="","","")))</f>
        <v/>
      </c>
      <c r="AZ188" s="256" t="str">
        <f>IF(AL181=3,"",IF(X188&gt;0,X188,IF(X188="","","")))</f>
        <v/>
      </c>
      <c r="BA188" s="258" t="str">
        <f>IF(BL188=0,"","X")</f>
        <v/>
      </c>
      <c r="BK188" s="251">
        <f>IF(AL181=3,0,SUM(DD188,DV188,EY188,ED188,FF188,BQ188,BS188,AC188))</f>
        <v>0</v>
      </c>
      <c r="BL188" s="251">
        <f>SUM(DE188,DW188,EE188,FT188,GA188,BR188,BT188,AQ188)</f>
        <v>0</v>
      </c>
      <c r="BM188" s="259">
        <f>IF(AL181=3,0,SUM(DC188,BK188:BL188,AC188,AQ188))</f>
        <v>0</v>
      </c>
      <c r="BN188" s="239">
        <f>COUNT(AK188)</f>
        <v>0</v>
      </c>
      <c r="BO188" s="239">
        <f>COUNT(AY188)</f>
        <v>0</v>
      </c>
      <c r="BP188" s="239">
        <f>IF(BN190=0,0,1)</f>
        <v>0</v>
      </c>
      <c r="BQ188" s="260">
        <f>IF(AL188="",0,IF(AL188&gt;2,1,0))</f>
        <v>0</v>
      </c>
      <c r="BR188" s="261">
        <f>IF(AZ188="",0,IF(AZ188&gt;2,1,0))</f>
        <v>0</v>
      </c>
      <c r="BS188" s="262">
        <f>IF(AJ188=9,IF(AK188&lt;141,1,0),0)</f>
        <v>0</v>
      </c>
      <c r="BT188" s="263">
        <f>IF(AX188=9,IF(AY188&lt;141,1,0),0)</f>
        <v>0</v>
      </c>
      <c r="BU188" s="242">
        <f>IF(AL181=3,0,IF(H188,G188,0))</f>
        <v>0</v>
      </c>
      <c r="BV188" s="238">
        <f>IF(BU188&gt;0,AJ188/3,0)</f>
        <v>0</v>
      </c>
      <c r="BW188" s="238">
        <f>ROUNDUP(BV188,0)</f>
        <v>0</v>
      </c>
      <c r="BX188" s="244">
        <f>IF(MOD(BW188,2)=0,BW188,BW188+1)</f>
        <v>0</v>
      </c>
      <c r="BY188" s="238">
        <f>IF(AJ188&lt;9,"",SUM(BX188-BW188))</f>
        <v>0</v>
      </c>
      <c r="BZ188" s="238">
        <f>IF(BY188=1,AK188,0)</f>
        <v>0</v>
      </c>
      <c r="CA188" s="243" t="str">
        <f>IF(BY188=0,AK188,0)</f>
        <v/>
      </c>
      <c r="CB188" s="238"/>
      <c r="CC188" s="238"/>
      <c r="CD188" s="242">
        <f>IF(AL181=3,0,IF(W188,V188,0))</f>
        <v>0</v>
      </c>
      <c r="CE188" s="238">
        <f>IF(CD188&gt;0,AX188/3,0)</f>
        <v>0</v>
      </c>
      <c r="CF188" s="238">
        <f>ROUNDUP(CE188,0)</f>
        <v>0</v>
      </c>
      <c r="CG188" s="244">
        <f>IF(MOD(CF188,2)=0,CF188,CF188+1)</f>
        <v>0</v>
      </c>
      <c r="CH188" s="238">
        <f>IF(AX188&lt;9,"",SUM(CG188-CF188))</f>
        <v>0</v>
      </c>
      <c r="CI188" s="238">
        <f>IF(CH188=1,AY188,0)</f>
        <v>0</v>
      </c>
      <c r="CJ188" s="243" t="str">
        <f>IF(CH188=0,AY188,0)</f>
        <v/>
      </c>
      <c r="CK188" s="238"/>
      <c r="CL188" s="245">
        <f>IF(COUNT(F188,H188)=1,0,1)</f>
        <v>1</v>
      </c>
      <c r="CM188" s="245">
        <f>IF(COUNT(F188,U188)=1,0,1)</f>
        <v>1</v>
      </c>
      <c r="CN188" s="245">
        <f>IF(COUNT(H188,W188)=1,0,1)</f>
        <v>1</v>
      </c>
      <c r="CO188" s="245">
        <f>IF(COUNT(G188,V188)=2,0,1)</f>
        <v>1</v>
      </c>
      <c r="CP188" s="245">
        <f>IF(COUNT(U188,W188)=1,0,1)</f>
        <v>1</v>
      </c>
      <c r="CQ188" s="245">
        <f>IF(SUM(G188-V188)&gt;3,1,0)</f>
        <v>0</v>
      </c>
      <c r="CR188" s="245">
        <f>IF(SUM(G188-V188)&lt;-3,1,0)</f>
        <v>0</v>
      </c>
      <c r="CS188" s="264">
        <f>IF(AJ188=9,IF(AH188&lt;141,1,0),IF(AH188="",0,IF(AH188&gt;1,0,1)))</f>
        <v>0</v>
      </c>
      <c r="CT188" s="264">
        <f>IF(AX188=9,IF(AV188&lt;141,1,0),IF(AV188="",0,IF(AV188&gt;1,0,1)))</f>
        <v>0</v>
      </c>
      <c r="CU188" s="264">
        <f>IF(AI188="",0,IF(AI188&lt;502,0,1))</f>
        <v>0</v>
      </c>
      <c r="CV188" s="264">
        <f>IF(AW188="",0,IF(AW188&lt;502,0,1))</f>
        <v>0</v>
      </c>
      <c r="CW188" s="264">
        <f>IF(AI188="",IF(AJ188&lt;9,1,0),IF(AJ188&lt;9,1,0))</f>
        <v>0</v>
      </c>
      <c r="CX188" s="264">
        <f>IF(AW188="",IF(AX188&lt;9,1,0),IF(AX188&lt;9,1,0))</f>
        <v>0</v>
      </c>
      <c r="CY188" s="374"/>
      <c r="CZ188" s="374"/>
      <c r="DA188" s="374"/>
      <c r="DB188" s="374"/>
      <c r="DC188" s="265">
        <f>IF(AJ188="",0,SUM(CL188:CX188))</f>
        <v>0</v>
      </c>
      <c r="DD188" s="265">
        <f>IF(AJ188="",0,SUM(CL188,CS188,CU188,CW188))</f>
        <v>0</v>
      </c>
      <c r="DE188" s="265">
        <f>IF(AJ188="",0,SUM(CP188,CT188,CV188,CX188))</f>
        <v>0</v>
      </c>
      <c r="DF188" s="238"/>
      <c r="DG188" s="248">
        <f>IF(AL181=3,0,SUM(G188-V188))</f>
        <v>0</v>
      </c>
      <c r="DH188" s="245">
        <f>IF(F188="",0,1)</f>
        <v>0</v>
      </c>
      <c r="DI188" s="245">
        <f t="shared" si="440"/>
        <v>0</v>
      </c>
      <c r="DJ188" s="245">
        <f t="shared" si="441"/>
        <v>0</v>
      </c>
      <c r="DK188" s="245" t="str">
        <f>IF(G188="","",IF(DJ188=1,"*",""))</f>
        <v/>
      </c>
      <c r="DL188" s="245" t="str">
        <f>IF(AL181=3,"",IF(G188="","",IF(DJ188=-1,"*",IF(DJ188=0,"*",""))))</f>
        <v/>
      </c>
      <c r="DM188" s="245">
        <v>5</v>
      </c>
      <c r="DN188" s="245" t="str">
        <f t="shared" si="442"/>
        <v>5</v>
      </c>
      <c r="DO188" s="245" t="str">
        <f t="shared" si="443"/>
        <v>5</v>
      </c>
      <c r="DP188" s="245">
        <f>SUM(DP184)</f>
        <v>0</v>
      </c>
      <c r="DQ188" s="245">
        <f>SUM(DQ184)</f>
        <v>0</v>
      </c>
      <c r="DR188" s="245">
        <f t="shared" si="450"/>
        <v>0</v>
      </c>
      <c r="DS188" s="245">
        <f t="shared" si="451"/>
        <v>0</v>
      </c>
      <c r="DT188" s="245">
        <f t="shared" si="452"/>
        <v>0</v>
      </c>
      <c r="DU188" s="245">
        <f>IF(V188="",0,IF(DQ188=DS188,0,1))</f>
        <v>0</v>
      </c>
      <c r="DV188" s="267">
        <f t="shared" si="453"/>
        <v>0</v>
      </c>
      <c r="DW188" s="267">
        <f>IF(V188="",0,SUM(DU188))</f>
        <v>0</v>
      </c>
      <c r="DX188" s="238">
        <f>IF(AK188="",0,1)</f>
        <v>0</v>
      </c>
      <c r="DY188" s="238">
        <f>IF(DG188=-3,1,0)</f>
        <v>0</v>
      </c>
      <c r="DZ188" s="238">
        <f>SUM(DX188:DY188)</f>
        <v>0</v>
      </c>
      <c r="EA188" s="238">
        <f>IF(AK188="",1,0)</f>
        <v>1</v>
      </c>
      <c r="EB188" s="238">
        <f>IF(DG188=3,1,0)</f>
        <v>0</v>
      </c>
      <c r="EC188" s="238">
        <f>SUM(EA188:EB188)</f>
        <v>1</v>
      </c>
      <c r="ED188" s="267">
        <f>IF(EC188=2,1,0)</f>
        <v>0</v>
      </c>
      <c r="EE188" s="267">
        <f>IF(DZ188=2,1,0)</f>
        <v>0</v>
      </c>
      <c r="EG188" s="166"/>
      <c r="EH188" s="238"/>
      <c r="EI188" s="238"/>
      <c r="EJ188" s="238"/>
      <c r="EK188" s="238"/>
      <c r="EL188" s="238"/>
      <c r="EM188" s="245">
        <f>IF(AK188="",0,1)</f>
        <v>0</v>
      </c>
      <c r="EN188" s="245">
        <f>SUM(AK188)</f>
        <v>0</v>
      </c>
      <c r="EO188" s="268">
        <f>SUM(AJ188)</f>
        <v>0</v>
      </c>
      <c r="EP188" s="268">
        <f>SUM(G188/3)</f>
        <v>0</v>
      </c>
      <c r="EQ188" s="268" t="e">
        <f>SUM(EO188/EP188)</f>
        <v>#DIV/0!</v>
      </c>
      <c r="ER188" s="268">
        <f>ROUNDDOWN(EP188,0)</f>
        <v>0</v>
      </c>
      <c r="ES188" s="268">
        <f>SUM(EO188,-ER188*3)</f>
        <v>0</v>
      </c>
      <c r="ET188" s="269" t="b">
        <f>MOD(EN188/1,2)=0</f>
        <v>1</v>
      </c>
      <c r="EU188" s="245">
        <f>IF(ET188=FALSE,1,0)</f>
        <v>0</v>
      </c>
      <c r="EV188" s="245">
        <f>IF(EN188=50,0,IF(EN188&lt;40,1,0))</f>
        <v>1</v>
      </c>
      <c r="EW188" s="245">
        <f>SUM(EU188:EV188)</f>
        <v>1</v>
      </c>
      <c r="EX188" s="267">
        <f>IF(EN188=1,1,IF(EN188=50,0,IF(ES188=1,IF(EN188&gt;40,1,0),0)))</f>
        <v>0</v>
      </c>
      <c r="EY188" s="267">
        <f>IF(ES188=1,IF(EW188=2,1,0),0)+EX188+FB188+FE188</f>
        <v>0</v>
      </c>
      <c r="EZ188" s="245">
        <f>IF(EN188=109,1,IF(EN188=108,1,IF(EN188=106,1,IF(EN188=105,1,IF(EN188=103,1,IF(EN188=102,1,IF(EN188=99,1,0)))))))</f>
        <v>0</v>
      </c>
      <c r="FA188" s="245">
        <f>IF(EN188&gt;110,1,0)</f>
        <v>0</v>
      </c>
      <c r="FB188" s="267">
        <f>IF(ES188=2,SUM(EZ188:FA188),0)</f>
        <v>0</v>
      </c>
      <c r="FC188" s="245">
        <f>IF(EN188=159,1,IF(EN188=162,1,IF(EN188=163,1,IF(EN188=165,1,IF(EN188=166,1,IF(EN188=168,1,IF(EN188=169,1,0)))))))</f>
        <v>0</v>
      </c>
      <c r="FD188" s="245">
        <f>IF(EN188&gt;170,1,0)</f>
        <v>0</v>
      </c>
      <c r="FE188" s="267">
        <f>IF(ES188=0,SUM(FC188:FD188),0)</f>
        <v>0</v>
      </c>
      <c r="FF188" s="251">
        <f t="shared" si="444"/>
        <v>0</v>
      </c>
      <c r="FG188" s="238"/>
      <c r="FH188" s="245">
        <f>IF(AY188="",0,1)</f>
        <v>0</v>
      </c>
      <c r="FI188" s="245">
        <f>SUM(AY188)</f>
        <v>0</v>
      </c>
      <c r="FJ188" s="268">
        <f>SUM(AX188)</f>
        <v>0</v>
      </c>
      <c r="FK188" s="268">
        <f>SUM(V188/3)</f>
        <v>0</v>
      </c>
      <c r="FL188" s="268" t="e">
        <f>SUM(FJ188/FK188)</f>
        <v>#DIV/0!</v>
      </c>
      <c r="FM188" s="268">
        <f>ROUNDDOWN(FK188,0)</f>
        <v>0</v>
      </c>
      <c r="FN188" s="268">
        <f>SUM(FJ188,-FM188*3)</f>
        <v>0</v>
      </c>
      <c r="FO188" s="269" t="b">
        <f>MOD(FI188/1,2)=0</f>
        <v>1</v>
      </c>
      <c r="FP188" s="245">
        <f>IF(FO188=FALSE,1,0)</f>
        <v>0</v>
      </c>
      <c r="FQ188" s="245">
        <f>IF(FI188=50,0,IF(FI188&lt;40,1,0))</f>
        <v>1</v>
      </c>
      <c r="FR188" s="245">
        <f>SUM(FP188:FQ188)</f>
        <v>1</v>
      </c>
      <c r="FS188" s="267">
        <f>IF(FI188=1,1,IF(FI188=50,0,IF(FN188=1,IF(FI188&gt;40,1,0),0)))</f>
        <v>0</v>
      </c>
      <c r="FT188" s="267">
        <f>IF(FN188=1,IF(FR188=2,1,0),0)+FS188+FW188+FZ188</f>
        <v>0</v>
      </c>
      <c r="FU188" s="245">
        <f>IF(FI188=109,1,IF(FI188=108,1,IF(FI188=106,1,IF(FI188=105,1,IF(FI188=103,1,IF(FI188=102,1,IF(FI188=99,1,0)))))))</f>
        <v>0</v>
      </c>
      <c r="FV188" s="245">
        <f>IF(FI188&gt;110,1,0)</f>
        <v>0</v>
      </c>
      <c r="FW188" s="267">
        <f>IF(FN188=2,SUM(FU188:FV188),0)</f>
        <v>0</v>
      </c>
      <c r="FX188" s="245">
        <f>IF(FI188=159,1,IF(FI188=162,1,IF(FI188=163,1,IF(FI188=165,1,IF(FI188=166,1,IF(FI188=168,1,IF(FI188=169,1,0)))))))</f>
        <v>0</v>
      </c>
      <c r="FY188" s="245">
        <f>IF(FI188&gt;170,1,0)</f>
        <v>0</v>
      </c>
      <c r="FZ188" s="267">
        <f>IF(FN188=0,SUM(FX188:FY188),0)</f>
        <v>0</v>
      </c>
      <c r="GA188" s="251">
        <f t="shared" si="445"/>
        <v>0</v>
      </c>
      <c r="GC188" s="238" t="str">
        <f>VLOOKUP(AH181,Chema!BL:BR,5,FALSE)</f>
        <v/>
      </c>
      <c r="GD188" s="341"/>
      <c r="GE188" s="343" t="str">
        <f>IF(R192="","",SUM(R192))</f>
        <v/>
      </c>
      <c r="GF188" s="340"/>
      <c r="GG188" s="346"/>
      <c r="GH188" s="343">
        <f>IF(GH187&gt;0,1,0)</f>
        <v>0</v>
      </c>
      <c r="GI188" s="346"/>
      <c r="GJ188" s="343"/>
      <c r="GK188" s="346"/>
      <c r="GL188" s="343">
        <f>IF(GL187&gt;0,1,0)</f>
        <v>0</v>
      </c>
      <c r="GM188" s="343"/>
      <c r="GN188" s="343"/>
      <c r="GO188" s="346"/>
      <c r="GP188" s="343">
        <f>IF(GP187&gt;0,1,0)</f>
        <v>0</v>
      </c>
      <c r="GQ188" s="343"/>
      <c r="GR188" s="343"/>
      <c r="GS188" s="346"/>
      <c r="GT188" s="343">
        <f>IF(GT187&gt;0,1,0)</f>
        <v>0</v>
      </c>
      <c r="GU188" s="343"/>
      <c r="GV188" s="343"/>
      <c r="GW188" s="346"/>
      <c r="GX188" s="343">
        <f>IF(GX187&gt;0,1,0)</f>
        <v>0</v>
      </c>
      <c r="GY188" s="340"/>
      <c r="GZ188" s="343"/>
      <c r="HA188" s="343"/>
      <c r="HB188" s="343" t="str">
        <f>IF(GD184=1,P192,"")</f>
        <v/>
      </c>
      <c r="HC188" s="343" t="str">
        <f>IF(GD184=1,X192,"")</f>
        <v/>
      </c>
      <c r="HD188" s="340"/>
      <c r="HE188" s="340"/>
      <c r="HF188" s="340"/>
      <c r="HG188" s="340">
        <f>IF(HG186=HM184,0,IF(HG186=HM188,0,1))</f>
        <v>0</v>
      </c>
      <c r="HH188" s="340">
        <f>IF(HH185=HH187,1,0)</f>
        <v>1</v>
      </c>
      <c r="HI188" s="340"/>
      <c r="HJ188" s="340"/>
      <c r="HK188" s="340"/>
      <c r="HL188" s="340"/>
      <c r="HM188" s="341">
        <f>COUNT(HI187,HJ187,HK187,HL187,HM187)</f>
        <v>0</v>
      </c>
      <c r="HN188" s="341"/>
      <c r="HO188" s="341"/>
      <c r="HP188" s="341"/>
      <c r="HQ188" s="341"/>
      <c r="HR188" s="341"/>
      <c r="HS188" s="238"/>
      <c r="HT188" s="238"/>
      <c r="HU188" s="238"/>
      <c r="HV188" s="238"/>
      <c r="HX188" s="238"/>
      <c r="HY188" s="238"/>
      <c r="ID188" s="238"/>
    </row>
    <row r="189" spans="1:238" s="234" customFormat="1" ht="6.6" customHeight="1">
      <c r="A189" s="235"/>
      <c r="B189" s="231"/>
      <c r="C189" s="310"/>
      <c r="D189" s="310"/>
      <c r="E189" s="310"/>
      <c r="F189" s="310"/>
      <c r="G189" s="313"/>
      <c r="H189" s="310"/>
      <c r="I189" s="310"/>
      <c r="J189" s="273"/>
      <c r="K189" s="313"/>
      <c r="O189" s="118"/>
      <c r="R189" s="310"/>
      <c r="S189" s="310"/>
      <c r="T189" s="310"/>
      <c r="U189" s="310"/>
      <c r="V189" s="313"/>
      <c r="W189" s="310"/>
      <c r="X189" s="310"/>
      <c r="Y189" s="273"/>
      <c r="Z189" s="308"/>
      <c r="AA189" s="274"/>
      <c r="AD189" s="235"/>
      <c r="AE189" s="237">
        <f>IF(AF189=0,0,1)</f>
        <v>0</v>
      </c>
      <c r="AF189" s="237">
        <f>IF(AL189=0,0,SUM(AL191:AL192,-AL190))</f>
        <v>0</v>
      </c>
      <c r="AG189" s="237"/>
      <c r="AH189" s="275">
        <f>SUM(AH184,AH185,AH186,AH187,AH188)</f>
        <v>0</v>
      </c>
      <c r="AI189" s="275">
        <f t="shared" ref="AI189" si="457">SUM(AI184,AI185,AI186,AI187,AI188)</f>
        <v>0</v>
      </c>
      <c r="AJ189" s="275">
        <f t="shared" ref="AJ189" si="458">SUM(AJ184,AJ185,AJ186,AJ187,AJ188)</f>
        <v>0</v>
      </c>
      <c r="AK189" s="275">
        <f>MAX(AK184,AK185,AK186,AK187,AK188)</f>
        <v>0</v>
      </c>
      <c r="AL189" s="275">
        <f t="shared" ref="AL189" si="459">SUM(AL184,AL185,AL186,AL187,AL188)</f>
        <v>0</v>
      </c>
      <c r="AM189" s="275">
        <f>IF(AK181="D",SUM(AL184,AL185,AL186,AL187,AL188,-AL191,-AL192),0)</f>
        <v>0</v>
      </c>
      <c r="AN189" s="235"/>
      <c r="AO189" s="235"/>
      <c r="AP189" s="235"/>
      <c r="AQ189" s="235"/>
      <c r="AR189" s="235"/>
      <c r="AS189" s="237">
        <f>IF(AT189=0,0,1)</f>
        <v>0</v>
      </c>
      <c r="AT189" s="237">
        <f>IF(AZ189=0,0,SUM(AZ191:AZ192,-AZ190))</f>
        <v>0</v>
      </c>
      <c r="AU189" s="237"/>
      <c r="AV189" s="275">
        <f>SUM(AV184,AV185,AV186,AV187,AV188)</f>
        <v>0</v>
      </c>
      <c r="AW189" s="275">
        <f t="shared" ref="AW189" si="460">SUM(AW184,AW185,AW186,AW187,AW188)</f>
        <v>0</v>
      </c>
      <c r="AX189" s="275">
        <f t="shared" ref="AX189" si="461">SUM(AX184,AX185,AX186,AX187,AX188)</f>
        <v>0</v>
      </c>
      <c r="AY189" s="275">
        <f>MAX(AY184,AY185,AY186,AY187,AY188)</f>
        <v>0</v>
      </c>
      <c r="AZ189" s="275">
        <f t="shared" ref="AZ189" si="462">SUM(AZ184,AZ185,AZ186,AZ187,AZ188)</f>
        <v>0</v>
      </c>
      <c r="BA189" s="275">
        <f>IF(AK181="D",SUM(AZ184,AZ185,AZ186,AZ187,AZ188,-AZ191,-AZ192),0)</f>
        <v>0</v>
      </c>
      <c r="BJ189" s="236"/>
      <c r="BK189" s="238"/>
      <c r="BL189" s="238"/>
      <c r="BM189" s="238"/>
      <c r="BP189" s="238"/>
      <c r="BQ189" s="238"/>
      <c r="BR189" s="238"/>
      <c r="BS189" s="238"/>
      <c r="BT189" s="238"/>
      <c r="BU189" s="238"/>
      <c r="BY189" s="238"/>
      <c r="BZ189" s="238">
        <f>MAX(BZ184,BZ185,BZ186,BZ187,BZ188)</f>
        <v>0</v>
      </c>
      <c r="CA189" s="238">
        <f>MAX(CA184,CA185,CA186,CA187,CA188)</f>
        <v>0</v>
      </c>
      <c r="CB189" s="238"/>
      <c r="CC189" s="238"/>
      <c r="CD189" s="238"/>
      <c r="CG189" s="244"/>
      <c r="CH189" s="238"/>
      <c r="CI189" s="238">
        <f>MAX(CI184,CI185,CI186,CI187,CI188)</f>
        <v>0</v>
      </c>
      <c r="CJ189" s="238">
        <f>MAX(CJ184,CJ185,CJ186,CJ187,CJ188)</f>
        <v>0</v>
      </c>
      <c r="CK189" s="238"/>
      <c r="CL189" s="238"/>
      <c r="CM189" s="238"/>
      <c r="CN189" s="238"/>
      <c r="CO189" s="238"/>
      <c r="CP189" s="238"/>
      <c r="CQ189" s="238"/>
      <c r="CR189" s="238"/>
      <c r="CS189" s="238"/>
      <c r="CT189" s="238"/>
      <c r="CU189" s="238"/>
      <c r="CV189" s="238"/>
      <c r="CW189" s="238"/>
      <c r="CX189" s="238"/>
      <c r="CY189" s="238"/>
      <c r="CZ189" s="238"/>
      <c r="DA189" s="238"/>
      <c r="DB189" s="238"/>
      <c r="DC189" s="238"/>
      <c r="DD189" s="238"/>
      <c r="DE189" s="238"/>
      <c r="DF189" s="238"/>
      <c r="DG189" s="238"/>
      <c r="DH189" s="238"/>
      <c r="DI189" s="238"/>
      <c r="DJ189" s="238"/>
      <c r="DK189" s="238"/>
      <c r="DL189" s="238"/>
      <c r="DM189" s="238"/>
      <c r="DN189" s="238"/>
      <c r="DO189" s="238"/>
      <c r="DP189" s="238"/>
      <c r="DQ189" s="238"/>
      <c r="DR189" s="238"/>
      <c r="DS189" s="238"/>
      <c r="DT189" s="238"/>
      <c r="DU189" s="238"/>
      <c r="DV189" s="238"/>
      <c r="DW189" s="238"/>
      <c r="DX189" s="238"/>
      <c r="DY189" s="238"/>
      <c r="DZ189" s="238"/>
      <c r="EA189" s="238"/>
      <c r="EB189" s="238"/>
      <c r="EC189" s="238"/>
      <c r="ED189" s="238"/>
      <c r="EE189" s="238"/>
      <c r="EF189" s="238"/>
      <c r="EG189" s="238"/>
      <c r="EH189" s="238"/>
      <c r="EI189" s="238"/>
      <c r="EJ189" s="238"/>
      <c r="EK189" s="238"/>
      <c r="EL189" s="238"/>
      <c r="EM189" s="166"/>
      <c r="EN189" s="166"/>
      <c r="EO189" s="166"/>
      <c r="EP189" s="238">
        <f>SUM(EN189-EO189)</f>
        <v>0</v>
      </c>
      <c r="EQ189" s="238"/>
      <c r="ER189" s="238"/>
      <c r="ES189" s="238"/>
      <c r="ET189" s="244"/>
      <c r="EU189" s="238"/>
      <c r="EV189" s="238"/>
      <c r="EW189" s="238"/>
      <c r="EX189" s="238"/>
      <c r="EY189" s="238"/>
      <c r="EZ189" s="238"/>
      <c r="FA189" s="238"/>
      <c r="FB189" s="238"/>
      <c r="FC189" s="238"/>
      <c r="FD189" s="238"/>
      <c r="FE189" s="238"/>
      <c r="FF189" s="238"/>
      <c r="FG189" s="238"/>
      <c r="FH189" s="238"/>
      <c r="FI189" s="238"/>
      <c r="FJ189" s="238"/>
      <c r="FK189" s="238"/>
      <c r="FL189" s="238"/>
      <c r="FM189" s="238"/>
      <c r="FN189" s="238"/>
      <c r="FO189" s="244"/>
      <c r="FP189" s="238"/>
      <c r="FQ189" s="238"/>
      <c r="FR189" s="238"/>
      <c r="FS189" s="238"/>
      <c r="FT189" s="238"/>
      <c r="FU189" s="238"/>
      <c r="FV189" s="238"/>
      <c r="FW189" s="238"/>
      <c r="FX189" s="238"/>
      <c r="FY189" s="238"/>
      <c r="FZ189" s="238"/>
      <c r="GA189" s="238"/>
      <c r="GB189" s="238"/>
      <c r="GC189" s="238"/>
      <c r="GD189" s="341"/>
      <c r="GE189" s="340"/>
      <c r="GF189" s="340"/>
      <c r="GG189" s="340"/>
      <c r="GH189" s="340"/>
      <c r="GI189" s="340"/>
      <c r="GJ189" s="340"/>
      <c r="GK189" s="340"/>
      <c r="GL189" s="340"/>
      <c r="GM189" s="340"/>
      <c r="GN189" s="340"/>
      <c r="GO189" s="340"/>
      <c r="GP189" s="340"/>
      <c r="GQ189" s="340"/>
      <c r="GR189" s="340"/>
      <c r="GS189" s="340"/>
      <c r="GT189" s="340"/>
      <c r="GU189" s="340"/>
      <c r="GV189" s="340"/>
      <c r="GW189" s="340"/>
      <c r="GX189" s="340"/>
      <c r="GY189" s="340"/>
      <c r="GZ189" s="340"/>
      <c r="HA189" s="340"/>
      <c r="HB189" s="340"/>
      <c r="HC189" s="340"/>
      <c r="HD189" s="341"/>
      <c r="HE189" s="341"/>
      <c r="HF189" s="341"/>
      <c r="HG189" s="341"/>
      <c r="HH189" s="341"/>
      <c r="HI189" s="341"/>
      <c r="HJ189" s="341"/>
      <c r="HK189" s="341"/>
      <c r="HL189" s="341"/>
      <c r="HM189" s="341"/>
      <c r="HN189" s="341"/>
      <c r="HO189" s="341"/>
      <c r="HP189" s="341"/>
      <c r="HQ189" s="341"/>
      <c r="HR189" s="341"/>
      <c r="HS189" s="238"/>
      <c r="HT189" s="238"/>
      <c r="HU189" s="238"/>
      <c r="HV189" s="238"/>
      <c r="HX189" s="238"/>
      <c r="HY189" s="238"/>
      <c r="ID189" s="238"/>
    </row>
    <row r="190" spans="1:238" s="234" customFormat="1" ht="20.100000000000001" customHeight="1">
      <c r="A190" s="235"/>
      <c r="B190" s="231"/>
      <c r="C190" s="314" t="s">
        <v>771</v>
      </c>
      <c r="D190" s="276" t="str">
        <f>REPT(Sprache!$K$58,1)</f>
        <v>Spieler</v>
      </c>
      <c r="E190" s="277" t="str">
        <f>REPT(Sprache!$K$33,1)</f>
        <v>Name / Vorname</v>
      </c>
      <c r="F190" s="278"/>
      <c r="G190" s="278"/>
      <c r="H190" s="279"/>
      <c r="I190" s="280"/>
      <c r="J190" s="281" t="str">
        <f>REPT(AM190,1)</f>
        <v/>
      </c>
      <c r="L190" s="306" t="s">
        <v>848</v>
      </c>
      <c r="M190" s="238"/>
      <c r="P190" s="306" t="s">
        <v>848</v>
      </c>
      <c r="R190" s="314" t="s">
        <v>771</v>
      </c>
      <c r="S190" s="276" t="str">
        <f>REPT(Sprache!$K$58,1)</f>
        <v>Spieler</v>
      </c>
      <c r="T190" s="277" t="str">
        <f>REPT(Sprache!$K$33,1)</f>
        <v>Name / Vorname</v>
      </c>
      <c r="U190" s="278"/>
      <c r="V190" s="278"/>
      <c r="W190" s="279"/>
      <c r="X190" s="280"/>
      <c r="Y190" s="281" t="str">
        <f>REPT(BA190,1)</f>
        <v/>
      </c>
      <c r="Z190" s="308"/>
      <c r="AD190" s="235"/>
      <c r="AE190" s="235"/>
      <c r="AF190" s="237" t="s">
        <v>771</v>
      </c>
      <c r="AG190" s="282" t="s">
        <v>877</v>
      </c>
      <c r="AH190" s="283" t="str">
        <f>IF(AH189=0,"",AH189)</f>
        <v/>
      </c>
      <c r="AI190" s="283" t="str">
        <f>IF(AI189=0,"",AI189)</f>
        <v/>
      </c>
      <c r="AJ190" s="283" t="str">
        <f>IF(AJ189=0,"",AJ189)</f>
        <v/>
      </c>
      <c r="AK190" s="283" t="str">
        <f>IF(AK189=0,"",AK189)</f>
        <v/>
      </c>
      <c r="AL190" s="283" t="str">
        <f>IF(AL189=0,"",AL189)</f>
        <v/>
      </c>
      <c r="AM190" s="258" t="str">
        <f>IF(AK181="D",IF(AF189=0,"","X"),"")</f>
        <v/>
      </c>
      <c r="AN190" s="235"/>
      <c r="AO190" s="235"/>
      <c r="AP190" s="284"/>
      <c r="AQ190" s="235"/>
      <c r="AR190" s="235"/>
      <c r="AS190" s="235"/>
      <c r="AT190" s="237" t="s">
        <v>771</v>
      </c>
      <c r="AU190" s="282" t="s">
        <v>877</v>
      </c>
      <c r="AV190" s="283" t="str">
        <f>IF(AV189=0,"",AV189)</f>
        <v/>
      </c>
      <c r="AW190" s="283" t="str">
        <f>IF(AW189=0,"",AW189)</f>
        <v/>
      </c>
      <c r="AX190" s="283" t="str">
        <f>IF(AX189=0,"",AX189)</f>
        <v/>
      </c>
      <c r="AY190" s="283" t="str">
        <f>IF(AY189=0,"",AY189)</f>
        <v/>
      </c>
      <c r="AZ190" s="421" t="str">
        <f>IF(AZ189=0,"",AZ189)</f>
        <v/>
      </c>
      <c r="BA190" s="258" t="str">
        <f>IF(AK181="D",IF(AT189=0,"","X"),"")</f>
        <v/>
      </c>
      <c r="BJ190" s="236"/>
      <c r="BK190" s="238"/>
      <c r="BL190" s="244">
        <f>IF(BM190=0,0,1)</f>
        <v>0</v>
      </c>
      <c r="BM190" s="244">
        <f>SUM(BM184,BM185,BM186,BM187,BM188,HH186,AN191,AN192,BB191,BB192)</f>
        <v>0</v>
      </c>
      <c r="BN190" s="166">
        <f t="shared" ref="BN190:BO190" si="463">SUM(BN184,BN185,BN186,BN187,BN188)</f>
        <v>0</v>
      </c>
      <c r="BO190" s="166">
        <f t="shared" si="463"/>
        <v>0</v>
      </c>
      <c r="BP190" s="244"/>
      <c r="BQ190" s="238"/>
      <c r="BR190" s="238"/>
      <c r="BS190" s="238"/>
      <c r="BT190" s="238"/>
      <c r="BU190" s="238"/>
      <c r="BV190" s="238"/>
      <c r="BW190" s="238"/>
      <c r="BX190" s="236"/>
      <c r="BY190" s="238"/>
      <c r="BZ190" s="238"/>
      <c r="CA190" s="238"/>
      <c r="CB190" s="238"/>
      <c r="CC190" s="238"/>
      <c r="CD190" s="238"/>
      <c r="CE190" s="238"/>
      <c r="CF190" s="238"/>
      <c r="CG190" s="244"/>
      <c r="CH190" s="238"/>
      <c r="CI190" s="238"/>
      <c r="CJ190" s="238"/>
      <c r="CK190" s="238"/>
      <c r="CL190" s="238"/>
      <c r="CM190" s="238"/>
      <c r="CN190" s="238"/>
      <c r="CO190" s="238"/>
      <c r="CP190" s="238"/>
      <c r="CQ190" s="238"/>
      <c r="CR190" s="238"/>
      <c r="CS190" s="238"/>
      <c r="CT190" s="238"/>
      <c r="CU190" s="238"/>
      <c r="CV190" s="238"/>
      <c r="CW190" s="238"/>
      <c r="CX190" s="238"/>
      <c r="CY190" s="238"/>
      <c r="CZ190" s="238"/>
      <c r="DA190" s="238"/>
      <c r="DB190" s="238"/>
      <c r="DC190" s="238"/>
      <c r="DD190" s="238"/>
      <c r="DE190" s="238"/>
      <c r="DF190" s="238"/>
      <c r="DG190" s="238"/>
      <c r="DH190" s="238"/>
      <c r="DI190" s="238"/>
      <c r="DJ190" s="238"/>
      <c r="DK190" s="238"/>
      <c r="DL190" s="238"/>
      <c r="DM190" s="238"/>
      <c r="DN190" s="238"/>
      <c r="DO190" s="238"/>
      <c r="DP190" s="238"/>
      <c r="DQ190" s="238"/>
      <c r="DR190" s="238"/>
      <c r="DS190" s="238"/>
      <c r="DT190" s="238"/>
      <c r="DU190" s="238"/>
      <c r="DV190" s="238"/>
      <c r="DW190" s="238"/>
      <c r="DX190" s="238"/>
      <c r="DY190" s="238"/>
      <c r="DZ190" s="238"/>
      <c r="EA190" s="238"/>
      <c r="EB190" s="238"/>
      <c r="EC190" s="238"/>
      <c r="ED190" s="238"/>
      <c r="EE190" s="238"/>
      <c r="EF190" s="238"/>
      <c r="EG190" s="238"/>
      <c r="EH190" s="238"/>
      <c r="EI190" s="238"/>
      <c r="EJ190" s="238"/>
      <c r="EK190" s="238"/>
      <c r="EL190" s="238"/>
      <c r="EM190" s="238"/>
      <c r="EN190" s="238"/>
      <c r="EO190" s="238"/>
      <c r="EP190" s="238"/>
      <c r="EQ190" s="238"/>
      <c r="ER190" s="238"/>
      <c r="ES190" s="238"/>
      <c r="ET190" s="244"/>
      <c r="EU190" s="238"/>
      <c r="EV190" s="238"/>
      <c r="EW190" s="238"/>
      <c r="EX190" s="238"/>
      <c r="EY190" s="238"/>
      <c r="EZ190" s="238"/>
      <c r="FA190" s="238"/>
      <c r="FB190" s="238"/>
      <c r="FC190" s="238"/>
      <c r="FD190" s="238"/>
      <c r="FE190" s="238"/>
      <c r="FF190" s="238"/>
      <c r="FG190" s="238"/>
      <c r="FH190" s="238"/>
      <c r="FI190" s="238"/>
      <c r="FJ190" s="238"/>
      <c r="FK190" s="238"/>
      <c r="FL190" s="238"/>
      <c r="FM190" s="238"/>
      <c r="FN190" s="238"/>
      <c r="FO190" s="244"/>
      <c r="FP190" s="238"/>
      <c r="FQ190" s="238"/>
      <c r="FR190" s="238"/>
      <c r="FS190" s="238"/>
      <c r="FT190" s="238"/>
      <c r="FU190" s="238"/>
      <c r="FV190" s="238"/>
      <c r="FW190" s="238"/>
      <c r="FX190" s="238"/>
      <c r="FY190" s="238"/>
      <c r="FZ190" s="238"/>
      <c r="GA190" s="238"/>
      <c r="GB190" s="238"/>
      <c r="GC190" s="238"/>
      <c r="GD190" s="341"/>
      <c r="GE190" s="340"/>
      <c r="GF190" s="340"/>
      <c r="GG190" s="340"/>
      <c r="GH190" s="340"/>
      <c r="GI190" s="340"/>
      <c r="GJ190" s="340"/>
      <c r="GK190" s="340"/>
      <c r="GL190" s="340"/>
      <c r="GM190" s="340"/>
      <c r="GN190" s="340"/>
      <c r="GO190" s="340"/>
      <c r="GP190" s="340"/>
      <c r="GQ190" s="340"/>
      <c r="GR190" s="340"/>
      <c r="GS190" s="340"/>
      <c r="GT190" s="340"/>
      <c r="GU190" s="340"/>
      <c r="GV190" s="340"/>
      <c r="GW190" s="340"/>
      <c r="GX190" s="340"/>
      <c r="GY190" s="340"/>
      <c r="GZ190" s="340"/>
      <c r="HA190" s="340"/>
      <c r="HB190" s="340"/>
      <c r="HC190" s="340"/>
      <c r="HD190" s="341"/>
      <c r="HE190" s="341"/>
      <c r="HF190" s="341"/>
      <c r="HG190" s="341"/>
      <c r="HH190" s="341"/>
      <c r="HI190" s="341"/>
      <c r="HJ190" s="341"/>
      <c r="HK190" s="341"/>
      <c r="HL190" s="341"/>
      <c r="HM190" s="341"/>
      <c r="HN190" s="341"/>
      <c r="HO190" s="341"/>
      <c r="HP190" s="341"/>
      <c r="HQ190" s="341"/>
      <c r="HR190" s="341"/>
      <c r="HS190" s="238"/>
      <c r="HT190" s="238"/>
      <c r="HU190" s="238"/>
      <c r="HV190" s="238"/>
      <c r="HX190" s="238"/>
      <c r="HY190" s="238"/>
      <c r="ID190" s="238"/>
    </row>
    <row r="191" spans="1:238" s="234" customFormat="1" ht="20.100000000000001" customHeight="1">
      <c r="A191" s="235"/>
      <c r="B191" s="231"/>
      <c r="C191" s="285" t="str">
        <f>IF(AF191="","",SUM(AF191))</f>
        <v/>
      </c>
      <c r="D191" s="286" t="str">
        <f>IF(AK181="D",1,"")</f>
        <v/>
      </c>
      <c r="E191" s="287" t="str">
        <f>IF(C191="","",VLOOKUP(C191,Licenses!B:C,2,FALSE))</f>
        <v/>
      </c>
      <c r="F191" s="288"/>
      <c r="G191" s="288"/>
      <c r="H191" s="289"/>
      <c r="I191" s="169"/>
      <c r="J191" s="270" t="str">
        <f>REPT(AM191,1)</f>
        <v/>
      </c>
      <c r="L191" s="290" t="str">
        <f>IF(AK181="D",AK191,IF(AK190="","",AK190))</f>
        <v/>
      </c>
      <c r="M191" s="311"/>
      <c r="P191" s="290" t="str">
        <f>IF(AK181="D",AY191,IF(AY190="","",AY190))</f>
        <v/>
      </c>
      <c r="R191" s="291" t="str">
        <f>IF(AT191="","",SUM(AT191))</f>
        <v/>
      </c>
      <c r="S191" s="286" t="str">
        <f>IF(AK181="D",1,"")</f>
        <v/>
      </c>
      <c r="T191" s="292" t="str">
        <f>IF(R191="","",VLOOKUP(R191,Licenses!B:C,2,FALSE))</f>
        <v/>
      </c>
      <c r="U191" s="293"/>
      <c r="V191" s="293"/>
      <c r="W191" s="294"/>
      <c r="X191" s="169"/>
      <c r="Y191" s="270" t="str">
        <f>REPT(BA191,1)</f>
        <v/>
      </c>
      <c r="Z191" s="308"/>
      <c r="AD191" s="235"/>
      <c r="AE191" s="235"/>
      <c r="AF191" s="256" t="str">
        <f>IF(AM181="","",SUM(AM181))</f>
        <v/>
      </c>
      <c r="AG191" s="237"/>
      <c r="AH191" s="256"/>
      <c r="AI191" s="256"/>
      <c r="AJ191" s="256"/>
      <c r="AK191" s="256" t="str">
        <f>IF(BZ189&gt;1,BZ189,"")</f>
        <v/>
      </c>
      <c r="AL191" s="257">
        <f>IF(AK181="D",SUM(I191),0)</f>
        <v>0</v>
      </c>
      <c r="AM191" s="258" t="str">
        <f>IF(AM189=0,IF(AL191&lt;6,"","X"),"X")</f>
        <v/>
      </c>
      <c r="AN191" s="347" t="str">
        <f>IF(AM189=0,IF(AL191&lt;6,"",1),1)</f>
        <v/>
      </c>
      <c r="AO191" s="235"/>
      <c r="AP191" s="236"/>
      <c r="AQ191" s="235"/>
      <c r="AR191" s="235"/>
      <c r="AS191" s="235"/>
      <c r="AT191" s="256" t="str">
        <f>IF(BA181="","",SUM(BA181))</f>
        <v/>
      </c>
      <c r="AU191" s="237"/>
      <c r="AV191" s="256"/>
      <c r="AW191" s="256"/>
      <c r="AX191" s="256"/>
      <c r="AY191" s="256" t="str">
        <f>IF(CI189&gt;1,CI189,"")</f>
        <v/>
      </c>
      <c r="AZ191" s="257">
        <f>IF(AK181="D",SUM(X191),0)</f>
        <v>0</v>
      </c>
      <c r="BA191" s="258" t="str">
        <f>IF(BA189=0,IF(AZ191&lt;6,"","X"),"X")</f>
        <v/>
      </c>
      <c r="BB191" s="347" t="str">
        <f>IF(BA189=0,IF(AZ191&lt;6,"",1),1)</f>
        <v/>
      </c>
      <c r="BC191" s="236"/>
      <c r="BD191" s="236"/>
      <c r="BE191" s="236"/>
      <c r="BF191" s="236"/>
      <c r="BG191" s="236"/>
      <c r="BH191" s="236"/>
      <c r="BI191" s="236"/>
      <c r="BJ191" s="236"/>
      <c r="BK191" s="238"/>
      <c r="BL191" s="238"/>
      <c r="BM191" s="295"/>
      <c r="BN191" s="295"/>
      <c r="BO191" s="295"/>
      <c r="BP191" s="295"/>
      <c r="BQ191" s="295"/>
      <c r="BR191" s="295"/>
      <c r="BS191" s="295"/>
      <c r="BT191" s="295"/>
      <c r="BU191" s="295"/>
      <c r="BV191" s="295"/>
      <c r="BW191" s="295"/>
      <c r="BX191" s="236"/>
      <c r="BY191" s="295"/>
      <c r="BZ191" s="295"/>
      <c r="CA191" s="295"/>
      <c r="CB191" s="295"/>
      <c r="CC191" s="295"/>
      <c r="CD191" s="295"/>
      <c r="CE191" s="295"/>
      <c r="CF191" s="295"/>
      <c r="CG191" s="296"/>
      <c r="CH191" s="295"/>
      <c r="CI191" s="295"/>
      <c r="CJ191" s="295"/>
      <c r="CK191" s="238"/>
      <c r="CL191" s="238"/>
      <c r="CM191" s="238"/>
      <c r="CN191" s="238"/>
      <c r="CO191" s="238"/>
      <c r="CP191" s="238"/>
      <c r="CQ191" s="238"/>
      <c r="CR191" s="238"/>
      <c r="CS191" s="238"/>
      <c r="CT191" s="238"/>
      <c r="CU191" s="238"/>
      <c r="CV191" s="238"/>
      <c r="CW191" s="238"/>
      <c r="CX191" s="238"/>
      <c r="CY191" s="238"/>
      <c r="CZ191" s="238"/>
      <c r="DA191" s="238"/>
      <c r="DB191" s="238"/>
      <c r="DC191" s="238"/>
      <c r="DD191" s="238"/>
      <c r="DE191" s="238"/>
      <c r="DF191" s="238"/>
      <c r="DG191" s="238"/>
      <c r="DH191" s="238"/>
      <c r="DI191" s="238"/>
      <c r="DJ191" s="238"/>
      <c r="DK191" s="238"/>
      <c r="DL191" s="238"/>
      <c r="DM191" s="238"/>
      <c r="DN191" s="238"/>
      <c r="DO191" s="238"/>
      <c r="DP191" s="238"/>
      <c r="DQ191" s="238"/>
      <c r="DR191" s="238"/>
      <c r="DS191" s="238"/>
      <c r="DT191" s="238"/>
      <c r="DU191" s="238"/>
      <c r="DV191" s="238"/>
      <c r="DW191" s="238"/>
      <c r="DX191" s="238"/>
      <c r="DY191" s="238"/>
      <c r="DZ191" s="238"/>
      <c r="EA191" s="238"/>
      <c r="EB191" s="238"/>
      <c r="EC191" s="238"/>
      <c r="ED191" s="238"/>
      <c r="EE191" s="238"/>
      <c r="EF191" s="238"/>
      <c r="EG191" s="238"/>
      <c r="EH191" s="238"/>
      <c r="EI191" s="238"/>
      <c r="EJ191" s="238"/>
      <c r="EK191" s="238"/>
      <c r="EL191" s="238"/>
      <c r="EM191" s="238"/>
      <c r="EN191" s="238"/>
      <c r="EO191" s="238"/>
      <c r="EP191" s="238"/>
      <c r="EQ191" s="238"/>
      <c r="ER191" s="238"/>
      <c r="ES191" s="238"/>
      <c r="ET191" s="244"/>
      <c r="EU191" s="238"/>
      <c r="EV191" s="238"/>
      <c r="EW191" s="238"/>
      <c r="EX191" s="238"/>
      <c r="EY191" s="238"/>
      <c r="EZ191" s="238"/>
      <c r="FA191" s="238"/>
      <c r="FB191" s="238"/>
      <c r="FC191" s="238"/>
      <c r="FD191" s="238"/>
      <c r="FE191" s="238"/>
      <c r="FF191" s="238"/>
      <c r="FG191" s="238"/>
      <c r="FH191" s="238"/>
      <c r="FI191" s="238"/>
      <c r="FJ191" s="238"/>
      <c r="FK191" s="238"/>
      <c r="FL191" s="238"/>
      <c r="FM191" s="238"/>
      <c r="FN191" s="238"/>
      <c r="FO191" s="244"/>
      <c r="FP191" s="238"/>
      <c r="FQ191" s="238"/>
      <c r="FR191" s="238"/>
      <c r="FS191" s="238"/>
      <c r="FT191" s="238"/>
      <c r="FU191" s="238"/>
      <c r="FV191" s="238"/>
      <c r="FW191" s="238"/>
      <c r="FX191" s="238"/>
      <c r="FY191" s="238"/>
      <c r="FZ191" s="238"/>
      <c r="GA191" s="238"/>
      <c r="GB191" s="238"/>
      <c r="GC191" s="238"/>
      <c r="GD191" s="341"/>
      <c r="GE191" s="340"/>
      <c r="GF191" s="340"/>
      <c r="GG191" s="340"/>
      <c r="GH191" s="340"/>
      <c r="GI191" s="340"/>
      <c r="GJ191" s="340"/>
      <c r="GK191" s="340"/>
      <c r="GL191" s="340"/>
      <c r="GM191" s="340"/>
      <c r="GN191" s="340"/>
      <c r="GO191" s="340"/>
      <c r="GP191" s="340"/>
      <c r="GQ191" s="340"/>
      <c r="GR191" s="340"/>
      <c r="GS191" s="340"/>
      <c r="GT191" s="340"/>
      <c r="GU191" s="340"/>
      <c r="GV191" s="340"/>
      <c r="GW191" s="340"/>
      <c r="GX191" s="340"/>
      <c r="GY191" s="340"/>
      <c r="GZ191" s="340"/>
      <c r="HA191" s="340"/>
      <c r="HB191" s="340"/>
      <c r="HC191" s="340"/>
      <c r="HD191" s="341"/>
      <c r="HE191" s="341"/>
      <c r="HF191" s="341"/>
      <c r="HG191" s="341"/>
      <c r="HH191" s="341"/>
      <c r="HI191" s="341"/>
      <c r="HJ191" s="341"/>
      <c r="HK191" s="341"/>
      <c r="HL191" s="341"/>
      <c r="HM191" s="341"/>
      <c r="HN191" s="341"/>
      <c r="HO191" s="341"/>
      <c r="HP191" s="341"/>
      <c r="HQ191" s="341"/>
      <c r="HR191" s="341"/>
      <c r="HS191" s="238"/>
      <c r="HT191" s="238"/>
      <c r="HU191" s="238"/>
      <c r="HV191" s="238"/>
      <c r="HX191" s="238"/>
      <c r="HY191" s="238"/>
      <c r="ID191" s="238"/>
    </row>
    <row r="192" spans="1:238" s="234" customFormat="1" ht="20.100000000000001" customHeight="1">
      <c r="A192" s="235"/>
      <c r="B192" s="231"/>
      <c r="C192" s="336" t="str">
        <f>IF(AF192="","",SUM(AF192))</f>
        <v/>
      </c>
      <c r="D192" s="333" t="str">
        <f>IF(AK181="D",2,"")</f>
        <v/>
      </c>
      <c r="E192" s="337" t="str">
        <f>IF(C192="","",VLOOKUP(C192,Licenses!B:C,2,FALSE))</f>
        <v/>
      </c>
      <c r="F192" s="290"/>
      <c r="G192" s="290"/>
      <c r="H192" s="338"/>
      <c r="I192" s="331"/>
      <c r="J192" s="272" t="str">
        <f>REPT(AM192,1)</f>
        <v/>
      </c>
      <c r="L192" s="315" t="str">
        <f>IF(AK181="D",AK192,"")</f>
        <v/>
      </c>
      <c r="M192" s="311"/>
      <c r="P192" s="315" t="str">
        <f>IF(AK181="D",AY192,"")</f>
        <v/>
      </c>
      <c r="R192" s="332" t="str">
        <f>IF(AT192="","",SUM(AT192))</f>
        <v/>
      </c>
      <c r="S192" s="333" t="str">
        <f>IF(AK181="D",2,"")</f>
        <v/>
      </c>
      <c r="T192" s="334" t="str">
        <f>IF(R192="","",VLOOKUP(R192,Licenses!B:C,2,FALSE))</f>
        <v/>
      </c>
      <c r="U192" s="297"/>
      <c r="V192" s="297"/>
      <c r="W192" s="335"/>
      <c r="X192" s="331"/>
      <c r="Y192" s="272" t="str">
        <f>REPT(BA192,1)</f>
        <v/>
      </c>
      <c r="Z192" s="308"/>
      <c r="AA192" s="238">
        <f>IF(AK181="D",0,1)</f>
        <v>1</v>
      </c>
      <c r="AD192" s="235"/>
      <c r="AE192" s="235"/>
      <c r="AF192" s="256" t="str">
        <f>IF(AM182="","",SUM(AM182))</f>
        <v/>
      </c>
      <c r="AG192" s="237"/>
      <c r="AH192" s="256"/>
      <c r="AI192" s="256"/>
      <c r="AJ192" s="256"/>
      <c r="AK192" s="256" t="str">
        <f>IF(CA189&gt;1,CA189,"")</f>
        <v/>
      </c>
      <c r="AL192" s="257">
        <f>IF(AK181="D",SUM(I192),0)</f>
        <v>0</v>
      </c>
      <c r="AM192" s="258" t="str">
        <f>IF(AM189=0,IF(AL192&lt;6,"","X"),"X")</f>
        <v/>
      </c>
      <c r="AN192" s="347" t="str">
        <f>IF(AM189=0,IF(AL192&lt;6,"",1),1)</f>
        <v/>
      </c>
      <c r="AO192" s="235"/>
      <c r="AP192" s="236"/>
      <c r="AQ192" s="235"/>
      <c r="AR192" s="235"/>
      <c r="AS192" s="235"/>
      <c r="AT192" s="256" t="str">
        <f>IF(BA182="","",SUM(BA182))</f>
        <v/>
      </c>
      <c r="AU192" s="237"/>
      <c r="AV192" s="256"/>
      <c r="AW192" s="256"/>
      <c r="AX192" s="256"/>
      <c r="AY192" s="256" t="str">
        <f>IF(CJ189&gt;1,CJ189,"")</f>
        <v/>
      </c>
      <c r="AZ192" s="257">
        <f>IF(AK181="D",SUM(X192),0)</f>
        <v>0</v>
      </c>
      <c r="BA192" s="258" t="str">
        <f>IF(BA189=0,IF(AZ192&lt;6,"","X"),"X")</f>
        <v/>
      </c>
      <c r="BB192" s="347" t="str">
        <f>IF(BA189=0,IF(AZ192&lt;6,"",1),1)</f>
        <v/>
      </c>
      <c r="BC192" s="236"/>
      <c r="BD192" s="236"/>
      <c r="BE192" s="236"/>
      <c r="BF192" s="236"/>
      <c r="BG192" s="236"/>
      <c r="BH192" s="236"/>
      <c r="BI192" s="236"/>
      <c r="BJ192" s="236"/>
      <c r="BK192" s="238"/>
      <c r="BM192" s="238"/>
      <c r="BN192" s="238"/>
      <c r="BO192" s="238"/>
      <c r="BP192" s="238"/>
      <c r="BQ192" s="238" t="s">
        <v>899</v>
      </c>
      <c r="BR192" s="238"/>
      <c r="BS192" s="238"/>
      <c r="BT192" s="238"/>
      <c r="BU192" s="238"/>
      <c r="BV192" s="238"/>
      <c r="BW192" s="238"/>
      <c r="BX192" s="236"/>
      <c r="BY192" s="238"/>
      <c r="BZ192" s="238"/>
      <c r="CA192" s="238"/>
      <c r="CB192" s="238"/>
      <c r="CC192" s="238"/>
      <c r="CD192" s="238" t="s">
        <v>899</v>
      </c>
      <c r="CE192" s="238"/>
      <c r="CF192" s="238"/>
      <c r="CG192" s="244"/>
      <c r="CH192" s="238"/>
      <c r="CI192" s="238"/>
      <c r="CJ192" s="238"/>
      <c r="CK192" s="238"/>
      <c r="CL192" s="238"/>
      <c r="CM192" s="238"/>
      <c r="CN192" s="238"/>
      <c r="CO192" s="238"/>
      <c r="CP192" s="238"/>
      <c r="CQ192" s="238"/>
      <c r="CR192" s="238"/>
      <c r="CS192" s="238"/>
      <c r="CT192" s="238"/>
      <c r="CU192" s="238"/>
      <c r="CV192" s="238"/>
      <c r="CW192" s="238"/>
      <c r="CX192" s="238"/>
      <c r="CY192" s="238"/>
      <c r="CZ192" s="238"/>
      <c r="DA192" s="238"/>
      <c r="DB192" s="238"/>
      <c r="DC192" s="238"/>
      <c r="DD192" s="238"/>
      <c r="DE192" s="238"/>
      <c r="DF192" s="238"/>
      <c r="DG192" s="238"/>
      <c r="DH192" s="238"/>
      <c r="DI192" s="238"/>
      <c r="DJ192" s="238"/>
      <c r="DK192" s="238"/>
      <c r="DL192" s="238"/>
      <c r="DM192" s="238"/>
      <c r="DN192" s="238"/>
      <c r="DO192" s="238"/>
      <c r="DP192" s="238"/>
      <c r="DQ192" s="238"/>
      <c r="DR192" s="238"/>
      <c r="DS192" s="238"/>
      <c r="DT192" s="238"/>
      <c r="DU192" s="238"/>
      <c r="DV192" s="238"/>
      <c r="DW192" s="238"/>
      <c r="DX192" s="238"/>
      <c r="DY192" s="238"/>
      <c r="DZ192" s="238"/>
      <c r="EA192" s="238"/>
      <c r="EB192" s="238"/>
      <c r="EC192" s="238"/>
      <c r="ED192" s="238"/>
      <c r="EE192" s="238"/>
      <c r="EF192" s="238"/>
      <c r="EG192" s="238"/>
      <c r="EH192" s="238"/>
      <c r="EI192" s="238"/>
      <c r="EJ192" s="238"/>
      <c r="EK192" s="238"/>
      <c r="EL192" s="238"/>
      <c r="EM192" s="238"/>
      <c r="EN192" s="238"/>
      <c r="EO192" s="238"/>
      <c r="EP192" s="238"/>
      <c r="EQ192" s="238"/>
      <c r="ER192" s="238"/>
      <c r="ES192" s="238"/>
      <c r="ET192" s="244"/>
      <c r="EU192" s="238"/>
      <c r="EV192" s="238"/>
      <c r="EW192" s="238"/>
      <c r="EX192" s="238"/>
      <c r="EY192" s="238"/>
      <c r="EZ192" s="238"/>
      <c r="FA192" s="238"/>
      <c r="FB192" s="238"/>
      <c r="FC192" s="238"/>
      <c r="FD192" s="238"/>
      <c r="FE192" s="238"/>
      <c r="FF192" s="238"/>
      <c r="FG192" s="238"/>
      <c r="FH192" s="238"/>
      <c r="FI192" s="238"/>
      <c r="FJ192" s="238"/>
      <c r="FK192" s="238"/>
      <c r="FL192" s="238"/>
      <c r="FM192" s="238"/>
      <c r="FN192" s="238"/>
      <c r="FO192" s="244"/>
      <c r="FP192" s="238"/>
      <c r="FQ192" s="238"/>
      <c r="FR192" s="238"/>
      <c r="FS192" s="238"/>
      <c r="FT192" s="238"/>
      <c r="FU192" s="238"/>
      <c r="FV192" s="238"/>
      <c r="FW192" s="238"/>
      <c r="FX192" s="238"/>
      <c r="FY192" s="238"/>
      <c r="FZ192" s="238"/>
      <c r="GA192" s="238"/>
      <c r="GB192" s="238"/>
      <c r="GC192" s="238"/>
      <c r="GD192" s="341"/>
      <c r="GE192" s="340"/>
      <c r="GF192" s="340"/>
      <c r="GG192" s="340"/>
      <c r="GH192" s="340"/>
      <c r="GI192" s="340"/>
      <c r="GJ192" s="340"/>
      <c r="GK192" s="340"/>
      <c r="GL192" s="340"/>
      <c r="GM192" s="340"/>
      <c r="GN192" s="340"/>
      <c r="GO192" s="340"/>
      <c r="GP192" s="340"/>
      <c r="GQ192" s="340"/>
      <c r="GR192" s="340"/>
      <c r="GS192" s="340"/>
      <c r="GT192" s="340"/>
      <c r="GU192" s="340"/>
      <c r="GV192" s="340"/>
      <c r="GW192" s="340"/>
      <c r="GX192" s="340"/>
      <c r="GY192" s="340"/>
      <c r="GZ192" s="340"/>
      <c r="HA192" s="340"/>
      <c r="HB192" s="340"/>
      <c r="HC192" s="340"/>
      <c r="HD192" s="341"/>
      <c r="HE192" s="341"/>
      <c r="HF192" s="341"/>
      <c r="HG192" s="341"/>
      <c r="HH192" s="341"/>
      <c r="HI192" s="341"/>
      <c r="HJ192" s="341"/>
      <c r="HK192" s="341"/>
      <c r="HL192" s="341"/>
      <c r="HM192" s="341"/>
      <c r="HN192" s="341"/>
      <c r="HO192" s="341"/>
      <c r="HP192" s="341"/>
      <c r="HQ192" s="341"/>
      <c r="HR192" s="341"/>
      <c r="HS192" s="238"/>
      <c r="HT192" s="238"/>
      <c r="HU192" s="238"/>
      <c r="HV192" s="238"/>
      <c r="HX192" s="238"/>
      <c r="HY192" s="238"/>
      <c r="ID192" s="238"/>
    </row>
    <row r="193" spans="1:238" s="234" customFormat="1" ht="20.100000000000001" customHeight="1">
      <c r="A193" s="235"/>
      <c r="B193" s="316"/>
      <c r="C193" s="317"/>
      <c r="D193" s="317"/>
      <c r="E193" s="318"/>
      <c r="F193" s="318"/>
      <c r="G193" s="318"/>
      <c r="H193" s="318"/>
      <c r="I193" s="318"/>
      <c r="J193" s="318"/>
      <c r="K193" s="319"/>
      <c r="L193" s="319"/>
      <c r="M193" s="319"/>
      <c r="N193" s="319"/>
      <c r="O193" s="319"/>
      <c r="P193" s="320"/>
      <c r="Q193" s="319"/>
      <c r="R193" s="317"/>
      <c r="S193" s="318"/>
      <c r="T193" s="318"/>
      <c r="U193" s="318"/>
      <c r="V193" s="318"/>
      <c r="W193" s="318"/>
      <c r="X193" s="318"/>
      <c r="Y193" s="318"/>
      <c r="Z193" s="321"/>
      <c r="AD193" s="235"/>
      <c r="AE193" s="237"/>
      <c r="AF193" s="237"/>
      <c r="AG193" s="237"/>
      <c r="AH193" s="237" t="s">
        <v>921</v>
      </c>
      <c r="AI193" s="237" t="s">
        <v>922</v>
      </c>
      <c r="AJ193" s="298" t="str">
        <f>IF(BS193="","",SUM(AM193)*3)</f>
        <v/>
      </c>
      <c r="AK193" s="299" t="s">
        <v>923</v>
      </c>
      <c r="AL193" s="256"/>
      <c r="AM193" s="256" t="str">
        <f>IF(BS193="","",SUM(BS193))</f>
        <v/>
      </c>
      <c r="AN193" s="235"/>
      <c r="AO193" s="235"/>
      <c r="AP193" s="236"/>
      <c r="AQ193" s="235"/>
      <c r="AR193" s="235"/>
      <c r="AS193" s="237"/>
      <c r="AT193" s="237"/>
      <c r="AU193" s="237"/>
      <c r="AV193" s="237" t="s">
        <v>921</v>
      </c>
      <c r="AW193" s="237" t="s">
        <v>922</v>
      </c>
      <c r="AX193" s="298" t="str">
        <f>IF(BS193="","",SUM(BA193)*3)</f>
        <v/>
      </c>
      <c r="AY193" s="299" t="s">
        <v>923</v>
      </c>
      <c r="AZ193" s="256"/>
      <c r="BA193" s="256" t="str">
        <f>IF(BS193="","",SUM(CF193))</f>
        <v/>
      </c>
      <c r="BB193" s="236"/>
      <c r="BC193" s="236"/>
      <c r="BD193" s="236"/>
      <c r="BE193" s="236"/>
      <c r="BF193" s="236"/>
      <c r="BG193" s="236"/>
      <c r="BH193" s="236"/>
      <c r="BI193" s="236"/>
      <c r="BJ193" s="236"/>
      <c r="BK193" s="373">
        <f>IF(AL181=BQ193,1,0)</f>
        <v>0</v>
      </c>
      <c r="BL193" s="373">
        <f>IF(AL181=CD193,1,0)</f>
        <v>0</v>
      </c>
      <c r="BM193" s="256">
        <f>IF(BN193&gt;2,1,0)</f>
        <v>0</v>
      </c>
      <c r="BN193" s="256">
        <f>COUNT(AH184,AH185,AH186)</f>
        <v>0</v>
      </c>
      <c r="BO193" s="256" t="str">
        <f>IF(AH190="","",SUM(AH190/AJ190))</f>
        <v/>
      </c>
      <c r="BP193" s="256"/>
      <c r="BQ193" s="300">
        <f>COUNT(AK184,AK185,AK186,AK187,AK188)</f>
        <v>0</v>
      </c>
      <c r="BR193" s="256"/>
      <c r="BS193" s="256" t="str">
        <f>IF(BL190=0,IF(AJ185="","",BO193),"")</f>
        <v/>
      </c>
      <c r="BT193" s="236"/>
      <c r="BU193" s="236"/>
      <c r="BV193" s="236"/>
      <c r="BW193" s="236"/>
      <c r="BX193" s="236"/>
      <c r="BY193" s="256">
        <f>IF(CD193&gt;2,1,0)</f>
        <v>0</v>
      </c>
      <c r="BZ193" s="256">
        <f>IF(CA193&gt;2,1,0)</f>
        <v>0</v>
      </c>
      <c r="CA193" s="256">
        <f>COUNT(AV184,AV185,AV186)</f>
        <v>0</v>
      </c>
      <c r="CB193" s="256" t="str">
        <f>IF(AV190="","",SUM(AV190/AX190))</f>
        <v/>
      </c>
      <c r="CC193" s="256"/>
      <c r="CD193" s="300">
        <f>COUNT(AY184,AY185,AY186,AY187,AY188)</f>
        <v>0</v>
      </c>
      <c r="CE193" s="256"/>
      <c r="CF193" s="256" t="str">
        <f>IF(BL190=0,IF(AX185="","",CB193),"")</f>
        <v/>
      </c>
      <c r="CG193" s="236"/>
      <c r="CH193" s="188"/>
      <c r="CI193" s="188"/>
      <c r="CJ193" s="196"/>
      <c r="CK193" s="196"/>
      <c r="CL193" s="196"/>
      <c r="CM193" s="196"/>
      <c r="CN193" s="196"/>
      <c r="CO193" s="196"/>
      <c r="CP193" s="196"/>
      <c r="CQ193" s="196"/>
      <c r="CR193" s="196"/>
      <c r="CS193" s="196"/>
      <c r="CT193" s="196"/>
      <c r="CU193" s="196"/>
      <c r="CV193" s="196"/>
      <c r="CW193" s="196"/>
      <c r="CX193" s="196"/>
      <c r="CY193" s="196"/>
      <c r="CZ193" s="196"/>
      <c r="DA193" s="196"/>
      <c r="DB193" s="196"/>
      <c r="DC193" s="196"/>
      <c r="DD193" s="196"/>
      <c r="DE193" s="196"/>
      <c r="DF193" s="196"/>
      <c r="DG193" s="196"/>
      <c r="DH193" s="196"/>
      <c r="DI193" s="196"/>
      <c r="DJ193" s="196"/>
      <c r="DK193" s="196"/>
      <c r="DL193" s="196"/>
      <c r="DM193" s="196"/>
      <c r="DN193" s="196"/>
      <c r="DO193" s="196"/>
      <c r="DP193" s="196"/>
      <c r="DQ193" s="196"/>
      <c r="DR193" s="196"/>
      <c r="DS193" s="196"/>
      <c r="DT193" s="196"/>
      <c r="DU193" s="196"/>
      <c r="DV193" s="196"/>
      <c r="DW193" s="196"/>
      <c r="DX193" s="196"/>
      <c r="DY193" s="196"/>
      <c r="DZ193" s="196"/>
      <c r="EA193" s="196"/>
      <c r="EB193" s="196"/>
      <c r="EC193" s="196"/>
      <c r="ED193" s="196"/>
      <c r="EE193" s="196"/>
      <c r="EF193" s="196"/>
      <c r="EG193" s="196"/>
      <c r="EH193" s="196"/>
      <c r="EI193" s="196"/>
      <c r="EJ193" s="196"/>
      <c r="EK193" s="196"/>
      <c r="EL193" s="196"/>
      <c r="EM193" s="196"/>
      <c r="EN193" s="196"/>
      <c r="EO193" s="196"/>
      <c r="EP193" s="196"/>
      <c r="EQ193" s="196"/>
      <c r="ER193" s="196"/>
      <c r="ES193" s="196"/>
      <c r="ET193" s="301"/>
      <c r="EU193" s="196"/>
      <c r="EV193" s="196"/>
      <c r="EW193" s="196"/>
      <c r="EX193" s="196"/>
      <c r="EY193" s="196"/>
      <c r="EZ193" s="196"/>
      <c r="FA193" s="196"/>
      <c r="FB193" s="196"/>
      <c r="FC193" s="196"/>
      <c r="FD193" s="196"/>
      <c r="FE193" s="196"/>
      <c r="FF193" s="196"/>
      <c r="FG193" s="196"/>
      <c r="FH193" s="196"/>
      <c r="FI193" s="196"/>
      <c r="FJ193" s="196"/>
      <c r="FK193" s="196"/>
      <c r="FL193" s="196"/>
      <c r="FM193" s="196"/>
      <c r="FN193" s="196"/>
      <c r="FO193" s="301"/>
      <c r="FP193" s="196"/>
      <c r="FQ193" s="196"/>
      <c r="FR193" s="196"/>
      <c r="FS193" s="196"/>
      <c r="FT193" s="196"/>
      <c r="FU193" s="196"/>
      <c r="FV193" s="196"/>
      <c r="FW193" s="196"/>
      <c r="FX193" s="196"/>
      <c r="FY193" s="196"/>
      <c r="FZ193" s="196"/>
      <c r="GA193" s="196"/>
      <c r="GB193" s="238"/>
      <c r="GC193" s="238"/>
      <c r="GD193" s="341"/>
      <c r="GE193" s="341"/>
      <c r="GF193" s="341"/>
      <c r="GG193" s="341"/>
      <c r="GH193" s="341"/>
      <c r="GI193" s="341"/>
      <c r="GJ193" s="341"/>
      <c r="GK193" s="341"/>
      <c r="GL193" s="341"/>
      <c r="GM193" s="341"/>
      <c r="GN193" s="341"/>
      <c r="GO193" s="341"/>
      <c r="GP193" s="341"/>
      <c r="GQ193" s="341"/>
      <c r="GR193" s="341"/>
      <c r="GS193" s="341"/>
      <c r="GT193" s="341"/>
      <c r="GU193" s="341"/>
      <c r="GV193" s="341"/>
      <c r="GW193" s="341"/>
      <c r="GX193" s="341"/>
      <c r="GY193" s="341"/>
      <c r="GZ193" s="341"/>
      <c r="HA193" s="341"/>
      <c r="HB193" s="341"/>
      <c r="HC193" s="341"/>
      <c r="HD193" s="341"/>
      <c r="HE193" s="341"/>
      <c r="HF193" s="341"/>
      <c r="HG193" s="341"/>
      <c r="HH193" s="341"/>
      <c r="HI193" s="341"/>
      <c r="HJ193" s="341"/>
      <c r="HK193" s="341"/>
      <c r="HL193" s="341"/>
      <c r="HM193" s="341"/>
      <c r="HN193" s="341"/>
      <c r="HO193" s="341"/>
      <c r="HP193" s="341"/>
      <c r="HQ193" s="341"/>
      <c r="HR193" s="341"/>
      <c r="HS193" s="238"/>
      <c r="HT193" s="238"/>
      <c r="HU193" s="238"/>
      <c r="HV193" s="238"/>
      <c r="HX193" s="238"/>
      <c r="HY193" s="238"/>
      <c r="ID193" s="238"/>
    </row>
    <row r="194" spans="1:238" ht="14.1" customHeight="1">
      <c r="B194" s="214"/>
      <c r="C194" s="171"/>
      <c r="D194" s="171"/>
      <c r="E194" s="171"/>
      <c r="F194" s="171"/>
      <c r="G194" s="171"/>
      <c r="H194" s="171"/>
      <c r="I194" s="171"/>
      <c r="J194" s="171"/>
      <c r="K194" s="171"/>
      <c r="L194" s="171"/>
      <c r="M194" s="171"/>
      <c r="N194" s="171"/>
      <c r="O194" s="171"/>
      <c r="P194" s="171"/>
      <c r="Q194" s="171"/>
      <c r="R194" s="171"/>
      <c r="S194" s="171"/>
      <c r="T194" s="171"/>
      <c r="U194" s="171"/>
      <c r="V194" s="171"/>
      <c r="W194" s="171"/>
      <c r="X194" s="171"/>
      <c r="Y194" s="171"/>
      <c r="Z194" s="302"/>
      <c r="AA194" s="215"/>
      <c r="AB194" s="215"/>
      <c r="AC194" s="215"/>
      <c r="AD194" s="215"/>
      <c r="AE194" s="215"/>
      <c r="AF194" s="215"/>
      <c r="BB194" s="215"/>
      <c r="BC194" s="215"/>
      <c r="BD194" s="215"/>
      <c r="BE194" s="215"/>
      <c r="BF194" s="215"/>
      <c r="BG194" s="215"/>
      <c r="BH194" s="215"/>
      <c r="GD194" s="339"/>
      <c r="GE194" s="339"/>
      <c r="GF194" s="339"/>
      <c r="GG194" s="339"/>
      <c r="GH194" s="339"/>
      <c r="GI194" s="339"/>
      <c r="GJ194" s="339"/>
      <c r="GK194" s="339"/>
      <c r="GL194" s="339"/>
      <c r="GM194" s="339"/>
      <c r="GN194" s="339"/>
      <c r="GO194" s="339"/>
      <c r="GP194" s="339"/>
      <c r="GQ194" s="339"/>
      <c r="GR194" s="339"/>
      <c r="GS194" s="339"/>
      <c r="GT194" s="339"/>
      <c r="GU194" s="339"/>
      <c r="GV194" s="339"/>
      <c r="GW194" s="339"/>
      <c r="GX194" s="339"/>
      <c r="GY194" s="339"/>
      <c r="GZ194" s="339"/>
      <c r="HA194" s="339"/>
      <c r="HB194" s="339"/>
      <c r="HC194" s="339"/>
      <c r="HD194" s="339"/>
      <c r="HE194" s="339"/>
      <c r="HF194" s="339"/>
      <c r="HG194" s="339"/>
      <c r="HH194" s="339"/>
      <c r="HI194" s="339"/>
      <c r="HJ194" s="339"/>
      <c r="HK194" s="339"/>
      <c r="HL194" s="339"/>
      <c r="HM194" s="339"/>
      <c r="HN194" s="339"/>
      <c r="HO194" s="339"/>
      <c r="HP194" s="339"/>
      <c r="HQ194" s="339"/>
      <c r="HR194" s="339"/>
    </row>
    <row r="195" spans="1:238" ht="24" customHeight="1">
      <c r="B195" s="216"/>
      <c r="C195" s="181"/>
      <c r="D195" s="181"/>
      <c r="E195" s="181"/>
      <c r="F195" s="181"/>
      <c r="G195" s="181"/>
      <c r="H195" s="181"/>
      <c r="I195" s="181"/>
      <c r="J195" s="181"/>
      <c r="K195" s="185"/>
      <c r="L195" s="217"/>
      <c r="M195" s="218"/>
      <c r="N195" s="327" t="str">
        <f>CONCATENATE(AG195," ",AH195)</f>
        <v>Spiel 14</v>
      </c>
      <c r="O195" s="218"/>
      <c r="P195" s="219"/>
      <c r="Q195" s="185"/>
      <c r="R195" s="181"/>
      <c r="S195" s="181"/>
      <c r="T195" s="181"/>
      <c r="U195" s="181"/>
      <c r="V195" s="181"/>
      <c r="W195" s="181"/>
      <c r="X195" s="181"/>
      <c r="Y195" s="181"/>
      <c r="Z195" s="303"/>
      <c r="AA195" s="200"/>
      <c r="AB195" s="200"/>
      <c r="AC195" s="200"/>
      <c r="AD195" s="200"/>
      <c r="AE195" s="200"/>
      <c r="AF195" s="200"/>
      <c r="AG195" s="200" t="s">
        <v>863</v>
      </c>
      <c r="AH195" s="220">
        <v>14</v>
      </c>
      <c r="AI195" s="173">
        <f>VLOOKUP(AH195,Chema!R:T,3,FALSE)</f>
        <v>2.2000000000000002</v>
      </c>
      <c r="AJ195" s="200" t="str">
        <f>VLOOKUP(AH195,Chema!BL:BQ,6,FALSE)</f>
        <v>2.2*</v>
      </c>
      <c r="AK195" s="200" t="str">
        <f>VLOOKUP(AH195,'Matchblatt  FEUILLE DE MATCH'!AI:AJ,2,FALSE)</f>
        <v>S</v>
      </c>
      <c r="AL195" s="200">
        <f>VLOOKUP(AH195,Chema!R:U,4,FALSE)</f>
        <v>5</v>
      </c>
      <c r="AM195" s="215" t="str">
        <f>VLOOKUP(AH195,'Matchblatt  FEUILLE DE MATCH'!AI:AS,10,FALSE)</f>
        <v/>
      </c>
      <c r="AN195" s="215"/>
      <c r="AO195" s="215"/>
      <c r="AP195" s="215"/>
      <c r="AQ195" s="215"/>
      <c r="AR195" s="215"/>
      <c r="AS195" s="215"/>
      <c r="AT195" s="215"/>
      <c r="AU195" s="215"/>
      <c r="AV195" s="215"/>
      <c r="AW195" s="215"/>
      <c r="AX195" s="215"/>
      <c r="AY195" s="215"/>
      <c r="AZ195" s="215"/>
      <c r="BA195" s="215" t="str">
        <f>VLOOKUP(AH195,'Matchblatt  FEUILLE DE MATCH'!AI:AS,11,FALSE)</f>
        <v/>
      </c>
      <c r="BB195" s="200"/>
      <c r="BC195" s="200"/>
      <c r="BD195" s="200"/>
      <c r="BE195" s="200"/>
      <c r="BF195" s="200"/>
      <c r="BG195" s="200"/>
      <c r="BH195" s="200"/>
      <c r="BK195" s="196"/>
      <c r="BL195" s="196"/>
      <c r="BM195" s="196"/>
      <c r="BN195" s="196"/>
      <c r="BO195" s="196"/>
      <c r="BP195" s="196"/>
      <c r="BQ195" s="221" t="s">
        <v>843</v>
      </c>
      <c r="BR195" s="222"/>
      <c r="BS195" s="222"/>
      <c r="BT195" s="223"/>
      <c r="BU195" s="222" t="s">
        <v>843</v>
      </c>
      <c r="BV195" s="222"/>
      <c r="BW195" s="222"/>
      <c r="BX195" s="224"/>
      <c r="BY195" s="222"/>
      <c r="BZ195" s="222"/>
      <c r="CA195" s="222"/>
      <c r="CB195" s="222"/>
      <c r="CC195" s="222"/>
      <c r="CD195" s="222"/>
      <c r="CE195" s="222"/>
      <c r="CF195" s="222"/>
      <c r="CG195" s="224"/>
      <c r="CH195" s="222"/>
      <c r="CI195" s="222"/>
      <c r="CJ195" s="223"/>
      <c r="CK195" s="196"/>
      <c r="CL195" s="196"/>
      <c r="CM195" s="196"/>
      <c r="CN195" s="196"/>
      <c r="CO195" s="196"/>
      <c r="CP195" s="196"/>
      <c r="CQ195" s="196"/>
      <c r="CR195" s="196"/>
      <c r="CS195" s="196"/>
      <c r="CT195" s="196"/>
      <c r="CU195" s="196"/>
      <c r="CV195" s="196"/>
      <c r="CW195" s="196"/>
      <c r="CX195" s="196"/>
      <c r="CY195" s="196"/>
      <c r="CZ195" s="196"/>
      <c r="DA195" s="196"/>
      <c r="DB195" s="196"/>
      <c r="DC195" s="196"/>
      <c r="DD195" s="196"/>
      <c r="DE195" s="196"/>
      <c r="DF195" s="196"/>
      <c r="DG195" s="196"/>
      <c r="DH195" s="196"/>
      <c r="DI195" s="196"/>
      <c r="DJ195" s="196"/>
      <c r="DK195" s="196"/>
      <c r="DL195" s="196"/>
      <c r="DM195" s="196"/>
      <c r="DN195" s="196"/>
      <c r="DO195" s="196"/>
      <c r="DP195" s="196"/>
      <c r="DQ195" s="196"/>
      <c r="DR195" s="196"/>
      <c r="DS195" s="196"/>
      <c r="DT195" s="196"/>
      <c r="DU195" s="196"/>
      <c r="DV195" s="196"/>
      <c r="DW195" s="196"/>
      <c r="DX195" s="196"/>
      <c r="DY195" s="196"/>
      <c r="DZ195" s="196"/>
      <c r="EA195" s="196"/>
      <c r="EB195" s="196"/>
      <c r="EC195" s="196"/>
      <c r="ED195" s="196"/>
      <c r="EE195" s="196"/>
      <c r="EF195" s="196"/>
      <c r="EG195" s="196"/>
      <c r="EH195" s="196"/>
      <c r="EI195" s="196"/>
      <c r="EJ195" s="196"/>
      <c r="EK195" s="196"/>
      <c r="EL195" s="196"/>
      <c r="EM195" s="221" t="s">
        <v>7</v>
      </c>
      <c r="EN195" s="222"/>
      <c r="EO195" s="222"/>
      <c r="EP195" s="222"/>
      <c r="EQ195" s="222"/>
      <c r="ER195" s="222"/>
      <c r="ES195" s="222"/>
      <c r="ET195" s="224"/>
      <c r="EU195" s="222"/>
      <c r="EV195" s="222"/>
      <c r="EW195" s="222"/>
      <c r="EX195" s="222"/>
      <c r="EY195" s="222"/>
      <c r="EZ195" s="222"/>
      <c r="FA195" s="222"/>
      <c r="FB195" s="222"/>
      <c r="FC195" s="222"/>
      <c r="FD195" s="222"/>
      <c r="FE195" s="223"/>
      <c r="FF195" s="196"/>
      <c r="FG195" s="196"/>
      <c r="FH195" s="221" t="s">
        <v>12</v>
      </c>
      <c r="FI195" s="222"/>
      <c r="FJ195" s="222"/>
      <c r="FK195" s="222"/>
      <c r="FL195" s="222"/>
      <c r="FM195" s="222"/>
      <c r="FN195" s="222"/>
      <c r="FO195" s="224"/>
      <c r="FP195" s="222"/>
      <c r="FQ195" s="222"/>
      <c r="FR195" s="222"/>
      <c r="FS195" s="222"/>
      <c r="FT195" s="222"/>
      <c r="FU195" s="222"/>
      <c r="FV195" s="222"/>
      <c r="FW195" s="222"/>
      <c r="FX195" s="222"/>
      <c r="FY195" s="222"/>
      <c r="FZ195" s="223"/>
      <c r="GA195" s="196"/>
      <c r="GD195" s="339"/>
      <c r="GE195" s="339"/>
      <c r="GF195" s="339"/>
      <c r="GG195" s="339"/>
      <c r="GH195" s="339"/>
      <c r="GI195" s="339"/>
      <c r="GJ195" s="339"/>
      <c r="GK195" s="339"/>
      <c r="GL195" s="339"/>
      <c r="GM195" s="339"/>
      <c r="GN195" s="339"/>
      <c r="GO195" s="339"/>
      <c r="GP195" s="339"/>
      <c r="GQ195" s="339"/>
      <c r="GR195" s="339"/>
      <c r="GS195" s="339"/>
      <c r="GT195" s="339"/>
      <c r="GU195" s="339"/>
      <c r="GV195" s="339"/>
      <c r="GW195" s="339"/>
      <c r="GX195" s="339"/>
      <c r="GY195" s="339"/>
      <c r="GZ195" s="339"/>
      <c r="HA195" s="339"/>
      <c r="HB195" s="339"/>
      <c r="HC195" s="339"/>
      <c r="HD195" s="339"/>
      <c r="HE195" s="339"/>
      <c r="HF195" s="339"/>
      <c r="HG195" s="339"/>
      <c r="HH195" s="339"/>
      <c r="HI195" s="339"/>
      <c r="HJ195" s="339"/>
      <c r="HK195" s="339"/>
      <c r="HL195" s="339"/>
      <c r="HM195" s="339"/>
      <c r="HN195" s="339"/>
      <c r="HO195" s="339"/>
      <c r="HP195" s="339"/>
      <c r="HQ195" s="339"/>
      <c r="HR195" s="339"/>
    </row>
    <row r="196" spans="1:238" ht="14.1" customHeight="1">
      <c r="B196" s="225"/>
      <c r="C196" s="304"/>
      <c r="D196" s="304"/>
      <c r="E196" s="304"/>
      <c r="F196" s="304"/>
      <c r="G196" s="304"/>
      <c r="H196" s="304"/>
      <c r="I196" s="304"/>
      <c r="J196" s="304"/>
      <c r="K196" s="166"/>
      <c r="L196" s="166"/>
      <c r="M196" s="166"/>
      <c r="N196" s="304"/>
      <c r="O196" s="304"/>
      <c r="P196" s="166"/>
      <c r="Q196" s="166"/>
      <c r="R196" s="304"/>
      <c r="S196" s="304"/>
      <c r="T196" s="304"/>
      <c r="U196" s="304"/>
      <c r="V196" s="304"/>
      <c r="W196" s="304"/>
      <c r="X196" s="166"/>
      <c r="Y196" s="166"/>
      <c r="Z196" s="305"/>
      <c r="AA196" s="63"/>
      <c r="AB196" s="63"/>
      <c r="AC196" s="63"/>
      <c r="AD196" s="63"/>
      <c r="AE196" s="63"/>
      <c r="AF196" s="63"/>
      <c r="AJ196" s="173" t="str">
        <f>VLOOKUP(AH195,Chema!BL:BR,7,FALSE)</f>
        <v/>
      </c>
      <c r="AL196" s="200"/>
      <c r="AM196" s="200" t="str">
        <f>IF(AK195="D",VLOOKUP(AJ196,'Matchblatt  FEUILLE DE MATCH'!AK:AS,8,FALSE),"")</f>
        <v/>
      </c>
      <c r="AN196" s="200"/>
      <c r="AO196" s="200"/>
      <c r="AP196" s="200"/>
      <c r="AQ196" s="200"/>
      <c r="AR196" s="200"/>
      <c r="AS196" s="200"/>
      <c r="AT196" s="200"/>
      <c r="AU196" s="200"/>
      <c r="AV196" s="200"/>
      <c r="AW196" s="200"/>
      <c r="AX196" s="200"/>
      <c r="AY196" s="200"/>
      <c r="AZ196" s="200"/>
      <c r="BA196" s="200" t="str">
        <f>IF(AK195="D",VLOOKUP(AJ196,'Matchblatt  FEUILLE DE MATCH'!AK:AS,9,FALSE),"")</f>
        <v/>
      </c>
      <c r="BB196" s="63"/>
      <c r="BC196" s="63"/>
      <c r="BD196" s="63"/>
      <c r="BE196" s="63"/>
      <c r="BF196" s="63"/>
      <c r="BG196" s="63"/>
      <c r="BH196" s="63"/>
      <c r="BK196" s="166" t="s">
        <v>7</v>
      </c>
      <c r="BL196" s="166" t="s">
        <v>12</v>
      </c>
      <c r="BM196" s="166"/>
      <c r="BN196" s="166" t="s">
        <v>7</v>
      </c>
      <c r="BO196" s="166" t="s">
        <v>12</v>
      </c>
      <c r="BP196" s="166"/>
      <c r="BQ196" s="226" t="s">
        <v>894</v>
      </c>
      <c r="BR196" s="227" t="s">
        <v>895</v>
      </c>
      <c r="BS196" s="228" t="s">
        <v>896</v>
      </c>
      <c r="BT196" s="229"/>
      <c r="BU196" s="226" t="s">
        <v>7</v>
      </c>
      <c r="BV196" s="166"/>
      <c r="BW196" s="166"/>
      <c r="BX196" s="230"/>
      <c r="BY196" s="166"/>
      <c r="BZ196" s="166"/>
      <c r="CA196" s="227"/>
      <c r="CB196" s="166"/>
      <c r="CC196" s="166"/>
      <c r="CD196" s="226" t="s">
        <v>12</v>
      </c>
      <c r="CE196" s="166"/>
      <c r="CF196" s="166"/>
      <c r="CG196" s="230"/>
      <c r="CH196" s="166"/>
      <c r="CI196" s="166"/>
      <c r="CJ196" s="227"/>
      <c r="CK196" s="166"/>
      <c r="CL196" s="166" t="s">
        <v>897</v>
      </c>
      <c r="CM196" s="166"/>
      <c r="CN196" s="166"/>
      <c r="CO196" s="166"/>
      <c r="CP196" s="166"/>
      <c r="CQ196" s="166"/>
      <c r="CR196" s="166"/>
      <c r="CS196" s="166"/>
      <c r="CT196" s="166"/>
      <c r="CU196" s="166" t="s">
        <v>843</v>
      </c>
      <c r="CV196" s="166"/>
      <c r="CW196" s="166" t="s">
        <v>843</v>
      </c>
      <c r="CX196" s="166"/>
      <c r="CY196" s="166"/>
      <c r="CZ196" s="166"/>
      <c r="DA196" s="166"/>
      <c r="DB196" s="166"/>
      <c r="DC196" s="166"/>
      <c r="DD196" s="166" t="s">
        <v>894</v>
      </c>
      <c r="DE196" s="166" t="s">
        <v>895</v>
      </c>
      <c r="DF196" s="166"/>
      <c r="DG196" s="166" t="s">
        <v>927</v>
      </c>
      <c r="DH196" s="166"/>
      <c r="DI196" s="166"/>
      <c r="DJ196" s="166"/>
      <c r="DK196" s="166"/>
      <c r="DL196" s="166"/>
      <c r="DM196" s="166"/>
      <c r="DN196" s="166" t="s">
        <v>928</v>
      </c>
      <c r="DO196" s="166" t="s">
        <v>929</v>
      </c>
      <c r="DP196" s="166"/>
      <c r="DQ196" s="166"/>
      <c r="DR196" s="166"/>
      <c r="DS196" s="166"/>
      <c r="DT196" s="166"/>
      <c r="DU196" s="166"/>
      <c r="DV196" s="166" t="s">
        <v>894</v>
      </c>
      <c r="DW196" s="166" t="s">
        <v>895</v>
      </c>
      <c r="DX196" s="166"/>
      <c r="DY196" s="166"/>
      <c r="DZ196" s="166"/>
      <c r="EA196" s="166"/>
      <c r="EB196" s="166"/>
      <c r="EC196" s="166"/>
      <c r="ED196" s="166" t="s">
        <v>894</v>
      </c>
      <c r="EE196" s="166" t="s">
        <v>895</v>
      </c>
      <c r="EF196" s="166"/>
      <c r="EG196" s="166"/>
      <c r="EH196" s="166"/>
      <c r="EI196" s="166"/>
      <c r="EJ196" s="166"/>
      <c r="EK196" s="166"/>
      <c r="EL196" s="166"/>
      <c r="EM196" s="166"/>
      <c r="EN196" s="166"/>
      <c r="EO196" s="166"/>
      <c r="EP196" s="166"/>
      <c r="EQ196" s="166"/>
      <c r="ER196" s="166"/>
      <c r="ES196" s="166"/>
      <c r="ET196" s="230"/>
      <c r="EU196" s="166"/>
      <c r="EV196" s="166"/>
      <c r="EW196" s="166"/>
      <c r="EX196" s="166"/>
      <c r="EY196" s="166"/>
      <c r="EZ196" s="166"/>
      <c r="FA196" s="166"/>
      <c r="FB196" s="166"/>
      <c r="FC196" s="166"/>
      <c r="FD196" s="166"/>
      <c r="FE196" s="166"/>
      <c r="FF196" s="166"/>
      <c r="FG196" s="166"/>
      <c r="FH196" s="166"/>
      <c r="FI196" s="166"/>
      <c r="FJ196" s="166"/>
      <c r="FK196" s="166"/>
      <c r="FL196" s="166"/>
      <c r="FM196" s="166"/>
      <c r="FN196" s="166"/>
      <c r="FO196" s="230"/>
      <c r="FP196" s="166"/>
      <c r="FQ196" s="166"/>
      <c r="FR196" s="166"/>
      <c r="FS196" s="166"/>
      <c r="FT196" s="166"/>
      <c r="FU196" s="166"/>
      <c r="FV196" s="166"/>
      <c r="FW196" s="166"/>
      <c r="FX196" s="166"/>
      <c r="FY196" s="166"/>
      <c r="FZ196" s="166"/>
      <c r="GA196" s="166"/>
      <c r="GD196" s="339"/>
      <c r="GE196" s="339"/>
      <c r="GF196" s="339"/>
      <c r="GG196" s="339"/>
      <c r="GH196" s="339"/>
      <c r="GI196" s="339"/>
      <c r="GJ196" s="339"/>
      <c r="GK196" s="339"/>
      <c r="GL196" s="339"/>
      <c r="GM196" s="339"/>
      <c r="GN196" s="339"/>
      <c r="GO196" s="339"/>
      <c r="GP196" s="339"/>
      <c r="GQ196" s="339"/>
      <c r="GR196" s="339"/>
      <c r="GS196" s="339"/>
      <c r="GT196" s="339"/>
      <c r="GU196" s="339"/>
      <c r="GV196" s="339"/>
      <c r="GW196" s="339"/>
      <c r="GX196" s="339"/>
      <c r="GY196" s="339"/>
      <c r="GZ196" s="339"/>
      <c r="HA196" s="339"/>
      <c r="HB196" s="339"/>
      <c r="HC196" s="339"/>
      <c r="HD196" s="339"/>
      <c r="HE196" s="339"/>
      <c r="HF196" s="339"/>
      <c r="HG196" s="339"/>
      <c r="HH196" s="339"/>
      <c r="HI196" s="339"/>
      <c r="HJ196" s="339"/>
      <c r="HK196" s="339"/>
      <c r="HL196" s="339"/>
      <c r="HM196" s="339"/>
      <c r="HN196" s="339"/>
      <c r="HO196" s="339"/>
      <c r="HP196" s="339"/>
      <c r="HQ196" s="339"/>
      <c r="HR196" s="339"/>
    </row>
    <row r="197" spans="1:238" s="234" customFormat="1" ht="20.100000000000001" customHeight="1">
      <c r="A197" s="235"/>
      <c r="B197" s="231"/>
      <c r="C197" s="232" t="str">
        <f>REPT(Sprache!$K$12,1)</f>
        <v>SPIEL</v>
      </c>
      <c r="D197" s="233" t="s">
        <v>869</v>
      </c>
      <c r="E197" s="233" t="str">
        <f>REPT(Sprache!$K$62,1)</f>
        <v>Punkte</v>
      </c>
      <c r="F197" s="233" t="str">
        <f>REPT(Sprache!$K$61,1)</f>
        <v>Rest</v>
      </c>
      <c r="G197" s="233" t="s">
        <v>898</v>
      </c>
      <c r="H197" s="233" t="s">
        <v>848</v>
      </c>
      <c r="I197" s="233">
        <v>180</v>
      </c>
      <c r="J197" s="233" t="str">
        <f>REPT(Sprache!$K$63,1)</f>
        <v>Fehler</v>
      </c>
      <c r="L197" s="306" t="s">
        <v>923</v>
      </c>
      <c r="M197" s="307"/>
      <c r="P197" s="306" t="s">
        <v>923</v>
      </c>
      <c r="R197" s="232" t="str">
        <f>REPT(Sprache!$K$12,1)</f>
        <v>SPIEL</v>
      </c>
      <c r="S197" s="233" t="s">
        <v>869</v>
      </c>
      <c r="T197" s="233" t="str">
        <f>REPT(Sprache!$K$62,1)</f>
        <v>Punkte</v>
      </c>
      <c r="U197" s="233" t="str">
        <f>REPT(Sprache!$K$61,1)</f>
        <v>Rest</v>
      </c>
      <c r="V197" s="233" t="s">
        <v>898</v>
      </c>
      <c r="W197" s="233" t="s">
        <v>848</v>
      </c>
      <c r="X197" s="233">
        <v>180</v>
      </c>
      <c r="Y197" s="233" t="str">
        <f>REPT(Sprache!$K$63,1)</f>
        <v>Fehler</v>
      </c>
      <c r="Z197" s="308"/>
      <c r="AD197" s="235"/>
      <c r="AE197" s="236" t="s">
        <v>966</v>
      </c>
      <c r="AF197" s="236" t="s">
        <v>967</v>
      </c>
      <c r="AG197" s="236" t="s">
        <v>965</v>
      </c>
      <c r="AH197" s="237" t="str">
        <f>LEFT($BM$6,10)</f>
        <v/>
      </c>
      <c r="AI197" s="237" t="str">
        <f>LEFT($BN$6,10)</f>
        <v/>
      </c>
      <c r="AJ197" s="237" t="s">
        <v>898</v>
      </c>
      <c r="AK197" s="237" t="s">
        <v>848</v>
      </c>
      <c r="AL197" s="237">
        <v>180</v>
      </c>
      <c r="AM197" s="237" t="str">
        <f>LEFT($BL$6,50)</f>
        <v/>
      </c>
      <c r="AN197" s="235"/>
      <c r="AO197" s="235"/>
      <c r="AP197" s="235"/>
      <c r="AQ197" s="235"/>
      <c r="AR197" s="235"/>
      <c r="AS197" s="235"/>
      <c r="AT197" s="235"/>
      <c r="AU197" s="235"/>
      <c r="AV197" s="237" t="str">
        <f>LEFT($BM$6,10)</f>
        <v/>
      </c>
      <c r="AW197" s="237" t="str">
        <f>LEFT($BN$6,10)</f>
        <v/>
      </c>
      <c r="AX197" s="237" t="s">
        <v>898</v>
      </c>
      <c r="AY197" s="237" t="s">
        <v>848</v>
      </c>
      <c r="AZ197" s="237">
        <v>180</v>
      </c>
      <c r="BA197" s="237" t="str">
        <f>LEFT($BL$6,50)</f>
        <v/>
      </c>
      <c r="BI197" s="238"/>
      <c r="BJ197" s="238"/>
      <c r="BK197" s="238" t="s">
        <v>165</v>
      </c>
      <c r="BL197" s="238" t="s">
        <v>165</v>
      </c>
      <c r="BM197" s="239" t="s">
        <v>165</v>
      </c>
      <c r="BN197" s="239" t="s">
        <v>899</v>
      </c>
      <c r="BO197" s="239" t="s">
        <v>899</v>
      </c>
      <c r="BP197" s="239" t="s">
        <v>900</v>
      </c>
      <c r="BQ197" s="240" t="s">
        <v>901</v>
      </c>
      <c r="BR197" s="241"/>
      <c r="BS197" s="242" t="s">
        <v>926</v>
      </c>
      <c r="BT197" s="243"/>
      <c r="BU197" s="242" t="s">
        <v>902</v>
      </c>
      <c r="BV197" s="238"/>
      <c r="BW197" s="238"/>
      <c r="BX197" s="244"/>
      <c r="BY197" s="238"/>
      <c r="BZ197" s="238" t="s">
        <v>903</v>
      </c>
      <c r="CA197" s="243" t="s">
        <v>904</v>
      </c>
      <c r="CB197" s="238"/>
      <c r="CC197" s="238"/>
      <c r="CD197" s="242" t="s">
        <v>902</v>
      </c>
      <c r="CE197" s="238"/>
      <c r="CF197" s="238"/>
      <c r="CG197" s="244"/>
      <c r="CH197" s="238"/>
      <c r="CI197" s="238" t="s">
        <v>903</v>
      </c>
      <c r="CJ197" s="243" t="s">
        <v>904</v>
      </c>
      <c r="CK197" s="238"/>
      <c r="CL197" s="245" t="s">
        <v>905</v>
      </c>
      <c r="CM197" s="245" t="s">
        <v>906</v>
      </c>
      <c r="CN197" s="245" t="s">
        <v>907</v>
      </c>
      <c r="CO197" s="245" t="s">
        <v>908</v>
      </c>
      <c r="CP197" s="245" t="s">
        <v>909</v>
      </c>
      <c r="CQ197" s="246" t="s">
        <v>910</v>
      </c>
      <c r="CR197" s="247"/>
      <c r="CS197" s="246" t="s">
        <v>911</v>
      </c>
      <c r="CT197" s="248"/>
      <c r="CU197" s="246" t="s">
        <v>912</v>
      </c>
      <c r="CV197" s="248"/>
      <c r="CW197" s="246" t="s">
        <v>913</v>
      </c>
      <c r="CX197" s="248"/>
      <c r="CY197" s="238"/>
      <c r="CZ197" s="238"/>
      <c r="DA197" s="238"/>
      <c r="DB197" s="238"/>
      <c r="DC197" s="249" t="s">
        <v>165</v>
      </c>
      <c r="DD197" s="249" t="s">
        <v>165</v>
      </c>
      <c r="DE197" s="249" t="s">
        <v>165</v>
      </c>
      <c r="DF197" s="238"/>
      <c r="DG197" s="238" t="s">
        <v>914</v>
      </c>
      <c r="DH197" s="238" t="s">
        <v>930</v>
      </c>
      <c r="DI197" s="238" t="s">
        <v>931</v>
      </c>
      <c r="DK197" s="238" t="s">
        <v>932</v>
      </c>
      <c r="DL197" s="238" t="s">
        <v>933</v>
      </c>
      <c r="DM197" s="238" t="s">
        <v>869</v>
      </c>
      <c r="DN197" s="230" t="s">
        <v>915</v>
      </c>
      <c r="DO197" s="250" t="s">
        <v>915</v>
      </c>
      <c r="DP197" s="322" t="s">
        <v>934</v>
      </c>
      <c r="DQ197" s="238"/>
      <c r="DR197" s="166" t="s">
        <v>894</v>
      </c>
      <c r="DS197" s="166" t="s">
        <v>895</v>
      </c>
      <c r="DT197" s="166" t="s">
        <v>935</v>
      </c>
      <c r="DU197" s="166" t="s">
        <v>936</v>
      </c>
      <c r="DV197" s="251" t="s">
        <v>165</v>
      </c>
      <c r="DW197" s="251" t="s">
        <v>165</v>
      </c>
      <c r="DX197" s="238" t="s">
        <v>916</v>
      </c>
      <c r="DY197" s="238"/>
      <c r="DZ197" s="238"/>
      <c r="EA197" s="238"/>
      <c r="EB197" s="238"/>
      <c r="EC197" s="238"/>
      <c r="ED197" s="251" t="s">
        <v>165</v>
      </c>
      <c r="EE197" s="251" t="s">
        <v>165</v>
      </c>
      <c r="EF197" s="166"/>
      <c r="EG197" s="238"/>
      <c r="EH197" s="238"/>
      <c r="EI197" s="238"/>
      <c r="EJ197" s="238"/>
      <c r="EK197" s="238"/>
      <c r="EL197" s="238"/>
      <c r="EM197" s="238"/>
      <c r="EN197" s="238"/>
      <c r="EO197" s="246" t="s">
        <v>917</v>
      </c>
      <c r="EP197" s="247"/>
      <c r="EQ197" s="247"/>
      <c r="ER197" s="247"/>
      <c r="ES197" s="247"/>
      <c r="ET197" s="252"/>
      <c r="EU197" s="248"/>
      <c r="EV197" s="246" t="s">
        <v>918</v>
      </c>
      <c r="EW197" s="247"/>
      <c r="EX197" s="248"/>
      <c r="EY197" s="251" t="s">
        <v>165</v>
      </c>
      <c r="EZ197" s="246" t="s">
        <v>919</v>
      </c>
      <c r="FA197" s="247"/>
      <c r="FB197" s="248"/>
      <c r="FC197" s="246" t="s">
        <v>920</v>
      </c>
      <c r="FD197" s="247"/>
      <c r="FE197" s="248"/>
      <c r="FF197" s="238"/>
      <c r="FG197" s="238"/>
      <c r="FH197" s="238"/>
      <c r="FI197" s="238"/>
      <c r="FJ197" s="246" t="s">
        <v>917</v>
      </c>
      <c r="FK197" s="247"/>
      <c r="FL197" s="247"/>
      <c r="FM197" s="247"/>
      <c r="FN197" s="247"/>
      <c r="FO197" s="252"/>
      <c r="FP197" s="248"/>
      <c r="FQ197" s="246" t="s">
        <v>918</v>
      </c>
      <c r="FR197" s="247"/>
      <c r="FS197" s="248"/>
      <c r="FT197" s="251" t="s">
        <v>165</v>
      </c>
      <c r="FU197" s="246" t="s">
        <v>919</v>
      </c>
      <c r="FV197" s="247"/>
      <c r="FW197" s="248"/>
      <c r="FX197" s="246" t="s">
        <v>920</v>
      </c>
      <c r="FY197" s="247"/>
      <c r="FZ197" s="248"/>
      <c r="GD197" s="340"/>
      <c r="GE197" s="340"/>
      <c r="GF197" s="341" t="s">
        <v>968</v>
      </c>
      <c r="GG197" s="340"/>
      <c r="GH197" s="340"/>
      <c r="GI197" s="340"/>
      <c r="GJ197" s="341" t="s">
        <v>972</v>
      </c>
      <c r="GK197" s="340"/>
      <c r="GL197" s="340"/>
      <c r="GM197" s="340"/>
      <c r="GN197" s="341" t="s">
        <v>971</v>
      </c>
      <c r="GO197" s="340"/>
      <c r="GP197" s="340"/>
      <c r="GQ197" s="340"/>
      <c r="GR197" s="341" t="s">
        <v>970</v>
      </c>
      <c r="GS197" s="340"/>
      <c r="GT197" s="340"/>
      <c r="GU197" s="340"/>
      <c r="GV197" s="341" t="s">
        <v>969</v>
      </c>
      <c r="GW197" s="340"/>
      <c r="GX197" s="340"/>
      <c r="GY197" s="340"/>
      <c r="GZ197" s="342" t="s">
        <v>973</v>
      </c>
      <c r="HA197" s="340"/>
      <c r="HB197" s="340"/>
      <c r="HC197" s="340"/>
      <c r="HD197" s="342" t="s">
        <v>974</v>
      </c>
      <c r="HE197" s="340"/>
      <c r="HF197" s="340"/>
      <c r="HG197" s="340"/>
      <c r="HH197" s="340"/>
      <c r="HI197" s="340"/>
      <c r="HJ197" s="340"/>
      <c r="HK197" s="340"/>
      <c r="HL197" s="340"/>
      <c r="HM197" s="341"/>
      <c r="HN197" s="341"/>
      <c r="HO197" s="341"/>
      <c r="HP197" s="341"/>
      <c r="HQ197" s="341"/>
      <c r="HR197" s="341"/>
      <c r="HS197" s="238"/>
      <c r="HT197" s="238"/>
      <c r="HU197" s="238"/>
      <c r="HV197" s="238"/>
      <c r="HX197" s="238"/>
      <c r="HY197" s="238"/>
      <c r="HZ197" s="238"/>
      <c r="ID197" s="238"/>
    </row>
    <row r="198" spans="1:238" s="234" customFormat="1" ht="20.100000000000001" customHeight="1">
      <c r="A198" s="235"/>
      <c r="B198" s="231">
        <f>COUNT(AJ199,AJ198)</f>
        <v>0</v>
      </c>
      <c r="C198" s="325" t="str">
        <f>CONCATENATE(BG198,BE198)</f>
        <v>HS</v>
      </c>
      <c r="D198" s="253" t="str">
        <f>REPT(DN198,1)</f>
        <v>1</v>
      </c>
      <c r="E198" s="254" t="str">
        <f>REPT(AH198,1)</f>
        <v/>
      </c>
      <c r="F198" s="168"/>
      <c r="G198" s="168"/>
      <c r="H198" s="168"/>
      <c r="I198" s="169"/>
      <c r="J198" s="255" t="str">
        <f>REPT(AM198,1)</f>
        <v/>
      </c>
      <c r="L198" s="309">
        <f>SUM(BS207)</f>
        <v>0</v>
      </c>
      <c r="M198" s="238"/>
      <c r="N198" s="255" t="str">
        <f>REPT(AP198,1)</f>
        <v/>
      </c>
      <c r="P198" s="309">
        <f>SUM(CF207)</f>
        <v>0</v>
      </c>
      <c r="Q198" s="310"/>
      <c r="R198" s="323" t="str">
        <f>CONCATENATE(BH198,BE198)</f>
        <v>GS</v>
      </c>
      <c r="S198" s="253" t="str">
        <f>REPT(DO198,1)</f>
        <v>1</v>
      </c>
      <c r="T198" s="254" t="str">
        <f>REPT(AV198,1)</f>
        <v/>
      </c>
      <c r="U198" s="168"/>
      <c r="V198" s="168"/>
      <c r="W198" s="168"/>
      <c r="X198" s="169"/>
      <c r="Y198" s="255" t="str">
        <f>REPT(BA198,1)</f>
        <v/>
      </c>
      <c r="Z198" s="308"/>
      <c r="AB198" s="234">
        <f>IF(AY198="",0,IF(AY198&lt;2,1,""))</f>
        <v>0</v>
      </c>
      <c r="AC198" s="238">
        <f>IF(AD198=1,1,IF(AD198=3,1,IF(AD198=2,0,IF(AD198=0,0,0))))</f>
        <v>0</v>
      </c>
      <c r="AD198" s="256">
        <f>SUM(AE198:AG198)</f>
        <v>0</v>
      </c>
      <c r="AE198" s="256">
        <f t="shared" ref="AE198:AE202" si="464">IF(F198="",0,1)</f>
        <v>0</v>
      </c>
      <c r="AF198" s="256">
        <f t="shared" ref="AF198:AF202" si="465">IF(G198="",0,1)</f>
        <v>0</v>
      </c>
      <c r="AG198" s="256">
        <f>IF(H198="",0,1)</f>
        <v>0</v>
      </c>
      <c r="AH198" s="257" t="str">
        <f>IF(AK198="",IF(AI198="","",IF(AI198="",501,501-AI198)),501)</f>
        <v/>
      </c>
      <c r="AI198" s="256" t="str">
        <f>IF(F198&gt;1,F198,IF(F198=0,"",IF(F198="","","")))</f>
        <v/>
      </c>
      <c r="AJ198" s="256" t="str">
        <f>IF(G198&gt;8,G198,IF(G198="","",""))</f>
        <v/>
      </c>
      <c r="AK198" s="256" t="str">
        <f>IF(H198&gt;1,H198,IF(H198="","",""))</f>
        <v/>
      </c>
      <c r="AL198" s="256" t="str">
        <f>IF(I198&gt;0,I198,IF(I198="","",""))</f>
        <v/>
      </c>
      <c r="AM198" s="258" t="str">
        <f>IF(BK198=0,"","X")</f>
        <v/>
      </c>
      <c r="AN198" s="237"/>
      <c r="AO198" s="237"/>
      <c r="AP198" s="258" t="str">
        <f>IF(BM198=0,"","X")</f>
        <v/>
      </c>
      <c r="AQ198" s="236">
        <f>IF(AR198=1,1,IF(AR198=3,1,IF(AR198=2,0,IF(AR198=0,0,0))))</f>
        <v>0</v>
      </c>
      <c r="AR198" s="256">
        <f>SUM(AS198:AU198)</f>
        <v>0</v>
      </c>
      <c r="AS198" s="256">
        <f t="shared" ref="AS198:AS202" si="466">IF(U198="",0,1)</f>
        <v>0</v>
      </c>
      <c r="AT198" s="256">
        <f t="shared" ref="AT198:AT202" si="467">IF(V198="",0,1)</f>
        <v>0</v>
      </c>
      <c r="AU198" s="256">
        <f>IF(W198="",0,1)</f>
        <v>0</v>
      </c>
      <c r="AV198" s="257" t="str">
        <f>IF(AY198="",IF(AW198="","",IF(AW198="",501,501-AW198)),501)</f>
        <v/>
      </c>
      <c r="AW198" s="256" t="str">
        <f>IF(U198&gt;1,U198,IF(U198=0,"",IF(U198="","","")))</f>
        <v/>
      </c>
      <c r="AX198" s="256" t="str">
        <f>IF(V198&gt;8,V198,IF(V198="","",""))</f>
        <v/>
      </c>
      <c r="AY198" s="256" t="str">
        <f>IF(W198&gt;1,W198,IF(W198="","",""))</f>
        <v/>
      </c>
      <c r="AZ198" s="256" t="str">
        <f>IF(X198&gt;0,X198,IF(X198="","",""))</f>
        <v/>
      </c>
      <c r="BA198" s="258" t="str">
        <f>IF(BL198=0,"","X")</f>
        <v/>
      </c>
      <c r="BF198" s="238" t="s">
        <v>894</v>
      </c>
      <c r="BG198" s="238" t="str">
        <f>CONCATENATE(BF198,AK195)</f>
        <v>HS</v>
      </c>
      <c r="BH198" s="238" t="str">
        <f>CONCATENATE(BI198,AK195)</f>
        <v>GS</v>
      </c>
      <c r="BI198" s="238" t="s">
        <v>895</v>
      </c>
      <c r="BJ198" s="238"/>
      <c r="BK198" s="251">
        <f>SUM(DD198,DV198,EY198,ED198,FF198,BQ198,BS198,AC198)</f>
        <v>0</v>
      </c>
      <c r="BL198" s="251">
        <f>SUM(DE198,DW198,EE198,FT198,GA198,BR198,BT198,AQ198)</f>
        <v>0</v>
      </c>
      <c r="BM198" s="259">
        <f>SUM(DC198,BK198:BL198,AC198,AQ198)</f>
        <v>0</v>
      </c>
      <c r="BN198" s="239">
        <f>COUNT(AK198)</f>
        <v>0</v>
      </c>
      <c r="BO198" s="239">
        <f>COUNT(AY198)</f>
        <v>0</v>
      </c>
      <c r="BP198" s="239">
        <f>IF(BN200=0,0,1)</f>
        <v>0</v>
      </c>
      <c r="BQ198" s="260">
        <f>IF(AL198="",0,IF(AL198&gt;2,1,0))</f>
        <v>0</v>
      </c>
      <c r="BR198" s="261">
        <f>IF(AZ198="",0,IF(AZ198&gt;2,1,0))</f>
        <v>0</v>
      </c>
      <c r="BS198" s="262">
        <f>IF(AJ198=9,IF(AK198&lt;141,1,0),0)</f>
        <v>0</v>
      </c>
      <c r="BT198" s="263">
        <f>IF(AX198=9,IF(AY198&lt;141,1,0),0)</f>
        <v>0</v>
      </c>
      <c r="BU198" s="242">
        <f>IF(H198,G198,0)</f>
        <v>0</v>
      </c>
      <c r="BV198" s="238">
        <f>IF(BU198&gt;0,AJ198/3,0)</f>
        <v>0</v>
      </c>
      <c r="BW198" s="238">
        <f>ROUNDUP(BV198,0)</f>
        <v>0</v>
      </c>
      <c r="BX198" s="244">
        <f>IF(MOD(BW198,2)=0,BW198,BW198+1)</f>
        <v>0</v>
      </c>
      <c r="BY198" s="238">
        <f>IF(AJ198&lt;9,"",SUM(BX198-BW198))</f>
        <v>0</v>
      </c>
      <c r="BZ198" s="238">
        <f>IF(BY198=1,AK198,0)</f>
        <v>0</v>
      </c>
      <c r="CA198" s="243" t="str">
        <f>IF(BY198=0,AK198,0)</f>
        <v/>
      </c>
      <c r="CB198" s="238"/>
      <c r="CC198" s="238"/>
      <c r="CD198" s="242">
        <f>IF(W198,V198,0)</f>
        <v>0</v>
      </c>
      <c r="CE198" s="238">
        <f>IF(CD198&gt;0,AX198/3,0)</f>
        <v>0</v>
      </c>
      <c r="CF198" s="238">
        <f>ROUNDUP(CE198,0)</f>
        <v>0</v>
      </c>
      <c r="CG198" s="244">
        <f>IF(MOD(CF198,2)=0,CF198,CF198+1)</f>
        <v>0</v>
      </c>
      <c r="CH198" s="238">
        <f>IF(AX198&lt;9,"",SUM(CG198-CF198))</f>
        <v>0</v>
      </c>
      <c r="CI198" s="238">
        <f>IF(CH198=1,AY198,0)</f>
        <v>0</v>
      </c>
      <c r="CJ198" s="243" t="str">
        <f>IF(CH198=0,AY198,0)</f>
        <v/>
      </c>
      <c r="CK198" s="238"/>
      <c r="CL198" s="245">
        <f>IF(COUNT(F198,H198)=1,0,1)</f>
        <v>1</v>
      </c>
      <c r="CM198" s="245">
        <f>IF(COUNT(F198,U198)=1,0,1)</f>
        <v>1</v>
      </c>
      <c r="CN198" s="245">
        <f>IF(COUNT(H198,W198)=1,0,1)</f>
        <v>1</v>
      </c>
      <c r="CO198" s="245">
        <f>IF(COUNT(G198,V198)=2,0,1)</f>
        <v>1</v>
      </c>
      <c r="CP198" s="245">
        <f>IF(COUNT(U198,W198)=1,0,1)</f>
        <v>1</v>
      </c>
      <c r="CQ198" s="245">
        <f>IF(SUM(G198-V198)&gt;3,1,0)</f>
        <v>0</v>
      </c>
      <c r="CR198" s="245">
        <f>IF(SUM(G198-V198)&lt;-3,1,0)</f>
        <v>0</v>
      </c>
      <c r="CS198" s="264">
        <f>IF(AJ198=9,IF(AH198&lt;141,1,0),IF(AH198="",0,IF(AH198&gt;1,0,1)))</f>
        <v>0</v>
      </c>
      <c r="CT198" s="264">
        <f>IF(AX198=9,IF(AV198&lt;141,1,0),IF(AV198="",0,IF(AV198&gt;1,0,1)))</f>
        <v>0</v>
      </c>
      <c r="CU198" s="264">
        <f>IF(AI198="",0,IF(AI198&lt;502,0,1))</f>
        <v>0</v>
      </c>
      <c r="CV198" s="264">
        <f>IF(AW198="",0,IF(AW198&lt;502,0,1))</f>
        <v>0</v>
      </c>
      <c r="CW198" s="264">
        <f>IF(AI198="",IF(AJ198&lt;9,1,0),IF(AJ198&lt;9,1,0))</f>
        <v>0</v>
      </c>
      <c r="CX198" s="264">
        <f>IF(AW198="",IF(AX198&lt;9,1,0),IF(AX198&lt;9,1,0))</f>
        <v>0</v>
      </c>
      <c r="CY198" s="374"/>
      <c r="CZ198" s="374"/>
      <c r="DA198" s="374"/>
      <c r="DB198" s="374"/>
      <c r="DC198" s="265">
        <f>IF(AJ198="",0,SUM(CL198:CX198))</f>
        <v>0</v>
      </c>
      <c r="DD198" s="265">
        <f>IF(AJ198="",0,SUM(CL198,CS198,CU198,CW198))</f>
        <v>0</v>
      </c>
      <c r="DE198" s="265">
        <f>IF(AJ198="",0,SUM(CP198,CT198,CV198,CX198))</f>
        <v>0</v>
      </c>
      <c r="DF198" s="238"/>
      <c r="DG198" s="248" t="str">
        <f>IF(G198="","",SUM(G198-V198))</f>
        <v/>
      </c>
      <c r="DH198" s="245">
        <f>IF(F198="",0,1)</f>
        <v>0</v>
      </c>
      <c r="DI198" s="245" t="str">
        <f>IF(DG198=0,DH198,DG198)</f>
        <v/>
      </c>
      <c r="DJ198" s="245" t="e">
        <f>SIGN(DI198)</f>
        <v>#VALUE!</v>
      </c>
      <c r="DK198" s="245" t="str">
        <f>IF(G198="","",IF(DJ198=1,"*",""))</f>
        <v/>
      </c>
      <c r="DL198" s="245" t="str">
        <f>IF(G198="","",IF(DJ198=-1,"*",IF(DJ198=0,"*","")))</f>
        <v/>
      </c>
      <c r="DM198" s="245">
        <v>1</v>
      </c>
      <c r="DN198" s="245" t="str">
        <f>CONCATENATE(DM198,DK198)</f>
        <v>1</v>
      </c>
      <c r="DO198" s="245" t="str">
        <f>CONCATENATE(DM198,DL198)</f>
        <v>1</v>
      </c>
      <c r="DP198" s="245">
        <f>IF(DK198="*",1,0)</f>
        <v>0</v>
      </c>
      <c r="DQ198" s="245">
        <f>IF(DL198="*",1,0)</f>
        <v>0</v>
      </c>
      <c r="DR198" s="245"/>
      <c r="DS198" s="245"/>
      <c r="DT198" s="245"/>
      <c r="DU198" s="245"/>
      <c r="DV198" s="266"/>
      <c r="DW198" s="266"/>
      <c r="DX198" s="238">
        <f>IF(AK198="",0,1)</f>
        <v>0</v>
      </c>
      <c r="DY198" s="238">
        <f>IF(DG198=-3,1,0)</f>
        <v>0</v>
      </c>
      <c r="DZ198" s="238">
        <f>SUM(DX198:DY198)</f>
        <v>0</v>
      </c>
      <c r="EA198" s="238">
        <f>IF(AK198="",1,0)</f>
        <v>1</v>
      </c>
      <c r="EB198" s="238">
        <f>IF(DG198=3,1,0)</f>
        <v>0</v>
      </c>
      <c r="EC198" s="238">
        <f>SUM(EA198:EB198)</f>
        <v>1</v>
      </c>
      <c r="ED198" s="267">
        <f>IF(EC198=2,1,0)</f>
        <v>0</v>
      </c>
      <c r="EE198" s="267">
        <f>IF(DZ198=2,1,0)</f>
        <v>0</v>
      </c>
      <c r="EG198" s="166"/>
      <c r="EH198" s="238"/>
      <c r="EI198" s="238"/>
      <c r="EJ198" s="238"/>
      <c r="EK198" s="238"/>
      <c r="EL198" s="238"/>
      <c r="EM198" s="245">
        <f>IF(AK198="",0,1)</f>
        <v>0</v>
      </c>
      <c r="EN198" s="245">
        <f>SUM(AK198)</f>
        <v>0</v>
      </c>
      <c r="EO198" s="268">
        <f>SUM(AJ198)</f>
        <v>0</v>
      </c>
      <c r="EP198" s="268">
        <f>SUM(G198/3)</f>
        <v>0</v>
      </c>
      <c r="EQ198" s="268" t="e">
        <f>SUM(EO198/EP198)</f>
        <v>#DIV/0!</v>
      </c>
      <c r="ER198" s="268">
        <f>ROUNDDOWN(EP198,0)</f>
        <v>0</v>
      </c>
      <c r="ES198" s="268">
        <f>SUM(EO198,-ER198*3)</f>
        <v>0</v>
      </c>
      <c r="ET198" s="269" t="b">
        <f>MOD(EN198/1,2)=0</f>
        <v>1</v>
      </c>
      <c r="EU198" s="245">
        <f>IF(ET198=FALSE,1,0)</f>
        <v>0</v>
      </c>
      <c r="EV198" s="245">
        <f>IF(EN198=50,0,IF(EN198&lt;40,1,0))</f>
        <v>1</v>
      </c>
      <c r="EW198" s="245">
        <f>SUM(EU198:EV198)</f>
        <v>1</v>
      </c>
      <c r="EX198" s="267">
        <f>IF(EN198=1,1,IF(EN198=50,0,IF(ES198=1,IF(EN198&gt;40,1,0),0)))</f>
        <v>0</v>
      </c>
      <c r="EY198" s="267">
        <f>IF(ES198=1,IF(EW198=2,1,0),0)+EX198+FB198+FE198</f>
        <v>0</v>
      </c>
      <c r="EZ198" s="245">
        <f>IF(EN198=109,1,IF(EN198=108,1,IF(EN198=106,1,IF(EN198=105,1,IF(EN198=103,1,IF(EN198=102,1,IF(EN198=99,1,0)))))))</f>
        <v>0</v>
      </c>
      <c r="FA198" s="245">
        <f>IF(EN198&gt;110,1,0)</f>
        <v>0</v>
      </c>
      <c r="FB198" s="267">
        <f>IF(ES198=2,SUM(EZ198:FA198),0)</f>
        <v>0</v>
      </c>
      <c r="FC198" s="245">
        <f>IF(EN198=159,1,IF(EN198=162,1,IF(EN198=163,1,IF(EN198=165,1,IF(EN198=166,1,IF(EN198=168,1,IF(EN198=169,1,0)))))))</f>
        <v>0</v>
      </c>
      <c r="FD198" s="245">
        <f>IF(EN198&gt;170,1,0)</f>
        <v>0</v>
      </c>
      <c r="FE198" s="267">
        <f>IF(ES198=0,SUM(FC198:FD198),0)</f>
        <v>0</v>
      </c>
      <c r="FF198" s="251">
        <f>IF(AJ198="",0,IF(AI198="",0,IF(EO198/ER198-3=0,0,1)))</f>
        <v>0</v>
      </c>
      <c r="FG198" s="238"/>
      <c r="FH198" s="245">
        <f>IF(AY198="",0,1)</f>
        <v>0</v>
      </c>
      <c r="FI198" s="245">
        <f>SUM(AY198)</f>
        <v>0</v>
      </c>
      <c r="FJ198" s="268">
        <f>SUM(AX198)</f>
        <v>0</v>
      </c>
      <c r="FK198" s="268">
        <f>SUM(V198/3)</f>
        <v>0</v>
      </c>
      <c r="FL198" s="268" t="e">
        <f>SUM(FJ198/FK198)</f>
        <v>#DIV/0!</v>
      </c>
      <c r="FM198" s="268">
        <f>ROUNDDOWN(FK198,0)</f>
        <v>0</v>
      </c>
      <c r="FN198" s="268">
        <f>SUM(FJ198,-FM198*3)</f>
        <v>0</v>
      </c>
      <c r="FO198" s="269" t="b">
        <f>MOD(FI198/1,2)=0</f>
        <v>1</v>
      </c>
      <c r="FP198" s="245">
        <f>IF(FO198=FALSE,1,0)</f>
        <v>0</v>
      </c>
      <c r="FQ198" s="245">
        <f>IF(FI198=50,0,IF(FI198&lt;40,1,0))</f>
        <v>1</v>
      </c>
      <c r="FR198" s="245">
        <f>SUM(FP198:FQ198)</f>
        <v>1</v>
      </c>
      <c r="FS198" s="267">
        <f>IF(FI198=1,1,IF(FI198=50,0,IF(FN198=1,IF(FI198&gt;40,1,0),0)))</f>
        <v>0</v>
      </c>
      <c r="FT198" s="267">
        <f>IF(FN198=1,IF(FR198=2,1,0),0)+FS198+FW198+FZ198</f>
        <v>0</v>
      </c>
      <c r="FU198" s="245">
        <f>IF(FI198=109,1,IF(FI198=108,1,IF(FI198=106,1,IF(FI198=105,1,IF(FI198=103,1,IF(FI198=102,1,IF(FI198=99,1,0)))))))</f>
        <v>0</v>
      </c>
      <c r="FV198" s="245">
        <f>IF(FI198&gt;110,1,0)</f>
        <v>0</v>
      </c>
      <c r="FW198" s="267">
        <f>IF(FN198=2,SUM(FU198:FV198),0)</f>
        <v>0</v>
      </c>
      <c r="FX198" s="245">
        <f>IF(FI198=159,1,IF(FI198=162,1,IF(FI198=163,1,IF(FI198=165,1,IF(FI198=166,1,IF(FI198=168,1,IF(FI198=169,1,0)))))))</f>
        <v>0</v>
      </c>
      <c r="FY198" s="245">
        <f>IF(FI198&gt;170,1,0)</f>
        <v>0</v>
      </c>
      <c r="FZ198" s="267">
        <f>IF(FN198=0,SUM(FX198:FY198),0)</f>
        <v>0</v>
      </c>
      <c r="GA198" s="251">
        <f>IF(AX198="",0,IF(AW198="",0,IF(FJ198/FM198-3=0,0,1)))</f>
        <v>0</v>
      </c>
      <c r="GD198" s="341">
        <f>IF(AK195="D",1,0)</f>
        <v>0</v>
      </c>
      <c r="GE198" s="343"/>
      <c r="GF198" s="343" t="s">
        <v>866</v>
      </c>
      <c r="GG198" s="343" t="s">
        <v>868</v>
      </c>
      <c r="GH198" s="343" t="s">
        <v>848</v>
      </c>
      <c r="GI198" s="343">
        <v>180</v>
      </c>
      <c r="GJ198" s="343" t="s">
        <v>866</v>
      </c>
      <c r="GK198" s="343" t="s">
        <v>868</v>
      </c>
      <c r="GL198" s="343" t="s">
        <v>848</v>
      </c>
      <c r="GM198" s="343">
        <v>180</v>
      </c>
      <c r="GN198" s="343" t="s">
        <v>866</v>
      </c>
      <c r="GO198" s="343" t="s">
        <v>868</v>
      </c>
      <c r="GP198" s="343" t="s">
        <v>848</v>
      </c>
      <c r="GQ198" s="343">
        <v>180</v>
      </c>
      <c r="GR198" s="343" t="s">
        <v>866</v>
      </c>
      <c r="GS198" s="343" t="s">
        <v>868</v>
      </c>
      <c r="GT198" s="343" t="s">
        <v>848</v>
      </c>
      <c r="GU198" s="343">
        <v>180</v>
      </c>
      <c r="GV198" s="343" t="s">
        <v>866</v>
      </c>
      <c r="GW198" s="343" t="s">
        <v>868</v>
      </c>
      <c r="GX198" s="343" t="s">
        <v>848</v>
      </c>
      <c r="GY198" s="343">
        <v>180</v>
      </c>
      <c r="GZ198" s="343" t="s">
        <v>866</v>
      </c>
      <c r="HA198" s="343" t="s">
        <v>868</v>
      </c>
      <c r="HB198" s="343" t="s">
        <v>848</v>
      </c>
      <c r="HC198" s="343">
        <v>180</v>
      </c>
      <c r="HD198" s="343" t="s">
        <v>866</v>
      </c>
      <c r="HE198" s="343" t="s">
        <v>868</v>
      </c>
      <c r="HF198" s="341" t="s">
        <v>975</v>
      </c>
      <c r="HG198" s="341" t="s">
        <v>976</v>
      </c>
      <c r="HH198" s="341" t="s">
        <v>899</v>
      </c>
      <c r="HJ198" s="238"/>
      <c r="HK198" s="238"/>
      <c r="HL198" s="238"/>
      <c r="HM198" s="238">
        <f>COUNT(HI199,HJ199,HK199,HL199,HM199)</f>
        <v>0</v>
      </c>
      <c r="HN198" s="341"/>
      <c r="HO198" s="341"/>
      <c r="HP198" s="341"/>
      <c r="HQ198" s="341"/>
      <c r="HR198" s="341"/>
      <c r="HS198" s="238"/>
      <c r="HT198" s="238"/>
      <c r="HU198" s="238"/>
      <c r="HV198" s="238"/>
      <c r="HX198" s="238"/>
      <c r="HY198" s="238"/>
      <c r="ID198" s="238"/>
    </row>
    <row r="199" spans="1:238" s="234" customFormat="1" ht="20.100000000000001" customHeight="1">
      <c r="A199" s="235"/>
      <c r="B199" s="231">
        <f>COUNT(AJ200,AJ199)</f>
        <v>0</v>
      </c>
      <c r="C199" s="326">
        <f>IF(DK198="*",AJ195,AI195)</f>
        <v>2.2000000000000002</v>
      </c>
      <c r="D199" s="253" t="str">
        <f>REPT(DN199,1)</f>
        <v>2</v>
      </c>
      <c r="E199" s="254" t="str">
        <f>REPT(AH199,1)</f>
        <v/>
      </c>
      <c r="F199" s="168"/>
      <c r="G199" s="168"/>
      <c r="H199" s="168"/>
      <c r="I199" s="169"/>
      <c r="J199" s="270" t="str">
        <f>REPT(AM199,1)</f>
        <v/>
      </c>
      <c r="L199" s="306" t="s">
        <v>922</v>
      </c>
      <c r="M199" s="311"/>
      <c r="N199" s="270" t="str">
        <f>REPT(AP199,1)</f>
        <v/>
      </c>
      <c r="P199" s="306" t="s">
        <v>922</v>
      </c>
      <c r="Q199" s="310"/>
      <c r="R199" s="324">
        <f>IF(DL198="*",AJ195,AI195)</f>
        <v>2.2000000000000002</v>
      </c>
      <c r="S199" s="253" t="str">
        <f>REPT(DO199,1)</f>
        <v>2</v>
      </c>
      <c r="T199" s="254" t="str">
        <f>REPT(AV199,1)</f>
        <v/>
      </c>
      <c r="U199" s="168"/>
      <c r="V199" s="168"/>
      <c r="W199" s="168"/>
      <c r="X199" s="169"/>
      <c r="Y199" s="270" t="str">
        <f t="shared" ref="Y199:Y201" si="468">REPT(BA199,1)</f>
        <v/>
      </c>
      <c r="Z199" s="308"/>
      <c r="AB199" s="234">
        <f>IF(AY199="",0,IF(AY199&lt;2,1,""))</f>
        <v>0</v>
      </c>
      <c r="AC199" s="238">
        <f t="shared" ref="AC199:AC200" si="469">IF(AD199=1,1,IF(AD199=3,1,IF(AD199=2,0,IF(AD199=0,0,0))))</f>
        <v>0</v>
      </c>
      <c r="AD199" s="256">
        <f t="shared" ref="AD199:AD202" si="470">SUM(AE199:AG199)</f>
        <v>0</v>
      </c>
      <c r="AE199" s="256">
        <f t="shared" si="464"/>
        <v>0</v>
      </c>
      <c r="AF199" s="256">
        <f t="shared" si="465"/>
        <v>0</v>
      </c>
      <c r="AG199" s="256">
        <f t="shared" ref="AG199:AG202" si="471">IF(H199="",0,1)</f>
        <v>0</v>
      </c>
      <c r="AH199" s="257" t="str">
        <f>IF(AK199="",IF(AI199="","",IF(AI199="",501,501-AI199)),501)</f>
        <v/>
      </c>
      <c r="AI199" s="256" t="str">
        <f>IF(F199&gt;1,F199,IF(F199=0,"",IF(F199="","","")))</f>
        <v/>
      </c>
      <c r="AJ199" s="256" t="str">
        <f>IF(G199&gt;8,G199,IF(G199="","",""))</f>
        <v/>
      </c>
      <c r="AK199" s="256" t="str">
        <f>IF(H199&gt;1,H199,IF(H199="","",""))</f>
        <v/>
      </c>
      <c r="AL199" s="256" t="str">
        <f>IF(I199&gt;0,I199,IF(I199="","",""))</f>
        <v/>
      </c>
      <c r="AM199" s="258" t="str">
        <f>IF(BK199=0,"","X")</f>
        <v/>
      </c>
      <c r="AN199" s="237"/>
      <c r="AO199" s="237"/>
      <c r="AP199" s="258" t="str">
        <f>IF(BM199=0,"","X")</f>
        <v/>
      </c>
      <c r="AQ199" s="236">
        <f t="shared" ref="AQ199:AQ200" si="472">IF(AR199=1,1,IF(AR199=3,1,IF(AR199=2,0,IF(AR199=0,0,0))))</f>
        <v>0</v>
      </c>
      <c r="AR199" s="256">
        <f t="shared" ref="AR199:AR202" si="473">SUM(AS199:AU199)</f>
        <v>0</v>
      </c>
      <c r="AS199" s="256">
        <f t="shared" si="466"/>
        <v>0</v>
      </c>
      <c r="AT199" s="256">
        <f t="shared" si="467"/>
        <v>0</v>
      </c>
      <c r="AU199" s="256">
        <f t="shared" ref="AU199:AU202" si="474">IF(W199="",0,1)</f>
        <v>0</v>
      </c>
      <c r="AV199" s="257" t="str">
        <f>IF(AY199="",IF(AW199="","",IF(AW199="",501,501-AW199)),501)</f>
        <v/>
      </c>
      <c r="AW199" s="256" t="str">
        <f>IF(U199&gt;1,U199,IF(U199=0,"",IF(U199="","","")))</f>
        <v/>
      </c>
      <c r="AX199" s="256" t="str">
        <f>IF(V199&gt;8,V199,IF(V199="","",""))</f>
        <v/>
      </c>
      <c r="AY199" s="256" t="str">
        <f>IF(W199&gt;1,W199,IF(W199="","",""))</f>
        <v/>
      </c>
      <c r="AZ199" s="256" t="str">
        <f>IF(X199&gt;0,X199,IF(X199="","",""))</f>
        <v/>
      </c>
      <c r="BA199" s="258" t="str">
        <f>IF(BL199=0,"","X")</f>
        <v/>
      </c>
      <c r="BK199" s="251">
        <f>SUM(DD199,DV199,EY199,ED199,FF199,BQ199,BS199,AC199)</f>
        <v>0</v>
      </c>
      <c r="BL199" s="251">
        <f>SUM(DE199,DW199,EE199,FT199,GA199,BR199,BT199,AQ199)</f>
        <v>0</v>
      </c>
      <c r="BM199" s="259">
        <f t="shared" ref="BM199:BM200" si="475">SUM(DC199,BK199:BL199,AC199,AQ199)</f>
        <v>0</v>
      </c>
      <c r="BN199" s="239">
        <f>COUNT(AK199)</f>
        <v>0</v>
      </c>
      <c r="BO199" s="239">
        <f>COUNT(AY199)</f>
        <v>0</v>
      </c>
      <c r="BP199" s="239">
        <f>IF(BN201=0,0,1)</f>
        <v>0</v>
      </c>
      <c r="BQ199" s="260">
        <f>IF(AL199="",0,IF(AL199&gt;2,1,0))</f>
        <v>0</v>
      </c>
      <c r="BR199" s="261">
        <f>IF(AZ199="",0,IF(AZ199&gt;2,1,0))</f>
        <v>0</v>
      </c>
      <c r="BS199" s="262">
        <f>IF(AJ199=9,IF(AK199&lt;141,1,0),0)</f>
        <v>0</v>
      </c>
      <c r="BT199" s="263">
        <f>IF(AX199=9,IF(AY199&lt;141,1,0),0)</f>
        <v>0</v>
      </c>
      <c r="BU199" s="242">
        <f>IF(H199,G199,0)</f>
        <v>0</v>
      </c>
      <c r="BV199" s="238">
        <f>IF(BU199&gt;0,AJ199/3,0)</f>
        <v>0</v>
      </c>
      <c r="BW199" s="238">
        <f>ROUNDUP(BV199,0)</f>
        <v>0</v>
      </c>
      <c r="BX199" s="244">
        <f>IF(MOD(BW199,2)=0,BW199,BW199+1)</f>
        <v>0</v>
      </c>
      <c r="BY199" s="238">
        <f>IF(AJ199&lt;9,"",SUM(BX199-BW199))</f>
        <v>0</v>
      </c>
      <c r="BZ199" s="238">
        <f>IF(BY199=1,AK199,0)</f>
        <v>0</v>
      </c>
      <c r="CA199" s="243" t="str">
        <f>IF(BY199=0,AK199,0)</f>
        <v/>
      </c>
      <c r="CB199" s="238"/>
      <c r="CC199" s="238"/>
      <c r="CD199" s="242">
        <f>IF(W199,V199,0)</f>
        <v>0</v>
      </c>
      <c r="CE199" s="238">
        <f>IF(CD199&gt;0,AX199/3,0)</f>
        <v>0</v>
      </c>
      <c r="CF199" s="238">
        <f>ROUNDUP(CE199,0)</f>
        <v>0</v>
      </c>
      <c r="CG199" s="244">
        <f>IF(MOD(CF199,2)=0,CF199,CF199+1)</f>
        <v>0</v>
      </c>
      <c r="CH199" s="238">
        <f>IF(AX199&lt;9,"",SUM(CG199-CF199))</f>
        <v>0</v>
      </c>
      <c r="CI199" s="238">
        <f>IF(CH199=1,AY199,0)</f>
        <v>0</v>
      </c>
      <c r="CJ199" s="243" t="str">
        <f>IF(CH199=0,AY199,0)</f>
        <v/>
      </c>
      <c r="CK199" s="238"/>
      <c r="CL199" s="245">
        <f>IF(COUNT(F199,H199)=1,0,1)</f>
        <v>1</v>
      </c>
      <c r="CM199" s="245">
        <f>IF(COUNT(F199,U199)=1,0,1)</f>
        <v>1</v>
      </c>
      <c r="CN199" s="245">
        <f>IF(COUNT(H199,W199)=1,0,1)</f>
        <v>1</v>
      </c>
      <c r="CO199" s="245">
        <f>IF(COUNT(G199,V199)=2,0,1)</f>
        <v>1</v>
      </c>
      <c r="CP199" s="245">
        <f>IF(COUNT(U199,W199)=1,0,1)</f>
        <v>1</v>
      </c>
      <c r="CQ199" s="245">
        <f>IF(SUM(G199-V199)&gt;3,1,0)</f>
        <v>0</v>
      </c>
      <c r="CR199" s="245">
        <f>IF(SUM(G199-V199)&lt;-3,1,0)</f>
        <v>0</v>
      </c>
      <c r="CS199" s="264">
        <f>IF(AJ199=9,IF(AH199&lt;141,1,0),IF(AH199="",0,IF(AH199&gt;1,0,1)))</f>
        <v>0</v>
      </c>
      <c r="CT199" s="264">
        <f>IF(AX199=9,IF(AV199&lt;141,1,0),IF(AV199="",0,IF(AV199&gt;1,0,1)))</f>
        <v>0</v>
      </c>
      <c r="CU199" s="264">
        <f>IF(AI199="",0,IF(AI199&lt;502,0,1))</f>
        <v>0</v>
      </c>
      <c r="CV199" s="264">
        <f>IF(AW199="",0,IF(AW199&lt;502,0,1))</f>
        <v>0</v>
      </c>
      <c r="CW199" s="264">
        <f>IF(AI199="",IF(AJ199&lt;9,1,0),IF(AJ199&lt;9,1,0))</f>
        <v>0</v>
      </c>
      <c r="CX199" s="264">
        <f>IF(AW199="",IF(AX199&lt;9,1,0),IF(AX199&lt;9,1,0))</f>
        <v>0</v>
      </c>
      <c r="CY199" s="374"/>
      <c r="CZ199" s="374"/>
      <c r="DA199" s="374"/>
      <c r="DB199" s="374"/>
      <c r="DC199" s="265">
        <f>IF(AJ199="",0,SUM(CL199:CX199))</f>
        <v>0</v>
      </c>
      <c r="DD199" s="265">
        <f>IF(AJ199="",0,SUM(CL199,CS199,CU199,CW199))</f>
        <v>0</v>
      </c>
      <c r="DE199" s="265">
        <f>IF(AJ199="",0,SUM(CP199,CT199,CV199,CX199))</f>
        <v>0</v>
      </c>
      <c r="DF199" s="238"/>
      <c r="DG199" s="248">
        <f>SUM(G199-V199)</f>
        <v>0</v>
      </c>
      <c r="DH199" s="245">
        <f>IF(F199="",0,1)</f>
        <v>0</v>
      </c>
      <c r="DI199" s="245">
        <f t="shared" ref="DI199:DI202" si="476">IF(DG199=0,DH199,DG199)</f>
        <v>0</v>
      </c>
      <c r="DJ199" s="245">
        <f t="shared" ref="DJ199:DJ202" si="477">SIGN(DI199)</f>
        <v>0</v>
      </c>
      <c r="DK199" s="245" t="str">
        <f>IF(G199="","",IF(DJ199=1,"*",""))</f>
        <v/>
      </c>
      <c r="DL199" s="245" t="str">
        <f>IF(G199="","",IF(DJ199=-1,"*",IF(DJ199=0,"*","")))</f>
        <v/>
      </c>
      <c r="DM199" s="245">
        <v>2</v>
      </c>
      <c r="DN199" s="245" t="str">
        <f t="shared" ref="DN199:DN202" si="478">CONCATENATE(DM199,DK199)</f>
        <v>2</v>
      </c>
      <c r="DO199" s="245" t="str">
        <f t="shared" ref="DO199:DO202" si="479">CONCATENATE(DM199,DL199)</f>
        <v>2</v>
      </c>
      <c r="DP199" s="245">
        <f>SUM(DQ198)</f>
        <v>0</v>
      </c>
      <c r="DQ199" s="245">
        <f>SUM(DP198)</f>
        <v>0</v>
      </c>
      <c r="DR199" s="245">
        <f>IF(DK199="*",1,0)</f>
        <v>0</v>
      </c>
      <c r="DS199" s="245">
        <f>IF(DL199="*",1,0)</f>
        <v>0</v>
      </c>
      <c r="DT199" s="245">
        <f>IF(H189="",0,IF(DP199=DR199,1,0))</f>
        <v>0</v>
      </c>
      <c r="DU199" s="245">
        <f>IF(V199="",0,IF(DQ199=DS199,0,1))</f>
        <v>0</v>
      </c>
      <c r="DV199" s="267">
        <f>SUM(DT199)</f>
        <v>0</v>
      </c>
      <c r="DW199" s="267">
        <f>IF(V199="",0,SUM(DU199))</f>
        <v>0</v>
      </c>
      <c r="DX199" s="238">
        <f>IF(AK199="",0,1)</f>
        <v>0</v>
      </c>
      <c r="DY199" s="238">
        <f>IF(DG199=-3,1,0)</f>
        <v>0</v>
      </c>
      <c r="DZ199" s="238">
        <f>SUM(DX199:DY199)</f>
        <v>0</v>
      </c>
      <c r="EA199" s="238">
        <f>IF(AK199="",1,0)</f>
        <v>1</v>
      </c>
      <c r="EB199" s="238">
        <f>IF(DG199=3,1,0)</f>
        <v>0</v>
      </c>
      <c r="EC199" s="238">
        <f>SUM(EA199:EB199)</f>
        <v>1</v>
      </c>
      <c r="ED199" s="267">
        <f>IF(EC199=2,1,0)</f>
        <v>0</v>
      </c>
      <c r="EE199" s="267">
        <f>IF(DZ199=2,1,0)</f>
        <v>0</v>
      </c>
      <c r="EG199" s="166"/>
      <c r="EH199" s="238"/>
      <c r="EI199" s="238"/>
      <c r="EJ199" s="238"/>
      <c r="EK199" s="238"/>
      <c r="EL199" s="238"/>
      <c r="EM199" s="245">
        <f>IF(AK199="",0,1)</f>
        <v>0</v>
      </c>
      <c r="EN199" s="245">
        <f>SUM(AK199)</f>
        <v>0</v>
      </c>
      <c r="EO199" s="268">
        <f>SUM(AJ199)</f>
        <v>0</v>
      </c>
      <c r="EP199" s="268">
        <f>SUM(G199/3)</f>
        <v>0</v>
      </c>
      <c r="EQ199" s="268" t="e">
        <f>SUM(EO199/EP199)</f>
        <v>#DIV/0!</v>
      </c>
      <c r="ER199" s="268">
        <f>ROUNDDOWN(EP199,0)</f>
        <v>0</v>
      </c>
      <c r="ES199" s="268">
        <f>SUM(EO199,-ER199*3)</f>
        <v>0</v>
      </c>
      <c r="ET199" s="269" t="b">
        <f>MOD(EN199/1,2)=0</f>
        <v>1</v>
      </c>
      <c r="EU199" s="245">
        <f>IF(ET199=FALSE,1,0)</f>
        <v>0</v>
      </c>
      <c r="EV199" s="245">
        <f>IF(EN199=50,0,IF(EN199&lt;40,1,0))</f>
        <v>1</v>
      </c>
      <c r="EW199" s="245">
        <f>SUM(EU199:EV199)</f>
        <v>1</v>
      </c>
      <c r="EX199" s="267">
        <f>IF(EN199=1,1,IF(EN199=50,0,IF(ES199=1,IF(EN199&gt;40,1,0),0)))</f>
        <v>0</v>
      </c>
      <c r="EY199" s="267">
        <f>IF(ES199=1,IF(EW199=2,1,0),0)+EX199+FB199+FE199</f>
        <v>0</v>
      </c>
      <c r="EZ199" s="245">
        <f>IF(EN199=109,1,IF(EN199=108,1,IF(EN199=106,1,IF(EN199=105,1,IF(EN199=103,1,IF(EN199=102,1,IF(EN199=99,1,0)))))))</f>
        <v>0</v>
      </c>
      <c r="FA199" s="245">
        <f>IF(EN199&gt;110,1,0)</f>
        <v>0</v>
      </c>
      <c r="FB199" s="267">
        <f>IF(ES199=2,SUM(EZ199:FA199),0)</f>
        <v>0</v>
      </c>
      <c r="FC199" s="245">
        <f>IF(EN199=159,1,IF(EN199=162,1,IF(EN199=163,1,IF(EN199=165,1,IF(EN199=166,1,IF(EN199=168,1,IF(EN199=169,1,0)))))))</f>
        <v>0</v>
      </c>
      <c r="FD199" s="245">
        <f>IF(EN199&gt;170,1,0)</f>
        <v>0</v>
      </c>
      <c r="FE199" s="267">
        <f>IF(ES199=0,SUM(FC199:FD199),0)</f>
        <v>0</v>
      </c>
      <c r="FF199" s="251">
        <f t="shared" ref="FF199:FF202" si="480">IF(AJ199="",0,IF(AI199="",0,IF(EO199/ER199-3=0,0,1)))</f>
        <v>0</v>
      </c>
      <c r="FG199" s="238"/>
      <c r="FH199" s="245">
        <f>IF(AY199="",0,1)</f>
        <v>0</v>
      </c>
      <c r="FI199" s="245">
        <f>SUM(AY199)</f>
        <v>0</v>
      </c>
      <c r="FJ199" s="268">
        <f>SUM(AX199)</f>
        <v>0</v>
      </c>
      <c r="FK199" s="268">
        <f>SUM(V199/3)</f>
        <v>0</v>
      </c>
      <c r="FL199" s="268" t="e">
        <f>SUM(FJ199/FK199)</f>
        <v>#DIV/0!</v>
      </c>
      <c r="FM199" s="268">
        <f>ROUNDDOWN(FK199,0)</f>
        <v>0</v>
      </c>
      <c r="FN199" s="268">
        <f>SUM(FJ199,-FM199*3)</f>
        <v>0</v>
      </c>
      <c r="FO199" s="269" t="b">
        <f>MOD(FI199/1,2)=0</f>
        <v>1</v>
      </c>
      <c r="FP199" s="245">
        <f>IF(FO199=FALSE,1,0)</f>
        <v>0</v>
      </c>
      <c r="FQ199" s="245">
        <f>IF(FI199=50,0,IF(FI199&lt;40,1,0))</f>
        <v>1</v>
      </c>
      <c r="FR199" s="245">
        <f>SUM(FP199:FQ199)</f>
        <v>1</v>
      </c>
      <c r="FS199" s="267">
        <f>IF(FI199=1,1,IF(FI199=50,0,IF(FN199=1,IF(FI199&gt;40,1,0),0)))</f>
        <v>0</v>
      </c>
      <c r="FT199" s="267">
        <f>IF(FN199=1,IF(FR199=2,1,0),0)+FS199+FW199+FZ199</f>
        <v>0</v>
      </c>
      <c r="FU199" s="245">
        <f>IF(FI199=109,1,IF(FI199=108,1,IF(FI199=106,1,IF(FI199=105,1,IF(FI199=103,1,IF(FI199=102,1,IF(FI199=99,1,0)))))))</f>
        <v>0</v>
      </c>
      <c r="FV199" s="245">
        <f>IF(FI199&gt;110,1,0)</f>
        <v>0</v>
      </c>
      <c r="FW199" s="267">
        <f>IF(FN199=2,SUM(FU199:FV199),0)</f>
        <v>0</v>
      </c>
      <c r="FX199" s="245">
        <f>IF(FI199=159,1,IF(FI199=162,1,IF(FI199=163,1,IF(FI199=165,1,IF(FI199=166,1,IF(FI199=168,1,IF(FI199=169,1,0)))))))</f>
        <v>0</v>
      </c>
      <c r="FY199" s="245">
        <f>IF(FI199&gt;170,1,0)</f>
        <v>0</v>
      </c>
      <c r="FZ199" s="267">
        <f>IF(FN199=0,SUM(FX199:FY199),0)</f>
        <v>0</v>
      </c>
      <c r="GA199" s="251">
        <f t="shared" ref="GA199:GA202" si="481">IF(AX199="",0,IF(AW199="",0,IF(FJ199/FM199-3=0,0,1)))</f>
        <v>0</v>
      </c>
      <c r="GC199" s="238" t="str">
        <f>VLOOKUP(AH195,Chema!BL:BR,2,FALSE)</f>
        <v>HS 2.2</v>
      </c>
      <c r="GD199" s="341">
        <f>IF(E205="FORFAIT",1,0)</f>
        <v>0</v>
      </c>
      <c r="GE199" s="343" t="str">
        <f>IF(C205="","",SUM(C205))</f>
        <v/>
      </c>
      <c r="GF199" s="344">
        <f>SUM(AH198)</f>
        <v>0</v>
      </c>
      <c r="GG199" s="344">
        <f>SUM(AJ198)</f>
        <v>0</v>
      </c>
      <c r="GH199" s="344">
        <f t="shared" ref="GH199" si="482">SUM(AK198)</f>
        <v>0</v>
      </c>
      <c r="GI199" s="344">
        <f t="shared" ref="GI199" si="483">SUM(AL198)</f>
        <v>0</v>
      </c>
      <c r="GJ199" s="344">
        <f>SUM(AH199)</f>
        <v>0</v>
      </c>
      <c r="GK199" s="344">
        <f>SUM(AJ199)</f>
        <v>0</v>
      </c>
      <c r="GL199" s="344">
        <f>SUM(AK199)</f>
        <v>0</v>
      </c>
      <c r="GM199" s="344">
        <f>SUM(AL199)</f>
        <v>0</v>
      </c>
      <c r="GN199" s="344">
        <f>SUM(AH200)</f>
        <v>0</v>
      </c>
      <c r="GO199" s="344">
        <f>SUM(AJ200)</f>
        <v>0</v>
      </c>
      <c r="GP199" s="344">
        <f>SUM(AK200)</f>
        <v>0</v>
      </c>
      <c r="GQ199" s="344">
        <f>SUM(AL200)</f>
        <v>0</v>
      </c>
      <c r="GR199" s="344">
        <f>SUM(AH201)</f>
        <v>0</v>
      </c>
      <c r="GS199" s="344">
        <f>SUM(AJ201)</f>
        <v>0</v>
      </c>
      <c r="GT199" s="344">
        <f>SUM(AK201)</f>
        <v>0</v>
      </c>
      <c r="GU199" s="344">
        <f>SUM(AL201)</f>
        <v>0</v>
      </c>
      <c r="GV199" s="344">
        <f>SUM(AH202)</f>
        <v>0</v>
      </c>
      <c r="GW199" s="344">
        <f>SUM(AJ202)</f>
        <v>0</v>
      </c>
      <c r="GX199" s="344">
        <f>SUM(AK202)</f>
        <v>0</v>
      </c>
      <c r="GY199" s="344">
        <f>SUM(AL202)</f>
        <v>0</v>
      </c>
      <c r="GZ199" s="344">
        <f>SUM(GF199,GJ199,GN199,GR199,GV199)</f>
        <v>0</v>
      </c>
      <c r="HA199" s="344">
        <f t="shared" ref="HA199" si="484">SUM(GG199,GK199,GO199,GS199,GW199)</f>
        <v>0</v>
      </c>
      <c r="HB199" s="344">
        <f>IF(GD198=1,L205,MAX(GH199,GL199,GP199,GT199,GX199))</f>
        <v>0</v>
      </c>
      <c r="HC199" s="344">
        <f>IF(GD198=1,I205,SUM(GI199,GM199,GQ199,GU199,GY199))</f>
        <v>0</v>
      </c>
      <c r="HD199" s="345">
        <f>IF(GD198=1,0,SUM(GF199,GJ199,GN199,GR199,GV199))</f>
        <v>0</v>
      </c>
      <c r="HE199" s="345">
        <f>IF(GD198=1,0,SUM(GG199,GK199,GO199,GS199,GW199))</f>
        <v>0</v>
      </c>
      <c r="HF199" s="341">
        <f>IF(GD198=1,0,MIN(HI199,HJ199,HK199,HL199,HM199))</f>
        <v>0</v>
      </c>
      <c r="HG199" s="341">
        <f>IF(HF199=0,0,COUNTIF(HI199:HM199,HF199))</f>
        <v>0</v>
      </c>
      <c r="HH199" s="341">
        <f>SUM(GH200,GL200,GP200,GT200,GX200)</f>
        <v>0</v>
      </c>
      <c r="HI199" s="343" t="str">
        <f>IF(GH200=1,GG199,"")</f>
        <v/>
      </c>
      <c r="HJ199" s="343" t="str">
        <f>IF(GL200=1,GK199,"")</f>
        <v/>
      </c>
      <c r="HK199" s="343" t="str">
        <f>IF(GP200=1,GO199,"")</f>
        <v/>
      </c>
      <c r="HL199" s="343" t="str">
        <f>IF(GT200=1,GS199,"")</f>
        <v/>
      </c>
      <c r="HM199" s="343" t="str">
        <f>IF(GX200=1,GW199,"")</f>
        <v/>
      </c>
      <c r="HN199" s="341"/>
      <c r="HO199" s="341" t="s">
        <v>928</v>
      </c>
      <c r="HP199" s="341" t="s">
        <v>982</v>
      </c>
      <c r="HQ199" s="341" t="s">
        <v>983</v>
      </c>
      <c r="HR199" s="341" t="s">
        <v>984</v>
      </c>
      <c r="HS199" s="238" t="s">
        <v>932</v>
      </c>
      <c r="HT199" s="238" t="s">
        <v>933</v>
      </c>
      <c r="HU199" s="238" t="s">
        <v>985</v>
      </c>
      <c r="HV199" s="238" t="s">
        <v>986</v>
      </c>
      <c r="HW199" s="238" t="str">
        <f>IFERROR(IF(GD198=0,SUM(HZ200:IA200),""),"")</f>
        <v/>
      </c>
      <c r="HY199" s="238"/>
      <c r="HZ199" s="238" t="s">
        <v>1132</v>
      </c>
      <c r="IA199" s="238" t="s">
        <v>1133</v>
      </c>
      <c r="IB199" s="238" t="s">
        <v>1132</v>
      </c>
      <c r="IC199" s="238" t="s">
        <v>1133</v>
      </c>
      <c r="ID199" s="238"/>
    </row>
    <row r="200" spans="1:238" s="234" customFormat="1" ht="20.100000000000001" customHeight="1">
      <c r="A200" s="235"/>
      <c r="B200" s="231">
        <f>COUNT(AJ201,AJ200)</f>
        <v>0</v>
      </c>
      <c r="C200" s="235"/>
      <c r="D200" s="271" t="str">
        <f>REPT(DN200,1)</f>
        <v>3</v>
      </c>
      <c r="E200" s="254" t="str">
        <f>REPT(AH200,1)</f>
        <v/>
      </c>
      <c r="F200" s="168"/>
      <c r="G200" s="168"/>
      <c r="H200" s="168"/>
      <c r="I200" s="169"/>
      <c r="J200" s="270" t="str">
        <f t="shared" ref="J200:J201" si="485">REPT(AM200,1)</f>
        <v/>
      </c>
      <c r="L200" s="312">
        <f>SUM(L198*3)</f>
        <v>0</v>
      </c>
      <c r="M200" s="307"/>
      <c r="N200" s="270" t="str">
        <f>REPT(AP200,1)</f>
        <v/>
      </c>
      <c r="P200" s="312">
        <f>SUM(P198*3)</f>
        <v>0</v>
      </c>
      <c r="Q200" s="310"/>
      <c r="R200" s="235"/>
      <c r="S200" s="271" t="str">
        <f>REPT(DO200,1)</f>
        <v>3</v>
      </c>
      <c r="T200" s="254" t="str">
        <f>REPT(AV200,1)</f>
        <v/>
      </c>
      <c r="U200" s="168"/>
      <c r="V200" s="168"/>
      <c r="W200" s="168"/>
      <c r="X200" s="169"/>
      <c r="Y200" s="270" t="str">
        <f t="shared" si="468"/>
        <v/>
      </c>
      <c r="Z200" s="308"/>
      <c r="AB200" s="234">
        <f>IF(AY200="",0,IF(AY200&lt;2,1,""))</f>
        <v>0</v>
      </c>
      <c r="AC200" s="238">
        <f t="shared" si="469"/>
        <v>0</v>
      </c>
      <c r="AD200" s="256">
        <f t="shared" si="470"/>
        <v>0</v>
      </c>
      <c r="AE200" s="256">
        <f t="shared" si="464"/>
        <v>0</v>
      </c>
      <c r="AF200" s="256">
        <f t="shared" si="465"/>
        <v>0</v>
      </c>
      <c r="AG200" s="256">
        <f t="shared" si="471"/>
        <v>0</v>
      </c>
      <c r="AH200" s="257" t="str">
        <f>IF(AK200="",IF(AI200="","",IF(AI200="",501,501-AI200)),501)</f>
        <v/>
      </c>
      <c r="AI200" s="256" t="str">
        <f>IF(F200&gt;1,F200,IF(F200=0,"",IF(F200="","","")))</f>
        <v/>
      </c>
      <c r="AJ200" s="256" t="str">
        <f>IF(G200&gt;8,G200,IF(G200="","",""))</f>
        <v/>
      </c>
      <c r="AK200" s="256" t="str">
        <f>IF(H200&gt;1,H200,IF(H200="","",""))</f>
        <v/>
      </c>
      <c r="AL200" s="256" t="str">
        <f>IF(I200&gt;0,I200,IF(I200="","",""))</f>
        <v/>
      </c>
      <c r="AM200" s="258" t="str">
        <f>IF(BK200=0,"","X")</f>
        <v/>
      </c>
      <c r="AN200" s="237"/>
      <c r="AO200" s="237"/>
      <c r="AP200" s="258" t="str">
        <f>IF(BM200=0,"","X")</f>
        <v/>
      </c>
      <c r="AQ200" s="236">
        <f t="shared" si="472"/>
        <v>0</v>
      </c>
      <c r="AR200" s="256">
        <f t="shared" si="473"/>
        <v>0</v>
      </c>
      <c r="AS200" s="256">
        <f t="shared" si="466"/>
        <v>0</v>
      </c>
      <c r="AT200" s="256">
        <f t="shared" si="467"/>
        <v>0</v>
      </c>
      <c r="AU200" s="256">
        <f t="shared" si="474"/>
        <v>0</v>
      </c>
      <c r="AV200" s="257" t="str">
        <f>IF(AY200="",IF(AW200="","",IF(AW200="",501,501-AW200)),501)</f>
        <v/>
      </c>
      <c r="AW200" s="256" t="str">
        <f>IF(U200&gt;1,U200,IF(U200=0,"",IF(U200="","","")))</f>
        <v/>
      </c>
      <c r="AX200" s="256" t="str">
        <f>IF(V200&gt;8,V200,IF(V200="","",""))</f>
        <v/>
      </c>
      <c r="AY200" s="256" t="str">
        <f>IF(W200&gt;1,W200,IF(W200="","",""))</f>
        <v/>
      </c>
      <c r="AZ200" s="256" t="str">
        <f>IF(X200&gt;0,X200,IF(X200="","",""))</f>
        <v/>
      </c>
      <c r="BA200" s="258" t="str">
        <f>IF(BL200=0,"","X")</f>
        <v/>
      </c>
      <c r="BK200" s="251">
        <f>SUM(DD200,DV200,EY200,ED200,FF200,BQ200,BS200,AC200,BK207)</f>
        <v>0</v>
      </c>
      <c r="BL200" s="251">
        <f>SUM(DE200,DW200,EE200,FT200,GA200,BR200,BT200,AQ200,BL207,CZ200)</f>
        <v>0</v>
      </c>
      <c r="BM200" s="259">
        <f t="shared" si="475"/>
        <v>0</v>
      </c>
      <c r="BN200" s="239">
        <f>COUNT(AK200)</f>
        <v>0</v>
      </c>
      <c r="BO200" s="239">
        <f>COUNT(AY200)</f>
        <v>0</v>
      </c>
      <c r="BP200" s="239">
        <f>IF(BN202=0,0,1)</f>
        <v>0</v>
      </c>
      <c r="BQ200" s="260">
        <f>IF(AL200="",0,IF(AL200&gt;2,1,0))</f>
        <v>0</v>
      </c>
      <c r="BR200" s="261">
        <f>IF(AZ200="",0,IF(AZ200&gt;2,1,0))</f>
        <v>0</v>
      </c>
      <c r="BS200" s="262">
        <f>IF(AJ200=9,IF(AK200&lt;141,1,0),0)</f>
        <v>0</v>
      </c>
      <c r="BT200" s="263">
        <f>IF(AX200=9,IF(AY200&lt;141,1,0),0)</f>
        <v>0</v>
      </c>
      <c r="BU200" s="242">
        <f>IF(H200,G200,0)</f>
        <v>0</v>
      </c>
      <c r="BV200" s="238">
        <f>IF(BU200&gt;0,AJ200/3,0)</f>
        <v>0</v>
      </c>
      <c r="BW200" s="238">
        <f>ROUNDUP(BV200,0)</f>
        <v>0</v>
      </c>
      <c r="BX200" s="244">
        <f>IF(MOD(BW200,2)=0,BW200,BW200+1)</f>
        <v>0</v>
      </c>
      <c r="BY200" s="238">
        <f>IF(AJ200&lt;9,"",SUM(BX200-BW200))</f>
        <v>0</v>
      </c>
      <c r="BZ200" s="238">
        <f>IF(BY200=1,AK200,0)</f>
        <v>0</v>
      </c>
      <c r="CA200" s="243" t="str">
        <f>IF(BY200=0,AK200,0)</f>
        <v/>
      </c>
      <c r="CB200" s="238"/>
      <c r="CC200" s="238"/>
      <c r="CD200" s="242">
        <f>IF(W200,V200,0)</f>
        <v>0</v>
      </c>
      <c r="CE200" s="238">
        <f>IF(CD200&gt;0,AX200/3,0)</f>
        <v>0</v>
      </c>
      <c r="CF200" s="238">
        <f>ROUNDUP(CE200,0)</f>
        <v>0</v>
      </c>
      <c r="CG200" s="244">
        <f>IF(MOD(CF200,2)=0,CF200,CF200+1)</f>
        <v>0</v>
      </c>
      <c r="CH200" s="238">
        <f>IF(AX200&lt;9,"",SUM(CG200-CF200))</f>
        <v>0</v>
      </c>
      <c r="CI200" s="238">
        <f>IF(CH200=1,AY200,0)</f>
        <v>0</v>
      </c>
      <c r="CJ200" s="243" t="str">
        <f>IF(CH200=0,AY200,0)</f>
        <v/>
      </c>
      <c r="CK200" s="238"/>
      <c r="CL200" s="245">
        <f>IF(COUNT(F200,H200)=1,0,1)</f>
        <v>1</v>
      </c>
      <c r="CM200" s="245">
        <f>IF(COUNT(F200,U200)=1,0,1)</f>
        <v>1</v>
      </c>
      <c r="CN200" s="245">
        <f>IF(COUNT(H200,W200)=1,0,1)</f>
        <v>1</v>
      </c>
      <c r="CO200" s="245">
        <f>IF(COUNT(G200,V200)=2,0,1)</f>
        <v>1</v>
      </c>
      <c r="CP200" s="245">
        <f>IF(COUNT(U200,W200)=1,0,1)</f>
        <v>1</v>
      </c>
      <c r="CQ200" s="245">
        <f>IF(SUM(G200-V200)&gt;3,1,0)</f>
        <v>0</v>
      </c>
      <c r="CR200" s="245">
        <f>IF(SUM(G200-V200)&lt;-3,1,0)</f>
        <v>0</v>
      </c>
      <c r="CS200" s="264">
        <f>IF(AJ200=9,IF(AH200&lt;141,1,0),IF(AH200="",0,IF(AH200&gt;1,0,1)))</f>
        <v>0</v>
      </c>
      <c r="CT200" s="264">
        <f>IF(AX200=9,IF(AV200&lt;141,1,0),IF(AV200="",0,IF(AV200&gt;1,0,1)))</f>
        <v>0</v>
      </c>
      <c r="CU200" s="264">
        <f>IF(AI200="",0,IF(AI200&lt;502,0,1))</f>
        <v>0</v>
      </c>
      <c r="CV200" s="264">
        <f>IF(AW200="",0,IF(AW200&lt;502,0,1))</f>
        <v>0</v>
      </c>
      <c r="CW200" s="264">
        <f>IF(AI200="",IF(AJ200&lt;9,1,0),IF(AJ200&lt;9,1,0))</f>
        <v>0</v>
      </c>
      <c r="CX200" s="264">
        <f>IF(AW200="",IF(AX200&lt;9,1,0),IF(AX200&lt;9,1,0))</f>
        <v>0</v>
      </c>
      <c r="CY200" s="374">
        <f>COUNT(U198,U199,U200)</f>
        <v>0</v>
      </c>
      <c r="CZ200" s="375">
        <f>IF(AL195=3,IF(CY200&gt;2,1,0),0)</f>
        <v>0</v>
      </c>
      <c r="DA200" s="374"/>
      <c r="DB200" s="374"/>
      <c r="DC200" s="265">
        <f>IF(AJ200="",0,SUM(CL200:CX200))</f>
        <v>0</v>
      </c>
      <c r="DD200" s="265">
        <f>IF(AJ200="",0,SUM(CL200,CS200,CU200,CW200))</f>
        <v>0</v>
      </c>
      <c r="DE200" s="265">
        <f>IF(AJ200="",0,SUM(CP200,CT200,CV200,CX200))</f>
        <v>0</v>
      </c>
      <c r="DF200" s="238"/>
      <c r="DG200" s="248">
        <f>SUM(G200-V200)</f>
        <v>0</v>
      </c>
      <c r="DH200" s="245">
        <f>IF(F200="",0,1)</f>
        <v>0</v>
      </c>
      <c r="DI200" s="245">
        <f t="shared" si="476"/>
        <v>0</v>
      </c>
      <c r="DJ200" s="245">
        <f t="shared" si="477"/>
        <v>0</v>
      </c>
      <c r="DK200" s="245" t="str">
        <f>IF(G200="","",IF(DJ200=1,"*",""))</f>
        <v/>
      </c>
      <c r="DL200" s="245" t="str">
        <f>IF(G200="","",IF(DJ200=-1,"*",IF(DJ200=0,"*","")))</f>
        <v/>
      </c>
      <c r="DM200" s="245">
        <v>3</v>
      </c>
      <c r="DN200" s="245" t="str">
        <f t="shared" si="478"/>
        <v>3</v>
      </c>
      <c r="DO200" s="245" t="str">
        <f t="shared" si="479"/>
        <v>3</v>
      </c>
      <c r="DP200" s="245">
        <f>SUM(DP198)</f>
        <v>0</v>
      </c>
      <c r="DQ200" s="245">
        <f>SUM(DQ198)</f>
        <v>0</v>
      </c>
      <c r="DR200" s="245">
        <f t="shared" ref="DR200:DR202" si="486">IF(DK200="*",1,0)</f>
        <v>0</v>
      </c>
      <c r="DS200" s="245">
        <f t="shared" ref="DS200:DS202" si="487">IF(DL200="*",1,0)</f>
        <v>0</v>
      </c>
      <c r="DT200" s="245">
        <f t="shared" ref="DT200:DT202" si="488">IF(H190="",0,IF(DP200=DR200,1,0))</f>
        <v>0</v>
      </c>
      <c r="DU200" s="245">
        <f>IF(V200="",0,IF(DQ200=DS200,0,1))</f>
        <v>0</v>
      </c>
      <c r="DV200" s="267">
        <f t="shared" ref="DV200:DV202" si="489">SUM(DT200)</f>
        <v>0</v>
      </c>
      <c r="DW200" s="267">
        <f>IF(V200="",0,SUM(DU200))</f>
        <v>0</v>
      </c>
      <c r="DX200" s="238">
        <f>IF(AK200="",0,1)</f>
        <v>0</v>
      </c>
      <c r="DY200" s="238">
        <f>IF(DG200=-3,1,0)</f>
        <v>0</v>
      </c>
      <c r="DZ200" s="238">
        <f>SUM(DX200:DY200)</f>
        <v>0</v>
      </c>
      <c r="EA200" s="238">
        <f>IF(AK200="",1,0)</f>
        <v>1</v>
      </c>
      <c r="EB200" s="238">
        <f>IF(DG200=3,1,0)</f>
        <v>0</v>
      </c>
      <c r="EC200" s="238">
        <f>SUM(EA200:EB200)</f>
        <v>1</v>
      </c>
      <c r="ED200" s="267">
        <f>IF(EC200=2,1,0)</f>
        <v>0</v>
      </c>
      <c r="EE200" s="267">
        <f>IF(DZ200=2,1,0)</f>
        <v>0</v>
      </c>
      <c r="EG200" s="166"/>
      <c r="EH200" s="238"/>
      <c r="EI200" s="238"/>
      <c r="EJ200" s="238"/>
      <c r="EK200" s="238"/>
      <c r="EL200" s="238"/>
      <c r="EM200" s="245">
        <f>IF(AK200="",0,1)</f>
        <v>0</v>
      </c>
      <c r="EN200" s="245">
        <f>SUM(AK200)</f>
        <v>0</v>
      </c>
      <c r="EO200" s="268">
        <f>SUM(AJ200)</f>
        <v>0</v>
      </c>
      <c r="EP200" s="268">
        <f>SUM(G200/3)</f>
        <v>0</v>
      </c>
      <c r="EQ200" s="268" t="e">
        <f>SUM(EO200/EP200)</f>
        <v>#DIV/0!</v>
      </c>
      <c r="ER200" s="268">
        <f>ROUNDDOWN(EP200,0)</f>
        <v>0</v>
      </c>
      <c r="ES200" s="268">
        <f>SUM(EO200,-ER200*3)</f>
        <v>0</v>
      </c>
      <c r="ET200" s="269" t="b">
        <f>MOD(EN200/1,2)=0</f>
        <v>1</v>
      </c>
      <c r="EU200" s="245">
        <f>IF(ET200=FALSE,1,0)</f>
        <v>0</v>
      </c>
      <c r="EV200" s="245">
        <f>IF(EN200=50,0,IF(EN200&lt;40,1,0))</f>
        <v>1</v>
      </c>
      <c r="EW200" s="245">
        <f>SUM(EU200:EV200)</f>
        <v>1</v>
      </c>
      <c r="EX200" s="267">
        <f>IF(EN200=1,1,IF(EN200=50,0,IF(ES200=1,IF(EN200&gt;40,1,0),0)))</f>
        <v>0</v>
      </c>
      <c r="EY200" s="267">
        <f>IF(ES200=1,IF(EW200=2,1,0),0)+EX200+FB200+FE200</f>
        <v>0</v>
      </c>
      <c r="EZ200" s="245">
        <f>IF(EN200=109,1,IF(EN200=108,1,IF(EN200=106,1,IF(EN200=105,1,IF(EN200=103,1,IF(EN200=102,1,IF(EN200=99,1,0)))))))</f>
        <v>0</v>
      </c>
      <c r="FA200" s="245">
        <f>IF(EN200&gt;110,1,0)</f>
        <v>0</v>
      </c>
      <c r="FB200" s="267">
        <f>IF(ES200=2,SUM(EZ200:FA200),0)</f>
        <v>0</v>
      </c>
      <c r="FC200" s="245">
        <f>IF(EN200=159,1,IF(EN200=162,1,IF(EN200=163,1,IF(EN200=165,1,IF(EN200=166,1,IF(EN200=168,1,IF(EN200=169,1,0)))))))</f>
        <v>0</v>
      </c>
      <c r="FD200" s="245">
        <f>IF(EN200&gt;170,1,0)</f>
        <v>0</v>
      </c>
      <c r="FE200" s="267">
        <f>IF(ES200=0,SUM(FC200:FD200),0)</f>
        <v>0</v>
      </c>
      <c r="FF200" s="251">
        <f t="shared" si="480"/>
        <v>0</v>
      </c>
      <c r="FG200" s="238"/>
      <c r="FH200" s="245">
        <f>IF(AY200="",0,1)</f>
        <v>0</v>
      </c>
      <c r="FI200" s="245">
        <f>SUM(AY200)</f>
        <v>0</v>
      </c>
      <c r="FJ200" s="268">
        <f>SUM(AX200)</f>
        <v>0</v>
      </c>
      <c r="FK200" s="268">
        <f>SUM(V200/3)</f>
        <v>0</v>
      </c>
      <c r="FL200" s="268" t="e">
        <f>SUM(FJ200/FK200)</f>
        <v>#DIV/0!</v>
      </c>
      <c r="FM200" s="268">
        <f>ROUNDDOWN(FK200,0)</f>
        <v>0</v>
      </c>
      <c r="FN200" s="268">
        <f>SUM(FJ200,-FM200*3)</f>
        <v>0</v>
      </c>
      <c r="FO200" s="269" t="b">
        <f>MOD(FI200/1,2)=0</f>
        <v>1</v>
      </c>
      <c r="FP200" s="245">
        <f>IF(FO200=FALSE,1,0)</f>
        <v>0</v>
      </c>
      <c r="FQ200" s="245">
        <f>IF(FI200=50,0,IF(FI200&lt;40,1,0))</f>
        <v>1</v>
      </c>
      <c r="FR200" s="245">
        <f>SUM(FP200:FQ200)</f>
        <v>1</v>
      </c>
      <c r="FS200" s="267">
        <f>IF(FI200=1,1,IF(FI200=50,0,IF(FN200=1,IF(FI200&gt;40,1,0),0)))</f>
        <v>0</v>
      </c>
      <c r="FT200" s="267">
        <f>IF(FN200=1,IF(FR200=2,1,0),0)+FS200+FW200+FZ200</f>
        <v>0</v>
      </c>
      <c r="FU200" s="245">
        <f>IF(FI200=109,1,IF(FI200=108,1,IF(FI200=106,1,IF(FI200=105,1,IF(FI200=103,1,IF(FI200=102,1,IF(FI200=99,1,0)))))))</f>
        <v>0</v>
      </c>
      <c r="FV200" s="245">
        <f>IF(FI200&gt;110,1,0)</f>
        <v>0</v>
      </c>
      <c r="FW200" s="267">
        <f>IF(FN200=2,SUM(FU200:FV200),0)</f>
        <v>0</v>
      </c>
      <c r="FX200" s="245">
        <f>IF(FI200=159,1,IF(FI200=162,1,IF(FI200=163,1,IF(FI200=165,1,IF(FI200=166,1,IF(FI200=168,1,IF(FI200=169,1,0)))))))</f>
        <v>0</v>
      </c>
      <c r="FY200" s="245">
        <f>IF(FI200&gt;170,1,0)</f>
        <v>0</v>
      </c>
      <c r="FZ200" s="267">
        <f>IF(FN200=0,SUM(FX200:FY200),0)</f>
        <v>0</v>
      </c>
      <c r="GA200" s="251">
        <f t="shared" si="481"/>
        <v>0</v>
      </c>
      <c r="GC200" s="238" t="str">
        <f>VLOOKUP(AH195,Chema!BL:BR,3,FALSE)</f>
        <v/>
      </c>
      <c r="GD200" s="341"/>
      <c r="GE200" s="343" t="str">
        <f>IF(C206="","",SUM(C206))</f>
        <v/>
      </c>
      <c r="GF200" s="346"/>
      <c r="GG200" s="340"/>
      <c r="GH200" s="343">
        <f>IF(GH199&gt;0,1,0)</f>
        <v>0</v>
      </c>
      <c r="GI200" s="346"/>
      <c r="GJ200" s="343"/>
      <c r="GK200" s="340"/>
      <c r="GL200" s="343">
        <f>IF(GL199&gt;0,1,0)</f>
        <v>0</v>
      </c>
      <c r="GM200" s="343"/>
      <c r="GN200" s="343"/>
      <c r="GO200" s="340"/>
      <c r="GP200" s="343">
        <f>IF(GP199&gt;0,1,0)</f>
        <v>0</v>
      </c>
      <c r="GQ200" s="343"/>
      <c r="GR200" s="343"/>
      <c r="GS200" s="340"/>
      <c r="GT200" s="343">
        <f>IF(GT199&gt;0,1,0)</f>
        <v>0</v>
      </c>
      <c r="GU200" s="343"/>
      <c r="GV200" s="343"/>
      <c r="GW200" s="340"/>
      <c r="GX200" s="343">
        <f>IF(GX199&gt;0,1,0)</f>
        <v>0</v>
      </c>
      <c r="GY200" s="343"/>
      <c r="GZ200" s="343"/>
      <c r="HA200" s="343"/>
      <c r="HB200" s="343" t="str">
        <f>IF(GD198=1,L206,"")</f>
        <v/>
      </c>
      <c r="HC200" s="343" t="str">
        <f>IF(GD198=1,I206,"")</f>
        <v/>
      </c>
      <c r="HD200" s="345"/>
      <c r="HE200" s="340"/>
      <c r="HF200" s="340"/>
      <c r="HG200" s="347">
        <f>IF(GE199="",0,IF(AL195=3,2,IF(AL195=5,3,0)))</f>
        <v>0</v>
      </c>
      <c r="HH200" s="347">
        <f>IF(HK200=0,0,IF(HG202=0,0,1))</f>
        <v>0</v>
      </c>
      <c r="HI200" s="340"/>
      <c r="HJ200" s="340"/>
      <c r="HK200" s="340">
        <f>SUM(HM198,HM202)</f>
        <v>0</v>
      </c>
      <c r="HL200" s="340">
        <f>IF(HK200=0,0,IF(HM198=HG200,1,0))</f>
        <v>0</v>
      </c>
      <c r="HM200" s="340">
        <f>IF(HK200=0,0,IF(HM202=HG200,1,0))</f>
        <v>0</v>
      </c>
      <c r="HN200" s="341" t="str">
        <f>REPT(N195,1)</f>
        <v>Spiel 14</v>
      </c>
      <c r="HO200" s="348" t="str">
        <f>IF(HK200=0,"",IF(HH200=0,SUM(HH199),""))</f>
        <v/>
      </c>
      <c r="HP200" s="348" t="str">
        <f>IF(HK200=0,"",IF(HH200=0,SUM(HH201),""))</f>
        <v/>
      </c>
      <c r="HQ200" s="348" t="e">
        <f>IF(HH200=0,SUM(GZ199/HA199),"")</f>
        <v>#DIV/0!</v>
      </c>
      <c r="HR200" s="348" t="e">
        <f>IF(HH200=0,SUM(GZ201/HA201),"")</f>
        <v>#DIV/0!</v>
      </c>
      <c r="HS200" s="238" t="str">
        <f>REPT(DK198,1)</f>
        <v/>
      </c>
      <c r="HT200" s="238" t="str">
        <f>REPT(DL198,1)</f>
        <v/>
      </c>
      <c r="HU200" s="238">
        <f>IF(HH200=0,HL200,"")</f>
        <v>0</v>
      </c>
      <c r="HV200" s="238">
        <f>IF(HH200=0,HM200,"")</f>
        <v>0</v>
      </c>
      <c r="HW200" s="238" t="s">
        <v>1131</v>
      </c>
      <c r="HY200" s="238"/>
      <c r="HZ200" s="238" t="e">
        <f>IF(AL195=5,IF(HU200=1,SUM(HO200*2-HP200),HO200+HP200-2),"")</f>
        <v>#VALUE!</v>
      </c>
      <c r="IA200" s="238" t="str">
        <f>IF(AL195=3,IF(HU200=1,SUM(HO200-HP200+3),HO200+HP200-1),"")</f>
        <v/>
      </c>
      <c r="IB200" s="238" t="e">
        <f>IF(AL195=5,IF(HV200=1,SUM(HP200*2-HO200),HO200+HP200-2),"")</f>
        <v>#VALUE!</v>
      </c>
      <c r="IC200" s="238" t="str">
        <f>IF(AL195=3,IF(HV200=1,SUM(HP200-HO200+3),HO200+HP200-1),"")</f>
        <v/>
      </c>
      <c r="ID200" s="238">
        <f>SUM(BM204)</f>
        <v>0</v>
      </c>
    </row>
    <row r="201" spans="1:238" s="234" customFormat="1" ht="20.100000000000001" customHeight="1">
      <c r="A201" s="235"/>
      <c r="B201" s="231">
        <f>COUNT(AJ202,AJ201)</f>
        <v>0</v>
      </c>
      <c r="C201" s="235"/>
      <c r="D201" s="328" t="str">
        <f>REPT(DN201,1)</f>
        <v>4</v>
      </c>
      <c r="E201" s="329" t="str">
        <f>REPT(AH201,1)</f>
        <v/>
      </c>
      <c r="F201" s="330"/>
      <c r="G201" s="330"/>
      <c r="H201" s="330"/>
      <c r="I201" s="331"/>
      <c r="J201" s="270" t="str">
        <f t="shared" si="485"/>
        <v/>
      </c>
      <c r="M201" s="311"/>
      <c r="N201" s="270" t="str">
        <f>REPT(AP201,1)</f>
        <v/>
      </c>
      <c r="Q201" s="310"/>
      <c r="R201" s="235"/>
      <c r="S201" s="328" t="str">
        <f>REPT(DO201,1)</f>
        <v>4</v>
      </c>
      <c r="T201" s="329" t="str">
        <f>REPT(AV201,1)</f>
        <v/>
      </c>
      <c r="U201" s="330"/>
      <c r="V201" s="330"/>
      <c r="W201" s="330"/>
      <c r="X201" s="331"/>
      <c r="Y201" s="270" t="str">
        <f t="shared" si="468"/>
        <v/>
      </c>
      <c r="Z201" s="308"/>
      <c r="AA201" s="238">
        <f>SUM(AL195)</f>
        <v>5</v>
      </c>
      <c r="AB201" s="234">
        <f>IF(AY201="",0,IF(AY201&lt;2,1,""))</f>
        <v>0</v>
      </c>
      <c r="AC201" s="238">
        <f>IF(AL195=3,0,IF(AD201=1,1,IF(AD201=3,1,IF(AD201=2,0,IF(AD201=0,0,0)))))</f>
        <v>0</v>
      </c>
      <c r="AD201" s="256">
        <f t="shared" si="470"/>
        <v>0</v>
      </c>
      <c r="AE201" s="256">
        <f t="shared" si="464"/>
        <v>0</v>
      </c>
      <c r="AF201" s="256">
        <f t="shared" si="465"/>
        <v>0</v>
      </c>
      <c r="AG201" s="256">
        <f t="shared" si="471"/>
        <v>0</v>
      </c>
      <c r="AH201" s="257" t="str">
        <f>IF(AL195=3,"",IF(AK201="",IF(AI201="","",IF(AI201="",501,501-AI201)),501))</f>
        <v/>
      </c>
      <c r="AI201" s="256" t="str">
        <f>IF(AL195=3,"",IF(F201&gt;1,F201,IF(F201=0,"",IF(F201="","",""))))</f>
        <v/>
      </c>
      <c r="AJ201" s="256" t="str">
        <f>IF(AL195=3,"",IF(G201&gt;8,G201,IF(G201="","","")))</f>
        <v/>
      </c>
      <c r="AK201" s="256" t="str">
        <f>IF(AL195=3,"",IF(H201&gt;1,H201,IF(H201="","","")))</f>
        <v/>
      </c>
      <c r="AL201" s="256" t="str">
        <f>IF(AL195=3,"",IF(I201&gt;0,I201,IF(I201="","","")))</f>
        <v/>
      </c>
      <c r="AM201" s="258" t="str">
        <f>IF(BK201=0,"","X")</f>
        <v/>
      </c>
      <c r="AN201" s="237"/>
      <c r="AO201" s="237"/>
      <c r="AP201" s="258" t="str">
        <f>IF(BM201=0,"","X")</f>
        <v/>
      </c>
      <c r="AQ201" s="236">
        <f>IF(AL195=3,0,IF(AR201=1,1,IF(AR201=3,1,IF(AR201=2,0,IF(AR201=0,0,0)))))</f>
        <v>0</v>
      </c>
      <c r="AR201" s="256">
        <f t="shared" si="473"/>
        <v>0</v>
      </c>
      <c r="AS201" s="256">
        <f t="shared" si="466"/>
        <v>0</v>
      </c>
      <c r="AT201" s="256">
        <f t="shared" si="467"/>
        <v>0</v>
      </c>
      <c r="AU201" s="256">
        <f t="shared" si="474"/>
        <v>0</v>
      </c>
      <c r="AV201" s="257" t="str">
        <f>IF(AY201="",IF(AW201="","",IF(AW201="",501,501-AW201)),501)</f>
        <v/>
      </c>
      <c r="AW201" s="256" t="str">
        <f>IF(AL195=3,"",IF(U201&gt;1,U201,IF(U201=0,"",IF(U201="","",""))))</f>
        <v/>
      </c>
      <c r="AX201" s="256" t="str">
        <f>IF(AL195=3,"",IF(V201&gt;8,V201,IF(V201="","","")))</f>
        <v/>
      </c>
      <c r="AY201" s="256" t="str">
        <f>IF(AL195=3,"",IF(W201&gt;1,W201,IF(W201="","","")))</f>
        <v/>
      </c>
      <c r="AZ201" s="256" t="str">
        <f>IF(AL195=3,"",IF(X201&gt;0,X201,IF(X201="","","")))</f>
        <v/>
      </c>
      <c r="BA201" s="258" t="str">
        <f>IF(BL201=0,"","X")</f>
        <v/>
      </c>
      <c r="BK201" s="251">
        <f>IF(AL195=3,0,SUM(DD201,DV201,EY201,ED201,FF201,BQ201,BS201,AC201))</f>
        <v>0</v>
      </c>
      <c r="BL201" s="251">
        <f>IF(AL195=3,0,SUM(DE201,DW201,EE201,FT201,GA201,BR201,BT201,AQ201))</f>
        <v>0</v>
      </c>
      <c r="BM201" s="259">
        <f>IF(AL195=3,0,SUM(DC201,BK201:BL201,AC201,AQ201))</f>
        <v>0</v>
      </c>
      <c r="BN201" s="239">
        <f>COUNT(AK201)</f>
        <v>0</v>
      </c>
      <c r="BO201" s="239">
        <f>COUNT(AY201)</f>
        <v>0</v>
      </c>
      <c r="BP201" s="239">
        <f>IF(BZ203=0,0,1)</f>
        <v>0</v>
      </c>
      <c r="BQ201" s="260">
        <f>IF(AL201="",0,IF(AL201&gt;2,1,0))</f>
        <v>0</v>
      </c>
      <c r="BR201" s="261">
        <f>IF(AZ201="",0,IF(AZ201&gt;2,1,0))</f>
        <v>0</v>
      </c>
      <c r="BS201" s="262">
        <f>IF(AJ201=9,IF(AK201&lt;141,1,0),0)</f>
        <v>0</v>
      </c>
      <c r="BT201" s="263">
        <f>IF(AX201=9,IF(AY201&lt;141,1,0),0)</f>
        <v>0</v>
      </c>
      <c r="BU201" s="242">
        <f>IF(AL195=3,0,IF(H201,G201,0))</f>
        <v>0</v>
      </c>
      <c r="BV201" s="238">
        <f>IF(BU201&gt;0,AJ201/3,0)</f>
        <v>0</v>
      </c>
      <c r="BW201" s="238">
        <f>ROUNDUP(BV201,0)</f>
        <v>0</v>
      </c>
      <c r="BX201" s="244">
        <f>IF(MOD(BW201,2)=0,BW201,BW201+1)</f>
        <v>0</v>
      </c>
      <c r="BY201" s="238">
        <f>IF(AJ201&lt;9,"",SUM(BX201-BW201))</f>
        <v>0</v>
      </c>
      <c r="BZ201" s="238">
        <f>IF(BY201=1,AK201,0)</f>
        <v>0</v>
      </c>
      <c r="CA201" s="243" t="str">
        <f>IF(BY201=0,AK201,0)</f>
        <v/>
      </c>
      <c r="CB201" s="238"/>
      <c r="CC201" s="238"/>
      <c r="CD201" s="242">
        <f>IF(AL195=3,0,IF(W201,V201,0))</f>
        <v>0</v>
      </c>
      <c r="CE201" s="238">
        <f>IF(CD201&gt;0,AX201/3,0)</f>
        <v>0</v>
      </c>
      <c r="CF201" s="238">
        <f>ROUNDUP(CE201,0)</f>
        <v>0</v>
      </c>
      <c r="CG201" s="244">
        <f>IF(MOD(CF201,2)=0,CF201,CF201+1)</f>
        <v>0</v>
      </c>
      <c r="CH201" s="238">
        <f>IF(AX201&lt;9,"",SUM(CG201-CF201))</f>
        <v>0</v>
      </c>
      <c r="CI201" s="238">
        <f>IF(CH201=1,AY201,0)</f>
        <v>0</v>
      </c>
      <c r="CJ201" s="243" t="str">
        <f>IF(CH201=0,AY201,0)</f>
        <v/>
      </c>
      <c r="CK201" s="238"/>
      <c r="CL201" s="245">
        <f>IF(COUNT(F201,H201)=1,0,1)</f>
        <v>1</v>
      </c>
      <c r="CM201" s="245">
        <f>IF(COUNT(F201,U201)=1,0,1)</f>
        <v>1</v>
      </c>
      <c r="CN201" s="245">
        <f>IF(COUNT(H201,W201)=1,0,1)</f>
        <v>1</v>
      </c>
      <c r="CO201" s="245">
        <f>IF(COUNT(G201,V201)=2,0,1)</f>
        <v>1</v>
      </c>
      <c r="CP201" s="245">
        <f>IF(COUNT(U201,W201)=1,0,1)</f>
        <v>1</v>
      </c>
      <c r="CQ201" s="245">
        <f>IF(SUM(G201-V201)&gt;3,1,0)</f>
        <v>0</v>
      </c>
      <c r="CR201" s="245">
        <f>IF(SUM(G201-V201)&lt;-3,1,0)</f>
        <v>0</v>
      </c>
      <c r="CS201" s="264">
        <f>IF(AJ201=9,IF(AH201&lt;141,1,0),IF(AH201="",0,IF(AH201&gt;1,0,1)))</f>
        <v>0</v>
      </c>
      <c r="CT201" s="264">
        <f>IF(AX201=9,IF(AV201&lt;141,1,0),IF(AV201="",0,IF(AV201&gt;1,0,1)))</f>
        <v>0</v>
      </c>
      <c r="CU201" s="264">
        <f>IF(AI201="",0,IF(AI201&lt;502,0,1))</f>
        <v>0</v>
      </c>
      <c r="CV201" s="264">
        <f>IF(AW201="",0,IF(AW201&lt;502,0,1))</f>
        <v>0</v>
      </c>
      <c r="CW201" s="264">
        <f>IF(AI201="",IF(AJ201&lt;9,1,0),IF(AJ201&lt;9,1,0))</f>
        <v>0</v>
      </c>
      <c r="CX201" s="264">
        <f>IF(AW201="",IF(AX201&lt;9,1,0),IF(AX201&lt;9,1,0))</f>
        <v>0</v>
      </c>
      <c r="CY201" s="374"/>
      <c r="CZ201" s="374"/>
      <c r="DA201" s="374"/>
      <c r="DB201" s="374"/>
      <c r="DC201" s="265">
        <f>IF(AJ201="",0,SUM(CL201:CX201))</f>
        <v>0</v>
      </c>
      <c r="DD201" s="265">
        <f>IF(AJ201="",0,SUM(CL201,CS201,CU201,CW201))</f>
        <v>0</v>
      </c>
      <c r="DE201" s="265">
        <f>IF(AJ201="",0,SUM(CP201,CT201,CV201,CX201))</f>
        <v>0</v>
      </c>
      <c r="DF201" s="238"/>
      <c r="DG201" s="248">
        <f>IF(AL195=3,0,SUM(G201-V201))</f>
        <v>0</v>
      </c>
      <c r="DH201" s="245">
        <f>IF(F201="",0,1)</f>
        <v>0</v>
      </c>
      <c r="DI201" s="245">
        <f t="shared" si="476"/>
        <v>0</v>
      </c>
      <c r="DJ201" s="245">
        <f t="shared" si="477"/>
        <v>0</v>
      </c>
      <c r="DK201" s="245" t="str">
        <f>IF(G201="","",IF(DJ201=1,"*",""))</f>
        <v/>
      </c>
      <c r="DL201" s="245" t="str">
        <f>IF(AL195=3,"",IF(G201="","",IF(DJ201=-1,"*",IF(DJ201=0,"*",""))))</f>
        <v/>
      </c>
      <c r="DM201" s="245">
        <v>4</v>
      </c>
      <c r="DN201" s="245" t="str">
        <f t="shared" si="478"/>
        <v>4</v>
      </c>
      <c r="DO201" s="245" t="str">
        <f t="shared" si="479"/>
        <v>4</v>
      </c>
      <c r="DP201" s="245">
        <f>SUM(DQ198)</f>
        <v>0</v>
      </c>
      <c r="DQ201" s="245">
        <f>SUM(DP198)</f>
        <v>0</v>
      </c>
      <c r="DR201" s="245">
        <f t="shared" si="486"/>
        <v>0</v>
      </c>
      <c r="DS201" s="245">
        <f t="shared" si="487"/>
        <v>0</v>
      </c>
      <c r="DT201" s="245">
        <f t="shared" si="488"/>
        <v>0</v>
      </c>
      <c r="DU201" s="245">
        <f>IF(V201="",0,IF(DQ201=DS201,0,1))</f>
        <v>0</v>
      </c>
      <c r="DV201" s="267">
        <f t="shared" si="489"/>
        <v>0</v>
      </c>
      <c r="DW201" s="267">
        <f>IF(V201="",0,SUM(DU201))</f>
        <v>0</v>
      </c>
      <c r="DX201" s="238">
        <f>IF(AK201="",0,1)</f>
        <v>0</v>
      </c>
      <c r="DY201" s="238">
        <f>IF(DG201=-3,1,0)</f>
        <v>0</v>
      </c>
      <c r="DZ201" s="238">
        <f>SUM(DX201:DY201)</f>
        <v>0</v>
      </c>
      <c r="EA201" s="238">
        <f>IF(AK201="",1,0)</f>
        <v>1</v>
      </c>
      <c r="EB201" s="238">
        <f>IF(DG201=3,1,0)</f>
        <v>0</v>
      </c>
      <c r="EC201" s="238">
        <f>SUM(EA201:EB201)</f>
        <v>1</v>
      </c>
      <c r="ED201" s="267">
        <f>IF(EC201=2,1,0)</f>
        <v>0</v>
      </c>
      <c r="EE201" s="267">
        <f>IF(DZ201=2,1,0)</f>
        <v>0</v>
      </c>
      <c r="EG201" s="166"/>
      <c r="EH201" s="238"/>
      <c r="EI201" s="238"/>
      <c r="EJ201" s="238"/>
      <c r="EK201" s="238"/>
      <c r="EL201" s="238"/>
      <c r="EM201" s="245">
        <f>IF(AK201="",0,1)</f>
        <v>0</v>
      </c>
      <c r="EN201" s="245">
        <f>SUM(AK201)</f>
        <v>0</v>
      </c>
      <c r="EO201" s="268">
        <f>SUM(AJ201)</f>
        <v>0</v>
      </c>
      <c r="EP201" s="268">
        <f>SUM(G201/3)</f>
        <v>0</v>
      </c>
      <c r="EQ201" s="268" t="e">
        <f>SUM(EO201/EP201)</f>
        <v>#DIV/0!</v>
      </c>
      <c r="ER201" s="268">
        <f>ROUNDDOWN(EP201,0)</f>
        <v>0</v>
      </c>
      <c r="ES201" s="268">
        <f>SUM(EO201,-ER201*3)</f>
        <v>0</v>
      </c>
      <c r="ET201" s="269" t="b">
        <f>MOD(EN201/1,2)=0</f>
        <v>1</v>
      </c>
      <c r="EU201" s="245">
        <f>IF(ET201=FALSE,1,0)</f>
        <v>0</v>
      </c>
      <c r="EV201" s="245">
        <f>IF(EN201=50,0,IF(EN201&lt;40,1,0))</f>
        <v>1</v>
      </c>
      <c r="EW201" s="245">
        <f>SUM(EU201:EV201)</f>
        <v>1</v>
      </c>
      <c r="EX201" s="267">
        <f>IF(EN201=1,1,IF(EN201=50,0,IF(ES201=1,IF(EN201&gt;40,1,0),0)))</f>
        <v>0</v>
      </c>
      <c r="EY201" s="267">
        <f>IF(ES201=1,IF(EW201=2,1,0),0)+EX201+FB201+FE201</f>
        <v>0</v>
      </c>
      <c r="EZ201" s="245">
        <f>IF(EN201=109,1,IF(EN201=108,1,IF(EN201=106,1,IF(EN201=105,1,IF(EN201=103,1,IF(EN201=102,1,IF(EN201=99,1,0)))))))</f>
        <v>0</v>
      </c>
      <c r="FA201" s="245">
        <f>IF(EN201&gt;110,1,0)</f>
        <v>0</v>
      </c>
      <c r="FB201" s="267">
        <f>IF(ES201=2,SUM(EZ201:FA201),0)</f>
        <v>0</v>
      </c>
      <c r="FC201" s="245">
        <f>IF(EN201=159,1,IF(EN201=162,1,IF(EN201=163,1,IF(EN201=165,1,IF(EN201=166,1,IF(EN201=168,1,IF(EN201=169,1,0)))))))</f>
        <v>0</v>
      </c>
      <c r="FD201" s="245">
        <f>IF(EN201&gt;170,1,0)</f>
        <v>0</v>
      </c>
      <c r="FE201" s="267">
        <f>IF(ES201=0,SUM(FC201:FD201),0)</f>
        <v>0</v>
      </c>
      <c r="FF201" s="251">
        <f t="shared" si="480"/>
        <v>0</v>
      </c>
      <c r="FG201" s="238"/>
      <c r="FH201" s="245">
        <f>IF(AY201="",0,1)</f>
        <v>0</v>
      </c>
      <c r="FI201" s="245">
        <f>SUM(AY201)</f>
        <v>0</v>
      </c>
      <c r="FJ201" s="268">
        <f>SUM(AX201)</f>
        <v>0</v>
      </c>
      <c r="FK201" s="268">
        <f>SUM(V201/3)</f>
        <v>0</v>
      </c>
      <c r="FL201" s="268" t="e">
        <f>SUM(FJ201/FK201)</f>
        <v>#DIV/0!</v>
      </c>
      <c r="FM201" s="268">
        <f>ROUNDDOWN(FK201,0)</f>
        <v>0</v>
      </c>
      <c r="FN201" s="268">
        <f>SUM(FJ201,-FM201*3)</f>
        <v>0</v>
      </c>
      <c r="FO201" s="269" t="b">
        <f>MOD(FI201/1,2)=0</f>
        <v>1</v>
      </c>
      <c r="FP201" s="245">
        <f>IF(FO201=FALSE,1,0)</f>
        <v>0</v>
      </c>
      <c r="FQ201" s="245">
        <f>IF(FI201=50,0,IF(FI201&lt;40,1,0))</f>
        <v>1</v>
      </c>
      <c r="FR201" s="245">
        <f>SUM(FP201:FQ201)</f>
        <v>1</v>
      </c>
      <c r="FS201" s="267">
        <f>IF(FI201=1,1,IF(FI201=50,0,IF(FN201=1,IF(FI201&gt;40,1,0),0)))</f>
        <v>0</v>
      </c>
      <c r="FT201" s="267">
        <f>IF(FN201=1,IF(FR201=2,1,0),0)+FS201+FW201+FZ201</f>
        <v>0</v>
      </c>
      <c r="FU201" s="245">
        <f>IF(FI201=109,1,IF(FI201=108,1,IF(FI201=106,1,IF(FI201=105,1,IF(FI201=103,1,IF(FI201=102,1,IF(FI201=99,1,0)))))))</f>
        <v>0</v>
      </c>
      <c r="FV201" s="245">
        <f>IF(FI201&gt;110,1,0)</f>
        <v>0</v>
      </c>
      <c r="FW201" s="267">
        <f>IF(FN201=2,SUM(FU201:FV201),0)</f>
        <v>0</v>
      </c>
      <c r="FX201" s="245">
        <f>IF(FI201=159,1,IF(FI201=162,1,IF(FI201=163,1,IF(FI201=165,1,IF(FI201=166,1,IF(FI201=168,1,IF(FI201=169,1,0)))))))</f>
        <v>0</v>
      </c>
      <c r="FY201" s="245">
        <f>IF(FI201&gt;170,1,0)</f>
        <v>0</v>
      </c>
      <c r="FZ201" s="267">
        <f>IF(FN201=0,SUM(FX201:FY201),0)</f>
        <v>0</v>
      </c>
      <c r="GA201" s="251">
        <f t="shared" si="481"/>
        <v>0</v>
      </c>
      <c r="GC201" s="238" t="str">
        <f>VLOOKUP(AH195,Chema!BL:BR,4,FALSE)</f>
        <v>GS 2.2</v>
      </c>
      <c r="GD201" s="341">
        <f>IF(T205="FORFAIT",1,0)</f>
        <v>0</v>
      </c>
      <c r="GE201" s="343" t="str">
        <f>IF(R205="","",SUM(R205))</f>
        <v/>
      </c>
      <c r="GF201" s="344">
        <f>SUM(AV198)</f>
        <v>0</v>
      </c>
      <c r="GG201" s="344">
        <f>SUM(AX198)</f>
        <v>0</v>
      </c>
      <c r="GH201" s="344">
        <f t="shared" ref="GH201" si="490">SUM(AY198)</f>
        <v>0</v>
      </c>
      <c r="GI201" s="344">
        <f t="shared" ref="GI201" si="491">SUM(AZ198)</f>
        <v>0</v>
      </c>
      <c r="GJ201" s="344">
        <f>SUM(AV199)</f>
        <v>0</v>
      </c>
      <c r="GK201" s="344">
        <f>SUM(AX199)</f>
        <v>0</v>
      </c>
      <c r="GL201" s="344">
        <f>SUM(AY199)</f>
        <v>0</v>
      </c>
      <c r="GM201" s="344">
        <f>SUM(AZ199)</f>
        <v>0</v>
      </c>
      <c r="GN201" s="344">
        <f>SUM(AV200)</f>
        <v>0</v>
      </c>
      <c r="GO201" s="344">
        <f>SUM(AX200)</f>
        <v>0</v>
      </c>
      <c r="GP201" s="344">
        <f>SUM(AY200)</f>
        <v>0</v>
      </c>
      <c r="GQ201" s="344">
        <f>SUM(AZ200)</f>
        <v>0</v>
      </c>
      <c r="GR201" s="344">
        <f>SUM(AV201)</f>
        <v>0</v>
      </c>
      <c r="GS201" s="344">
        <f>SUM(AX201)</f>
        <v>0</v>
      </c>
      <c r="GT201" s="344">
        <f>SUM(AY201)</f>
        <v>0</v>
      </c>
      <c r="GU201" s="344">
        <f>SUM(AZ201)</f>
        <v>0</v>
      </c>
      <c r="GV201" s="344">
        <f>SUM(AV202)</f>
        <v>0</v>
      </c>
      <c r="GW201" s="344">
        <f>SUM(AX202)</f>
        <v>0</v>
      </c>
      <c r="GX201" s="344">
        <f>SUM(AY202)</f>
        <v>0</v>
      </c>
      <c r="GY201" s="344">
        <f>SUM(AZ202)</f>
        <v>0</v>
      </c>
      <c r="GZ201" s="344">
        <f>SUM(GF201,GJ201,GN201,GR201,GV201)</f>
        <v>0</v>
      </c>
      <c r="HA201" s="344">
        <f t="shared" ref="HA201" si="492">SUM(GG201,GK201,GO201,GS201,GW201)</f>
        <v>0</v>
      </c>
      <c r="HB201" s="344">
        <f>IF(GD198=1,P205,MAX(GH201,GL201,GP201,GT201,GX201))</f>
        <v>0</v>
      </c>
      <c r="HC201" s="344">
        <f>IF(GD198=1,X205,SUM(GI201,GM201,GQ201,GU201,GY201))</f>
        <v>0</v>
      </c>
      <c r="HD201" s="345">
        <f>IF(GD198=1,0,SUM(GF201,GJ201,GN201,GR201,GV201))</f>
        <v>0</v>
      </c>
      <c r="HE201" s="345">
        <f>IF(GD198=1,0,SUM(GG201,GK201,GO201,GS201,GW201))</f>
        <v>0</v>
      </c>
      <c r="HF201" s="341">
        <f>IF(GD198=1,0,MIN(HI201,HJ201,HK201,HL201,HM201))</f>
        <v>0</v>
      </c>
      <c r="HG201" s="341">
        <f>IF(HF201=0,0,COUNTIF(HI201:HM201,HF201))</f>
        <v>0</v>
      </c>
      <c r="HH201" s="341">
        <f>SUM(GH202,GL202,GP202,GT202,GX202)</f>
        <v>0</v>
      </c>
      <c r="HI201" s="343" t="str">
        <f>IF(GH202=1,GG201,"")</f>
        <v/>
      </c>
      <c r="HJ201" s="343" t="str">
        <f>IF(GL202=1,GK201,"")</f>
        <v/>
      </c>
      <c r="HK201" s="343" t="str">
        <f>IF(GP202=1,GO201,"")</f>
        <v/>
      </c>
      <c r="HL201" s="343" t="str">
        <f>IF(GT202=1,GS201,"")</f>
        <v/>
      </c>
      <c r="HM201" s="343" t="str">
        <f>IF(GX202=1,GW201,"")</f>
        <v/>
      </c>
      <c r="HN201" s="341"/>
      <c r="HO201" s="341"/>
      <c r="HP201" s="341"/>
      <c r="HQ201" s="341"/>
      <c r="HR201" s="341"/>
      <c r="HS201" s="238"/>
      <c r="HT201" s="238"/>
      <c r="HU201" s="238"/>
      <c r="HV201" s="238"/>
      <c r="HW201" s="238" t="str">
        <f>IFERROR(IF(GD198=0,SUM(IB200:IC200),""),"")</f>
        <v/>
      </c>
      <c r="HY201" s="238"/>
      <c r="ID201" s="238"/>
    </row>
    <row r="202" spans="1:238" s="234" customFormat="1" ht="20.100000000000001" customHeight="1">
      <c r="A202" s="235"/>
      <c r="B202" s="231">
        <f>COUNT(AJ203,AJ202)</f>
        <v>1</v>
      </c>
      <c r="C202" s="235"/>
      <c r="D202" s="271" t="str">
        <f>REPT(DN202,1)</f>
        <v>5</v>
      </c>
      <c r="E202" s="254" t="str">
        <f>REPT(AH202,1)</f>
        <v/>
      </c>
      <c r="F202" s="168"/>
      <c r="G202" s="168"/>
      <c r="H202" s="168"/>
      <c r="I202" s="169"/>
      <c r="J202" s="272" t="str">
        <f>REPT(AM202,1)</f>
        <v/>
      </c>
      <c r="L202" s="310"/>
      <c r="M202" s="310"/>
      <c r="N202" s="272" t="str">
        <f>REPT(AP202,1)</f>
        <v/>
      </c>
      <c r="O202" s="118"/>
      <c r="Q202" s="310"/>
      <c r="R202" s="235"/>
      <c r="S202" s="271" t="str">
        <f>REPT(DO202,1)</f>
        <v>5</v>
      </c>
      <c r="T202" s="254" t="str">
        <f>REPT(AV202,1)</f>
        <v/>
      </c>
      <c r="U202" s="168"/>
      <c r="V202" s="168"/>
      <c r="W202" s="168"/>
      <c r="X202" s="169"/>
      <c r="Y202" s="272" t="str">
        <f>REPT(BA202,1)</f>
        <v/>
      </c>
      <c r="Z202" s="308"/>
      <c r="AA202" s="238">
        <f>SUM(AL195)</f>
        <v>5</v>
      </c>
      <c r="AB202" s="234">
        <f>IF(AY202="",0,IF(AY202&lt;2,1,""))</f>
        <v>0</v>
      </c>
      <c r="AC202" s="238">
        <f>IF(AL195=3,0,IF(AD202=1,1,IF(AD202=3,1,IF(AD202=2,0,IF(AD202=0,0,0)))))</f>
        <v>0</v>
      </c>
      <c r="AD202" s="256">
        <f t="shared" si="470"/>
        <v>0</v>
      </c>
      <c r="AE202" s="256">
        <f t="shared" si="464"/>
        <v>0</v>
      </c>
      <c r="AF202" s="256">
        <f t="shared" si="465"/>
        <v>0</v>
      </c>
      <c r="AG202" s="256">
        <f t="shared" si="471"/>
        <v>0</v>
      </c>
      <c r="AH202" s="257" t="str">
        <f>IF(AL195=3,"",IF(AK202="",IF(AI202="","",IF(AI202="",501,501-AI202)),501))</f>
        <v/>
      </c>
      <c r="AI202" s="256" t="str">
        <f>IF(AL195=3,"",IF(F202&gt;1,F202,IF(F202=0,"",IF(F202="","",""))))</f>
        <v/>
      </c>
      <c r="AJ202" s="256" t="str">
        <f>IF(AL195=3,"",IF(G202&gt;8,G202,IF(G202="","","")))</f>
        <v/>
      </c>
      <c r="AK202" s="256" t="str">
        <f>IF(AL195=3,"",IF(H202&gt;1,H202,IF(H202="","","")))</f>
        <v/>
      </c>
      <c r="AL202" s="256" t="str">
        <f>IF(AL195=3,"",IF(I202&gt;0,I202,IF(I202="","","")))</f>
        <v/>
      </c>
      <c r="AM202" s="258" t="str">
        <f>IF(BK202=0,"","X")</f>
        <v/>
      </c>
      <c r="AN202" s="237"/>
      <c r="AO202" s="237"/>
      <c r="AP202" s="258" t="str">
        <f>IF(BM202=0,"","X")</f>
        <v/>
      </c>
      <c r="AQ202" s="236">
        <f>IF(AL195=3,0,IF(AR202=1,1,IF(AR202=3,1,IF(AR202=2,0,IF(AR202=0,0,0)))))</f>
        <v>0</v>
      </c>
      <c r="AR202" s="256">
        <f t="shared" si="473"/>
        <v>0</v>
      </c>
      <c r="AS202" s="256">
        <f t="shared" si="466"/>
        <v>0</v>
      </c>
      <c r="AT202" s="256">
        <f t="shared" si="467"/>
        <v>0</v>
      </c>
      <c r="AU202" s="256">
        <f t="shared" si="474"/>
        <v>0</v>
      </c>
      <c r="AV202" s="257" t="str">
        <f>IF(AY202="",IF(AW202="","",IF(AW202="",501,501-AW202)),501)</f>
        <v/>
      </c>
      <c r="AW202" s="256" t="str">
        <f>IF(AL195=3,"",IF(U202&gt;1,U202,IF(U202=0,"",IF(U202="","",""))))</f>
        <v/>
      </c>
      <c r="AX202" s="256" t="str">
        <f>IF(AL195=3,"",IF(V202&gt;8,V202,IF(V202="","","")))</f>
        <v/>
      </c>
      <c r="AY202" s="256" t="str">
        <f>IF(AL195=3,"",IF(W202&gt;1,W202,IF(W202="","","")))</f>
        <v/>
      </c>
      <c r="AZ202" s="256" t="str">
        <f>IF(AL195=3,"",IF(X202&gt;0,X202,IF(X202="","","")))</f>
        <v/>
      </c>
      <c r="BA202" s="258" t="str">
        <f>IF(BL202=0,"","X")</f>
        <v/>
      </c>
      <c r="BK202" s="251">
        <f>IF(AL195=3,0,SUM(DD202,DV202,EY202,ED202,FF202,BQ202,BS202,AC202))</f>
        <v>0</v>
      </c>
      <c r="BL202" s="251">
        <f>SUM(DE202,DW202,EE202,FT202,GA202,BR202,BT202,AQ202)</f>
        <v>0</v>
      </c>
      <c r="BM202" s="259">
        <f>IF(AL195=3,0,SUM(DC202,BK202:BL202,AC202,AQ202))</f>
        <v>0</v>
      </c>
      <c r="BN202" s="239">
        <f>COUNT(AK202)</f>
        <v>0</v>
      </c>
      <c r="BO202" s="239">
        <f>COUNT(AY202)</f>
        <v>0</v>
      </c>
      <c r="BP202" s="239">
        <f>IF(BN204=0,0,1)</f>
        <v>0</v>
      </c>
      <c r="BQ202" s="260">
        <f>IF(AL202="",0,IF(AL202&gt;2,1,0))</f>
        <v>0</v>
      </c>
      <c r="BR202" s="261">
        <f>IF(AZ202="",0,IF(AZ202&gt;2,1,0))</f>
        <v>0</v>
      </c>
      <c r="BS202" s="262">
        <f>IF(AJ202=9,IF(AK202&lt;141,1,0),0)</f>
        <v>0</v>
      </c>
      <c r="BT202" s="263">
        <f>IF(AX202=9,IF(AY202&lt;141,1,0),0)</f>
        <v>0</v>
      </c>
      <c r="BU202" s="242">
        <f>IF(AL195=3,0,IF(H202,G202,0))</f>
        <v>0</v>
      </c>
      <c r="BV202" s="238">
        <f>IF(BU202&gt;0,AJ202/3,0)</f>
        <v>0</v>
      </c>
      <c r="BW202" s="238">
        <f>ROUNDUP(BV202,0)</f>
        <v>0</v>
      </c>
      <c r="BX202" s="244">
        <f>IF(MOD(BW202,2)=0,BW202,BW202+1)</f>
        <v>0</v>
      </c>
      <c r="BY202" s="238">
        <f>IF(AJ202&lt;9,"",SUM(BX202-BW202))</f>
        <v>0</v>
      </c>
      <c r="BZ202" s="238">
        <f>IF(BY202=1,AK202,0)</f>
        <v>0</v>
      </c>
      <c r="CA202" s="243" t="str">
        <f>IF(BY202=0,AK202,0)</f>
        <v/>
      </c>
      <c r="CB202" s="238"/>
      <c r="CC202" s="238"/>
      <c r="CD202" s="242">
        <f>IF(AL195=3,0,IF(W202,V202,0))</f>
        <v>0</v>
      </c>
      <c r="CE202" s="238">
        <f>IF(CD202&gt;0,AX202/3,0)</f>
        <v>0</v>
      </c>
      <c r="CF202" s="238">
        <f>ROUNDUP(CE202,0)</f>
        <v>0</v>
      </c>
      <c r="CG202" s="244">
        <f>IF(MOD(CF202,2)=0,CF202,CF202+1)</f>
        <v>0</v>
      </c>
      <c r="CH202" s="238">
        <f>IF(AX202&lt;9,"",SUM(CG202-CF202))</f>
        <v>0</v>
      </c>
      <c r="CI202" s="238">
        <f>IF(CH202=1,AY202,0)</f>
        <v>0</v>
      </c>
      <c r="CJ202" s="243" t="str">
        <f>IF(CH202=0,AY202,0)</f>
        <v/>
      </c>
      <c r="CK202" s="238"/>
      <c r="CL202" s="245">
        <f>IF(COUNT(F202,H202)=1,0,1)</f>
        <v>1</v>
      </c>
      <c r="CM202" s="245">
        <f>IF(COUNT(F202,U202)=1,0,1)</f>
        <v>1</v>
      </c>
      <c r="CN202" s="245">
        <f>IF(COUNT(H202,W202)=1,0,1)</f>
        <v>1</v>
      </c>
      <c r="CO202" s="245">
        <f>IF(COUNT(G202,V202)=2,0,1)</f>
        <v>1</v>
      </c>
      <c r="CP202" s="245">
        <f>IF(COUNT(U202,W202)=1,0,1)</f>
        <v>1</v>
      </c>
      <c r="CQ202" s="245">
        <f>IF(SUM(G202-V202)&gt;3,1,0)</f>
        <v>0</v>
      </c>
      <c r="CR202" s="245">
        <f>IF(SUM(G202-V202)&lt;-3,1,0)</f>
        <v>0</v>
      </c>
      <c r="CS202" s="264">
        <f>IF(AJ202=9,IF(AH202&lt;141,1,0),IF(AH202="",0,IF(AH202&gt;1,0,1)))</f>
        <v>0</v>
      </c>
      <c r="CT202" s="264">
        <f>IF(AX202=9,IF(AV202&lt;141,1,0),IF(AV202="",0,IF(AV202&gt;1,0,1)))</f>
        <v>0</v>
      </c>
      <c r="CU202" s="264">
        <f>IF(AI202="",0,IF(AI202&lt;502,0,1))</f>
        <v>0</v>
      </c>
      <c r="CV202" s="264">
        <f>IF(AW202="",0,IF(AW202&lt;502,0,1))</f>
        <v>0</v>
      </c>
      <c r="CW202" s="264">
        <f>IF(AI202="",IF(AJ202&lt;9,1,0),IF(AJ202&lt;9,1,0))</f>
        <v>0</v>
      </c>
      <c r="CX202" s="264">
        <f>IF(AW202="",IF(AX202&lt;9,1,0),IF(AX202&lt;9,1,0))</f>
        <v>0</v>
      </c>
      <c r="CY202" s="374"/>
      <c r="CZ202" s="374"/>
      <c r="DA202" s="374"/>
      <c r="DB202" s="374"/>
      <c r="DC202" s="265">
        <f>IF(AJ202="",0,SUM(CL202:CX202))</f>
        <v>0</v>
      </c>
      <c r="DD202" s="265">
        <f>IF(AJ202="",0,SUM(CL202,CS202,CU202,CW202))</f>
        <v>0</v>
      </c>
      <c r="DE202" s="265">
        <f>IF(AJ202="",0,SUM(CP202,CT202,CV202,CX202))</f>
        <v>0</v>
      </c>
      <c r="DF202" s="238"/>
      <c r="DG202" s="248">
        <f>IF(AL195=3,0,SUM(G202-V202))</f>
        <v>0</v>
      </c>
      <c r="DH202" s="245">
        <f>IF(F202="",0,1)</f>
        <v>0</v>
      </c>
      <c r="DI202" s="245">
        <f t="shared" si="476"/>
        <v>0</v>
      </c>
      <c r="DJ202" s="245">
        <f t="shared" si="477"/>
        <v>0</v>
      </c>
      <c r="DK202" s="245" t="str">
        <f>IF(G202="","",IF(DJ202=1,"*",""))</f>
        <v/>
      </c>
      <c r="DL202" s="245" t="str">
        <f>IF(AL195=3,"",IF(G202="","",IF(DJ202=-1,"*",IF(DJ202=0,"*",""))))</f>
        <v/>
      </c>
      <c r="DM202" s="245">
        <v>5</v>
      </c>
      <c r="DN202" s="245" t="str">
        <f t="shared" si="478"/>
        <v>5</v>
      </c>
      <c r="DO202" s="245" t="str">
        <f t="shared" si="479"/>
        <v>5</v>
      </c>
      <c r="DP202" s="245">
        <f>SUM(DP198)</f>
        <v>0</v>
      </c>
      <c r="DQ202" s="245">
        <f>SUM(DQ198)</f>
        <v>0</v>
      </c>
      <c r="DR202" s="245">
        <f t="shared" si="486"/>
        <v>0</v>
      </c>
      <c r="DS202" s="245">
        <f t="shared" si="487"/>
        <v>0</v>
      </c>
      <c r="DT202" s="245">
        <f t="shared" si="488"/>
        <v>0</v>
      </c>
      <c r="DU202" s="245">
        <f>IF(V202="",0,IF(DQ202=DS202,0,1))</f>
        <v>0</v>
      </c>
      <c r="DV202" s="267">
        <f t="shared" si="489"/>
        <v>0</v>
      </c>
      <c r="DW202" s="267">
        <f>IF(V202="",0,SUM(DU202))</f>
        <v>0</v>
      </c>
      <c r="DX202" s="238">
        <f>IF(AK202="",0,1)</f>
        <v>0</v>
      </c>
      <c r="DY202" s="238">
        <f>IF(DG202=-3,1,0)</f>
        <v>0</v>
      </c>
      <c r="DZ202" s="238">
        <f>SUM(DX202:DY202)</f>
        <v>0</v>
      </c>
      <c r="EA202" s="238">
        <f>IF(AK202="",1,0)</f>
        <v>1</v>
      </c>
      <c r="EB202" s="238">
        <f>IF(DG202=3,1,0)</f>
        <v>0</v>
      </c>
      <c r="EC202" s="238">
        <f>SUM(EA202:EB202)</f>
        <v>1</v>
      </c>
      <c r="ED202" s="267">
        <f>IF(EC202=2,1,0)</f>
        <v>0</v>
      </c>
      <c r="EE202" s="267">
        <f>IF(DZ202=2,1,0)</f>
        <v>0</v>
      </c>
      <c r="EG202" s="166"/>
      <c r="EH202" s="238"/>
      <c r="EI202" s="238"/>
      <c r="EJ202" s="238"/>
      <c r="EK202" s="238"/>
      <c r="EL202" s="238"/>
      <c r="EM202" s="245">
        <f>IF(AK202="",0,1)</f>
        <v>0</v>
      </c>
      <c r="EN202" s="245">
        <f>SUM(AK202)</f>
        <v>0</v>
      </c>
      <c r="EO202" s="268">
        <f>SUM(AJ202)</f>
        <v>0</v>
      </c>
      <c r="EP202" s="268">
        <f>SUM(G202/3)</f>
        <v>0</v>
      </c>
      <c r="EQ202" s="268" t="e">
        <f>SUM(EO202/EP202)</f>
        <v>#DIV/0!</v>
      </c>
      <c r="ER202" s="268">
        <f>ROUNDDOWN(EP202,0)</f>
        <v>0</v>
      </c>
      <c r="ES202" s="268">
        <f>SUM(EO202,-ER202*3)</f>
        <v>0</v>
      </c>
      <c r="ET202" s="269" t="b">
        <f>MOD(EN202/1,2)=0</f>
        <v>1</v>
      </c>
      <c r="EU202" s="245">
        <f>IF(ET202=FALSE,1,0)</f>
        <v>0</v>
      </c>
      <c r="EV202" s="245">
        <f>IF(EN202=50,0,IF(EN202&lt;40,1,0))</f>
        <v>1</v>
      </c>
      <c r="EW202" s="245">
        <f>SUM(EU202:EV202)</f>
        <v>1</v>
      </c>
      <c r="EX202" s="267">
        <f>IF(EN202=1,1,IF(EN202=50,0,IF(ES202=1,IF(EN202&gt;40,1,0),0)))</f>
        <v>0</v>
      </c>
      <c r="EY202" s="267">
        <f>IF(ES202=1,IF(EW202=2,1,0),0)+EX202+FB202+FE202</f>
        <v>0</v>
      </c>
      <c r="EZ202" s="245">
        <f>IF(EN202=109,1,IF(EN202=108,1,IF(EN202=106,1,IF(EN202=105,1,IF(EN202=103,1,IF(EN202=102,1,IF(EN202=99,1,0)))))))</f>
        <v>0</v>
      </c>
      <c r="FA202" s="245">
        <f>IF(EN202&gt;110,1,0)</f>
        <v>0</v>
      </c>
      <c r="FB202" s="267">
        <f>IF(ES202=2,SUM(EZ202:FA202),0)</f>
        <v>0</v>
      </c>
      <c r="FC202" s="245">
        <f>IF(EN202=159,1,IF(EN202=162,1,IF(EN202=163,1,IF(EN202=165,1,IF(EN202=166,1,IF(EN202=168,1,IF(EN202=169,1,0)))))))</f>
        <v>0</v>
      </c>
      <c r="FD202" s="245">
        <f>IF(EN202&gt;170,1,0)</f>
        <v>0</v>
      </c>
      <c r="FE202" s="267">
        <f>IF(ES202=0,SUM(FC202:FD202),0)</f>
        <v>0</v>
      </c>
      <c r="FF202" s="251">
        <f t="shared" si="480"/>
        <v>0</v>
      </c>
      <c r="FG202" s="238"/>
      <c r="FH202" s="245">
        <f>IF(AY202="",0,1)</f>
        <v>0</v>
      </c>
      <c r="FI202" s="245">
        <f>SUM(AY202)</f>
        <v>0</v>
      </c>
      <c r="FJ202" s="268">
        <f>SUM(AX202)</f>
        <v>0</v>
      </c>
      <c r="FK202" s="268">
        <f>SUM(V202/3)</f>
        <v>0</v>
      </c>
      <c r="FL202" s="268" t="e">
        <f>SUM(FJ202/FK202)</f>
        <v>#DIV/0!</v>
      </c>
      <c r="FM202" s="268">
        <f>ROUNDDOWN(FK202,0)</f>
        <v>0</v>
      </c>
      <c r="FN202" s="268">
        <f>SUM(FJ202,-FM202*3)</f>
        <v>0</v>
      </c>
      <c r="FO202" s="269" t="b">
        <f>MOD(FI202/1,2)=0</f>
        <v>1</v>
      </c>
      <c r="FP202" s="245">
        <f>IF(FO202=FALSE,1,0)</f>
        <v>0</v>
      </c>
      <c r="FQ202" s="245">
        <f>IF(FI202=50,0,IF(FI202&lt;40,1,0))</f>
        <v>1</v>
      </c>
      <c r="FR202" s="245">
        <f>SUM(FP202:FQ202)</f>
        <v>1</v>
      </c>
      <c r="FS202" s="267">
        <f>IF(FI202=1,1,IF(FI202=50,0,IF(FN202=1,IF(FI202&gt;40,1,0),0)))</f>
        <v>0</v>
      </c>
      <c r="FT202" s="267">
        <f>IF(FN202=1,IF(FR202=2,1,0),0)+FS202+FW202+FZ202</f>
        <v>0</v>
      </c>
      <c r="FU202" s="245">
        <f>IF(FI202=109,1,IF(FI202=108,1,IF(FI202=106,1,IF(FI202=105,1,IF(FI202=103,1,IF(FI202=102,1,IF(FI202=99,1,0)))))))</f>
        <v>0</v>
      </c>
      <c r="FV202" s="245">
        <f>IF(FI202&gt;110,1,0)</f>
        <v>0</v>
      </c>
      <c r="FW202" s="267">
        <f>IF(FN202=2,SUM(FU202:FV202),0)</f>
        <v>0</v>
      </c>
      <c r="FX202" s="245">
        <f>IF(FI202=159,1,IF(FI202=162,1,IF(FI202=163,1,IF(FI202=165,1,IF(FI202=166,1,IF(FI202=168,1,IF(FI202=169,1,0)))))))</f>
        <v>0</v>
      </c>
      <c r="FY202" s="245">
        <f>IF(FI202&gt;170,1,0)</f>
        <v>0</v>
      </c>
      <c r="FZ202" s="267">
        <f>IF(FN202=0,SUM(FX202:FY202),0)</f>
        <v>0</v>
      </c>
      <c r="GA202" s="251">
        <f t="shared" si="481"/>
        <v>0</v>
      </c>
      <c r="GC202" s="238" t="str">
        <f>VLOOKUP(AH195,Chema!BL:BR,5,FALSE)</f>
        <v/>
      </c>
      <c r="GD202" s="341"/>
      <c r="GE202" s="343" t="str">
        <f>IF(R206="","",SUM(R206))</f>
        <v/>
      </c>
      <c r="GF202" s="340"/>
      <c r="GG202" s="346"/>
      <c r="GH202" s="343">
        <f>IF(GH201&gt;0,1,0)</f>
        <v>0</v>
      </c>
      <c r="GI202" s="346"/>
      <c r="GJ202" s="343"/>
      <c r="GK202" s="346"/>
      <c r="GL202" s="343">
        <f>IF(GL201&gt;0,1,0)</f>
        <v>0</v>
      </c>
      <c r="GM202" s="343"/>
      <c r="GN202" s="343"/>
      <c r="GO202" s="346"/>
      <c r="GP202" s="343">
        <f>IF(GP201&gt;0,1,0)</f>
        <v>0</v>
      </c>
      <c r="GQ202" s="343"/>
      <c r="GR202" s="343"/>
      <c r="GS202" s="346"/>
      <c r="GT202" s="343">
        <f>IF(GT201&gt;0,1,0)</f>
        <v>0</v>
      </c>
      <c r="GU202" s="343"/>
      <c r="GV202" s="343"/>
      <c r="GW202" s="346"/>
      <c r="GX202" s="343">
        <f>IF(GX201&gt;0,1,0)</f>
        <v>0</v>
      </c>
      <c r="GY202" s="340"/>
      <c r="GZ202" s="343"/>
      <c r="HA202" s="343"/>
      <c r="HB202" s="343" t="str">
        <f>IF(GD198=1,P206,"")</f>
        <v/>
      </c>
      <c r="HC202" s="343" t="str">
        <f>IF(GD198=1,X206,"")</f>
        <v/>
      </c>
      <c r="HD202" s="340"/>
      <c r="HE202" s="340"/>
      <c r="HF202" s="340"/>
      <c r="HG202" s="340">
        <f>IF(HG200=HM198,0,IF(HG200=HM202,0,1))</f>
        <v>0</v>
      </c>
      <c r="HH202" s="340">
        <f>IF(HH199=HH201,1,0)</f>
        <v>1</v>
      </c>
      <c r="HI202" s="340"/>
      <c r="HJ202" s="340"/>
      <c r="HK202" s="340"/>
      <c r="HL202" s="340"/>
      <c r="HM202" s="341">
        <f>COUNT(HI201,HJ201,HK201,HL201,HM201)</f>
        <v>0</v>
      </c>
      <c r="HN202" s="341"/>
      <c r="HO202" s="341"/>
      <c r="HP202" s="341"/>
      <c r="HQ202" s="341"/>
      <c r="HR202" s="341"/>
      <c r="HS202" s="238"/>
      <c r="HT202" s="238"/>
      <c r="HU202" s="238"/>
      <c r="HV202" s="238"/>
      <c r="HX202" s="238"/>
      <c r="HY202" s="238"/>
      <c r="ID202" s="238"/>
    </row>
    <row r="203" spans="1:238" s="234" customFormat="1" ht="6.6" customHeight="1">
      <c r="A203" s="235"/>
      <c r="B203" s="231"/>
      <c r="C203" s="310"/>
      <c r="D203" s="310"/>
      <c r="E203" s="310"/>
      <c r="F203" s="310"/>
      <c r="G203" s="313"/>
      <c r="H203" s="310"/>
      <c r="I203" s="310"/>
      <c r="J203" s="273"/>
      <c r="K203" s="313"/>
      <c r="O203" s="118"/>
      <c r="R203" s="310"/>
      <c r="S203" s="310"/>
      <c r="T203" s="310"/>
      <c r="U203" s="310"/>
      <c r="V203" s="313"/>
      <c r="W203" s="310"/>
      <c r="X203" s="310"/>
      <c r="Y203" s="273"/>
      <c r="Z203" s="308"/>
      <c r="AA203" s="274"/>
      <c r="AD203" s="235"/>
      <c r="AE203" s="237">
        <f>IF(AF203=0,0,1)</f>
        <v>0</v>
      </c>
      <c r="AF203" s="237">
        <f>IF(AL203=0,0,SUM(AL205:AL206,-AL204))</f>
        <v>0</v>
      </c>
      <c r="AG203" s="237"/>
      <c r="AH203" s="275">
        <f>SUM(AH198,AH199,AH200,AH201,AH202)</f>
        <v>0</v>
      </c>
      <c r="AI203" s="275">
        <f t="shared" ref="AI203" si="493">SUM(AI198,AI199,AI200,AI201,AI202)</f>
        <v>0</v>
      </c>
      <c r="AJ203" s="275">
        <f t="shared" ref="AJ203" si="494">SUM(AJ198,AJ199,AJ200,AJ201,AJ202)</f>
        <v>0</v>
      </c>
      <c r="AK203" s="275">
        <f>MAX(AK198,AK199,AK200,AK201,AK202)</f>
        <v>0</v>
      </c>
      <c r="AL203" s="275">
        <f t="shared" ref="AL203" si="495">SUM(AL198,AL199,AL200,AL201,AL202)</f>
        <v>0</v>
      </c>
      <c r="AM203" s="275">
        <f>IF(AK195="D",SUM(AL198,AL199,AL200,AL201,AL202,-AL205,-AL206),0)</f>
        <v>0</v>
      </c>
      <c r="AN203" s="235"/>
      <c r="AO203" s="235"/>
      <c r="AP203" s="235"/>
      <c r="AQ203" s="235"/>
      <c r="AR203" s="235"/>
      <c r="AS203" s="237">
        <f>IF(AT203=0,0,1)</f>
        <v>0</v>
      </c>
      <c r="AT203" s="237">
        <f>IF(AZ203=0,0,SUM(AZ205:AZ206,-AZ204))</f>
        <v>0</v>
      </c>
      <c r="AU203" s="237"/>
      <c r="AV203" s="275">
        <f>SUM(AV198,AV199,AV200,AV201,AV202)</f>
        <v>0</v>
      </c>
      <c r="AW203" s="275">
        <f t="shared" ref="AW203" si="496">SUM(AW198,AW199,AW200,AW201,AW202)</f>
        <v>0</v>
      </c>
      <c r="AX203" s="275">
        <f t="shared" ref="AX203" si="497">SUM(AX198,AX199,AX200,AX201,AX202)</f>
        <v>0</v>
      </c>
      <c r="AY203" s="275">
        <f>MAX(AY198,AY199,AY200,AY201,AY202)</f>
        <v>0</v>
      </c>
      <c r="AZ203" s="275">
        <f t="shared" ref="AZ203" si="498">SUM(AZ198,AZ199,AZ200,AZ201,AZ202)</f>
        <v>0</v>
      </c>
      <c r="BA203" s="275">
        <f>IF(AK195="D",SUM(AZ198,AZ199,AZ200,AZ201,AZ202,-AZ205,-AZ206),0)</f>
        <v>0</v>
      </c>
      <c r="BJ203" s="236"/>
      <c r="BK203" s="238"/>
      <c r="BL203" s="238"/>
      <c r="BM203" s="238"/>
      <c r="BP203" s="238"/>
      <c r="BQ203" s="238"/>
      <c r="BR203" s="238"/>
      <c r="BS203" s="238"/>
      <c r="BT203" s="238"/>
      <c r="BU203" s="238"/>
      <c r="BY203" s="238"/>
      <c r="BZ203" s="238">
        <f>MAX(BZ198,BZ199,BZ200,BZ201,BZ202)</f>
        <v>0</v>
      </c>
      <c r="CA203" s="238">
        <f>MAX(CA198,CA199,CA200,CA201,CA202)</f>
        <v>0</v>
      </c>
      <c r="CB203" s="238"/>
      <c r="CC203" s="238"/>
      <c r="CD203" s="238"/>
      <c r="CG203" s="244"/>
      <c r="CH203" s="238"/>
      <c r="CI203" s="238">
        <f>MAX(CI198,CI199,CI200,CI201,CI202)</f>
        <v>0</v>
      </c>
      <c r="CJ203" s="238">
        <f>MAX(CJ198,CJ199,CJ200,CJ201,CJ202)</f>
        <v>0</v>
      </c>
      <c r="CK203" s="238"/>
      <c r="CL203" s="238"/>
      <c r="CM203" s="238"/>
      <c r="CN203" s="238"/>
      <c r="CO203" s="238"/>
      <c r="CP203" s="238"/>
      <c r="CQ203" s="238"/>
      <c r="CR203" s="238"/>
      <c r="CS203" s="238"/>
      <c r="CT203" s="238"/>
      <c r="CU203" s="238"/>
      <c r="CV203" s="238"/>
      <c r="CW203" s="238"/>
      <c r="CX203" s="238"/>
      <c r="CY203" s="238"/>
      <c r="CZ203" s="238"/>
      <c r="DA203" s="238"/>
      <c r="DB203" s="238"/>
      <c r="DC203" s="238"/>
      <c r="DD203" s="238"/>
      <c r="DE203" s="238"/>
      <c r="DF203" s="238"/>
      <c r="DG203" s="238"/>
      <c r="DH203" s="238"/>
      <c r="DI203" s="238"/>
      <c r="DJ203" s="238"/>
      <c r="DK203" s="238"/>
      <c r="DL203" s="238"/>
      <c r="DM203" s="238"/>
      <c r="DN203" s="238"/>
      <c r="DO203" s="238"/>
      <c r="DP203" s="238"/>
      <c r="DQ203" s="238"/>
      <c r="DR203" s="238"/>
      <c r="DS203" s="238"/>
      <c r="DT203" s="238"/>
      <c r="DU203" s="238"/>
      <c r="DV203" s="238"/>
      <c r="DW203" s="238"/>
      <c r="DX203" s="238"/>
      <c r="DY203" s="238"/>
      <c r="DZ203" s="238"/>
      <c r="EA203" s="238"/>
      <c r="EB203" s="238"/>
      <c r="EC203" s="238"/>
      <c r="ED203" s="238"/>
      <c r="EE203" s="238"/>
      <c r="EF203" s="238"/>
      <c r="EG203" s="238"/>
      <c r="EH203" s="238"/>
      <c r="EI203" s="238"/>
      <c r="EJ203" s="238"/>
      <c r="EK203" s="238"/>
      <c r="EL203" s="238"/>
      <c r="EM203" s="166"/>
      <c r="EN203" s="166"/>
      <c r="EO203" s="166"/>
      <c r="EP203" s="238">
        <f>SUM(EN203-EO203)</f>
        <v>0</v>
      </c>
      <c r="EQ203" s="238"/>
      <c r="ER203" s="238"/>
      <c r="ES203" s="238"/>
      <c r="ET203" s="244"/>
      <c r="EU203" s="238"/>
      <c r="EV203" s="238"/>
      <c r="EW203" s="238"/>
      <c r="EX203" s="238"/>
      <c r="EY203" s="238"/>
      <c r="EZ203" s="238"/>
      <c r="FA203" s="238"/>
      <c r="FB203" s="238"/>
      <c r="FC203" s="238"/>
      <c r="FD203" s="238"/>
      <c r="FE203" s="238"/>
      <c r="FF203" s="238"/>
      <c r="FG203" s="238"/>
      <c r="FH203" s="238"/>
      <c r="FI203" s="238"/>
      <c r="FJ203" s="238"/>
      <c r="FK203" s="238"/>
      <c r="FL203" s="238"/>
      <c r="FM203" s="238"/>
      <c r="FN203" s="238"/>
      <c r="FO203" s="244"/>
      <c r="FP203" s="238"/>
      <c r="FQ203" s="238"/>
      <c r="FR203" s="238"/>
      <c r="FS203" s="238"/>
      <c r="FT203" s="238"/>
      <c r="FU203" s="238"/>
      <c r="FV203" s="238"/>
      <c r="FW203" s="238"/>
      <c r="FX203" s="238"/>
      <c r="FY203" s="238"/>
      <c r="FZ203" s="238"/>
      <c r="GA203" s="238"/>
      <c r="GB203" s="238"/>
      <c r="GC203" s="238"/>
      <c r="GD203" s="341"/>
      <c r="GE203" s="340"/>
      <c r="GF203" s="340"/>
      <c r="GG203" s="340"/>
      <c r="GH203" s="340"/>
      <c r="GI203" s="340"/>
      <c r="GJ203" s="340"/>
      <c r="GK203" s="340"/>
      <c r="GL203" s="340"/>
      <c r="GM203" s="340"/>
      <c r="GN203" s="340"/>
      <c r="GO203" s="340"/>
      <c r="GP203" s="340"/>
      <c r="GQ203" s="340"/>
      <c r="GR203" s="340"/>
      <c r="GS203" s="340"/>
      <c r="GT203" s="340"/>
      <c r="GU203" s="340"/>
      <c r="GV203" s="340"/>
      <c r="GW203" s="340"/>
      <c r="GX203" s="340"/>
      <c r="GY203" s="340"/>
      <c r="GZ203" s="340"/>
      <c r="HA203" s="340"/>
      <c r="HB203" s="340"/>
      <c r="HC203" s="340"/>
      <c r="HD203" s="341"/>
      <c r="HE203" s="341"/>
      <c r="HF203" s="341"/>
      <c r="HG203" s="341"/>
      <c r="HH203" s="341"/>
      <c r="HI203" s="341"/>
      <c r="HJ203" s="341"/>
      <c r="HK203" s="341"/>
      <c r="HL203" s="341"/>
      <c r="HM203" s="341"/>
      <c r="HN203" s="341"/>
      <c r="HO203" s="341"/>
      <c r="HP203" s="341"/>
      <c r="HQ203" s="341"/>
      <c r="HR203" s="341"/>
      <c r="HS203" s="238"/>
      <c r="HT203" s="238"/>
      <c r="HU203" s="238"/>
      <c r="HV203" s="238"/>
      <c r="HX203" s="238"/>
      <c r="HY203" s="238"/>
      <c r="ID203" s="238"/>
    </row>
    <row r="204" spans="1:238" s="234" customFormat="1" ht="20.100000000000001" customHeight="1">
      <c r="A204" s="235"/>
      <c r="B204" s="231"/>
      <c r="C204" s="314" t="s">
        <v>771</v>
      </c>
      <c r="D204" s="276" t="str">
        <f>REPT(Sprache!$K$58,1)</f>
        <v>Spieler</v>
      </c>
      <c r="E204" s="277" t="str">
        <f>REPT(Sprache!$K$33,1)</f>
        <v>Name / Vorname</v>
      </c>
      <c r="F204" s="278"/>
      <c r="G204" s="278"/>
      <c r="H204" s="279"/>
      <c r="I204" s="280"/>
      <c r="J204" s="281" t="str">
        <f>REPT(AM204,1)</f>
        <v/>
      </c>
      <c r="L204" s="306" t="s">
        <v>848</v>
      </c>
      <c r="M204" s="238"/>
      <c r="P204" s="306" t="s">
        <v>848</v>
      </c>
      <c r="R204" s="314" t="s">
        <v>771</v>
      </c>
      <c r="S204" s="276" t="str">
        <f>REPT(Sprache!$K$58,1)</f>
        <v>Spieler</v>
      </c>
      <c r="T204" s="277" t="str">
        <f>REPT(Sprache!$K$33,1)</f>
        <v>Name / Vorname</v>
      </c>
      <c r="U204" s="278"/>
      <c r="V204" s="278"/>
      <c r="W204" s="279"/>
      <c r="X204" s="280"/>
      <c r="Y204" s="281" t="str">
        <f>REPT(BA204,1)</f>
        <v/>
      </c>
      <c r="Z204" s="308"/>
      <c r="AD204" s="235"/>
      <c r="AE204" s="235"/>
      <c r="AF204" s="237" t="s">
        <v>771</v>
      </c>
      <c r="AG204" s="282" t="s">
        <v>877</v>
      </c>
      <c r="AH204" s="283" t="str">
        <f>IF(AH203=0,"",AH203)</f>
        <v/>
      </c>
      <c r="AI204" s="283" t="str">
        <f>IF(AI203=0,"",AI203)</f>
        <v/>
      </c>
      <c r="AJ204" s="283" t="str">
        <f>IF(AJ203=0,"",AJ203)</f>
        <v/>
      </c>
      <c r="AK204" s="283" t="str">
        <f>IF(AK203=0,"",AK203)</f>
        <v/>
      </c>
      <c r="AL204" s="283" t="str">
        <f>IF(AL203=0,"",AL203)</f>
        <v/>
      </c>
      <c r="AM204" s="258" t="str">
        <f>IF(AK195="D",IF(AF203=0,"","X"),"")</f>
        <v/>
      </c>
      <c r="AN204" s="235"/>
      <c r="AO204" s="235"/>
      <c r="AP204" s="284"/>
      <c r="AQ204" s="235"/>
      <c r="AR204" s="235"/>
      <c r="AS204" s="235"/>
      <c r="AT204" s="237" t="s">
        <v>771</v>
      </c>
      <c r="AU204" s="282" t="s">
        <v>877</v>
      </c>
      <c r="AV204" s="283" t="str">
        <f>IF(AV203=0,"",AV203)</f>
        <v/>
      </c>
      <c r="AW204" s="283" t="str">
        <f>IF(AW203=0,"",AW203)</f>
        <v/>
      </c>
      <c r="AX204" s="283" t="str">
        <f>IF(AX203=0,"",AX203)</f>
        <v/>
      </c>
      <c r="AY204" s="283" t="str">
        <f>IF(AY203=0,"",AY203)</f>
        <v/>
      </c>
      <c r="AZ204" s="421" t="str">
        <f>IF(AZ203=0,"",AZ203)</f>
        <v/>
      </c>
      <c r="BA204" s="258" t="str">
        <f>IF(AK195="D",IF(AT203=0,"","X"),"")</f>
        <v/>
      </c>
      <c r="BJ204" s="236"/>
      <c r="BK204" s="238"/>
      <c r="BL204" s="244">
        <f>IF(BM204=0,0,1)</f>
        <v>0</v>
      </c>
      <c r="BM204" s="244">
        <f>SUM(BM198,BM199,BM200,BM201,BM202,HH200,AN205,AN206,BB205,BB206)</f>
        <v>0</v>
      </c>
      <c r="BN204" s="166">
        <f t="shared" ref="BN204:BO204" si="499">SUM(BN198,BN199,BN200,BN201,BN202)</f>
        <v>0</v>
      </c>
      <c r="BO204" s="166">
        <f t="shared" si="499"/>
        <v>0</v>
      </c>
      <c r="BP204" s="244"/>
      <c r="BQ204" s="238"/>
      <c r="BR204" s="238"/>
      <c r="BS204" s="238"/>
      <c r="BT204" s="238"/>
      <c r="BU204" s="238"/>
      <c r="BV204" s="238"/>
      <c r="BW204" s="238"/>
      <c r="BX204" s="236"/>
      <c r="BY204" s="238"/>
      <c r="BZ204" s="238"/>
      <c r="CA204" s="238"/>
      <c r="CB204" s="238"/>
      <c r="CC204" s="238"/>
      <c r="CD204" s="238"/>
      <c r="CE204" s="238"/>
      <c r="CF204" s="238"/>
      <c r="CG204" s="244"/>
      <c r="CH204" s="238"/>
      <c r="CI204" s="238"/>
      <c r="CJ204" s="238"/>
      <c r="CK204" s="238"/>
      <c r="CL204" s="238"/>
      <c r="CM204" s="238"/>
      <c r="CN204" s="238"/>
      <c r="CO204" s="238"/>
      <c r="CP204" s="238"/>
      <c r="CQ204" s="238"/>
      <c r="CR204" s="238"/>
      <c r="CS204" s="238"/>
      <c r="CT204" s="238"/>
      <c r="CU204" s="238"/>
      <c r="CV204" s="238"/>
      <c r="CW204" s="238"/>
      <c r="CX204" s="238"/>
      <c r="CY204" s="238"/>
      <c r="CZ204" s="238"/>
      <c r="DA204" s="238"/>
      <c r="DB204" s="238"/>
      <c r="DC204" s="238"/>
      <c r="DD204" s="238"/>
      <c r="DE204" s="238"/>
      <c r="DF204" s="238"/>
      <c r="DG204" s="238"/>
      <c r="DH204" s="238"/>
      <c r="DI204" s="238"/>
      <c r="DJ204" s="238"/>
      <c r="DK204" s="238"/>
      <c r="DL204" s="238"/>
      <c r="DM204" s="238"/>
      <c r="DN204" s="238"/>
      <c r="DO204" s="238"/>
      <c r="DP204" s="238"/>
      <c r="DQ204" s="238"/>
      <c r="DR204" s="238"/>
      <c r="DS204" s="238"/>
      <c r="DT204" s="238"/>
      <c r="DU204" s="238"/>
      <c r="DV204" s="238"/>
      <c r="DW204" s="238"/>
      <c r="DX204" s="238"/>
      <c r="DY204" s="238"/>
      <c r="DZ204" s="238"/>
      <c r="EA204" s="238"/>
      <c r="EB204" s="238"/>
      <c r="EC204" s="238"/>
      <c r="ED204" s="238"/>
      <c r="EE204" s="238"/>
      <c r="EF204" s="238"/>
      <c r="EG204" s="238"/>
      <c r="EH204" s="238"/>
      <c r="EI204" s="238"/>
      <c r="EJ204" s="238"/>
      <c r="EK204" s="238"/>
      <c r="EL204" s="238"/>
      <c r="EM204" s="238"/>
      <c r="EN204" s="238"/>
      <c r="EO204" s="238"/>
      <c r="EP204" s="238"/>
      <c r="EQ204" s="238"/>
      <c r="ER204" s="238"/>
      <c r="ES204" s="238"/>
      <c r="ET204" s="244"/>
      <c r="EU204" s="238"/>
      <c r="EV204" s="238"/>
      <c r="EW204" s="238"/>
      <c r="EX204" s="238"/>
      <c r="EY204" s="238"/>
      <c r="EZ204" s="238"/>
      <c r="FA204" s="238"/>
      <c r="FB204" s="238"/>
      <c r="FC204" s="238"/>
      <c r="FD204" s="238"/>
      <c r="FE204" s="238"/>
      <c r="FF204" s="238"/>
      <c r="FG204" s="238"/>
      <c r="FH204" s="238"/>
      <c r="FI204" s="238"/>
      <c r="FJ204" s="238"/>
      <c r="FK204" s="238"/>
      <c r="FL204" s="238"/>
      <c r="FM204" s="238"/>
      <c r="FN204" s="238"/>
      <c r="FO204" s="244"/>
      <c r="FP204" s="238"/>
      <c r="FQ204" s="238"/>
      <c r="FR204" s="238"/>
      <c r="FS204" s="238"/>
      <c r="FT204" s="238"/>
      <c r="FU204" s="238"/>
      <c r="FV204" s="238"/>
      <c r="FW204" s="238"/>
      <c r="FX204" s="238"/>
      <c r="FY204" s="238"/>
      <c r="FZ204" s="238"/>
      <c r="GA204" s="238"/>
      <c r="GB204" s="238"/>
      <c r="GC204" s="238"/>
      <c r="GD204" s="341"/>
      <c r="GE204" s="340"/>
      <c r="GF204" s="340"/>
      <c r="GG204" s="340"/>
      <c r="GH204" s="340"/>
      <c r="GI204" s="340"/>
      <c r="GJ204" s="340"/>
      <c r="GK204" s="340"/>
      <c r="GL204" s="340"/>
      <c r="GM204" s="340"/>
      <c r="GN204" s="340"/>
      <c r="GO204" s="340"/>
      <c r="GP204" s="340"/>
      <c r="GQ204" s="340"/>
      <c r="GR204" s="340"/>
      <c r="GS204" s="340"/>
      <c r="GT204" s="340"/>
      <c r="GU204" s="340"/>
      <c r="GV204" s="340"/>
      <c r="GW204" s="340"/>
      <c r="GX204" s="340"/>
      <c r="GY204" s="340"/>
      <c r="GZ204" s="340"/>
      <c r="HA204" s="340"/>
      <c r="HB204" s="340"/>
      <c r="HC204" s="340"/>
      <c r="HD204" s="341"/>
      <c r="HE204" s="341"/>
      <c r="HF204" s="341"/>
      <c r="HG204" s="341"/>
      <c r="HH204" s="341"/>
      <c r="HI204" s="341"/>
      <c r="HJ204" s="341"/>
      <c r="HK204" s="341"/>
      <c r="HL204" s="341"/>
      <c r="HM204" s="341"/>
      <c r="HN204" s="341"/>
      <c r="HO204" s="341"/>
      <c r="HP204" s="341"/>
      <c r="HQ204" s="341"/>
      <c r="HR204" s="341"/>
      <c r="HS204" s="238"/>
      <c r="HT204" s="238"/>
      <c r="HU204" s="238"/>
      <c r="HV204" s="238"/>
      <c r="HX204" s="238"/>
      <c r="HY204" s="238"/>
      <c r="ID204" s="238"/>
    </row>
    <row r="205" spans="1:238" s="234" customFormat="1" ht="20.100000000000001" customHeight="1">
      <c r="A205" s="235"/>
      <c r="B205" s="231"/>
      <c r="C205" s="285" t="str">
        <f>IF(AF205="","",SUM(AF205))</f>
        <v/>
      </c>
      <c r="D205" s="286" t="str">
        <f>IF(AK195="D",1,"")</f>
        <v/>
      </c>
      <c r="E205" s="287" t="str">
        <f>IF(C205="","",VLOOKUP(C205,Licenses!B:C,2,FALSE))</f>
        <v/>
      </c>
      <c r="F205" s="288"/>
      <c r="G205" s="288"/>
      <c r="H205" s="289"/>
      <c r="I205" s="169"/>
      <c r="J205" s="270" t="str">
        <f>REPT(AM205,1)</f>
        <v/>
      </c>
      <c r="L205" s="290" t="str">
        <f>IF(AK195="D",AK205,IF(AK204="","",AK204))</f>
        <v/>
      </c>
      <c r="M205" s="311"/>
      <c r="P205" s="290" t="str">
        <f>IF(AK195="D",AY205,IF(AY204="","",AY204))</f>
        <v/>
      </c>
      <c r="R205" s="291" t="str">
        <f>IF(AT205="","",SUM(AT205))</f>
        <v/>
      </c>
      <c r="S205" s="286" t="str">
        <f>IF(AK195="D",1,"")</f>
        <v/>
      </c>
      <c r="T205" s="292" t="str">
        <f>IF(R205="","",VLOOKUP(R205,Licenses!B:C,2,FALSE))</f>
        <v/>
      </c>
      <c r="U205" s="293"/>
      <c r="V205" s="293"/>
      <c r="W205" s="294"/>
      <c r="X205" s="169"/>
      <c r="Y205" s="270" t="str">
        <f>REPT(BA205,1)</f>
        <v/>
      </c>
      <c r="Z205" s="308"/>
      <c r="AD205" s="235"/>
      <c r="AE205" s="235"/>
      <c r="AF205" s="256" t="str">
        <f>IF(AM195="","",SUM(AM195))</f>
        <v/>
      </c>
      <c r="AG205" s="237"/>
      <c r="AH205" s="256"/>
      <c r="AI205" s="256"/>
      <c r="AJ205" s="256"/>
      <c r="AK205" s="256" t="str">
        <f>IF(BZ203&gt;1,BZ203,"")</f>
        <v/>
      </c>
      <c r="AL205" s="257">
        <f>IF(AK195="D",SUM(I205),0)</f>
        <v>0</v>
      </c>
      <c r="AM205" s="258" t="str">
        <f>IF(AM203=0,IF(AL205&lt;6,"","X"),"X")</f>
        <v/>
      </c>
      <c r="AN205" s="347" t="str">
        <f>IF(AM203=0,IF(AL205&lt;6,"",1),1)</f>
        <v/>
      </c>
      <c r="AO205" s="235"/>
      <c r="AP205" s="236"/>
      <c r="AQ205" s="235"/>
      <c r="AR205" s="235"/>
      <c r="AS205" s="235"/>
      <c r="AT205" s="256" t="str">
        <f>IF(BA195="","",SUM(BA195))</f>
        <v/>
      </c>
      <c r="AU205" s="237"/>
      <c r="AV205" s="256"/>
      <c r="AW205" s="256"/>
      <c r="AX205" s="256"/>
      <c r="AY205" s="256" t="str">
        <f>IF(CI203&gt;1,CI203,"")</f>
        <v/>
      </c>
      <c r="AZ205" s="257">
        <f>IF(AK195="D",SUM(X205),0)</f>
        <v>0</v>
      </c>
      <c r="BA205" s="258" t="str">
        <f>IF(BA203=0,IF(AZ205&lt;6,"","X"),"X")</f>
        <v/>
      </c>
      <c r="BB205" s="347" t="str">
        <f>IF(BA203=0,IF(AZ205&lt;6,"",1),1)</f>
        <v/>
      </c>
      <c r="BC205" s="236"/>
      <c r="BD205" s="236"/>
      <c r="BE205" s="236"/>
      <c r="BF205" s="236"/>
      <c r="BG205" s="236"/>
      <c r="BH205" s="236"/>
      <c r="BI205" s="236"/>
      <c r="BJ205" s="236"/>
      <c r="BK205" s="238"/>
      <c r="BL205" s="238"/>
      <c r="BM205" s="295"/>
      <c r="BN205" s="295"/>
      <c r="BO205" s="295"/>
      <c r="BP205" s="295"/>
      <c r="BQ205" s="295"/>
      <c r="BR205" s="295"/>
      <c r="BS205" s="295"/>
      <c r="BT205" s="295"/>
      <c r="BU205" s="295"/>
      <c r="BV205" s="295"/>
      <c r="BW205" s="295"/>
      <c r="BX205" s="236"/>
      <c r="BY205" s="295"/>
      <c r="BZ205" s="295"/>
      <c r="CA205" s="295"/>
      <c r="CB205" s="295"/>
      <c r="CC205" s="295"/>
      <c r="CD205" s="295"/>
      <c r="CE205" s="295"/>
      <c r="CF205" s="295"/>
      <c r="CG205" s="296"/>
      <c r="CH205" s="295"/>
      <c r="CI205" s="295"/>
      <c r="CJ205" s="295"/>
      <c r="CK205" s="238"/>
      <c r="CL205" s="238"/>
      <c r="CM205" s="238"/>
      <c r="CN205" s="238"/>
      <c r="CO205" s="238"/>
      <c r="CP205" s="238"/>
      <c r="CQ205" s="238"/>
      <c r="CR205" s="238"/>
      <c r="CS205" s="238"/>
      <c r="CT205" s="238"/>
      <c r="CU205" s="238"/>
      <c r="CV205" s="238"/>
      <c r="CW205" s="238"/>
      <c r="CX205" s="238"/>
      <c r="CY205" s="238"/>
      <c r="CZ205" s="238"/>
      <c r="DA205" s="238"/>
      <c r="DB205" s="238"/>
      <c r="DC205" s="238"/>
      <c r="DD205" s="238"/>
      <c r="DE205" s="238"/>
      <c r="DF205" s="238"/>
      <c r="DG205" s="238"/>
      <c r="DH205" s="238"/>
      <c r="DI205" s="238"/>
      <c r="DJ205" s="238"/>
      <c r="DK205" s="238"/>
      <c r="DL205" s="238"/>
      <c r="DM205" s="238"/>
      <c r="DN205" s="238"/>
      <c r="DO205" s="238"/>
      <c r="DP205" s="238"/>
      <c r="DQ205" s="238"/>
      <c r="DR205" s="238"/>
      <c r="DS205" s="238"/>
      <c r="DT205" s="238"/>
      <c r="DU205" s="238"/>
      <c r="DV205" s="238"/>
      <c r="DW205" s="238"/>
      <c r="DX205" s="238"/>
      <c r="DY205" s="238"/>
      <c r="DZ205" s="238"/>
      <c r="EA205" s="238"/>
      <c r="EB205" s="238"/>
      <c r="EC205" s="238"/>
      <c r="ED205" s="238"/>
      <c r="EE205" s="238"/>
      <c r="EF205" s="238"/>
      <c r="EG205" s="238"/>
      <c r="EH205" s="238"/>
      <c r="EI205" s="238"/>
      <c r="EJ205" s="238"/>
      <c r="EK205" s="238"/>
      <c r="EL205" s="238"/>
      <c r="EM205" s="238"/>
      <c r="EN205" s="238"/>
      <c r="EO205" s="238"/>
      <c r="EP205" s="238"/>
      <c r="EQ205" s="238"/>
      <c r="ER205" s="238"/>
      <c r="ES205" s="238"/>
      <c r="ET205" s="244"/>
      <c r="EU205" s="238"/>
      <c r="EV205" s="238"/>
      <c r="EW205" s="238"/>
      <c r="EX205" s="238"/>
      <c r="EY205" s="238"/>
      <c r="EZ205" s="238"/>
      <c r="FA205" s="238"/>
      <c r="FB205" s="238"/>
      <c r="FC205" s="238"/>
      <c r="FD205" s="238"/>
      <c r="FE205" s="238"/>
      <c r="FF205" s="238"/>
      <c r="FG205" s="238"/>
      <c r="FH205" s="238"/>
      <c r="FI205" s="238"/>
      <c r="FJ205" s="238"/>
      <c r="FK205" s="238"/>
      <c r="FL205" s="238"/>
      <c r="FM205" s="238"/>
      <c r="FN205" s="238"/>
      <c r="FO205" s="244"/>
      <c r="FP205" s="238"/>
      <c r="FQ205" s="238"/>
      <c r="FR205" s="238"/>
      <c r="FS205" s="238"/>
      <c r="FT205" s="238"/>
      <c r="FU205" s="238"/>
      <c r="FV205" s="238"/>
      <c r="FW205" s="238"/>
      <c r="FX205" s="238"/>
      <c r="FY205" s="238"/>
      <c r="FZ205" s="238"/>
      <c r="GA205" s="238"/>
      <c r="GB205" s="238"/>
      <c r="GC205" s="238"/>
      <c r="GD205" s="341"/>
      <c r="GE205" s="340"/>
      <c r="GF205" s="340"/>
      <c r="GG205" s="340"/>
      <c r="GH205" s="340"/>
      <c r="GI205" s="340"/>
      <c r="GJ205" s="340"/>
      <c r="GK205" s="340"/>
      <c r="GL205" s="340"/>
      <c r="GM205" s="340"/>
      <c r="GN205" s="340"/>
      <c r="GO205" s="340"/>
      <c r="GP205" s="340"/>
      <c r="GQ205" s="340"/>
      <c r="GR205" s="340"/>
      <c r="GS205" s="340"/>
      <c r="GT205" s="340"/>
      <c r="GU205" s="340"/>
      <c r="GV205" s="340"/>
      <c r="GW205" s="340"/>
      <c r="GX205" s="340"/>
      <c r="GY205" s="340"/>
      <c r="GZ205" s="340"/>
      <c r="HA205" s="340"/>
      <c r="HB205" s="340"/>
      <c r="HC205" s="340"/>
      <c r="HD205" s="341"/>
      <c r="HE205" s="341"/>
      <c r="HF205" s="341"/>
      <c r="HG205" s="341"/>
      <c r="HH205" s="341"/>
      <c r="HI205" s="341"/>
      <c r="HJ205" s="341"/>
      <c r="HK205" s="341"/>
      <c r="HL205" s="341"/>
      <c r="HM205" s="341"/>
      <c r="HN205" s="341"/>
      <c r="HO205" s="341"/>
      <c r="HP205" s="341"/>
      <c r="HQ205" s="341"/>
      <c r="HR205" s="341"/>
      <c r="HS205" s="238"/>
      <c r="HT205" s="238"/>
      <c r="HU205" s="238"/>
      <c r="HV205" s="238"/>
      <c r="HX205" s="238"/>
      <c r="HY205" s="238"/>
      <c r="ID205" s="238"/>
    </row>
    <row r="206" spans="1:238" s="234" customFormat="1" ht="20.100000000000001" customHeight="1">
      <c r="A206" s="235"/>
      <c r="B206" s="231"/>
      <c r="C206" s="336" t="str">
        <f>IF(AF206="","",SUM(AF206))</f>
        <v/>
      </c>
      <c r="D206" s="333" t="str">
        <f>IF(AK195="D",2,"")</f>
        <v/>
      </c>
      <c r="E206" s="337" t="str">
        <f>IF(C206="","",VLOOKUP(C206,Licenses!B:C,2,FALSE))</f>
        <v/>
      </c>
      <c r="F206" s="290"/>
      <c r="G206" s="290"/>
      <c r="H206" s="338"/>
      <c r="I206" s="331"/>
      <c r="J206" s="272" t="str">
        <f>REPT(AM206,1)</f>
        <v/>
      </c>
      <c r="L206" s="315" t="str">
        <f>IF(AK195="D",AK206,"")</f>
        <v/>
      </c>
      <c r="M206" s="311"/>
      <c r="P206" s="315" t="str">
        <f>IF(AK195="D",AY206,"")</f>
        <v/>
      </c>
      <c r="R206" s="332" t="str">
        <f>IF(AT206="","",SUM(AT206))</f>
        <v/>
      </c>
      <c r="S206" s="333" t="str">
        <f>IF(AK195="D",2,"")</f>
        <v/>
      </c>
      <c r="T206" s="334" t="str">
        <f>IF(R206="","",VLOOKUP(R206,Licenses!B:C,2,FALSE))</f>
        <v/>
      </c>
      <c r="U206" s="297"/>
      <c r="V206" s="297"/>
      <c r="W206" s="335"/>
      <c r="X206" s="331"/>
      <c r="Y206" s="272" t="str">
        <f>REPT(BA206,1)</f>
        <v/>
      </c>
      <c r="Z206" s="308"/>
      <c r="AA206" s="238">
        <f>IF(AK195="D",0,1)</f>
        <v>1</v>
      </c>
      <c r="AD206" s="235"/>
      <c r="AE206" s="235"/>
      <c r="AF206" s="256" t="str">
        <f>IF(AM196="","",SUM(AM196))</f>
        <v/>
      </c>
      <c r="AG206" s="237"/>
      <c r="AH206" s="256"/>
      <c r="AI206" s="256"/>
      <c r="AJ206" s="256"/>
      <c r="AK206" s="256" t="str">
        <f>IF(CA203&gt;1,CA203,"")</f>
        <v/>
      </c>
      <c r="AL206" s="257">
        <f>IF(AK195="D",SUM(I206),0)</f>
        <v>0</v>
      </c>
      <c r="AM206" s="258" t="str">
        <f>IF(AM203=0,IF(AL206&lt;6,"","X"),"X")</f>
        <v/>
      </c>
      <c r="AN206" s="347" t="str">
        <f>IF(AM203=0,IF(AL206&lt;6,"",1),1)</f>
        <v/>
      </c>
      <c r="AO206" s="235"/>
      <c r="AP206" s="236"/>
      <c r="AQ206" s="235"/>
      <c r="AR206" s="235"/>
      <c r="AS206" s="235"/>
      <c r="AT206" s="256" t="str">
        <f>IF(BA196="","",SUM(BA196))</f>
        <v/>
      </c>
      <c r="AU206" s="237"/>
      <c r="AV206" s="256"/>
      <c r="AW206" s="256"/>
      <c r="AX206" s="256"/>
      <c r="AY206" s="256" t="str">
        <f>IF(CJ203&gt;1,CJ203,"")</f>
        <v/>
      </c>
      <c r="AZ206" s="257">
        <f>IF(AK195="D",SUM(X206),0)</f>
        <v>0</v>
      </c>
      <c r="BA206" s="258" t="str">
        <f>IF(BA203=0,IF(AZ206&lt;6,"","X"),"X")</f>
        <v/>
      </c>
      <c r="BB206" s="347" t="str">
        <f>IF(BA203=0,IF(AZ206&lt;6,"",1),1)</f>
        <v/>
      </c>
      <c r="BC206" s="236"/>
      <c r="BD206" s="236"/>
      <c r="BE206" s="236"/>
      <c r="BF206" s="236"/>
      <c r="BG206" s="236"/>
      <c r="BH206" s="236"/>
      <c r="BI206" s="236"/>
      <c r="BJ206" s="236"/>
      <c r="BK206" s="238"/>
      <c r="BM206" s="238"/>
      <c r="BN206" s="238"/>
      <c r="BO206" s="238"/>
      <c r="BP206" s="238"/>
      <c r="BQ206" s="238" t="s">
        <v>899</v>
      </c>
      <c r="BR206" s="238"/>
      <c r="BS206" s="238"/>
      <c r="BT206" s="238"/>
      <c r="BU206" s="238"/>
      <c r="BV206" s="238"/>
      <c r="BW206" s="238"/>
      <c r="BX206" s="236"/>
      <c r="BY206" s="238"/>
      <c r="BZ206" s="238"/>
      <c r="CA206" s="238"/>
      <c r="CB206" s="238"/>
      <c r="CC206" s="238"/>
      <c r="CD206" s="238" t="s">
        <v>899</v>
      </c>
      <c r="CE206" s="238"/>
      <c r="CF206" s="238"/>
      <c r="CG206" s="244"/>
      <c r="CH206" s="238"/>
      <c r="CI206" s="238"/>
      <c r="CJ206" s="238"/>
      <c r="CK206" s="238"/>
      <c r="CL206" s="238"/>
      <c r="CM206" s="238"/>
      <c r="CN206" s="238"/>
      <c r="CO206" s="238"/>
      <c r="CP206" s="238"/>
      <c r="CQ206" s="238"/>
      <c r="CR206" s="238"/>
      <c r="CS206" s="238"/>
      <c r="CT206" s="238"/>
      <c r="CU206" s="238"/>
      <c r="CV206" s="238"/>
      <c r="CW206" s="238"/>
      <c r="CX206" s="238"/>
      <c r="CY206" s="238"/>
      <c r="CZ206" s="238"/>
      <c r="DA206" s="238"/>
      <c r="DB206" s="238"/>
      <c r="DC206" s="238"/>
      <c r="DD206" s="238"/>
      <c r="DE206" s="238"/>
      <c r="DF206" s="238"/>
      <c r="DG206" s="238"/>
      <c r="DH206" s="238"/>
      <c r="DI206" s="238"/>
      <c r="DJ206" s="238"/>
      <c r="DK206" s="238"/>
      <c r="DL206" s="238"/>
      <c r="DM206" s="238"/>
      <c r="DN206" s="238"/>
      <c r="DO206" s="238"/>
      <c r="DP206" s="238"/>
      <c r="DQ206" s="238"/>
      <c r="DR206" s="238"/>
      <c r="DS206" s="238"/>
      <c r="DT206" s="238"/>
      <c r="DU206" s="238"/>
      <c r="DV206" s="238"/>
      <c r="DW206" s="238"/>
      <c r="DX206" s="238"/>
      <c r="DY206" s="238"/>
      <c r="DZ206" s="238"/>
      <c r="EA206" s="238"/>
      <c r="EB206" s="238"/>
      <c r="EC206" s="238"/>
      <c r="ED206" s="238"/>
      <c r="EE206" s="238"/>
      <c r="EF206" s="238"/>
      <c r="EG206" s="238"/>
      <c r="EH206" s="238"/>
      <c r="EI206" s="238"/>
      <c r="EJ206" s="238"/>
      <c r="EK206" s="238"/>
      <c r="EL206" s="238"/>
      <c r="EM206" s="238"/>
      <c r="EN206" s="238"/>
      <c r="EO206" s="238"/>
      <c r="EP206" s="238"/>
      <c r="EQ206" s="238"/>
      <c r="ER206" s="238"/>
      <c r="ES206" s="238"/>
      <c r="ET206" s="244"/>
      <c r="EU206" s="238"/>
      <c r="EV206" s="238"/>
      <c r="EW206" s="238"/>
      <c r="EX206" s="238"/>
      <c r="EY206" s="238"/>
      <c r="EZ206" s="238"/>
      <c r="FA206" s="238"/>
      <c r="FB206" s="238"/>
      <c r="FC206" s="238"/>
      <c r="FD206" s="238"/>
      <c r="FE206" s="238"/>
      <c r="FF206" s="238"/>
      <c r="FG206" s="238"/>
      <c r="FH206" s="238"/>
      <c r="FI206" s="238"/>
      <c r="FJ206" s="238"/>
      <c r="FK206" s="238"/>
      <c r="FL206" s="238"/>
      <c r="FM206" s="238"/>
      <c r="FN206" s="238"/>
      <c r="FO206" s="244"/>
      <c r="FP206" s="238"/>
      <c r="FQ206" s="238"/>
      <c r="FR206" s="238"/>
      <c r="FS206" s="238"/>
      <c r="FT206" s="238"/>
      <c r="FU206" s="238"/>
      <c r="FV206" s="238"/>
      <c r="FW206" s="238"/>
      <c r="FX206" s="238"/>
      <c r="FY206" s="238"/>
      <c r="FZ206" s="238"/>
      <c r="GA206" s="238"/>
      <c r="GB206" s="238"/>
      <c r="GC206" s="238"/>
      <c r="GD206" s="341"/>
      <c r="GE206" s="340"/>
      <c r="GF206" s="340"/>
      <c r="GG206" s="340"/>
      <c r="GH206" s="340"/>
      <c r="GI206" s="340"/>
      <c r="GJ206" s="340"/>
      <c r="GK206" s="340"/>
      <c r="GL206" s="340"/>
      <c r="GM206" s="340"/>
      <c r="GN206" s="340"/>
      <c r="GO206" s="340"/>
      <c r="GP206" s="340"/>
      <c r="GQ206" s="340"/>
      <c r="GR206" s="340"/>
      <c r="GS206" s="340"/>
      <c r="GT206" s="340"/>
      <c r="GU206" s="340"/>
      <c r="GV206" s="340"/>
      <c r="GW206" s="340"/>
      <c r="GX206" s="340"/>
      <c r="GY206" s="340"/>
      <c r="GZ206" s="340"/>
      <c r="HA206" s="340"/>
      <c r="HB206" s="340"/>
      <c r="HC206" s="340"/>
      <c r="HD206" s="341"/>
      <c r="HE206" s="341"/>
      <c r="HF206" s="341"/>
      <c r="HG206" s="341"/>
      <c r="HH206" s="341"/>
      <c r="HI206" s="341"/>
      <c r="HJ206" s="341"/>
      <c r="HK206" s="341"/>
      <c r="HL206" s="341"/>
      <c r="HM206" s="341"/>
      <c r="HN206" s="341"/>
      <c r="HO206" s="341"/>
      <c r="HP206" s="341"/>
      <c r="HQ206" s="341"/>
      <c r="HR206" s="341"/>
      <c r="HS206" s="238"/>
      <c r="HT206" s="238"/>
      <c r="HU206" s="238"/>
      <c r="HV206" s="238"/>
      <c r="HX206" s="238"/>
      <c r="HY206" s="238"/>
      <c r="ID206" s="238"/>
    </row>
    <row r="207" spans="1:238" s="234" customFormat="1" ht="20.100000000000001" customHeight="1">
      <c r="A207" s="235"/>
      <c r="B207" s="316"/>
      <c r="C207" s="317"/>
      <c r="D207" s="317"/>
      <c r="E207" s="318"/>
      <c r="F207" s="318"/>
      <c r="G207" s="318"/>
      <c r="H207" s="318"/>
      <c r="I207" s="318"/>
      <c r="J207" s="318"/>
      <c r="K207" s="319"/>
      <c r="L207" s="319"/>
      <c r="M207" s="319"/>
      <c r="N207" s="319"/>
      <c r="O207" s="319"/>
      <c r="P207" s="320"/>
      <c r="Q207" s="319"/>
      <c r="R207" s="317"/>
      <c r="S207" s="318"/>
      <c r="T207" s="318"/>
      <c r="U207" s="318"/>
      <c r="V207" s="318"/>
      <c r="W207" s="318"/>
      <c r="X207" s="318"/>
      <c r="Y207" s="318"/>
      <c r="Z207" s="321"/>
      <c r="AD207" s="235"/>
      <c r="AE207" s="237"/>
      <c r="AF207" s="237"/>
      <c r="AG207" s="237"/>
      <c r="AH207" s="237" t="s">
        <v>921</v>
      </c>
      <c r="AI207" s="237" t="s">
        <v>922</v>
      </c>
      <c r="AJ207" s="298" t="str">
        <f>IF(BS207="","",SUM(AM207)*3)</f>
        <v/>
      </c>
      <c r="AK207" s="299" t="s">
        <v>923</v>
      </c>
      <c r="AL207" s="256"/>
      <c r="AM207" s="256" t="str">
        <f>IF(BS207="","",SUM(BS207))</f>
        <v/>
      </c>
      <c r="AN207" s="235"/>
      <c r="AO207" s="235"/>
      <c r="AP207" s="236"/>
      <c r="AQ207" s="235"/>
      <c r="AR207" s="235"/>
      <c r="AS207" s="237"/>
      <c r="AT207" s="237"/>
      <c r="AU207" s="237"/>
      <c r="AV207" s="237" t="s">
        <v>921</v>
      </c>
      <c r="AW207" s="237" t="s">
        <v>922</v>
      </c>
      <c r="AX207" s="298" t="str">
        <f>IF(BS207="","",SUM(BA207)*3)</f>
        <v/>
      </c>
      <c r="AY207" s="299" t="s">
        <v>923</v>
      </c>
      <c r="AZ207" s="256"/>
      <c r="BA207" s="256" t="str">
        <f>IF(BS207="","",SUM(CF207))</f>
        <v/>
      </c>
      <c r="BB207" s="236"/>
      <c r="BC207" s="236"/>
      <c r="BD207" s="236"/>
      <c r="BE207" s="236"/>
      <c r="BF207" s="236"/>
      <c r="BG207" s="236"/>
      <c r="BH207" s="236"/>
      <c r="BI207" s="236"/>
      <c r="BJ207" s="236"/>
      <c r="BK207" s="373">
        <f>IF(AL195=BQ207,1,0)</f>
        <v>0</v>
      </c>
      <c r="BL207" s="373">
        <f>IF(AL195=CD207,1,0)</f>
        <v>0</v>
      </c>
      <c r="BM207" s="256">
        <f>IF(BN207&gt;2,1,0)</f>
        <v>0</v>
      </c>
      <c r="BN207" s="256">
        <f>COUNT(AH198,AH199,AH200)</f>
        <v>0</v>
      </c>
      <c r="BO207" s="256" t="str">
        <f>IF(AH204="","",SUM(AH204/AJ204))</f>
        <v/>
      </c>
      <c r="BP207" s="256"/>
      <c r="BQ207" s="300">
        <f>COUNT(AK198,AK199,AK200,AK201,AK202)</f>
        <v>0</v>
      </c>
      <c r="BR207" s="256"/>
      <c r="BS207" s="256" t="str">
        <f>IF(BL204=0,IF(AJ199="","",BO207),"")</f>
        <v/>
      </c>
      <c r="BT207" s="236"/>
      <c r="BU207" s="236"/>
      <c r="BV207" s="236"/>
      <c r="BW207" s="236"/>
      <c r="BX207" s="236"/>
      <c r="BY207" s="256">
        <f>IF(CD207&gt;2,1,0)</f>
        <v>0</v>
      </c>
      <c r="BZ207" s="256">
        <f>IF(CA207&gt;2,1,0)</f>
        <v>0</v>
      </c>
      <c r="CA207" s="256">
        <f>COUNT(AV198,AV199,AV200)</f>
        <v>0</v>
      </c>
      <c r="CB207" s="256" t="str">
        <f>IF(AV204="","",SUM(AV204/AX204))</f>
        <v/>
      </c>
      <c r="CC207" s="256"/>
      <c r="CD207" s="300">
        <f>COUNT(AY198,AY199,AY200,AY201,AY202)</f>
        <v>0</v>
      </c>
      <c r="CE207" s="256"/>
      <c r="CF207" s="256" t="str">
        <f>IF(BL204=0,IF(AX199="","",CB207),"")</f>
        <v/>
      </c>
      <c r="CG207" s="236"/>
      <c r="CH207" s="188"/>
      <c r="CI207" s="188"/>
      <c r="CJ207" s="196"/>
      <c r="CK207" s="196"/>
      <c r="CL207" s="196"/>
      <c r="CM207" s="196"/>
      <c r="CN207" s="196"/>
      <c r="CO207" s="196"/>
      <c r="CP207" s="196"/>
      <c r="CQ207" s="196"/>
      <c r="CR207" s="196"/>
      <c r="CS207" s="196"/>
      <c r="CT207" s="196"/>
      <c r="CU207" s="196"/>
      <c r="CV207" s="196"/>
      <c r="CW207" s="196"/>
      <c r="CX207" s="196"/>
      <c r="CY207" s="196"/>
      <c r="CZ207" s="196"/>
      <c r="DA207" s="196"/>
      <c r="DB207" s="196"/>
      <c r="DC207" s="196"/>
      <c r="DD207" s="196"/>
      <c r="DE207" s="196"/>
      <c r="DF207" s="196"/>
      <c r="DG207" s="196"/>
      <c r="DH207" s="196"/>
      <c r="DI207" s="196"/>
      <c r="DJ207" s="196"/>
      <c r="DK207" s="196"/>
      <c r="DL207" s="196"/>
      <c r="DM207" s="196"/>
      <c r="DN207" s="196"/>
      <c r="DO207" s="196"/>
      <c r="DP207" s="196"/>
      <c r="DQ207" s="196"/>
      <c r="DR207" s="196"/>
      <c r="DS207" s="196"/>
      <c r="DT207" s="196"/>
      <c r="DU207" s="196"/>
      <c r="DV207" s="196"/>
      <c r="DW207" s="196"/>
      <c r="DX207" s="196"/>
      <c r="DY207" s="196"/>
      <c r="DZ207" s="196"/>
      <c r="EA207" s="196"/>
      <c r="EB207" s="196"/>
      <c r="EC207" s="196"/>
      <c r="ED207" s="196"/>
      <c r="EE207" s="196"/>
      <c r="EF207" s="196"/>
      <c r="EG207" s="196"/>
      <c r="EH207" s="196"/>
      <c r="EI207" s="196"/>
      <c r="EJ207" s="196"/>
      <c r="EK207" s="196"/>
      <c r="EL207" s="196"/>
      <c r="EM207" s="196"/>
      <c r="EN207" s="196"/>
      <c r="EO207" s="196"/>
      <c r="EP207" s="196"/>
      <c r="EQ207" s="196"/>
      <c r="ER207" s="196"/>
      <c r="ES207" s="196"/>
      <c r="ET207" s="301"/>
      <c r="EU207" s="196"/>
      <c r="EV207" s="196"/>
      <c r="EW207" s="196"/>
      <c r="EX207" s="196"/>
      <c r="EY207" s="196"/>
      <c r="EZ207" s="196"/>
      <c r="FA207" s="196"/>
      <c r="FB207" s="196"/>
      <c r="FC207" s="196"/>
      <c r="FD207" s="196"/>
      <c r="FE207" s="196"/>
      <c r="FF207" s="196"/>
      <c r="FG207" s="196"/>
      <c r="FH207" s="196"/>
      <c r="FI207" s="196"/>
      <c r="FJ207" s="196"/>
      <c r="FK207" s="196"/>
      <c r="FL207" s="196"/>
      <c r="FM207" s="196"/>
      <c r="FN207" s="196"/>
      <c r="FO207" s="301"/>
      <c r="FP207" s="196"/>
      <c r="FQ207" s="196"/>
      <c r="FR207" s="196"/>
      <c r="FS207" s="196"/>
      <c r="FT207" s="196"/>
      <c r="FU207" s="196"/>
      <c r="FV207" s="196"/>
      <c r="FW207" s="196"/>
      <c r="FX207" s="196"/>
      <c r="FY207" s="196"/>
      <c r="FZ207" s="196"/>
      <c r="GA207" s="196"/>
      <c r="GB207" s="238"/>
      <c r="GC207" s="238"/>
      <c r="GD207" s="341"/>
      <c r="GE207" s="341"/>
      <c r="GF207" s="341"/>
      <c r="GG207" s="341"/>
      <c r="GH207" s="341"/>
      <c r="GI207" s="341"/>
      <c r="GJ207" s="341"/>
      <c r="GK207" s="341"/>
      <c r="GL207" s="341"/>
      <c r="GM207" s="341"/>
      <c r="GN207" s="341"/>
      <c r="GO207" s="341"/>
      <c r="GP207" s="341"/>
      <c r="GQ207" s="341"/>
      <c r="GR207" s="341"/>
      <c r="GS207" s="341"/>
      <c r="GT207" s="341"/>
      <c r="GU207" s="341"/>
      <c r="GV207" s="341"/>
      <c r="GW207" s="341"/>
      <c r="GX207" s="341"/>
      <c r="GY207" s="341"/>
      <c r="GZ207" s="341"/>
      <c r="HA207" s="341"/>
      <c r="HB207" s="341"/>
      <c r="HC207" s="341"/>
      <c r="HD207" s="341"/>
      <c r="HE207" s="341"/>
      <c r="HF207" s="341"/>
      <c r="HG207" s="341"/>
      <c r="HH207" s="341"/>
      <c r="HI207" s="341"/>
      <c r="HJ207" s="341"/>
      <c r="HK207" s="341"/>
      <c r="HL207" s="341"/>
      <c r="HM207" s="341"/>
      <c r="HN207" s="341"/>
      <c r="HO207" s="341"/>
      <c r="HP207" s="341"/>
      <c r="HQ207" s="341"/>
      <c r="HR207" s="341"/>
      <c r="HS207" s="238"/>
      <c r="HT207" s="238"/>
      <c r="HU207" s="238"/>
      <c r="HV207" s="238"/>
      <c r="HX207" s="238"/>
      <c r="HY207" s="238"/>
      <c r="ID207" s="238"/>
    </row>
    <row r="208" spans="1:238" ht="14.1" customHeight="1">
      <c r="B208" s="214"/>
      <c r="C208" s="171"/>
      <c r="D208" s="171"/>
      <c r="E208" s="171"/>
      <c r="F208" s="171"/>
      <c r="G208" s="171"/>
      <c r="H208" s="171"/>
      <c r="I208" s="171"/>
      <c r="J208" s="171"/>
      <c r="K208" s="171"/>
      <c r="L208" s="171"/>
      <c r="M208" s="171"/>
      <c r="N208" s="171"/>
      <c r="O208" s="171"/>
      <c r="P208" s="171"/>
      <c r="Q208" s="171"/>
      <c r="R208" s="171"/>
      <c r="S208" s="171"/>
      <c r="T208" s="171"/>
      <c r="U208" s="171"/>
      <c r="V208" s="171"/>
      <c r="W208" s="171"/>
      <c r="X208" s="171"/>
      <c r="Y208" s="171"/>
      <c r="Z208" s="302"/>
      <c r="AA208" s="215"/>
      <c r="AB208" s="215"/>
      <c r="AC208" s="215"/>
      <c r="AD208" s="215"/>
      <c r="AE208" s="215"/>
      <c r="AF208" s="215"/>
      <c r="BB208" s="215"/>
      <c r="BC208" s="215"/>
      <c r="BD208" s="215"/>
      <c r="BE208" s="215"/>
      <c r="BF208" s="215"/>
      <c r="BG208" s="215"/>
      <c r="BH208" s="215"/>
      <c r="GD208" s="339"/>
      <c r="GE208" s="339"/>
      <c r="GF208" s="339"/>
      <c r="GG208" s="339"/>
      <c r="GH208" s="339"/>
      <c r="GI208" s="339"/>
      <c r="GJ208" s="339"/>
      <c r="GK208" s="339"/>
      <c r="GL208" s="339"/>
      <c r="GM208" s="339"/>
      <c r="GN208" s="339"/>
      <c r="GO208" s="339"/>
      <c r="GP208" s="339"/>
      <c r="GQ208" s="339"/>
      <c r="GR208" s="339"/>
      <c r="GS208" s="339"/>
      <c r="GT208" s="339"/>
      <c r="GU208" s="339"/>
      <c r="GV208" s="339"/>
      <c r="GW208" s="339"/>
      <c r="GX208" s="339"/>
      <c r="GY208" s="339"/>
      <c r="GZ208" s="339"/>
      <c r="HA208" s="339"/>
      <c r="HB208" s="339"/>
      <c r="HC208" s="339"/>
      <c r="HD208" s="339"/>
      <c r="HE208" s="339"/>
      <c r="HF208" s="339"/>
      <c r="HG208" s="339"/>
      <c r="HH208" s="339"/>
      <c r="HI208" s="339"/>
      <c r="HJ208" s="339"/>
      <c r="HK208" s="339"/>
      <c r="HL208" s="339"/>
      <c r="HM208" s="339"/>
      <c r="HN208" s="339"/>
      <c r="HO208" s="339"/>
      <c r="HP208" s="339"/>
      <c r="HQ208" s="339"/>
      <c r="HR208" s="339"/>
    </row>
    <row r="209" spans="1:238" ht="24" customHeight="1">
      <c r="B209" s="216"/>
      <c r="C209" s="181"/>
      <c r="D209" s="181"/>
      <c r="E209" s="181"/>
      <c r="F209" s="181"/>
      <c r="G209" s="181"/>
      <c r="H209" s="181"/>
      <c r="I209" s="181"/>
      <c r="J209" s="181"/>
      <c r="K209" s="185"/>
      <c r="L209" s="217"/>
      <c r="M209" s="218"/>
      <c r="N209" s="327" t="str">
        <f>CONCATENATE(AG209," ",AH209)</f>
        <v>Spiel 15</v>
      </c>
      <c r="O209" s="218"/>
      <c r="P209" s="219"/>
      <c r="Q209" s="185"/>
      <c r="R209" s="181"/>
      <c r="S209" s="181"/>
      <c r="T209" s="181"/>
      <c r="U209" s="181"/>
      <c r="V209" s="181"/>
      <c r="W209" s="181"/>
      <c r="X209" s="181"/>
      <c r="Y209" s="181"/>
      <c r="Z209" s="303"/>
      <c r="AA209" s="200"/>
      <c r="AB209" s="200"/>
      <c r="AC209" s="200"/>
      <c r="AD209" s="200"/>
      <c r="AE209" s="200"/>
      <c r="AF209" s="200"/>
      <c r="AG209" s="200" t="s">
        <v>863</v>
      </c>
      <c r="AH209" s="220">
        <v>15</v>
      </c>
      <c r="AI209" s="173">
        <f>VLOOKUP(AH209,Chema!R:T,3,FALSE)</f>
        <v>2.2999999999999998</v>
      </c>
      <c r="AJ209" s="200" t="str">
        <f>VLOOKUP(AH209,Chema!BL:BQ,6,FALSE)</f>
        <v>2.3*</v>
      </c>
      <c r="AK209" s="200" t="str">
        <f>VLOOKUP(AH209,'Matchblatt  FEUILLE DE MATCH'!AI:AJ,2,FALSE)</f>
        <v>S</v>
      </c>
      <c r="AL209" s="200">
        <f>VLOOKUP(AH209,Chema!R:U,4,FALSE)</f>
        <v>5</v>
      </c>
      <c r="AM209" s="215" t="str">
        <f>VLOOKUP(AH209,'Matchblatt  FEUILLE DE MATCH'!AI:AS,10,FALSE)</f>
        <v/>
      </c>
      <c r="AN209" s="215"/>
      <c r="AO209" s="215"/>
      <c r="AP209" s="215"/>
      <c r="AQ209" s="215"/>
      <c r="AR209" s="215"/>
      <c r="AS209" s="215"/>
      <c r="AT209" s="215"/>
      <c r="AU209" s="215"/>
      <c r="AV209" s="215"/>
      <c r="AW209" s="215"/>
      <c r="AX209" s="215"/>
      <c r="AY209" s="215"/>
      <c r="AZ209" s="215"/>
      <c r="BA209" s="215" t="str">
        <f>VLOOKUP(AH209,'Matchblatt  FEUILLE DE MATCH'!AI:AS,11,FALSE)</f>
        <v/>
      </c>
      <c r="BB209" s="200"/>
      <c r="BC209" s="200"/>
      <c r="BD209" s="200"/>
      <c r="BE209" s="200"/>
      <c r="BF209" s="200"/>
      <c r="BG209" s="200"/>
      <c r="BH209" s="200"/>
      <c r="BK209" s="196"/>
      <c r="BL209" s="196"/>
      <c r="BM209" s="196"/>
      <c r="BN209" s="196"/>
      <c r="BO209" s="196"/>
      <c r="BP209" s="196"/>
      <c r="BQ209" s="221" t="s">
        <v>843</v>
      </c>
      <c r="BR209" s="222"/>
      <c r="BS209" s="222"/>
      <c r="BT209" s="223"/>
      <c r="BU209" s="222" t="s">
        <v>843</v>
      </c>
      <c r="BV209" s="222"/>
      <c r="BW209" s="222"/>
      <c r="BX209" s="224"/>
      <c r="BY209" s="222"/>
      <c r="BZ209" s="222"/>
      <c r="CA209" s="222"/>
      <c r="CB209" s="222"/>
      <c r="CC209" s="222"/>
      <c r="CD209" s="222"/>
      <c r="CE209" s="222"/>
      <c r="CF209" s="222"/>
      <c r="CG209" s="224"/>
      <c r="CH209" s="222"/>
      <c r="CI209" s="222"/>
      <c r="CJ209" s="223"/>
      <c r="CK209" s="196"/>
      <c r="CL209" s="196"/>
      <c r="CM209" s="196"/>
      <c r="CN209" s="196"/>
      <c r="CO209" s="196"/>
      <c r="CP209" s="196"/>
      <c r="CQ209" s="196"/>
      <c r="CR209" s="196"/>
      <c r="CS209" s="196"/>
      <c r="CT209" s="196"/>
      <c r="CU209" s="196"/>
      <c r="CV209" s="196"/>
      <c r="CW209" s="196"/>
      <c r="CX209" s="196"/>
      <c r="CY209" s="196"/>
      <c r="CZ209" s="196"/>
      <c r="DA209" s="196"/>
      <c r="DB209" s="196"/>
      <c r="DC209" s="196"/>
      <c r="DD209" s="196"/>
      <c r="DE209" s="196"/>
      <c r="DF209" s="196"/>
      <c r="DG209" s="196"/>
      <c r="DH209" s="196"/>
      <c r="DI209" s="196"/>
      <c r="DJ209" s="196"/>
      <c r="DK209" s="196"/>
      <c r="DL209" s="196"/>
      <c r="DM209" s="196"/>
      <c r="DN209" s="196"/>
      <c r="DO209" s="196"/>
      <c r="DP209" s="196"/>
      <c r="DQ209" s="196"/>
      <c r="DR209" s="196"/>
      <c r="DS209" s="196"/>
      <c r="DT209" s="196"/>
      <c r="DU209" s="196"/>
      <c r="DV209" s="196"/>
      <c r="DW209" s="196"/>
      <c r="DX209" s="196"/>
      <c r="DY209" s="196"/>
      <c r="DZ209" s="196"/>
      <c r="EA209" s="196"/>
      <c r="EB209" s="196"/>
      <c r="EC209" s="196"/>
      <c r="ED209" s="196"/>
      <c r="EE209" s="196"/>
      <c r="EF209" s="196"/>
      <c r="EG209" s="196"/>
      <c r="EH209" s="196"/>
      <c r="EI209" s="196"/>
      <c r="EJ209" s="196"/>
      <c r="EK209" s="196"/>
      <c r="EL209" s="196"/>
      <c r="EM209" s="221" t="s">
        <v>7</v>
      </c>
      <c r="EN209" s="222"/>
      <c r="EO209" s="222"/>
      <c r="EP209" s="222"/>
      <c r="EQ209" s="222"/>
      <c r="ER209" s="222"/>
      <c r="ES209" s="222"/>
      <c r="ET209" s="224"/>
      <c r="EU209" s="222"/>
      <c r="EV209" s="222"/>
      <c r="EW209" s="222"/>
      <c r="EX209" s="222"/>
      <c r="EY209" s="222"/>
      <c r="EZ209" s="222"/>
      <c r="FA209" s="222"/>
      <c r="FB209" s="222"/>
      <c r="FC209" s="222"/>
      <c r="FD209" s="222"/>
      <c r="FE209" s="223"/>
      <c r="FF209" s="196"/>
      <c r="FG209" s="196"/>
      <c r="FH209" s="221" t="s">
        <v>12</v>
      </c>
      <c r="FI209" s="222"/>
      <c r="FJ209" s="222"/>
      <c r="FK209" s="222"/>
      <c r="FL209" s="222"/>
      <c r="FM209" s="222"/>
      <c r="FN209" s="222"/>
      <c r="FO209" s="224"/>
      <c r="FP209" s="222"/>
      <c r="FQ209" s="222"/>
      <c r="FR209" s="222"/>
      <c r="FS209" s="222"/>
      <c r="FT209" s="222"/>
      <c r="FU209" s="222"/>
      <c r="FV209" s="222"/>
      <c r="FW209" s="222"/>
      <c r="FX209" s="222"/>
      <c r="FY209" s="222"/>
      <c r="FZ209" s="223"/>
      <c r="GA209" s="196"/>
      <c r="GD209" s="339"/>
      <c r="GE209" s="339"/>
      <c r="GF209" s="339"/>
      <c r="GG209" s="339"/>
      <c r="GH209" s="339"/>
      <c r="GI209" s="339"/>
      <c r="GJ209" s="339"/>
      <c r="GK209" s="339"/>
      <c r="GL209" s="339"/>
      <c r="GM209" s="339"/>
      <c r="GN209" s="339"/>
      <c r="GO209" s="339"/>
      <c r="GP209" s="339"/>
      <c r="GQ209" s="339"/>
      <c r="GR209" s="339"/>
      <c r="GS209" s="339"/>
      <c r="GT209" s="339"/>
      <c r="GU209" s="339"/>
      <c r="GV209" s="339"/>
      <c r="GW209" s="339"/>
      <c r="GX209" s="339"/>
      <c r="GY209" s="339"/>
      <c r="GZ209" s="339"/>
      <c r="HA209" s="339"/>
      <c r="HB209" s="339"/>
      <c r="HC209" s="339"/>
      <c r="HD209" s="339"/>
      <c r="HE209" s="339"/>
      <c r="HF209" s="339"/>
      <c r="HG209" s="339"/>
      <c r="HH209" s="339"/>
      <c r="HI209" s="339"/>
      <c r="HJ209" s="339"/>
      <c r="HK209" s="339"/>
      <c r="HL209" s="339"/>
      <c r="HM209" s="339"/>
      <c r="HN209" s="339"/>
      <c r="HO209" s="339"/>
      <c r="HP209" s="339"/>
      <c r="HQ209" s="339"/>
      <c r="HR209" s="339"/>
    </row>
    <row r="210" spans="1:238" ht="14.1" customHeight="1">
      <c r="B210" s="225"/>
      <c r="C210" s="304"/>
      <c r="D210" s="304"/>
      <c r="E210" s="304"/>
      <c r="F210" s="304"/>
      <c r="G210" s="304"/>
      <c r="H210" s="304"/>
      <c r="I210" s="304"/>
      <c r="J210" s="304"/>
      <c r="K210" s="166"/>
      <c r="L210" s="166"/>
      <c r="M210" s="166"/>
      <c r="N210" s="304"/>
      <c r="O210" s="304"/>
      <c r="P210" s="166"/>
      <c r="Q210" s="166"/>
      <c r="R210" s="304"/>
      <c r="S210" s="304"/>
      <c r="T210" s="304"/>
      <c r="U210" s="304"/>
      <c r="V210" s="304"/>
      <c r="W210" s="304"/>
      <c r="X210" s="166"/>
      <c r="Y210" s="166"/>
      <c r="Z210" s="305"/>
      <c r="AA210" s="63"/>
      <c r="AB210" s="63"/>
      <c r="AC210" s="63"/>
      <c r="AD210" s="63"/>
      <c r="AE210" s="63"/>
      <c r="AF210" s="63"/>
      <c r="AJ210" s="173" t="str">
        <f>VLOOKUP(AH209,Chema!BL:BR,7,FALSE)</f>
        <v/>
      </c>
      <c r="AL210" s="200"/>
      <c r="AM210" s="200" t="str">
        <f>IF(AK209="D",VLOOKUP(AJ210,'Matchblatt  FEUILLE DE MATCH'!AK:AS,8,FALSE),"")</f>
        <v/>
      </c>
      <c r="AN210" s="200"/>
      <c r="AO210" s="200"/>
      <c r="AP210" s="200"/>
      <c r="AQ210" s="200"/>
      <c r="AR210" s="200"/>
      <c r="AS210" s="200"/>
      <c r="AT210" s="200"/>
      <c r="AU210" s="200"/>
      <c r="AV210" s="200"/>
      <c r="AW210" s="200"/>
      <c r="AX210" s="200"/>
      <c r="AY210" s="200"/>
      <c r="AZ210" s="200"/>
      <c r="BA210" s="200" t="str">
        <f>IF(AK209="D",VLOOKUP(AJ210,'Matchblatt  FEUILLE DE MATCH'!AK:AS,9,FALSE),"")</f>
        <v/>
      </c>
      <c r="BB210" s="63"/>
      <c r="BC210" s="63"/>
      <c r="BD210" s="63"/>
      <c r="BE210" s="63"/>
      <c r="BF210" s="63"/>
      <c r="BG210" s="63"/>
      <c r="BH210" s="63"/>
      <c r="BK210" s="166" t="s">
        <v>7</v>
      </c>
      <c r="BL210" s="166" t="s">
        <v>12</v>
      </c>
      <c r="BM210" s="166"/>
      <c r="BN210" s="166" t="s">
        <v>7</v>
      </c>
      <c r="BO210" s="166" t="s">
        <v>12</v>
      </c>
      <c r="BP210" s="166"/>
      <c r="BQ210" s="226" t="s">
        <v>894</v>
      </c>
      <c r="BR210" s="227" t="s">
        <v>895</v>
      </c>
      <c r="BS210" s="228" t="s">
        <v>896</v>
      </c>
      <c r="BT210" s="229"/>
      <c r="BU210" s="226" t="s">
        <v>7</v>
      </c>
      <c r="BV210" s="166"/>
      <c r="BW210" s="166"/>
      <c r="BX210" s="230"/>
      <c r="BY210" s="166"/>
      <c r="BZ210" s="166"/>
      <c r="CA210" s="227"/>
      <c r="CB210" s="166"/>
      <c r="CC210" s="166"/>
      <c r="CD210" s="226" t="s">
        <v>12</v>
      </c>
      <c r="CE210" s="166"/>
      <c r="CF210" s="166"/>
      <c r="CG210" s="230"/>
      <c r="CH210" s="166"/>
      <c r="CI210" s="166"/>
      <c r="CJ210" s="227"/>
      <c r="CK210" s="166"/>
      <c r="CL210" s="166" t="s">
        <v>897</v>
      </c>
      <c r="CM210" s="166"/>
      <c r="CN210" s="166"/>
      <c r="CO210" s="166"/>
      <c r="CP210" s="166"/>
      <c r="CQ210" s="166"/>
      <c r="CR210" s="166"/>
      <c r="CS210" s="166"/>
      <c r="CT210" s="166"/>
      <c r="CU210" s="166" t="s">
        <v>843</v>
      </c>
      <c r="CV210" s="166"/>
      <c r="CW210" s="166" t="s">
        <v>843</v>
      </c>
      <c r="CX210" s="166"/>
      <c r="CY210" s="166"/>
      <c r="CZ210" s="166"/>
      <c r="DA210" s="166"/>
      <c r="DB210" s="166"/>
      <c r="DC210" s="166"/>
      <c r="DD210" s="166" t="s">
        <v>894</v>
      </c>
      <c r="DE210" s="166" t="s">
        <v>895</v>
      </c>
      <c r="DF210" s="166"/>
      <c r="DG210" s="166" t="s">
        <v>927</v>
      </c>
      <c r="DH210" s="166"/>
      <c r="DI210" s="166"/>
      <c r="DJ210" s="166"/>
      <c r="DK210" s="166"/>
      <c r="DL210" s="166"/>
      <c r="DM210" s="166"/>
      <c r="DN210" s="166" t="s">
        <v>928</v>
      </c>
      <c r="DO210" s="166" t="s">
        <v>929</v>
      </c>
      <c r="DP210" s="166"/>
      <c r="DQ210" s="166"/>
      <c r="DR210" s="166"/>
      <c r="DS210" s="166"/>
      <c r="DT210" s="166"/>
      <c r="DU210" s="166"/>
      <c r="DV210" s="166" t="s">
        <v>894</v>
      </c>
      <c r="DW210" s="166" t="s">
        <v>895</v>
      </c>
      <c r="DX210" s="166"/>
      <c r="DY210" s="166"/>
      <c r="DZ210" s="166"/>
      <c r="EA210" s="166"/>
      <c r="EB210" s="166"/>
      <c r="EC210" s="166"/>
      <c r="ED210" s="166" t="s">
        <v>894</v>
      </c>
      <c r="EE210" s="166" t="s">
        <v>895</v>
      </c>
      <c r="EF210" s="166"/>
      <c r="EG210" s="166"/>
      <c r="EH210" s="166"/>
      <c r="EI210" s="166"/>
      <c r="EJ210" s="166"/>
      <c r="EK210" s="166"/>
      <c r="EL210" s="166"/>
      <c r="EM210" s="166"/>
      <c r="EN210" s="166"/>
      <c r="EO210" s="166"/>
      <c r="EP210" s="166"/>
      <c r="EQ210" s="166"/>
      <c r="ER210" s="166"/>
      <c r="ES210" s="166"/>
      <c r="ET210" s="230"/>
      <c r="EU210" s="166"/>
      <c r="EV210" s="166"/>
      <c r="EW210" s="166"/>
      <c r="EX210" s="166"/>
      <c r="EY210" s="166"/>
      <c r="EZ210" s="166"/>
      <c r="FA210" s="166"/>
      <c r="FB210" s="166"/>
      <c r="FC210" s="166"/>
      <c r="FD210" s="166"/>
      <c r="FE210" s="166"/>
      <c r="FF210" s="166"/>
      <c r="FG210" s="166"/>
      <c r="FH210" s="166"/>
      <c r="FI210" s="166"/>
      <c r="FJ210" s="166"/>
      <c r="FK210" s="166"/>
      <c r="FL210" s="166"/>
      <c r="FM210" s="166"/>
      <c r="FN210" s="166"/>
      <c r="FO210" s="230"/>
      <c r="FP210" s="166"/>
      <c r="FQ210" s="166"/>
      <c r="FR210" s="166"/>
      <c r="FS210" s="166"/>
      <c r="FT210" s="166"/>
      <c r="FU210" s="166"/>
      <c r="FV210" s="166"/>
      <c r="FW210" s="166"/>
      <c r="FX210" s="166"/>
      <c r="FY210" s="166"/>
      <c r="FZ210" s="166"/>
      <c r="GA210" s="166"/>
      <c r="GD210" s="339"/>
      <c r="GE210" s="339"/>
      <c r="GF210" s="339"/>
      <c r="GG210" s="339"/>
      <c r="GH210" s="339"/>
      <c r="GI210" s="339"/>
      <c r="GJ210" s="339"/>
      <c r="GK210" s="339"/>
      <c r="GL210" s="339"/>
      <c r="GM210" s="339"/>
      <c r="GN210" s="339"/>
      <c r="GO210" s="339"/>
      <c r="GP210" s="339"/>
      <c r="GQ210" s="339"/>
      <c r="GR210" s="339"/>
      <c r="GS210" s="339"/>
      <c r="GT210" s="339"/>
      <c r="GU210" s="339"/>
      <c r="GV210" s="339"/>
      <c r="GW210" s="339"/>
      <c r="GX210" s="339"/>
      <c r="GY210" s="339"/>
      <c r="GZ210" s="339"/>
      <c r="HA210" s="339"/>
      <c r="HB210" s="339"/>
      <c r="HC210" s="339"/>
      <c r="HD210" s="339"/>
      <c r="HE210" s="339"/>
      <c r="HF210" s="339"/>
      <c r="HG210" s="339"/>
      <c r="HH210" s="339"/>
      <c r="HI210" s="339"/>
      <c r="HJ210" s="339"/>
      <c r="HK210" s="339"/>
      <c r="HL210" s="339"/>
      <c r="HM210" s="339"/>
      <c r="HN210" s="339"/>
      <c r="HO210" s="339"/>
      <c r="HP210" s="339"/>
      <c r="HQ210" s="339"/>
      <c r="HR210" s="339"/>
    </row>
    <row r="211" spans="1:238" s="234" customFormat="1" ht="20.100000000000001" customHeight="1">
      <c r="A211" s="235"/>
      <c r="B211" s="231"/>
      <c r="C211" s="232" t="str">
        <f>REPT(Sprache!$K$12,1)</f>
        <v>SPIEL</v>
      </c>
      <c r="D211" s="233" t="s">
        <v>869</v>
      </c>
      <c r="E211" s="233" t="str">
        <f>REPT(Sprache!$K$62,1)</f>
        <v>Punkte</v>
      </c>
      <c r="F211" s="233" t="str">
        <f>REPT(Sprache!$K$61,1)</f>
        <v>Rest</v>
      </c>
      <c r="G211" s="233" t="s">
        <v>898</v>
      </c>
      <c r="H211" s="233" t="s">
        <v>848</v>
      </c>
      <c r="I211" s="233">
        <v>180</v>
      </c>
      <c r="J211" s="233" t="str">
        <f>REPT(Sprache!$K$63,1)</f>
        <v>Fehler</v>
      </c>
      <c r="L211" s="306" t="s">
        <v>923</v>
      </c>
      <c r="M211" s="307"/>
      <c r="P211" s="306" t="s">
        <v>923</v>
      </c>
      <c r="R211" s="232" t="str">
        <f>REPT(Sprache!$K$12,1)</f>
        <v>SPIEL</v>
      </c>
      <c r="S211" s="233" t="s">
        <v>869</v>
      </c>
      <c r="T211" s="233" t="str">
        <f>REPT(Sprache!$K$62,1)</f>
        <v>Punkte</v>
      </c>
      <c r="U211" s="233" t="str">
        <f>REPT(Sprache!$K$61,1)</f>
        <v>Rest</v>
      </c>
      <c r="V211" s="233" t="s">
        <v>898</v>
      </c>
      <c r="W211" s="233" t="s">
        <v>848</v>
      </c>
      <c r="X211" s="233">
        <v>180</v>
      </c>
      <c r="Y211" s="233" t="str">
        <f>REPT(Sprache!$K$63,1)</f>
        <v>Fehler</v>
      </c>
      <c r="Z211" s="308"/>
      <c r="AD211" s="235"/>
      <c r="AE211" s="236" t="s">
        <v>966</v>
      </c>
      <c r="AF211" s="236" t="s">
        <v>967</v>
      </c>
      <c r="AG211" s="236" t="s">
        <v>965</v>
      </c>
      <c r="AH211" s="237" t="str">
        <f>LEFT($BM$6,10)</f>
        <v/>
      </c>
      <c r="AI211" s="237" t="str">
        <f>LEFT($BN$6,10)</f>
        <v/>
      </c>
      <c r="AJ211" s="237" t="s">
        <v>898</v>
      </c>
      <c r="AK211" s="237" t="s">
        <v>848</v>
      </c>
      <c r="AL211" s="237">
        <v>180</v>
      </c>
      <c r="AM211" s="237" t="str">
        <f>LEFT($BL$6,50)</f>
        <v/>
      </c>
      <c r="AN211" s="235"/>
      <c r="AO211" s="235"/>
      <c r="AP211" s="235"/>
      <c r="AQ211" s="235"/>
      <c r="AR211" s="235"/>
      <c r="AS211" s="235"/>
      <c r="AT211" s="235"/>
      <c r="AU211" s="235"/>
      <c r="AV211" s="237" t="str">
        <f>LEFT($BM$6,10)</f>
        <v/>
      </c>
      <c r="AW211" s="237" t="str">
        <f>LEFT($BN$6,10)</f>
        <v/>
      </c>
      <c r="AX211" s="237" t="s">
        <v>898</v>
      </c>
      <c r="AY211" s="237" t="s">
        <v>848</v>
      </c>
      <c r="AZ211" s="237">
        <v>180</v>
      </c>
      <c r="BA211" s="237" t="str">
        <f>LEFT($BL$6,50)</f>
        <v/>
      </c>
      <c r="BI211" s="238"/>
      <c r="BJ211" s="238"/>
      <c r="BK211" s="238" t="s">
        <v>165</v>
      </c>
      <c r="BL211" s="238" t="s">
        <v>165</v>
      </c>
      <c r="BM211" s="239" t="s">
        <v>165</v>
      </c>
      <c r="BN211" s="239" t="s">
        <v>899</v>
      </c>
      <c r="BO211" s="239" t="s">
        <v>899</v>
      </c>
      <c r="BP211" s="239" t="s">
        <v>900</v>
      </c>
      <c r="BQ211" s="240" t="s">
        <v>901</v>
      </c>
      <c r="BR211" s="241"/>
      <c r="BS211" s="242" t="s">
        <v>926</v>
      </c>
      <c r="BT211" s="243"/>
      <c r="BU211" s="242" t="s">
        <v>902</v>
      </c>
      <c r="BV211" s="238"/>
      <c r="BW211" s="238"/>
      <c r="BX211" s="244"/>
      <c r="BY211" s="238"/>
      <c r="BZ211" s="238" t="s">
        <v>903</v>
      </c>
      <c r="CA211" s="243" t="s">
        <v>904</v>
      </c>
      <c r="CB211" s="238"/>
      <c r="CC211" s="238"/>
      <c r="CD211" s="242" t="s">
        <v>902</v>
      </c>
      <c r="CE211" s="238"/>
      <c r="CF211" s="238"/>
      <c r="CG211" s="244"/>
      <c r="CH211" s="238"/>
      <c r="CI211" s="238" t="s">
        <v>903</v>
      </c>
      <c r="CJ211" s="243" t="s">
        <v>904</v>
      </c>
      <c r="CK211" s="238"/>
      <c r="CL211" s="245" t="s">
        <v>905</v>
      </c>
      <c r="CM211" s="245" t="s">
        <v>906</v>
      </c>
      <c r="CN211" s="245" t="s">
        <v>907</v>
      </c>
      <c r="CO211" s="245" t="s">
        <v>908</v>
      </c>
      <c r="CP211" s="245" t="s">
        <v>909</v>
      </c>
      <c r="CQ211" s="246" t="s">
        <v>910</v>
      </c>
      <c r="CR211" s="247"/>
      <c r="CS211" s="246" t="s">
        <v>911</v>
      </c>
      <c r="CT211" s="248"/>
      <c r="CU211" s="246" t="s">
        <v>912</v>
      </c>
      <c r="CV211" s="248"/>
      <c r="CW211" s="246" t="s">
        <v>913</v>
      </c>
      <c r="CX211" s="248"/>
      <c r="CY211" s="238"/>
      <c r="CZ211" s="238"/>
      <c r="DA211" s="238"/>
      <c r="DB211" s="238"/>
      <c r="DC211" s="249" t="s">
        <v>165</v>
      </c>
      <c r="DD211" s="249" t="s">
        <v>165</v>
      </c>
      <c r="DE211" s="249" t="s">
        <v>165</v>
      </c>
      <c r="DF211" s="238"/>
      <c r="DG211" s="238" t="s">
        <v>914</v>
      </c>
      <c r="DH211" s="238" t="s">
        <v>930</v>
      </c>
      <c r="DI211" s="238" t="s">
        <v>931</v>
      </c>
      <c r="DK211" s="238" t="s">
        <v>932</v>
      </c>
      <c r="DL211" s="238" t="s">
        <v>933</v>
      </c>
      <c r="DM211" s="238" t="s">
        <v>869</v>
      </c>
      <c r="DN211" s="230" t="s">
        <v>915</v>
      </c>
      <c r="DO211" s="250" t="s">
        <v>915</v>
      </c>
      <c r="DP211" s="322" t="s">
        <v>934</v>
      </c>
      <c r="DQ211" s="238"/>
      <c r="DR211" s="166" t="s">
        <v>894</v>
      </c>
      <c r="DS211" s="166" t="s">
        <v>895</v>
      </c>
      <c r="DT211" s="166" t="s">
        <v>935</v>
      </c>
      <c r="DU211" s="166" t="s">
        <v>936</v>
      </c>
      <c r="DV211" s="251" t="s">
        <v>165</v>
      </c>
      <c r="DW211" s="251" t="s">
        <v>165</v>
      </c>
      <c r="DX211" s="238" t="s">
        <v>916</v>
      </c>
      <c r="DY211" s="238"/>
      <c r="DZ211" s="238"/>
      <c r="EA211" s="238"/>
      <c r="EB211" s="238"/>
      <c r="EC211" s="238"/>
      <c r="ED211" s="251" t="s">
        <v>165</v>
      </c>
      <c r="EE211" s="251" t="s">
        <v>165</v>
      </c>
      <c r="EF211" s="166"/>
      <c r="EG211" s="238"/>
      <c r="EH211" s="238"/>
      <c r="EI211" s="238"/>
      <c r="EJ211" s="238"/>
      <c r="EK211" s="238"/>
      <c r="EL211" s="238"/>
      <c r="EM211" s="238"/>
      <c r="EN211" s="238"/>
      <c r="EO211" s="246" t="s">
        <v>917</v>
      </c>
      <c r="EP211" s="247"/>
      <c r="EQ211" s="247"/>
      <c r="ER211" s="247"/>
      <c r="ES211" s="247"/>
      <c r="ET211" s="252"/>
      <c r="EU211" s="248"/>
      <c r="EV211" s="246" t="s">
        <v>918</v>
      </c>
      <c r="EW211" s="247"/>
      <c r="EX211" s="248"/>
      <c r="EY211" s="251" t="s">
        <v>165</v>
      </c>
      <c r="EZ211" s="246" t="s">
        <v>919</v>
      </c>
      <c r="FA211" s="247"/>
      <c r="FB211" s="248"/>
      <c r="FC211" s="246" t="s">
        <v>920</v>
      </c>
      <c r="FD211" s="247"/>
      <c r="FE211" s="248"/>
      <c r="FF211" s="238"/>
      <c r="FG211" s="238"/>
      <c r="FH211" s="238"/>
      <c r="FI211" s="238"/>
      <c r="FJ211" s="246" t="s">
        <v>917</v>
      </c>
      <c r="FK211" s="247"/>
      <c r="FL211" s="247"/>
      <c r="FM211" s="247"/>
      <c r="FN211" s="247"/>
      <c r="FO211" s="252"/>
      <c r="FP211" s="248"/>
      <c r="FQ211" s="246" t="s">
        <v>918</v>
      </c>
      <c r="FR211" s="247"/>
      <c r="FS211" s="248"/>
      <c r="FT211" s="251" t="s">
        <v>165</v>
      </c>
      <c r="FU211" s="246" t="s">
        <v>919</v>
      </c>
      <c r="FV211" s="247"/>
      <c r="FW211" s="248"/>
      <c r="FX211" s="246" t="s">
        <v>920</v>
      </c>
      <c r="FY211" s="247"/>
      <c r="FZ211" s="248"/>
      <c r="GD211" s="340"/>
      <c r="GE211" s="340"/>
      <c r="GF211" s="341" t="s">
        <v>968</v>
      </c>
      <c r="GG211" s="340"/>
      <c r="GH211" s="340"/>
      <c r="GI211" s="340"/>
      <c r="GJ211" s="341" t="s">
        <v>972</v>
      </c>
      <c r="GK211" s="340"/>
      <c r="GL211" s="340"/>
      <c r="GM211" s="340"/>
      <c r="GN211" s="341" t="s">
        <v>971</v>
      </c>
      <c r="GO211" s="340"/>
      <c r="GP211" s="340"/>
      <c r="GQ211" s="340"/>
      <c r="GR211" s="341" t="s">
        <v>970</v>
      </c>
      <c r="GS211" s="340"/>
      <c r="GT211" s="340"/>
      <c r="GU211" s="340"/>
      <c r="GV211" s="341" t="s">
        <v>969</v>
      </c>
      <c r="GW211" s="340"/>
      <c r="GX211" s="340"/>
      <c r="GY211" s="340"/>
      <c r="GZ211" s="342" t="s">
        <v>973</v>
      </c>
      <c r="HA211" s="340"/>
      <c r="HB211" s="340"/>
      <c r="HC211" s="340"/>
      <c r="HD211" s="342" t="s">
        <v>974</v>
      </c>
      <c r="HE211" s="340"/>
      <c r="HF211" s="340"/>
      <c r="HG211" s="340"/>
      <c r="HH211" s="340"/>
      <c r="HI211" s="340"/>
      <c r="HJ211" s="340"/>
      <c r="HK211" s="340"/>
      <c r="HL211" s="340"/>
      <c r="HM211" s="341"/>
      <c r="HN211" s="341"/>
      <c r="HO211" s="341"/>
      <c r="HP211" s="341"/>
      <c r="HQ211" s="341"/>
      <c r="HR211" s="341"/>
      <c r="HS211" s="238"/>
      <c r="HT211" s="238"/>
      <c r="HU211" s="238"/>
      <c r="HV211" s="238"/>
      <c r="HX211" s="238"/>
      <c r="HY211" s="238"/>
      <c r="HZ211" s="238"/>
      <c r="ID211" s="238"/>
    </row>
    <row r="212" spans="1:238" s="234" customFormat="1" ht="20.100000000000001" customHeight="1">
      <c r="A212" s="235"/>
      <c r="B212" s="231">
        <f>COUNT(AJ213,AJ212)</f>
        <v>0</v>
      </c>
      <c r="C212" s="325" t="str">
        <f>CONCATENATE(BG212,BE212)</f>
        <v>HS</v>
      </c>
      <c r="D212" s="253" t="str">
        <f>REPT(DN212,1)</f>
        <v>1</v>
      </c>
      <c r="E212" s="254" t="str">
        <f>REPT(AH212,1)</f>
        <v/>
      </c>
      <c r="F212" s="168"/>
      <c r="G212" s="168"/>
      <c r="H212" s="168"/>
      <c r="I212" s="169"/>
      <c r="J212" s="255" t="str">
        <f>REPT(AM212,1)</f>
        <v/>
      </c>
      <c r="L212" s="309">
        <f>SUM(BS221)</f>
        <v>0</v>
      </c>
      <c r="M212" s="238"/>
      <c r="N212" s="255" t="str">
        <f>REPT(AP212,1)</f>
        <v/>
      </c>
      <c r="P212" s="309">
        <f>SUM(CF221)</f>
        <v>0</v>
      </c>
      <c r="Q212" s="310"/>
      <c r="R212" s="323" t="str">
        <f>CONCATENATE(BH212,BE212)</f>
        <v>GS</v>
      </c>
      <c r="S212" s="253" t="str">
        <f>REPT(DO212,1)</f>
        <v>1</v>
      </c>
      <c r="T212" s="254" t="str">
        <f>REPT(AV212,1)</f>
        <v/>
      </c>
      <c r="U212" s="168"/>
      <c r="V212" s="168"/>
      <c r="W212" s="168"/>
      <c r="X212" s="169"/>
      <c r="Y212" s="255" t="str">
        <f>REPT(BA212,1)</f>
        <v/>
      </c>
      <c r="Z212" s="308"/>
      <c r="AB212" s="234">
        <f>IF(AY212="",0,IF(AY212&lt;2,1,""))</f>
        <v>0</v>
      </c>
      <c r="AC212" s="238">
        <f>IF(AD212=1,1,IF(AD212=3,1,IF(AD212=2,0,IF(AD212=0,0,0))))</f>
        <v>0</v>
      </c>
      <c r="AD212" s="256">
        <f>SUM(AE212:AG212)</f>
        <v>0</v>
      </c>
      <c r="AE212" s="256">
        <f t="shared" ref="AE212:AE216" si="500">IF(F212="",0,1)</f>
        <v>0</v>
      </c>
      <c r="AF212" s="256">
        <f t="shared" ref="AF212:AF216" si="501">IF(G212="",0,1)</f>
        <v>0</v>
      </c>
      <c r="AG212" s="256">
        <f>IF(H212="",0,1)</f>
        <v>0</v>
      </c>
      <c r="AH212" s="257" t="str">
        <f>IF(AK212="",IF(AI212="","",IF(AI212="",501,501-AI212)),501)</f>
        <v/>
      </c>
      <c r="AI212" s="256" t="str">
        <f>IF(F212&gt;1,F212,IF(F212=0,"",IF(F212="","","")))</f>
        <v/>
      </c>
      <c r="AJ212" s="256" t="str">
        <f>IF(G212&gt;8,G212,IF(G212="","",""))</f>
        <v/>
      </c>
      <c r="AK212" s="256" t="str">
        <f>IF(H212&gt;1,H212,IF(H212="","",""))</f>
        <v/>
      </c>
      <c r="AL212" s="256" t="str">
        <f>IF(I212&gt;0,I212,IF(I212="","",""))</f>
        <v/>
      </c>
      <c r="AM212" s="258" t="str">
        <f>IF(BK212=0,"","X")</f>
        <v/>
      </c>
      <c r="AN212" s="237"/>
      <c r="AO212" s="237"/>
      <c r="AP212" s="258" t="str">
        <f>IF(BM212=0,"","X")</f>
        <v/>
      </c>
      <c r="AQ212" s="236">
        <f>IF(AR212=1,1,IF(AR212=3,1,IF(AR212=2,0,IF(AR212=0,0,0))))</f>
        <v>0</v>
      </c>
      <c r="AR212" s="256">
        <f>SUM(AS212:AU212)</f>
        <v>0</v>
      </c>
      <c r="AS212" s="256">
        <f t="shared" ref="AS212:AS216" si="502">IF(U212="",0,1)</f>
        <v>0</v>
      </c>
      <c r="AT212" s="256">
        <f t="shared" ref="AT212:AT216" si="503">IF(V212="",0,1)</f>
        <v>0</v>
      </c>
      <c r="AU212" s="256">
        <f>IF(W212="",0,1)</f>
        <v>0</v>
      </c>
      <c r="AV212" s="257" t="str">
        <f>IF(AY212="",IF(AW212="","",IF(AW212="",501,501-AW212)),501)</f>
        <v/>
      </c>
      <c r="AW212" s="256" t="str">
        <f>IF(U212&gt;1,U212,IF(U212=0,"",IF(U212="","","")))</f>
        <v/>
      </c>
      <c r="AX212" s="256" t="str">
        <f>IF(V212&gt;8,V212,IF(V212="","",""))</f>
        <v/>
      </c>
      <c r="AY212" s="256" t="str">
        <f>IF(W212&gt;1,W212,IF(W212="","",""))</f>
        <v/>
      </c>
      <c r="AZ212" s="256" t="str">
        <f>IF(X212&gt;0,X212,IF(X212="","",""))</f>
        <v/>
      </c>
      <c r="BA212" s="258" t="str">
        <f>IF(BL212=0,"","X")</f>
        <v/>
      </c>
      <c r="BF212" s="238" t="s">
        <v>894</v>
      </c>
      <c r="BG212" s="238" t="str">
        <f>CONCATENATE(BF212,AK209)</f>
        <v>HS</v>
      </c>
      <c r="BH212" s="238" t="str">
        <f>CONCATENATE(BI212,AK209)</f>
        <v>GS</v>
      </c>
      <c r="BI212" s="238" t="s">
        <v>895</v>
      </c>
      <c r="BJ212" s="238"/>
      <c r="BK212" s="251">
        <f>SUM(DD212,DV212,EY212,ED212,FF212,BQ212,BS212,AC212)</f>
        <v>0</v>
      </c>
      <c r="BL212" s="251">
        <f>SUM(DE212,DW212,EE212,FT212,GA212,BR212,BT212,AQ212)</f>
        <v>0</v>
      </c>
      <c r="BM212" s="259">
        <f>SUM(DC212,BK212:BL212,AC212,AQ212)</f>
        <v>0</v>
      </c>
      <c r="BN212" s="239">
        <f>COUNT(AK212)</f>
        <v>0</v>
      </c>
      <c r="BO212" s="239">
        <f>COUNT(AY212)</f>
        <v>0</v>
      </c>
      <c r="BP212" s="239">
        <f>IF(BN214=0,0,1)</f>
        <v>0</v>
      </c>
      <c r="BQ212" s="260">
        <f>IF(AL212="",0,IF(AL212&gt;2,1,0))</f>
        <v>0</v>
      </c>
      <c r="BR212" s="261">
        <f>IF(AZ212="",0,IF(AZ212&gt;2,1,0))</f>
        <v>0</v>
      </c>
      <c r="BS212" s="262">
        <f>IF(AJ212=9,IF(AK212&lt;141,1,0),0)</f>
        <v>0</v>
      </c>
      <c r="BT212" s="263">
        <f>IF(AX212=9,IF(AY212&lt;141,1,0),0)</f>
        <v>0</v>
      </c>
      <c r="BU212" s="242">
        <f>IF(H212,G212,0)</f>
        <v>0</v>
      </c>
      <c r="BV212" s="238">
        <f>IF(BU212&gt;0,AJ212/3,0)</f>
        <v>0</v>
      </c>
      <c r="BW212" s="238">
        <f>ROUNDUP(BV212,0)</f>
        <v>0</v>
      </c>
      <c r="BX212" s="244">
        <f>IF(MOD(BW212,2)=0,BW212,BW212+1)</f>
        <v>0</v>
      </c>
      <c r="BY212" s="238">
        <f>IF(AJ212&lt;9,"",SUM(BX212-BW212))</f>
        <v>0</v>
      </c>
      <c r="BZ212" s="238">
        <f>IF(BY212=1,AK212,0)</f>
        <v>0</v>
      </c>
      <c r="CA212" s="243" t="str">
        <f>IF(BY212=0,AK212,0)</f>
        <v/>
      </c>
      <c r="CB212" s="238"/>
      <c r="CC212" s="238"/>
      <c r="CD212" s="242">
        <f>IF(W212,V212,0)</f>
        <v>0</v>
      </c>
      <c r="CE212" s="238">
        <f>IF(CD212&gt;0,AX212/3,0)</f>
        <v>0</v>
      </c>
      <c r="CF212" s="238">
        <f>ROUNDUP(CE212,0)</f>
        <v>0</v>
      </c>
      <c r="CG212" s="244">
        <f>IF(MOD(CF212,2)=0,CF212,CF212+1)</f>
        <v>0</v>
      </c>
      <c r="CH212" s="238">
        <f>IF(AX212&lt;9,"",SUM(CG212-CF212))</f>
        <v>0</v>
      </c>
      <c r="CI212" s="238">
        <f>IF(CH212=1,AY212,0)</f>
        <v>0</v>
      </c>
      <c r="CJ212" s="243" t="str">
        <f>IF(CH212=0,AY212,0)</f>
        <v/>
      </c>
      <c r="CK212" s="238"/>
      <c r="CL212" s="245">
        <f>IF(COUNT(F212,H212)=1,0,1)</f>
        <v>1</v>
      </c>
      <c r="CM212" s="245">
        <f>IF(COUNT(F212,U212)=1,0,1)</f>
        <v>1</v>
      </c>
      <c r="CN212" s="245">
        <f>IF(COUNT(H212,W212)=1,0,1)</f>
        <v>1</v>
      </c>
      <c r="CO212" s="245">
        <f>IF(COUNT(G212,V212)=2,0,1)</f>
        <v>1</v>
      </c>
      <c r="CP212" s="245">
        <f>IF(COUNT(U212,W212)=1,0,1)</f>
        <v>1</v>
      </c>
      <c r="CQ212" s="245">
        <f>IF(SUM(G212-V212)&gt;3,1,0)</f>
        <v>0</v>
      </c>
      <c r="CR212" s="245">
        <f>IF(SUM(G212-V212)&lt;-3,1,0)</f>
        <v>0</v>
      </c>
      <c r="CS212" s="264">
        <f>IF(AJ212=9,IF(AH212&lt;141,1,0),IF(AH212="",0,IF(AH212&gt;1,0,1)))</f>
        <v>0</v>
      </c>
      <c r="CT212" s="264">
        <f>IF(AX212=9,IF(AV212&lt;141,1,0),IF(AV212="",0,IF(AV212&gt;1,0,1)))</f>
        <v>0</v>
      </c>
      <c r="CU212" s="264">
        <f>IF(AI212="",0,IF(AI212&lt;502,0,1))</f>
        <v>0</v>
      </c>
      <c r="CV212" s="264">
        <f>IF(AW212="",0,IF(AW212&lt;502,0,1))</f>
        <v>0</v>
      </c>
      <c r="CW212" s="264">
        <f>IF(AI212="",IF(AJ212&lt;9,1,0),IF(AJ212&lt;9,1,0))</f>
        <v>0</v>
      </c>
      <c r="CX212" s="264">
        <f>IF(AW212="",IF(AX212&lt;9,1,0),IF(AX212&lt;9,1,0))</f>
        <v>0</v>
      </c>
      <c r="CY212" s="374"/>
      <c r="CZ212" s="374"/>
      <c r="DA212" s="374"/>
      <c r="DB212" s="374"/>
      <c r="DC212" s="265">
        <f>IF(AJ212="",0,SUM(CL212:CX212))</f>
        <v>0</v>
      </c>
      <c r="DD212" s="265">
        <f>IF(AJ212="",0,SUM(CL212,CS212,CU212,CW212))</f>
        <v>0</v>
      </c>
      <c r="DE212" s="265">
        <f>IF(AJ212="",0,SUM(CP212,CT212,CV212,CX212))</f>
        <v>0</v>
      </c>
      <c r="DF212" s="238"/>
      <c r="DG212" s="248" t="str">
        <f>IF(G212="","",SUM(G212-V212))</f>
        <v/>
      </c>
      <c r="DH212" s="245">
        <f>IF(F212="",0,1)</f>
        <v>0</v>
      </c>
      <c r="DI212" s="245" t="str">
        <f>IF(DG212=0,DH212,DG212)</f>
        <v/>
      </c>
      <c r="DJ212" s="245" t="e">
        <f>SIGN(DI212)</f>
        <v>#VALUE!</v>
      </c>
      <c r="DK212" s="245" t="str">
        <f>IF(G212="","",IF(DJ212=1,"*",""))</f>
        <v/>
      </c>
      <c r="DL212" s="245" t="str">
        <f>IF(G212="","",IF(DJ212=-1,"*",IF(DJ212=0,"*","")))</f>
        <v/>
      </c>
      <c r="DM212" s="245">
        <v>1</v>
      </c>
      <c r="DN212" s="245" t="str">
        <f>CONCATENATE(DM212,DK212)</f>
        <v>1</v>
      </c>
      <c r="DO212" s="245" t="str">
        <f>CONCATENATE(DM212,DL212)</f>
        <v>1</v>
      </c>
      <c r="DP212" s="245">
        <f>IF(DK212="*",1,0)</f>
        <v>0</v>
      </c>
      <c r="DQ212" s="245">
        <f>IF(DL212="*",1,0)</f>
        <v>0</v>
      </c>
      <c r="DR212" s="245"/>
      <c r="DS212" s="245"/>
      <c r="DT212" s="245"/>
      <c r="DU212" s="245"/>
      <c r="DV212" s="266"/>
      <c r="DW212" s="266"/>
      <c r="DX212" s="238">
        <f>IF(AK212="",0,1)</f>
        <v>0</v>
      </c>
      <c r="DY212" s="238">
        <f>IF(DG212=-3,1,0)</f>
        <v>0</v>
      </c>
      <c r="DZ212" s="238">
        <f>SUM(DX212:DY212)</f>
        <v>0</v>
      </c>
      <c r="EA212" s="238">
        <f>IF(AK212="",1,0)</f>
        <v>1</v>
      </c>
      <c r="EB212" s="238">
        <f>IF(DG212=3,1,0)</f>
        <v>0</v>
      </c>
      <c r="EC212" s="238">
        <f>SUM(EA212:EB212)</f>
        <v>1</v>
      </c>
      <c r="ED212" s="267">
        <f>IF(EC212=2,1,0)</f>
        <v>0</v>
      </c>
      <c r="EE212" s="267">
        <f>IF(DZ212=2,1,0)</f>
        <v>0</v>
      </c>
      <c r="EG212" s="166"/>
      <c r="EH212" s="238"/>
      <c r="EI212" s="238"/>
      <c r="EJ212" s="238"/>
      <c r="EK212" s="238"/>
      <c r="EL212" s="238"/>
      <c r="EM212" s="245">
        <f>IF(AK212="",0,1)</f>
        <v>0</v>
      </c>
      <c r="EN212" s="245">
        <f>SUM(AK212)</f>
        <v>0</v>
      </c>
      <c r="EO212" s="268">
        <f>SUM(AJ212)</f>
        <v>0</v>
      </c>
      <c r="EP212" s="268">
        <f>SUM(G212/3)</f>
        <v>0</v>
      </c>
      <c r="EQ212" s="268" t="e">
        <f>SUM(EO212/EP212)</f>
        <v>#DIV/0!</v>
      </c>
      <c r="ER212" s="268">
        <f>ROUNDDOWN(EP212,0)</f>
        <v>0</v>
      </c>
      <c r="ES212" s="268">
        <f>SUM(EO212,-ER212*3)</f>
        <v>0</v>
      </c>
      <c r="ET212" s="269" t="b">
        <f>MOD(EN212/1,2)=0</f>
        <v>1</v>
      </c>
      <c r="EU212" s="245">
        <f>IF(ET212=FALSE,1,0)</f>
        <v>0</v>
      </c>
      <c r="EV212" s="245">
        <f>IF(EN212=50,0,IF(EN212&lt;40,1,0))</f>
        <v>1</v>
      </c>
      <c r="EW212" s="245">
        <f>SUM(EU212:EV212)</f>
        <v>1</v>
      </c>
      <c r="EX212" s="267">
        <f>IF(EN212=1,1,IF(EN212=50,0,IF(ES212=1,IF(EN212&gt;40,1,0),0)))</f>
        <v>0</v>
      </c>
      <c r="EY212" s="267">
        <f>IF(ES212=1,IF(EW212=2,1,0),0)+EX212+FB212+FE212</f>
        <v>0</v>
      </c>
      <c r="EZ212" s="245">
        <f>IF(EN212=109,1,IF(EN212=108,1,IF(EN212=106,1,IF(EN212=105,1,IF(EN212=103,1,IF(EN212=102,1,IF(EN212=99,1,0)))))))</f>
        <v>0</v>
      </c>
      <c r="FA212" s="245">
        <f>IF(EN212&gt;110,1,0)</f>
        <v>0</v>
      </c>
      <c r="FB212" s="267">
        <f>IF(ES212=2,SUM(EZ212:FA212),0)</f>
        <v>0</v>
      </c>
      <c r="FC212" s="245">
        <f>IF(EN212=159,1,IF(EN212=162,1,IF(EN212=163,1,IF(EN212=165,1,IF(EN212=166,1,IF(EN212=168,1,IF(EN212=169,1,0)))))))</f>
        <v>0</v>
      </c>
      <c r="FD212" s="245">
        <f>IF(EN212&gt;170,1,0)</f>
        <v>0</v>
      </c>
      <c r="FE212" s="267">
        <f>IF(ES212=0,SUM(FC212:FD212),0)</f>
        <v>0</v>
      </c>
      <c r="FF212" s="251">
        <f>IF(AJ212="",0,IF(AI212="",0,IF(EO212/ER212-3=0,0,1)))</f>
        <v>0</v>
      </c>
      <c r="FG212" s="238"/>
      <c r="FH212" s="245">
        <f>IF(AY212="",0,1)</f>
        <v>0</v>
      </c>
      <c r="FI212" s="245">
        <f>SUM(AY212)</f>
        <v>0</v>
      </c>
      <c r="FJ212" s="268">
        <f>SUM(AX212)</f>
        <v>0</v>
      </c>
      <c r="FK212" s="268">
        <f>SUM(V212/3)</f>
        <v>0</v>
      </c>
      <c r="FL212" s="268" t="e">
        <f>SUM(FJ212/FK212)</f>
        <v>#DIV/0!</v>
      </c>
      <c r="FM212" s="268">
        <f>ROUNDDOWN(FK212,0)</f>
        <v>0</v>
      </c>
      <c r="FN212" s="268">
        <f>SUM(FJ212,-FM212*3)</f>
        <v>0</v>
      </c>
      <c r="FO212" s="269" t="b">
        <f>MOD(FI212/1,2)=0</f>
        <v>1</v>
      </c>
      <c r="FP212" s="245">
        <f>IF(FO212=FALSE,1,0)</f>
        <v>0</v>
      </c>
      <c r="FQ212" s="245">
        <f>IF(FI212=50,0,IF(FI212&lt;40,1,0))</f>
        <v>1</v>
      </c>
      <c r="FR212" s="245">
        <f>SUM(FP212:FQ212)</f>
        <v>1</v>
      </c>
      <c r="FS212" s="267">
        <f>IF(FI212=1,1,IF(FI212=50,0,IF(FN212=1,IF(FI212&gt;40,1,0),0)))</f>
        <v>0</v>
      </c>
      <c r="FT212" s="267">
        <f>IF(FN212=1,IF(FR212=2,1,0),0)+FS212+FW212+FZ212</f>
        <v>0</v>
      </c>
      <c r="FU212" s="245">
        <f>IF(FI212=109,1,IF(FI212=108,1,IF(FI212=106,1,IF(FI212=105,1,IF(FI212=103,1,IF(FI212=102,1,IF(FI212=99,1,0)))))))</f>
        <v>0</v>
      </c>
      <c r="FV212" s="245">
        <f>IF(FI212&gt;110,1,0)</f>
        <v>0</v>
      </c>
      <c r="FW212" s="267">
        <f>IF(FN212=2,SUM(FU212:FV212),0)</f>
        <v>0</v>
      </c>
      <c r="FX212" s="245">
        <f>IF(FI212=159,1,IF(FI212=162,1,IF(FI212=163,1,IF(FI212=165,1,IF(FI212=166,1,IF(FI212=168,1,IF(FI212=169,1,0)))))))</f>
        <v>0</v>
      </c>
      <c r="FY212" s="245">
        <f>IF(FI212&gt;170,1,0)</f>
        <v>0</v>
      </c>
      <c r="FZ212" s="267">
        <f>IF(FN212=0,SUM(FX212:FY212),0)</f>
        <v>0</v>
      </c>
      <c r="GA212" s="251">
        <f>IF(AX212="",0,IF(AW212="",0,IF(FJ212/FM212-3=0,0,1)))</f>
        <v>0</v>
      </c>
      <c r="GD212" s="341">
        <f>IF(AK209="D",1,0)</f>
        <v>0</v>
      </c>
      <c r="GE212" s="343"/>
      <c r="GF212" s="343" t="s">
        <v>866</v>
      </c>
      <c r="GG212" s="343" t="s">
        <v>868</v>
      </c>
      <c r="GH212" s="343" t="s">
        <v>848</v>
      </c>
      <c r="GI212" s="343">
        <v>180</v>
      </c>
      <c r="GJ212" s="343" t="s">
        <v>866</v>
      </c>
      <c r="GK212" s="343" t="s">
        <v>868</v>
      </c>
      <c r="GL212" s="343" t="s">
        <v>848</v>
      </c>
      <c r="GM212" s="343">
        <v>180</v>
      </c>
      <c r="GN212" s="343" t="s">
        <v>866</v>
      </c>
      <c r="GO212" s="343" t="s">
        <v>868</v>
      </c>
      <c r="GP212" s="343" t="s">
        <v>848</v>
      </c>
      <c r="GQ212" s="343">
        <v>180</v>
      </c>
      <c r="GR212" s="343" t="s">
        <v>866</v>
      </c>
      <c r="GS212" s="343" t="s">
        <v>868</v>
      </c>
      <c r="GT212" s="343" t="s">
        <v>848</v>
      </c>
      <c r="GU212" s="343">
        <v>180</v>
      </c>
      <c r="GV212" s="343" t="s">
        <v>866</v>
      </c>
      <c r="GW212" s="343" t="s">
        <v>868</v>
      </c>
      <c r="GX212" s="343" t="s">
        <v>848</v>
      </c>
      <c r="GY212" s="343">
        <v>180</v>
      </c>
      <c r="GZ212" s="343" t="s">
        <v>866</v>
      </c>
      <c r="HA212" s="343" t="s">
        <v>868</v>
      </c>
      <c r="HB212" s="343" t="s">
        <v>848</v>
      </c>
      <c r="HC212" s="343">
        <v>180</v>
      </c>
      <c r="HD212" s="343" t="s">
        <v>866</v>
      </c>
      <c r="HE212" s="343" t="s">
        <v>868</v>
      </c>
      <c r="HF212" s="341" t="s">
        <v>975</v>
      </c>
      <c r="HG212" s="341" t="s">
        <v>976</v>
      </c>
      <c r="HH212" s="341" t="s">
        <v>899</v>
      </c>
      <c r="HJ212" s="238"/>
      <c r="HK212" s="238"/>
      <c r="HL212" s="238"/>
      <c r="HM212" s="238">
        <f>COUNT(HI213,HJ213,HK213,HL213,HM213)</f>
        <v>0</v>
      </c>
      <c r="HN212" s="341"/>
      <c r="HO212" s="341"/>
      <c r="HP212" s="341"/>
      <c r="HQ212" s="341"/>
      <c r="HR212" s="341"/>
      <c r="HS212" s="238"/>
      <c r="HT212" s="238"/>
      <c r="HU212" s="238"/>
      <c r="HV212" s="238"/>
      <c r="HX212" s="238"/>
      <c r="HY212" s="238"/>
      <c r="ID212" s="238"/>
    </row>
    <row r="213" spans="1:238" s="234" customFormat="1" ht="20.100000000000001" customHeight="1">
      <c r="A213" s="235"/>
      <c r="B213" s="231">
        <f>COUNT(AJ214,AJ213)</f>
        <v>0</v>
      </c>
      <c r="C213" s="326">
        <f>IF(DK212="*",AJ209,AI209)</f>
        <v>2.2999999999999998</v>
      </c>
      <c r="D213" s="253" t="str">
        <f>REPT(DN213,1)</f>
        <v>2</v>
      </c>
      <c r="E213" s="254" t="str">
        <f>REPT(AH213,1)</f>
        <v/>
      </c>
      <c r="F213" s="168"/>
      <c r="G213" s="168"/>
      <c r="H213" s="168"/>
      <c r="I213" s="169"/>
      <c r="J213" s="270" t="str">
        <f>REPT(AM213,1)</f>
        <v/>
      </c>
      <c r="L213" s="306" t="s">
        <v>922</v>
      </c>
      <c r="M213" s="311"/>
      <c r="N213" s="270" t="str">
        <f>REPT(AP213,1)</f>
        <v/>
      </c>
      <c r="P213" s="306" t="s">
        <v>922</v>
      </c>
      <c r="Q213" s="310"/>
      <c r="R213" s="324">
        <f>IF(DL212="*",AJ209,AI209)</f>
        <v>2.2999999999999998</v>
      </c>
      <c r="S213" s="253" t="str">
        <f>REPT(DO213,1)</f>
        <v>2</v>
      </c>
      <c r="T213" s="254" t="str">
        <f>REPT(AV213,1)</f>
        <v/>
      </c>
      <c r="U213" s="168"/>
      <c r="V213" s="168"/>
      <c r="W213" s="168"/>
      <c r="X213" s="169"/>
      <c r="Y213" s="270" t="str">
        <f t="shared" ref="Y213:Y215" si="504">REPT(BA213,1)</f>
        <v/>
      </c>
      <c r="Z213" s="308"/>
      <c r="AB213" s="234">
        <f>IF(AY213="",0,IF(AY213&lt;2,1,""))</f>
        <v>0</v>
      </c>
      <c r="AC213" s="238">
        <f t="shared" ref="AC213:AC214" si="505">IF(AD213=1,1,IF(AD213=3,1,IF(AD213=2,0,IF(AD213=0,0,0))))</f>
        <v>0</v>
      </c>
      <c r="AD213" s="256">
        <f t="shared" ref="AD213:AD216" si="506">SUM(AE213:AG213)</f>
        <v>0</v>
      </c>
      <c r="AE213" s="256">
        <f t="shared" si="500"/>
        <v>0</v>
      </c>
      <c r="AF213" s="256">
        <f t="shared" si="501"/>
        <v>0</v>
      </c>
      <c r="AG213" s="256">
        <f t="shared" ref="AG213:AG216" si="507">IF(H213="",0,1)</f>
        <v>0</v>
      </c>
      <c r="AH213" s="257" t="str">
        <f>IF(AK213="",IF(AI213="","",IF(AI213="",501,501-AI213)),501)</f>
        <v/>
      </c>
      <c r="AI213" s="256" t="str">
        <f>IF(F213&gt;1,F213,IF(F213=0,"",IF(F213="","","")))</f>
        <v/>
      </c>
      <c r="AJ213" s="256" t="str">
        <f>IF(G213&gt;8,G213,IF(G213="","",""))</f>
        <v/>
      </c>
      <c r="AK213" s="256" t="str">
        <f>IF(H213&gt;1,H213,IF(H213="","",""))</f>
        <v/>
      </c>
      <c r="AL213" s="256" t="str">
        <f>IF(I213&gt;0,I213,IF(I213="","",""))</f>
        <v/>
      </c>
      <c r="AM213" s="258" t="str">
        <f>IF(BK213=0,"","X")</f>
        <v/>
      </c>
      <c r="AN213" s="237"/>
      <c r="AO213" s="237"/>
      <c r="AP213" s="258" t="str">
        <f>IF(BM213=0,"","X")</f>
        <v/>
      </c>
      <c r="AQ213" s="236">
        <f t="shared" ref="AQ213:AQ214" si="508">IF(AR213=1,1,IF(AR213=3,1,IF(AR213=2,0,IF(AR213=0,0,0))))</f>
        <v>0</v>
      </c>
      <c r="AR213" s="256">
        <f t="shared" ref="AR213:AR216" si="509">SUM(AS213:AU213)</f>
        <v>0</v>
      </c>
      <c r="AS213" s="256">
        <f t="shared" si="502"/>
        <v>0</v>
      </c>
      <c r="AT213" s="256">
        <f t="shared" si="503"/>
        <v>0</v>
      </c>
      <c r="AU213" s="256">
        <f t="shared" ref="AU213:AU216" si="510">IF(W213="",0,1)</f>
        <v>0</v>
      </c>
      <c r="AV213" s="257" t="str">
        <f>IF(AY213="",IF(AW213="","",IF(AW213="",501,501-AW213)),501)</f>
        <v/>
      </c>
      <c r="AW213" s="256" t="str">
        <f>IF(U213&gt;1,U213,IF(U213=0,"",IF(U213="","","")))</f>
        <v/>
      </c>
      <c r="AX213" s="256" t="str">
        <f>IF(V213&gt;8,V213,IF(V213="","",""))</f>
        <v/>
      </c>
      <c r="AY213" s="256" t="str">
        <f>IF(W213&gt;1,W213,IF(W213="","",""))</f>
        <v/>
      </c>
      <c r="AZ213" s="256" t="str">
        <f>IF(X213&gt;0,X213,IF(X213="","",""))</f>
        <v/>
      </c>
      <c r="BA213" s="258" t="str">
        <f>IF(BL213=0,"","X")</f>
        <v/>
      </c>
      <c r="BK213" s="251">
        <f>SUM(DD213,DV213,EY213,ED213,FF213,BQ213,BS213,AC213)</f>
        <v>0</v>
      </c>
      <c r="BL213" s="251">
        <f>SUM(DE213,DW213,EE213,FT213,GA213,BR213,BT213,AQ213)</f>
        <v>0</v>
      </c>
      <c r="BM213" s="259">
        <f t="shared" ref="BM213:BM214" si="511">SUM(DC213,BK213:BL213,AC213,AQ213)</f>
        <v>0</v>
      </c>
      <c r="BN213" s="239">
        <f>COUNT(AK213)</f>
        <v>0</v>
      </c>
      <c r="BO213" s="239">
        <f>COUNT(AY213)</f>
        <v>0</v>
      </c>
      <c r="BP213" s="239">
        <f>IF(BN215=0,0,1)</f>
        <v>0</v>
      </c>
      <c r="BQ213" s="260">
        <f>IF(AL213="",0,IF(AL213&gt;2,1,0))</f>
        <v>0</v>
      </c>
      <c r="BR213" s="261">
        <f>IF(AZ213="",0,IF(AZ213&gt;2,1,0))</f>
        <v>0</v>
      </c>
      <c r="BS213" s="262">
        <f>IF(AJ213=9,IF(AK213&lt;141,1,0),0)</f>
        <v>0</v>
      </c>
      <c r="BT213" s="263">
        <f>IF(AX213=9,IF(AY213&lt;141,1,0),0)</f>
        <v>0</v>
      </c>
      <c r="BU213" s="242">
        <f>IF(H213,G213,0)</f>
        <v>0</v>
      </c>
      <c r="BV213" s="238">
        <f>IF(BU213&gt;0,AJ213/3,0)</f>
        <v>0</v>
      </c>
      <c r="BW213" s="238">
        <f>ROUNDUP(BV213,0)</f>
        <v>0</v>
      </c>
      <c r="BX213" s="244">
        <f>IF(MOD(BW213,2)=0,BW213,BW213+1)</f>
        <v>0</v>
      </c>
      <c r="BY213" s="238">
        <f>IF(AJ213&lt;9,"",SUM(BX213-BW213))</f>
        <v>0</v>
      </c>
      <c r="BZ213" s="238">
        <f>IF(BY213=1,AK213,0)</f>
        <v>0</v>
      </c>
      <c r="CA213" s="243" t="str">
        <f>IF(BY213=0,AK213,0)</f>
        <v/>
      </c>
      <c r="CB213" s="238"/>
      <c r="CC213" s="238"/>
      <c r="CD213" s="242">
        <f>IF(W213,V213,0)</f>
        <v>0</v>
      </c>
      <c r="CE213" s="238">
        <f>IF(CD213&gt;0,AX213/3,0)</f>
        <v>0</v>
      </c>
      <c r="CF213" s="238">
        <f>ROUNDUP(CE213,0)</f>
        <v>0</v>
      </c>
      <c r="CG213" s="244">
        <f>IF(MOD(CF213,2)=0,CF213,CF213+1)</f>
        <v>0</v>
      </c>
      <c r="CH213" s="238">
        <f>IF(AX213&lt;9,"",SUM(CG213-CF213))</f>
        <v>0</v>
      </c>
      <c r="CI213" s="238">
        <f>IF(CH213=1,AY213,0)</f>
        <v>0</v>
      </c>
      <c r="CJ213" s="243" t="str">
        <f>IF(CH213=0,AY213,0)</f>
        <v/>
      </c>
      <c r="CK213" s="238"/>
      <c r="CL213" s="245">
        <f>IF(COUNT(F213,H213)=1,0,1)</f>
        <v>1</v>
      </c>
      <c r="CM213" s="245">
        <f>IF(COUNT(F213,U213)=1,0,1)</f>
        <v>1</v>
      </c>
      <c r="CN213" s="245">
        <f>IF(COUNT(H213,W213)=1,0,1)</f>
        <v>1</v>
      </c>
      <c r="CO213" s="245">
        <f>IF(COUNT(G213,V213)=2,0,1)</f>
        <v>1</v>
      </c>
      <c r="CP213" s="245">
        <f>IF(COUNT(U213,W213)=1,0,1)</f>
        <v>1</v>
      </c>
      <c r="CQ213" s="245">
        <f>IF(SUM(G213-V213)&gt;3,1,0)</f>
        <v>0</v>
      </c>
      <c r="CR213" s="245">
        <f>IF(SUM(G213-V213)&lt;-3,1,0)</f>
        <v>0</v>
      </c>
      <c r="CS213" s="264">
        <f>IF(AJ213=9,IF(AH213&lt;141,1,0),IF(AH213="",0,IF(AH213&gt;1,0,1)))</f>
        <v>0</v>
      </c>
      <c r="CT213" s="264">
        <f>IF(AX213=9,IF(AV213&lt;141,1,0),IF(AV213="",0,IF(AV213&gt;1,0,1)))</f>
        <v>0</v>
      </c>
      <c r="CU213" s="264">
        <f>IF(AI213="",0,IF(AI213&lt;502,0,1))</f>
        <v>0</v>
      </c>
      <c r="CV213" s="264">
        <f>IF(AW213="",0,IF(AW213&lt;502,0,1))</f>
        <v>0</v>
      </c>
      <c r="CW213" s="264">
        <f>IF(AI213="",IF(AJ213&lt;9,1,0),IF(AJ213&lt;9,1,0))</f>
        <v>0</v>
      </c>
      <c r="CX213" s="264">
        <f>IF(AW213="",IF(AX213&lt;9,1,0),IF(AX213&lt;9,1,0))</f>
        <v>0</v>
      </c>
      <c r="CY213" s="374"/>
      <c r="CZ213" s="374"/>
      <c r="DA213" s="374"/>
      <c r="DB213" s="374"/>
      <c r="DC213" s="265">
        <f>IF(AJ213="",0,SUM(CL213:CX213))</f>
        <v>0</v>
      </c>
      <c r="DD213" s="265">
        <f>IF(AJ213="",0,SUM(CL213,CS213,CU213,CW213))</f>
        <v>0</v>
      </c>
      <c r="DE213" s="265">
        <f>IF(AJ213="",0,SUM(CP213,CT213,CV213,CX213))</f>
        <v>0</v>
      </c>
      <c r="DF213" s="238"/>
      <c r="DG213" s="248">
        <f>SUM(G213-V213)</f>
        <v>0</v>
      </c>
      <c r="DH213" s="245">
        <f>IF(F213="",0,1)</f>
        <v>0</v>
      </c>
      <c r="DI213" s="245">
        <f t="shared" ref="DI213:DI216" si="512">IF(DG213=0,DH213,DG213)</f>
        <v>0</v>
      </c>
      <c r="DJ213" s="245">
        <f t="shared" ref="DJ213:DJ216" si="513">SIGN(DI213)</f>
        <v>0</v>
      </c>
      <c r="DK213" s="245" t="str">
        <f>IF(G213="","",IF(DJ213=1,"*",""))</f>
        <v/>
      </c>
      <c r="DL213" s="245" t="str">
        <f>IF(G213="","",IF(DJ213=-1,"*",IF(DJ213=0,"*","")))</f>
        <v/>
      </c>
      <c r="DM213" s="245">
        <v>2</v>
      </c>
      <c r="DN213" s="245" t="str">
        <f t="shared" ref="DN213:DN216" si="514">CONCATENATE(DM213,DK213)</f>
        <v>2</v>
      </c>
      <c r="DO213" s="245" t="str">
        <f t="shared" ref="DO213:DO216" si="515">CONCATENATE(DM213,DL213)</f>
        <v>2</v>
      </c>
      <c r="DP213" s="245">
        <f>SUM(DQ212)</f>
        <v>0</v>
      </c>
      <c r="DQ213" s="245">
        <f>SUM(DP212)</f>
        <v>0</v>
      </c>
      <c r="DR213" s="245">
        <f>IF(DK213="*",1,0)</f>
        <v>0</v>
      </c>
      <c r="DS213" s="245">
        <f>IF(DL213="*",1,0)</f>
        <v>0</v>
      </c>
      <c r="DT213" s="245">
        <f>IF(H203="",0,IF(DP213=DR213,1,0))</f>
        <v>0</v>
      </c>
      <c r="DU213" s="245">
        <f>IF(V213="",0,IF(DQ213=DS213,0,1))</f>
        <v>0</v>
      </c>
      <c r="DV213" s="267">
        <f>SUM(DT213)</f>
        <v>0</v>
      </c>
      <c r="DW213" s="267">
        <f>IF(V213="",0,SUM(DU213))</f>
        <v>0</v>
      </c>
      <c r="DX213" s="238">
        <f>IF(AK213="",0,1)</f>
        <v>0</v>
      </c>
      <c r="DY213" s="238">
        <f>IF(DG213=-3,1,0)</f>
        <v>0</v>
      </c>
      <c r="DZ213" s="238">
        <f>SUM(DX213:DY213)</f>
        <v>0</v>
      </c>
      <c r="EA213" s="238">
        <f>IF(AK213="",1,0)</f>
        <v>1</v>
      </c>
      <c r="EB213" s="238">
        <f>IF(DG213=3,1,0)</f>
        <v>0</v>
      </c>
      <c r="EC213" s="238">
        <f>SUM(EA213:EB213)</f>
        <v>1</v>
      </c>
      <c r="ED213" s="267">
        <f>IF(EC213=2,1,0)</f>
        <v>0</v>
      </c>
      <c r="EE213" s="267">
        <f>IF(DZ213=2,1,0)</f>
        <v>0</v>
      </c>
      <c r="EG213" s="166"/>
      <c r="EH213" s="238"/>
      <c r="EI213" s="238"/>
      <c r="EJ213" s="238"/>
      <c r="EK213" s="238"/>
      <c r="EL213" s="238"/>
      <c r="EM213" s="245">
        <f>IF(AK213="",0,1)</f>
        <v>0</v>
      </c>
      <c r="EN213" s="245">
        <f>SUM(AK213)</f>
        <v>0</v>
      </c>
      <c r="EO213" s="268">
        <f>SUM(AJ213)</f>
        <v>0</v>
      </c>
      <c r="EP213" s="268">
        <f>SUM(G213/3)</f>
        <v>0</v>
      </c>
      <c r="EQ213" s="268" t="e">
        <f>SUM(EO213/EP213)</f>
        <v>#DIV/0!</v>
      </c>
      <c r="ER213" s="268">
        <f>ROUNDDOWN(EP213,0)</f>
        <v>0</v>
      </c>
      <c r="ES213" s="268">
        <f>SUM(EO213,-ER213*3)</f>
        <v>0</v>
      </c>
      <c r="ET213" s="269" t="b">
        <f>MOD(EN213/1,2)=0</f>
        <v>1</v>
      </c>
      <c r="EU213" s="245">
        <f>IF(ET213=FALSE,1,0)</f>
        <v>0</v>
      </c>
      <c r="EV213" s="245">
        <f>IF(EN213=50,0,IF(EN213&lt;40,1,0))</f>
        <v>1</v>
      </c>
      <c r="EW213" s="245">
        <f>SUM(EU213:EV213)</f>
        <v>1</v>
      </c>
      <c r="EX213" s="267">
        <f>IF(EN213=1,1,IF(EN213=50,0,IF(ES213=1,IF(EN213&gt;40,1,0),0)))</f>
        <v>0</v>
      </c>
      <c r="EY213" s="267">
        <f>IF(ES213=1,IF(EW213=2,1,0),0)+EX213+FB213+FE213</f>
        <v>0</v>
      </c>
      <c r="EZ213" s="245">
        <f>IF(EN213=109,1,IF(EN213=108,1,IF(EN213=106,1,IF(EN213=105,1,IF(EN213=103,1,IF(EN213=102,1,IF(EN213=99,1,0)))))))</f>
        <v>0</v>
      </c>
      <c r="FA213" s="245">
        <f>IF(EN213&gt;110,1,0)</f>
        <v>0</v>
      </c>
      <c r="FB213" s="267">
        <f>IF(ES213=2,SUM(EZ213:FA213),0)</f>
        <v>0</v>
      </c>
      <c r="FC213" s="245">
        <f>IF(EN213=159,1,IF(EN213=162,1,IF(EN213=163,1,IF(EN213=165,1,IF(EN213=166,1,IF(EN213=168,1,IF(EN213=169,1,0)))))))</f>
        <v>0</v>
      </c>
      <c r="FD213" s="245">
        <f>IF(EN213&gt;170,1,0)</f>
        <v>0</v>
      </c>
      <c r="FE213" s="267">
        <f>IF(ES213=0,SUM(FC213:FD213),0)</f>
        <v>0</v>
      </c>
      <c r="FF213" s="251">
        <f t="shared" ref="FF213:FF216" si="516">IF(AJ213="",0,IF(AI213="",0,IF(EO213/ER213-3=0,0,1)))</f>
        <v>0</v>
      </c>
      <c r="FG213" s="238"/>
      <c r="FH213" s="245">
        <f>IF(AY213="",0,1)</f>
        <v>0</v>
      </c>
      <c r="FI213" s="245">
        <f>SUM(AY213)</f>
        <v>0</v>
      </c>
      <c r="FJ213" s="268">
        <f>SUM(AX213)</f>
        <v>0</v>
      </c>
      <c r="FK213" s="268">
        <f>SUM(V213/3)</f>
        <v>0</v>
      </c>
      <c r="FL213" s="268" t="e">
        <f>SUM(FJ213/FK213)</f>
        <v>#DIV/0!</v>
      </c>
      <c r="FM213" s="268">
        <f>ROUNDDOWN(FK213,0)</f>
        <v>0</v>
      </c>
      <c r="FN213" s="268">
        <f>SUM(FJ213,-FM213*3)</f>
        <v>0</v>
      </c>
      <c r="FO213" s="269" t="b">
        <f>MOD(FI213/1,2)=0</f>
        <v>1</v>
      </c>
      <c r="FP213" s="245">
        <f>IF(FO213=FALSE,1,0)</f>
        <v>0</v>
      </c>
      <c r="FQ213" s="245">
        <f>IF(FI213=50,0,IF(FI213&lt;40,1,0))</f>
        <v>1</v>
      </c>
      <c r="FR213" s="245">
        <f>SUM(FP213:FQ213)</f>
        <v>1</v>
      </c>
      <c r="FS213" s="267">
        <f>IF(FI213=1,1,IF(FI213=50,0,IF(FN213=1,IF(FI213&gt;40,1,0),0)))</f>
        <v>0</v>
      </c>
      <c r="FT213" s="267">
        <f>IF(FN213=1,IF(FR213=2,1,0),0)+FS213+FW213+FZ213</f>
        <v>0</v>
      </c>
      <c r="FU213" s="245">
        <f>IF(FI213=109,1,IF(FI213=108,1,IF(FI213=106,1,IF(FI213=105,1,IF(FI213=103,1,IF(FI213=102,1,IF(FI213=99,1,0)))))))</f>
        <v>0</v>
      </c>
      <c r="FV213" s="245">
        <f>IF(FI213&gt;110,1,0)</f>
        <v>0</v>
      </c>
      <c r="FW213" s="267">
        <f>IF(FN213=2,SUM(FU213:FV213),0)</f>
        <v>0</v>
      </c>
      <c r="FX213" s="245">
        <f>IF(FI213=159,1,IF(FI213=162,1,IF(FI213=163,1,IF(FI213=165,1,IF(FI213=166,1,IF(FI213=168,1,IF(FI213=169,1,0)))))))</f>
        <v>0</v>
      </c>
      <c r="FY213" s="245">
        <f>IF(FI213&gt;170,1,0)</f>
        <v>0</v>
      </c>
      <c r="FZ213" s="267">
        <f>IF(FN213=0,SUM(FX213:FY213),0)</f>
        <v>0</v>
      </c>
      <c r="GA213" s="251">
        <f t="shared" ref="GA213:GA216" si="517">IF(AX213="",0,IF(AW213="",0,IF(FJ213/FM213-3=0,0,1)))</f>
        <v>0</v>
      </c>
      <c r="GC213" s="238" t="str">
        <f>VLOOKUP(AH209,Chema!BL:BR,2,FALSE)</f>
        <v>HS 2.3</v>
      </c>
      <c r="GD213" s="341">
        <f>IF(E219="FORFAIT",1,0)</f>
        <v>0</v>
      </c>
      <c r="GE213" s="343" t="str">
        <f>IF(C219="","",SUM(C219))</f>
        <v/>
      </c>
      <c r="GF213" s="344">
        <f>SUM(AH212)</f>
        <v>0</v>
      </c>
      <c r="GG213" s="344">
        <f>SUM(AJ212)</f>
        <v>0</v>
      </c>
      <c r="GH213" s="344">
        <f t="shared" ref="GH213" si="518">SUM(AK212)</f>
        <v>0</v>
      </c>
      <c r="GI213" s="344">
        <f t="shared" ref="GI213" si="519">SUM(AL212)</f>
        <v>0</v>
      </c>
      <c r="GJ213" s="344">
        <f>SUM(AH213)</f>
        <v>0</v>
      </c>
      <c r="GK213" s="344">
        <f>SUM(AJ213)</f>
        <v>0</v>
      </c>
      <c r="GL213" s="344">
        <f>SUM(AK213)</f>
        <v>0</v>
      </c>
      <c r="GM213" s="344">
        <f>SUM(AL213)</f>
        <v>0</v>
      </c>
      <c r="GN213" s="344">
        <f>SUM(AH214)</f>
        <v>0</v>
      </c>
      <c r="GO213" s="344">
        <f>SUM(AJ214)</f>
        <v>0</v>
      </c>
      <c r="GP213" s="344">
        <f>SUM(AK214)</f>
        <v>0</v>
      </c>
      <c r="GQ213" s="344">
        <f>SUM(AL214)</f>
        <v>0</v>
      </c>
      <c r="GR213" s="344">
        <f>SUM(AH215)</f>
        <v>0</v>
      </c>
      <c r="GS213" s="344">
        <f>SUM(AJ215)</f>
        <v>0</v>
      </c>
      <c r="GT213" s="344">
        <f>SUM(AK215)</f>
        <v>0</v>
      </c>
      <c r="GU213" s="344">
        <f>SUM(AL215)</f>
        <v>0</v>
      </c>
      <c r="GV213" s="344">
        <f>SUM(AH216)</f>
        <v>0</v>
      </c>
      <c r="GW213" s="344">
        <f>SUM(AJ216)</f>
        <v>0</v>
      </c>
      <c r="GX213" s="344">
        <f>SUM(AK216)</f>
        <v>0</v>
      </c>
      <c r="GY213" s="344">
        <f>SUM(AL216)</f>
        <v>0</v>
      </c>
      <c r="GZ213" s="344">
        <f>SUM(GF213,GJ213,GN213,GR213,GV213)</f>
        <v>0</v>
      </c>
      <c r="HA213" s="344">
        <f t="shared" ref="HA213" si="520">SUM(GG213,GK213,GO213,GS213,GW213)</f>
        <v>0</v>
      </c>
      <c r="HB213" s="344">
        <f>IF(GD212=1,L219,MAX(GH213,GL213,GP213,GT213,GX213))</f>
        <v>0</v>
      </c>
      <c r="HC213" s="344">
        <f>IF(GD212=1,I219,SUM(GI213,GM213,GQ213,GU213,GY213))</f>
        <v>0</v>
      </c>
      <c r="HD213" s="345">
        <f>IF(GD212=1,0,SUM(GF213,GJ213,GN213,GR213,GV213))</f>
        <v>0</v>
      </c>
      <c r="HE213" s="345">
        <f>IF(GD212=1,0,SUM(GG213,GK213,GO213,GS213,GW213))</f>
        <v>0</v>
      </c>
      <c r="HF213" s="341">
        <f>IF(GD212=1,0,MIN(HI213,HJ213,HK213,HL213,HM213))</f>
        <v>0</v>
      </c>
      <c r="HG213" s="341">
        <f>IF(HF213=0,0,COUNTIF(HI213:HM213,HF213))</f>
        <v>0</v>
      </c>
      <c r="HH213" s="341">
        <f>SUM(GH214,GL214,GP214,GT214,GX214)</f>
        <v>0</v>
      </c>
      <c r="HI213" s="343" t="str">
        <f>IF(GH214=1,GG213,"")</f>
        <v/>
      </c>
      <c r="HJ213" s="343" t="str">
        <f>IF(GL214=1,GK213,"")</f>
        <v/>
      </c>
      <c r="HK213" s="343" t="str">
        <f>IF(GP214=1,GO213,"")</f>
        <v/>
      </c>
      <c r="HL213" s="343" t="str">
        <f>IF(GT214=1,GS213,"")</f>
        <v/>
      </c>
      <c r="HM213" s="343" t="str">
        <f>IF(GX214=1,GW213,"")</f>
        <v/>
      </c>
      <c r="HN213" s="341"/>
      <c r="HO213" s="341" t="s">
        <v>928</v>
      </c>
      <c r="HP213" s="341" t="s">
        <v>982</v>
      </c>
      <c r="HQ213" s="341" t="s">
        <v>983</v>
      </c>
      <c r="HR213" s="341" t="s">
        <v>984</v>
      </c>
      <c r="HS213" s="238" t="s">
        <v>932</v>
      </c>
      <c r="HT213" s="238" t="s">
        <v>933</v>
      </c>
      <c r="HU213" s="238" t="s">
        <v>985</v>
      </c>
      <c r="HV213" s="238" t="s">
        <v>986</v>
      </c>
      <c r="HW213" s="238" t="str">
        <f>IFERROR(IF(GD212=0,SUM(HZ214:IA214),""),"")</f>
        <v/>
      </c>
      <c r="HY213" s="238"/>
      <c r="HZ213" s="238" t="s">
        <v>1132</v>
      </c>
      <c r="IA213" s="238" t="s">
        <v>1133</v>
      </c>
      <c r="IB213" s="238" t="s">
        <v>1132</v>
      </c>
      <c r="IC213" s="238" t="s">
        <v>1133</v>
      </c>
      <c r="ID213" s="238"/>
    </row>
    <row r="214" spans="1:238" s="234" customFormat="1" ht="20.100000000000001" customHeight="1">
      <c r="A214" s="235"/>
      <c r="B214" s="231">
        <f>COUNT(AJ215,AJ214)</f>
        <v>0</v>
      </c>
      <c r="C214" s="235"/>
      <c r="D214" s="271" t="str">
        <f>REPT(DN214,1)</f>
        <v>3</v>
      </c>
      <c r="E214" s="254" t="str">
        <f>REPT(AH214,1)</f>
        <v/>
      </c>
      <c r="F214" s="168"/>
      <c r="G214" s="168"/>
      <c r="H214" s="168"/>
      <c r="I214" s="169"/>
      <c r="J214" s="270" t="str">
        <f t="shared" ref="J214:J215" si="521">REPT(AM214,1)</f>
        <v/>
      </c>
      <c r="L214" s="312">
        <f>SUM(L212*3)</f>
        <v>0</v>
      </c>
      <c r="M214" s="307"/>
      <c r="N214" s="270" t="str">
        <f>REPT(AP214,1)</f>
        <v/>
      </c>
      <c r="P214" s="312">
        <f>SUM(P212*3)</f>
        <v>0</v>
      </c>
      <c r="Q214" s="310"/>
      <c r="R214" s="235"/>
      <c r="S214" s="271" t="str">
        <f>REPT(DO214,1)</f>
        <v>3</v>
      </c>
      <c r="T214" s="254" t="str">
        <f>REPT(AV214,1)</f>
        <v/>
      </c>
      <c r="U214" s="168"/>
      <c r="V214" s="168"/>
      <c r="W214" s="168"/>
      <c r="X214" s="169"/>
      <c r="Y214" s="270" t="str">
        <f t="shared" si="504"/>
        <v/>
      </c>
      <c r="Z214" s="308"/>
      <c r="AB214" s="234">
        <f>IF(AY214="",0,IF(AY214&lt;2,1,""))</f>
        <v>0</v>
      </c>
      <c r="AC214" s="238">
        <f t="shared" si="505"/>
        <v>0</v>
      </c>
      <c r="AD214" s="256">
        <f t="shared" si="506"/>
        <v>0</v>
      </c>
      <c r="AE214" s="256">
        <f t="shared" si="500"/>
        <v>0</v>
      </c>
      <c r="AF214" s="256">
        <f t="shared" si="501"/>
        <v>0</v>
      </c>
      <c r="AG214" s="256">
        <f t="shared" si="507"/>
        <v>0</v>
      </c>
      <c r="AH214" s="257" t="str">
        <f>IF(AK214="",IF(AI214="","",IF(AI214="",501,501-AI214)),501)</f>
        <v/>
      </c>
      <c r="AI214" s="256" t="str">
        <f>IF(F214&gt;1,F214,IF(F214=0,"",IF(F214="","","")))</f>
        <v/>
      </c>
      <c r="AJ214" s="256" t="str">
        <f>IF(G214&gt;8,G214,IF(G214="","",""))</f>
        <v/>
      </c>
      <c r="AK214" s="256" t="str">
        <f>IF(H214&gt;1,H214,IF(H214="","",""))</f>
        <v/>
      </c>
      <c r="AL214" s="256" t="str">
        <f>IF(I214&gt;0,I214,IF(I214="","",""))</f>
        <v/>
      </c>
      <c r="AM214" s="258" t="str">
        <f>IF(BK214=0,"","X")</f>
        <v/>
      </c>
      <c r="AN214" s="237"/>
      <c r="AO214" s="237"/>
      <c r="AP214" s="258" t="str">
        <f>IF(BM214=0,"","X")</f>
        <v/>
      </c>
      <c r="AQ214" s="236">
        <f t="shared" si="508"/>
        <v>0</v>
      </c>
      <c r="AR214" s="256">
        <f t="shared" si="509"/>
        <v>0</v>
      </c>
      <c r="AS214" s="256">
        <f t="shared" si="502"/>
        <v>0</v>
      </c>
      <c r="AT214" s="256">
        <f t="shared" si="503"/>
        <v>0</v>
      </c>
      <c r="AU214" s="256">
        <f t="shared" si="510"/>
        <v>0</v>
      </c>
      <c r="AV214" s="257" t="str">
        <f>IF(AY214="",IF(AW214="","",IF(AW214="",501,501-AW214)),501)</f>
        <v/>
      </c>
      <c r="AW214" s="256" t="str">
        <f>IF(U214&gt;1,U214,IF(U214=0,"",IF(U214="","","")))</f>
        <v/>
      </c>
      <c r="AX214" s="256" t="str">
        <f>IF(V214&gt;8,V214,IF(V214="","",""))</f>
        <v/>
      </c>
      <c r="AY214" s="256" t="str">
        <f>IF(W214&gt;1,W214,IF(W214="","",""))</f>
        <v/>
      </c>
      <c r="AZ214" s="256" t="str">
        <f>IF(X214&gt;0,X214,IF(X214="","",""))</f>
        <v/>
      </c>
      <c r="BA214" s="258" t="str">
        <f>IF(BL214=0,"","X")</f>
        <v/>
      </c>
      <c r="BK214" s="251">
        <f>SUM(DD214,DV214,EY214,ED214,FF214,BQ214,BS214,AC214,BK221)</f>
        <v>0</v>
      </c>
      <c r="BL214" s="251">
        <f>SUM(DE214,DW214,EE214,FT214,GA214,BR214,BT214,AQ214,BL221,CZ214)</f>
        <v>0</v>
      </c>
      <c r="BM214" s="259">
        <f t="shared" si="511"/>
        <v>0</v>
      </c>
      <c r="BN214" s="239">
        <f>COUNT(AK214)</f>
        <v>0</v>
      </c>
      <c r="BO214" s="239">
        <f>COUNT(AY214)</f>
        <v>0</v>
      </c>
      <c r="BP214" s="239">
        <f>IF(BN216=0,0,1)</f>
        <v>0</v>
      </c>
      <c r="BQ214" s="260">
        <f>IF(AL214="",0,IF(AL214&gt;2,1,0))</f>
        <v>0</v>
      </c>
      <c r="BR214" s="261">
        <f>IF(AZ214="",0,IF(AZ214&gt;2,1,0))</f>
        <v>0</v>
      </c>
      <c r="BS214" s="262">
        <f>IF(AJ214=9,IF(AK214&lt;141,1,0),0)</f>
        <v>0</v>
      </c>
      <c r="BT214" s="263">
        <f>IF(AX214=9,IF(AY214&lt;141,1,0),0)</f>
        <v>0</v>
      </c>
      <c r="BU214" s="242">
        <f>IF(H214,G214,0)</f>
        <v>0</v>
      </c>
      <c r="BV214" s="238">
        <f>IF(BU214&gt;0,AJ214/3,0)</f>
        <v>0</v>
      </c>
      <c r="BW214" s="238">
        <f>ROUNDUP(BV214,0)</f>
        <v>0</v>
      </c>
      <c r="BX214" s="244">
        <f>IF(MOD(BW214,2)=0,BW214,BW214+1)</f>
        <v>0</v>
      </c>
      <c r="BY214" s="238">
        <f>IF(AJ214&lt;9,"",SUM(BX214-BW214))</f>
        <v>0</v>
      </c>
      <c r="BZ214" s="238">
        <f>IF(BY214=1,AK214,0)</f>
        <v>0</v>
      </c>
      <c r="CA214" s="243" t="str">
        <f>IF(BY214=0,AK214,0)</f>
        <v/>
      </c>
      <c r="CB214" s="238"/>
      <c r="CC214" s="238"/>
      <c r="CD214" s="242">
        <f>IF(W214,V214,0)</f>
        <v>0</v>
      </c>
      <c r="CE214" s="238">
        <f>IF(CD214&gt;0,AX214/3,0)</f>
        <v>0</v>
      </c>
      <c r="CF214" s="238">
        <f>ROUNDUP(CE214,0)</f>
        <v>0</v>
      </c>
      <c r="CG214" s="244">
        <f>IF(MOD(CF214,2)=0,CF214,CF214+1)</f>
        <v>0</v>
      </c>
      <c r="CH214" s="238">
        <f>IF(AX214&lt;9,"",SUM(CG214-CF214))</f>
        <v>0</v>
      </c>
      <c r="CI214" s="238">
        <f>IF(CH214=1,AY214,0)</f>
        <v>0</v>
      </c>
      <c r="CJ214" s="243" t="str">
        <f>IF(CH214=0,AY214,0)</f>
        <v/>
      </c>
      <c r="CK214" s="238"/>
      <c r="CL214" s="245">
        <f>IF(COUNT(F214,H214)=1,0,1)</f>
        <v>1</v>
      </c>
      <c r="CM214" s="245">
        <f>IF(COUNT(F214,U214)=1,0,1)</f>
        <v>1</v>
      </c>
      <c r="CN214" s="245">
        <f>IF(COUNT(H214,W214)=1,0,1)</f>
        <v>1</v>
      </c>
      <c r="CO214" s="245">
        <f>IF(COUNT(G214,V214)=2,0,1)</f>
        <v>1</v>
      </c>
      <c r="CP214" s="245">
        <f>IF(COUNT(U214,W214)=1,0,1)</f>
        <v>1</v>
      </c>
      <c r="CQ214" s="245">
        <f>IF(SUM(G214-V214)&gt;3,1,0)</f>
        <v>0</v>
      </c>
      <c r="CR214" s="245">
        <f>IF(SUM(G214-V214)&lt;-3,1,0)</f>
        <v>0</v>
      </c>
      <c r="CS214" s="264">
        <f>IF(AJ214=9,IF(AH214&lt;141,1,0),IF(AH214="",0,IF(AH214&gt;1,0,1)))</f>
        <v>0</v>
      </c>
      <c r="CT214" s="264">
        <f>IF(AX214=9,IF(AV214&lt;141,1,0),IF(AV214="",0,IF(AV214&gt;1,0,1)))</f>
        <v>0</v>
      </c>
      <c r="CU214" s="264">
        <f>IF(AI214="",0,IF(AI214&lt;502,0,1))</f>
        <v>0</v>
      </c>
      <c r="CV214" s="264">
        <f>IF(AW214="",0,IF(AW214&lt;502,0,1))</f>
        <v>0</v>
      </c>
      <c r="CW214" s="264">
        <f>IF(AI214="",IF(AJ214&lt;9,1,0),IF(AJ214&lt;9,1,0))</f>
        <v>0</v>
      </c>
      <c r="CX214" s="264">
        <f>IF(AW214="",IF(AX214&lt;9,1,0),IF(AX214&lt;9,1,0))</f>
        <v>0</v>
      </c>
      <c r="CY214" s="374">
        <f>COUNT(U212,U213,U214)</f>
        <v>0</v>
      </c>
      <c r="CZ214" s="375">
        <f>IF(AL209=3,IF(CY214&gt;2,1,0),0)</f>
        <v>0</v>
      </c>
      <c r="DA214" s="374"/>
      <c r="DB214" s="374"/>
      <c r="DC214" s="265">
        <f>IF(AJ214="",0,SUM(CL214:CX214))</f>
        <v>0</v>
      </c>
      <c r="DD214" s="265">
        <f>IF(AJ214="",0,SUM(CL214,CS214,CU214,CW214))</f>
        <v>0</v>
      </c>
      <c r="DE214" s="265">
        <f>IF(AJ214="",0,SUM(CP214,CT214,CV214,CX214))</f>
        <v>0</v>
      </c>
      <c r="DF214" s="238"/>
      <c r="DG214" s="248">
        <f>SUM(G214-V214)</f>
        <v>0</v>
      </c>
      <c r="DH214" s="245">
        <f>IF(F214="",0,1)</f>
        <v>0</v>
      </c>
      <c r="DI214" s="245">
        <f t="shared" si="512"/>
        <v>0</v>
      </c>
      <c r="DJ214" s="245">
        <f t="shared" si="513"/>
        <v>0</v>
      </c>
      <c r="DK214" s="245" t="str">
        <f>IF(G214="","",IF(DJ214=1,"*",""))</f>
        <v/>
      </c>
      <c r="DL214" s="245" t="str">
        <f>IF(G214="","",IF(DJ214=-1,"*",IF(DJ214=0,"*","")))</f>
        <v/>
      </c>
      <c r="DM214" s="245">
        <v>3</v>
      </c>
      <c r="DN214" s="245" t="str">
        <f t="shared" si="514"/>
        <v>3</v>
      </c>
      <c r="DO214" s="245" t="str">
        <f t="shared" si="515"/>
        <v>3</v>
      </c>
      <c r="DP214" s="245">
        <f>SUM(DP212)</f>
        <v>0</v>
      </c>
      <c r="DQ214" s="245">
        <f>SUM(DQ212)</f>
        <v>0</v>
      </c>
      <c r="DR214" s="245">
        <f t="shared" ref="DR214:DR216" si="522">IF(DK214="*",1,0)</f>
        <v>0</v>
      </c>
      <c r="DS214" s="245">
        <f t="shared" ref="DS214:DS216" si="523">IF(DL214="*",1,0)</f>
        <v>0</v>
      </c>
      <c r="DT214" s="245">
        <f t="shared" ref="DT214:DT216" si="524">IF(H204="",0,IF(DP214=DR214,1,0))</f>
        <v>0</v>
      </c>
      <c r="DU214" s="245">
        <f>IF(V214="",0,IF(DQ214=DS214,0,1))</f>
        <v>0</v>
      </c>
      <c r="DV214" s="267">
        <f t="shared" ref="DV214:DV216" si="525">SUM(DT214)</f>
        <v>0</v>
      </c>
      <c r="DW214" s="267">
        <f>IF(V214="",0,SUM(DU214))</f>
        <v>0</v>
      </c>
      <c r="DX214" s="238">
        <f>IF(AK214="",0,1)</f>
        <v>0</v>
      </c>
      <c r="DY214" s="238">
        <f>IF(DG214=-3,1,0)</f>
        <v>0</v>
      </c>
      <c r="DZ214" s="238">
        <f>SUM(DX214:DY214)</f>
        <v>0</v>
      </c>
      <c r="EA214" s="238">
        <f>IF(AK214="",1,0)</f>
        <v>1</v>
      </c>
      <c r="EB214" s="238">
        <f>IF(DG214=3,1,0)</f>
        <v>0</v>
      </c>
      <c r="EC214" s="238">
        <f>SUM(EA214:EB214)</f>
        <v>1</v>
      </c>
      <c r="ED214" s="267">
        <f>IF(EC214=2,1,0)</f>
        <v>0</v>
      </c>
      <c r="EE214" s="267">
        <f>IF(DZ214=2,1,0)</f>
        <v>0</v>
      </c>
      <c r="EG214" s="166"/>
      <c r="EH214" s="238"/>
      <c r="EI214" s="238"/>
      <c r="EJ214" s="238"/>
      <c r="EK214" s="238"/>
      <c r="EL214" s="238"/>
      <c r="EM214" s="245">
        <f>IF(AK214="",0,1)</f>
        <v>0</v>
      </c>
      <c r="EN214" s="245">
        <f>SUM(AK214)</f>
        <v>0</v>
      </c>
      <c r="EO214" s="268">
        <f>SUM(AJ214)</f>
        <v>0</v>
      </c>
      <c r="EP214" s="268">
        <f>SUM(G214/3)</f>
        <v>0</v>
      </c>
      <c r="EQ214" s="268" t="e">
        <f>SUM(EO214/EP214)</f>
        <v>#DIV/0!</v>
      </c>
      <c r="ER214" s="268">
        <f>ROUNDDOWN(EP214,0)</f>
        <v>0</v>
      </c>
      <c r="ES214" s="268">
        <f>SUM(EO214,-ER214*3)</f>
        <v>0</v>
      </c>
      <c r="ET214" s="269" t="b">
        <f>MOD(EN214/1,2)=0</f>
        <v>1</v>
      </c>
      <c r="EU214" s="245">
        <f>IF(ET214=FALSE,1,0)</f>
        <v>0</v>
      </c>
      <c r="EV214" s="245">
        <f>IF(EN214=50,0,IF(EN214&lt;40,1,0))</f>
        <v>1</v>
      </c>
      <c r="EW214" s="245">
        <f>SUM(EU214:EV214)</f>
        <v>1</v>
      </c>
      <c r="EX214" s="267">
        <f>IF(EN214=1,1,IF(EN214=50,0,IF(ES214=1,IF(EN214&gt;40,1,0),0)))</f>
        <v>0</v>
      </c>
      <c r="EY214" s="267">
        <f>IF(ES214=1,IF(EW214=2,1,0),0)+EX214+FB214+FE214</f>
        <v>0</v>
      </c>
      <c r="EZ214" s="245">
        <f>IF(EN214=109,1,IF(EN214=108,1,IF(EN214=106,1,IF(EN214=105,1,IF(EN214=103,1,IF(EN214=102,1,IF(EN214=99,1,0)))))))</f>
        <v>0</v>
      </c>
      <c r="FA214" s="245">
        <f>IF(EN214&gt;110,1,0)</f>
        <v>0</v>
      </c>
      <c r="FB214" s="267">
        <f>IF(ES214=2,SUM(EZ214:FA214),0)</f>
        <v>0</v>
      </c>
      <c r="FC214" s="245">
        <f>IF(EN214=159,1,IF(EN214=162,1,IF(EN214=163,1,IF(EN214=165,1,IF(EN214=166,1,IF(EN214=168,1,IF(EN214=169,1,0)))))))</f>
        <v>0</v>
      </c>
      <c r="FD214" s="245">
        <f>IF(EN214&gt;170,1,0)</f>
        <v>0</v>
      </c>
      <c r="FE214" s="267">
        <f>IF(ES214=0,SUM(FC214:FD214),0)</f>
        <v>0</v>
      </c>
      <c r="FF214" s="251">
        <f t="shared" si="516"/>
        <v>0</v>
      </c>
      <c r="FG214" s="238"/>
      <c r="FH214" s="245">
        <f>IF(AY214="",0,1)</f>
        <v>0</v>
      </c>
      <c r="FI214" s="245">
        <f>SUM(AY214)</f>
        <v>0</v>
      </c>
      <c r="FJ214" s="268">
        <f>SUM(AX214)</f>
        <v>0</v>
      </c>
      <c r="FK214" s="268">
        <f>SUM(V214/3)</f>
        <v>0</v>
      </c>
      <c r="FL214" s="268" t="e">
        <f>SUM(FJ214/FK214)</f>
        <v>#DIV/0!</v>
      </c>
      <c r="FM214" s="268">
        <f>ROUNDDOWN(FK214,0)</f>
        <v>0</v>
      </c>
      <c r="FN214" s="268">
        <f>SUM(FJ214,-FM214*3)</f>
        <v>0</v>
      </c>
      <c r="FO214" s="269" t="b">
        <f>MOD(FI214/1,2)=0</f>
        <v>1</v>
      </c>
      <c r="FP214" s="245">
        <f>IF(FO214=FALSE,1,0)</f>
        <v>0</v>
      </c>
      <c r="FQ214" s="245">
        <f>IF(FI214=50,0,IF(FI214&lt;40,1,0))</f>
        <v>1</v>
      </c>
      <c r="FR214" s="245">
        <f>SUM(FP214:FQ214)</f>
        <v>1</v>
      </c>
      <c r="FS214" s="267">
        <f>IF(FI214=1,1,IF(FI214=50,0,IF(FN214=1,IF(FI214&gt;40,1,0),0)))</f>
        <v>0</v>
      </c>
      <c r="FT214" s="267">
        <f>IF(FN214=1,IF(FR214=2,1,0),0)+FS214+FW214+FZ214</f>
        <v>0</v>
      </c>
      <c r="FU214" s="245">
        <f>IF(FI214=109,1,IF(FI214=108,1,IF(FI214=106,1,IF(FI214=105,1,IF(FI214=103,1,IF(FI214=102,1,IF(FI214=99,1,0)))))))</f>
        <v>0</v>
      </c>
      <c r="FV214" s="245">
        <f>IF(FI214&gt;110,1,0)</f>
        <v>0</v>
      </c>
      <c r="FW214" s="267">
        <f>IF(FN214=2,SUM(FU214:FV214),0)</f>
        <v>0</v>
      </c>
      <c r="FX214" s="245">
        <f>IF(FI214=159,1,IF(FI214=162,1,IF(FI214=163,1,IF(FI214=165,1,IF(FI214=166,1,IF(FI214=168,1,IF(FI214=169,1,0)))))))</f>
        <v>0</v>
      </c>
      <c r="FY214" s="245">
        <f>IF(FI214&gt;170,1,0)</f>
        <v>0</v>
      </c>
      <c r="FZ214" s="267">
        <f>IF(FN214=0,SUM(FX214:FY214),0)</f>
        <v>0</v>
      </c>
      <c r="GA214" s="251">
        <f t="shared" si="517"/>
        <v>0</v>
      </c>
      <c r="GC214" s="238" t="str">
        <f>VLOOKUP(AH209,Chema!BL:BR,3,FALSE)</f>
        <v/>
      </c>
      <c r="GD214" s="341"/>
      <c r="GE214" s="343" t="str">
        <f>IF(C220="","",SUM(C220))</f>
        <v/>
      </c>
      <c r="GF214" s="346"/>
      <c r="GG214" s="340"/>
      <c r="GH214" s="343">
        <f>IF(GH213&gt;0,1,0)</f>
        <v>0</v>
      </c>
      <c r="GI214" s="346"/>
      <c r="GJ214" s="343"/>
      <c r="GK214" s="340"/>
      <c r="GL214" s="343">
        <f>IF(GL213&gt;0,1,0)</f>
        <v>0</v>
      </c>
      <c r="GM214" s="343"/>
      <c r="GN214" s="343"/>
      <c r="GO214" s="340"/>
      <c r="GP214" s="343">
        <f>IF(GP213&gt;0,1,0)</f>
        <v>0</v>
      </c>
      <c r="GQ214" s="343"/>
      <c r="GR214" s="343"/>
      <c r="GS214" s="340"/>
      <c r="GT214" s="343">
        <f>IF(GT213&gt;0,1,0)</f>
        <v>0</v>
      </c>
      <c r="GU214" s="343"/>
      <c r="GV214" s="343"/>
      <c r="GW214" s="340"/>
      <c r="GX214" s="343">
        <f>IF(GX213&gt;0,1,0)</f>
        <v>0</v>
      </c>
      <c r="GY214" s="343"/>
      <c r="GZ214" s="343"/>
      <c r="HA214" s="343"/>
      <c r="HB214" s="343" t="str">
        <f>IF(GD212=1,L220,"")</f>
        <v/>
      </c>
      <c r="HC214" s="343" t="str">
        <f>IF(GD212=1,I220,"")</f>
        <v/>
      </c>
      <c r="HD214" s="345"/>
      <c r="HE214" s="340"/>
      <c r="HF214" s="340"/>
      <c r="HG214" s="347">
        <f>IF(GE213="",0,IF(AL209=3,2,IF(AL209=5,3,0)))</f>
        <v>0</v>
      </c>
      <c r="HH214" s="347">
        <f>IF(HK214=0,0,IF(HG216=0,0,1))</f>
        <v>0</v>
      </c>
      <c r="HI214" s="340"/>
      <c r="HJ214" s="340"/>
      <c r="HK214" s="340">
        <f>SUM(HM212,HM216)</f>
        <v>0</v>
      </c>
      <c r="HL214" s="340">
        <f>IF(HK214=0,0,IF(HM212=HG214,1,0))</f>
        <v>0</v>
      </c>
      <c r="HM214" s="340">
        <f>IF(HK214=0,0,IF(HM216=HG214,1,0))</f>
        <v>0</v>
      </c>
      <c r="HN214" s="341" t="str">
        <f>REPT(N209,1)</f>
        <v>Spiel 15</v>
      </c>
      <c r="HO214" s="348" t="str">
        <f>IF(HK214=0,"",IF(HH214=0,SUM(HH213),""))</f>
        <v/>
      </c>
      <c r="HP214" s="348" t="str">
        <f>IF(HK214=0,"",IF(HH214=0,SUM(HH215),""))</f>
        <v/>
      </c>
      <c r="HQ214" s="348" t="e">
        <f>IF(HH214=0,SUM(GZ213/HA213),"")</f>
        <v>#DIV/0!</v>
      </c>
      <c r="HR214" s="348" t="e">
        <f>IF(HH214=0,SUM(GZ215/HA215),"")</f>
        <v>#DIV/0!</v>
      </c>
      <c r="HS214" s="238" t="str">
        <f>REPT(DK212,1)</f>
        <v/>
      </c>
      <c r="HT214" s="238" t="str">
        <f>REPT(DL212,1)</f>
        <v/>
      </c>
      <c r="HU214" s="238">
        <f>IF(HH214=0,HL214,"")</f>
        <v>0</v>
      </c>
      <c r="HV214" s="238">
        <f>IF(HH214=0,HM214,"")</f>
        <v>0</v>
      </c>
      <c r="HW214" s="238" t="s">
        <v>1131</v>
      </c>
      <c r="HY214" s="238"/>
      <c r="HZ214" s="238" t="e">
        <f>IF(AL209=5,IF(HU214=1,SUM(HO214*2-HP214),HO214+HP214-2),"")</f>
        <v>#VALUE!</v>
      </c>
      <c r="IA214" s="238" t="str">
        <f>IF(AL209=3,IF(HU214=1,SUM(HO214-HP214+3),HO214+HP214-1),"")</f>
        <v/>
      </c>
      <c r="IB214" s="238" t="e">
        <f>IF(AL209=5,IF(HV214=1,SUM(HP214*2-HO214),HO214+HP214-2),"")</f>
        <v>#VALUE!</v>
      </c>
      <c r="IC214" s="238" t="str">
        <f>IF(AL209=3,IF(HV214=1,SUM(HP214-HO214+3),HO214+HP214-1),"")</f>
        <v/>
      </c>
      <c r="ID214" s="238">
        <f>SUM(BM218)</f>
        <v>0</v>
      </c>
    </row>
    <row r="215" spans="1:238" s="234" customFormat="1" ht="20.100000000000001" customHeight="1">
      <c r="A215" s="235"/>
      <c r="B215" s="231">
        <f>COUNT(AJ216,AJ215)</f>
        <v>0</v>
      </c>
      <c r="C215" s="235"/>
      <c r="D215" s="328" t="str">
        <f>REPT(DN215,1)</f>
        <v>4</v>
      </c>
      <c r="E215" s="329" t="str">
        <f>REPT(AH215,1)</f>
        <v/>
      </c>
      <c r="F215" s="330"/>
      <c r="G215" s="330"/>
      <c r="H215" s="330"/>
      <c r="I215" s="331"/>
      <c r="J215" s="270" t="str">
        <f t="shared" si="521"/>
        <v/>
      </c>
      <c r="M215" s="311"/>
      <c r="N215" s="270" t="str">
        <f>REPT(AP215,1)</f>
        <v/>
      </c>
      <c r="Q215" s="310"/>
      <c r="R215" s="235"/>
      <c r="S215" s="328" t="str">
        <f>REPT(DO215,1)</f>
        <v>4</v>
      </c>
      <c r="T215" s="329" t="str">
        <f>REPT(AV215,1)</f>
        <v/>
      </c>
      <c r="U215" s="330"/>
      <c r="V215" s="330"/>
      <c r="W215" s="330"/>
      <c r="X215" s="331"/>
      <c r="Y215" s="270" t="str">
        <f t="shared" si="504"/>
        <v/>
      </c>
      <c r="Z215" s="308"/>
      <c r="AA215" s="238">
        <f>SUM(AL209)</f>
        <v>5</v>
      </c>
      <c r="AB215" s="234">
        <f>IF(AY215="",0,IF(AY215&lt;2,1,""))</f>
        <v>0</v>
      </c>
      <c r="AC215" s="238">
        <f>IF(AL209=3,0,IF(AD215=1,1,IF(AD215=3,1,IF(AD215=2,0,IF(AD215=0,0,0)))))</f>
        <v>0</v>
      </c>
      <c r="AD215" s="256">
        <f t="shared" si="506"/>
        <v>0</v>
      </c>
      <c r="AE215" s="256">
        <f t="shared" si="500"/>
        <v>0</v>
      </c>
      <c r="AF215" s="256">
        <f t="shared" si="501"/>
        <v>0</v>
      </c>
      <c r="AG215" s="256">
        <f t="shared" si="507"/>
        <v>0</v>
      </c>
      <c r="AH215" s="257" t="str">
        <f>IF(AL209=3,"",IF(AK215="",IF(AI215="","",IF(AI215="",501,501-AI215)),501))</f>
        <v/>
      </c>
      <c r="AI215" s="256" t="str">
        <f>IF(AL209=3,"",IF(F215&gt;1,F215,IF(F215=0,"",IF(F215="","",""))))</f>
        <v/>
      </c>
      <c r="AJ215" s="256" t="str">
        <f>IF(AL209=3,"",IF(G215&gt;8,G215,IF(G215="","","")))</f>
        <v/>
      </c>
      <c r="AK215" s="256" t="str">
        <f>IF(AL209=3,"",IF(H215&gt;1,H215,IF(H215="","","")))</f>
        <v/>
      </c>
      <c r="AL215" s="256" t="str">
        <f>IF(AL209=3,"",IF(I215&gt;0,I215,IF(I215="","","")))</f>
        <v/>
      </c>
      <c r="AM215" s="258" t="str">
        <f>IF(BK215=0,"","X")</f>
        <v/>
      </c>
      <c r="AN215" s="237"/>
      <c r="AO215" s="237"/>
      <c r="AP215" s="258" t="str">
        <f>IF(BM215=0,"","X")</f>
        <v/>
      </c>
      <c r="AQ215" s="236">
        <f>IF(AL209=3,0,IF(AR215=1,1,IF(AR215=3,1,IF(AR215=2,0,IF(AR215=0,0,0)))))</f>
        <v>0</v>
      </c>
      <c r="AR215" s="256">
        <f t="shared" si="509"/>
        <v>0</v>
      </c>
      <c r="AS215" s="256">
        <f t="shared" si="502"/>
        <v>0</v>
      </c>
      <c r="AT215" s="256">
        <f t="shared" si="503"/>
        <v>0</v>
      </c>
      <c r="AU215" s="256">
        <f t="shared" si="510"/>
        <v>0</v>
      </c>
      <c r="AV215" s="257" t="str">
        <f>IF(AY215="",IF(AW215="","",IF(AW215="",501,501-AW215)),501)</f>
        <v/>
      </c>
      <c r="AW215" s="256" t="str">
        <f>IF(AL209=3,"",IF(U215&gt;1,U215,IF(U215=0,"",IF(U215="","",""))))</f>
        <v/>
      </c>
      <c r="AX215" s="256" t="str">
        <f>IF(AL209=3,"",IF(V215&gt;8,V215,IF(V215="","","")))</f>
        <v/>
      </c>
      <c r="AY215" s="256" t="str">
        <f>IF(AL209=3,"",IF(W215&gt;1,W215,IF(W215="","","")))</f>
        <v/>
      </c>
      <c r="AZ215" s="256" t="str">
        <f>IF(AL209=3,"",IF(X215&gt;0,X215,IF(X215="","","")))</f>
        <v/>
      </c>
      <c r="BA215" s="258" t="str">
        <f>IF(BL215=0,"","X")</f>
        <v/>
      </c>
      <c r="BK215" s="251">
        <f>IF(AL209=3,0,SUM(DD215,DV215,EY215,ED215,FF215,BQ215,BS215,AC215))</f>
        <v>0</v>
      </c>
      <c r="BL215" s="251">
        <f>IF(AL209=3,0,SUM(DE215,DW215,EE215,FT215,GA215,BR215,BT215,AQ215))</f>
        <v>0</v>
      </c>
      <c r="BM215" s="259">
        <f>IF(AL209=3,0,SUM(DC215,BK215:BL215,AC215,AQ215))</f>
        <v>0</v>
      </c>
      <c r="BN215" s="239">
        <f>COUNT(AK215)</f>
        <v>0</v>
      </c>
      <c r="BO215" s="239">
        <f>COUNT(AY215)</f>
        <v>0</v>
      </c>
      <c r="BP215" s="239">
        <f>IF(BZ217=0,0,1)</f>
        <v>0</v>
      </c>
      <c r="BQ215" s="260">
        <f>IF(AL215="",0,IF(AL215&gt;2,1,0))</f>
        <v>0</v>
      </c>
      <c r="BR215" s="261">
        <f>IF(AZ215="",0,IF(AZ215&gt;2,1,0))</f>
        <v>0</v>
      </c>
      <c r="BS215" s="262">
        <f>IF(AJ215=9,IF(AK215&lt;141,1,0),0)</f>
        <v>0</v>
      </c>
      <c r="BT215" s="263">
        <f>IF(AX215=9,IF(AY215&lt;141,1,0),0)</f>
        <v>0</v>
      </c>
      <c r="BU215" s="242">
        <f>IF(AL209=3,0,IF(H215,G215,0))</f>
        <v>0</v>
      </c>
      <c r="BV215" s="238">
        <f>IF(BU215&gt;0,AJ215/3,0)</f>
        <v>0</v>
      </c>
      <c r="BW215" s="238">
        <f>ROUNDUP(BV215,0)</f>
        <v>0</v>
      </c>
      <c r="BX215" s="244">
        <f>IF(MOD(BW215,2)=0,BW215,BW215+1)</f>
        <v>0</v>
      </c>
      <c r="BY215" s="238">
        <f>IF(AJ215&lt;9,"",SUM(BX215-BW215))</f>
        <v>0</v>
      </c>
      <c r="BZ215" s="238">
        <f>IF(BY215=1,AK215,0)</f>
        <v>0</v>
      </c>
      <c r="CA215" s="243" t="str">
        <f>IF(BY215=0,AK215,0)</f>
        <v/>
      </c>
      <c r="CB215" s="238"/>
      <c r="CC215" s="238"/>
      <c r="CD215" s="242">
        <f>IF(AL209=3,0,IF(W215,V215,0))</f>
        <v>0</v>
      </c>
      <c r="CE215" s="238">
        <f>IF(CD215&gt;0,AX215/3,0)</f>
        <v>0</v>
      </c>
      <c r="CF215" s="238">
        <f>ROUNDUP(CE215,0)</f>
        <v>0</v>
      </c>
      <c r="CG215" s="244">
        <f>IF(MOD(CF215,2)=0,CF215,CF215+1)</f>
        <v>0</v>
      </c>
      <c r="CH215" s="238">
        <f>IF(AX215&lt;9,"",SUM(CG215-CF215))</f>
        <v>0</v>
      </c>
      <c r="CI215" s="238">
        <f>IF(CH215=1,AY215,0)</f>
        <v>0</v>
      </c>
      <c r="CJ215" s="243" t="str">
        <f>IF(CH215=0,AY215,0)</f>
        <v/>
      </c>
      <c r="CK215" s="238"/>
      <c r="CL215" s="245">
        <f>IF(COUNT(F215,H215)=1,0,1)</f>
        <v>1</v>
      </c>
      <c r="CM215" s="245">
        <f>IF(COUNT(F215,U215)=1,0,1)</f>
        <v>1</v>
      </c>
      <c r="CN215" s="245">
        <f>IF(COUNT(H215,W215)=1,0,1)</f>
        <v>1</v>
      </c>
      <c r="CO215" s="245">
        <f>IF(COUNT(G215,V215)=2,0,1)</f>
        <v>1</v>
      </c>
      <c r="CP215" s="245">
        <f>IF(COUNT(U215,W215)=1,0,1)</f>
        <v>1</v>
      </c>
      <c r="CQ215" s="245">
        <f>IF(SUM(G215-V215)&gt;3,1,0)</f>
        <v>0</v>
      </c>
      <c r="CR215" s="245">
        <f>IF(SUM(G215-V215)&lt;-3,1,0)</f>
        <v>0</v>
      </c>
      <c r="CS215" s="264">
        <f>IF(AJ215=9,IF(AH215&lt;141,1,0),IF(AH215="",0,IF(AH215&gt;1,0,1)))</f>
        <v>0</v>
      </c>
      <c r="CT215" s="264">
        <f>IF(AX215=9,IF(AV215&lt;141,1,0),IF(AV215="",0,IF(AV215&gt;1,0,1)))</f>
        <v>0</v>
      </c>
      <c r="CU215" s="264">
        <f>IF(AI215="",0,IF(AI215&lt;502,0,1))</f>
        <v>0</v>
      </c>
      <c r="CV215" s="264">
        <f>IF(AW215="",0,IF(AW215&lt;502,0,1))</f>
        <v>0</v>
      </c>
      <c r="CW215" s="264">
        <f>IF(AI215="",IF(AJ215&lt;9,1,0),IF(AJ215&lt;9,1,0))</f>
        <v>0</v>
      </c>
      <c r="CX215" s="264">
        <f>IF(AW215="",IF(AX215&lt;9,1,0),IF(AX215&lt;9,1,0))</f>
        <v>0</v>
      </c>
      <c r="CY215" s="374"/>
      <c r="CZ215" s="374"/>
      <c r="DA215" s="374"/>
      <c r="DB215" s="374"/>
      <c r="DC215" s="265">
        <f>IF(AJ215="",0,SUM(CL215:CX215))</f>
        <v>0</v>
      </c>
      <c r="DD215" s="265">
        <f>IF(AJ215="",0,SUM(CL215,CS215,CU215,CW215))</f>
        <v>0</v>
      </c>
      <c r="DE215" s="265">
        <f>IF(AJ215="",0,SUM(CP215,CT215,CV215,CX215))</f>
        <v>0</v>
      </c>
      <c r="DF215" s="238"/>
      <c r="DG215" s="248">
        <f>IF(AL209=3,0,SUM(G215-V215))</f>
        <v>0</v>
      </c>
      <c r="DH215" s="245">
        <f>IF(F215="",0,1)</f>
        <v>0</v>
      </c>
      <c r="DI215" s="245">
        <f t="shared" si="512"/>
        <v>0</v>
      </c>
      <c r="DJ215" s="245">
        <f t="shared" si="513"/>
        <v>0</v>
      </c>
      <c r="DK215" s="245" t="str">
        <f>IF(G215="","",IF(DJ215=1,"*",""))</f>
        <v/>
      </c>
      <c r="DL215" s="245" t="str">
        <f>IF(AL209=3,"",IF(G215="","",IF(DJ215=-1,"*",IF(DJ215=0,"*",""))))</f>
        <v/>
      </c>
      <c r="DM215" s="245">
        <v>4</v>
      </c>
      <c r="DN215" s="245" t="str">
        <f t="shared" si="514"/>
        <v>4</v>
      </c>
      <c r="DO215" s="245" t="str">
        <f t="shared" si="515"/>
        <v>4</v>
      </c>
      <c r="DP215" s="245">
        <f>SUM(DQ212)</f>
        <v>0</v>
      </c>
      <c r="DQ215" s="245">
        <f>SUM(DP212)</f>
        <v>0</v>
      </c>
      <c r="DR215" s="245">
        <f t="shared" si="522"/>
        <v>0</v>
      </c>
      <c r="DS215" s="245">
        <f t="shared" si="523"/>
        <v>0</v>
      </c>
      <c r="DT215" s="245">
        <f t="shared" si="524"/>
        <v>0</v>
      </c>
      <c r="DU215" s="245">
        <f>IF(V215="",0,IF(DQ215=DS215,0,1))</f>
        <v>0</v>
      </c>
      <c r="DV215" s="267">
        <f t="shared" si="525"/>
        <v>0</v>
      </c>
      <c r="DW215" s="267">
        <f>IF(V215="",0,SUM(DU215))</f>
        <v>0</v>
      </c>
      <c r="DX215" s="238">
        <f>IF(AK215="",0,1)</f>
        <v>0</v>
      </c>
      <c r="DY215" s="238">
        <f>IF(DG215=-3,1,0)</f>
        <v>0</v>
      </c>
      <c r="DZ215" s="238">
        <f>SUM(DX215:DY215)</f>
        <v>0</v>
      </c>
      <c r="EA215" s="238">
        <f>IF(AK215="",1,0)</f>
        <v>1</v>
      </c>
      <c r="EB215" s="238">
        <f>IF(DG215=3,1,0)</f>
        <v>0</v>
      </c>
      <c r="EC215" s="238">
        <f>SUM(EA215:EB215)</f>
        <v>1</v>
      </c>
      <c r="ED215" s="267">
        <f>IF(EC215=2,1,0)</f>
        <v>0</v>
      </c>
      <c r="EE215" s="267">
        <f>IF(DZ215=2,1,0)</f>
        <v>0</v>
      </c>
      <c r="EG215" s="166"/>
      <c r="EH215" s="238"/>
      <c r="EI215" s="238"/>
      <c r="EJ215" s="238"/>
      <c r="EK215" s="238"/>
      <c r="EL215" s="238"/>
      <c r="EM215" s="245">
        <f>IF(AK215="",0,1)</f>
        <v>0</v>
      </c>
      <c r="EN215" s="245">
        <f>SUM(AK215)</f>
        <v>0</v>
      </c>
      <c r="EO215" s="268">
        <f>SUM(AJ215)</f>
        <v>0</v>
      </c>
      <c r="EP215" s="268">
        <f>SUM(G215/3)</f>
        <v>0</v>
      </c>
      <c r="EQ215" s="268" t="e">
        <f>SUM(EO215/EP215)</f>
        <v>#DIV/0!</v>
      </c>
      <c r="ER215" s="268">
        <f>ROUNDDOWN(EP215,0)</f>
        <v>0</v>
      </c>
      <c r="ES215" s="268">
        <f>SUM(EO215,-ER215*3)</f>
        <v>0</v>
      </c>
      <c r="ET215" s="269" t="b">
        <f>MOD(EN215/1,2)=0</f>
        <v>1</v>
      </c>
      <c r="EU215" s="245">
        <f>IF(ET215=FALSE,1,0)</f>
        <v>0</v>
      </c>
      <c r="EV215" s="245">
        <f>IF(EN215=50,0,IF(EN215&lt;40,1,0))</f>
        <v>1</v>
      </c>
      <c r="EW215" s="245">
        <f>SUM(EU215:EV215)</f>
        <v>1</v>
      </c>
      <c r="EX215" s="267">
        <f>IF(EN215=1,1,IF(EN215=50,0,IF(ES215=1,IF(EN215&gt;40,1,0),0)))</f>
        <v>0</v>
      </c>
      <c r="EY215" s="267">
        <f>IF(ES215=1,IF(EW215=2,1,0),0)+EX215+FB215+FE215</f>
        <v>0</v>
      </c>
      <c r="EZ215" s="245">
        <f>IF(EN215=109,1,IF(EN215=108,1,IF(EN215=106,1,IF(EN215=105,1,IF(EN215=103,1,IF(EN215=102,1,IF(EN215=99,1,0)))))))</f>
        <v>0</v>
      </c>
      <c r="FA215" s="245">
        <f>IF(EN215&gt;110,1,0)</f>
        <v>0</v>
      </c>
      <c r="FB215" s="267">
        <f>IF(ES215=2,SUM(EZ215:FA215),0)</f>
        <v>0</v>
      </c>
      <c r="FC215" s="245">
        <f>IF(EN215=159,1,IF(EN215=162,1,IF(EN215=163,1,IF(EN215=165,1,IF(EN215=166,1,IF(EN215=168,1,IF(EN215=169,1,0)))))))</f>
        <v>0</v>
      </c>
      <c r="FD215" s="245">
        <f>IF(EN215&gt;170,1,0)</f>
        <v>0</v>
      </c>
      <c r="FE215" s="267">
        <f>IF(ES215=0,SUM(FC215:FD215),0)</f>
        <v>0</v>
      </c>
      <c r="FF215" s="251">
        <f t="shared" si="516"/>
        <v>0</v>
      </c>
      <c r="FG215" s="238"/>
      <c r="FH215" s="245">
        <f>IF(AY215="",0,1)</f>
        <v>0</v>
      </c>
      <c r="FI215" s="245">
        <f>SUM(AY215)</f>
        <v>0</v>
      </c>
      <c r="FJ215" s="268">
        <f>SUM(AX215)</f>
        <v>0</v>
      </c>
      <c r="FK215" s="268">
        <f>SUM(V215/3)</f>
        <v>0</v>
      </c>
      <c r="FL215" s="268" t="e">
        <f>SUM(FJ215/FK215)</f>
        <v>#DIV/0!</v>
      </c>
      <c r="FM215" s="268">
        <f>ROUNDDOWN(FK215,0)</f>
        <v>0</v>
      </c>
      <c r="FN215" s="268">
        <f>SUM(FJ215,-FM215*3)</f>
        <v>0</v>
      </c>
      <c r="FO215" s="269" t="b">
        <f>MOD(FI215/1,2)=0</f>
        <v>1</v>
      </c>
      <c r="FP215" s="245">
        <f>IF(FO215=FALSE,1,0)</f>
        <v>0</v>
      </c>
      <c r="FQ215" s="245">
        <f>IF(FI215=50,0,IF(FI215&lt;40,1,0))</f>
        <v>1</v>
      </c>
      <c r="FR215" s="245">
        <f>SUM(FP215:FQ215)</f>
        <v>1</v>
      </c>
      <c r="FS215" s="267">
        <f>IF(FI215=1,1,IF(FI215=50,0,IF(FN215=1,IF(FI215&gt;40,1,0),0)))</f>
        <v>0</v>
      </c>
      <c r="FT215" s="267">
        <f>IF(FN215=1,IF(FR215=2,1,0),0)+FS215+FW215+FZ215</f>
        <v>0</v>
      </c>
      <c r="FU215" s="245">
        <f>IF(FI215=109,1,IF(FI215=108,1,IF(FI215=106,1,IF(FI215=105,1,IF(FI215=103,1,IF(FI215=102,1,IF(FI215=99,1,0)))))))</f>
        <v>0</v>
      </c>
      <c r="FV215" s="245">
        <f>IF(FI215&gt;110,1,0)</f>
        <v>0</v>
      </c>
      <c r="FW215" s="267">
        <f>IF(FN215=2,SUM(FU215:FV215),0)</f>
        <v>0</v>
      </c>
      <c r="FX215" s="245">
        <f>IF(FI215=159,1,IF(FI215=162,1,IF(FI215=163,1,IF(FI215=165,1,IF(FI215=166,1,IF(FI215=168,1,IF(FI215=169,1,0)))))))</f>
        <v>0</v>
      </c>
      <c r="FY215" s="245">
        <f>IF(FI215&gt;170,1,0)</f>
        <v>0</v>
      </c>
      <c r="FZ215" s="267">
        <f>IF(FN215=0,SUM(FX215:FY215),0)</f>
        <v>0</v>
      </c>
      <c r="GA215" s="251">
        <f t="shared" si="517"/>
        <v>0</v>
      </c>
      <c r="GC215" s="238" t="str">
        <f>VLOOKUP(AH209,Chema!BL:BR,4,FALSE)</f>
        <v>GS 2.3</v>
      </c>
      <c r="GD215" s="341">
        <f>IF(T219="FORFAIT",1,0)</f>
        <v>0</v>
      </c>
      <c r="GE215" s="343" t="str">
        <f>IF(R219="","",SUM(R219))</f>
        <v/>
      </c>
      <c r="GF215" s="344">
        <f>SUM(AV212)</f>
        <v>0</v>
      </c>
      <c r="GG215" s="344">
        <f>SUM(AX212)</f>
        <v>0</v>
      </c>
      <c r="GH215" s="344">
        <f t="shared" ref="GH215" si="526">SUM(AY212)</f>
        <v>0</v>
      </c>
      <c r="GI215" s="344">
        <f t="shared" ref="GI215" si="527">SUM(AZ212)</f>
        <v>0</v>
      </c>
      <c r="GJ215" s="344">
        <f>SUM(AV213)</f>
        <v>0</v>
      </c>
      <c r="GK215" s="344">
        <f>SUM(AX213)</f>
        <v>0</v>
      </c>
      <c r="GL215" s="344">
        <f>SUM(AY213)</f>
        <v>0</v>
      </c>
      <c r="GM215" s="344">
        <f>SUM(AZ213)</f>
        <v>0</v>
      </c>
      <c r="GN215" s="344">
        <f>SUM(AV214)</f>
        <v>0</v>
      </c>
      <c r="GO215" s="344">
        <f>SUM(AX214)</f>
        <v>0</v>
      </c>
      <c r="GP215" s="344">
        <f>SUM(AY214)</f>
        <v>0</v>
      </c>
      <c r="GQ215" s="344">
        <f>SUM(AZ214)</f>
        <v>0</v>
      </c>
      <c r="GR215" s="344">
        <f>SUM(AV215)</f>
        <v>0</v>
      </c>
      <c r="GS215" s="344">
        <f>SUM(AX215)</f>
        <v>0</v>
      </c>
      <c r="GT215" s="344">
        <f>SUM(AY215)</f>
        <v>0</v>
      </c>
      <c r="GU215" s="344">
        <f>SUM(AZ215)</f>
        <v>0</v>
      </c>
      <c r="GV215" s="344">
        <f>SUM(AV216)</f>
        <v>0</v>
      </c>
      <c r="GW215" s="344">
        <f>SUM(AX216)</f>
        <v>0</v>
      </c>
      <c r="GX215" s="344">
        <f>SUM(AY216)</f>
        <v>0</v>
      </c>
      <c r="GY215" s="344">
        <f>SUM(AZ216)</f>
        <v>0</v>
      </c>
      <c r="GZ215" s="344">
        <f>SUM(GF215,GJ215,GN215,GR215,GV215)</f>
        <v>0</v>
      </c>
      <c r="HA215" s="344">
        <f t="shared" ref="HA215" si="528">SUM(GG215,GK215,GO215,GS215,GW215)</f>
        <v>0</v>
      </c>
      <c r="HB215" s="344">
        <f>IF(GD212=1,P219,MAX(GH215,GL215,GP215,GT215,GX215))</f>
        <v>0</v>
      </c>
      <c r="HC215" s="344">
        <f>IF(GD212=1,X219,SUM(GI215,GM215,GQ215,GU215,GY215))</f>
        <v>0</v>
      </c>
      <c r="HD215" s="345">
        <f>IF(GD212=1,0,SUM(GF215,GJ215,GN215,GR215,GV215))</f>
        <v>0</v>
      </c>
      <c r="HE215" s="345">
        <f>IF(GD212=1,0,SUM(GG215,GK215,GO215,GS215,GW215))</f>
        <v>0</v>
      </c>
      <c r="HF215" s="341">
        <f>IF(GD212=1,0,MIN(HI215,HJ215,HK215,HL215,HM215))</f>
        <v>0</v>
      </c>
      <c r="HG215" s="341">
        <f>IF(HF215=0,0,COUNTIF(HI215:HM215,HF215))</f>
        <v>0</v>
      </c>
      <c r="HH215" s="341">
        <f>SUM(GH216,GL216,GP216,GT216,GX216)</f>
        <v>0</v>
      </c>
      <c r="HI215" s="343" t="str">
        <f>IF(GH216=1,GG215,"")</f>
        <v/>
      </c>
      <c r="HJ215" s="343" t="str">
        <f>IF(GL216=1,GK215,"")</f>
        <v/>
      </c>
      <c r="HK215" s="343" t="str">
        <f>IF(GP216=1,GO215,"")</f>
        <v/>
      </c>
      <c r="HL215" s="343" t="str">
        <f>IF(GT216=1,GS215,"")</f>
        <v/>
      </c>
      <c r="HM215" s="343" t="str">
        <f>IF(GX216=1,GW215,"")</f>
        <v/>
      </c>
      <c r="HN215" s="341"/>
      <c r="HO215" s="341"/>
      <c r="HP215" s="341"/>
      <c r="HQ215" s="341"/>
      <c r="HR215" s="341"/>
      <c r="HS215" s="238"/>
      <c r="HT215" s="238"/>
      <c r="HU215" s="238"/>
      <c r="HV215" s="238"/>
      <c r="HW215" s="238" t="str">
        <f>IFERROR(IF(GD212=0,SUM(IB214:IC214),""),"")</f>
        <v/>
      </c>
      <c r="HY215" s="238"/>
      <c r="ID215" s="238"/>
    </row>
    <row r="216" spans="1:238" s="234" customFormat="1" ht="20.100000000000001" customHeight="1">
      <c r="A216" s="235"/>
      <c r="B216" s="231">
        <f>COUNT(AJ217,AJ216)</f>
        <v>1</v>
      </c>
      <c r="C216" s="235"/>
      <c r="D216" s="271" t="str">
        <f>REPT(DN216,1)</f>
        <v>5</v>
      </c>
      <c r="E216" s="254" t="str">
        <f>REPT(AH216,1)</f>
        <v/>
      </c>
      <c r="F216" s="168"/>
      <c r="G216" s="168"/>
      <c r="H216" s="168"/>
      <c r="I216" s="169"/>
      <c r="J216" s="272" t="str">
        <f>REPT(AM216,1)</f>
        <v/>
      </c>
      <c r="L216" s="310"/>
      <c r="M216" s="310"/>
      <c r="N216" s="272" t="str">
        <f>REPT(AP216,1)</f>
        <v/>
      </c>
      <c r="O216" s="118"/>
      <c r="Q216" s="310"/>
      <c r="R216" s="235"/>
      <c r="S216" s="271" t="str">
        <f>REPT(DO216,1)</f>
        <v>5</v>
      </c>
      <c r="T216" s="254" t="str">
        <f>REPT(AV216,1)</f>
        <v/>
      </c>
      <c r="U216" s="168"/>
      <c r="V216" s="168"/>
      <c r="W216" s="168"/>
      <c r="X216" s="169"/>
      <c r="Y216" s="272" t="str">
        <f>REPT(BA216,1)</f>
        <v/>
      </c>
      <c r="Z216" s="308"/>
      <c r="AA216" s="238">
        <f>SUM(AL209)</f>
        <v>5</v>
      </c>
      <c r="AB216" s="234">
        <f>IF(AY216="",0,IF(AY216&lt;2,1,""))</f>
        <v>0</v>
      </c>
      <c r="AC216" s="238">
        <f>IF(AL209=3,0,IF(AD216=1,1,IF(AD216=3,1,IF(AD216=2,0,IF(AD216=0,0,0)))))</f>
        <v>0</v>
      </c>
      <c r="AD216" s="256">
        <f t="shared" si="506"/>
        <v>0</v>
      </c>
      <c r="AE216" s="256">
        <f t="shared" si="500"/>
        <v>0</v>
      </c>
      <c r="AF216" s="256">
        <f t="shared" si="501"/>
        <v>0</v>
      </c>
      <c r="AG216" s="256">
        <f t="shared" si="507"/>
        <v>0</v>
      </c>
      <c r="AH216" s="257" t="str">
        <f>IF(AL209=3,"",IF(AK216="",IF(AI216="","",IF(AI216="",501,501-AI216)),501))</f>
        <v/>
      </c>
      <c r="AI216" s="256" t="str">
        <f>IF(AL209=3,"",IF(F216&gt;1,F216,IF(F216=0,"",IF(F216="","",""))))</f>
        <v/>
      </c>
      <c r="AJ216" s="256" t="str">
        <f>IF(AL209=3,"",IF(G216&gt;8,G216,IF(G216="","","")))</f>
        <v/>
      </c>
      <c r="AK216" s="256" t="str">
        <f>IF(AL209=3,"",IF(H216&gt;1,H216,IF(H216="","","")))</f>
        <v/>
      </c>
      <c r="AL216" s="256" t="str">
        <f>IF(AL209=3,"",IF(I216&gt;0,I216,IF(I216="","","")))</f>
        <v/>
      </c>
      <c r="AM216" s="258" t="str">
        <f>IF(BK216=0,"","X")</f>
        <v/>
      </c>
      <c r="AN216" s="237"/>
      <c r="AO216" s="237"/>
      <c r="AP216" s="258" t="str">
        <f>IF(BM216=0,"","X")</f>
        <v/>
      </c>
      <c r="AQ216" s="236">
        <f>IF(AL209=3,0,IF(AR216=1,1,IF(AR216=3,1,IF(AR216=2,0,IF(AR216=0,0,0)))))</f>
        <v>0</v>
      </c>
      <c r="AR216" s="256">
        <f t="shared" si="509"/>
        <v>0</v>
      </c>
      <c r="AS216" s="256">
        <f t="shared" si="502"/>
        <v>0</v>
      </c>
      <c r="AT216" s="256">
        <f t="shared" si="503"/>
        <v>0</v>
      </c>
      <c r="AU216" s="256">
        <f t="shared" si="510"/>
        <v>0</v>
      </c>
      <c r="AV216" s="257" t="str">
        <f>IF(AY216="",IF(AW216="","",IF(AW216="",501,501-AW216)),501)</f>
        <v/>
      </c>
      <c r="AW216" s="256" t="str">
        <f>IF(AL209=3,"",IF(U216&gt;1,U216,IF(U216=0,"",IF(U216="","",""))))</f>
        <v/>
      </c>
      <c r="AX216" s="256" t="str">
        <f>IF(AL209=3,"",IF(V216&gt;8,V216,IF(V216="","","")))</f>
        <v/>
      </c>
      <c r="AY216" s="256" t="str">
        <f>IF(AL209=3,"",IF(W216&gt;1,W216,IF(W216="","","")))</f>
        <v/>
      </c>
      <c r="AZ216" s="256" t="str">
        <f>IF(AL209=3,"",IF(X216&gt;0,X216,IF(X216="","","")))</f>
        <v/>
      </c>
      <c r="BA216" s="258" t="str">
        <f>IF(BL216=0,"","X")</f>
        <v/>
      </c>
      <c r="BK216" s="251">
        <f>IF(AL209=3,0,SUM(DD216,DV216,EY216,ED216,FF216,BQ216,BS216,AC216))</f>
        <v>0</v>
      </c>
      <c r="BL216" s="251">
        <f>SUM(DE216,DW216,EE216,FT216,GA216,BR216,BT216,AQ216)</f>
        <v>0</v>
      </c>
      <c r="BM216" s="259">
        <f>IF(AL209=3,0,SUM(DC216,BK216:BL216,AC216,AQ216))</f>
        <v>0</v>
      </c>
      <c r="BN216" s="239">
        <f>COUNT(AK216)</f>
        <v>0</v>
      </c>
      <c r="BO216" s="239">
        <f>COUNT(AY216)</f>
        <v>0</v>
      </c>
      <c r="BP216" s="239">
        <f>IF(BN218=0,0,1)</f>
        <v>0</v>
      </c>
      <c r="BQ216" s="260">
        <f>IF(AL216="",0,IF(AL216&gt;2,1,0))</f>
        <v>0</v>
      </c>
      <c r="BR216" s="261">
        <f>IF(AZ216="",0,IF(AZ216&gt;2,1,0))</f>
        <v>0</v>
      </c>
      <c r="BS216" s="262">
        <f>IF(AJ216=9,IF(AK216&lt;141,1,0),0)</f>
        <v>0</v>
      </c>
      <c r="BT216" s="263">
        <f>IF(AX216=9,IF(AY216&lt;141,1,0),0)</f>
        <v>0</v>
      </c>
      <c r="BU216" s="242">
        <f>IF(AL209=3,0,IF(H216,G216,0))</f>
        <v>0</v>
      </c>
      <c r="BV216" s="238">
        <f>IF(BU216&gt;0,AJ216/3,0)</f>
        <v>0</v>
      </c>
      <c r="BW216" s="238">
        <f>ROUNDUP(BV216,0)</f>
        <v>0</v>
      </c>
      <c r="BX216" s="244">
        <f>IF(MOD(BW216,2)=0,BW216,BW216+1)</f>
        <v>0</v>
      </c>
      <c r="BY216" s="238">
        <f>IF(AJ216&lt;9,"",SUM(BX216-BW216))</f>
        <v>0</v>
      </c>
      <c r="BZ216" s="238">
        <f>IF(BY216=1,AK216,0)</f>
        <v>0</v>
      </c>
      <c r="CA216" s="243" t="str">
        <f>IF(BY216=0,AK216,0)</f>
        <v/>
      </c>
      <c r="CB216" s="238"/>
      <c r="CC216" s="238"/>
      <c r="CD216" s="242">
        <f>IF(AL209=3,0,IF(W216,V216,0))</f>
        <v>0</v>
      </c>
      <c r="CE216" s="238">
        <f>IF(CD216&gt;0,AX216/3,0)</f>
        <v>0</v>
      </c>
      <c r="CF216" s="238">
        <f>ROUNDUP(CE216,0)</f>
        <v>0</v>
      </c>
      <c r="CG216" s="244">
        <f>IF(MOD(CF216,2)=0,CF216,CF216+1)</f>
        <v>0</v>
      </c>
      <c r="CH216" s="238">
        <f>IF(AX216&lt;9,"",SUM(CG216-CF216))</f>
        <v>0</v>
      </c>
      <c r="CI216" s="238">
        <f>IF(CH216=1,AY216,0)</f>
        <v>0</v>
      </c>
      <c r="CJ216" s="243" t="str">
        <f>IF(CH216=0,AY216,0)</f>
        <v/>
      </c>
      <c r="CK216" s="238"/>
      <c r="CL216" s="245">
        <f>IF(COUNT(F216,H216)=1,0,1)</f>
        <v>1</v>
      </c>
      <c r="CM216" s="245">
        <f>IF(COUNT(F216,U216)=1,0,1)</f>
        <v>1</v>
      </c>
      <c r="CN216" s="245">
        <f>IF(COUNT(H216,W216)=1,0,1)</f>
        <v>1</v>
      </c>
      <c r="CO216" s="245">
        <f>IF(COUNT(G216,V216)=2,0,1)</f>
        <v>1</v>
      </c>
      <c r="CP216" s="245">
        <f>IF(COUNT(U216,W216)=1,0,1)</f>
        <v>1</v>
      </c>
      <c r="CQ216" s="245">
        <f>IF(SUM(G216-V216)&gt;3,1,0)</f>
        <v>0</v>
      </c>
      <c r="CR216" s="245">
        <f>IF(SUM(G216-V216)&lt;-3,1,0)</f>
        <v>0</v>
      </c>
      <c r="CS216" s="264">
        <f>IF(AJ216=9,IF(AH216&lt;141,1,0),IF(AH216="",0,IF(AH216&gt;1,0,1)))</f>
        <v>0</v>
      </c>
      <c r="CT216" s="264">
        <f>IF(AX216=9,IF(AV216&lt;141,1,0),IF(AV216="",0,IF(AV216&gt;1,0,1)))</f>
        <v>0</v>
      </c>
      <c r="CU216" s="264">
        <f>IF(AI216="",0,IF(AI216&lt;502,0,1))</f>
        <v>0</v>
      </c>
      <c r="CV216" s="264">
        <f>IF(AW216="",0,IF(AW216&lt;502,0,1))</f>
        <v>0</v>
      </c>
      <c r="CW216" s="264">
        <f>IF(AI216="",IF(AJ216&lt;9,1,0),IF(AJ216&lt;9,1,0))</f>
        <v>0</v>
      </c>
      <c r="CX216" s="264">
        <f>IF(AW216="",IF(AX216&lt;9,1,0),IF(AX216&lt;9,1,0))</f>
        <v>0</v>
      </c>
      <c r="CY216" s="374"/>
      <c r="CZ216" s="374"/>
      <c r="DA216" s="374"/>
      <c r="DB216" s="374"/>
      <c r="DC216" s="265">
        <f>IF(AJ216="",0,SUM(CL216:CX216))</f>
        <v>0</v>
      </c>
      <c r="DD216" s="265">
        <f>IF(AJ216="",0,SUM(CL216,CS216,CU216,CW216))</f>
        <v>0</v>
      </c>
      <c r="DE216" s="265">
        <f>IF(AJ216="",0,SUM(CP216,CT216,CV216,CX216))</f>
        <v>0</v>
      </c>
      <c r="DF216" s="238"/>
      <c r="DG216" s="248">
        <f>IF(AL209=3,0,SUM(G216-V216))</f>
        <v>0</v>
      </c>
      <c r="DH216" s="245">
        <f>IF(F216="",0,1)</f>
        <v>0</v>
      </c>
      <c r="DI216" s="245">
        <f t="shared" si="512"/>
        <v>0</v>
      </c>
      <c r="DJ216" s="245">
        <f t="shared" si="513"/>
        <v>0</v>
      </c>
      <c r="DK216" s="245" t="str">
        <f>IF(G216="","",IF(DJ216=1,"*",""))</f>
        <v/>
      </c>
      <c r="DL216" s="245" t="str">
        <f>IF(AL209=3,"",IF(G216="","",IF(DJ216=-1,"*",IF(DJ216=0,"*",""))))</f>
        <v/>
      </c>
      <c r="DM216" s="245">
        <v>5</v>
      </c>
      <c r="DN216" s="245" t="str">
        <f t="shared" si="514"/>
        <v>5</v>
      </c>
      <c r="DO216" s="245" t="str">
        <f t="shared" si="515"/>
        <v>5</v>
      </c>
      <c r="DP216" s="245">
        <f>SUM(DP212)</f>
        <v>0</v>
      </c>
      <c r="DQ216" s="245">
        <f>SUM(DQ212)</f>
        <v>0</v>
      </c>
      <c r="DR216" s="245">
        <f t="shared" si="522"/>
        <v>0</v>
      </c>
      <c r="DS216" s="245">
        <f t="shared" si="523"/>
        <v>0</v>
      </c>
      <c r="DT216" s="245">
        <f t="shared" si="524"/>
        <v>0</v>
      </c>
      <c r="DU216" s="245">
        <f>IF(V216="",0,IF(DQ216=DS216,0,1))</f>
        <v>0</v>
      </c>
      <c r="DV216" s="267">
        <f t="shared" si="525"/>
        <v>0</v>
      </c>
      <c r="DW216" s="267">
        <f>IF(V216="",0,SUM(DU216))</f>
        <v>0</v>
      </c>
      <c r="DX216" s="238">
        <f>IF(AK216="",0,1)</f>
        <v>0</v>
      </c>
      <c r="DY216" s="238">
        <f>IF(DG216=-3,1,0)</f>
        <v>0</v>
      </c>
      <c r="DZ216" s="238">
        <f>SUM(DX216:DY216)</f>
        <v>0</v>
      </c>
      <c r="EA216" s="238">
        <f>IF(AK216="",1,0)</f>
        <v>1</v>
      </c>
      <c r="EB216" s="238">
        <f>IF(DG216=3,1,0)</f>
        <v>0</v>
      </c>
      <c r="EC216" s="238">
        <f>SUM(EA216:EB216)</f>
        <v>1</v>
      </c>
      <c r="ED216" s="267">
        <f>IF(EC216=2,1,0)</f>
        <v>0</v>
      </c>
      <c r="EE216" s="267">
        <f>IF(DZ216=2,1,0)</f>
        <v>0</v>
      </c>
      <c r="EG216" s="166"/>
      <c r="EH216" s="238"/>
      <c r="EI216" s="238"/>
      <c r="EJ216" s="238"/>
      <c r="EK216" s="238"/>
      <c r="EL216" s="238"/>
      <c r="EM216" s="245">
        <f>IF(AK216="",0,1)</f>
        <v>0</v>
      </c>
      <c r="EN216" s="245">
        <f>SUM(AK216)</f>
        <v>0</v>
      </c>
      <c r="EO216" s="268">
        <f>SUM(AJ216)</f>
        <v>0</v>
      </c>
      <c r="EP216" s="268">
        <f>SUM(G216/3)</f>
        <v>0</v>
      </c>
      <c r="EQ216" s="268" t="e">
        <f>SUM(EO216/EP216)</f>
        <v>#DIV/0!</v>
      </c>
      <c r="ER216" s="268">
        <f>ROUNDDOWN(EP216,0)</f>
        <v>0</v>
      </c>
      <c r="ES216" s="268">
        <f>SUM(EO216,-ER216*3)</f>
        <v>0</v>
      </c>
      <c r="ET216" s="269" t="b">
        <f>MOD(EN216/1,2)=0</f>
        <v>1</v>
      </c>
      <c r="EU216" s="245">
        <f>IF(ET216=FALSE,1,0)</f>
        <v>0</v>
      </c>
      <c r="EV216" s="245">
        <f>IF(EN216=50,0,IF(EN216&lt;40,1,0))</f>
        <v>1</v>
      </c>
      <c r="EW216" s="245">
        <f>SUM(EU216:EV216)</f>
        <v>1</v>
      </c>
      <c r="EX216" s="267">
        <f>IF(EN216=1,1,IF(EN216=50,0,IF(ES216=1,IF(EN216&gt;40,1,0),0)))</f>
        <v>0</v>
      </c>
      <c r="EY216" s="267">
        <f>IF(ES216=1,IF(EW216=2,1,0),0)+EX216+FB216+FE216</f>
        <v>0</v>
      </c>
      <c r="EZ216" s="245">
        <f>IF(EN216=109,1,IF(EN216=108,1,IF(EN216=106,1,IF(EN216=105,1,IF(EN216=103,1,IF(EN216=102,1,IF(EN216=99,1,0)))))))</f>
        <v>0</v>
      </c>
      <c r="FA216" s="245">
        <f>IF(EN216&gt;110,1,0)</f>
        <v>0</v>
      </c>
      <c r="FB216" s="267">
        <f>IF(ES216=2,SUM(EZ216:FA216),0)</f>
        <v>0</v>
      </c>
      <c r="FC216" s="245">
        <f>IF(EN216=159,1,IF(EN216=162,1,IF(EN216=163,1,IF(EN216=165,1,IF(EN216=166,1,IF(EN216=168,1,IF(EN216=169,1,0)))))))</f>
        <v>0</v>
      </c>
      <c r="FD216" s="245">
        <f>IF(EN216&gt;170,1,0)</f>
        <v>0</v>
      </c>
      <c r="FE216" s="267">
        <f>IF(ES216=0,SUM(FC216:FD216),0)</f>
        <v>0</v>
      </c>
      <c r="FF216" s="251">
        <f t="shared" si="516"/>
        <v>0</v>
      </c>
      <c r="FG216" s="238"/>
      <c r="FH216" s="245">
        <f>IF(AY216="",0,1)</f>
        <v>0</v>
      </c>
      <c r="FI216" s="245">
        <f>SUM(AY216)</f>
        <v>0</v>
      </c>
      <c r="FJ216" s="268">
        <f>SUM(AX216)</f>
        <v>0</v>
      </c>
      <c r="FK216" s="268">
        <f>SUM(V216/3)</f>
        <v>0</v>
      </c>
      <c r="FL216" s="268" t="e">
        <f>SUM(FJ216/FK216)</f>
        <v>#DIV/0!</v>
      </c>
      <c r="FM216" s="268">
        <f>ROUNDDOWN(FK216,0)</f>
        <v>0</v>
      </c>
      <c r="FN216" s="268">
        <f>SUM(FJ216,-FM216*3)</f>
        <v>0</v>
      </c>
      <c r="FO216" s="269" t="b">
        <f>MOD(FI216/1,2)=0</f>
        <v>1</v>
      </c>
      <c r="FP216" s="245">
        <f>IF(FO216=FALSE,1,0)</f>
        <v>0</v>
      </c>
      <c r="FQ216" s="245">
        <f>IF(FI216=50,0,IF(FI216&lt;40,1,0))</f>
        <v>1</v>
      </c>
      <c r="FR216" s="245">
        <f>SUM(FP216:FQ216)</f>
        <v>1</v>
      </c>
      <c r="FS216" s="267">
        <f>IF(FI216=1,1,IF(FI216=50,0,IF(FN216=1,IF(FI216&gt;40,1,0),0)))</f>
        <v>0</v>
      </c>
      <c r="FT216" s="267">
        <f>IF(FN216=1,IF(FR216=2,1,0),0)+FS216+FW216+FZ216</f>
        <v>0</v>
      </c>
      <c r="FU216" s="245">
        <f>IF(FI216=109,1,IF(FI216=108,1,IF(FI216=106,1,IF(FI216=105,1,IF(FI216=103,1,IF(FI216=102,1,IF(FI216=99,1,0)))))))</f>
        <v>0</v>
      </c>
      <c r="FV216" s="245">
        <f>IF(FI216&gt;110,1,0)</f>
        <v>0</v>
      </c>
      <c r="FW216" s="267">
        <f>IF(FN216=2,SUM(FU216:FV216),0)</f>
        <v>0</v>
      </c>
      <c r="FX216" s="245">
        <f>IF(FI216=159,1,IF(FI216=162,1,IF(FI216=163,1,IF(FI216=165,1,IF(FI216=166,1,IF(FI216=168,1,IF(FI216=169,1,0)))))))</f>
        <v>0</v>
      </c>
      <c r="FY216" s="245">
        <f>IF(FI216&gt;170,1,0)</f>
        <v>0</v>
      </c>
      <c r="FZ216" s="267">
        <f>IF(FN216=0,SUM(FX216:FY216),0)</f>
        <v>0</v>
      </c>
      <c r="GA216" s="251">
        <f t="shared" si="517"/>
        <v>0</v>
      </c>
      <c r="GC216" s="238" t="str">
        <f>VLOOKUP(AH209,Chema!BL:BR,5,FALSE)</f>
        <v/>
      </c>
      <c r="GD216" s="341"/>
      <c r="GE216" s="343" t="str">
        <f>IF(R220="","",SUM(R220))</f>
        <v/>
      </c>
      <c r="GF216" s="340"/>
      <c r="GG216" s="346"/>
      <c r="GH216" s="343">
        <f>IF(GH215&gt;0,1,0)</f>
        <v>0</v>
      </c>
      <c r="GI216" s="346"/>
      <c r="GJ216" s="343"/>
      <c r="GK216" s="346"/>
      <c r="GL216" s="343">
        <f>IF(GL215&gt;0,1,0)</f>
        <v>0</v>
      </c>
      <c r="GM216" s="343"/>
      <c r="GN216" s="343"/>
      <c r="GO216" s="346"/>
      <c r="GP216" s="343">
        <f>IF(GP215&gt;0,1,0)</f>
        <v>0</v>
      </c>
      <c r="GQ216" s="343"/>
      <c r="GR216" s="343"/>
      <c r="GS216" s="346"/>
      <c r="GT216" s="343">
        <f>IF(GT215&gt;0,1,0)</f>
        <v>0</v>
      </c>
      <c r="GU216" s="343"/>
      <c r="GV216" s="343"/>
      <c r="GW216" s="346"/>
      <c r="GX216" s="343">
        <f>IF(GX215&gt;0,1,0)</f>
        <v>0</v>
      </c>
      <c r="GY216" s="340"/>
      <c r="GZ216" s="343"/>
      <c r="HA216" s="343"/>
      <c r="HB216" s="343" t="str">
        <f>IF(GD212=1,P220,"")</f>
        <v/>
      </c>
      <c r="HC216" s="343" t="str">
        <f>IF(GD212=1,X220,"")</f>
        <v/>
      </c>
      <c r="HD216" s="340"/>
      <c r="HE216" s="340"/>
      <c r="HF216" s="340"/>
      <c r="HG216" s="340">
        <f>IF(HG214=HM212,0,IF(HG214=HM216,0,1))</f>
        <v>0</v>
      </c>
      <c r="HH216" s="340">
        <f>IF(HH213=HH215,1,0)</f>
        <v>1</v>
      </c>
      <c r="HI216" s="340"/>
      <c r="HJ216" s="340"/>
      <c r="HK216" s="340"/>
      <c r="HL216" s="340"/>
      <c r="HM216" s="341">
        <f>COUNT(HI215,HJ215,HK215,HL215,HM215)</f>
        <v>0</v>
      </c>
      <c r="HN216" s="341"/>
      <c r="HO216" s="341"/>
      <c r="HP216" s="341"/>
      <c r="HQ216" s="341"/>
      <c r="HR216" s="341"/>
      <c r="HS216" s="238"/>
      <c r="HT216" s="238"/>
      <c r="HU216" s="238"/>
      <c r="HV216" s="238"/>
      <c r="HX216" s="238"/>
      <c r="HY216" s="238"/>
      <c r="ID216" s="238"/>
    </row>
    <row r="217" spans="1:238" s="234" customFormat="1" ht="6.6" customHeight="1">
      <c r="A217" s="235"/>
      <c r="B217" s="231"/>
      <c r="C217" s="310"/>
      <c r="D217" s="310"/>
      <c r="E217" s="310"/>
      <c r="F217" s="310"/>
      <c r="G217" s="313"/>
      <c r="H217" s="310"/>
      <c r="I217" s="310"/>
      <c r="J217" s="273"/>
      <c r="K217" s="313"/>
      <c r="O217" s="118"/>
      <c r="R217" s="310"/>
      <c r="S217" s="310"/>
      <c r="T217" s="310"/>
      <c r="U217" s="310"/>
      <c r="V217" s="313"/>
      <c r="W217" s="310"/>
      <c r="X217" s="310"/>
      <c r="Y217" s="273"/>
      <c r="Z217" s="308"/>
      <c r="AA217" s="274"/>
      <c r="AD217" s="235"/>
      <c r="AE217" s="237">
        <f>IF(AF217=0,0,1)</f>
        <v>0</v>
      </c>
      <c r="AF217" s="237">
        <f>IF(AL217=0,0,SUM(AL219:AL220,-AL218))</f>
        <v>0</v>
      </c>
      <c r="AG217" s="237"/>
      <c r="AH217" s="275">
        <f>SUM(AH212,AH213,AH214,AH215,AH216)</f>
        <v>0</v>
      </c>
      <c r="AI217" s="275">
        <f t="shared" ref="AI217" si="529">SUM(AI212,AI213,AI214,AI215,AI216)</f>
        <v>0</v>
      </c>
      <c r="AJ217" s="275">
        <f t="shared" ref="AJ217" si="530">SUM(AJ212,AJ213,AJ214,AJ215,AJ216)</f>
        <v>0</v>
      </c>
      <c r="AK217" s="275">
        <f>MAX(AK212,AK213,AK214,AK215,AK216)</f>
        <v>0</v>
      </c>
      <c r="AL217" s="275">
        <f t="shared" ref="AL217" si="531">SUM(AL212,AL213,AL214,AL215,AL216)</f>
        <v>0</v>
      </c>
      <c r="AM217" s="275">
        <f>IF(AK209="D",SUM(AL212,AL213,AL214,AL215,AL216,-AL219,-AL220),0)</f>
        <v>0</v>
      </c>
      <c r="AN217" s="235"/>
      <c r="AO217" s="235"/>
      <c r="AP217" s="235"/>
      <c r="AQ217" s="235"/>
      <c r="AR217" s="235"/>
      <c r="AS217" s="237">
        <f>IF(AT217=0,0,1)</f>
        <v>0</v>
      </c>
      <c r="AT217" s="237">
        <f>IF(AZ217=0,0,SUM(AZ219:AZ220,-AZ218))</f>
        <v>0</v>
      </c>
      <c r="AU217" s="237"/>
      <c r="AV217" s="275">
        <f>SUM(AV212,AV213,AV214,AV215,AV216)</f>
        <v>0</v>
      </c>
      <c r="AW217" s="275">
        <f t="shared" ref="AW217" si="532">SUM(AW212,AW213,AW214,AW215,AW216)</f>
        <v>0</v>
      </c>
      <c r="AX217" s="275">
        <f t="shared" ref="AX217" si="533">SUM(AX212,AX213,AX214,AX215,AX216)</f>
        <v>0</v>
      </c>
      <c r="AY217" s="275">
        <f>MAX(AY212,AY213,AY214,AY215,AY216)</f>
        <v>0</v>
      </c>
      <c r="AZ217" s="275">
        <f t="shared" ref="AZ217" si="534">SUM(AZ212,AZ213,AZ214,AZ215,AZ216)</f>
        <v>0</v>
      </c>
      <c r="BA217" s="275">
        <f>IF(AK209="D",SUM(AZ212,AZ213,AZ214,AZ215,AZ216,-AZ219,-AZ220),0)</f>
        <v>0</v>
      </c>
      <c r="BJ217" s="236"/>
      <c r="BK217" s="238"/>
      <c r="BL217" s="238"/>
      <c r="BM217" s="238"/>
      <c r="BP217" s="238"/>
      <c r="BQ217" s="238"/>
      <c r="BR217" s="238"/>
      <c r="BS217" s="238"/>
      <c r="BT217" s="238"/>
      <c r="BU217" s="238"/>
      <c r="BY217" s="238"/>
      <c r="BZ217" s="238">
        <f>MAX(BZ212,BZ213,BZ214,BZ215,BZ216)</f>
        <v>0</v>
      </c>
      <c r="CA217" s="238">
        <f>MAX(CA212,CA213,CA214,CA215,CA216)</f>
        <v>0</v>
      </c>
      <c r="CB217" s="238"/>
      <c r="CC217" s="238"/>
      <c r="CD217" s="238"/>
      <c r="CG217" s="244"/>
      <c r="CH217" s="238"/>
      <c r="CI217" s="238">
        <f>MAX(CI212,CI213,CI214,CI215,CI216)</f>
        <v>0</v>
      </c>
      <c r="CJ217" s="238">
        <f>MAX(CJ212,CJ213,CJ214,CJ215,CJ216)</f>
        <v>0</v>
      </c>
      <c r="CK217" s="238"/>
      <c r="CL217" s="238"/>
      <c r="CM217" s="238"/>
      <c r="CN217" s="238"/>
      <c r="CO217" s="238"/>
      <c r="CP217" s="238"/>
      <c r="CQ217" s="238"/>
      <c r="CR217" s="238"/>
      <c r="CS217" s="238"/>
      <c r="CT217" s="238"/>
      <c r="CU217" s="238"/>
      <c r="CV217" s="238"/>
      <c r="CW217" s="238"/>
      <c r="CX217" s="238"/>
      <c r="CY217" s="238"/>
      <c r="CZ217" s="238"/>
      <c r="DA217" s="238"/>
      <c r="DB217" s="238"/>
      <c r="DC217" s="238"/>
      <c r="DD217" s="238"/>
      <c r="DE217" s="238"/>
      <c r="DF217" s="238"/>
      <c r="DG217" s="238"/>
      <c r="DH217" s="238"/>
      <c r="DI217" s="238"/>
      <c r="DJ217" s="238"/>
      <c r="DK217" s="238"/>
      <c r="DL217" s="238"/>
      <c r="DM217" s="238"/>
      <c r="DN217" s="238"/>
      <c r="DO217" s="238"/>
      <c r="DP217" s="238"/>
      <c r="DQ217" s="238"/>
      <c r="DR217" s="238"/>
      <c r="DS217" s="238"/>
      <c r="DT217" s="238"/>
      <c r="DU217" s="238"/>
      <c r="DV217" s="238"/>
      <c r="DW217" s="238"/>
      <c r="DX217" s="238"/>
      <c r="DY217" s="238"/>
      <c r="DZ217" s="238"/>
      <c r="EA217" s="238"/>
      <c r="EB217" s="238"/>
      <c r="EC217" s="238"/>
      <c r="ED217" s="238"/>
      <c r="EE217" s="238"/>
      <c r="EF217" s="238"/>
      <c r="EG217" s="238"/>
      <c r="EH217" s="238"/>
      <c r="EI217" s="238"/>
      <c r="EJ217" s="238"/>
      <c r="EK217" s="238"/>
      <c r="EL217" s="238"/>
      <c r="EM217" s="166"/>
      <c r="EN217" s="166"/>
      <c r="EO217" s="166"/>
      <c r="EP217" s="238">
        <f>SUM(EN217-EO217)</f>
        <v>0</v>
      </c>
      <c r="EQ217" s="238"/>
      <c r="ER217" s="238"/>
      <c r="ES217" s="238"/>
      <c r="ET217" s="244"/>
      <c r="EU217" s="238"/>
      <c r="EV217" s="238"/>
      <c r="EW217" s="238"/>
      <c r="EX217" s="238"/>
      <c r="EY217" s="238"/>
      <c r="EZ217" s="238"/>
      <c r="FA217" s="238"/>
      <c r="FB217" s="238"/>
      <c r="FC217" s="238"/>
      <c r="FD217" s="238"/>
      <c r="FE217" s="238"/>
      <c r="FF217" s="238"/>
      <c r="FG217" s="238"/>
      <c r="FH217" s="238"/>
      <c r="FI217" s="238"/>
      <c r="FJ217" s="238"/>
      <c r="FK217" s="238"/>
      <c r="FL217" s="238"/>
      <c r="FM217" s="238"/>
      <c r="FN217" s="238"/>
      <c r="FO217" s="244"/>
      <c r="FP217" s="238"/>
      <c r="FQ217" s="238"/>
      <c r="FR217" s="238"/>
      <c r="FS217" s="238"/>
      <c r="FT217" s="238"/>
      <c r="FU217" s="238"/>
      <c r="FV217" s="238"/>
      <c r="FW217" s="238"/>
      <c r="FX217" s="238"/>
      <c r="FY217" s="238"/>
      <c r="FZ217" s="238"/>
      <c r="GA217" s="238"/>
      <c r="GB217" s="238"/>
      <c r="GC217" s="238"/>
      <c r="GD217" s="341"/>
      <c r="GE217" s="340"/>
      <c r="GF217" s="340"/>
      <c r="GG217" s="340"/>
      <c r="GH217" s="340"/>
      <c r="GI217" s="340"/>
      <c r="GJ217" s="340"/>
      <c r="GK217" s="340"/>
      <c r="GL217" s="340"/>
      <c r="GM217" s="340"/>
      <c r="GN217" s="340"/>
      <c r="GO217" s="340"/>
      <c r="GP217" s="340"/>
      <c r="GQ217" s="340"/>
      <c r="GR217" s="340"/>
      <c r="GS217" s="340"/>
      <c r="GT217" s="340"/>
      <c r="GU217" s="340"/>
      <c r="GV217" s="340"/>
      <c r="GW217" s="340"/>
      <c r="GX217" s="340"/>
      <c r="GY217" s="340"/>
      <c r="GZ217" s="340"/>
      <c r="HA217" s="340"/>
      <c r="HB217" s="340"/>
      <c r="HC217" s="340"/>
      <c r="HD217" s="341"/>
      <c r="HE217" s="341"/>
      <c r="HF217" s="341"/>
      <c r="HG217" s="341"/>
      <c r="HH217" s="341"/>
      <c r="HI217" s="341"/>
      <c r="HJ217" s="341"/>
      <c r="HK217" s="341"/>
      <c r="HL217" s="341"/>
      <c r="HM217" s="341"/>
      <c r="HN217" s="341"/>
      <c r="HO217" s="341"/>
      <c r="HP217" s="341"/>
      <c r="HQ217" s="341"/>
      <c r="HR217" s="341"/>
      <c r="HS217" s="238"/>
      <c r="HT217" s="238"/>
      <c r="HU217" s="238"/>
      <c r="HV217" s="238"/>
      <c r="HX217" s="238"/>
      <c r="HY217" s="238"/>
      <c r="ID217" s="238"/>
    </row>
    <row r="218" spans="1:238" s="234" customFormat="1" ht="20.100000000000001" customHeight="1">
      <c r="A218" s="235"/>
      <c r="B218" s="231"/>
      <c r="C218" s="314" t="s">
        <v>771</v>
      </c>
      <c r="D218" s="276" t="str">
        <f>REPT(Sprache!$K$58,1)</f>
        <v>Spieler</v>
      </c>
      <c r="E218" s="277" t="str">
        <f>REPT(Sprache!$K$33,1)</f>
        <v>Name / Vorname</v>
      </c>
      <c r="F218" s="278"/>
      <c r="G218" s="278"/>
      <c r="H218" s="279"/>
      <c r="I218" s="280"/>
      <c r="J218" s="281" t="str">
        <f>REPT(AM218,1)</f>
        <v/>
      </c>
      <c r="L218" s="306" t="s">
        <v>848</v>
      </c>
      <c r="M218" s="238"/>
      <c r="P218" s="306" t="s">
        <v>848</v>
      </c>
      <c r="R218" s="314" t="s">
        <v>771</v>
      </c>
      <c r="S218" s="276" t="str">
        <f>REPT(Sprache!$K$58,1)</f>
        <v>Spieler</v>
      </c>
      <c r="T218" s="277" t="str">
        <f>REPT(Sprache!$K$33,1)</f>
        <v>Name / Vorname</v>
      </c>
      <c r="U218" s="278"/>
      <c r="V218" s="278"/>
      <c r="W218" s="279"/>
      <c r="X218" s="280"/>
      <c r="Y218" s="281" t="str">
        <f>REPT(BA218,1)</f>
        <v/>
      </c>
      <c r="Z218" s="308"/>
      <c r="AD218" s="235"/>
      <c r="AE218" s="235"/>
      <c r="AF218" s="237" t="s">
        <v>771</v>
      </c>
      <c r="AG218" s="282" t="s">
        <v>877</v>
      </c>
      <c r="AH218" s="283" t="str">
        <f>IF(AH217=0,"",AH217)</f>
        <v/>
      </c>
      <c r="AI218" s="283" t="str">
        <f>IF(AI217=0,"",AI217)</f>
        <v/>
      </c>
      <c r="AJ218" s="283" t="str">
        <f>IF(AJ217=0,"",AJ217)</f>
        <v/>
      </c>
      <c r="AK218" s="283" t="str">
        <f>IF(AK217=0,"",AK217)</f>
        <v/>
      </c>
      <c r="AL218" s="283" t="str">
        <f>IF(AL217=0,"",AL217)</f>
        <v/>
      </c>
      <c r="AM218" s="258" t="str">
        <f>IF(AK209="D",IF(AF217=0,"","X"),"")</f>
        <v/>
      </c>
      <c r="AN218" s="235"/>
      <c r="AO218" s="235"/>
      <c r="AP218" s="284"/>
      <c r="AQ218" s="235"/>
      <c r="AR218" s="235"/>
      <c r="AS218" s="235"/>
      <c r="AT218" s="237" t="s">
        <v>771</v>
      </c>
      <c r="AU218" s="282" t="s">
        <v>877</v>
      </c>
      <c r="AV218" s="283" t="str">
        <f>IF(AV217=0,"",AV217)</f>
        <v/>
      </c>
      <c r="AW218" s="283" t="str">
        <f>IF(AW217=0,"",AW217)</f>
        <v/>
      </c>
      <c r="AX218" s="283" t="str">
        <f>IF(AX217=0,"",AX217)</f>
        <v/>
      </c>
      <c r="AY218" s="283" t="str">
        <f>IF(AY217=0,"",AY217)</f>
        <v/>
      </c>
      <c r="AZ218" s="421" t="str">
        <f>IF(AZ217=0,"",AZ217)</f>
        <v/>
      </c>
      <c r="BA218" s="258" t="str">
        <f>IF(AK209="D",IF(AT217=0,"","X"),"")</f>
        <v/>
      </c>
      <c r="BJ218" s="236"/>
      <c r="BK218" s="238"/>
      <c r="BL218" s="244">
        <f>IF(BM218=0,0,1)</f>
        <v>0</v>
      </c>
      <c r="BM218" s="244">
        <f>SUM(BM212,BM213,BM214,BM215,BM216,HH214,AN219,AN220,BB219,BB220)</f>
        <v>0</v>
      </c>
      <c r="BN218" s="166">
        <f t="shared" ref="BN218:BO218" si="535">SUM(BN212,BN213,BN214,BN215,BN216)</f>
        <v>0</v>
      </c>
      <c r="BO218" s="166">
        <f t="shared" si="535"/>
        <v>0</v>
      </c>
      <c r="BP218" s="244"/>
      <c r="BQ218" s="238"/>
      <c r="BR218" s="238"/>
      <c r="BS218" s="238"/>
      <c r="BT218" s="238"/>
      <c r="BU218" s="238"/>
      <c r="BV218" s="238"/>
      <c r="BW218" s="238"/>
      <c r="BX218" s="236"/>
      <c r="BY218" s="238"/>
      <c r="BZ218" s="238"/>
      <c r="CA218" s="238"/>
      <c r="CB218" s="238"/>
      <c r="CC218" s="238"/>
      <c r="CD218" s="238"/>
      <c r="CE218" s="238"/>
      <c r="CF218" s="238"/>
      <c r="CG218" s="244"/>
      <c r="CH218" s="238"/>
      <c r="CI218" s="238"/>
      <c r="CJ218" s="238"/>
      <c r="CK218" s="238"/>
      <c r="CL218" s="238"/>
      <c r="CM218" s="238"/>
      <c r="CN218" s="238"/>
      <c r="CO218" s="238"/>
      <c r="CP218" s="238"/>
      <c r="CQ218" s="238"/>
      <c r="CR218" s="238"/>
      <c r="CS218" s="238"/>
      <c r="CT218" s="238"/>
      <c r="CU218" s="238"/>
      <c r="CV218" s="238"/>
      <c r="CW218" s="238"/>
      <c r="CX218" s="238"/>
      <c r="CY218" s="238"/>
      <c r="CZ218" s="238"/>
      <c r="DA218" s="238"/>
      <c r="DB218" s="238"/>
      <c r="DC218" s="238"/>
      <c r="DD218" s="238"/>
      <c r="DE218" s="238"/>
      <c r="DF218" s="238"/>
      <c r="DG218" s="238"/>
      <c r="DH218" s="238"/>
      <c r="DI218" s="238"/>
      <c r="DJ218" s="238"/>
      <c r="DK218" s="238"/>
      <c r="DL218" s="238"/>
      <c r="DM218" s="238"/>
      <c r="DN218" s="238"/>
      <c r="DO218" s="238"/>
      <c r="DP218" s="238"/>
      <c r="DQ218" s="238"/>
      <c r="DR218" s="238"/>
      <c r="DS218" s="238"/>
      <c r="DT218" s="238"/>
      <c r="DU218" s="238"/>
      <c r="DV218" s="238"/>
      <c r="DW218" s="238"/>
      <c r="DX218" s="238"/>
      <c r="DY218" s="238"/>
      <c r="DZ218" s="238"/>
      <c r="EA218" s="238"/>
      <c r="EB218" s="238"/>
      <c r="EC218" s="238"/>
      <c r="ED218" s="238"/>
      <c r="EE218" s="238"/>
      <c r="EF218" s="238"/>
      <c r="EG218" s="238"/>
      <c r="EH218" s="238"/>
      <c r="EI218" s="238"/>
      <c r="EJ218" s="238"/>
      <c r="EK218" s="238"/>
      <c r="EL218" s="238"/>
      <c r="EM218" s="238"/>
      <c r="EN218" s="238"/>
      <c r="EO218" s="238"/>
      <c r="EP218" s="238"/>
      <c r="EQ218" s="238"/>
      <c r="ER218" s="238"/>
      <c r="ES218" s="238"/>
      <c r="ET218" s="244"/>
      <c r="EU218" s="238"/>
      <c r="EV218" s="238"/>
      <c r="EW218" s="238"/>
      <c r="EX218" s="238"/>
      <c r="EY218" s="238"/>
      <c r="EZ218" s="238"/>
      <c r="FA218" s="238"/>
      <c r="FB218" s="238"/>
      <c r="FC218" s="238"/>
      <c r="FD218" s="238"/>
      <c r="FE218" s="238"/>
      <c r="FF218" s="238"/>
      <c r="FG218" s="238"/>
      <c r="FH218" s="238"/>
      <c r="FI218" s="238"/>
      <c r="FJ218" s="238"/>
      <c r="FK218" s="238"/>
      <c r="FL218" s="238"/>
      <c r="FM218" s="238"/>
      <c r="FN218" s="238"/>
      <c r="FO218" s="244"/>
      <c r="FP218" s="238"/>
      <c r="FQ218" s="238"/>
      <c r="FR218" s="238"/>
      <c r="FS218" s="238"/>
      <c r="FT218" s="238"/>
      <c r="FU218" s="238"/>
      <c r="FV218" s="238"/>
      <c r="FW218" s="238"/>
      <c r="FX218" s="238"/>
      <c r="FY218" s="238"/>
      <c r="FZ218" s="238"/>
      <c r="GA218" s="238"/>
      <c r="GB218" s="238"/>
      <c r="GC218" s="238"/>
      <c r="GD218" s="341"/>
      <c r="GE218" s="340"/>
      <c r="GF218" s="340"/>
      <c r="GG218" s="340"/>
      <c r="GH218" s="340"/>
      <c r="GI218" s="340"/>
      <c r="GJ218" s="340"/>
      <c r="GK218" s="340"/>
      <c r="GL218" s="340"/>
      <c r="GM218" s="340"/>
      <c r="GN218" s="340"/>
      <c r="GO218" s="340"/>
      <c r="GP218" s="340"/>
      <c r="GQ218" s="340"/>
      <c r="GR218" s="340"/>
      <c r="GS218" s="340"/>
      <c r="GT218" s="340"/>
      <c r="GU218" s="340"/>
      <c r="GV218" s="340"/>
      <c r="GW218" s="340"/>
      <c r="GX218" s="340"/>
      <c r="GY218" s="340"/>
      <c r="GZ218" s="340"/>
      <c r="HA218" s="340"/>
      <c r="HB218" s="340"/>
      <c r="HC218" s="340"/>
      <c r="HD218" s="341"/>
      <c r="HE218" s="341"/>
      <c r="HF218" s="341"/>
      <c r="HG218" s="341"/>
      <c r="HH218" s="341"/>
      <c r="HI218" s="341"/>
      <c r="HJ218" s="341"/>
      <c r="HK218" s="341"/>
      <c r="HL218" s="341"/>
      <c r="HM218" s="341"/>
      <c r="HN218" s="341"/>
      <c r="HO218" s="341"/>
      <c r="HP218" s="341"/>
      <c r="HQ218" s="341"/>
      <c r="HR218" s="341"/>
      <c r="HS218" s="238"/>
      <c r="HT218" s="238"/>
      <c r="HU218" s="238"/>
      <c r="HV218" s="238"/>
      <c r="HX218" s="238"/>
      <c r="HY218" s="238"/>
      <c r="ID218" s="238"/>
    </row>
    <row r="219" spans="1:238" s="234" customFormat="1" ht="20.100000000000001" customHeight="1">
      <c r="A219" s="235"/>
      <c r="B219" s="231"/>
      <c r="C219" s="285" t="str">
        <f>IF(AF219="","",SUM(AF219))</f>
        <v/>
      </c>
      <c r="D219" s="286" t="str">
        <f>IF(AK209="D",1,"")</f>
        <v/>
      </c>
      <c r="E219" s="287" t="str">
        <f>IF(C219="","",VLOOKUP(C219,Licenses!B:C,2,FALSE))</f>
        <v/>
      </c>
      <c r="F219" s="288"/>
      <c r="G219" s="288"/>
      <c r="H219" s="289"/>
      <c r="I219" s="169"/>
      <c r="J219" s="270" t="str">
        <f>REPT(AM219,1)</f>
        <v/>
      </c>
      <c r="L219" s="290" t="str">
        <f>IF(AK209="D",AK219,IF(AK218="","",AK218))</f>
        <v/>
      </c>
      <c r="M219" s="311"/>
      <c r="P219" s="290" t="str">
        <f>IF(AK209="D",AY219,IF(AY218="","",AY218))</f>
        <v/>
      </c>
      <c r="R219" s="291" t="str">
        <f>IF(AT219="","",SUM(AT219))</f>
        <v/>
      </c>
      <c r="S219" s="286" t="str">
        <f>IF(AK209="D",1,"")</f>
        <v/>
      </c>
      <c r="T219" s="292" t="str">
        <f>IF(R219="","",VLOOKUP(R219,Licenses!B:C,2,FALSE))</f>
        <v/>
      </c>
      <c r="U219" s="293"/>
      <c r="V219" s="293"/>
      <c r="W219" s="294"/>
      <c r="X219" s="169"/>
      <c r="Y219" s="270" t="str">
        <f>REPT(BA219,1)</f>
        <v/>
      </c>
      <c r="Z219" s="308"/>
      <c r="AD219" s="235"/>
      <c r="AE219" s="235"/>
      <c r="AF219" s="256" t="str">
        <f>IF(AM209="","",SUM(AM209))</f>
        <v/>
      </c>
      <c r="AG219" s="237"/>
      <c r="AH219" s="256"/>
      <c r="AI219" s="256"/>
      <c r="AJ219" s="256"/>
      <c r="AK219" s="256" t="str">
        <f>IF(BZ217&gt;1,BZ217,"")</f>
        <v/>
      </c>
      <c r="AL219" s="257">
        <f>IF(AK209="D",SUM(I219),0)</f>
        <v>0</v>
      </c>
      <c r="AM219" s="258" t="str">
        <f>IF(AM217=0,IF(AL219&lt;6,"","X"),"X")</f>
        <v/>
      </c>
      <c r="AN219" s="347" t="str">
        <f>IF(AM217=0,IF(AL219&lt;6,"",1),1)</f>
        <v/>
      </c>
      <c r="AO219" s="235"/>
      <c r="AP219" s="236"/>
      <c r="AQ219" s="235"/>
      <c r="AR219" s="235"/>
      <c r="AS219" s="235"/>
      <c r="AT219" s="256" t="str">
        <f>IF(BA209="","",SUM(BA209))</f>
        <v/>
      </c>
      <c r="AU219" s="237"/>
      <c r="AV219" s="256"/>
      <c r="AW219" s="256"/>
      <c r="AX219" s="256"/>
      <c r="AY219" s="256" t="str">
        <f>IF(CI217&gt;1,CI217,"")</f>
        <v/>
      </c>
      <c r="AZ219" s="257">
        <f>IF(AK209="D",SUM(X219),0)</f>
        <v>0</v>
      </c>
      <c r="BA219" s="258" t="str">
        <f>IF(BA217=0,IF(AZ219&lt;6,"","X"),"X")</f>
        <v/>
      </c>
      <c r="BB219" s="347" t="str">
        <f>IF(BA217=0,IF(AZ219&lt;6,"",1),1)</f>
        <v/>
      </c>
      <c r="BC219" s="236"/>
      <c r="BD219" s="236"/>
      <c r="BE219" s="236"/>
      <c r="BF219" s="236"/>
      <c r="BG219" s="236"/>
      <c r="BH219" s="236"/>
      <c r="BI219" s="236"/>
      <c r="BJ219" s="236"/>
      <c r="BK219" s="238"/>
      <c r="BL219" s="238"/>
      <c r="BM219" s="295"/>
      <c r="BN219" s="295"/>
      <c r="BO219" s="295"/>
      <c r="BP219" s="295"/>
      <c r="BQ219" s="295"/>
      <c r="BR219" s="295"/>
      <c r="BS219" s="295"/>
      <c r="BT219" s="295"/>
      <c r="BU219" s="295"/>
      <c r="BV219" s="295"/>
      <c r="BW219" s="295"/>
      <c r="BX219" s="236"/>
      <c r="BY219" s="295"/>
      <c r="BZ219" s="295"/>
      <c r="CA219" s="295"/>
      <c r="CB219" s="295"/>
      <c r="CC219" s="295"/>
      <c r="CD219" s="295"/>
      <c r="CE219" s="295"/>
      <c r="CF219" s="295"/>
      <c r="CG219" s="296"/>
      <c r="CH219" s="295"/>
      <c r="CI219" s="295"/>
      <c r="CJ219" s="295"/>
      <c r="CK219" s="238"/>
      <c r="CL219" s="238"/>
      <c r="CM219" s="238"/>
      <c r="CN219" s="238"/>
      <c r="CO219" s="238"/>
      <c r="CP219" s="238"/>
      <c r="CQ219" s="238"/>
      <c r="CR219" s="238"/>
      <c r="CS219" s="238"/>
      <c r="CT219" s="238"/>
      <c r="CU219" s="238"/>
      <c r="CV219" s="238"/>
      <c r="CW219" s="238"/>
      <c r="CX219" s="238"/>
      <c r="CY219" s="238"/>
      <c r="CZ219" s="238"/>
      <c r="DA219" s="238"/>
      <c r="DB219" s="238"/>
      <c r="DC219" s="238"/>
      <c r="DD219" s="238"/>
      <c r="DE219" s="238"/>
      <c r="DF219" s="238"/>
      <c r="DG219" s="238"/>
      <c r="DH219" s="238"/>
      <c r="DI219" s="238"/>
      <c r="DJ219" s="238"/>
      <c r="DK219" s="238"/>
      <c r="DL219" s="238"/>
      <c r="DM219" s="238"/>
      <c r="DN219" s="238"/>
      <c r="DO219" s="238"/>
      <c r="DP219" s="238"/>
      <c r="DQ219" s="238"/>
      <c r="DR219" s="238"/>
      <c r="DS219" s="238"/>
      <c r="DT219" s="238"/>
      <c r="DU219" s="238"/>
      <c r="DV219" s="238"/>
      <c r="DW219" s="238"/>
      <c r="DX219" s="238"/>
      <c r="DY219" s="238"/>
      <c r="DZ219" s="238"/>
      <c r="EA219" s="238"/>
      <c r="EB219" s="238"/>
      <c r="EC219" s="238"/>
      <c r="ED219" s="238"/>
      <c r="EE219" s="238"/>
      <c r="EF219" s="238"/>
      <c r="EG219" s="238"/>
      <c r="EH219" s="238"/>
      <c r="EI219" s="238"/>
      <c r="EJ219" s="238"/>
      <c r="EK219" s="238"/>
      <c r="EL219" s="238"/>
      <c r="EM219" s="238"/>
      <c r="EN219" s="238"/>
      <c r="EO219" s="238"/>
      <c r="EP219" s="238"/>
      <c r="EQ219" s="238"/>
      <c r="ER219" s="238"/>
      <c r="ES219" s="238"/>
      <c r="ET219" s="244"/>
      <c r="EU219" s="238"/>
      <c r="EV219" s="238"/>
      <c r="EW219" s="238"/>
      <c r="EX219" s="238"/>
      <c r="EY219" s="238"/>
      <c r="EZ219" s="238"/>
      <c r="FA219" s="238"/>
      <c r="FB219" s="238"/>
      <c r="FC219" s="238"/>
      <c r="FD219" s="238"/>
      <c r="FE219" s="238"/>
      <c r="FF219" s="238"/>
      <c r="FG219" s="238"/>
      <c r="FH219" s="238"/>
      <c r="FI219" s="238"/>
      <c r="FJ219" s="238"/>
      <c r="FK219" s="238"/>
      <c r="FL219" s="238"/>
      <c r="FM219" s="238"/>
      <c r="FN219" s="238"/>
      <c r="FO219" s="244"/>
      <c r="FP219" s="238"/>
      <c r="FQ219" s="238"/>
      <c r="FR219" s="238"/>
      <c r="FS219" s="238"/>
      <c r="FT219" s="238"/>
      <c r="FU219" s="238"/>
      <c r="FV219" s="238"/>
      <c r="FW219" s="238"/>
      <c r="FX219" s="238"/>
      <c r="FY219" s="238"/>
      <c r="FZ219" s="238"/>
      <c r="GA219" s="238"/>
      <c r="GB219" s="238"/>
      <c r="GC219" s="238"/>
      <c r="GD219" s="341"/>
      <c r="GE219" s="340"/>
      <c r="GF219" s="340"/>
      <c r="GG219" s="340"/>
      <c r="GH219" s="340"/>
      <c r="GI219" s="340"/>
      <c r="GJ219" s="340"/>
      <c r="GK219" s="340"/>
      <c r="GL219" s="340"/>
      <c r="GM219" s="340"/>
      <c r="GN219" s="340"/>
      <c r="GO219" s="340"/>
      <c r="GP219" s="340"/>
      <c r="GQ219" s="340"/>
      <c r="GR219" s="340"/>
      <c r="GS219" s="340"/>
      <c r="GT219" s="340"/>
      <c r="GU219" s="340"/>
      <c r="GV219" s="340"/>
      <c r="GW219" s="340"/>
      <c r="GX219" s="340"/>
      <c r="GY219" s="340"/>
      <c r="GZ219" s="340"/>
      <c r="HA219" s="340"/>
      <c r="HB219" s="340"/>
      <c r="HC219" s="340"/>
      <c r="HD219" s="341"/>
      <c r="HE219" s="341"/>
      <c r="HF219" s="341"/>
      <c r="HG219" s="341"/>
      <c r="HH219" s="341"/>
      <c r="HI219" s="341"/>
      <c r="HJ219" s="341"/>
      <c r="HK219" s="341"/>
      <c r="HL219" s="341"/>
      <c r="HM219" s="341"/>
      <c r="HN219" s="341"/>
      <c r="HO219" s="341"/>
      <c r="HP219" s="341"/>
      <c r="HQ219" s="341"/>
      <c r="HR219" s="341"/>
      <c r="HS219" s="238"/>
      <c r="HT219" s="238"/>
      <c r="HU219" s="238"/>
      <c r="HV219" s="238"/>
      <c r="HX219" s="238"/>
      <c r="HY219" s="238"/>
      <c r="ID219" s="238"/>
    </row>
    <row r="220" spans="1:238" s="234" customFormat="1" ht="20.100000000000001" customHeight="1">
      <c r="A220" s="235"/>
      <c r="B220" s="231"/>
      <c r="C220" s="336" t="str">
        <f>IF(AF220="","",SUM(AF220))</f>
        <v/>
      </c>
      <c r="D220" s="333" t="str">
        <f>IF(AK209="D",2,"")</f>
        <v/>
      </c>
      <c r="E220" s="337" t="str">
        <f>IF(C220="","",VLOOKUP(C220,Licenses!B:C,2,FALSE))</f>
        <v/>
      </c>
      <c r="F220" s="290"/>
      <c r="G220" s="290"/>
      <c r="H220" s="338"/>
      <c r="I220" s="331"/>
      <c r="J220" s="272" t="str">
        <f>REPT(AM220,1)</f>
        <v/>
      </c>
      <c r="L220" s="315" t="str">
        <f>IF(AK209="D",AK220,"")</f>
        <v/>
      </c>
      <c r="M220" s="311"/>
      <c r="P220" s="315" t="str">
        <f>IF(AK209="D",AY220,"")</f>
        <v/>
      </c>
      <c r="R220" s="332" t="str">
        <f>IF(AT220="","",SUM(AT220))</f>
        <v/>
      </c>
      <c r="S220" s="333" t="str">
        <f>IF(AK209="D",2,"")</f>
        <v/>
      </c>
      <c r="T220" s="334" t="str">
        <f>IF(R220="","",VLOOKUP(R220,Licenses!B:C,2,FALSE))</f>
        <v/>
      </c>
      <c r="U220" s="297"/>
      <c r="V220" s="297"/>
      <c r="W220" s="335"/>
      <c r="X220" s="331"/>
      <c r="Y220" s="272" t="str">
        <f>REPT(BA220,1)</f>
        <v/>
      </c>
      <c r="Z220" s="308"/>
      <c r="AA220" s="238">
        <f>IF(AK209="D",0,1)</f>
        <v>1</v>
      </c>
      <c r="AD220" s="235"/>
      <c r="AE220" s="235"/>
      <c r="AF220" s="256" t="str">
        <f>IF(AM210="","",SUM(AM210))</f>
        <v/>
      </c>
      <c r="AG220" s="237"/>
      <c r="AH220" s="256"/>
      <c r="AI220" s="256"/>
      <c r="AJ220" s="256"/>
      <c r="AK220" s="256" t="str">
        <f>IF(CA217&gt;1,CA217,"")</f>
        <v/>
      </c>
      <c r="AL220" s="257">
        <f>IF(AK209="D",SUM(I220),0)</f>
        <v>0</v>
      </c>
      <c r="AM220" s="258" t="str">
        <f>IF(AM217=0,IF(AL220&lt;6,"","X"),"X")</f>
        <v/>
      </c>
      <c r="AN220" s="347" t="str">
        <f>IF(AM217=0,IF(AL220&lt;6,"",1),1)</f>
        <v/>
      </c>
      <c r="AO220" s="235"/>
      <c r="AP220" s="236"/>
      <c r="AQ220" s="235"/>
      <c r="AR220" s="235"/>
      <c r="AS220" s="235"/>
      <c r="AT220" s="256" t="str">
        <f>IF(BA210="","",SUM(BA210))</f>
        <v/>
      </c>
      <c r="AU220" s="237"/>
      <c r="AV220" s="256"/>
      <c r="AW220" s="256"/>
      <c r="AX220" s="256"/>
      <c r="AY220" s="256" t="str">
        <f>IF(CJ217&gt;1,CJ217,"")</f>
        <v/>
      </c>
      <c r="AZ220" s="257">
        <f>IF(AK209="D",SUM(X220),0)</f>
        <v>0</v>
      </c>
      <c r="BA220" s="258" t="str">
        <f>IF(BA217=0,IF(AZ220&lt;6,"","X"),"X")</f>
        <v/>
      </c>
      <c r="BB220" s="347" t="str">
        <f>IF(BA217=0,IF(AZ220&lt;6,"",1),1)</f>
        <v/>
      </c>
      <c r="BC220" s="236"/>
      <c r="BD220" s="236"/>
      <c r="BE220" s="236"/>
      <c r="BF220" s="236"/>
      <c r="BG220" s="236"/>
      <c r="BH220" s="236"/>
      <c r="BI220" s="236"/>
      <c r="BJ220" s="236"/>
      <c r="BK220" s="238"/>
      <c r="BM220" s="238"/>
      <c r="BN220" s="238"/>
      <c r="BO220" s="238"/>
      <c r="BP220" s="238"/>
      <c r="BQ220" s="238" t="s">
        <v>899</v>
      </c>
      <c r="BR220" s="238"/>
      <c r="BS220" s="238"/>
      <c r="BT220" s="238"/>
      <c r="BU220" s="238"/>
      <c r="BV220" s="238"/>
      <c r="BW220" s="238"/>
      <c r="BX220" s="236"/>
      <c r="BY220" s="238"/>
      <c r="BZ220" s="238"/>
      <c r="CA220" s="238"/>
      <c r="CB220" s="238"/>
      <c r="CC220" s="238"/>
      <c r="CD220" s="238" t="s">
        <v>899</v>
      </c>
      <c r="CE220" s="238"/>
      <c r="CF220" s="238"/>
      <c r="CG220" s="244"/>
      <c r="CH220" s="238"/>
      <c r="CI220" s="238"/>
      <c r="CJ220" s="238"/>
      <c r="CK220" s="238"/>
      <c r="CL220" s="238"/>
      <c r="CM220" s="238"/>
      <c r="CN220" s="238"/>
      <c r="CO220" s="238"/>
      <c r="CP220" s="238"/>
      <c r="CQ220" s="238"/>
      <c r="CR220" s="238"/>
      <c r="CS220" s="238"/>
      <c r="CT220" s="238"/>
      <c r="CU220" s="238"/>
      <c r="CV220" s="238"/>
      <c r="CW220" s="238"/>
      <c r="CX220" s="238"/>
      <c r="CY220" s="238"/>
      <c r="CZ220" s="238"/>
      <c r="DA220" s="238"/>
      <c r="DB220" s="238"/>
      <c r="DC220" s="238"/>
      <c r="DD220" s="238"/>
      <c r="DE220" s="238"/>
      <c r="DF220" s="238"/>
      <c r="DG220" s="238"/>
      <c r="DH220" s="238"/>
      <c r="DI220" s="238"/>
      <c r="DJ220" s="238"/>
      <c r="DK220" s="238"/>
      <c r="DL220" s="238"/>
      <c r="DM220" s="238"/>
      <c r="DN220" s="238"/>
      <c r="DO220" s="238"/>
      <c r="DP220" s="238"/>
      <c r="DQ220" s="238"/>
      <c r="DR220" s="238"/>
      <c r="DS220" s="238"/>
      <c r="DT220" s="238"/>
      <c r="DU220" s="238"/>
      <c r="DV220" s="238"/>
      <c r="DW220" s="238"/>
      <c r="DX220" s="238"/>
      <c r="DY220" s="238"/>
      <c r="DZ220" s="238"/>
      <c r="EA220" s="238"/>
      <c r="EB220" s="238"/>
      <c r="EC220" s="238"/>
      <c r="ED220" s="238"/>
      <c r="EE220" s="238"/>
      <c r="EF220" s="238"/>
      <c r="EG220" s="238"/>
      <c r="EH220" s="238"/>
      <c r="EI220" s="238"/>
      <c r="EJ220" s="238"/>
      <c r="EK220" s="238"/>
      <c r="EL220" s="238"/>
      <c r="EM220" s="238"/>
      <c r="EN220" s="238"/>
      <c r="EO220" s="238"/>
      <c r="EP220" s="238"/>
      <c r="EQ220" s="238"/>
      <c r="ER220" s="238"/>
      <c r="ES220" s="238"/>
      <c r="ET220" s="244"/>
      <c r="EU220" s="238"/>
      <c r="EV220" s="238"/>
      <c r="EW220" s="238"/>
      <c r="EX220" s="238"/>
      <c r="EY220" s="238"/>
      <c r="EZ220" s="238"/>
      <c r="FA220" s="238"/>
      <c r="FB220" s="238"/>
      <c r="FC220" s="238"/>
      <c r="FD220" s="238"/>
      <c r="FE220" s="238"/>
      <c r="FF220" s="238"/>
      <c r="FG220" s="238"/>
      <c r="FH220" s="238"/>
      <c r="FI220" s="238"/>
      <c r="FJ220" s="238"/>
      <c r="FK220" s="238"/>
      <c r="FL220" s="238"/>
      <c r="FM220" s="238"/>
      <c r="FN220" s="238"/>
      <c r="FO220" s="244"/>
      <c r="FP220" s="238"/>
      <c r="FQ220" s="238"/>
      <c r="FR220" s="238"/>
      <c r="FS220" s="238"/>
      <c r="FT220" s="238"/>
      <c r="FU220" s="238"/>
      <c r="FV220" s="238"/>
      <c r="FW220" s="238"/>
      <c r="FX220" s="238"/>
      <c r="FY220" s="238"/>
      <c r="FZ220" s="238"/>
      <c r="GA220" s="238"/>
      <c r="GB220" s="238"/>
      <c r="GC220" s="238"/>
      <c r="GD220" s="341"/>
      <c r="GE220" s="340"/>
      <c r="GF220" s="340"/>
      <c r="GG220" s="340"/>
      <c r="GH220" s="340"/>
      <c r="GI220" s="340"/>
      <c r="GJ220" s="340"/>
      <c r="GK220" s="340"/>
      <c r="GL220" s="340"/>
      <c r="GM220" s="340"/>
      <c r="GN220" s="340"/>
      <c r="GO220" s="340"/>
      <c r="GP220" s="340"/>
      <c r="GQ220" s="340"/>
      <c r="GR220" s="340"/>
      <c r="GS220" s="340"/>
      <c r="GT220" s="340"/>
      <c r="GU220" s="340"/>
      <c r="GV220" s="340"/>
      <c r="GW220" s="340"/>
      <c r="GX220" s="340"/>
      <c r="GY220" s="340"/>
      <c r="GZ220" s="340"/>
      <c r="HA220" s="340"/>
      <c r="HB220" s="340"/>
      <c r="HC220" s="340"/>
      <c r="HD220" s="341"/>
      <c r="HE220" s="341"/>
      <c r="HF220" s="341"/>
      <c r="HG220" s="341"/>
      <c r="HH220" s="341"/>
      <c r="HI220" s="341"/>
      <c r="HJ220" s="341"/>
      <c r="HK220" s="341"/>
      <c r="HL220" s="341"/>
      <c r="HM220" s="341"/>
      <c r="HN220" s="341"/>
      <c r="HO220" s="341"/>
      <c r="HP220" s="341"/>
      <c r="HQ220" s="341"/>
      <c r="HR220" s="341"/>
      <c r="HS220" s="238"/>
      <c r="HT220" s="238"/>
      <c r="HU220" s="238"/>
      <c r="HV220" s="238"/>
      <c r="HX220" s="238"/>
      <c r="HY220" s="238"/>
      <c r="ID220" s="238"/>
    </row>
    <row r="221" spans="1:238" s="234" customFormat="1" ht="20.100000000000001" customHeight="1">
      <c r="A221" s="235"/>
      <c r="B221" s="316"/>
      <c r="C221" s="317"/>
      <c r="D221" s="317"/>
      <c r="E221" s="318"/>
      <c r="F221" s="318"/>
      <c r="G221" s="318"/>
      <c r="H221" s="318"/>
      <c r="I221" s="318"/>
      <c r="J221" s="318"/>
      <c r="K221" s="319"/>
      <c r="L221" s="319"/>
      <c r="M221" s="319"/>
      <c r="N221" s="319"/>
      <c r="O221" s="319"/>
      <c r="P221" s="320"/>
      <c r="Q221" s="319"/>
      <c r="R221" s="317"/>
      <c r="S221" s="318"/>
      <c r="T221" s="318"/>
      <c r="U221" s="318"/>
      <c r="V221" s="318"/>
      <c r="W221" s="318"/>
      <c r="X221" s="318"/>
      <c r="Y221" s="318"/>
      <c r="Z221" s="321"/>
      <c r="AD221" s="235"/>
      <c r="AE221" s="237"/>
      <c r="AF221" s="237"/>
      <c r="AG221" s="237"/>
      <c r="AH221" s="237" t="s">
        <v>921</v>
      </c>
      <c r="AI221" s="237" t="s">
        <v>922</v>
      </c>
      <c r="AJ221" s="298" t="str">
        <f>IF(BS221="","",SUM(AM221)*3)</f>
        <v/>
      </c>
      <c r="AK221" s="299" t="s">
        <v>923</v>
      </c>
      <c r="AL221" s="256"/>
      <c r="AM221" s="256" t="str">
        <f>IF(BS221="","",SUM(BS221))</f>
        <v/>
      </c>
      <c r="AN221" s="235"/>
      <c r="AO221" s="235"/>
      <c r="AP221" s="236"/>
      <c r="AQ221" s="235"/>
      <c r="AR221" s="235"/>
      <c r="AS221" s="237"/>
      <c r="AT221" s="237"/>
      <c r="AU221" s="237"/>
      <c r="AV221" s="237" t="s">
        <v>921</v>
      </c>
      <c r="AW221" s="237" t="s">
        <v>922</v>
      </c>
      <c r="AX221" s="298" t="str">
        <f>IF(BS221="","",SUM(BA221)*3)</f>
        <v/>
      </c>
      <c r="AY221" s="299" t="s">
        <v>923</v>
      </c>
      <c r="AZ221" s="256"/>
      <c r="BA221" s="256" t="str">
        <f>IF(BS221="","",SUM(CF221))</f>
        <v/>
      </c>
      <c r="BB221" s="236"/>
      <c r="BC221" s="236"/>
      <c r="BD221" s="236"/>
      <c r="BE221" s="236"/>
      <c r="BF221" s="236"/>
      <c r="BG221" s="236"/>
      <c r="BH221" s="236"/>
      <c r="BI221" s="236"/>
      <c r="BJ221" s="236"/>
      <c r="BK221" s="373">
        <f>IF(AL209=BQ221,1,0)</f>
        <v>0</v>
      </c>
      <c r="BL221" s="373">
        <f>IF(AL209=CD221,1,0)</f>
        <v>0</v>
      </c>
      <c r="BM221" s="256">
        <f>IF(BN221&gt;2,1,0)</f>
        <v>0</v>
      </c>
      <c r="BN221" s="256">
        <f>COUNT(AH212,AH213,AH214)</f>
        <v>0</v>
      </c>
      <c r="BO221" s="256" t="str">
        <f>IF(AH218="","",SUM(AH218/AJ218))</f>
        <v/>
      </c>
      <c r="BP221" s="256"/>
      <c r="BQ221" s="300">
        <f>COUNT(AK212,AK213,AK214,AK215,AK216)</f>
        <v>0</v>
      </c>
      <c r="BR221" s="256"/>
      <c r="BS221" s="256" t="str">
        <f>IF(BL218=0,IF(AJ213="","",BO221),"")</f>
        <v/>
      </c>
      <c r="BT221" s="236"/>
      <c r="BU221" s="236"/>
      <c r="BV221" s="236"/>
      <c r="BW221" s="236"/>
      <c r="BX221" s="236"/>
      <c r="BY221" s="256">
        <f>IF(CD221&gt;2,1,0)</f>
        <v>0</v>
      </c>
      <c r="BZ221" s="256">
        <f>IF(CA221&gt;2,1,0)</f>
        <v>0</v>
      </c>
      <c r="CA221" s="256">
        <f>COUNT(AV212,AV213,AV214)</f>
        <v>0</v>
      </c>
      <c r="CB221" s="256" t="str">
        <f>IF(AV218="","",SUM(AV218/AX218))</f>
        <v/>
      </c>
      <c r="CC221" s="256"/>
      <c r="CD221" s="300">
        <f>COUNT(AY212,AY213,AY214,AY215,AY216)</f>
        <v>0</v>
      </c>
      <c r="CE221" s="256"/>
      <c r="CF221" s="256" t="str">
        <f>IF(BL218=0,IF(AX213="","",CB221),"")</f>
        <v/>
      </c>
      <c r="CG221" s="236"/>
      <c r="CH221" s="188"/>
      <c r="CI221" s="188"/>
      <c r="CJ221" s="196"/>
      <c r="CK221" s="196"/>
      <c r="CL221" s="196"/>
      <c r="CM221" s="196"/>
      <c r="CN221" s="196"/>
      <c r="CO221" s="196"/>
      <c r="CP221" s="196"/>
      <c r="CQ221" s="196"/>
      <c r="CR221" s="196"/>
      <c r="CS221" s="196"/>
      <c r="CT221" s="196"/>
      <c r="CU221" s="196"/>
      <c r="CV221" s="196"/>
      <c r="CW221" s="196"/>
      <c r="CX221" s="196"/>
      <c r="CY221" s="196"/>
      <c r="CZ221" s="196"/>
      <c r="DA221" s="196"/>
      <c r="DB221" s="196"/>
      <c r="DC221" s="196"/>
      <c r="DD221" s="196"/>
      <c r="DE221" s="196"/>
      <c r="DF221" s="196"/>
      <c r="DG221" s="196"/>
      <c r="DH221" s="196"/>
      <c r="DI221" s="196"/>
      <c r="DJ221" s="196"/>
      <c r="DK221" s="196"/>
      <c r="DL221" s="196"/>
      <c r="DM221" s="196"/>
      <c r="DN221" s="196"/>
      <c r="DO221" s="196"/>
      <c r="DP221" s="196"/>
      <c r="DQ221" s="196"/>
      <c r="DR221" s="196"/>
      <c r="DS221" s="196"/>
      <c r="DT221" s="196"/>
      <c r="DU221" s="196"/>
      <c r="DV221" s="196"/>
      <c r="DW221" s="196"/>
      <c r="DX221" s="196"/>
      <c r="DY221" s="196"/>
      <c r="DZ221" s="196"/>
      <c r="EA221" s="196"/>
      <c r="EB221" s="196"/>
      <c r="EC221" s="196"/>
      <c r="ED221" s="196"/>
      <c r="EE221" s="196"/>
      <c r="EF221" s="196"/>
      <c r="EG221" s="196"/>
      <c r="EH221" s="196"/>
      <c r="EI221" s="196"/>
      <c r="EJ221" s="196"/>
      <c r="EK221" s="196"/>
      <c r="EL221" s="196"/>
      <c r="EM221" s="196"/>
      <c r="EN221" s="196"/>
      <c r="EO221" s="196"/>
      <c r="EP221" s="196"/>
      <c r="EQ221" s="196"/>
      <c r="ER221" s="196"/>
      <c r="ES221" s="196"/>
      <c r="ET221" s="301"/>
      <c r="EU221" s="196"/>
      <c r="EV221" s="196"/>
      <c r="EW221" s="196"/>
      <c r="EX221" s="196"/>
      <c r="EY221" s="196"/>
      <c r="EZ221" s="196"/>
      <c r="FA221" s="196"/>
      <c r="FB221" s="196"/>
      <c r="FC221" s="196"/>
      <c r="FD221" s="196"/>
      <c r="FE221" s="196"/>
      <c r="FF221" s="196"/>
      <c r="FG221" s="196"/>
      <c r="FH221" s="196"/>
      <c r="FI221" s="196"/>
      <c r="FJ221" s="196"/>
      <c r="FK221" s="196"/>
      <c r="FL221" s="196"/>
      <c r="FM221" s="196"/>
      <c r="FN221" s="196"/>
      <c r="FO221" s="301"/>
      <c r="FP221" s="196"/>
      <c r="FQ221" s="196"/>
      <c r="FR221" s="196"/>
      <c r="FS221" s="196"/>
      <c r="FT221" s="196"/>
      <c r="FU221" s="196"/>
      <c r="FV221" s="196"/>
      <c r="FW221" s="196"/>
      <c r="FX221" s="196"/>
      <c r="FY221" s="196"/>
      <c r="FZ221" s="196"/>
      <c r="GA221" s="196"/>
      <c r="GB221" s="238"/>
      <c r="GC221" s="238"/>
      <c r="GD221" s="341"/>
      <c r="GE221" s="341"/>
      <c r="GF221" s="341"/>
      <c r="GG221" s="341"/>
      <c r="GH221" s="341"/>
      <c r="GI221" s="341"/>
      <c r="GJ221" s="341"/>
      <c r="GK221" s="341"/>
      <c r="GL221" s="341"/>
      <c r="GM221" s="341"/>
      <c r="GN221" s="341"/>
      <c r="GO221" s="341"/>
      <c r="GP221" s="341"/>
      <c r="GQ221" s="341"/>
      <c r="GR221" s="341"/>
      <c r="GS221" s="341"/>
      <c r="GT221" s="341"/>
      <c r="GU221" s="341"/>
      <c r="GV221" s="341"/>
      <c r="GW221" s="341"/>
      <c r="GX221" s="341"/>
      <c r="GY221" s="341"/>
      <c r="GZ221" s="341"/>
      <c r="HA221" s="341"/>
      <c r="HB221" s="341"/>
      <c r="HC221" s="341"/>
      <c r="HD221" s="341"/>
      <c r="HE221" s="341"/>
      <c r="HF221" s="341"/>
      <c r="HG221" s="341"/>
      <c r="HH221" s="341"/>
      <c r="HI221" s="341"/>
      <c r="HJ221" s="341"/>
      <c r="HK221" s="341"/>
      <c r="HL221" s="341"/>
      <c r="HM221" s="341"/>
      <c r="HN221" s="341"/>
      <c r="HO221" s="341"/>
      <c r="HP221" s="341"/>
      <c r="HQ221" s="341"/>
      <c r="HR221" s="341"/>
      <c r="HS221" s="238"/>
      <c r="HT221" s="238"/>
      <c r="HU221" s="238"/>
      <c r="HV221" s="238"/>
      <c r="HX221" s="238"/>
      <c r="HY221" s="238"/>
      <c r="ID221" s="238"/>
    </row>
    <row r="222" spans="1:238" ht="14.1" customHeight="1">
      <c r="B222" s="214"/>
      <c r="C222" s="171"/>
      <c r="D222" s="171"/>
      <c r="E222" s="171"/>
      <c r="F222" s="171"/>
      <c r="G222" s="171"/>
      <c r="H222" s="171"/>
      <c r="I222" s="171"/>
      <c r="J222" s="171"/>
      <c r="K222" s="171"/>
      <c r="L222" s="171"/>
      <c r="M222" s="171"/>
      <c r="N222" s="171"/>
      <c r="O222" s="171"/>
      <c r="P222" s="171"/>
      <c r="Q222" s="171"/>
      <c r="R222" s="171"/>
      <c r="S222" s="171"/>
      <c r="T222" s="171"/>
      <c r="U222" s="171"/>
      <c r="V222" s="171"/>
      <c r="W222" s="171"/>
      <c r="X222" s="171"/>
      <c r="Y222" s="171"/>
      <c r="Z222" s="302"/>
      <c r="AA222" s="215"/>
      <c r="AB222" s="215"/>
      <c r="AC222" s="215"/>
      <c r="AD222" s="215"/>
      <c r="AE222" s="215"/>
      <c r="AF222" s="215"/>
      <c r="BB222" s="215"/>
      <c r="BC222" s="215"/>
      <c r="BD222" s="215"/>
      <c r="BE222" s="215"/>
      <c r="BF222" s="215"/>
      <c r="BG222" s="215"/>
      <c r="BH222" s="215"/>
      <c r="GD222" s="339"/>
      <c r="GE222" s="339"/>
      <c r="GF222" s="339"/>
      <c r="GG222" s="339"/>
      <c r="GH222" s="339"/>
      <c r="GI222" s="339"/>
      <c r="GJ222" s="339"/>
      <c r="GK222" s="339"/>
      <c r="GL222" s="339"/>
      <c r="GM222" s="339"/>
      <c r="GN222" s="339"/>
      <c r="GO222" s="339"/>
      <c r="GP222" s="339"/>
      <c r="GQ222" s="339"/>
      <c r="GR222" s="339"/>
      <c r="GS222" s="339"/>
      <c r="GT222" s="339"/>
      <c r="GU222" s="339"/>
      <c r="GV222" s="339"/>
      <c r="GW222" s="339"/>
      <c r="GX222" s="339"/>
      <c r="GY222" s="339"/>
      <c r="GZ222" s="339"/>
      <c r="HA222" s="339"/>
      <c r="HB222" s="339"/>
      <c r="HC222" s="339"/>
      <c r="HD222" s="339"/>
      <c r="HE222" s="339"/>
      <c r="HF222" s="339"/>
      <c r="HG222" s="339"/>
      <c r="HH222" s="339"/>
      <c r="HI222" s="339"/>
      <c r="HJ222" s="339"/>
      <c r="HK222" s="339"/>
      <c r="HL222" s="339"/>
      <c r="HM222" s="339"/>
      <c r="HN222" s="339"/>
      <c r="HO222" s="339"/>
      <c r="HP222" s="339"/>
      <c r="HQ222" s="339"/>
      <c r="HR222" s="339"/>
    </row>
    <row r="223" spans="1:238" ht="24" customHeight="1">
      <c r="B223" s="216"/>
      <c r="C223" s="181"/>
      <c r="D223" s="181"/>
      <c r="E223" s="181"/>
      <c r="F223" s="181"/>
      <c r="G223" s="181"/>
      <c r="H223" s="181"/>
      <c r="I223" s="181"/>
      <c r="J223" s="181"/>
      <c r="K223" s="185"/>
      <c r="L223" s="217"/>
      <c r="M223" s="218"/>
      <c r="N223" s="327" t="str">
        <f>CONCATENATE(AG223," ",AH223)</f>
        <v>Spiel 16</v>
      </c>
      <c r="O223" s="218"/>
      <c r="P223" s="219"/>
      <c r="Q223" s="185"/>
      <c r="R223" s="181"/>
      <c r="S223" s="181"/>
      <c r="T223" s="181"/>
      <c r="U223" s="181"/>
      <c r="V223" s="181"/>
      <c r="W223" s="181"/>
      <c r="X223" s="181"/>
      <c r="Y223" s="181"/>
      <c r="Z223" s="303"/>
      <c r="AA223" s="200"/>
      <c r="AB223" s="200"/>
      <c r="AC223" s="200"/>
      <c r="AD223" s="200"/>
      <c r="AE223" s="200"/>
      <c r="AF223" s="200"/>
      <c r="AG223" s="200" t="s">
        <v>863</v>
      </c>
      <c r="AH223" s="220">
        <v>16</v>
      </c>
      <c r="AI223" s="173">
        <f>VLOOKUP(AH223,Chema!R:T,3,FALSE)</f>
        <v>2.4</v>
      </c>
      <c r="AJ223" s="200" t="str">
        <f>VLOOKUP(AH223,Chema!BL:BQ,6,FALSE)</f>
        <v>2.4*</v>
      </c>
      <c r="AK223" s="200" t="str">
        <f>VLOOKUP(AH223,'Matchblatt  FEUILLE DE MATCH'!AI:AJ,2,FALSE)</f>
        <v>S</v>
      </c>
      <c r="AL223" s="200">
        <f>VLOOKUP(AH223,Chema!R:U,4,FALSE)</f>
        <v>5</v>
      </c>
      <c r="AM223" s="215" t="str">
        <f>VLOOKUP(AH223,'Matchblatt  FEUILLE DE MATCH'!AI:AS,10,FALSE)</f>
        <v/>
      </c>
      <c r="AN223" s="215"/>
      <c r="AO223" s="215"/>
      <c r="AP223" s="215"/>
      <c r="AQ223" s="215"/>
      <c r="AR223" s="215"/>
      <c r="AS223" s="215"/>
      <c r="AT223" s="215"/>
      <c r="AU223" s="215"/>
      <c r="AV223" s="215"/>
      <c r="AW223" s="215"/>
      <c r="AX223" s="215"/>
      <c r="AY223" s="215"/>
      <c r="AZ223" s="215"/>
      <c r="BA223" s="215" t="str">
        <f>VLOOKUP(AH223,'Matchblatt  FEUILLE DE MATCH'!AI:AS,11,FALSE)</f>
        <v/>
      </c>
      <c r="BB223" s="200"/>
      <c r="BC223" s="200"/>
      <c r="BD223" s="200"/>
      <c r="BE223" s="200"/>
      <c r="BF223" s="200"/>
      <c r="BG223" s="200"/>
      <c r="BH223" s="200"/>
      <c r="BK223" s="196"/>
      <c r="BL223" s="196"/>
      <c r="BM223" s="196"/>
      <c r="BN223" s="196"/>
      <c r="BO223" s="196"/>
      <c r="BP223" s="196"/>
      <c r="BQ223" s="221" t="s">
        <v>843</v>
      </c>
      <c r="BR223" s="222"/>
      <c r="BS223" s="222"/>
      <c r="BT223" s="223"/>
      <c r="BU223" s="222" t="s">
        <v>843</v>
      </c>
      <c r="BV223" s="222"/>
      <c r="BW223" s="222"/>
      <c r="BX223" s="224"/>
      <c r="BY223" s="222"/>
      <c r="BZ223" s="222"/>
      <c r="CA223" s="222"/>
      <c r="CB223" s="222"/>
      <c r="CC223" s="222"/>
      <c r="CD223" s="222"/>
      <c r="CE223" s="222"/>
      <c r="CF223" s="222"/>
      <c r="CG223" s="224"/>
      <c r="CH223" s="222"/>
      <c r="CI223" s="222"/>
      <c r="CJ223" s="223"/>
      <c r="CK223" s="196"/>
      <c r="CL223" s="196"/>
      <c r="CM223" s="196"/>
      <c r="CN223" s="196"/>
      <c r="CO223" s="196"/>
      <c r="CP223" s="196"/>
      <c r="CQ223" s="196"/>
      <c r="CR223" s="196"/>
      <c r="CS223" s="196"/>
      <c r="CT223" s="196"/>
      <c r="CU223" s="196"/>
      <c r="CV223" s="196"/>
      <c r="CW223" s="196"/>
      <c r="CX223" s="196"/>
      <c r="CY223" s="196"/>
      <c r="CZ223" s="196"/>
      <c r="DA223" s="196"/>
      <c r="DB223" s="196"/>
      <c r="DC223" s="196"/>
      <c r="DD223" s="196"/>
      <c r="DE223" s="196"/>
      <c r="DF223" s="196"/>
      <c r="DG223" s="196"/>
      <c r="DH223" s="196"/>
      <c r="DI223" s="196"/>
      <c r="DJ223" s="196"/>
      <c r="DK223" s="196"/>
      <c r="DL223" s="196"/>
      <c r="DM223" s="196"/>
      <c r="DN223" s="196"/>
      <c r="DO223" s="196"/>
      <c r="DP223" s="196"/>
      <c r="DQ223" s="196"/>
      <c r="DR223" s="196"/>
      <c r="DS223" s="196"/>
      <c r="DT223" s="196"/>
      <c r="DU223" s="196"/>
      <c r="DV223" s="196"/>
      <c r="DW223" s="196"/>
      <c r="DX223" s="196"/>
      <c r="DY223" s="196"/>
      <c r="DZ223" s="196"/>
      <c r="EA223" s="196"/>
      <c r="EB223" s="196"/>
      <c r="EC223" s="196"/>
      <c r="ED223" s="196"/>
      <c r="EE223" s="196"/>
      <c r="EF223" s="196"/>
      <c r="EG223" s="196"/>
      <c r="EH223" s="196"/>
      <c r="EI223" s="196"/>
      <c r="EJ223" s="196"/>
      <c r="EK223" s="196"/>
      <c r="EL223" s="196"/>
      <c r="EM223" s="221" t="s">
        <v>7</v>
      </c>
      <c r="EN223" s="222"/>
      <c r="EO223" s="222"/>
      <c r="EP223" s="222"/>
      <c r="EQ223" s="222"/>
      <c r="ER223" s="222"/>
      <c r="ES223" s="222"/>
      <c r="ET223" s="224"/>
      <c r="EU223" s="222"/>
      <c r="EV223" s="222"/>
      <c r="EW223" s="222"/>
      <c r="EX223" s="222"/>
      <c r="EY223" s="222"/>
      <c r="EZ223" s="222"/>
      <c r="FA223" s="222"/>
      <c r="FB223" s="222"/>
      <c r="FC223" s="222"/>
      <c r="FD223" s="222"/>
      <c r="FE223" s="223"/>
      <c r="FF223" s="196"/>
      <c r="FG223" s="196"/>
      <c r="FH223" s="221" t="s">
        <v>12</v>
      </c>
      <c r="FI223" s="222"/>
      <c r="FJ223" s="222"/>
      <c r="FK223" s="222"/>
      <c r="FL223" s="222"/>
      <c r="FM223" s="222"/>
      <c r="FN223" s="222"/>
      <c r="FO223" s="224"/>
      <c r="FP223" s="222"/>
      <c r="FQ223" s="222"/>
      <c r="FR223" s="222"/>
      <c r="FS223" s="222"/>
      <c r="FT223" s="222"/>
      <c r="FU223" s="222"/>
      <c r="FV223" s="222"/>
      <c r="FW223" s="222"/>
      <c r="FX223" s="222"/>
      <c r="FY223" s="222"/>
      <c r="FZ223" s="223"/>
      <c r="GA223" s="196"/>
      <c r="GD223" s="339"/>
      <c r="GE223" s="339"/>
      <c r="GF223" s="339"/>
      <c r="GG223" s="339"/>
      <c r="GH223" s="339"/>
      <c r="GI223" s="339"/>
      <c r="GJ223" s="339"/>
      <c r="GK223" s="339"/>
      <c r="GL223" s="339"/>
      <c r="GM223" s="339"/>
      <c r="GN223" s="339"/>
      <c r="GO223" s="339"/>
      <c r="GP223" s="339"/>
      <c r="GQ223" s="339"/>
      <c r="GR223" s="339"/>
      <c r="GS223" s="339"/>
      <c r="GT223" s="339"/>
      <c r="GU223" s="339"/>
      <c r="GV223" s="339"/>
      <c r="GW223" s="339"/>
      <c r="GX223" s="339"/>
      <c r="GY223" s="339"/>
      <c r="GZ223" s="339"/>
      <c r="HA223" s="339"/>
      <c r="HB223" s="339"/>
      <c r="HC223" s="339"/>
      <c r="HD223" s="339"/>
      <c r="HE223" s="339"/>
      <c r="HF223" s="339"/>
      <c r="HG223" s="339"/>
      <c r="HH223" s="339"/>
      <c r="HI223" s="339"/>
      <c r="HJ223" s="339"/>
      <c r="HK223" s="339"/>
      <c r="HL223" s="339"/>
      <c r="HM223" s="339"/>
      <c r="HN223" s="339"/>
      <c r="HO223" s="339"/>
      <c r="HP223" s="339"/>
      <c r="HQ223" s="339"/>
      <c r="HR223" s="339"/>
    </row>
    <row r="224" spans="1:238" ht="14.1" customHeight="1">
      <c r="B224" s="225"/>
      <c r="C224" s="304"/>
      <c r="D224" s="304"/>
      <c r="E224" s="304"/>
      <c r="F224" s="304"/>
      <c r="G224" s="304"/>
      <c r="H224" s="304"/>
      <c r="I224" s="304"/>
      <c r="J224" s="304"/>
      <c r="K224" s="166"/>
      <c r="L224" s="166"/>
      <c r="M224" s="166"/>
      <c r="N224" s="304"/>
      <c r="O224" s="304"/>
      <c r="P224" s="166"/>
      <c r="Q224" s="166"/>
      <c r="R224" s="304"/>
      <c r="S224" s="304"/>
      <c r="T224" s="304"/>
      <c r="U224" s="304"/>
      <c r="V224" s="304"/>
      <c r="W224" s="304"/>
      <c r="X224" s="166"/>
      <c r="Y224" s="166"/>
      <c r="Z224" s="305"/>
      <c r="AA224" s="63"/>
      <c r="AB224" s="63"/>
      <c r="AC224" s="63"/>
      <c r="AD224" s="63"/>
      <c r="AE224" s="63"/>
      <c r="AF224" s="63"/>
      <c r="AJ224" s="173" t="str">
        <f>VLOOKUP(AH223,Chema!BL:BR,7,FALSE)</f>
        <v/>
      </c>
      <c r="AL224" s="200"/>
      <c r="AM224" s="200" t="str">
        <f>IF(AK223="D",VLOOKUP(AJ224,'Matchblatt  FEUILLE DE MATCH'!AK:AS,8,FALSE),"")</f>
        <v/>
      </c>
      <c r="AN224" s="200"/>
      <c r="AO224" s="200"/>
      <c r="AP224" s="200"/>
      <c r="AQ224" s="200"/>
      <c r="AR224" s="200"/>
      <c r="AS224" s="200"/>
      <c r="AT224" s="200"/>
      <c r="AU224" s="200"/>
      <c r="AV224" s="200"/>
      <c r="AW224" s="200"/>
      <c r="AX224" s="200"/>
      <c r="AY224" s="200"/>
      <c r="AZ224" s="200"/>
      <c r="BA224" s="200" t="str">
        <f>IF(AK223="D",VLOOKUP(AJ224,'Matchblatt  FEUILLE DE MATCH'!AK:AS,9,FALSE),"")</f>
        <v/>
      </c>
      <c r="BB224" s="63"/>
      <c r="BC224" s="63"/>
      <c r="BD224" s="63"/>
      <c r="BE224" s="63"/>
      <c r="BF224" s="63"/>
      <c r="BG224" s="63"/>
      <c r="BH224" s="63"/>
      <c r="BK224" s="166" t="s">
        <v>7</v>
      </c>
      <c r="BL224" s="166" t="s">
        <v>12</v>
      </c>
      <c r="BM224" s="166"/>
      <c r="BN224" s="166" t="s">
        <v>7</v>
      </c>
      <c r="BO224" s="166" t="s">
        <v>12</v>
      </c>
      <c r="BP224" s="166"/>
      <c r="BQ224" s="226" t="s">
        <v>894</v>
      </c>
      <c r="BR224" s="227" t="s">
        <v>895</v>
      </c>
      <c r="BS224" s="228" t="s">
        <v>896</v>
      </c>
      <c r="BT224" s="229"/>
      <c r="BU224" s="226" t="s">
        <v>7</v>
      </c>
      <c r="BV224" s="166"/>
      <c r="BW224" s="166"/>
      <c r="BX224" s="230"/>
      <c r="BY224" s="166"/>
      <c r="BZ224" s="166"/>
      <c r="CA224" s="227"/>
      <c r="CB224" s="166"/>
      <c r="CC224" s="166"/>
      <c r="CD224" s="226" t="s">
        <v>12</v>
      </c>
      <c r="CE224" s="166"/>
      <c r="CF224" s="166"/>
      <c r="CG224" s="230"/>
      <c r="CH224" s="166"/>
      <c r="CI224" s="166"/>
      <c r="CJ224" s="227"/>
      <c r="CK224" s="166"/>
      <c r="CL224" s="166" t="s">
        <v>897</v>
      </c>
      <c r="CM224" s="166"/>
      <c r="CN224" s="166"/>
      <c r="CO224" s="166"/>
      <c r="CP224" s="166"/>
      <c r="CQ224" s="166"/>
      <c r="CR224" s="166"/>
      <c r="CS224" s="166"/>
      <c r="CT224" s="166"/>
      <c r="CU224" s="166" t="s">
        <v>843</v>
      </c>
      <c r="CV224" s="166"/>
      <c r="CW224" s="166" t="s">
        <v>843</v>
      </c>
      <c r="CX224" s="166"/>
      <c r="CY224" s="166"/>
      <c r="CZ224" s="166"/>
      <c r="DA224" s="166"/>
      <c r="DB224" s="166"/>
      <c r="DC224" s="166"/>
      <c r="DD224" s="166" t="s">
        <v>894</v>
      </c>
      <c r="DE224" s="166" t="s">
        <v>895</v>
      </c>
      <c r="DF224" s="166"/>
      <c r="DG224" s="166" t="s">
        <v>927</v>
      </c>
      <c r="DH224" s="166"/>
      <c r="DI224" s="166"/>
      <c r="DJ224" s="166"/>
      <c r="DK224" s="166"/>
      <c r="DL224" s="166"/>
      <c r="DM224" s="166"/>
      <c r="DN224" s="166" t="s">
        <v>928</v>
      </c>
      <c r="DO224" s="166" t="s">
        <v>929</v>
      </c>
      <c r="DP224" s="166"/>
      <c r="DQ224" s="166"/>
      <c r="DR224" s="166"/>
      <c r="DS224" s="166"/>
      <c r="DT224" s="166"/>
      <c r="DU224" s="166"/>
      <c r="DV224" s="166" t="s">
        <v>894</v>
      </c>
      <c r="DW224" s="166" t="s">
        <v>895</v>
      </c>
      <c r="DX224" s="166"/>
      <c r="DY224" s="166"/>
      <c r="DZ224" s="166"/>
      <c r="EA224" s="166"/>
      <c r="EB224" s="166"/>
      <c r="EC224" s="166"/>
      <c r="ED224" s="166" t="s">
        <v>894</v>
      </c>
      <c r="EE224" s="166" t="s">
        <v>895</v>
      </c>
      <c r="EF224" s="166"/>
      <c r="EG224" s="166"/>
      <c r="EH224" s="166"/>
      <c r="EI224" s="166"/>
      <c r="EJ224" s="166"/>
      <c r="EK224" s="166"/>
      <c r="EL224" s="166"/>
      <c r="EM224" s="166"/>
      <c r="EN224" s="166"/>
      <c r="EO224" s="166"/>
      <c r="EP224" s="166"/>
      <c r="EQ224" s="166"/>
      <c r="ER224" s="166"/>
      <c r="ES224" s="166"/>
      <c r="ET224" s="230"/>
      <c r="EU224" s="166"/>
      <c r="EV224" s="166"/>
      <c r="EW224" s="166"/>
      <c r="EX224" s="166"/>
      <c r="EY224" s="166"/>
      <c r="EZ224" s="166"/>
      <c r="FA224" s="166"/>
      <c r="FB224" s="166"/>
      <c r="FC224" s="166"/>
      <c r="FD224" s="166"/>
      <c r="FE224" s="166"/>
      <c r="FF224" s="166"/>
      <c r="FG224" s="166"/>
      <c r="FH224" s="166"/>
      <c r="FI224" s="166"/>
      <c r="FJ224" s="166"/>
      <c r="FK224" s="166"/>
      <c r="FL224" s="166"/>
      <c r="FM224" s="166"/>
      <c r="FN224" s="166"/>
      <c r="FO224" s="230"/>
      <c r="FP224" s="166"/>
      <c r="FQ224" s="166"/>
      <c r="FR224" s="166"/>
      <c r="FS224" s="166"/>
      <c r="FT224" s="166"/>
      <c r="FU224" s="166"/>
      <c r="FV224" s="166"/>
      <c r="FW224" s="166"/>
      <c r="FX224" s="166"/>
      <c r="FY224" s="166"/>
      <c r="FZ224" s="166"/>
      <c r="GA224" s="166"/>
      <c r="GD224" s="339"/>
      <c r="GE224" s="339"/>
      <c r="GF224" s="339"/>
      <c r="GG224" s="339"/>
      <c r="GH224" s="339"/>
      <c r="GI224" s="339"/>
      <c r="GJ224" s="339"/>
      <c r="GK224" s="339"/>
      <c r="GL224" s="339"/>
      <c r="GM224" s="339"/>
      <c r="GN224" s="339"/>
      <c r="GO224" s="339"/>
      <c r="GP224" s="339"/>
      <c r="GQ224" s="339"/>
      <c r="GR224" s="339"/>
      <c r="GS224" s="339"/>
      <c r="GT224" s="339"/>
      <c r="GU224" s="339"/>
      <c r="GV224" s="339"/>
      <c r="GW224" s="339"/>
      <c r="GX224" s="339"/>
      <c r="GY224" s="339"/>
      <c r="GZ224" s="339"/>
      <c r="HA224" s="339"/>
      <c r="HB224" s="339"/>
      <c r="HC224" s="339"/>
      <c r="HD224" s="339"/>
      <c r="HE224" s="339"/>
      <c r="HF224" s="339"/>
      <c r="HG224" s="339"/>
      <c r="HH224" s="339"/>
      <c r="HI224" s="339"/>
      <c r="HJ224" s="339"/>
      <c r="HK224" s="339"/>
      <c r="HL224" s="339"/>
      <c r="HM224" s="339"/>
      <c r="HN224" s="339"/>
      <c r="HO224" s="339"/>
      <c r="HP224" s="339"/>
      <c r="HQ224" s="339"/>
      <c r="HR224" s="339"/>
    </row>
    <row r="225" spans="1:238" s="234" customFormat="1" ht="20.100000000000001" customHeight="1">
      <c r="A225" s="235"/>
      <c r="B225" s="231"/>
      <c r="C225" s="232" t="str">
        <f>REPT(Sprache!$K$12,1)</f>
        <v>SPIEL</v>
      </c>
      <c r="D225" s="233" t="s">
        <v>869</v>
      </c>
      <c r="E225" s="233" t="str">
        <f>REPT(Sprache!$K$62,1)</f>
        <v>Punkte</v>
      </c>
      <c r="F225" s="233" t="str">
        <f>REPT(Sprache!$K$61,1)</f>
        <v>Rest</v>
      </c>
      <c r="G225" s="233" t="s">
        <v>898</v>
      </c>
      <c r="H225" s="233" t="s">
        <v>848</v>
      </c>
      <c r="I225" s="233">
        <v>180</v>
      </c>
      <c r="J225" s="233" t="str">
        <f>REPT(Sprache!$K$63,1)</f>
        <v>Fehler</v>
      </c>
      <c r="L225" s="306" t="s">
        <v>923</v>
      </c>
      <c r="M225" s="307"/>
      <c r="P225" s="306" t="s">
        <v>923</v>
      </c>
      <c r="R225" s="232" t="str">
        <f>REPT(Sprache!$K$12,1)</f>
        <v>SPIEL</v>
      </c>
      <c r="S225" s="233" t="s">
        <v>869</v>
      </c>
      <c r="T225" s="233" t="str">
        <f>REPT(Sprache!$K$62,1)</f>
        <v>Punkte</v>
      </c>
      <c r="U225" s="233" t="str">
        <f>REPT(Sprache!$K$61,1)</f>
        <v>Rest</v>
      </c>
      <c r="V225" s="233" t="s">
        <v>898</v>
      </c>
      <c r="W225" s="233" t="s">
        <v>848</v>
      </c>
      <c r="X225" s="233">
        <v>180</v>
      </c>
      <c r="Y225" s="233" t="str">
        <f>REPT(Sprache!$K$63,1)</f>
        <v>Fehler</v>
      </c>
      <c r="Z225" s="308"/>
      <c r="AD225" s="235"/>
      <c r="AE225" s="236" t="s">
        <v>966</v>
      </c>
      <c r="AF225" s="236" t="s">
        <v>967</v>
      </c>
      <c r="AG225" s="236" t="s">
        <v>965</v>
      </c>
      <c r="AH225" s="237" t="str">
        <f>LEFT($BM$6,10)</f>
        <v/>
      </c>
      <c r="AI225" s="237" t="str">
        <f>LEFT($BN$6,10)</f>
        <v/>
      </c>
      <c r="AJ225" s="237" t="s">
        <v>898</v>
      </c>
      <c r="AK225" s="237" t="s">
        <v>848</v>
      </c>
      <c r="AL225" s="237">
        <v>180</v>
      </c>
      <c r="AM225" s="237" t="str">
        <f>LEFT($BL$6,50)</f>
        <v/>
      </c>
      <c r="AN225" s="235"/>
      <c r="AO225" s="235"/>
      <c r="AP225" s="235"/>
      <c r="AQ225" s="235"/>
      <c r="AR225" s="235"/>
      <c r="AS225" s="235"/>
      <c r="AT225" s="235"/>
      <c r="AU225" s="235"/>
      <c r="AV225" s="237" t="str">
        <f>LEFT($BM$6,10)</f>
        <v/>
      </c>
      <c r="AW225" s="237" t="str">
        <f>LEFT($BN$6,10)</f>
        <v/>
      </c>
      <c r="AX225" s="237" t="s">
        <v>898</v>
      </c>
      <c r="AY225" s="237" t="s">
        <v>848</v>
      </c>
      <c r="AZ225" s="237">
        <v>180</v>
      </c>
      <c r="BA225" s="237" t="str">
        <f>LEFT($BL$6,50)</f>
        <v/>
      </c>
      <c r="BI225" s="238"/>
      <c r="BJ225" s="238"/>
      <c r="BK225" s="238" t="s">
        <v>165</v>
      </c>
      <c r="BL225" s="238" t="s">
        <v>165</v>
      </c>
      <c r="BM225" s="239" t="s">
        <v>165</v>
      </c>
      <c r="BN225" s="239" t="s">
        <v>899</v>
      </c>
      <c r="BO225" s="239" t="s">
        <v>899</v>
      </c>
      <c r="BP225" s="239" t="s">
        <v>900</v>
      </c>
      <c r="BQ225" s="240" t="s">
        <v>901</v>
      </c>
      <c r="BR225" s="241"/>
      <c r="BS225" s="242" t="s">
        <v>926</v>
      </c>
      <c r="BT225" s="243"/>
      <c r="BU225" s="242" t="s">
        <v>902</v>
      </c>
      <c r="BV225" s="238"/>
      <c r="BW225" s="238"/>
      <c r="BX225" s="244"/>
      <c r="BY225" s="238"/>
      <c r="BZ225" s="238" t="s">
        <v>903</v>
      </c>
      <c r="CA225" s="243" t="s">
        <v>904</v>
      </c>
      <c r="CB225" s="238"/>
      <c r="CC225" s="238"/>
      <c r="CD225" s="242" t="s">
        <v>902</v>
      </c>
      <c r="CE225" s="238"/>
      <c r="CF225" s="238"/>
      <c r="CG225" s="244"/>
      <c r="CH225" s="238"/>
      <c r="CI225" s="238" t="s">
        <v>903</v>
      </c>
      <c r="CJ225" s="243" t="s">
        <v>904</v>
      </c>
      <c r="CK225" s="238"/>
      <c r="CL225" s="245" t="s">
        <v>905</v>
      </c>
      <c r="CM225" s="245" t="s">
        <v>906</v>
      </c>
      <c r="CN225" s="245" t="s">
        <v>907</v>
      </c>
      <c r="CO225" s="245" t="s">
        <v>908</v>
      </c>
      <c r="CP225" s="245" t="s">
        <v>909</v>
      </c>
      <c r="CQ225" s="246" t="s">
        <v>910</v>
      </c>
      <c r="CR225" s="247"/>
      <c r="CS225" s="246" t="s">
        <v>911</v>
      </c>
      <c r="CT225" s="248"/>
      <c r="CU225" s="246" t="s">
        <v>912</v>
      </c>
      <c r="CV225" s="248"/>
      <c r="CW225" s="246" t="s">
        <v>913</v>
      </c>
      <c r="CX225" s="248"/>
      <c r="CY225" s="238"/>
      <c r="CZ225" s="238"/>
      <c r="DA225" s="238"/>
      <c r="DB225" s="238"/>
      <c r="DC225" s="249" t="s">
        <v>165</v>
      </c>
      <c r="DD225" s="249" t="s">
        <v>165</v>
      </c>
      <c r="DE225" s="249" t="s">
        <v>165</v>
      </c>
      <c r="DF225" s="238"/>
      <c r="DG225" s="238" t="s">
        <v>914</v>
      </c>
      <c r="DH225" s="238" t="s">
        <v>930</v>
      </c>
      <c r="DI225" s="238" t="s">
        <v>931</v>
      </c>
      <c r="DK225" s="238" t="s">
        <v>932</v>
      </c>
      <c r="DL225" s="238" t="s">
        <v>933</v>
      </c>
      <c r="DM225" s="238" t="s">
        <v>869</v>
      </c>
      <c r="DN225" s="230" t="s">
        <v>915</v>
      </c>
      <c r="DO225" s="250" t="s">
        <v>915</v>
      </c>
      <c r="DP225" s="322" t="s">
        <v>934</v>
      </c>
      <c r="DQ225" s="238"/>
      <c r="DR225" s="166" t="s">
        <v>894</v>
      </c>
      <c r="DS225" s="166" t="s">
        <v>895</v>
      </c>
      <c r="DT225" s="166" t="s">
        <v>935</v>
      </c>
      <c r="DU225" s="166" t="s">
        <v>936</v>
      </c>
      <c r="DV225" s="251" t="s">
        <v>165</v>
      </c>
      <c r="DW225" s="251" t="s">
        <v>165</v>
      </c>
      <c r="DX225" s="238" t="s">
        <v>916</v>
      </c>
      <c r="DY225" s="238"/>
      <c r="DZ225" s="238"/>
      <c r="EA225" s="238"/>
      <c r="EB225" s="238"/>
      <c r="EC225" s="238"/>
      <c r="ED225" s="251" t="s">
        <v>165</v>
      </c>
      <c r="EE225" s="251" t="s">
        <v>165</v>
      </c>
      <c r="EF225" s="166"/>
      <c r="EG225" s="238"/>
      <c r="EH225" s="238"/>
      <c r="EI225" s="238"/>
      <c r="EJ225" s="238"/>
      <c r="EK225" s="238"/>
      <c r="EL225" s="238"/>
      <c r="EM225" s="238"/>
      <c r="EN225" s="238"/>
      <c r="EO225" s="246" t="s">
        <v>917</v>
      </c>
      <c r="EP225" s="247"/>
      <c r="EQ225" s="247"/>
      <c r="ER225" s="247"/>
      <c r="ES225" s="247"/>
      <c r="ET225" s="252"/>
      <c r="EU225" s="248"/>
      <c r="EV225" s="246" t="s">
        <v>918</v>
      </c>
      <c r="EW225" s="247"/>
      <c r="EX225" s="248"/>
      <c r="EY225" s="251" t="s">
        <v>165</v>
      </c>
      <c r="EZ225" s="246" t="s">
        <v>919</v>
      </c>
      <c r="FA225" s="247"/>
      <c r="FB225" s="248"/>
      <c r="FC225" s="246" t="s">
        <v>920</v>
      </c>
      <c r="FD225" s="247"/>
      <c r="FE225" s="248"/>
      <c r="FF225" s="238"/>
      <c r="FG225" s="238"/>
      <c r="FH225" s="238"/>
      <c r="FI225" s="238"/>
      <c r="FJ225" s="246" t="s">
        <v>917</v>
      </c>
      <c r="FK225" s="247"/>
      <c r="FL225" s="247"/>
      <c r="FM225" s="247"/>
      <c r="FN225" s="247"/>
      <c r="FO225" s="252"/>
      <c r="FP225" s="248"/>
      <c r="FQ225" s="246" t="s">
        <v>918</v>
      </c>
      <c r="FR225" s="247"/>
      <c r="FS225" s="248"/>
      <c r="FT225" s="251" t="s">
        <v>165</v>
      </c>
      <c r="FU225" s="246" t="s">
        <v>919</v>
      </c>
      <c r="FV225" s="247"/>
      <c r="FW225" s="248"/>
      <c r="FX225" s="246" t="s">
        <v>920</v>
      </c>
      <c r="FY225" s="247"/>
      <c r="FZ225" s="248"/>
      <c r="GD225" s="340"/>
      <c r="GE225" s="340"/>
      <c r="GF225" s="341" t="s">
        <v>968</v>
      </c>
      <c r="GG225" s="340"/>
      <c r="GH225" s="340"/>
      <c r="GI225" s="340"/>
      <c r="GJ225" s="341" t="s">
        <v>972</v>
      </c>
      <c r="GK225" s="340"/>
      <c r="GL225" s="340"/>
      <c r="GM225" s="340"/>
      <c r="GN225" s="341" t="s">
        <v>971</v>
      </c>
      <c r="GO225" s="340"/>
      <c r="GP225" s="340"/>
      <c r="GQ225" s="340"/>
      <c r="GR225" s="341" t="s">
        <v>970</v>
      </c>
      <c r="GS225" s="340"/>
      <c r="GT225" s="340"/>
      <c r="GU225" s="340"/>
      <c r="GV225" s="341" t="s">
        <v>969</v>
      </c>
      <c r="GW225" s="340"/>
      <c r="GX225" s="340"/>
      <c r="GY225" s="340"/>
      <c r="GZ225" s="342" t="s">
        <v>973</v>
      </c>
      <c r="HA225" s="340"/>
      <c r="HB225" s="340"/>
      <c r="HC225" s="340"/>
      <c r="HD225" s="342" t="s">
        <v>974</v>
      </c>
      <c r="HE225" s="340"/>
      <c r="HF225" s="340"/>
      <c r="HG225" s="340"/>
      <c r="HH225" s="340"/>
      <c r="HI225" s="340"/>
      <c r="HJ225" s="340"/>
      <c r="HK225" s="340"/>
      <c r="HL225" s="340"/>
      <c r="HM225" s="341"/>
      <c r="HN225" s="341"/>
      <c r="HO225" s="341"/>
      <c r="HP225" s="341"/>
      <c r="HQ225" s="341"/>
      <c r="HR225" s="341"/>
      <c r="HS225" s="238"/>
      <c r="HT225" s="238"/>
      <c r="HU225" s="238"/>
      <c r="HV225" s="238"/>
      <c r="HX225" s="238"/>
      <c r="HY225" s="238"/>
      <c r="HZ225" s="238"/>
      <c r="ID225" s="238"/>
    </row>
    <row r="226" spans="1:238" s="234" customFormat="1" ht="20.100000000000001" customHeight="1">
      <c r="A226" s="235"/>
      <c r="B226" s="231">
        <f>COUNT(AJ227,AJ226)</f>
        <v>0</v>
      </c>
      <c r="C226" s="325" t="str">
        <f>CONCATENATE(BG226,BE226)</f>
        <v>HS</v>
      </c>
      <c r="D226" s="253" t="str">
        <f>REPT(DN226,1)</f>
        <v>1</v>
      </c>
      <c r="E226" s="254" t="str">
        <f>REPT(AH226,1)</f>
        <v/>
      </c>
      <c r="F226" s="168"/>
      <c r="G226" s="168"/>
      <c r="H226" s="168"/>
      <c r="I226" s="169"/>
      <c r="J226" s="255" t="str">
        <f>REPT(AM226,1)</f>
        <v/>
      </c>
      <c r="L226" s="309">
        <f>SUM(BS235)</f>
        <v>0</v>
      </c>
      <c r="M226" s="238"/>
      <c r="N226" s="255" t="str">
        <f>REPT(AP226,1)</f>
        <v/>
      </c>
      <c r="P226" s="309">
        <f>SUM(CF235)</f>
        <v>0</v>
      </c>
      <c r="Q226" s="310"/>
      <c r="R226" s="323" t="str">
        <f>CONCATENATE(BH226,BE226)</f>
        <v>GS</v>
      </c>
      <c r="S226" s="253" t="str">
        <f>REPT(DO226,1)</f>
        <v>1</v>
      </c>
      <c r="T226" s="254" t="str">
        <f>REPT(AV226,1)</f>
        <v/>
      </c>
      <c r="U226" s="168"/>
      <c r="V226" s="168"/>
      <c r="W226" s="168"/>
      <c r="X226" s="169"/>
      <c r="Y226" s="255" t="str">
        <f>REPT(BA226,1)</f>
        <v/>
      </c>
      <c r="Z226" s="308"/>
      <c r="AB226" s="234">
        <f>IF(AY226="",0,IF(AY226&lt;2,1,""))</f>
        <v>0</v>
      </c>
      <c r="AC226" s="238">
        <f>IF(AD226=1,1,IF(AD226=3,1,IF(AD226=2,0,IF(AD226=0,0,0))))</f>
        <v>0</v>
      </c>
      <c r="AD226" s="256">
        <f>SUM(AE226:AG226)</f>
        <v>0</v>
      </c>
      <c r="AE226" s="256">
        <f t="shared" ref="AE226:AE230" si="536">IF(F226="",0,1)</f>
        <v>0</v>
      </c>
      <c r="AF226" s="256">
        <f t="shared" ref="AF226:AF230" si="537">IF(G226="",0,1)</f>
        <v>0</v>
      </c>
      <c r="AG226" s="256">
        <f>IF(H226="",0,1)</f>
        <v>0</v>
      </c>
      <c r="AH226" s="257" t="str">
        <f>IF(AK226="",IF(AI226="","",IF(AI226="",501,501-AI226)),501)</f>
        <v/>
      </c>
      <c r="AI226" s="256" t="str">
        <f>IF(F226&gt;1,F226,IF(F226=0,"",IF(F226="","","")))</f>
        <v/>
      </c>
      <c r="AJ226" s="256" t="str">
        <f>IF(G226&gt;8,G226,IF(G226="","",""))</f>
        <v/>
      </c>
      <c r="AK226" s="256" t="str">
        <f>IF(H226&gt;1,H226,IF(H226="","",""))</f>
        <v/>
      </c>
      <c r="AL226" s="256" t="str">
        <f>IF(I226&gt;0,I226,IF(I226="","",""))</f>
        <v/>
      </c>
      <c r="AM226" s="258" t="str">
        <f>IF(BK226=0,"","X")</f>
        <v/>
      </c>
      <c r="AN226" s="237"/>
      <c r="AO226" s="237"/>
      <c r="AP226" s="258" t="str">
        <f>IF(BM226=0,"","X")</f>
        <v/>
      </c>
      <c r="AQ226" s="236">
        <f>IF(AR226=1,1,IF(AR226=3,1,IF(AR226=2,0,IF(AR226=0,0,0))))</f>
        <v>0</v>
      </c>
      <c r="AR226" s="256">
        <f>SUM(AS226:AU226)</f>
        <v>0</v>
      </c>
      <c r="AS226" s="256">
        <f t="shared" ref="AS226:AS230" si="538">IF(U226="",0,1)</f>
        <v>0</v>
      </c>
      <c r="AT226" s="256">
        <f t="shared" ref="AT226:AT230" si="539">IF(V226="",0,1)</f>
        <v>0</v>
      </c>
      <c r="AU226" s="256">
        <f>IF(W226="",0,1)</f>
        <v>0</v>
      </c>
      <c r="AV226" s="257" t="str">
        <f>IF(AY226="",IF(AW226="","",IF(AW226="",501,501-AW226)),501)</f>
        <v/>
      </c>
      <c r="AW226" s="256" t="str">
        <f>IF(U226&gt;1,U226,IF(U226=0,"",IF(U226="","","")))</f>
        <v/>
      </c>
      <c r="AX226" s="256" t="str">
        <f>IF(V226&gt;8,V226,IF(V226="","",""))</f>
        <v/>
      </c>
      <c r="AY226" s="256" t="str">
        <f>IF(W226&gt;1,W226,IF(W226="","",""))</f>
        <v/>
      </c>
      <c r="AZ226" s="256" t="str">
        <f>IF(X226&gt;0,X226,IF(X226="","",""))</f>
        <v/>
      </c>
      <c r="BA226" s="258" t="str">
        <f>IF(BL226=0,"","X")</f>
        <v/>
      </c>
      <c r="BF226" s="238" t="s">
        <v>894</v>
      </c>
      <c r="BG226" s="238" t="str">
        <f>CONCATENATE(BF226,AK223)</f>
        <v>HS</v>
      </c>
      <c r="BH226" s="238" t="str">
        <f>CONCATENATE(BI226,AK223)</f>
        <v>GS</v>
      </c>
      <c r="BI226" s="238" t="s">
        <v>895</v>
      </c>
      <c r="BJ226" s="238"/>
      <c r="BK226" s="251">
        <f>SUM(DD226,DV226,EY226,ED226,FF226,BQ226,BS226,AC226)</f>
        <v>0</v>
      </c>
      <c r="BL226" s="251">
        <f>SUM(DE226,DW226,EE226,FT226,GA226,BR226,BT226,AQ226)</f>
        <v>0</v>
      </c>
      <c r="BM226" s="259">
        <f>SUM(DC226,BK226:BL226,AC226,AQ226)</f>
        <v>0</v>
      </c>
      <c r="BN226" s="239">
        <f>COUNT(AK226)</f>
        <v>0</v>
      </c>
      <c r="BO226" s="239">
        <f>COUNT(AY226)</f>
        <v>0</v>
      </c>
      <c r="BP226" s="239">
        <f>IF(BN228=0,0,1)</f>
        <v>0</v>
      </c>
      <c r="BQ226" s="260">
        <f>IF(AL226="",0,IF(AL226&gt;2,1,0))</f>
        <v>0</v>
      </c>
      <c r="BR226" s="261">
        <f>IF(AZ226="",0,IF(AZ226&gt;2,1,0))</f>
        <v>0</v>
      </c>
      <c r="BS226" s="262">
        <f>IF(AJ226=9,IF(AK226&lt;141,1,0),0)</f>
        <v>0</v>
      </c>
      <c r="BT226" s="263">
        <f>IF(AX226=9,IF(AY226&lt;141,1,0),0)</f>
        <v>0</v>
      </c>
      <c r="BU226" s="242">
        <f>IF(H226,G226,0)</f>
        <v>0</v>
      </c>
      <c r="BV226" s="238">
        <f>IF(BU226&gt;0,AJ226/3,0)</f>
        <v>0</v>
      </c>
      <c r="BW226" s="238">
        <f>ROUNDUP(BV226,0)</f>
        <v>0</v>
      </c>
      <c r="BX226" s="244">
        <f>IF(MOD(BW226,2)=0,BW226,BW226+1)</f>
        <v>0</v>
      </c>
      <c r="BY226" s="238">
        <f>IF(AJ226&lt;9,"",SUM(BX226-BW226))</f>
        <v>0</v>
      </c>
      <c r="BZ226" s="238">
        <f>IF(BY226=1,AK226,0)</f>
        <v>0</v>
      </c>
      <c r="CA226" s="243" t="str">
        <f>IF(BY226=0,AK226,0)</f>
        <v/>
      </c>
      <c r="CB226" s="238"/>
      <c r="CC226" s="238"/>
      <c r="CD226" s="242">
        <f>IF(W226,V226,0)</f>
        <v>0</v>
      </c>
      <c r="CE226" s="238">
        <f>IF(CD226&gt;0,AX226/3,0)</f>
        <v>0</v>
      </c>
      <c r="CF226" s="238">
        <f>ROUNDUP(CE226,0)</f>
        <v>0</v>
      </c>
      <c r="CG226" s="244">
        <f>IF(MOD(CF226,2)=0,CF226,CF226+1)</f>
        <v>0</v>
      </c>
      <c r="CH226" s="238">
        <f>IF(AX226&lt;9,"",SUM(CG226-CF226))</f>
        <v>0</v>
      </c>
      <c r="CI226" s="238">
        <f>IF(CH226=1,AY226,0)</f>
        <v>0</v>
      </c>
      <c r="CJ226" s="243" t="str">
        <f>IF(CH226=0,AY226,0)</f>
        <v/>
      </c>
      <c r="CK226" s="238"/>
      <c r="CL226" s="245">
        <f>IF(COUNT(F226,H226)=1,0,1)</f>
        <v>1</v>
      </c>
      <c r="CM226" s="245">
        <f>IF(COUNT(F226,U226)=1,0,1)</f>
        <v>1</v>
      </c>
      <c r="CN226" s="245">
        <f>IF(COUNT(H226,W226)=1,0,1)</f>
        <v>1</v>
      </c>
      <c r="CO226" s="245">
        <f>IF(COUNT(G226,V226)=2,0,1)</f>
        <v>1</v>
      </c>
      <c r="CP226" s="245">
        <f>IF(COUNT(U226,W226)=1,0,1)</f>
        <v>1</v>
      </c>
      <c r="CQ226" s="245">
        <f>IF(SUM(G226-V226)&gt;3,1,0)</f>
        <v>0</v>
      </c>
      <c r="CR226" s="245">
        <f>IF(SUM(G226-V226)&lt;-3,1,0)</f>
        <v>0</v>
      </c>
      <c r="CS226" s="264">
        <f>IF(AJ226=9,IF(AH226&lt;141,1,0),IF(AH226="",0,IF(AH226&gt;1,0,1)))</f>
        <v>0</v>
      </c>
      <c r="CT226" s="264">
        <f>IF(AX226=9,IF(AV226&lt;141,1,0),IF(AV226="",0,IF(AV226&gt;1,0,1)))</f>
        <v>0</v>
      </c>
      <c r="CU226" s="264">
        <f>IF(AI226="",0,IF(AI226&lt;502,0,1))</f>
        <v>0</v>
      </c>
      <c r="CV226" s="264">
        <f>IF(AW226="",0,IF(AW226&lt;502,0,1))</f>
        <v>0</v>
      </c>
      <c r="CW226" s="264">
        <f>IF(AI226="",IF(AJ226&lt;9,1,0),IF(AJ226&lt;9,1,0))</f>
        <v>0</v>
      </c>
      <c r="CX226" s="264">
        <f>IF(AW226="",IF(AX226&lt;9,1,0),IF(AX226&lt;9,1,0))</f>
        <v>0</v>
      </c>
      <c r="CY226" s="374"/>
      <c r="CZ226" s="374"/>
      <c r="DA226" s="374"/>
      <c r="DB226" s="374"/>
      <c r="DC226" s="265">
        <f>IF(AJ226="",0,SUM(CL226:CX226))</f>
        <v>0</v>
      </c>
      <c r="DD226" s="265">
        <f>IF(AJ226="",0,SUM(CL226,CS226,CU226,CW226))</f>
        <v>0</v>
      </c>
      <c r="DE226" s="265">
        <f>IF(AJ226="",0,SUM(CP226,CT226,CV226,CX226))</f>
        <v>0</v>
      </c>
      <c r="DF226" s="238"/>
      <c r="DG226" s="248" t="str">
        <f>IF(G226="","",SUM(G226-V226))</f>
        <v/>
      </c>
      <c r="DH226" s="245">
        <f>IF(F226="",0,1)</f>
        <v>0</v>
      </c>
      <c r="DI226" s="245" t="str">
        <f>IF(DG226=0,DH226,DG226)</f>
        <v/>
      </c>
      <c r="DJ226" s="245" t="e">
        <f>SIGN(DI226)</f>
        <v>#VALUE!</v>
      </c>
      <c r="DK226" s="245" t="str">
        <f>IF(G226="","",IF(DJ226=1,"*",""))</f>
        <v/>
      </c>
      <c r="DL226" s="245" t="str">
        <f>IF(G226="","",IF(DJ226=-1,"*",IF(DJ226=0,"*","")))</f>
        <v/>
      </c>
      <c r="DM226" s="245">
        <v>1</v>
      </c>
      <c r="DN226" s="245" t="str">
        <f>CONCATENATE(DM226,DK226)</f>
        <v>1</v>
      </c>
      <c r="DO226" s="245" t="str">
        <f>CONCATENATE(DM226,DL226)</f>
        <v>1</v>
      </c>
      <c r="DP226" s="245">
        <f>IF(DK226="*",1,0)</f>
        <v>0</v>
      </c>
      <c r="DQ226" s="245">
        <f>IF(DL226="*",1,0)</f>
        <v>0</v>
      </c>
      <c r="DR226" s="245"/>
      <c r="DS226" s="245"/>
      <c r="DT226" s="245"/>
      <c r="DU226" s="245"/>
      <c r="DV226" s="266"/>
      <c r="DW226" s="266"/>
      <c r="DX226" s="238">
        <f>IF(AK226="",0,1)</f>
        <v>0</v>
      </c>
      <c r="DY226" s="238">
        <f>IF(DG226=-3,1,0)</f>
        <v>0</v>
      </c>
      <c r="DZ226" s="238">
        <f>SUM(DX226:DY226)</f>
        <v>0</v>
      </c>
      <c r="EA226" s="238">
        <f>IF(AK226="",1,0)</f>
        <v>1</v>
      </c>
      <c r="EB226" s="238">
        <f>IF(DG226=3,1,0)</f>
        <v>0</v>
      </c>
      <c r="EC226" s="238">
        <f>SUM(EA226:EB226)</f>
        <v>1</v>
      </c>
      <c r="ED226" s="267">
        <f>IF(EC226=2,1,0)</f>
        <v>0</v>
      </c>
      <c r="EE226" s="267">
        <f>IF(DZ226=2,1,0)</f>
        <v>0</v>
      </c>
      <c r="EG226" s="166"/>
      <c r="EH226" s="238"/>
      <c r="EI226" s="238"/>
      <c r="EJ226" s="238"/>
      <c r="EK226" s="238"/>
      <c r="EL226" s="238"/>
      <c r="EM226" s="245">
        <f>IF(AK226="",0,1)</f>
        <v>0</v>
      </c>
      <c r="EN226" s="245">
        <f>SUM(AK226)</f>
        <v>0</v>
      </c>
      <c r="EO226" s="268">
        <f>SUM(AJ226)</f>
        <v>0</v>
      </c>
      <c r="EP226" s="268">
        <f>SUM(G226/3)</f>
        <v>0</v>
      </c>
      <c r="EQ226" s="268" t="e">
        <f>SUM(EO226/EP226)</f>
        <v>#DIV/0!</v>
      </c>
      <c r="ER226" s="268">
        <f>ROUNDDOWN(EP226,0)</f>
        <v>0</v>
      </c>
      <c r="ES226" s="268">
        <f>SUM(EO226,-ER226*3)</f>
        <v>0</v>
      </c>
      <c r="ET226" s="269" t="b">
        <f>MOD(EN226/1,2)=0</f>
        <v>1</v>
      </c>
      <c r="EU226" s="245">
        <f>IF(ET226=FALSE,1,0)</f>
        <v>0</v>
      </c>
      <c r="EV226" s="245">
        <f>IF(EN226=50,0,IF(EN226&lt;40,1,0))</f>
        <v>1</v>
      </c>
      <c r="EW226" s="245">
        <f>SUM(EU226:EV226)</f>
        <v>1</v>
      </c>
      <c r="EX226" s="267">
        <f>IF(EN226=1,1,IF(EN226=50,0,IF(ES226=1,IF(EN226&gt;40,1,0),0)))</f>
        <v>0</v>
      </c>
      <c r="EY226" s="267">
        <f>IF(ES226=1,IF(EW226=2,1,0),0)+EX226+FB226+FE226</f>
        <v>0</v>
      </c>
      <c r="EZ226" s="245">
        <f>IF(EN226=109,1,IF(EN226=108,1,IF(EN226=106,1,IF(EN226=105,1,IF(EN226=103,1,IF(EN226=102,1,IF(EN226=99,1,0)))))))</f>
        <v>0</v>
      </c>
      <c r="FA226" s="245">
        <f>IF(EN226&gt;110,1,0)</f>
        <v>0</v>
      </c>
      <c r="FB226" s="267">
        <f>IF(ES226=2,SUM(EZ226:FA226),0)</f>
        <v>0</v>
      </c>
      <c r="FC226" s="245">
        <f>IF(EN226=159,1,IF(EN226=162,1,IF(EN226=163,1,IF(EN226=165,1,IF(EN226=166,1,IF(EN226=168,1,IF(EN226=169,1,0)))))))</f>
        <v>0</v>
      </c>
      <c r="FD226" s="245">
        <f>IF(EN226&gt;170,1,0)</f>
        <v>0</v>
      </c>
      <c r="FE226" s="267">
        <f>IF(ES226=0,SUM(FC226:FD226),0)</f>
        <v>0</v>
      </c>
      <c r="FF226" s="251">
        <f>IF(AJ226="",0,IF(AI226="",0,IF(EO226/ER226-3=0,0,1)))</f>
        <v>0</v>
      </c>
      <c r="FG226" s="238"/>
      <c r="FH226" s="245">
        <f>IF(AY226="",0,1)</f>
        <v>0</v>
      </c>
      <c r="FI226" s="245">
        <f>SUM(AY226)</f>
        <v>0</v>
      </c>
      <c r="FJ226" s="268">
        <f>SUM(AX226)</f>
        <v>0</v>
      </c>
      <c r="FK226" s="268">
        <f>SUM(V226/3)</f>
        <v>0</v>
      </c>
      <c r="FL226" s="268" t="e">
        <f>SUM(FJ226/FK226)</f>
        <v>#DIV/0!</v>
      </c>
      <c r="FM226" s="268">
        <f>ROUNDDOWN(FK226,0)</f>
        <v>0</v>
      </c>
      <c r="FN226" s="268">
        <f>SUM(FJ226,-FM226*3)</f>
        <v>0</v>
      </c>
      <c r="FO226" s="269" t="b">
        <f>MOD(FI226/1,2)=0</f>
        <v>1</v>
      </c>
      <c r="FP226" s="245">
        <f>IF(FO226=FALSE,1,0)</f>
        <v>0</v>
      </c>
      <c r="FQ226" s="245">
        <f>IF(FI226=50,0,IF(FI226&lt;40,1,0))</f>
        <v>1</v>
      </c>
      <c r="FR226" s="245">
        <f>SUM(FP226:FQ226)</f>
        <v>1</v>
      </c>
      <c r="FS226" s="267">
        <f>IF(FI226=1,1,IF(FI226=50,0,IF(FN226=1,IF(FI226&gt;40,1,0),0)))</f>
        <v>0</v>
      </c>
      <c r="FT226" s="267">
        <f>IF(FN226=1,IF(FR226=2,1,0),0)+FS226+FW226+FZ226</f>
        <v>0</v>
      </c>
      <c r="FU226" s="245">
        <f>IF(FI226=109,1,IF(FI226=108,1,IF(FI226=106,1,IF(FI226=105,1,IF(FI226=103,1,IF(FI226=102,1,IF(FI226=99,1,0)))))))</f>
        <v>0</v>
      </c>
      <c r="FV226" s="245">
        <f>IF(FI226&gt;110,1,0)</f>
        <v>0</v>
      </c>
      <c r="FW226" s="267">
        <f>IF(FN226=2,SUM(FU226:FV226),0)</f>
        <v>0</v>
      </c>
      <c r="FX226" s="245">
        <f>IF(FI226=159,1,IF(FI226=162,1,IF(FI226=163,1,IF(FI226=165,1,IF(FI226=166,1,IF(FI226=168,1,IF(FI226=169,1,0)))))))</f>
        <v>0</v>
      </c>
      <c r="FY226" s="245">
        <f>IF(FI226&gt;170,1,0)</f>
        <v>0</v>
      </c>
      <c r="FZ226" s="267">
        <f>IF(FN226=0,SUM(FX226:FY226),0)</f>
        <v>0</v>
      </c>
      <c r="GA226" s="251">
        <f>IF(AX226="",0,IF(AW226="",0,IF(FJ226/FM226-3=0,0,1)))</f>
        <v>0</v>
      </c>
      <c r="GD226" s="341">
        <f>IF(AK223="D",1,0)</f>
        <v>0</v>
      </c>
      <c r="GE226" s="343"/>
      <c r="GF226" s="343" t="s">
        <v>866</v>
      </c>
      <c r="GG226" s="343" t="s">
        <v>868</v>
      </c>
      <c r="GH226" s="343" t="s">
        <v>848</v>
      </c>
      <c r="GI226" s="343">
        <v>180</v>
      </c>
      <c r="GJ226" s="343" t="s">
        <v>866</v>
      </c>
      <c r="GK226" s="343" t="s">
        <v>868</v>
      </c>
      <c r="GL226" s="343" t="s">
        <v>848</v>
      </c>
      <c r="GM226" s="343">
        <v>180</v>
      </c>
      <c r="GN226" s="343" t="s">
        <v>866</v>
      </c>
      <c r="GO226" s="343" t="s">
        <v>868</v>
      </c>
      <c r="GP226" s="343" t="s">
        <v>848</v>
      </c>
      <c r="GQ226" s="343">
        <v>180</v>
      </c>
      <c r="GR226" s="343" t="s">
        <v>866</v>
      </c>
      <c r="GS226" s="343" t="s">
        <v>868</v>
      </c>
      <c r="GT226" s="343" t="s">
        <v>848</v>
      </c>
      <c r="GU226" s="343">
        <v>180</v>
      </c>
      <c r="GV226" s="343" t="s">
        <v>866</v>
      </c>
      <c r="GW226" s="343" t="s">
        <v>868</v>
      </c>
      <c r="GX226" s="343" t="s">
        <v>848</v>
      </c>
      <c r="GY226" s="343">
        <v>180</v>
      </c>
      <c r="GZ226" s="343" t="s">
        <v>866</v>
      </c>
      <c r="HA226" s="343" t="s">
        <v>868</v>
      </c>
      <c r="HB226" s="343" t="s">
        <v>848</v>
      </c>
      <c r="HC226" s="343">
        <v>180</v>
      </c>
      <c r="HD226" s="343" t="s">
        <v>866</v>
      </c>
      <c r="HE226" s="343" t="s">
        <v>868</v>
      </c>
      <c r="HF226" s="341" t="s">
        <v>975</v>
      </c>
      <c r="HG226" s="341" t="s">
        <v>976</v>
      </c>
      <c r="HH226" s="341" t="s">
        <v>899</v>
      </c>
      <c r="HJ226" s="238"/>
      <c r="HK226" s="238"/>
      <c r="HL226" s="238"/>
      <c r="HM226" s="238">
        <f>COUNT(HI227,HJ227,HK227,HL227,HM227)</f>
        <v>0</v>
      </c>
      <c r="HN226" s="341"/>
      <c r="HO226" s="341"/>
      <c r="HP226" s="341"/>
      <c r="HQ226" s="341"/>
      <c r="HR226" s="341"/>
      <c r="HS226" s="238"/>
      <c r="HT226" s="238"/>
      <c r="HU226" s="238"/>
      <c r="HV226" s="238"/>
      <c r="HX226" s="238"/>
      <c r="HY226" s="238"/>
      <c r="ID226" s="238"/>
    </row>
    <row r="227" spans="1:238" s="234" customFormat="1" ht="20.100000000000001" customHeight="1">
      <c r="A227" s="235"/>
      <c r="B227" s="231">
        <f>COUNT(AJ228,AJ227)</f>
        <v>0</v>
      </c>
      <c r="C227" s="326">
        <f>IF(DK226="*",AJ223,AI223)</f>
        <v>2.4</v>
      </c>
      <c r="D227" s="253" t="str">
        <f>REPT(DN227,1)</f>
        <v>2</v>
      </c>
      <c r="E227" s="254" t="str">
        <f>REPT(AH227,1)</f>
        <v/>
      </c>
      <c r="F227" s="168"/>
      <c r="G227" s="168"/>
      <c r="H227" s="168"/>
      <c r="I227" s="169"/>
      <c r="J227" s="270" t="str">
        <f>REPT(AM227,1)</f>
        <v/>
      </c>
      <c r="L227" s="306" t="s">
        <v>922</v>
      </c>
      <c r="M227" s="311"/>
      <c r="N227" s="270" t="str">
        <f>REPT(AP227,1)</f>
        <v/>
      </c>
      <c r="P227" s="306" t="s">
        <v>922</v>
      </c>
      <c r="Q227" s="310"/>
      <c r="R227" s="324">
        <f>IF(DL226="*",AJ223,AI223)</f>
        <v>2.4</v>
      </c>
      <c r="S227" s="253" t="str">
        <f>REPT(DO227,1)</f>
        <v>2</v>
      </c>
      <c r="T227" s="254" t="str">
        <f>REPT(AV227,1)</f>
        <v/>
      </c>
      <c r="U227" s="168"/>
      <c r="V227" s="168"/>
      <c r="W227" s="168"/>
      <c r="X227" s="169"/>
      <c r="Y227" s="270" t="str">
        <f t="shared" ref="Y227:Y229" si="540">REPT(BA227,1)</f>
        <v/>
      </c>
      <c r="Z227" s="308"/>
      <c r="AB227" s="234">
        <f>IF(AY227="",0,IF(AY227&lt;2,1,""))</f>
        <v>0</v>
      </c>
      <c r="AC227" s="238">
        <f t="shared" ref="AC227:AC228" si="541">IF(AD227=1,1,IF(AD227=3,1,IF(AD227=2,0,IF(AD227=0,0,0))))</f>
        <v>0</v>
      </c>
      <c r="AD227" s="256">
        <f t="shared" ref="AD227:AD230" si="542">SUM(AE227:AG227)</f>
        <v>0</v>
      </c>
      <c r="AE227" s="256">
        <f t="shared" si="536"/>
        <v>0</v>
      </c>
      <c r="AF227" s="256">
        <f t="shared" si="537"/>
        <v>0</v>
      </c>
      <c r="AG227" s="256">
        <f t="shared" ref="AG227:AG230" si="543">IF(H227="",0,1)</f>
        <v>0</v>
      </c>
      <c r="AH227" s="257" t="str">
        <f>IF(AK227="",IF(AI227="","",IF(AI227="",501,501-AI227)),501)</f>
        <v/>
      </c>
      <c r="AI227" s="256" t="str">
        <f>IF(F227&gt;1,F227,IF(F227=0,"",IF(F227="","","")))</f>
        <v/>
      </c>
      <c r="AJ227" s="256" t="str">
        <f>IF(G227&gt;8,G227,IF(G227="","",""))</f>
        <v/>
      </c>
      <c r="AK227" s="256" t="str">
        <f>IF(H227&gt;1,H227,IF(H227="","",""))</f>
        <v/>
      </c>
      <c r="AL227" s="256" t="str">
        <f>IF(I227&gt;0,I227,IF(I227="","",""))</f>
        <v/>
      </c>
      <c r="AM227" s="258" t="str">
        <f>IF(BK227=0,"","X")</f>
        <v/>
      </c>
      <c r="AN227" s="237"/>
      <c r="AO227" s="237"/>
      <c r="AP227" s="258" t="str">
        <f>IF(BM227=0,"","X")</f>
        <v/>
      </c>
      <c r="AQ227" s="236">
        <f t="shared" ref="AQ227:AQ228" si="544">IF(AR227=1,1,IF(AR227=3,1,IF(AR227=2,0,IF(AR227=0,0,0))))</f>
        <v>0</v>
      </c>
      <c r="AR227" s="256">
        <f t="shared" ref="AR227:AR230" si="545">SUM(AS227:AU227)</f>
        <v>0</v>
      </c>
      <c r="AS227" s="256">
        <f t="shared" si="538"/>
        <v>0</v>
      </c>
      <c r="AT227" s="256">
        <f t="shared" si="539"/>
        <v>0</v>
      </c>
      <c r="AU227" s="256">
        <f t="shared" ref="AU227:AU230" si="546">IF(W227="",0,1)</f>
        <v>0</v>
      </c>
      <c r="AV227" s="257" t="str">
        <f>IF(AY227="",IF(AW227="","",IF(AW227="",501,501-AW227)),501)</f>
        <v/>
      </c>
      <c r="AW227" s="256" t="str">
        <f>IF(U227&gt;1,U227,IF(U227=0,"",IF(U227="","","")))</f>
        <v/>
      </c>
      <c r="AX227" s="256" t="str">
        <f>IF(V227&gt;8,V227,IF(V227="","",""))</f>
        <v/>
      </c>
      <c r="AY227" s="256" t="str">
        <f>IF(W227&gt;1,W227,IF(W227="","",""))</f>
        <v/>
      </c>
      <c r="AZ227" s="256" t="str">
        <f>IF(X227&gt;0,X227,IF(X227="","",""))</f>
        <v/>
      </c>
      <c r="BA227" s="258" t="str">
        <f>IF(BL227=0,"","X")</f>
        <v/>
      </c>
      <c r="BK227" s="251">
        <f>SUM(DD227,DV227,EY227,ED227,FF227,BQ227,BS227,AC227)</f>
        <v>0</v>
      </c>
      <c r="BL227" s="251">
        <f>SUM(DE227,DW227,EE227,FT227,GA227,BR227,BT227,AQ227)</f>
        <v>0</v>
      </c>
      <c r="BM227" s="259">
        <f t="shared" ref="BM227:BM228" si="547">SUM(DC227,BK227:BL227,AC227,AQ227)</f>
        <v>0</v>
      </c>
      <c r="BN227" s="239">
        <f>COUNT(AK227)</f>
        <v>0</v>
      </c>
      <c r="BO227" s="239">
        <f>COUNT(AY227)</f>
        <v>0</v>
      </c>
      <c r="BP227" s="239">
        <f>IF(BN229=0,0,1)</f>
        <v>0</v>
      </c>
      <c r="BQ227" s="260">
        <f>IF(AL227="",0,IF(AL227&gt;2,1,0))</f>
        <v>0</v>
      </c>
      <c r="BR227" s="261">
        <f>IF(AZ227="",0,IF(AZ227&gt;2,1,0))</f>
        <v>0</v>
      </c>
      <c r="BS227" s="262">
        <f>IF(AJ227=9,IF(AK227&lt;141,1,0),0)</f>
        <v>0</v>
      </c>
      <c r="BT227" s="263">
        <f>IF(AX227=9,IF(AY227&lt;141,1,0),0)</f>
        <v>0</v>
      </c>
      <c r="BU227" s="242">
        <f>IF(H227,G227,0)</f>
        <v>0</v>
      </c>
      <c r="BV227" s="238">
        <f>IF(BU227&gt;0,AJ227/3,0)</f>
        <v>0</v>
      </c>
      <c r="BW227" s="238">
        <f>ROUNDUP(BV227,0)</f>
        <v>0</v>
      </c>
      <c r="BX227" s="244">
        <f>IF(MOD(BW227,2)=0,BW227,BW227+1)</f>
        <v>0</v>
      </c>
      <c r="BY227" s="238">
        <f>IF(AJ227&lt;9,"",SUM(BX227-BW227))</f>
        <v>0</v>
      </c>
      <c r="BZ227" s="238">
        <f>IF(BY227=1,AK227,0)</f>
        <v>0</v>
      </c>
      <c r="CA227" s="243" t="str">
        <f>IF(BY227=0,AK227,0)</f>
        <v/>
      </c>
      <c r="CB227" s="238"/>
      <c r="CC227" s="238"/>
      <c r="CD227" s="242">
        <f>IF(W227,V227,0)</f>
        <v>0</v>
      </c>
      <c r="CE227" s="238">
        <f>IF(CD227&gt;0,AX227/3,0)</f>
        <v>0</v>
      </c>
      <c r="CF227" s="238">
        <f>ROUNDUP(CE227,0)</f>
        <v>0</v>
      </c>
      <c r="CG227" s="244">
        <f>IF(MOD(CF227,2)=0,CF227,CF227+1)</f>
        <v>0</v>
      </c>
      <c r="CH227" s="238">
        <f>IF(AX227&lt;9,"",SUM(CG227-CF227))</f>
        <v>0</v>
      </c>
      <c r="CI227" s="238">
        <f>IF(CH227=1,AY227,0)</f>
        <v>0</v>
      </c>
      <c r="CJ227" s="243" t="str">
        <f>IF(CH227=0,AY227,0)</f>
        <v/>
      </c>
      <c r="CK227" s="238"/>
      <c r="CL227" s="245">
        <f>IF(COUNT(F227,H227)=1,0,1)</f>
        <v>1</v>
      </c>
      <c r="CM227" s="245">
        <f>IF(COUNT(F227,U227)=1,0,1)</f>
        <v>1</v>
      </c>
      <c r="CN227" s="245">
        <f>IF(COUNT(H227,W227)=1,0,1)</f>
        <v>1</v>
      </c>
      <c r="CO227" s="245">
        <f>IF(COUNT(G227,V227)=2,0,1)</f>
        <v>1</v>
      </c>
      <c r="CP227" s="245">
        <f>IF(COUNT(U227,W227)=1,0,1)</f>
        <v>1</v>
      </c>
      <c r="CQ227" s="245">
        <f>IF(SUM(G227-V227)&gt;3,1,0)</f>
        <v>0</v>
      </c>
      <c r="CR227" s="245">
        <f>IF(SUM(G227-V227)&lt;-3,1,0)</f>
        <v>0</v>
      </c>
      <c r="CS227" s="264">
        <f>IF(AJ227=9,IF(AH227&lt;141,1,0),IF(AH227="",0,IF(AH227&gt;1,0,1)))</f>
        <v>0</v>
      </c>
      <c r="CT227" s="264">
        <f>IF(AX227=9,IF(AV227&lt;141,1,0),IF(AV227="",0,IF(AV227&gt;1,0,1)))</f>
        <v>0</v>
      </c>
      <c r="CU227" s="264">
        <f>IF(AI227="",0,IF(AI227&lt;502,0,1))</f>
        <v>0</v>
      </c>
      <c r="CV227" s="264">
        <f>IF(AW227="",0,IF(AW227&lt;502,0,1))</f>
        <v>0</v>
      </c>
      <c r="CW227" s="264">
        <f>IF(AI227="",IF(AJ227&lt;9,1,0),IF(AJ227&lt;9,1,0))</f>
        <v>0</v>
      </c>
      <c r="CX227" s="264">
        <f>IF(AW227="",IF(AX227&lt;9,1,0),IF(AX227&lt;9,1,0))</f>
        <v>0</v>
      </c>
      <c r="CY227" s="374"/>
      <c r="CZ227" s="374"/>
      <c r="DA227" s="374"/>
      <c r="DB227" s="374"/>
      <c r="DC227" s="265">
        <f>IF(AJ227="",0,SUM(CL227:CX227))</f>
        <v>0</v>
      </c>
      <c r="DD227" s="265">
        <f>IF(AJ227="",0,SUM(CL227,CS227,CU227,CW227))</f>
        <v>0</v>
      </c>
      <c r="DE227" s="265">
        <f>IF(AJ227="",0,SUM(CP227,CT227,CV227,CX227))</f>
        <v>0</v>
      </c>
      <c r="DF227" s="238"/>
      <c r="DG227" s="248">
        <f>SUM(G227-V227)</f>
        <v>0</v>
      </c>
      <c r="DH227" s="245">
        <f>IF(F227="",0,1)</f>
        <v>0</v>
      </c>
      <c r="DI227" s="245">
        <f t="shared" ref="DI227:DI230" si="548">IF(DG227=0,DH227,DG227)</f>
        <v>0</v>
      </c>
      <c r="DJ227" s="245">
        <f t="shared" ref="DJ227:DJ230" si="549">SIGN(DI227)</f>
        <v>0</v>
      </c>
      <c r="DK227" s="245" t="str">
        <f>IF(G227="","",IF(DJ227=1,"*",""))</f>
        <v/>
      </c>
      <c r="DL227" s="245" t="str">
        <f>IF(G227="","",IF(DJ227=-1,"*",IF(DJ227=0,"*","")))</f>
        <v/>
      </c>
      <c r="DM227" s="245">
        <v>2</v>
      </c>
      <c r="DN227" s="245" t="str">
        <f t="shared" ref="DN227:DN230" si="550">CONCATENATE(DM227,DK227)</f>
        <v>2</v>
      </c>
      <c r="DO227" s="245" t="str">
        <f t="shared" ref="DO227:DO230" si="551">CONCATENATE(DM227,DL227)</f>
        <v>2</v>
      </c>
      <c r="DP227" s="245">
        <f>SUM(DQ226)</f>
        <v>0</v>
      </c>
      <c r="DQ227" s="245">
        <f>SUM(DP226)</f>
        <v>0</v>
      </c>
      <c r="DR227" s="245">
        <f>IF(DK227="*",1,0)</f>
        <v>0</v>
      </c>
      <c r="DS227" s="245">
        <f>IF(DL227="*",1,0)</f>
        <v>0</v>
      </c>
      <c r="DT227" s="245">
        <f>IF(H217="",0,IF(DP227=DR227,1,0))</f>
        <v>0</v>
      </c>
      <c r="DU227" s="245">
        <f>IF(V227="",0,IF(DQ227=DS227,0,1))</f>
        <v>0</v>
      </c>
      <c r="DV227" s="267">
        <f>SUM(DT227)</f>
        <v>0</v>
      </c>
      <c r="DW227" s="267">
        <f>IF(V227="",0,SUM(DU227))</f>
        <v>0</v>
      </c>
      <c r="DX227" s="238">
        <f>IF(AK227="",0,1)</f>
        <v>0</v>
      </c>
      <c r="DY227" s="238">
        <f>IF(DG227=-3,1,0)</f>
        <v>0</v>
      </c>
      <c r="DZ227" s="238">
        <f>SUM(DX227:DY227)</f>
        <v>0</v>
      </c>
      <c r="EA227" s="238">
        <f>IF(AK227="",1,0)</f>
        <v>1</v>
      </c>
      <c r="EB227" s="238">
        <f>IF(DG227=3,1,0)</f>
        <v>0</v>
      </c>
      <c r="EC227" s="238">
        <f>SUM(EA227:EB227)</f>
        <v>1</v>
      </c>
      <c r="ED227" s="267">
        <f>IF(EC227=2,1,0)</f>
        <v>0</v>
      </c>
      <c r="EE227" s="267">
        <f>IF(DZ227=2,1,0)</f>
        <v>0</v>
      </c>
      <c r="EG227" s="166"/>
      <c r="EH227" s="238"/>
      <c r="EI227" s="238"/>
      <c r="EJ227" s="238"/>
      <c r="EK227" s="238"/>
      <c r="EL227" s="238"/>
      <c r="EM227" s="245">
        <f>IF(AK227="",0,1)</f>
        <v>0</v>
      </c>
      <c r="EN227" s="245">
        <f>SUM(AK227)</f>
        <v>0</v>
      </c>
      <c r="EO227" s="268">
        <f>SUM(AJ227)</f>
        <v>0</v>
      </c>
      <c r="EP227" s="268">
        <f>SUM(G227/3)</f>
        <v>0</v>
      </c>
      <c r="EQ227" s="268" t="e">
        <f>SUM(EO227/EP227)</f>
        <v>#DIV/0!</v>
      </c>
      <c r="ER227" s="268">
        <f>ROUNDDOWN(EP227,0)</f>
        <v>0</v>
      </c>
      <c r="ES227" s="268">
        <f>SUM(EO227,-ER227*3)</f>
        <v>0</v>
      </c>
      <c r="ET227" s="269" t="b">
        <f>MOD(EN227/1,2)=0</f>
        <v>1</v>
      </c>
      <c r="EU227" s="245">
        <f>IF(ET227=FALSE,1,0)</f>
        <v>0</v>
      </c>
      <c r="EV227" s="245">
        <f>IF(EN227=50,0,IF(EN227&lt;40,1,0))</f>
        <v>1</v>
      </c>
      <c r="EW227" s="245">
        <f>SUM(EU227:EV227)</f>
        <v>1</v>
      </c>
      <c r="EX227" s="267">
        <f>IF(EN227=1,1,IF(EN227=50,0,IF(ES227=1,IF(EN227&gt;40,1,0),0)))</f>
        <v>0</v>
      </c>
      <c r="EY227" s="267">
        <f>IF(ES227=1,IF(EW227=2,1,0),0)+EX227+FB227+FE227</f>
        <v>0</v>
      </c>
      <c r="EZ227" s="245">
        <f>IF(EN227=109,1,IF(EN227=108,1,IF(EN227=106,1,IF(EN227=105,1,IF(EN227=103,1,IF(EN227=102,1,IF(EN227=99,1,0)))))))</f>
        <v>0</v>
      </c>
      <c r="FA227" s="245">
        <f>IF(EN227&gt;110,1,0)</f>
        <v>0</v>
      </c>
      <c r="FB227" s="267">
        <f>IF(ES227=2,SUM(EZ227:FA227),0)</f>
        <v>0</v>
      </c>
      <c r="FC227" s="245">
        <f>IF(EN227=159,1,IF(EN227=162,1,IF(EN227=163,1,IF(EN227=165,1,IF(EN227=166,1,IF(EN227=168,1,IF(EN227=169,1,0)))))))</f>
        <v>0</v>
      </c>
      <c r="FD227" s="245">
        <f>IF(EN227&gt;170,1,0)</f>
        <v>0</v>
      </c>
      <c r="FE227" s="267">
        <f>IF(ES227=0,SUM(FC227:FD227),0)</f>
        <v>0</v>
      </c>
      <c r="FF227" s="251">
        <f t="shared" ref="FF227:FF230" si="552">IF(AJ227="",0,IF(AI227="",0,IF(EO227/ER227-3=0,0,1)))</f>
        <v>0</v>
      </c>
      <c r="FG227" s="238"/>
      <c r="FH227" s="245">
        <f>IF(AY227="",0,1)</f>
        <v>0</v>
      </c>
      <c r="FI227" s="245">
        <f>SUM(AY227)</f>
        <v>0</v>
      </c>
      <c r="FJ227" s="268">
        <f>SUM(AX227)</f>
        <v>0</v>
      </c>
      <c r="FK227" s="268">
        <f>SUM(V227/3)</f>
        <v>0</v>
      </c>
      <c r="FL227" s="268" t="e">
        <f>SUM(FJ227/FK227)</f>
        <v>#DIV/0!</v>
      </c>
      <c r="FM227" s="268">
        <f>ROUNDDOWN(FK227,0)</f>
        <v>0</v>
      </c>
      <c r="FN227" s="268">
        <f>SUM(FJ227,-FM227*3)</f>
        <v>0</v>
      </c>
      <c r="FO227" s="269" t="b">
        <f>MOD(FI227/1,2)=0</f>
        <v>1</v>
      </c>
      <c r="FP227" s="245">
        <f>IF(FO227=FALSE,1,0)</f>
        <v>0</v>
      </c>
      <c r="FQ227" s="245">
        <f>IF(FI227=50,0,IF(FI227&lt;40,1,0))</f>
        <v>1</v>
      </c>
      <c r="FR227" s="245">
        <f>SUM(FP227:FQ227)</f>
        <v>1</v>
      </c>
      <c r="FS227" s="267">
        <f>IF(FI227=1,1,IF(FI227=50,0,IF(FN227=1,IF(FI227&gt;40,1,0),0)))</f>
        <v>0</v>
      </c>
      <c r="FT227" s="267">
        <f>IF(FN227=1,IF(FR227=2,1,0),0)+FS227+FW227+FZ227</f>
        <v>0</v>
      </c>
      <c r="FU227" s="245">
        <f>IF(FI227=109,1,IF(FI227=108,1,IF(FI227=106,1,IF(FI227=105,1,IF(FI227=103,1,IF(FI227=102,1,IF(FI227=99,1,0)))))))</f>
        <v>0</v>
      </c>
      <c r="FV227" s="245">
        <f>IF(FI227&gt;110,1,0)</f>
        <v>0</v>
      </c>
      <c r="FW227" s="267">
        <f>IF(FN227=2,SUM(FU227:FV227),0)</f>
        <v>0</v>
      </c>
      <c r="FX227" s="245">
        <f>IF(FI227=159,1,IF(FI227=162,1,IF(FI227=163,1,IF(FI227=165,1,IF(FI227=166,1,IF(FI227=168,1,IF(FI227=169,1,0)))))))</f>
        <v>0</v>
      </c>
      <c r="FY227" s="245">
        <f>IF(FI227&gt;170,1,0)</f>
        <v>0</v>
      </c>
      <c r="FZ227" s="267">
        <f>IF(FN227=0,SUM(FX227:FY227),0)</f>
        <v>0</v>
      </c>
      <c r="GA227" s="251">
        <f t="shared" ref="GA227:GA230" si="553">IF(AX227="",0,IF(AW227="",0,IF(FJ227/FM227-3=0,0,1)))</f>
        <v>0</v>
      </c>
      <c r="GC227" s="238" t="str">
        <f>VLOOKUP(AH223,Chema!BL:BR,2,FALSE)</f>
        <v>HS 2.4</v>
      </c>
      <c r="GD227" s="341">
        <f>IF(E233="FORFAIT",1,0)</f>
        <v>0</v>
      </c>
      <c r="GE227" s="343" t="str">
        <f>IF(C233="","",SUM(C233))</f>
        <v/>
      </c>
      <c r="GF227" s="344">
        <f>SUM(AH226)</f>
        <v>0</v>
      </c>
      <c r="GG227" s="344">
        <f>SUM(AJ226)</f>
        <v>0</v>
      </c>
      <c r="GH227" s="344">
        <f t="shared" ref="GH227" si="554">SUM(AK226)</f>
        <v>0</v>
      </c>
      <c r="GI227" s="344">
        <f t="shared" ref="GI227" si="555">SUM(AL226)</f>
        <v>0</v>
      </c>
      <c r="GJ227" s="344">
        <f>SUM(AH227)</f>
        <v>0</v>
      </c>
      <c r="GK227" s="344">
        <f>SUM(AJ227)</f>
        <v>0</v>
      </c>
      <c r="GL227" s="344">
        <f>SUM(AK227)</f>
        <v>0</v>
      </c>
      <c r="GM227" s="344">
        <f>SUM(AL227)</f>
        <v>0</v>
      </c>
      <c r="GN227" s="344">
        <f>SUM(AH228)</f>
        <v>0</v>
      </c>
      <c r="GO227" s="344">
        <f>SUM(AJ228)</f>
        <v>0</v>
      </c>
      <c r="GP227" s="344">
        <f>SUM(AK228)</f>
        <v>0</v>
      </c>
      <c r="GQ227" s="344">
        <f>SUM(AL228)</f>
        <v>0</v>
      </c>
      <c r="GR227" s="344">
        <f>SUM(AH229)</f>
        <v>0</v>
      </c>
      <c r="GS227" s="344">
        <f>SUM(AJ229)</f>
        <v>0</v>
      </c>
      <c r="GT227" s="344">
        <f>SUM(AK229)</f>
        <v>0</v>
      </c>
      <c r="GU227" s="344">
        <f>SUM(AL229)</f>
        <v>0</v>
      </c>
      <c r="GV227" s="344">
        <f>SUM(AH230)</f>
        <v>0</v>
      </c>
      <c r="GW227" s="344">
        <f>SUM(AJ230)</f>
        <v>0</v>
      </c>
      <c r="GX227" s="344">
        <f>SUM(AK230)</f>
        <v>0</v>
      </c>
      <c r="GY227" s="344">
        <f>SUM(AL230)</f>
        <v>0</v>
      </c>
      <c r="GZ227" s="344">
        <f>SUM(GF227,GJ227,GN227,GR227,GV227)</f>
        <v>0</v>
      </c>
      <c r="HA227" s="344">
        <f t="shared" ref="HA227" si="556">SUM(GG227,GK227,GO227,GS227,GW227)</f>
        <v>0</v>
      </c>
      <c r="HB227" s="344">
        <f>IF(GD226=1,L233,MAX(GH227,GL227,GP227,GT227,GX227))</f>
        <v>0</v>
      </c>
      <c r="HC227" s="344">
        <f>IF(GD226=1,I233,SUM(GI227,GM227,GQ227,GU227,GY227))</f>
        <v>0</v>
      </c>
      <c r="HD227" s="345">
        <f>IF(GD226=1,0,SUM(GF227,GJ227,GN227,GR227,GV227))</f>
        <v>0</v>
      </c>
      <c r="HE227" s="345">
        <f>IF(GD226=1,0,SUM(GG227,GK227,GO227,GS227,GW227))</f>
        <v>0</v>
      </c>
      <c r="HF227" s="341">
        <f>IF(GD226=1,0,MIN(HI227,HJ227,HK227,HL227,HM227))</f>
        <v>0</v>
      </c>
      <c r="HG227" s="341">
        <f>IF(HF227=0,0,COUNTIF(HI227:HM227,HF227))</f>
        <v>0</v>
      </c>
      <c r="HH227" s="341">
        <f>SUM(GH228,GL228,GP228,GT228,GX228)</f>
        <v>0</v>
      </c>
      <c r="HI227" s="343" t="str">
        <f>IF(GH228=1,GG227,"")</f>
        <v/>
      </c>
      <c r="HJ227" s="343" t="str">
        <f>IF(GL228=1,GK227,"")</f>
        <v/>
      </c>
      <c r="HK227" s="343" t="str">
        <f>IF(GP228=1,GO227,"")</f>
        <v/>
      </c>
      <c r="HL227" s="343" t="str">
        <f>IF(GT228=1,GS227,"")</f>
        <v/>
      </c>
      <c r="HM227" s="343" t="str">
        <f>IF(GX228=1,GW227,"")</f>
        <v/>
      </c>
      <c r="HN227" s="341"/>
      <c r="HO227" s="341" t="s">
        <v>928</v>
      </c>
      <c r="HP227" s="341" t="s">
        <v>982</v>
      </c>
      <c r="HQ227" s="341" t="s">
        <v>983</v>
      </c>
      <c r="HR227" s="341" t="s">
        <v>984</v>
      </c>
      <c r="HS227" s="238" t="s">
        <v>932</v>
      </c>
      <c r="HT227" s="238" t="s">
        <v>933</v>
      </c>
      <c r="HU227" s="238" t="s">
        <v>985</v>
      </c>
      <c r="HV227" s="238" t="s">
        <v>986</v>
      </c>
      <c r="HW227" s="238" t="str">
        <f>IFERROR(IF(GD226=0,SUM(HZ228:IA228),""),"")</f>
        <v/>
      </c>
      <c r="HY227" s="238"/>
      <c r="HZ227" s="238" t="s">
        <v>1132</v>
      </c>
      <c r="IA227" s="238" t="s">
        <v>1133</v>
      </c>
      <c r="IB227" s="238" t="s">
        <v>1132</v>
      </c>
      <c r="IC227" s="238" t="s">
        <v>1133</v>
      </c>
      <c r="ID227" s="238"/>
    </row>
    <row r="228" spans="1:238" s="234" customFormat="1" ht="20.100000000000001" customHeight="1">
      <c r="A228" s="235"/>
      <c r="B228" s="231">
        <f>COUNT(AJ229,AJ228)</f>
        <v>0</v>
      </c>
      <c r="C228" s="235"/>
      <c r="D228" s="271" t="str">
        <f>REPT(DN228,1)</f>
        <v>3</v>
      </c>
      <c r="E228" s="254" t="str">
        <f>REPT(AH228,1)</f>
        <v/>
      </c>
      <c r="F228" s="168"/>
      <c r="G228" s="168"/>
      <c r="H228" s="168"/>
      <c r="I228" s="169"/>
      <c r="J228" s="270" t="str">
        <f t="shared" ref="J228:J229" si="557">REPT(AM228,1)</f>
        <v/>
      </c>
      <c r="L228" s="312">
        <f>SUM(L226*3)</f>
        <v>0</v>
      </c>
      <c r="M228" s="307"/>
      <c r="N228" s="270" t="str">
        <f>REPT(AP228,1)</f>
        <v/>
      </c>
      <c r="P228" s="312">
        <f>SUM(P226*3)</f>
        <v>0</v>
      </c>
      <c r="Q228" s="310"/>
      <c r="R228" s="235"/>
      <c r="S228" s="271" t="str">
        <f>REPT(DO228,1)</f>
        <v>3</v>
      </c>
      <c r="T228" s="254" t="str">
        <f>REPT(AV228,1)</f>
        <v/>
      </c>
      <c r="U228" s="168"/>
      <c r="V228" s="168"/>
      <c r="W228" s="168"/>
      <c r="X228" s="169"/>
      <c r="Y228" s="270" t="str">
        <f t="shared" si="540"/>
        <v/>
      </c>
      <c r="Z228" s="308"/>
      <c r="AB228" s="234">
        <f>IF(AY228="",0,IF(AY228&lt;2,1,""))</f>
        <v>0</v>
      </c>
      <c r="AC228" s="238">
        <f t="shared" si="541"/>
        <v>0</v>
      </c>
      <c r="AD228" s="256">
        <f t="shared" si="542"/>
        <v>0</v>
      </c>
      <c r="AE228" s="256">
        <f t="shared" si="536"/>
        <v>0</v>
      </c>
      <c r="AF228" s="256">
        <f t="shared" si="537"/>
        <v>0</v>
      </c>
      <c r="AG228" s="256">
        <f t="shared" si="543"/>
        <v>0</v>
      </c>
      <c r="AH228" s="257" t="str">
        <f>IF(AK228="",IF(AI228="","",IF(AI228="",501,501-AI228)),501)</f>
        <v/>
      </c>
      <c r="AI228" s="256" t="str">
        <f>IF(F228&gt;1,F228,IF(F228=0,"",IF(F228="","","")))</f>
        <v/>
      </c>
      <c r="AJ228" s="256" t="str">
        <f>IF(G228&gt;8,G228,IF(G228="","",""))</f>
        <v/>
      </c>
      <c r="AK228" s="256" t="str">
        <f>IF(H228&gt;1,H228,IF(H228="","",""))</f>
        <v/>
      </c>
      <c r="AL228" s="256" t="str">
        <f>IF(I228&gt;0,I228,IF(I228="","",""))</f>
        <v/>
      </c>
      <c r="AM228" s="258" t="str">
        <f>IF(BK228=0,"","X")</f>
        <v/>
      </c>
      <c r="AN228" s="237"/>
      <c r="AO228" s="237"/>
      <c r="AP228" s="258" t="str">
        <f>IF(BM228=0,"","X")</f>
        <v/>
      </c>
      <c r="AQ228" s="236">
        <f t="shared" si="544"/>
        <v>0</v>
      </c>
      <c r="AR228" s="256">
        <f t="shared" si="545"/>
        <v>0</v>
      </c>
      <c r="AS228" s="256">
        <f t="shared" si="538"/>
        <v>0</v>
      </c>
      <c r="AT228" s="256">
        <f t="shared" si="539"/>
        <v>0</v>
      </c>
      <c r="AU228" s="256">
        <f t="shared" si="546"/>
        <v>0</v>
      </c>
      <c r="AV228" s="257" t="str">
        <f>IF(AY228="",IF(AW228="","",IF(AW228="",501,501-AW228)),501)</f>
        <v/>
      </c>
      <c r="AW228" s="256" t="str">
        <f>IF(U228&gt;1,U228,IF(U228=0,"",IF(U228="","","")))</f>
        <v/>
      </c>
      <c r="AX228" s="256" t="str">
        <f>IF(V228&gt;8,V228,IF(V228="","",""))</f>
        <v/>
      </c>
      <c r="AY228" s="256" t="str">
        <f>IF(W228&gt;1,W228,IF(W228="","",""))</f>
        <v/>
      </c>
      <c r="AZ228" s="256" t="str">
        <f>IF(X228&gt;0,X228,IF(X228="","",""))</f>
        <v/>
      </c>
      <c r="BA228" s="258" t="str">
        <f>IF(BL228=0,"","X")</f>
        <v/>
      </c>
      <c r="BK228" s="251">
        <f>SUM(DD228,DV228,EY228,ED228,FF228,BQ228,BS228,AC228,BK235)</f>
        <v>0</v>
      </c>
      <c r="BL228" s="251">
        <f>SUM(DE228,DW228,EE228,FT228,GA228,BR228,BT228,AQ228,BL235,CZ228)</f>
        <v>0</v>
      </c>
      <c r="BM228" s="259">
        <f t="shared" si="547"/>
        <v>0</v>
      </c>
      <c r="BN228" s="239">
        <f>COUNT(AK228)</f>
        <v>0</v>
      </c>
      <c r="BO228" s="239">
        <f>COUNT(AY228)</f>
        <v>0</v>
      </c>
      <c r="BP228" s="239">
        <f>IF(BN230=0,0,1)</f>
        <v>0</v>
      </c>
      <c r="BQ228" s="260">
        <f>IF(AL228="",0,IF(AL228&gt;2,1,0))</f>
        <v>0</v>
      </c>
      <c r="BR228" s="261">
        <f>IF(AZ228="",0,IF(AZ228&gt;2,1,0))</f>
        <v>0</v>
      </c>
      <c r="BS228" s="262">
        <f>IF(AJ228=9,IF(AK228&lt;141,1,0),0)</f>
        <v>0</v>
      </c>
      <c r="BT228" s="263">
        <f>IF(AX228=9,IF(AY228&lt;141,1,0),0)</f>
        <v>0</v>
      </c>
      <c r="BU228" s="242">
        <f>IF(H228,G228,0)</f>
        <v>0</v>
      </c>
      <c r="BV228" s="238">
        <f>IF(BU228&gt;0,AJ228/3,0)</f>
        <v>0</v>
      </c>
      <c r="BW228" s="238">
        <f>ROUNDUP(BV228,0)</f>
        <v>0</v>
      </c>
      <c r="BX228" s="244">
        <f>IF(MOD(BW228,2)=0,BW228,BW228+1)</f>
        <v>0</v>
      </c>
      <c r="BY228" s="238">
        <f>IF(AJ228&lt;9,"",SUM(BX228-BW228))</f>
        <v>0</v>
      </c>
      <c r="BZ228" s="238">
        <f>IF(BY228=1,AK228,0)</f>
        <v>0</v>
      </c>
      <c r="CA228" s="243" t="str">
        <f>IF(BY228=0,AK228,0)</f>
        <v/>
      </c>
      <c r="CB228" s="238"/>
      <c r="CC228" s="238"/>
      <c r="CD228" s="242">
        <f>IF(W228,V228,0)</f>
        <v>0</v>
      </c>
      <c r="CE228" s="238">
        <f>IF(CD228&gt;0,AX228/3,0)</f>
        <v>0</v>
      </c>
      <c r="CF228" s="238">
        <f>ROUNDUP(CE228,0)</f>
        <v>0</v>
      </c>
      <c r="CG228" s="244">
        <f>IF(MOD(CF228,2)=0,CF228,CF228+1)</f>
        <v>0</v>
      </c>
      <c r="CH228" s="238">
        <f>IF(AX228&lt;9,"",SUM(CG228-CF228))</f>
        <v>0</v>
      </c>
      <c r="CI228" s="238">
        <f>IF(CH228=1,AY228,0)</f>
        <v>0</v>
      </c>
      <c r="CJ228" s="243" t="str">
        <f>IF(CH228=0,AY228,0)</f>
        <v/>
      </c>
      <c r="CK228" s="238"/>
      <c r="CL228" s="245">
        <f>IF(COUNT(F228,H228)=1,0,1)</f>
        <v>1</v>
      </c>
      <c r="CM228" s="245">
        <f>IF(COUNT(F228,U228)=1,0,1)</f>
        <v>1</v>
      </c>
      <c r="CN228" s="245">
        <f>IF(COUNT(H228,W228)=1,0,1)</f>
        <v>1</v>
      </c>
      <c r="CO228" s="245">
        <f>IF(COUNT(G228,V228)=2,0,1)</f>
        <v>1</v>
      </c>
      <c r="CP228" s="245">
        <f>IF(COUNT(U228,W228)=1,0,1)</f>
        <v>1</v>
      </c>
      <c r="CQ228" s="245">
        <f>IF(SUM(G228-V228)&gt;3,1,0)</f>
        <v>0</v>
      </c>
      <c r="CR228" s="245">
        <f>IF(SUM(G228-V228)&lt;-3,1,0)</f>
        <v>0</v>
      </c>
      <c r="CS228" s="264">
        <f>IF(AJ228=9,IF(AH228&lt;141,1,0),IF(AH228="",0,IF(AH228&gt;1,0,1)))</f>
        <v>0</v>
      </c>
      <c r="CT228" s="264">
        <f>IF(AX228=9,IF(AV228&lt;141,1,0),IF(AV228="",0,IF(AV228&gt;1,0,1)))</f>
        <v>0</v>
      </c>
      <c r="CU228" s="264">
        <f>IF(AI228="",0,IF(AI228&lt;502,0,1))</f>
        <v>0</v>
      </c>
      <c r="CV228" s="264">
        <f>IF(AW228="",0,IF(AW228&lt;502,0,1))</f>
        <v>0</v>
      </c>
      <c r="CW228" s="264">
        <f>IF(AI228="",IF(AJ228&lt;9,1,0),IF(AJ228&lt;9,1,0))</f>
        <v>0</v>
      </c>
      <c r="CX228" s="264">
        <f>IF(AW228="",IF(AX228&lt;9,1,0),IF(AX228&lt;9,1,0))</f>
        <v>0</v>
      </c>
      <c r="CY228" s="374">
        <f>COUNT(U226,U227,U228)</f>
        <v>0</v>
      </c>
      <c r="CZ228" s="375">
        <f>IF(AL223=3,IF(CY228&gt;2,1,0),0)</f>
        <v>0</v>
      </c>
      <c r="DA228" s="374"/>
      <c r="DB228" s="374"/>
      <c r="DC228" s="265">
        <f>IF(AJ228="",0,SUM(CL228:CX228))</f>
        <v>0</v>
      </c>
      <c r="DD228" s="265">
        <f>IF(AJ228="",0,SUM(CL228,CS228,CU228,CW228))</f>
        <v>0</v>
      </c>
      <c r="DE228" s="265">
        <f>IF(AJ228="",0,SUM(CP228,CT228,CV228,CX228))</f>
        <v>0</v>
      </c>
      <c r="DF228" s="238"/>
      <c r="DG228" s="248">
        <f>SUM(G228-V228)</f>
        <v>0</v>
      </c>
      <c r="DH228" s="245">
        <f>IF(F228="",0,1)</f>
        <v>0</v>
      </c>
      <c r="DI228" s="245">
        <f t="shared" si="548"/>
        <v>0</v>
      </c>
      <c r="DJ228" s="245">
        <f t="shared" si="549"/>
        <v>0</v>
      </c>
      <c r="DK228" s="245" t="str">
        <f>IF(G228="","",IF(DJ228=1,"*",""))</f>
        <v/>
      </c>
      <c r="DL228" s="245" t="str">
        <f>IF(G228="","",IF(DJ228=-1,"*",IF(DJ228=0,"*","")))</f>
        <v/>
      </c>
      <c r="DM228" s="245">
        <v>3</v>
      </c>
      <c r="DN228" s="245" t="str">
        <f t="shared" si="550"/>
        <v>3</v>
      </c>
      <c r="DO228" s="245" t="str">
        <f t="shared" si="551"/>
        <v>3</v>
      </c>
      <c r="DP228" s="245">
        <f>SUM(DP226)</f>
        <v>0</v>
      </c>
      <c r="DQ228" s="245">
        <f>SUM(DQ226)</f>
        <v>0</v>
      </c>
      <c r="DR228" s="245">
        <f t="shared" ref="DR228:DR230" si="558">IF(DK228="*",1,0)</f>
        <v>0</v>
      </c>
      <c r="DS228" s="245">
        <f t="shared" ref="DS228:DS230" si="559">IF(DL228="*",1,0)</f>
        <v>0</v>
      </c>
      <c r="DT228" s="245">
        <f t="shared" ref="DT228:DT230" si="560">IF(H218="",0,IF(DP228=DR228,1,0))</f>
        <v>0</v>
      </c>
      <c r="DU228" s="245">
        <f>IF(V228="",0,IF(DQ228=DS228,0,1))</f>
        <v>0</v>
      </c>
      <c r="DV228" s="267">
        <f t="shared" ref="DV228:DV230" si="561">SUM(DT228)</f>
        <v>0</v>
      </c>
      <c r="DW228" s="267">
        <f>IF(V228="",0,SUM(DU228))</f>
        <v>0</v>
      </c>
      <c r="DX228" s="238">
        <f>IF(AK228="",0,1)</f>
        <v>0</v>
      </c>
      <c r="DY228" s="238">
        <f>IF(DG228=-3,1,0)</f>
        <v>0</v>
      </c>
      <c r="DZ228" s="238">
        <f>SUM(DX228:DY228)</f>
        <v>0</v>
      </c>
      <c r="EA228" s="238">
        <f>IF(AK228="",1,0)</f>
        <v>1</v>
      </c>
      <c r="EB228" s="238">
        <f>IF(DG228=3,1,0)</f>
        <v>0</v>
      </c>
      <c r="EC228" s="238">
        <f>SUM(EA228:EB228)</f>
        <v>1</v>
      </c>
      <c r="ED228" s="267">
        <f>IF(EC228=2,1,0)</f>
        <v>0</v>
      </c>
      <c r="EE228" s="267">
        <f>IF(DZ228=2,1,0)</f>
        <v>0</v>
      </c>
      <c r="EG228" s="166"/>
      <c r="EH228" s="238"/>
      <c r="EI228" s="238"/>
      <c r="EJ228" s="238"/>
      <c r="EK228" s="238"/>
      <c r="EL228" s="238"/>
      <c r="EM228" s="245">
        <f>IF(AK228="",0,1)</f>
        <v>0</v>
      </c>
      <c r="EN228" s="245">
        <f>SUM(AK228)</f>
        <v>0</v>
      </c>
      <c r="EO228" s="268">
        <f>SUM(AJ228)</f>
        <v>0</v>
      </c>
      <c r="EP228" s="268">
        <f>SUM(G228/3)</f>
        <v>0</v>
      </c>
      <c r="EQ228" s="268" t="e">
        <f>SUM(EO228/EP228)</f>
        <v>#DIV/0!</v>
      </c>
      <c r="ER228" s="268">
        <f>ROUNDDOWN(EP228,0)</f>
        <v>0</v>
      </c>
      <c r="ES228" s="268">
        <f>SUM(EO228,-ER228*3)</f>
        <v>0</v>
      </c>
      <c r="ET228" s="269" t="b">
        <f>MOD(EN228/1,2)=0</f>
        <v>1</v>
      </c>
      <c r="EU228" s="245">
        <f>IF(ET228=FALSE,1,0)</f>
        <v>0</v>
      </c>
      <c r="EV228" s="245">
        <f>IF(EN228=50,0,IF(EN228&lt;40,1,0))</f>
        <v>1</v>
      </c>
      <c r="EW228" s="245">
        <f>SUM(EU228:EV228)</f>
        <v>1</v>
      </c>
      <c r="EX228" s="267">
        <f>IF(EN228=1,1,IF(EN228=50,0,IF(ES228=1,IF(EN228&gt;40,1,0),0)))</f>
        <v>0</v>
      </c>
      <c r="EY228" s="267">
        <f>IF(ES228=1,IF(EW228=2,1,0),0)+EX228+FB228+FE228</f>
        <v>0</v>
      </c>
      <c r="EZ228" s="245">
        <f>IF(EN228=109,1,IF(EN228=108,1,IF(EN228=106,1,IF(EN228=105,1,IF(EN228=103,1,IF(EN228=102,1,IF(EN228=99,1,0)))))))</f>
        <v>0</v>
      </c>
      <c r="FA228" s="245">
        <f>IF(EN228&gt;110,1,0)</f>
        <v>0</v>
      </c>
      <c r="FB228" s="267">
        <f>IF(ES228=2,SUM(EZ228:FA228),0)</f>
        <v>0</v>
      </c>
      <c r="FC228" s="245">
        <f>IF(EN228=159,1,IF(EN228=162,1,IF(EN228=163,1,IF(EN228=165,1,IF(EN228=166,1,IF(EN228=168,1,IF(EN228=169,1,0)))))))</f>
        <v>0</v>
      </c>
      <c r="FD228" s="245">
        <f>IF(EN228&gt;170,1,0)</f>
        <v>0</v>
      </c>
      <c r="FE228" s="267">
        <f>IF(ES228=0,SUM(FC228:FD228),0)</f>
        <v>0</v>
      </c>
      <c r="FF228" s="251">
        <f t="shared" si="552"/>
        <v>0</v>
      </c>
      <c r="FG228" s="238"/>
      <c r="FH228" s="245">
        <f>IF(AY228="",0,1)</f>
        <v>0</v>
      </c>
      <c r="FI228" s="245">
        <f>SUM(AY228)</f>
        <v>0</v>
      </c>
      <c r="FJ228" s="268">
        <f>SUM(AX228)</f>
        <v>0</v>
      </c>
      <c r="FK228" s="268">
        <f>SUM(V228/3)</f>
        <v>0</v>
      </c>
      <c r="FL228" s="268" t="e">
        <f>SUM(FJ228/FK228)</f>
        <v>#DIV/0!</v>
      </c>
      <c r="FM228" s="268">
        <f>ROUNDDOWN(FK228,0)</f>
        <v>0</v>
      </c>
      <c r="FN228" s="268">
        <f>SUM(FJ228,-FM228*3)</f>
        <v>0</v>
      </c>
      <c r="FO228" s="269" t="b">
        <f>MOD(FI228/1,2)=0</f>
        <v>1</v>
      </c>
      <c r="FP228" s="245">
        <f>IF(FO228=FALSE,1,0)</f>
        <v>0</v>
      </c>
      <c r="FQ228" s="245">
        <f>IF(FI228=50,0,IF(FI228&lt;40,1,0))</f>
        <v>1</v>
      </c>
      <c r="FR228" s="245">
        <f>SUM(FP228:FQ228)</f>
        <v>1</v>
      </c>
      <c r="FS228" s="267">
        <f>IF(FI228=1,1,IF(FI228=50,0,IF(FN228=1,IF(FI228&gt;40,1,0),0)))</f>
        <v>0</v>
      </c>
      <c r="FT228" s="267">
        <f>IF(FN228=1,IF(FR228=2,1,0),0)+FS228+FW228+FZ228</f>
        <v>0</v>
      </c>
      <c r="FU228" s="245">
        <f>IF(FI228=109,1,IF(FI228=108,1,IF(FI228=106,1,IF(FI228=105,1,IF(FI228=103,1,IF(FI228=102,1,IF(FI228=99,1,0)))))))</f>
        <v>0</v>
      </c>
      <c r="FV228" s="245">
        <f>IF(FI228&gt;110,1,0)</f>
        <v>0</v>
      </c>
      <c r="FW228" s="267">
        <f>IF(FN228=2,SUM(FU228:FV228),0)</f>
        <v>0</v>
      </c>
      <c r="FX228" s="245">
        <f>IF(FI228=159,1,IF(FI228=162,1,IF(FI228=163,1,IF(FI228=165,1,IF(FI228=166,1,IF(FI228=168,1,IF(FI228=169,1,0)))))))</f>
        <v>0</v>
      </c>
      <c r="FY228" s="245">
        <f>IF(FI228&gt;170,1,0)</f>
        <v>0</v>
      </c>
      <c r="FZ228" s="267">
        <f>IF(FN228=0,SUM(FX228:FY228),0)</f>
        <v>0</v>
      </c>
      <c r="GA228" s="251">
        <f t="shared" si="553"/>
        <v>0</v>
      </c>
      <c r="GC228" s="238" t="str">
        <f>VLOOKUP(AH223,Chema!BL:BR,3,FALSE)</f>
        <v/>
      </c>
      <c r="GD228" s="341"/>
      <c r="GE228" s="343" t="str">
        <f>IF(C234="","",SUM(C234))</f>
        <v/>
      </c>
      <c r="GF228" s="346"/>
      <c r="GG228" s="340"/>
      <c r="GH228" s="343">
        <f>IF(GH227&gt;0,1,0)</f>
        <v>0</v>
      </c>
      <c r="GI228" s="346"/>
      <c r="GJ228" s="343"/>
      <c r="GK228" s="340"/>
      <c r="GL228" s="343">
        <f>IF(GL227&gt;0,1,0)</f>
        <v>0</v>
      </c>
      <c r="GM228" s="343"/>
      <c r="GN228" s="343"/>
      <c r="GO228" s="340"/>
      <c r="GP228" s="343">
        <f>IF(GP227&gt;0,1,0)</f>
        <v>0</v>
      </c>
      <c r="GQ228" s="343"/>
      <c r="GR228" s="343"/>
      <c r="GS228" s="340"/>
      <c r="GT228" s="343">
        <f>IF(GT227&gt;0,1,0)</f>
        <v>0</v>
      </c>
      <c r="GU228" s="343"/>
      <c r="GV228" s="343"/>
      <c r="GW228" s="340"/>
      <c r="GX228" s="343">
        <f>IF(GX227&gt;0,1,0)</f>
        <v>0</v>
      </c>
      <c r="GY228" s="343"/>
      <c r="GZ228" s="343"/>
      <c r="HA228" s="343"/>
      <c r="HB228" s="343" t="str">
        <f>IF(GD226=1,L234,"")</f>
        <v/>
      </c>
      <c r="HC228" s="343" t="str">
        <f>IF(GD226=1,I234,"")</f>
        <v/>
      </c>
      <c r="HD228" s="345"/>
      <c r="HE228" s="340"/>
      <c r="HF228" s="340"/>
      <c r="HG228" s="347">
        <f>IF(GE227="",0,IF(AL223=3,2,IF(AL223=5,3,0)))</f>
        <v>0</v>
      </c>
      <c r="HH228" s="347">
        <f>IF(HK228=0,0,IF(HG230=0,0,1))</f>
        <v>0</v>
      </c>
      <c r="HI228" s="340"/>
      <c r="HJ228" s="340"/>
      <c r="HK228" s="340">
        <f>SUM(HM226,HM230)</f>
        <v>0</v>
      </c>
      <c r="HL228" s="340">
        <f>IF(HK228=0,0,IF(HM226=HG228,1,0))</f>
        <v>0</v>
      </c>
      <c r="HM228" s="340">
        <f>IF(HK228=0,0,IF(HM230=HG228,1,0))</f>
        <v>0</v>
      </c>
      <c r="HN228" s="341" t="str">
        <f>REPT(N223,1)</f>
        <v>Spiel 16</v>
      </c>
      <c r="HO228" s="348" t="str">
        <f>IF(HK228=0,"",IF(HH228=0,SUM(HH227),""))</f>
        <v/>
      </c>
      <c r="HP228" s="348" t="str">
        <f>IF(HK228=0,"",IF(HH228=0,SUM(HH229),""))</f>
        <v/>
      </c>
      <c r="HQ228" s="348" t="e">
        <f>IF(HH228=0,SUM(GZ227/HA227),"")</f>
        <v>#DIV/0!</v>
      </c>
      <c r="HR228" s="348" t="e">
        <f>IF(HH228=0,SUM(GZ229/HA229),"")</f>
        <v>#DIV/0!</v>
      </c>
      <c r="HS228" s="238" t="str">
        <f>REPT(DK226,1)</f>
        <v/>
      </c>
      <c r="HT228" s="238" t="str">
        <f>REPT(DL226,1)</f>
        <v/>
      </c>
      <c r="HU228" s="238">
        <f>IF(HH228=0,HL228,"")</f>
        <v>0</v>
      </c>
      <c r="HV228" s="238">
        <f>IF(HH228=0,HM228,"")</f>
        <v>0</v>
      </c>
      <c r="HW228" s="238" t="s">
        <v>1131</v>
      </c>
      <c r="HY228" s="238"/>
      <c r="HZ228" s="238" t="e">
        <f>IF(AL223=5,IF(HU228=1,SUM(HO228*2-HP228),HO228+HP228-2),"")</f>
        <v>#VALUE!</v>
      </c>
      <c r="IA228" s="238" t="str">
        <f>IF(AL223=3,IF(HU228=1,SUM(HO228-HP228+3),HO228+HP228-1),"")</f>
        <v/>
      </c>
      <c r="IB228" s="238" t="e">
        <f>IF(AL223=5,IF(HV228=1,SUM(HP228*2-HO228),HO228+HP228-2),"")</f>
        <v>#VALUE!</v>
      </c>
      <c r="IC228" s="238" t="str">
        <f>IF(AL223=3,IF(HV228=1,SUM(HP228-HO228+3),HO228+HP228-1),"")</f>
        <v/>
      </c>
      <c r="ID228" s="238">
        <f>SUM(BM232)</f>
        <v>0</v>
      </c>
    </row>
    <row r="229" spans="1:238" s="234" customFormat="1" ht="20.100000000000001" customHeight="1">
      <c r="A229" s="235"/>
      <c r="B229" s="231">
        <f>COUNT(AJ230,AJ229)</f>
        <v>0</v>
      </c>
      <c r="C229" s="235"/>
      <c r="D229" s="328" t="str">
        <f>REPT(DN229,1)</f>
        <v>4</v>
      </c>
      <c r="E229" s="329" t="str">
        <f>REPT(AH229,1)</f>
        <v/>
      </c>
      <c r="F229" s="330"/>
      <c r="G229" s="330"/>
      <c r="H229" s="330"/>
      <c r="I229" s="331"/>
      <c r="J229" s="270" t="str">
        <f t="shared" si="557"/>
        <v/>
      </c>
      <c r="M229" s="311"/>
      <c r="N229" s="270" t="str">
        <f>REPT(AP229,1)</f>
        <v/>
      </c>
      <c r="Q229" s="310"/>
      <c r="R229" s="235"/>
      <c r="S229" s="328" t="str">
        <f>REPT(DO229,1)</f>
        <v>4</v>
      </c>
      <c r="T229" s="329" t="str">
        <f>REPT(AV229,1)</f>
        <v/>
      </c>
      <c r="U229" s="330"/>
      <c r="V229" s="330"/>
      <c r="W229" s="330"/>
      <c r="X229" s="331"/>
      <c r="Y229" s="270" t="str">
        <f t="shared" si="540"/>
        <v/>
      </c>
      <c r="Z229" s="308"/>
      <c r="AA229" s="238">
        <f>SUM(AL223)</f>
        <v>5</v>
      </c>
      <c r="AB229" s="234">
        <f>IF(AY229="",0,IF(AY229&lt;2,1,""))</f>
        <v>0</v>
      </c>
      <c r="AC229" s="238">
        <f>IF(AL223=3,0,IF(AD229=1,1,IF(AD229=3,1,IF(AD229=2,0,IF(AD229=0,0,0)))))</f>
        <v>0</v>
      </c>
      <c r="AD229" s="256">
        <f t="shared" si="542"/>
        <v>0</v>
      </c>
      <c r="AE229" s="256">
        <f t="shared" si="536"/>
        <v>0</v>
      </c>
      <c r="AF229" s="256">
        <f t="shared" si="537"/>
        <v>0</v>
      </c>
      <c r="AG229" s="256">
        <f t="shared" si="543"/>
        <v>0</v>
      </c>
      <c r="AH229" s="257" t="str">
        <f>IF(AL223=3,"",IF(AK229="",IF(AI229="","",IF(AI229="",501,501-AI229)),501))</f>
        <v/>
      </c>
      <c r="AI229" s="256" t="str">
        <f>IF(AL223=3,"",IF(F229&gt;1,F229,IF(F229=0,"",IF(F229="","",""))))</f>
        <v/>
      </c>
      <c r="AJ229" s="256" t="str">
        <f>IF(AL223=3,"",IF(G229&gt;8,G229,IF(G229="","","")))</f>
        <v/>
      </c>
      <c r="AK229" s="256" t="str">
        <f>IF(AL223=3,"",IF(H229&gt;1,H229,IF(H229="","","")))</f>
        <v/>
      </c>
      <c r="AL229" s="256" t="str">
        <f>IF(AL223=3,"",IF(I229&gt;0,I229,IF(I229="","","")))</f>
        <v/>
      </c>
      <c r="AM229" s="258" t="str">
        <f>IF(BK229=0,"","X")</f>
        <v/>
      </c>
      <c r="AN229" s="237"/>
      <c r="AO229" s="237"/>
      <c r="AP229" s="258" t="str">
        <f>IF(BM229=0,"","X")</f>
        <v/>
      </c>
      <c r="AQ229" s="236">
        <f>IF(AL223=3,0,IF(AR229=1,1,IF(AR229=3,1,IF(AR229=2,0,IF(AR229=0,0,0)))))</f>
        <v>0</v>
      </c>
      <c r="AR229" s="256">
        <f t="shared" si="545"/>
        <v>0</v>
      </c>
      <c r="AS229" s="256">
        <f t="shared" si="538"/>
        <v>0</v>
      </c>
      <c r="AT229" s="256">
        <f t="shared" si="539"/>
        <v>0</v>
      </c>
      <c r="AU229" s="256">
        <f t="shared" si="546"/>
        <v>0</v>
      </c>
      <c r="AV229" s="257" t="str">
        <f>IF(AY229="",IF(AW229="","",IF(AW229="",501,501-AW229)),501)</f>
        <v/>
      </c>
      <c r="AW229" s="256" t="str">
        <f>IF(AL223=3,"",IF(U229&gt;1,U229,IF(U229=0,"",IF(U229="","",""))))</f>
        <v/>
      </c>
      <c r="AX229" s="256" t="str">
        <f>IF(AL223=3,"",IF(V229&gt;8,V229,IF(V229="","","")))</f>
        <v/>
      </c>
      <c r="AY229" s="256" t="str">
        <f>IF(AL223=3,"",IF(W229&gt;1,W229,IF(W229="","","")))</f>
        <v/>
      </c>
      <c r="AZ229" s="256" t="str">
        <f>IF(AL223=3,"",IF(X229&gt;0,X229,IF(X229="","","")))</f>
        <v/>
      </c>
      <c r="BA229" s="258" t="str">
        <f>IF(BL229=0,"","X")</f>
        <v/>
      </c>
      <c r="BK229" s="251">
        <f>IF(AL223=3,0,SUM(DD229,DV229,EY229,ED229,FF229,BQ229,BS229,AC229))</f>
        <v>0</v>
      </c>
      <c r="BL229" s="251">
        <f>IF(AL223=3,0,SUM(DE229,DW229,EE229,FT229,GA229,BR229,BT229,AQ229))</f>
        <v>0</v>
      </c>
      <c r="BM229" s="259">
        <f>IF(AL223=3,0,SUM(DC229,BK229:BL229,AC229,AQ229))</f>
        <v>0</v>
      </c>
      <c r="BN229" s="239">
        <f>COUNT(AK229)</f>
        <v>0</v>
      </c>
      <c r="BO229" s="239">
        <f>COUNT(AY229)</f>
        <v>0</v>
      </c>
      <c r="BP229" s="239">
        <f>IF(BZ231=0,0,1)</f>
        <v>0</v>
      </c>
      <c r="BQ229" s="260">
        <f>IF(AL229="",0,IF(AL229&gt;2,1,0))</f>
        <v>0</v>
      </c>
      <c r="BR229" s="261">
        <f>IF(AZ229="",0,IF(AZ229&gt;2,1,0))</f>
        <v>0</v>
      </c>
      <c r="BS229" s="262">
        <f>IF(AJ229=9,IF(AK229&lt;141,1,0),0)</f>
        <v>0</v>
      </c>
      <c r="BT229" s="263">
        <f>IF(AX229=9,IF(AY229&lt;141,1,0),0)</f>
        <v>0</v>
      </c>
      <c r="BU229" s="242">
        <f>IF(AL223=3,0,IF(H229,G229,0))</f>
        <v>0</v>
      </c>
      <c r="BV229" s="238">
        <f>IF(BU229&gt;0,AJ229/3,0)</f>
        <v>0</v>
      </c>
      <c r="BW229" s="238">
        <f>ROUNDUP(BV229,0)</f>
        <v>0</v>
      </c>
      <c r="BX229" s="244">
        <f>IF(MOD(BW229,2)=0,BW229,BW229+1)</f>
        <v>0</v>
      </c>
      <c r="BY229" s="238">
        <f>IF(AJ229&lt;9,"",SUM(BX229-BW229))</f>
        <v>0</v>
      </c>
      <c r="BZ229" s="238">
        <f>IF(BY229=1,AK229,0)</f>
        <v>0</v>
      </c>
      <c r="CA229" s="243" t="str">
        <f>IF(BY229=0,AK229,0)</f>
        <v/>
      </c>
      <c r="CB229" s="238"/>
      <c r="CC229" s="238"/>
      <c r="CD229" s="242">
        <f>IF(AL223=3,0,IF(W229,V229,0))</f>
        <v>0</v>
      </c>
      <c r="CE229" s="238">
        <f>IF(CD229&gt;0,AX229/3,0)</f>
        <v>0</v>
      </c>
      <c r="CF229" s="238">
        <f>ROUNDUP(CE229,0)</f>
        <v>0</v>
      </c>
      <c r="CG229" s="244">
        <f>IF(MOD(CF229,2)=0,CF229,CF229+1)</f>
        <v>0</v>
      </c>
      <c r="CH229" s="238">
        <f>IF(AX229&lt;9,"",SUM(CG229-CF229))</f>
        <v>0</v>
      </c>
      <c r="CI229" s="238">
        <f>IF(CH229=1,AY229,0)</f>
        <v>0</v>
      </c>
      <c r="CJ229" s="243" t="str">
        <f>IF(CH229=0,AY229,0)</f>
        <v/>
      </c>
      <c r="CK229" s="238"/>
      <c r="CL229" s="245">
        <f>IF(COUNT(F229,H229)=1,0,1)</f>
        <v>1</v>
      </c>
      <c r="CM229" s="245">
        <f>IF(COUNT(F229,U229)=1,0,1)</f>
        <v>1</v>
      </c>
      <c r="CN229" s="245">
        <f>IF(COUNT(H229,W229)=1,0,1)</f>
        <v>1</v>
      </c>
      <c r="CO229" s="245">
        <f>IF(COUNT(G229,V229)=2,0,1)</f>
        <v>1</v>
      </c>
      <c r="CP229" s="245">
        <f>IF(COUNT(U229,W229)=1,0,1)</f>
        <v>1</v>
      </c>
      <c r="CQ229" s="245">
        <f>IF(SUM(G229-V229)&gt;3,1,0)</f>
        <v>0</v>
      </c>
      <c r="CR229" s="245">
        <f>IF(SUM(G229-V229)&lt;-3,1,0)</f>
        <v>0</v>
      </c>
      <c r="CS229" s="264">
        <f>IF(AJ229=9,IF(AH229&lt;141,1,0),IF(AH229="",0,IF(AH229&gt;1,0,1)))</f>
        <v>0</v>
      </c>
      <c r="CT229" s="264">
        <f>IF(AX229=9,IF(AV229&lt;141,1,0),IF(AV229="",0,IF(AV229&gt;1,0,1)))</f>
        <v>0</v>
      </c>
      <c r="CU229" s="264">
        <f>IF(AI229="",0,IF(AI229&lt;502,0,1))</f>
        <v>0</v>
      </c>
      <c r="CV229" s="264">
        <f>IF(AW229="",0,IF(AW229&lt;502,0,1))</f>
        <v>0</v>
      </c>
      <c r="CW229" s="264">
        <f>IF(AI229="",IF(AJ229&lt;9,1,0),IF(AJ229&lt;9,1,0))</f>
        <v>0</v>
      </c>
      <c r="CX229" s="264">
        <f>IF(AW229="",IF(AX229&lt;9,1,0),IF(AX229&lt;9,1,0))</f>
        <v>0</v>
      </c>
      <c r="CY229" s="374"/>
      <c r="CZ229" s="374"/>
      <c r="DA229" s="374"/>
      <c r="DB229" s="374"/>
      <c r="DC229" s="265">
        <f>IF(AJ229="",0,SUM(CL229:CX229))</f>
        <v>0</v>
      </c>
      <c r="DD229" s="265">
        <f>IF(AJ229="",0,SUM(CL229,CS229,CU229,CW229))</f>
        <v>0</v>
      </c>
      <c r="DE229" s="265">
        <f>IF(AJ229="",0,SUM(CP229,CT229,CV229,CX229))</f>
        <v>0</v>
      </c>
      <c r="DF229" s="238"/>
      <c r="DG229" s="248">
        <f>IF(AL223=3,0,SUM(G229-V229))</f>
        <v>0</v>
      </c>
      <c r="DH229" s="245">
        <f>IF(F229="",0,1)</f>
        <v>0</v>
      </c>
      <c r="DI229" s="245">
        <f t="shared" si="548"/>
        <v>0</v>
      </c>
      <c r="DJ229" s="245">
        <f t="shared" si="549"/>
        <v>0</v>
      </c>
      <c r="DK229" s="245" t="str">
        <f>IF(G229="","",IF(DJ229=1,"*",""))</f>
        <v/>
      </c>
      <c r="DL229" s="245" t="str">
        <f>IF(AL223=3,"",IF(G229="","",IF(DJ229=-1,"*",IF(DJ229=0,"*",""))))</f>
        <v/>
      </c>
      <c r="DM229" s="245">
        <v>4</v>
      </c>
      <c r="DN229" s="245" t="str">
        <f t="shared" si="550"/>
        <v>4</v>
      </c>
      <c r="DO229" s="245" t="str">
        <f t="shared" si="551"/>
        <v>4</v>
      </c>
      <c r="DP229" s="245">
        <f>SUM(DQ226)</f>
        <v>0</v>
      </c>
      <c r="DQ229" s="245">
        <f>SUM(DP226)</f>
        <v>0</v>
      </c>
      <c r="DR229" s="245">
        <f t="shared" si="558"/>
        <v>0</v>
      </c>
      <c r="DS229" s="245">
        <f t="shared" si="559"/>
        <v>0</v>
      </c>
      <c r="DT229" s="245">
        <f t="shared" si="560"/>
        <v>0</v>
      </c>
      <c r="DU229" s="245">
        <f>IF(V229="",0,IF(DQ229=DS229,0,1))</f>
        <v>0</v>
      </c>
      <c r="DV229" s="267">
        <f t="shared" si="561"/>
        <v>0</v>
      </c>
      <c r="DW229" s="267">
        <f>IF(V229="",0,SUM(DU229))</f>
        <v>0</v>
      </c>
      <c r="DX229" s="238">
        <f>IF(AK229="",0,1)</f>
        <v>0</v>
      </c>
      <c r="DY229" s="238">
        <f>IF(DG229=-3,1,0)</f>
        <v>0</v>
      </c>
      <c r="DZ229" s="238">
        <f>SUM(DX229:DY229)</f>
        <v>0</v>
      </c>
      <c r="EA229" s="238">
        <f>IF(AK229="",1,0)</f>
        <v>1</v>
      </c>
      <c r="EB229" s="238">
        <f>IF(DG229=3,1,0)</f>
        <v>0</v>
      </c>
      <c r="EC229" s="238">
        <f>SUM(EA229:EB229)</f>
        <v>1</v>
      </c>
      <c r="ED229" s="267">
        <f>IF(EC229=2,1,0)</f>
        <v>0</v>
      </c>
      <c r="EE229" s="267">
        <f>IF(DZ229=2,1,0)</f>
        <v>0</v>
      </c>
      <c r="EG229" s="166"/>
      <c r="EH229" s="238"/>
      <c r="EI229" s="238"/>
      <c r="EJ229" s="238"/>
      <c r="EK229" s="238"/>
      <c r="EL229" s="238"/>
      <c r="EM229" s="245">
        <f>IF(AK229="",0,1)</f>
        <v>0</v>
      </c>
      <c r="EN229" s="245">
        <f>SUM(AK229)</f>
        <v>0</v>
      </c>
      <c r="EO229" s="268">
        <f>SUM(AJ229)</f>
        <v>0</v>
      </c>
      <c r="EP229" s="268">
        <f>SUM(G229/3)</f>
        <v>0</v>
      </c>
      <c r="EQ229" s="268" t="e">
        <f>SUM(EO229/EP229)</f>
        <v>#DIV/0!</v>
      </c>
      <c r="ER229" s="268">
        <f>ROUNDDOWN(EP229,0)</f>
        <v>0</v>
      </c>
      <c r="ES229" s="268">
        <f>SUM(EO229,-ER229*3)</f>
        <v>0</v>
      </c>
      <c r="ET229" s="269" t="b">
        <f>MOD(EN229/1,2)=0</f>
        <v>1</v>
      </c>
      <c r="EU229" s="245">
        <f>IF(ET229=FALSE,1,0)</f>
        <v>0</v>
      </c>
      <c r="EV229" s="245">
        <f>IF(EN229=50,0,IF(EN229&lt;40,1,0))</f>
        <v>1</v>
      </c>
      <c r="EW229" s="245">
        <f>SUM(EU229:EV229)</f>
        <v>1</v>
      </c>
      <c r="EX229" s="267">
        <f>IF(EN229=1,1,IF(EN229=50,0,IF(ES229=1,IF(EN229&gt;40,1,0),0)))</f>
        <v>0</v>
      </c>
      <c r="EY229" s="267">
        <f>IF(ES229=1,IF(EW229=2,1,0),0)+EX229+FB229+FE229</f>
        <v>0</v>
      </c>
      <c r="EZ229" s="245">
        <f>IF(EN229=109,1,IF(EN229=108,1,IF(EN229=106,1,IF(EN229=105,1,IF(EN229=103,1,IF(EN229=102,1,IF(EN229=99,1,0)))))))</f>
        <v>0</v>
      </c>
      <c r="FA229" s="245">
        <f>IF(EN229&gt;110,1,0)</f>
        <v>0</v>
      </c>
      <c r="FB229" s="267">
        <f>IF(ES229=2,SUM(EZ229:FA229),0)</f>
        <v>0</v>
      </c>
      <c r="FC229" s="245">
        <f>IF(EN229=159,1,IF(EN229=162,1,IF(EN229=163,1,IF(EN229=165,1,IF(EN229=166,1,IF(EN229=168,1,IF(EN229=169,1,0)))))))</f>
        <v>0</v>
      </c>
      <c r="FD229" s="245">
        <f>IF(EN229&gt;170,1,0)</f>
        <v>0</v>
      </c>
      <c r="FE229" s="267">
        <f>IF(ES229=0,SUM(FC229:FD229),0)</f>
        <v>0</v>
      </c>
      <c r="FF229" s="251">
        <f t="shared" si="552"/>
        <v>0</v>
      </c>
      <c r="FG229" s="238"/>
      <c r="FH229" s="245">
        <f>IF(AY229="",0,1)</f>
        <v>0</v>
      </c>
      <c r="FI229" s="245">
        <f>SUM(AY229)</f>
        <v>0</v>
      </c>
      <c r="FJ229" s="268">
        <f>SUM(AX229)</f>
        <v>0</v>
      </c>
      <c r="FK229" s="268">
        <f>SUM(V229/3)</f>
        <v>0</v>
      </c>
      <c r="FL229" s="268" t="e">
        <f>SUM(FJ229/FK229)</f>
        <v>#DIV/0!</v>
      </c>
      <c r="FM229" s="268">
        <f>ROUNDDOWN(FK229,0)</f>
        <v>0</v>
      </c>
      <c r="FN229" s="268">
        <f>SUM(FJ229,-FM229*3)</f>
        <v>0</v>
      </c>
      <c r="FO229" s="269" t="b">
        <f>MOD(FI229/1,2)=0</f>
        <v>1</v>
      </c>
      <c r="FP229" s="245">
        <f>IF(FO229=FALSE,1,0)</f>
        <v>0</v>
      </c>
      <c r="FQ229" s="245">
        <f>IF(FI229=50,0,IF(FI229&lt;40,1,0))</f>
        <v>1</v>
      </c>
      <c r="FR229" s="245">
        <f>SUM(FP229:FQ229)</f>
        <v>1</v>
      </c>
      <c r="FS229" s="267">
        <f>IF(FI229=1,1,IF(FI229=50,0,IF(FN229=1,IF(FI229&gt;40,1,0),0)))</f>
        <v>0</v>
      </c>
      <c r="FT229" s="267">
        <f>IF(FN229=1,IF(FR229=2,1,0),0)+FS229+FW229+FZ229</f>
        <v>0</v>
      </c>
      <c r="FU229" s="245">
        <f>IF(FI229=109,1,IF(FI229=108,1,IF(FI229=106,1,IF(FI229=105,1,IF(FI229=103,1,IF(FI229=102,1,IF(FI229=99,1,0)))))))</f>
        <v>0</v>
      </c>
      <c r="FV229" s="245">
        <f>IF(FI229&gt;110,1,0)</f>
        <v>0</v>
      </c>
      <c r="FW229" s="267">
        <f>IF(FN229=2,SUM(FU229:FV229),0)</f>
        <v>0</v>
      </c>
      <c r="FX229" s="245">
        <f>IF(FI229=159,1,IF(FI229=162,1,IF(FI229=163,1,IF(FI229=165,1,IF(FI229=166,1,IF(FI229=168,1,IF(FI229=169,1,0)))))))</f>
        <v>0</v>
      </c>
      <c r="FY229" s="245">
        <f>IF(FI229&gt;170,1,0)</f>
        <v>0</v>
      </c>
      <c r="FZ229" s="267">
        <f>IF(FN229=0,SUM(FX229:FY229),0)</f>
        <v>0</v>
      </c>
      <c r="GA229" s="251">
        <f t="shared" si="553"/>
        <v>0</v>
      </c>
      <c r="GC229" s="238" t="str">
        <f>VLOOKUP(AH223,Chema!BL:BR,4,FALSE)</f>
        <v>GS 2.4</v>
      </c>
      <c r="GD229" s="341">
        <f>IF(T233="FORFAIT",1,0)</f>
        <v>0</v>
      </c>
      <c r="GE229" s="343" t="str">
        <f>IF(R233="","",SUM(R233))</f>
        <v/>
      </c>
      <c r="GF229" s="344">
        <f>SUM(AV226)</f>
        <v>0</v>
      </c>
      <c r="GG229" s="344">
        <f>SUM(AX226)</f>
        <v>0</v>
      </c>
      <c r="GH229" s="344">
        <f t="shared" ref="GH229" si="562">SUM(AY226)</f>
        <v>0</v>
      </c>
      <c r="GI229" s="344">
        <f t="shared" ref="GI229" si="563">SUM(AZ226)</f>
        <v>0</v>
      </c>
      <c r="GJ229" s="344">
        <f>SUM(AV227)</f>
        <v>0</v>
      </c>
      <c r="GK229" s="344">
        <f>SUM(AX227)</f>
        <v>0</v>
      </c>
      <c r="GL229" s="344">
        <f>SUM(AY227)</f>
        <v>0</v>
      </c>
      <c r="GM229" s="344">
        <f>SUM(AZ227)</f>
        <v>0</v>
      </c>
      <c r="GN229" s="344">
        <f>SUM(AV228)</f>
        <v>0</v>
      </c>
      <c r="GO229" s="344">
        <f>SUM(AX228)</f>
        <v>0</v>
      </c>
      <c r="GP229" s="344">
        <f>SUM(AY228)</f>
        <v>0</v>
      </c>
      <c r="GQ229" s="344">
        <f>SUM(AZ228)</f>
        <v>0</v>
      </c>
      <c r="GR229" s="344">
        <f>SUM(AV229)</f>
        <v>0</v>
      </c>
      <c r="GS229" s="344">
        <f>SUM(AX229)</f>
        <v>0</v>
      </c>
      <c r="GT229" s="344">
        <f>SUM(AY229)</f>
        <v>0</v>
      </c>
      <c r="GU229" s="344">
        <f>SUM(AZ229)</f>
        <v>0</v>
      </c>
      <c r="GV229" s="344">
        <f>SUM(AV230)</f>
        <v>0</v>
      </c>
      <c r="GW229" s="344">
        <f>SUM(AX230)</f>
        <v>0</v>
      </c>
      <c r="GX229" s="344">
        <f>SUM(AY230)</f>
        <v>0</v>
      </c>
      <c r="GY229" s="344">
        <f>SUM(AZ230)</f>
        <v>0</v>
      </c>
      <c r="GZ229" s="344">
        <f>SUM(GF229,GJ229,GN229,GR229,GV229)</f>
        <v>0</v>
      </c>
      <c r="HA229" s="344">
        <f t="shared" ref="HA229" si="564">SUM(GG229,GK229,GO229,GS229,GW229)</f>
        <v>0</v>
      </c>
      <c r="HB229" s="344">
        <f>IF(GD226=1,P233,MAX(GH229,GL229,GP229,GT229,GX229))</f>
        <v>0</v>
      </c>
      <c r="HC229" s="344">
        <f>IF(GD226=1,X233,SUM(GI229,GM229,GQ229,GU229,GY229))</f>
        <v>0</v>
      </c>
      <c r="HD229" s="345">
        <f>IF(GD226=1,0,SUM(GF229,GJ229,GN229,GR229,GV229))</f>
        <v>0</v>
      </c>
      <c r="HE229" s="345">
        <f>IF(GD226=1,0,SUM(GG229,GK229,GO229,GS229,GW229))</f>
        <v>0</v>
      </c>
      <c r="HF229" s="341">
        <f>IF(GD226=1,0,MIN(HI229,HJ229,HK229,HL229,HM229))</f>
        <v>0</v>
      </c>
      <c r="HG229" s="341">
        <f>IF(HF229=0,0,COUNTIF(HI229:HM229,HF229))</f>
        <v>0</v>
      </c>
      <c r="HH229" s="341">
        <f>SUM(GH230,GL230,GP230,GT230,GX230)</f>
        <v>0</v>
      </c>
      <c r="HI229" s="343" t="str">
        <f>IF(GH230=1,GG229,"")</f>
        <v/>
      </c>
      <c r="HJ229" s="343" t="str">
        <f>IF(GL230=1,GK229,"")</f>
        <v/>
      </c>
      <c r="HK229" s="343" t="str">
        <f>IF(GP230=1,GO229,"")</f>
        <v/>
      </c>
      <c r="HL229" s="343" t="str">
        <f>IF(GT230=1,GS229,"")</f>
        <v/>
      </c>
      <c r="HM229" s="343" t="str">
        <f>IF(GX230=1,GW229,"")</f>
        <v/>
      </c>
      <c r="HN229" s="341"/>
      <c r="HO229" s="341"/>
      <c r="HP229" s="341"/>
      <c r="HQ229" s="341"/>
      <c r="HR229" s="341"/>
      <c r="HS229" s="238"/>
      <c r="HT229" s="238"/>
      <c r="HU229" s="238"/>
      <c r="HV229" s="238"/>
      <c r="HW229" s="238" t="str">
        <f>IFERROR(IF(GD226=0,SUM(IB228:IC228),""),"")</f>
        <v/>
      </c>
      <c r="HY229" s="238"/>
      <c r="ID229" s="238"/>
    </row>
    <row r="230" spans="1:238" s="234" customFormat="1" ht="20.100000000000001" customHeight="1">
      <c r="A230" s="235"/>
      <c r="B230" s="231">
        <f>COUNT(AJ231,AJ230)</f>
        <v>1</v>
      </c>
      <c r="C230" s="235"/>
      <c r="D230" s="271" t="str">
        <f>REPT(DN230,1)</f>
        <v>5</v>
      </c>
      <c r="E230" s="254" t="str">
        <f>REPT(AH230,1)</f>
        <v/>
      </c>
      <c r="F230" s="168"/>
      <c r="G230" s="168"/>
      <c r="H230" s="168"/>
      <c r="I230" s="169"/>
      <c r="J230" s="272" t="str">
        <f>REPT(AM230,1)</f>
        <v/>
      </c>
      <c r="L230" s="310"/>
      <c r="M230" s="310"/>
      <c r="N230" s="272" t="str">
        <f>REPT(AP230,1)</f>
        <v/>
      </c>
      <c r="O230" s="118"/>
      <c r="Q230" s="310"/>
      <c r="R230" s="235"/>
      <c r="S230" s="271" t="str">
        <f>REPT(DO230,1)</f>
        <v>5</v>
      </c>
      <c r="T230" s="254" t="str">
        <f>REPT(AV230,1)</f>
        <v/>
      </c>
      <c r="U230" s="168"/>
      <c r="V230" s="168"/>
      <c r="W230" s="168"/>
      <c r="X230" s="169"/>
      <c r="Y230" s="272" t="str">
        <f>REPT(BA230,1)</f>
        <v/>
      </c>
      <c r="Z230" s="308"/>
      <c r="AA230" s="238">
        <f>SUM(AL223)</f>
        <v>5</v>
      </c>
      <c r="AB230" s="234">
        <f>IF(AY230="",0,IF(AY230&lt;2,1,""))</f>
        <v>0</v>
      </c>
      <c r="AC230" s="238">
        <f>IF(AL223=3,0,IF(AD230=1,1,IF(AD230=3,1,IF(AD230=2,0,IF(AD230=0,0,0)))))</f>
        <v>0</v>
      </c>
      <c r="AD230" s="256">
        <f t="shared" si="542"/>
        <v>0</v>
      </c>
      <c r="AE230" s="256">
        <f t="shared" si="536"/>
        <v>0</v>
      </c>
      <c r="AF230" s="256">
        <f t="shared" si="537"/>
        <v>0</v>
      </c>
      <c r="AG230" s="256">
        <f t="shared" si="543"/>
        <v>0</v>
      </c>
      <c r="AH230" s="257" t="str">
        <f>IF(AL223=3,"",IF(AK230="",IF(AI230="","",IF(AI230="",501,501-AI230)),501))</f>
        <v/>
      </c>
      <c r="AI230" s="256" t="str">
        <f>IF(AL223=3,"",IF(F230&gt;1,F230,IF(F230=0,"",IF(F230="","",""))))</f>
        <v/>
      </c>
      <c r="AJ230" s="256" t="str">
        <f>IF(AL223=3,"",IF(G230&gt;8,G230,IF(G230="","","")))</f>
        <v/>
      </c>
      <c r="AK230" s="256" t="str">
        <f>IF(AL223=3,"",IF(H230&gt;1,H230,IF(H230="","","")))</f>
        <v/>
      </c>
      <c r="AL230" s="256" t="str">
        <f>IF(AL223=3,"",IF(I230&gt;0,I230,IF(I230="","","")))</f>
        <v/>
      </c>
      <c r="AM230" s="258" t="str">
        <f>IF(BK230=0,"","X")</f>
        <v/>
      </c>
      <c r="AN230" s="237"/>
      <c r="AO230" s="237"/>
      <c r="AP230" s="258" t="str">
        <f>IF(BM230=0,"","X")</f>
        <v/>
      </c>
      <c r="AQ230" s="236">
        <f>IF(AL223=3,0,IF(AR230=1,1,IF(AR230=3,1,IF(AR230=2,0,IF(AR230=0,0,0)))))</f>
        <v>0</v>
      </c>
      <c r="AR230" s="256">
        <f t="shared" si="545"/>
        <v>0</v>
      </c>
      <c r="AS230" s="256">
        <f t="shared" si="538"/>
        <v>0</v>
      </c>
      <c r="AT230" s="256">
        <f t="shared" si="539"/>
        <v>0</v>
      </c>
      <c r="AU230" s="256">
        <f t="shared" si="546"/>
        <v>0</v>
      </c>
      <c r="AV230" s="257" t="str">
        <f>IF(AY230="",IF(AW230="","",IF(AW230="",501,501-AW230)),501)</f>
        <v/>
      </c>
      <c r="AW230" s="256" t="str">
        <f>IF(AL223=3,"",IF(U230&gt;1,U230,IF(U230=0,"",IF(U230="","",""))))</f>
        <v/>
      </c>
      <c r="AX230" s="256" t="str">
        <f>IF(AL223=3,"",IF(V230&gt;8,V230,IF(V230="","","")))</f>
        <v/>
      </c>
      <c r="AY230" s="256" t="str">
        <f>IF(AL223=3,"",IF(W230&gt;1,W230,IF(W230="","","")))</f>
        <v/>
      </c>
      <c r="AZ230" s="256" t="str">
        <f>IF(AL223=3,"",IF(X230&gt;0,X230,IF(X230="","","")))</f>
        <v/>
      </c>
      <c r="BA230" s="258" t="str">
        <f>IF(BL230=0,"","X")</f>
        <v/>
      </c>
      <c r="BK230" s="251">
        <f>IF(AL223=3,0,SUM(DD230,DV230,EY230,ED230,FF230,BQ230,BS230,AC230))</f>
        <v>0</v>
      </c>
      <c r="BL230" s="251">
        <f>SUM(DE230,DW230,EE230,FT230,GA230,BR230,BT230,AQ230)</f>
        <v>0</v>
      </c>
      <c r="BM230" s="259">
        <f>IF(AL223=3,0,SUM(DC230,BK230:BL230,AC230,AQ230))</f>
        <v>0</v>
      </c>
      <c r="BN230" s="239">
        <f>COUNT(AK230)</f>
        <v>0</v>
      </c>
      <c r="BO230" s="239">
        <f>COUNT(AY230)</f>
        <v>0</v>
      </c>
      <c r="BP230" s="239">
        <f>IF(BN232=0,0,1)</f>
        <v>0</v>
      </c>
      <c r="BQ230" s="260">
        <f>IF(AL230="",0,IF(AL230&gt;2,1,0))</f>
        <v>0</v>
      </c>
      <c r="BR230" s="261">
        <f>IF(AZ230="",0,IF(AZ230&gt;2,1,0))</f>
        <v>0</v>
      </c>
      <c r="BS230" s="262">
        <f>IF(AJ230=9,IF(AK230&lt;141,1,0),0)</f>
        <v>0</v>
      </c>
      <c r="BT230" s="263">
        <f>IF(AX230=9,IF(AY230&lt;141,1,0),0)</f>
        <v>0</v>
      </c>
      <c r="BU230" s="242">
        <f>IF(AL223=3,0,IF(H230,G230,0))</f>
        <v>0</v>
      </c>
      <c r="BV230" s="238">
        <f>IF(BU230&gt;0,AJ230/3,0)</f>
        <v>0</v>
      </c>
      <c r="BW230" s="238">
        <f>ROUNDUP(BV230,0)</f>
        <v>0</v>
      </c>
      <c r="BX230" s="244">
        <f>IF(MOD(BW230,2)=0,BW230,BW230+1)</f>
        <v>0</v>
      </c>
      <c r="BY230" s="238">
        <f>IF(AJ230&lt;9,"",SUM(BX230-BW230))</f>
        <v>0</v>
      </c>
      <c r="BZ230" s="238">
        <f>IF(BY230=1,AK230,0)</f>
        <v>0</v>
      </c>
      <c r="CA230" s="243" t="str">
        <f>IF(BY230=0,AK230,0)</f>
        <v/>
      </c>
      <c r="CB230" s="238"/>
      <c r="CC230" s="238"/>
      <c r="CD230" s="242">
        <f>IF(AL223=3,0,IF(W230,V230,0))</f>
        <v>0</v>
      </c>
      <c r="CE230" s="238">
        <f>IF(CD230&gt;0,AX230/3,0)</f>
        <v>0</v>
      </c>
      <c r="CF230" s="238">
        <f>ROUNDUP(CE230,0)</f>
        <v>0</v>
      </c>
      <c r="CG230" s="244">
        <f>IF(MOD(CF230,2)=0,CF230,CF230+1)</f>
        <v>0</v>
      </c>
      <c r="CH230" s="238">
        <f>IF(AX230&lt;9,"",SUM(CG230-CF230))</f>
        <v>0</v>
      </c>
      <c r="CI230" s="238">
        <f>IF(CH230=1,AY230,0)</f>
        <v>0</v>
      </c>
      <c r="CJ230" s="243" t="str">
        <f>IF(CH230=0,AY230,0)</f>
        <v/>
      </c>
      <c r="CK230" s="238"/>
      <c r="CL230" s="245">
        <f>IF(COUNT(F230,H230)=1,0,1)</f>
        <v>1</v>
      </c>
      <c r="CM230" s="245">
        <f>IF(COUNT(F230,U230)=1,0,1)</f>
        <v>1</v>
      </c>
      <c r="CN230" s="245">
        <f>IF(COUNT(H230,W230)=1,0,1)</f>
        <v>1</v>
      </c>
      <c r="CO230" s="245">
        <f>IF(COUNT(G230,V230)=2,0,1)</f>
        <v>1</v>
      </c>
      <c r="CP230" s="245">
        <f>IF(COUNT(U230,W230)=1,0,1)</f>
        <v>1</v>
      </c>
      <c r="CQ230" s="245">
        <f>IF(SUM(G230-V230)&gt;3,1,0)</f>
        <v>0</v>
      </c>
      <c r="CR230" s="245">
        <f>IF(SUM(G230-V230)&lt;-3,1,0)</f>
        <v>0</v>
      </c>
      <c r="CS230" s="264">
        <f>IF(AJ230=9,IF(AH230&lt;141,1,0),IF(AH230="",0,IF(AH230&gt;1,0,1)))</f>
        <v>0</v>
      </c>
      <c r="CT230" s="264">
        <f>IF(AX230=9,IF(AV230&lt;141,1,0),IF(AV230="",0,IF(AV230&gt;1,0,1)))</f>
        <v>0</v>
      </c>
      <c r="CU230" s="264">
        <f>IF(AI230="",0,IF(AI230&lt;502,0,1))</f>
        <v>0</v>
      </c>
      <c r="CV230" s="264">
        <f>IF(AW230="",0,IF(AW230&lt;502,0,1))</f>
        <v>0</v>
      </c>
      <c r="CW230" s="264">
        <f>IF(AI230="",IF(AJ230&lt;9,1,0),IF(AJ230&lt;9,1,0))</f>
        <v>0</v>
      </c>
      <c r="CX230" s="264">
        <f>IF(AW230="",IF(AX230&lt;9,1,0),IF(AX230&lt;9,1,0))</f>
        <v>0</v>
      </c>
      <c r="CY230" s="374"/>
      <c r="CZ230" s="374"/>
      <c r="DA230" s="374"/>
      <c r="DB230" s="374"/>
      <c r="DC230" s="265">
        <f>IF(AJ230="",0,SUM(CL230:CX230))</f>
        <v>0</v>
      </c>
      <c r="DD230" s="265">
        <f>IF(AJ230="",0,SUM(CL230,CS230,CU230,CW230))</f>
        <v>0</v>
      </c>
      <c r="DE230" s="265">
        <f>IF(AJ230="",0,SUM(CP230,CT230,CV230,CX230))</f>
        <v>0</v>
      </c>
      <c r="DF230" s="238"/>
      <c r="DG230" s="248">
        <f>IF(AL223=3,0,SUM(G230-V230))</f>
        <v>0</v>
      </c>
      <c r="DH230" s="245">
        <f>IF(F230="",0,1)</f>
        <v>0</v>
      </c>
      <c r="DI230" s="245">
        <f t="shared" si="548"/>
        <v>0</v>
      </c>
      <c r="DJ230" s="245">
        <f t="shared" si="549"/>
        <v>0</v>
      </c>
      <c r="DK230" s="245" t="str">
        <f>IF(G230="","",IF(DJ230=1,"*",""))</f>
        <v/>
      </c>
      <c r="DL230" s="245" t="str">
        <f>IF(AL223=3,"",IF(G230="","",IF(DJ230=-1,"*",IF(DJ230=0,"*",""))))</f>
        <v/>
      </c>
      <c r="DM230" s="245">
        <v>5</v>
      </c>
      <c r="DN230" s="245" t="str">
        <f t="shared" si="550"/>
        <v>5</v>
      </c>
      <c r="DO230" s="245" t="str">
        <f t="shared" si="551"/>
        <v>5</v>
      </c>
      <c r="DP230" s="245">
        <f>SUM(DP226)</f>
        <v>0</v>
      </c>
      <c r="DQ230" s="245">
        <f>SUM(DQ226)</f>
        <v>0</v>
      </c>
      <c r="DR230" s="245">
        <f t="shared" si="558"/>
        <v>0</v>
      </c>
      <c r="DS230" s="245">
        <f t="shared" si="559"/>
        <v>0</v>
      </c>
      <c r="DT230" s="245">
        <f t="shared" si="560"/>
        <v>0</v>
      </c>
      <c r="DU230" s="245">
        <f>IF(V230="",0,IF(DQ230=DS230,0,1))</f>
        <v>0</v>
      </c>
      <c r="DV230" s="267">
        <f t="shared" si="561"/>
        <v>0</v>
      </c>
      <c r="DW230" s="267">
        <f>IF(V230="",0,SUM(DU230))</f>
        <v>0</v>
      </c>
      <c r="DX230" s="238">
        <f>IF(AK230="",0,1)</f>
        <v>0</v>
      </c>
      <c r="DY230" s="238">
        <f>IF(DG230=-3,1,0)</f>
        <v>0</v>
      </c>
      <c r="DZ230" s="238">
        <f>SUM(DX230:DY230)</f>
        <v>0</v>
      </c>
      <c r="EA230" s="238">
        <f>IF(AK230="",1,0)</f>
        <v>1</v>
      </c>
      <c r="EB230" s="238">
        <f>IF(DG230=3,1,0)</f>
        <v>0</v>
      </c>
      <c r="EC230" s="238">
        <f>SUM(EA230:EB230)</f>
        <v>1</v>
      </c>
      <c r="ED230" s="267">
        <f>IF(EC230=2,1,0)</f>
        <v>0</v>
      </c>
      <c r="EE230" s="267">
        <f>IF(DZ230=2,1,0)</f>
        <v>0</v>
      </c>
      <c r="EG230" s="166"/>
      <c r="EH230" s="238"/>
      <c r="EI230" s="238"/>
      <c r="EJ230" s="238"/>
      <c r="EK230" s="238"/>
      <c r="EL230" s="238"/>
      <c r="EM230" s="245">
        <f>IF(AK230="",0,1)</f>
        <v>0</v>
      </c>
      <c r="EN230" s="245">
        <f>SUM(AK230)</f>
        <v>0</v>
      </c>
      <c r="EO230" s="268">
        <f>SUM(AJ230)</f>
        <v>0</v>
      </c>
      <c r="EP230" s="268">
        <f>SUM(G230/3)</f>
        <v>0</v>
      </c>
      <c r="EQ230" s="268" t="e">
        <f>SUM(EO230/EP230)</f>
        <v>#DIV/0!</v>
      </c>
      <c r="ER230" s="268">
        <f>ROUNDDOWN(EP230,0)</f>
        <v>0</v>
      </c>
      <c r="ES230" s="268">
        <f>SUM(EO230,-ER230*3)</f>
        <v>0</v>
      </c>
      <c r="ET230" s="269" t="b">
        <f>MOD(EN230/1,2)=0</f>
        <v>1</v>
      </c>
      <c r="EU230" s="245">
        <f>IF(ET230=FALSE,1,0)</f>
        <v>0</v>
      </c>
      <c r="EV230" s="245">
        <f>IF(EN230=50,0,IF(EN230&lt;40,1,0))</f>
        <v>1</v>
      </c>
      <c r="EW230" s="245">
        <f>SUM(EU230:EV230)</f>
        <v>1</v>
      </c>
      <c r="EX230" s="267">
        <f>IF(EN230=1,1,IF(EN230=50,0,IF(ES230=1,IF(EN230&gt;40,1,0),0)))</f>
        <v>0</v>
      </c>
      <c r="EY230" s="267">
        <f>IF(ES230=1,IF(EW230=2,1,0),0)+EX230+FB230+FE230</f>
        <v>0</v>
      </c>
      <c r="EZ230" s="245">
        <f>IF(EN230=109,1,IF(EN230=108,1,IF(EN230=106,1,IF(EN230=105,1,IF(EN230=103,1,IF(EN230=102,1,IF(EN230=99,1,0)))))))</f>
        <v>0</v>
      </c>
      <c r="FA230" s="245">
        <f>IF(EN230&gt;110,1,0)</f>
        <v>0</v>
      </c>
      <c r="FB230" s="267">
        <f>IF(ES230=2,SUM(EZ230:FA230),0)</f>
        <v>0</v>
      </c>
      <c r="FC230" s="245">
        <f>IF(EN230=159,1,IF(EN230=162,1,IF(EN230=163,1,IF(EN230=165,1,IF(EN230=166,1,IF(EN230=168,1,IF(EN230=169,1,0)))))))</f>
        <v>0</v>
      </c>
      <c r="FD230" s="245">
        <f>IF(EN230&gt;170,1,0)</f>
        <v>0</v>
      </c>
      <c r="FE230" s="267">
        <f>IF(ES230=0,SUM(FC230:FD230),0)</f>
        <v>0</v>
      </c>
      <c r="FF230" s="251">
        <f t="shared" si="552"/>
        <v>0</v>
      </c>
      <c r="FG230" s="238"/>
      <c r="FH230" s="245">
        <f>IF(AY230="",0,1)</f>
        <v>0</v>
      </c>
      <c r="FI230" s="245">
        <f>SUM(AY230)</f>
        <v>0</v>
      </c>
      <c r="FJ230" s="268">
        <f>SUM(AX230)</f>
        <v>0</v>
      </c>
      <c r="FK230" s="268">
        <f>SUM(V230/3)</f>
        <v>0</v>
      </c>
      <c r="FL230" s="268" t="e">
        <f>SUM(FJ230/FK230)</f>
        <v>#DIV/0!</v>
      </c>
      <c r="FM230" s="268">
        <f>ROUNDDOWN(FK230,0)</f>
        <v>0</v>
      </c>
      <c r="FN230" s="268">
        <f>SUM(FJ230,-FM230*3)</f>
        <v>0</v>
      </c>
      <c r="FO230" s="269" t="b">
        <f>MOD(FI230/1,2)=0</f>
        <v>1</v>
      </c>
      <c r="FP230" s="245">
        <f>IF(FO230=FALSE,1,0)</f>
        <v>0</v>
      </c>
      <c r="FQ230" s="245">
        <f>IF(FI230=50,0,IF(FI230&lt;40,1,0))</f>
        <v>1</v>
      </c>
      <c r="FR230" s="245">
        <f>SUM(FP230:FQ230)</f>
        <v>1</v>
      </c>
      <c r="FS230" s="267">
        <f>IF(FI230=1,1,IF(FI230=50,0,IF(FN230=1,IF(FI230&gt;40,1,0),0)))</f>
        <v>0</v>
      </c>
      <c r="FT230" s="267">
        <f>IF(FN230=1,IF(FR230=2,1,0),0)+FS230+FW230+FZ230</f>
        <v>0</v>
      </c>
      <c r="FU230" s="245">
        <f>IF(FI230=109,1,IF(FI230=108,1,IF(FI230=106,1,IF(FI230=105,1,IF(FI230=103,1,IF(FI230=102,1,IF(FI230=99,1,0)))))))</f>
        <v>0</v>
      </c>
      <c r="FV230" s="245">
        <f>IF(FI230&gt;110,1,0)</f>
        <v>0</v>
      </c>
      <c r="FW230" s="267">
        <f>IF(FN230=2,SUM(FU230:FV230),0)</f>
        <v>0</v>
      </c>
      <c r="FX230" s="245">
        <f>IF(FI230=159,1,IF(FI230=162,1,IF(FI230=163,1,IF(FI230=165,1,IF(FI230=166,1,IF(FI230=168,1,IF(FI230=169,1,0)))))))</f>
        <v>0</v>
      </c>
      <c r="FY230" s="245">
        <f>IF(FI230&gt;170,1,0)</f>
        <v>0</v>
      </c>
      <c r="FZ230" s="267">
        <f>IF(FN230=0,SUM(FX230:FY230),0)</f>
        <v>0</v>
      </c>
      <c r="GA230" s="251">
        <f t="shared" si="553"/>
        <v>0</v>
      </c>
      <c r="GC230" s="238" t="str">
        <f>VLOOKUP(AH223,Chema!BL:BR,5,FALSE)</f>
        <v/>
      </c>
      <c r="GD230" s="341"/>
      <c r="GE230" s="343" t="str">
        <f>IF(R234="","",SUM(R234))</f>
        <v/>
      </c>
      <c r="GF230" s="340"/>
      <c r="GG230" s="346"/>
      <c r="GH230" s="343">
        <f>IF(GH229&gt;0,1,0)</f>
        <v>0</v>
      </c>
      <c r="GI230" s="346"/>
      <c r="GJ230" s="343"/>
      <c r="GK230" s="346"/>
      <c r="GL230" s="343">
        <f>IF(GL229&gt;0,1,0)</f>
        <v>0</v>
      </c>
      <c r="GM230" s="343"/>
      <c r="GN230" s="343"/>
      <c r="GO230" s="346"/>
      <c r="GP230" s="343">
        <f>IF(GP229&gt;0,1,0)</f>
        <v>0</v>
      </c>
      <c r="GQ230" s="343"/>
      <c r="GR230" s="343"/>
      <c r="GS230" s="346"/>
      <c r="GT230" s="343">
        <f>IF(GT229&gt;0,1,0)</f>
        <v>0</v>
      </c>
      <c r="GU230" s="343"/>
      <c r="GV230" s="343"/>
      <c r="GW230" s="346"/>
      <c r="GX230" s="343">
        <f>IF(GX229&gt;0,1,0)</f>
        <v>0</v>
      </c>
      <c r="GY230" s="340"/>
      <c r="GZ230" s="343"/>
      <c r="HA230" s="343"/>
      <c r="HB230" s="343" t="str">
        <f>IF(GD226=1,P234,"")</f>
        <v/>
      </c>
      <c r="HC230" s="343" t="str">
        <f>IF(GD226=1,X234,"")</f>
        <v/>
      </c>
      <c r="HD230" s="340"/>
      <c r="HE230" s="340"/>
      <c r="HF230" s="340"/>
      <c r="HG230" s="340">
        <f>IF(HG228=HM226,0,IF(HG228=HM230,0,1))</f>
        <v>0</v>
      </c>
      <c r="HH230" s="340">
        <f>IF(HH227=HH229,1,0)</f>
        <v>1</v>
      </c>
      <c r="HI230" s="340"/>
      <c r="HJ230" s="340"/>
      <c r="HK230" s="340"/>
      <c r="HL230" s="340"/>
      <c r="HM230" s="341">
        <f>COUNT(HI229,HJ229,HK229,HL229,HM229)</f>
        <v>0</v>
      </c>
      <c r="HN230" s="341"/>
      <c r="HO230" s="341"/>
      <c r="HP230" s="341"/>
      <c r="HQ230" s="341"/>
      <c r="HR230" s="341"/>
      <c r="HS230" s="238"/>
      <c r="HT230" s="238"/>
      <c r="HU230" s="238"/>
      <c r="HV230" s="238"/>
      <c r="HX230" s="238"/>
      <c r="HY230" s="238"/>
      <c r="ID230" s="238"/>
    </row>
    <row r="231" spans="1:238" s="234" customFormat="1" ht="6.6" customHeight="1">
      <c r="A231" s="235"/>
      <c r="B231" s="231"/>
      <c r="C231" s="310"/>
      <c r="D231" s="310"/>
      <c r="E231" s="310"/>
      <c r="F231" s="310"/>
      <c r="G231" s="313"/>
      <c r="H231" s="310"/>
      <c r="I231" s="310"/>
      <c r="J231" s="273"/>
      <c r="K231" s="313"/>
      <c r="O231" s="118"/>
      <c r="R231" s="310"/>
      <c r="S231" s="310"/>
      <c r="T231" s="310"/>
      <c r="U231" s="310"/>
      <c r="V231" s="313"/>
      <c r="W231" s="310"/>
      <c r="X231" s="310"/>
      <c r="Y231" s="273"/>
      <c r="Z231" s="308"/>
      <c r="AA231" s="274"/>
      <c r="AD231" s="235"/>
      <c r="AE231" s="237">
        <f>IF(AF231=0,0,1)</f>
        <v>0</v>
      </c>
      <c r="AF231" s="237">
        <f>IF(AL231=0,0,SUM(AL233:AL234,-AL232))</f>
        <v>0</v>
      </c>
      <c r="AG231" s="237"/>
      <c r="AH231" s="275">
        <f>SUM(AH226,AH227,AH228,AH229,AH230)</f>
        <v>0</v>
      </c>
      <c r="AI231" s="275">
        <f t="shared" ref="AI231" si="565">SUM(AI226,AI227,AI228,AI229,AI230)</f>
        <v>0</v>
      </c>
      <c r="AJ231" s="275">
        <f t="shared" ref="AJ231" si="566">SUM(AJ226,AJ227,AJ228,AJ229,AJ230)</f>
        <v>0</v>
      </c>
      <c r="AK231" s="275">
        <f>MAX(AK226,AK227,AK228,AK229,AK230)</f>
        <v>0</v>
      </c>
      <c r="AL231" s="275">
        <f t="shared" ref="AL231" si="567">SUM(AL226,AL227,AL228,AL229,AL230)</f>
        <v>0</v>
      </c>
      <c r="AM231" s="275">
        <f>IF(AK223="D",SUM(AL226,AL227,AL228,AL229,AL230,-AL233,-AL234),0)</f>
        <v>0</v>
      </c>
      <c r="AN231" s="235"/>
      <c r="AO231" s="235"/>
      <c r="AP231" s="235"/>
      <c r="AQ231" s="235"/>
      <c r="AR231" s="235"/>
      <c r="AS231" s="237">
        <f>IF(AT231=0,0,1)</f>
        <v>0</v>
      </c>
      <c r="AT231" s="237">
        <f>IF(AZ231=0,0,SUM(AZ233:AZ234,-AZ232))</f>
        <v>0</v>
      </c>
      <c r="AU231" s="237"/>
      <c r="AV231" s="275">
        <f>SUM(AV226,AV227,AV228,AV229,AV230)</f>
        <v>0</v>
      </c>
      <c r="AW231" s="275">
        <f t="shared" ref="AW231" si="568">SUM(AW226,AW227,AW228,AW229,AW230)</f>
        <v>0</v>
      </c>
      <c r="AX231" s="275">
        <f t="shared" ref="AX231" si="569">SUM(AX226,AX227,AX228,AX229,AX230)</f>
        <v>0</v>
      </c>
      <c r="AY231" s="275">
        <f>MAX(AY226,AY227,AY228,AY229,AY230)</f>
        <v>0</v>
      </c>
      <c r="AZ231" s="275">
        <f t="shared" ref="AZ231" si="570">SUM(AZ226,AZ227,AZ228,AZ229,AZ230)</f>
        <v>0</v>
      </c>
      <c r="BA231" s="275">
        <f>IF(AK223="D",SUM(AZ226,AZ227,AZ228,AZ229,AZ230,-AZ233,-AZ234),0)</f>
        <v>0</v>
      </c>
      <c r="BJ231" s="236"/>
      <c r="BK231" s="238"/>
      <c r="BL231" s="238"/>
      <c r="BM231" s="238"/>
      <c r="BP231" s="238"/>
      <c r="BQ231" s="238"/>
      <c r="BR231" s="238"/>
      <c r="BS231" s="238"/>
      <c r="BT231" s="238"/>
      <c r="BU231" s="238"/>
      <c r="BY231" s="238"/>
      <c r="BZ231" s="238">
        <f>MAX(BZ226,BZ227,BZ228,BZ229,BZ230)</f>
        <v>0</v>
      </c>
      <c r="CA231" s="238">
        <f>MAX(CA226,CA227,CA228,CA229,CA230)</f>
        <v>0</v>
      </c>
      <c r="CB231" s="238"/>
      <c r="CC231" s="238"/>
      <c r="CD231" s="238"/>
      <c r="CG231" s="244"/>
      <c r="CH231" s="238"/>
      <c r="CI231" s="238">
        <f>MAX(CI226,CI227,CI228,CI229,CI230)</f>
        <v>0</v>
      </c>
      <c r="CJ231" s="238">
        <f>MAX(CJ226,CJ227,CJ228,CJ229,CJ230)</f>
        <v>0</v>
      </c>
      <c r="CK231" s="238"/>
      <c r="CL231" s="238"/>
      <c r="CM231" s="238"/>
      <c r="CN231" s="238"/>
      <c r="CO231" s="238"/>
      <c r="CP231" s="238"/>
      <c r="CQ231" s="238"/>
      <c r="CR231" s="238"/>
      <c r="CS231" s="238"/>
      <c r="CT231" s="238"/>
      <c r="CU231" s="238"/>
      <c r="CV231" s="238"/>
      <c r="CW231" s="238"/>
      <c r="CX231" s="238"/>
      <c r="CY231" s="238"/>
      <c r="CZ231" s="238"/>
      <c r="DA231" s="238"/>
      <c r="DB231" s="238"/>
      <c r="DC231" s="238"/>
      <c r="DD231" s="238"/>
      <c r="DE231" s="238"/>
      <c r="DF231" s="238"/>
      <c r="DG231" s="238"/>
      <c r="DH231" s="238"/>
      <c r="DI231" s="238"/>
      <c r="DJ231" s="238"/>
      <c r="DK231" s="238"/>
      <c r="DL231" s="238"/>
      <c r="DM231" s="238"/>
      <c r="DN231" s="238"/>
      <c r="DO231" s="238"/>
      <c r="DP231" s="238"/>
      <c r="DQ231" s="238"/>
      <c r="DR231" s="238"/>
      <c r="DS231" s="238"/>
      <c r="DT231" s="238"/>
      <c r="DU231" s="238"/>
      <c r="DV231" s="238"/>
      <c r="DW231" s="238"/>
      <c r="DX231" s="238"/>
      <c r="DY231" s="238"/>
      <c r="DZ231" s="238"/>
      <c r="EA231" s="238"/>
      <c r="EB231" s="238"/>
      <c r="EC231" s="238"/>
      <c r="ED231" s="238"/>
      <c r="EE231" s="238"/>
      <c r="EF231" s="238"/>
      <c r="EG231" s="238"/>
      <c r="EH231" s="238"/>
      <c r="EI231" s="238"/>
      <c r="EJ231" s="238"/>
      <c r="EK231" s="238"/>
      <c r="EL231" s="238"/>
      <c r="EM231" s="166"/>
      <c r="EN231" s="166"/>
      <c r="EO231" s="166"/>
      <c r="EP231" s="238">
        <f>SUM(EN231-EO231)</f>
        <v>0</v>
      </c>
      <c r="EQ231" s="238"/>
      <c r="ER231" s="238"/>
      <c r="ES231" s="238"/>
      <c r="ET231" s="244"/>
      <c r="EU231" s="238"/>
      <c r="EV231" s="238"/>
      <c r="EW231" s="238"/>
      <c r="EX231" s="238"/>
      <c r="EY231" s="238"/>
      <c r="EZ231" s="238"/>
      <c r="FA231" s="238"/>
      <c r="FB231" s="238"/>
      <c r="FC231" s="238"/>
      <c r="FD231" s="238"/>
      <c r="FE231" s="238"/>
      <c r="FF231" s="238"/>
      <c r="FG231" s="238"/>
      <c r="FH231" s="238"/>
      <c r="FI231" s="238"/>
      <c r="FJ231" s="238"/>
      <c r="FK231" s="238"/>
      <c r="FL231" s="238"/>
      <c r="FM231" s="238"/>
      <c r="FN231" s="238"/>
      <c r="FO231" s="244"/>
      <c r="FP231" s="238"/>
      <c r="FQ231" s="238"/>
      <c r="FR231" s="238"/>
      <c r="FS231" s="238"/>
      <c r="FT231" s="238"/>
      <c r="FU231" s="238"/>
      <c r="FV231" s="238"/>
      <c r="FW231" s="238"/>
      <c r="FX231" s="238"/>
      <c r="FY231" s="238"/>
      <c r="FZ231" s="238"/>
      <c r="GA231" s="238"/>
      <c r="GB231" s="238"/>
      <c r="GC231" s="238"/>
      <c r="GD231" s="341"/>
      <c r="GE231" s="340"/>
      <c r="GF231" s="340"/>
      <c r="GG231" s="340"/>
      <c r="GH231" s="340"/>
      <c r="GI231" s="340"/>
      <c r="GJ231" s="340"/>
      <c r="GK231" s="340"/>
      <c r="GL231" s="340"/>
      <c r="GM231" s="340"/>
      <c r="GN231" s="340"/>
      <c r="GO231" s="340"/>
      <c r="GP231" s="340"/>
      <c r="GQ231" s="340"/>
      <c r="GR231" s="340"/>
      <c r="GS231" s="340"/>
      <c r="GT231" s="340"/>
      <c r="GU231" s="340"/>
      <c r="GV231" s="340"/>
      <c r="GW231" s="340"/>
      <c r="GX231" s="340"/>
      <c r="GY231" s="340"/>
      <c r="GZ231" s="340"/>
      <c r="HA231" s="340"/>
      <c r="HB231" s="340"/>
      <c r="HC231" s="340"/>
      <c r="HD231" s="341"/>
      <c r="HE231" s="341"/>
      <c r="HF231" s="341"/>
      <c r="HG231" s="341"/>
      <c r="HH231" s="341"/>
      <c r="HI231" s="341"/>
      <c r="HJ231" s="341"/>
      <c r="HK231" s="341"/>
      <c r="HL231" s="341"/>
      <c r="HM231" s="341"/>
      <c r="HN231" s="341"/>
      <c r="HO231" s="341"/>
      <c r="HP231" s="341"/>
      <c r="HQ231" s="341"/>
      <c r="HR231" s="341"/>
      <c r="HS231" s="238"/>
      <c r="HT231" s="238"/>
      <c r="HU231" s="238"/>
      <c r="HV231" s="238"/>
      <c r="HX231" s="238"/>
      <c r="HY231" s="238"/>
      <c r="ID231" s="238"/>
    </row>
    <row r="232" spans="1:238" s="234" customFormat="1" ht="20.100000000000001" customHeight="1">
      <c r="A232" s="235"/>
      <c r="B232" s="231"/>
      <c r="C232" s="314" t="s">
        <v>771</v>
      </c>
      <c r="D232" s="276" t="str">
        <f>REPT(Sprache!$K$58,1)</f>
        <v>Spieler</v>
      </c>
      <c r="E232" s="277" t="str">
        <f>REPT(Sprache!$K$33,1)</f>
        <v>Name / Vorname</v>
      </c>
      <c r="F232" s="278"/>
      <c r="G232" s="278"/>
      <c r="H232" s="279"/>
      <c r="I232" s="280"/>
      <c r="J232" s="281" t="str">
        <f>REPT(AM232,1)</f>
        <v/>
      </c>
      <c r="L232" s="306" t="s">
        <v>848</v>
      </c>
      <c r="M232" s="238"/>
      <c r="P232" s="306" t="s">
        <v>848</v>
      </c>
      <c r="R232" s="314" t="s">
        <v>771</v>
      </c>
      <c r="S232" s="276" t="str">
        <f>REPT(Sprache!$K$58,1)</f>
        <v>Spieler</v>
      </c>
      <c r="T232" s="277" t="str">
        <f>REPT(Sprache!$K$33,1)</f>
        <v>Name / Vorname</v>
      </c>
      <c r="U232" s="278"/>
      <c r="V232" s="278"/>
      <c r="W232" s="279"/>
      <c r="X232" s="280"/>
      <c r="Y232" s="281" t="str">
        <f>REPT(BA232,1)</f>
        <v/>
      </c>
      <c r="Z232" s="308"/>
      <c r="AD232" s="235"/>
      <c r="AE232" s="235"/>
      <c r="AF232" s="237" t="s">
        <v>771</v>
      </c>
      <c r="AG232" s="282" t="s">
        <v>877</v>
      </c>
      <c r="AH232" s="283" t="str">
        <f>IF(AH231=0,"",AH231)</f>
        <v/>
      </c>
      <c r="AI232" s="283" t="str">
        <f>IF(AI231=0,"",AI231)</f>
        <v/>
      </c>
      <c r="AJ232" s="283" t="str">
        <f>IF(AJ231=0,"",AJ231)</f>
        <v/>
      </c>
      <c r="AK232" s="283" t="str">
        <f>IF(AK231=0,"",AK231)</f>
        <v/>
      </c>
      <c r="AL232" s="283" t="str">
        <f>IF(AL231=0,"",AL231)</f>
        <v/>
      </c>
      <c r="AM232" s="258" t="str">
        <f>IF(AK223="D",IF(AF231=0,"","X"),"")</f>
        <v/>
      </c>
      <c r="AN232" s="235"/>
      <c r="AO232" s="235"/>
      <c r="AP232" s="284"/>
      <c r="AQ232" s="235"/>
      <c r="AR232" s="235"/>
      <c r="AS232" s="235"/>
      <c r="AT232" s="237" t="s">
        <v>771</v>
      </c>
      <c r="AU232" s="282" t="s">
        <v>877</v>
      </c>
      <c r="AV232" s="283" t="str">
        <f>IF(AV231=0,"",AV231)</f>
        <v/>
      </c>
      <c r="AW232" s="283" t="str">
        <f>IF(AW231=0,"",AW231)</f>
        <v/>
      </c>
      <c r="AX232" s="283" t="str">
        <f>IF(AX231=0,"",AX231)</f>
        <v/>
      </c>
      <c r="AY232" s="283" t="str">
        <f>IF(AY231=0,"",AY231)</f>
        <v/>
      </c>
      <c r="AZ232" s="421" t="str">
        <f>IF(AZ231=0,"",AZ231)</f>
        <v/>
      </c>
      <c r="BA232" s="258" t="str">
        <f>IF(AK223="D",IF(AT231=0,"","X"),"")</f>
        <v/>
      </c>
      <c r="BJ232" s="236"/>
      <c r="BK232" s="238"/>
      <c r="BL232" s="244">
        <f>IF(BM232=0,0,1)</f>
        <v>0</v>
      </c>
      <c r="BM232" s="244">
        <f>SUM(BM226,BM227,BM228,BM229,BM230,HH228,AN233,AN234,BB233,BB234)</f>
        <v>0</v>
      </c>
      <c r="BN232" s="166">
        <f t="shared" ref="BN232:BO232" si="571">SUM(BN226,BN227,BN228,BN229,BN230)</f>
        <v>0</v>
      </c>
      <c r="BO232" s="166">
        <f t="shared" si="571"/>
        <v>0</v>
      </c>
      <c r="BP232" s="244"/>
      <c r="BQ232" s="238"/>
      <c r="BR232" s="238"/>
      <c r="BS232" s="238"/>
      <c r="BT232" s="238"/>
      <c r="BU232" s="238"/>
      <c r="BV232" s="238"/>
      <c r="BW232" s="238"/>
      <c r="BX232" s="236"/>
      <c r="BY232" s="238"/>
      <c r="BZ232" s="238"/>
      <c r="CA232" s="238"/>
      <c r="CB232" s="238"/>
      <c r="CC232" s="238"/>
      <c r="CD232" s="238"/>
      <c r="CE232" s="238"/>
      <c r="CF232" s="238"/>
      <c r="CG232" s="244"/>
      <c r="CH232" s="238"/>
      <c r="CI232" s="238"/>
      <c r="CJ232" s="238"/>
      <c r="CK232" s="238"/>
      <c r="CL232" s="238"/>
      <c r="CM232" s="238"/>
      <c r="CN232" s="238"/>
      <c r="CO232" s="238"/>
      <c r="CP232" s="238"/>
      <c r="CQ232" s="238"/>
      <c r="CR232" s="238"/>
      <c r="CS232" s="238"/>
      <c r="CT232" s="238"/>
      <c r="CU232" s="238"/>
      <c r="CV232" s="238"/>
      <c r="CW232" s="238"/>
      <c r="CX232" s="238"/>
      <c r="CY232" s="238"/>
      <c r="CZ232" s="238"/>
      <c r="DA232" s="238"/>
      <c r="DB232" s="238"/>
      <c r="DC232" s="238"/>
      <c r="DD232" s="238"/>
      <c r="DE232" s="238"/>
      <c r="DF232" s="238"/>
      <c r="DG232" s="238"/>
      <c r="DH232" s="238"/>
      <c r="DI232" s="238"/>
      <c r="DJ232" s="238"/>
      <c r="DK232" s="238"/>
      <c r="DL232" s="238"/>
      <c r="DM232" s="238"/>
      <c r="DN232" s="238"/>
      <c r="DO232" s="238"/>
      <c r="DP232" s="238"/>
      <c r="DQ232" s="238"/>
      <c r="DR232" s="238"/>
      <c r="DS232" s="238"/>
      <c r="DT232" s="238"/>
      <c r="DU232" s="238"/>
      <c r="DV232" s="238"/>
      <c r="DW232" s="238"/>
      <c r="DX232" s="238"/>
      <c r="DY232" s="238"/>
      <c r="DZ232" s="238"/>
      <c r="EA232" s="238"/>
      <c r="EB232" s="238"/>
      <c r="EC232" s="238"/>
      <c r="ED232" s="238"/>
      <c r="EE232" s="238"/>
      <c r="EF232" s="238"/>
      <c r="EG232" s="238"/>
      <c r="EH232" s="238"/>
      <c r="EI232" s="238"/>
      <c r="EJ232" s="238"/>
      <c r="EK232" s="238"/>
      <c r="EL232" s="238"/>
      <c r="EM232" s="238"/>
      <c r="EN232" s="238"/>
      <c r="EO232" s="238"/>
      <c r="EP232" s="238"/>
      <c r="EQ232" s="238"/>
      <c r="ER232" s="238"/>
      <c r="ES232" s="238"/>
      <c r="ET232" s="244"/>
      <c r="EU232" s="238"/>
      <c r="EV232" s="238"/>
      <c r="EW232" s="238"/>
      <c r="EX232" s="238"/>
      <c r="EY232" s="238"/>
      <c r="EZ232" s="238"/>
      <c r="FA232" s="238"/>
      <c r="FB232" s="238"/>
      <c r="FC232" s="238"/>
      <c r="FD232" s="238"/>
      <c r="FE232" s="238"/>
      <c r="FF232" s="238"/>
      <c r="FG232" s="238"/>
      <c r="FH232" s="238"/>
      <c r="FI232" s="238"/>
      <c r="FJ232" s="238"/>
      <c r="FK232" s="238"/>
      <c r="FL232" s="238"/>
      <c r="FM232" s="238"/>
      <c r="FN232" s="238"/>
      <c r="FO232" s="244"/>
      <c r="FP232" s="238"/>
      <c r="FQ232" s="238"/>
      <c r="FR232" s="238"/>
      <c r="FS232" s="238"/>
      <c r="FT232" s="238"/>
      <c r="FU232" s="238"/>
      <c r="FV232" s="238"/>
      <c r="FW232" s="238"/>
      <c r="FX232" s="238"/>
      <c r="FY232" s="238"/>
      <c r="FZ232" s="238"/>
      <c r="GA232" s="238"/>
      <c r="GB232" s="238"/>
      <c r="GC232" s="238"/>
      <c r="GD232" s="341"/>
      <c r="GE232" s="340"/>
      <c r="GF232" s="340"/>
      <c r="GG232" s="340"/>
      <c r="GH232" s="340"/>
      <c r="GI232" s="340"/>
      <c r="GJ232" s="340"/>
      <c r="GK232" s="340"/>
      <c r="GL232" s="340"/>
      <c r="GM232" s="340"/>
      <c r="GN232" s="340"/>
      <c r="GO232" s="340"/>
      <c r="GP232" s="340"/>
      <c r="GQ232" s="340"/>
      <c r="GR232" s="340"/>
      <c r="GS232" s="340"/>
      <c r="GT232" s="340"/>
      <c r="GU232" s="340"/>
      <c r="GV232" s="340"/>
      <c r="GW232" s="340"/>
      <c r="GX232" s="340"/>
      <c r="GY232" s="340"/>
      <c r="GZ232" s="340"/>
      <c r="HA232" s="340"/>
      <c r="HB232" s="340"/>
      <c r="HC232" s="340"/>
      <c r="HD232" s="341"/>
      <c r="HE232" s="341"/>
      <c r="HF232" s="341"/>
      <c r="HG232" s="341"/>
      <c r="HH232" s="341"/>
      <c r="HI232" s="341"/>
      <c r="HJ232" s="341"/>
      <c r="HK232" s="341"/>
      <c r="HL232" s="341"/>
      <c r="HM232" s="341"/>
      <c r="HN232" s="341"/>
      <c r="HO232" s="341"/>
      <c r="HP232" s="341"/>
      <c r="HQ232" s="341"/>
      <c r="HR232" s="341"/>
      <c r="HS232" s="238"/>
      <c r="HT232" s="238"/>
      <c r="HU232" s="238"/>
      <c r="HV232" s="238"/>
      <c r="HX232" s="238"/>
      <c r="HY232" s="238"/>
      <c r="ID232" s="238"/>
    </row>
    <row r="233" spans="1:238" s="234" customFormat="1" ht="20.100000000000001" customHeight="1">
      <c r="A233" s="235"/>
      <c r="B233" s="231"/>
      <c r="C233" s="285" t="str">
        <f>IF(AF233="","",SUM(AF233))</f>
        <v/>
      </c>
      <c r="D233" s="286" t="str">
        <f>IF(AK223="D",1,"")</f>
        <v/>
      </c>
      <c r="E233" s="287" t="str">
        <f>IF(C233="","",VLOOKUP(C233,Licenses!B:C,2,FALSE))</f>
        <v/>
      </c>
      <c r="F233" s="288"/>
      <c r="G233" s="288"/>
      <c r="H233" s="289"/>
      <c r="I233" s="169"/>
      <c r="J233" s="270" t="str">
        <f>REPT(AM233,1)</f>
        <v/>
      </c>
      <c r="L233" s="290" t="str">
        <f>IF(AK223="D",AK233,IF(AK232="","",AK232))</f>
        <v/>
      </c>
      <c r="M233" s="311"/>
      <c r="P233" s="290" t="str">
        <f>IF(AK223="D",AY233,IF(AY232="","",AY232))</f>
        <v/>
      </c>
      <c r="R233" s="291" t="str">
        <f>IF(AT233="","",SUM(AT233))</f>
        <v/>
      </c>
      <c r="S233" s="286" t="str">
        <f>IF(AK223="D",1,"")</f>
        <v/>
      </c>
      <c r="T233" s="292" t="str">
        <f>IF(R233="","",VLOOKUP(R233,Licenses!B:C,2,FALSE))</f>
        <v/>
      </c>
      <c r="U233" s="293"/>
      <c r="V233" s="293"/>
      <c r="W233" s="294"/>
      <c r="X233" s="169"/>
      <c r="Y233" s="270" t="str">
        <f>REPT(BA233,1)</f>
        <v/>
      </c>
      <c r="Z233" s="308"/>
      <c r="AD233" s="235"/>
      <c r="AE233" s="235"/>
      <c r="AF233" s="256" t="str">
        <f>IF(AM223="","",SUM(AM223))</f>
        <v/>
      </c>
      <c r="AG233" s="237"/>
      <c r="AH233" s="256"/>
      <c r="AI233" s="256"/>
      <c r="AJ233" s="256"/>
      <c r="AK233" s="256" t="str">
        <f>IF(BZ231&gt;1,BZ231,"")</f>
        <v/>
      </c>
      <c r="AL233" s="257">
        <f>IF(AK223="D",SUM(I233),0)</f>
        <v>0</v>
      </c>
      <c r="AM233" s="258" t="str">
        <f>IF(AM231=0,IF(AL233&lt;6,"","X"),"X")</f>
        <v/>
      </c>
      <c r="AN233" s="347" t="str">
        <f>IF(AM231=0,IF(AL233&lt;6,"",1),1)</f>
        <v/>
      </c>
      <c r="AO233" s="235"/>
      <c r="AP233" s="236"/>
      <c r="AQ233" s="235"/>
      <c r="AR233" s="235"/>
      <c r="AS233" s="235"/>
      <c r="AT233" s="256" t="str">
        <f>IF(BA223="","",SUM(BA223))</f>
        <v/>
      </c>
      <c r="AU233" s="237"/>
      <c r="AV233" s="256"/>
      <c r="AW233" s="256"/>
      <c r="AX233" s="256"/>
      <c r="AY233" s="256" t="str">
        <f>IF(CI231&gt;1,CI231,"")</f>
        <v/>
      </c>
      <c r="AZ233" s="257">
        <f>IF(AK223="D",SUM(X233),0)</f>
        <v>0</v>
      </c>
      <c r="BA233" s="258" t="str">
        <f>IF(BA231=0,IF(AZ233&lt;6,"","X"),"X")</f>
        <v/>
      </c>
      <c r="BB233" s="347" t="str">
        <f>IF(BA231=0,IF(AZ233&lt;6,"",1),1)</f>
        <v/>
      </c>
      <c r="BC233" s="236"/>
      <c r="BD233" s="236"/>
      <c r="BE233" s="236"/>
      <c r="BF233" s="236"/>
      <c r="BG233" s="236"/>
      <c r="BH233" s="236"/>
      <c r="BI233" s="236"/>
      <c r="BJ233" s="236"/>
      <c r="BK233" s="238"/>
      <c r="BL233" s="238"/>
      <c r="BM233" s="295"/>
      <c r="BN233" s="295"/>
      <c r="BO233" s="295"/>
      <c r="BP233" s="295"/>
      <c r="BQ233" s="295"/>
      <c r="BR233" s="295"/>
      <c r="BS233" s="295"/>
      <c r="BT233" s="295"/>
      <c r="BU233" s="295"/>
      <c r="BV233" s="295"/>
      <c r="BW233" s="295"/>
      <c r="BX233" s="236"/>
      <c r="BY233" s="295"/>
      <c r="BZ233" s="295"/>
      <c r="CA233" s="295"/>
      <c r="CB233" s="295"/>
      <c r="CC233" s="295"/>
      <c r="CD233" s="295"/>
      <c r="CE233" s="295"/>
      <c r="CF233" s="295"/>
      <c r="CG233" s="296"/>
      <c r="CH233" s="295"/>
      <c r="CI233" s="295"/>
      <c r="CJ233" s="295"/>
      <c r="CK233" s="238"/>
      <c r="CL233" s="238"/>
      <c r="CM233" s="238"/>
      <c r="CN233" s="238"/>
      <c r="CO233" s="238"/>
      <c r="CP233" s="238"/>
      <c r="CQ233" s="238"/>
      <c r="CR233" s="238"/>
      <c r="CS233" s="238"/>
      <c r="CT233" s="238"/>
      <c r="CU233" s="238"/>
      <c r="CV233" s="238"/>
      <c r="CW233" s="238"/>
      <c r="CX233" s="238"/>
      <c r="CY233" s="238"/>
      <c r="CZ233" s="238"/>
      <c r="DA233" s="238"/>
      <c r="DB233" s="238"/>
      <c r="DC233" s="238"/>
      <c r="DD233" s="238"/>
      <c r="DE233" s="238"/>
      <c r="DF233" s="238"/>
      <c r="DG233" s="238"/>
      <c r="DH233" s="238"/>
      <c r="DI233" s="238"/>
      <c r="DJ233" s="238"/>
      <c r="DK233" s="238"/>
      <c r="DL233" s="238"/>
      <c r="DM233" s="238"/>
      <c r="DN233" s="238"/>
      <c r="DO233" s="238"/>
      <c r="DP233" s="238"/>
      <c r="DQ233" s="238"/>
      <c r="DR233" s="238"/>
      <c r="DS233" s="238"/>
      <c r="DT233" s="238"/>
      <c r="DU233" s="238"/>
      <c r="DV233" s="238"/>
      <c r="DW233" s="238"/>
      <c r="DX233" s="238"/>
      <c r="DY233" s="238"/>
      <c r="DZ233" s="238"/>
      <c r="EA233" s="238"/>
      <c r="EB233" s="238"/>
      <c r="EC233" s="238"/>
      <c r="ED233" s="238"/>
      <c r="EE233" s="238"/>
      <c r="EF233" s="238"/>
      <c r="EG233" s="238"/>
      <c r="EH233" s="238"/>
      <c r="EI233" s="238"/>
      <c r="EJ233" s="238"/>
      <c r="EK233" s="238"/>
      <c r="EL233" s="238"/>
      <c r="EM233" s="238"/>
      <c r="EN233" s="238"/>
      <c r="EO233" s="238"/>
      <c r="EP233" s="238"/>
      <c r="EQ233" s="238"/>
      <c r="ER233" s="238"/>
      <c r="ES233" s="238"/>
      <c r="ET233" s="244"/>
      <c r="EU233" s="238"/>
      <c r="EV233" s="238"/>
      <c r="EW233" s="238"/>
      <c r="EX233" s="238"/>
      <c r="EY233" s="238"/>
      <c r="EZ233" s="238"/>
      <c r="FA233" s="238"/>
      <c r="FB233" s="238"/>
      <c r="FC233" s="238"/>
      <c r="FD233" s="238"/>
      <c r="FE233" s="238"/>
      <c r="FF233" s="238"/>
      <c r="FG233" s="238"/>
      <c r="FH233" s="238"/>
      <c r="FI233" s="238"/>
      <c r="FJ233" s="238"/>
      <c r="FK233" s="238"/>
      <c r="FL233" s="238"/>
      <c r="FM233" s="238"/>
      <c r="FN233" s="238"/>
      <c r="FO233" s="244"/>
      <c r="FP233" s="238"/>
      <c r="FQ233" s="238"/>
      <c r="FR233" s="238"/>
      <c r="FS233" s="238"/>
      <c r="FT233" s="238"/>
      <c r="FU233" s="238"/>
      <c r="FV233" s="238"/>
      <c r="FW233" s="238"/>
      <c r="FX233" s="238"/>
      <c r="FY233" s="238"/>
      <c r="FZ233" s="238"/>
      <c r="GA233" s="238"/>
      <c r="GB233" s="238"/>
      <c r="GC233" s="238"/>
      <c r="GD233" s="341"/>
      <c r="GE233" s="340"/>
      <c r="GF233" s="340"/>
      <c r="GG233" s="340"/>
      <c r="GH233" s="340"/>
      <c r="GI233" s="340"/>
      <c r="GJ233" s="340"/>
      <c r="GK233" s="340"/>
      <c r="GL233" s="340"/>
      <c r="GM233" s="340"/>
      <c r="GN233" s="340"/>
      <c r="GO233" s="340"/>
      <c r="GP233" s="340"/>
      <c r="GQ233" s="340"/>
      <c r="GR233" s="340"/>
      <c r="GS233" s="340"/>
      <c r="GT233" s="340"/>
      <c r="GU233" s="340"/>
      <c r="GV233" s="340"/>
      <c r="GW233" s="340"/>
      <c r="GX233" s="340"/>
      <c r="GY233" s="340"/>
      <c r="GZ233" s="340"/>
      <c r="HA233" s="340"/>
      <c r="HB233" s="340"/>
      <c r="HC233" s="340"/>
      <c r="HD233" s="341"/>
      <c r="HE233" s="341"/>
      <c r="HF233" s="341"/>
      <c r="HG233" s="341"/>
      <c r="HH233" s="341"/>
      <c r="HI233" s="341"/>
      <c r="HJ233" s="341"/>
      <c r="HK233" s="341"/>
      <c r="HL233" s="341"/>
      <c r="HM233" s="341"/>
      <c r="HN233" s="341"/>
      <c r="HO233" s="341"/>
      <c r="HP233" s="341"/>
      <c r="HQ233" s="341"/>
      <c r="HR233" s="341"/>
      <c r="HS233" s="238"/>
      <c r="HT233" s="238"/>
      <c r="HU233" s="238"/>
      <c r="HV233" s="238"/>
      <c r="HX233" s="238"/>
      <c r="HY233" s="238"/>
      <c r="ID233" s="238"/>
    </row>
    <row r="234" spans="1:238" s="234" customFormat="1" ht="20.100000000000001" customHeight="1">
      <c r="A234" s="235"/>
      <c r="B234" s="231"/>
      <c r="C234" s="336" t="str">
        <f>IF(AF234="","",SUM(AF234))</f>
        <v/>
      </c>
      <c r="D234" s="333" t="str">
        <f>IF(AK223="D",2,"")</f>
        <v/>
      </c>
      <c r="E234" s="337" t="str">
        <f>IF(C234="","",VLOOKUP(C234,Licenses!B:C,2,FALSE))</f>
        <v/>
      </c>
      <c r="F234" s="290"/>
      <c r="G234" s="290"/>
      <c r="H234" s="338"/>
      <c r="I234" s="331"/>
      <c r="J234" s="272" t="str">
        <f>REPT(AM234,1)</f>
        <v/>
      </c>
      <c r="L234" s="315" t="str">
        <f>IF(AK223="D",AK234,"")</f>
        <v/>
      </c>
      <c r="M234" s="311"/>
      <c r="P234" s="315" t="str">
        <f>IF(AK223="D",AY234,"")</f>
        <v/>
      </c>
      <c r="R234" s="332" t="str">
        <f>IF(AT234="","",SUM(AT234))</f>
        <v/>
      </c>
      <c r="S234" s="333" t="str">
        <f>IF(AK223="D",2,"")</f>
        <v/>
      </c>
      <c r="T234" s="334" t="str">
        <f>IF(R234="","",VLOOKUP(R234,Licenses!B:C,2,FALSE))</f>
        <v/>
      </c>
      <c r="U234" s="297"/>
      <c r="V234" s="297"/>
      <c r="W234" s="335"/>
      <c r="X234" s="331"/>
      <c r="Y234" s="272" t="str">
        <f>REPT(BA234,1)</f>
        <v/>
      </c>
      <c r="Z234" s="308"/>
      <c r="AA234" s="238">
        <f>IF(AK223="D",0,1)</f>
        <v>1</v>
      </c>
      <c r="AD234" s="235"/>
      <c r="AE234" s="235"/>
      <c r="AF234" s="256" t="str">
        <f>IF(AM224="","",SUM(AM224))</f>
        <v/>
      </c>
      <c r="AG234" s="237"/>
      <c r="AH234" s="256"/>
      <c r="AI234" s="256"/>
      <c r="AJ234" s="256"/>
      <c r="AK234" s="256" t="str">
        <f>IF(CA231&gt;1,CA231,"")</f>
        <v/>
      </c>
      <c r="AL234" s="257">
        <f>IF(AK223="D",SUM(I234),0)</f>
        <v>0</v>
      </c>
      <c r="AM234" s="258" t="str">
        <f>IF(AM231=0,IF(AL234&lt;6,"","X"),"X")</f>
        <v/>
      </c>
      <c r="AN234" s="347" t="str">
        <f>IF(AM231=0,IF(AL234&lt;6,"",1),1)</f>
        <v/>
      </c>
      <c r="AO234" s="235"/>
      <c r="AP234" s="236"/>
      <c r="AQ234" s="235"/>
      <c r="AR234" s="235"/>
      <c r="AS234" s="235"/>
      <c r="AT234" s="256" t="str">
        <f>IF(BA224="","",SUM(BA224))</f>
        <v/>
      </c>
      <c r="AU234" s="237"/>
      <c r="AV234" s="256"/>
      <c r="AW234" s="256"/>
      <c r="AX234" s="256"/>
      <c r="AY234" s="256" t="str">
        <f>IF(CJ231&gt;1,CJ231,"")</f>
        <v/>
      </c>
      <c r="AZ234" s="257">
        <f>IF(AK223="D",SUM(X234),0)</f>
        <v>0</v>
      </c>
      <c r="BA234" s="258" t="str">
        <f>IF(BA231=0,IF(AZ234&lt;6,"","X"),"X")</f>
        <v/>
      </c>
      <c r="BB234" s="347" t="str">
        <f>IF(BA231=0,IF(AZ234&lt;6,"",1),1)</f>
        <v/>
      </c>
      <c r="BC234" s="236"/>
      <c r="BD234" s="236"/>
      <c r="BE234" s="236"/>
      <c r="BF234" s="236"/>
      <c r="BG234" s="236"/>
      <c r="BH234" s="236"/>
      <c r="BI234" s="236"/>
      <c r="BJ234" s="236"/>
      <c r="BK234" s="238"/>
      <c r="BM234" s="238"/>
      <c r="BN234" s="238"/>
      <c r="BO234" s="238"/>
      <c r="BP234" s="238"/>
      <c r="BQ234" s="238" t="s">
        <v>899</v>
      </c>
      <c r="BR234" s="238"/>
      <c r="BS234" s="238"/>
      <c r="BT234" s="238"/>
      <c r="BU234" s="238"/>
      <c r="BV234" s="238"/>
      <c r="BW234" s="238"/>
      <c r="BX234" s="236"/>
      <c r="BY234" s="238"/>
      <c r="BZ234" s="238"/>
      <c r="CA234" s="238"/>
      <c r="CB234" s="238"/>
      <c r="CC234" s="238"/>
      <c r="CD234" s="238" t="s">
        <v>899</v>
      </c>
      <c r="CE234" s="238"/>
      <c r="CF234" s="238"/>
      <c r="CG234" s="244"/>
      <c r="CH234" s="238"/>
      <c r="CI234" s="238"/>
      <c r="CJ234" s="238"/>
      <c r="CK234" s="238"/>
      <c r="CL234" s="238"/>
      <c r="CM234" s="238"/>
      <c r="CN234" s="238"/>
      <c r="CO234" s="238"/>
      <c r="CP234" s="238"/>
      <c r="CQ234" s="238"/>
      <c r="CR234" s="238"/>
      <c r="CS234" s="238"/>
      <c r="CT234" s="238"/>
      <c r="CU234" s="238"/>
      <c r="CV234" s="238"/>
      <c r="CW234" s="238"/>
      <c r="CX234" s="238"/>
      <c r="CY234" s="238"/>
      <c r="CZ234" s="238"/>
      <c r="DA234" s="238"/>
      <c r="DB234" s="238"/>
      <c r="DC234" s="238"/>
      <c r="DD234" s="238"/>
      <c r="DE234" s="238"/>
      <c r="DF234" s="238"/>
      <c r="DG234" s="238"/>
      <c r="DH234" s="238"/>
      <c r="DI234" s="238"/>
      <c r="DJ234" s="238"/>
      <c r="DK234" s="238"/>
      <c r="DL234" s="238"/>
      <c r="DM234" s="238"/>
      <c r="DN234" s="238"/>
      <c r="DO234" s="238"/>
      <c r="DP234" s="238"/>
      <c r="DQ234" s="238"/>
      <c r="DR234" s="238"/>
      <c r="DS234" s="238"/>
      <c r="DT234" s="238"/>
      <c r="DU234" s="238"/>
      <c r="DV234" s="238"/>
      <c r="DW234" s="238"/>
      <c r="DX234" s="238"/>
      <c r="DY234" s="238"/>
      <c r="DZ234" s="238"/>
      <c r="EA234" s="238"/>
      <c r="EB234" s="238"/>
      <c r="EC234" s="238"/>
      <c r="ED234" s="238"/>
      <c r="EE234" s="238"/>
      <c r="EF234" s="238"/>
      <c r="EG234" s="238"/>
      <c r="EH234" s="238"/>
      <c r="EI234" s="238"/>
      <c r="EJ234" s="238"/>
      <c r="EK234" s="238"/>
      <c r="EL234" s="238"/>
      <c r="EM234" s="238"/>
      <c r="EN234" s="238"/>
      <c r="EO234" s="238"/>
      <c r="EP234" s="238"/>
      <c r="EQ234" s="238"/>
      <c r="ER234" s="238"/>
      <c r="ES234" s="238"/>
      <c r="ET234" s="244"/>
      <c r="EU234" s="238"/>
      <c r="EV234" s="238"/>
      <c r="EW234" s="238"/>
      <c r="EX234" s="238"/>
      <c r="EY234" s="238"/>
      <c r="EZ234" s="238"/>
      <c r="FA234" s="238"/>
      <c r="FB234" s="238"/>
      <c r="FC234" s="238"/>
      <c r="FD234" s="238"/>
      <c r="FE234" s="238"/>
      <c r="FF234" s="238"/>
      <c r="FG234" s="238"/>
      <c r="FH234" s="238"/>
      <c r="FI234" s="238"/>
      <c r="FJ234" s="238"/>
      <c r="FK234" s="238"/>
      <c r="FL234" s="238"/>
      <c r="FM234" s="238"/>
      <c r="FN234" s="238"/>
      <c r="FO234" s="244"/>
      <c r="FP234" s="238"/>
      <c r="FQ234" s="238"/>
      <c r="FR234" s="238"/>
      <c r="FS234" s="238"/>
      <c r="FT234" s="238"/>
      <c r="FU234" s="238"/>
      <c r="FV234" s="238"/>
      <c r="FW234" s="238"/>
      <c r="FX234" s="238"/>
      <c r="FY234" s="238"/>
      <c r="FZ234" s="238"/>
      <c r="GA234" s="238"/>
      <c r="GB234" s="238"/>
      <c r="GC234" s="238"/>
      <c r="GD234" s="341"/>
      <c r="GE234" s="340"/>
      <c r="GF234" s="340"/>
      <c r="GG234" s="340"/>
      <c r="GH234" s="340"/>
      <c r="GI234" s="340"/>
      <c r="GJ234" s="340"/>
      <c r="GK234" s="340"/>
      <c r="GL234" s="340"/>
      <c r="GM234" s="340"/>
      <c r="GN234" s="340"/>
      <c r="GO234" s="340"/>
      <c r="GP234" s="340"/>
      <c r="GQ234" s="340"/>
      <c r="GR234" s="340"/>
      <c r="GS234" s="340"/>
      <c r="GT234" s="340"/>
      <c r="GU234" s="340"/>
      <c r="GV234" s="340"/>
      <c r="GW234" s="340"/>
      <c r="GX234" s="340"/>
      <c r="GY234" s="340"/>
      <c r="GZ234" s="340"/>
      <c r="HA234" s="340"/>
      <c r="HB234" s="340"/>
      <c r="HC234" s="340"/>
      <c r="HD234" s="341"/>
      <c r="HE234" s="341"/>
      <c r="HF234" s="341"/>
      <c r="HG234" s="341"/>
      <c r="HH234" s="341"/>
      <c r="HI234" s="341"/>
      <c r="HJ234" s="341"/>
      <c r="HK234" s="341"/>
      <c r="HL234" s="341"/>
      <c r="HM234" s="341"/>
      <c r="HN234" s="341"/>
      <c r="HO234" s="341"/>
      <c r="HP234" s="341"/>
      <c r="HQ234" s="341"/>
      <c r="HR234" s="341"/>
      <c r="HS234" s="238"/>
      <c r="HT234" s="238"/>
      <c r="HU234" s="238"/>
      <c r="HV234" s="238"/>
      <c r="HX234" s="238"/>
      <c r="HY234" s="238"/>
      <c r="ID234" s="238"/>
    </row>
    <row r="235" spans="1:238" s="234" customFormat="1" ht="20.100000000000001" customHeight="1">
      <c r="A235" s="235"/>
      <c r="B235" s="316"/>
      <c r="C235" s="317"/>
      <c r="D235" s="317"/>
      <c r="E235" s="318"/>
      <c r="F235" s="318"/>
      <c r="G235" s="318"/>
      <c r="H235" s="318"/>
      <c r="I235" s="318"/>
      <c r="J235" s="318"/>
      <c r="K235" s="319"/>
      <c r="L235" s="319"/>
      <c r="M235" s="319"/>
      <c r="N235" s="319"/>
      <c r="O235" s="319"/>
      <c r="P235" s="320"/>
      <c r="Q235" s="319"/>
      <c r="R235" s="317"/>
      <c r="S235" s="318"/>
      <c r="T235" s="318"/>
      <c r="U235" s="318"/>
      <c r="V235" s="318"/>
      <c r="W235" s="318"/>
      <c r="X235" s="318"/>
      <c r="Y235" s="318"/>
      <c r="Z235" s="321"/>
      <c r="AD235" s="235"/>
      <c r="AE235" s="237"/>
      <c r="AF235" s="237"/>
      <c r="AG235" s="237"/>
      <c r="AH235" s="237" t="s">
        <v>921</v>
      </c>
      <c r="AI235" s="237" t="s">
        <v>922</v>
      </c>
      <c r="AJ235" s="298" t="str">
        <f>IF(BS235="","",SUM(AM235)*3)</f>
        <v/>
      </c>
      <c r="AK235" s="299" t="s">
        <v>923</v>
      </c>
      <c r="AL235" s="256"/>
      <c r="AM235" s="256" t="str">
        <f>IF(BS235="","",SUM(BS235))</f>
        <v/>
      </c>
      <c r="AN235" s="235"/>
      <c r="AO235" s="235"/>
      <c r="AP235" s="236"/>
      <c r="AQ235" s="235"/>
      <c r="AR235" s="235"/>
      <c r="AS235" s="237"/>
      <c r="AT235" s="237"/>
      <c r="AU235" s="237"/>
      <c r="AV235" s="237" t="s">
        <v>921</v>
      </c>
      <c r="AW235" s="237" t="s">
        <v>922</v>
      </c>
      <c r="AX235" s="298" t="str">
        <f>IF(BS235="","",SUM(BA235)*3)</f>
        <v/>
      </c>
      <c r="AY235" s="299" t="s">
        <v>923</v>
      </c>
      <c r="AZ235" s="256"/>
      <c r="BA235" s="256" t="str">
        <f>IF(BS235="","",SUM(CF235))</f>
        <v/>
      </c>
      <c r="BB235" s="236"/>
      <c r="BC235" s="236"/>
      <c r="BD235" s="236"/>
      <c r="BE235" s="236"/>
      <c r="BF235" s="236"/>
      <c r="BG235" s="236"/>
      <c r="BH235" s="236"/>
      <c r="BI235" s="236"/>
      <c r="BJ235" s="236"/>
      <c r="BK235" s="373">
        <f>IF(AL223=BQ235,1,0)</f>
        <v>0</v>
      </c>
      <c r="BL235" s="373">
        <f>IF(AL223=CD235,1,0)</f>
        <v>0</v>
      </c>
      <c r="BM235" s="256">
        <f>IF(BN235&gt;2,1,0)</f>
        <v>0</v>
      </c>
      <c r="BN235" s="256">
        <f>COUNT(AH226,AH227,AH228)</f>
        <v>0</v>
      </c>
      <c r="BO235" s="256" t="str">
        <f>IF(AH232="","",SUM(AH232/AJ232))</f>
        <v/>
      </c>
      <c r="BP235" s="256"/>
      <c r="BQ235" s="300">
        <f>COUNT(AK226,AK227,AK228,AK229,AK230)</f>
        <v>0</v>
      </c>
      <c r="BR235" s="256"/>
      <c r="BS235" s="256" t="str">
        <f>IF(BL232=0,IF(AJ227="","",BO235),"")</f>
        <v/>
      </c>
      <c r="BT235" s="236"/>
      <c r="BU235" s="236"/>
      <c r="BV235" s="236"/>
      <c r="BW235" s="236"/>
      <c r="BX235" s="236"/>
      <c r="BY235" s="256">
        <f>IF(CD235&gt;2,1,0)</f>
        <v>0</v>
      </c>
      <c r="BZ235" s="256">
        <f>IF(CA235&gt;2,1,0)</f>
        <v>0</v>
      </c>
      <c r="CA235" s="256">
        <f>COUNT(AV226,AV227,AV228)</f>
        <v>0</v>
      </c>
      <c r="CB235" s="256" t="str">
        <f>IF(AV232="","",SUM(AV232/AX232))</f>
        <v/>
      </c>
      <c r="CC235" s="256"/>
      <c r="CD235" s="300">
        <f>COUNT(AY226,AY227,AY228,AY229,AY230)</f>
        <v>0</v>
      </c>
      <c r="CE235" s="256"/>
      <c r="CF235" s="256" t="str">
        <f>IF(BL232=0,IF(AX227="","",CB235),"")</f>
        <v/>
      </c>
      <c r="CG235" s="236"/>
      <c r="CH235" s="188"/>
      <c r="CI235" s="188"/>
      <c r="CJ235" s="196"/>
      <c r="CK235" s="196"/>
      <c r="CL235" s="196"/>
      <c r="CM235" s="196"/>
      <c r="CN235" s="196"/>
      <c r="CO235" s="196"/>
      <c r="CP235" s="196"/>
      <c r="CQ235" s="196"/>
      <c r="CR235" s="196"/>
      <c r="CS235" s="196"/>
      <c r="CT235" s="196"/>
      <c r="CU235" s="196"/>
      <c r="CV235" s="196"/>
      <c r="CW235" s="196"/>
      <c r="CX235" s="196"/>
      <c r="CY235" s="196"/>
      <c r="CZ235" s="196"/>
      <c r="DA235" s="196"/>
      <c r="DB235" s="196"/>
      <c r="DC235" s="196"/>
      <c r="DD235" s="196"/>
      <c r="DE235" s="196"/>
      <c r="DF235" s="196"/>
      <c r="DG235" s="196"/>
      <c r="DH235" s="196"/>
      <c r="DI235" s="196"/>
      <c r="DJ235" s="196"/>
      <c r="DK235" s="196"/>
      <c r="DL235" s="196"/>
      <c r="DM235" s="196"/>
      <c r="DN235" s="196"/>
      <c r="DO235" s="196"/>
      <c r="DP235" s="196"/>
      <c r="DQ235" s="196"/>
      <c r="DR235" s="196"/>
      <c r="DS235" s="196"/>
      <c r="DT235" s="196"/>
      <c r="DU235" s="196"/>
      <c r="DV235" s="196"/>
      <c r="DW235" s="196"/>
      <c r="DX235" s="196"/>
      <c r="DY235" s="196"/>
      <c r="DZ235" s="196"/>
      <c r="EA235" s="196"/>
      <c r="EB235" s="196"/>
      <c r="EC235" s="196"/>
      <c r="ED235" s="196"/>
      <c r="EE235" s="196"/>
      <c r="EF235" s="196"/>
      <c r="EG235" s="196"/>
      <c r="EH235" s="196"/>
      <c r="EI235" s="196"/>
      <c r="EJ235" s="196"/>
      <c r="EK235" s="196"/>
      <c r="EL235" s="196"/>
      <c r="EM235" s="196"/>
      <c r="EN235" s="196"/>
      <c r="EO235" s="196"/>
      <c r="EP235" s="196"/>
      <c r="EQ235" s="196"/>
      <c r="ER235" s="196"/>
      <c r="ES235" s="196"/>
      <c r="ET235" s="301"/>
      <c r="EU235" s="196"/>
      <c r="EV235" s="196"/>
      <c r="EW235" s="196"/>
      <c r="EX235" s="196"/>
      <c r="EY235" s="196"/>
      <c r="EZ235" s="196"/>
      <c r="FA235" s="196"/>
      <c r="FB235" s="196"/>
      <c r="FC235" s="196"/>
      <c r="FD235" s="196"/>
      <c r="FE235" s="196"/>
      <c r="FF235" s="196"/>
      <c r="FG235" s="196"/>
      <c r="FH235" s="196"/>
      <c r="FI235" s="196"/>
      <c r="FJ235" s="196"/>
      <c r="FK235" s="196"/>
      <c r="FL235" s="196"/>
      <c r="FM235" s="196"/>
      <c r="FN235" s="196"/>
      <c r="FO235" s="301"/>
      <c r="FP235" s="196"/>
      <c r="FQ235" s="196"/>
      <c r="FR235" s="196"/>
      <c r="FS235" s="196"/>
      <c r="FT235" s="196"/>
      <c r="FU235" s="196"/>
      <c r="FV235" s="196"/>
      <c r="FW235" s="196"/>
      <c r="FX235" s="196"/>
      <c r="FY235" s="196"/>
      <c r="FZ235" s="196"/>
      <c r="GA235" s="196"/>
      <c r="GB235" s="238"/>
      <c r="GC235" s="238"/>
      <c r="GD235" s="341"/>
      <c r="GE235" s="341"/>
      <c r="GF235" s="341"/>
      <c r="GG235" s="341"/>
      <c r="GH235" s="341"/>
      <c r="GI235" s="341"/>
      <c r="GJ235" s="341"/>
      <c r="GK235" s="341"/>
      <c r="GL235" s="341"/>
      <c r="GM235" s="341"/>
      <c r="GN235" s="341"/>
      <c r="GO235" s="341"/>
      <c r="GP235" s="341"/>
      <c r="GQ235" s="341"/>
      <c r="GR235" s="341"/>
      <c r="GS235" s="341"/>
      <c r="GT235" s="341"/>
      <c r="GU235" s="341"/>
      <c r="GV235" s="341"/>
      <c r="GW235" s="341"/>
      <c r="GX235" s="341"/>
      <c r="GY235" s="341"/>
      <c r="GZ235" s="341"/>
      <c r="HA235" s="341"/>
      <c r="HB235" s="341"/>
      <c r="HC235" s="341"/>
      <c r="HD235" s="341"/>
      <c r="HE235" s="341"/>
      <c r="HF235" s="341"/>
      <c r="HG235" s="341"/>
      <c r="HH235" s="341"/>
      <c r="HI235" s="341"/>
      <c r="HJ235" s="341"/>
      <c r="HK235" s="341"/>
      <c r="HL235" s="341"/>
      <c r="HM235" s="341"/>
      <c r="HN235" s="341"/>
      <c r="HO235" s="341"/>
      <c r="HP235" s="341"/>
      <c r="HQ235" s="341"/>
      <c r="HR235" s="341"/>
      <c r="HS235" s="238"/>
      <c r="HT235" s="238"/>
      <c r="HU235" s="238"/>
      <c r="HV235" s="238"/>
      <c r="HX235" s="238"/>
      <c r="HY235" s="238"/>
      <c r="ID235" s="238"/>
    </row>
    <row r="236" spans="1:238" ht="14.1" customHeight="1">
      <c r="B236" s="214"/>
      <c r="C236" s="171"/>
      <c r="D236" s="171"/>
      <c r="E236" s="171"/>
      <c r="F236" s="171"/>
      <c r="G236" s="171"/>
      <c r="H236" s="171"/>
      <c r="I236" s="171"/>
      <c r="J236" s="171"/>
      <c r="K236" s="171"/>
      <c r="L236" s="171"/>
      <c r="M236" s="171"/>
      <c r="N236" s="171"/>
      <c r="O236" s="171"/>
      <c r="P236" s="171"/>
      <c r="Q236" s="171"/>
      <c r="R236" s="171"/>
      <c r="S236" s="171"/>
      <c r="T236" s="171"/>
      <c r="U236" s="171"/>
      <c r="V236" s="171"/>
      <c r="W236" s="171"/>
      <c r="X236" s="171"/>
      <c r="Y236" s="171"/>
      <c r="Z236" s="302"/>
      <c r="AA236" s="215"/>
      <c r="AB236" s="215"/>
      <c r="AC236" s="215"/>
      <c r="AD236" s="215"/>
      <c r="AE236" s="215"/>
      <c r="AF236" s="215"/>
      <c r="BB236" s="215"/>
      <c r="BC236" s="215"/>
      <c r="BD236" s="215"/>
      <c r="BE236" s="215"/>
      <c r="BF236" s="215"/>
      <c r="BG236" s="215"/>
      <c r="BH236" s="215"/>
      <c r="GD236" s="339"/>
      <c r="GE236" s="339"/>
      <c r="GF236" s="339"/>
      <c r="GG236" s="339"/>
      <c r="GH236" s="339"/>
      <c r="GI236" s="339"/>
      <c r="GJ236" s="339"/>
      <c r="GK236" s="339"/>
      <c r="GL236" s="339"/>
      <c r="GM236" s="339"/>
      <c r="GN236" s="339"/>
      <c r="GO236" s="339"/>
      <c r="GP236" s="339"/>
      <c r="GQ236" s="339"/>
      <c r="GR236" s="339"/>
      <c r="GS236" s="339"/>
      <c r="GT236" s="339"/>
      <c r="GU236" s="339"/>
      <c r="GV236" s="339"/>
      <c r="GW236" s="339"/>
      <c r="GX236" s="339"/>
      <c r="GY236" s="339"/>
      <c r="GZ236" s="339"/>
      <c r="HA236" s="339"/>
      <c r="HB236" s="339"/>
      <c r="HC236" s="339"/>
      <c r="HD236" s="339"/>
      <c r="HE236" s="339"/>
      <c r="HF236" s="339"/>
      <c r="HG236" s="339"/>
      <c r="HH236" s="339"/>
      <c r="HI236" s="339"/>
      <c r="HJ236" s="339"/>
      <c r="HK236" s="339"/>
      <c r="HL236" s="339"/>
      <c r="HM236" s="339"/>
      <c r="HN236" s="339"/>
      <c r="HO236" s="339"/>
      <c r="HP236" s="339"/>
      <c r="HQ236" s="339"/>
      <c r="HR236" s="339"/>
    </row>
    <row r="237" spans="1:238" ht="24" customHeight="1">
      <c r="B237" s="216"/>
      <c r="C237" s="181"/>
      <c r="D237" s="181"/>
      <c r="E237" s="181"/>
      <c r="F237" s="181"/>
      <c r="G237" s="181"/>
      <c r="H237" s="181"/>
      <c r="I237" s="181"/>
      <c r="J237" s="181"/>
      <c r="K237" s="185"/>
      <c r="L237" s="217"/>
      <c r="M237" s="218"/>
      <c r="N237" s="327" t="str">
        <f>CONCATENATE(AG237," ",AH237)</f>
        <v>Spiel 17</v>
      </c>
      <c r="O237" s="218"/>
      <c r="P237" s="219"/>
      <c r="Q237" s="185"/>
      <c r="R237" s="181"/>
      <c r="S237" s="181"/>
      <c r="T237" s="181"/>
      <c r="U237" s="181"/>
      <c r="V237" s="181"/>
      <c r="W237" s="181"/>
      <c r="X237" s="181"/>
      <c r="Y237" s="181"/>
      <c r="Z237" s="303"/>
      <c r="AA237" s="200"/>
      <c r="AB237" s="200"/>
      <c r="AC237" s="200"/>
      <c r="AD237" s="200"/>
      <c r="AE237" s="200"/>
      <c r="AF237" s="200"/>
      <c r="AG237" s="200" t="s">
        <v>863</v>
      </c>
      <c r="AH237" s="220">
        <v>17</v>
      </c>
      <c r="AI237" s="173">
        <f>VLOOKUP(AH237,Chema!R:T,3,FALSE)</f>
        <v>2.5</v>
      </c>
      <c r="AJ237" s="200" t="str">
        <f>VLOOKUP(AH237,Chema!BL:BQ,6,FALSE)</f>
        <v>2.5*</v>
      </c>
      <c r="AK237" s="200" t="str">
        <f>VLOOKUP(AH237,'Matchblatt  FEUILLE DE MATCH'!AI:AJ,2,FALSE)</f>
        <v>S</v>
      </c>
      <c r="AL237" s="200">
        <f>VLOOKUP(AH237,Chema!R:U,4,FALSE)</f>
        <v>5</v>
      </c>
      <c r="AM237" s="215" t="str">
        <f>VLOOKUP(AH237,'Matchblatt  FEUILLE DE MATCH'!AI:AS,10,FALSE)</f>
        <v/>
      </c>
      <c r="AN237" s="215"/>
      <c r="AO237" s="215"/>
      <c r="AP237" s="215"/>
      <c r="AQ237" s="215"/>
      <c r="AR237" s="215"/>
      <c r="AS237" s="215"/>
      <c r="AT237" s="215"/>
      <c r="AU237" s="215"/>
      <c r="AV237" s="215"/>
      <c r="AW237" s="215"/>
      <c r="AX237" s="215"/>
      <c r="AY237" s="215"/>
      <c r="AZ237" s="215"/>
      <c r="BA237" s="215" t="str">
        <f>VLOOKUP(AH237,'Matchblatt  FEUILLE DE MATCH'!AI:AS,11,FALSE)</f>
        <v/>
      </c>
      <c r="BB237" s="200"/>
      <c r="BC237" s="200"/>
      <c r="BD237" s="200"/>
      <c r="BE237" s="200"/>
      <c r="BF237" s="200"/>
      <c r="BG237" s="200"/>
      <c r="BH237" s="200"/>
      <c r="BK237" s="196"/>
      <c r="BL237" s="196"/>
      <c r="BM237" s="196"/>
      <c r="BN237" s="196"/>
      <c r="BO237" s="196"/>
      <c r="BP237" s="196"/>
      <c r="BQ237" s="221" t="s">
        <v>843</v>
      </c>
      <c r="BR237" s="222"/>
      <c r="BS237" s="222"/>
      <c r="BT237" s="223"/>
      <c r="BU237" s="222" t="s">
        <v>843</v>
      </c>
      <c r="BV237" s="222"/>
      <c r="BW237" s="222"/>
      <c r="BX237" s="224"/>
      <c r="BY237" s="222"/>
      <c r="BZ237" s="222"/>
      <c r="CA237" s="222"/>
      <c r="CB237" s="222"/>
      <c r="CC237" s="222"/>
      <c r="CD237" s="222"/>
      <c r="CE237" s="222"/>
      <c r="CF237" s="222"/>
      <c r="CG237" s="224"/>
      <c r="CH237" s="222"/>
      <c r="CI237" s="222"/>
      <c r="CJ237" s="223"/>
      <c r="CK237" s="196"/>
      <c r="CL237" s="196"/>
      <c r="CM237" s="196"/>
      <c r="CN237" s="196"/>
      <c r="CO237" s="196"/>
      <c r="CP237" s="196"/>
      <c r="CQ237" s="196"/>
      <c r="CR237" s="196"/>
      <c r="CS237" s="196"/>
      <c r="CT237" s="196"/>
      <c r="CU237" s="196"/>
      <c r="CV237" s="196"/>
      <c r="CW237" s="196"/>
      <c r="CX237" s="196"/>
      <c r="CY237" s="196"/>
      <c r="CZ237" s="196"/>
      <c r="DA237" s="196"/>
      <c r="DB237" s="196"/>
      <c r="DC237" s="196"/>
      <c r="DD237" s="196"/>
      <c r="DE237" s="196"/>
      <c r="DF237" s="196"/>
      <c r="DG237" s="196"/>
      <c r="DH237" s="196"/>
      <c r="DI237" s="196"/>
      <c r="DJ237" s="196"/>
      <c r="DK237" s="196"/>
      <c r="DL237" s="196"/>
      <c r="DM237" s="196"/>
      <c r="DN237" s="196"/>
      <c r="DO237" s="196"/>
      <c r="DP237" s="196"/>
      <c r="DQ237" s="196"/>
      <c r="DR237" s="196"/>
      <c r="DS237" s="196"/>
      <c r="DT237" s="196"/>
      <c r="DU237" s="196"/>
      <c r="DV237" s="196"/>
      <c r="DW237" s="196"/>
      <c r="DX237" s="196"/>
      <c r="DY237" s="196"/>
      <c r="DZ237" s="196"/>
      <c r="EA237" s="196"/>
      <c r="EB237" s="196"/>
      <c r="EC237" s="196"/>
      <c r="ED237" s="196"/>
      <c r="EE237" s="196"/>
      <c r="EF237" s="196"/>
      <c r="EG237" s="196"/>
      <c r="EH237" s="196"/>
      <c r="EI237" s="196"/>
      <c r="EJ237" s="196"/>
      <c r="EK237" s="196"/>
      <c r="EL237" s="196"/>
      <c r="EM237" s="221" t="s">
        <v>7</v>
      </c>
      <c r="EN237" s="222"/>
      <c r="EO237" s="222"/>
      <c r="EP237" s="222"/>
      <c r="EQ237" s="222"/>
      <c r="ER237" s="222"/>
      <c r="ES237" s="222"/>
      <c r="ET237" s="224"/>
      <c r="EU237" s="222"/>
      <c r="EV237" s="222"/>
      <c r="EW237" s="222"/>
      <c r="EX237" s="222"/>
      <c r="EY237" s="222"/>
      <c r="EZ237" s="222"/>
      <c r="FA237" s="222"/>
      <c r="FB237" s="222"/>
      <c r="FC237" s="222"/>
      <c r="FD237" s="222"/>
      <c r="FE237" s="223"/>
      <c r="FF237" s="196"/>
      <c r="FG237" s="196"/>
      <c r="FH237" s="221" t="s">
        <v>12</v>
      </c>
      <c r="FI237" s="222"/>
      <c r="FJ237" s="222"/>
      <c r="FK237" s="222"/>
      <c r="FL237" s="222"/>
      <c r="FM237" s="222"/>
      <c r="FN237" s="222"/>
      <c r="FO237" s="224"/>
      <c r="FP237" s="222"/>
      <c r="FQ237" s="222"/>
      <c r="FR237" s="222"/>
      <c r="FS237" s="222"/>
      <c r="FT237" s="222"/>
      <c r="FU237" s="222"/>
      <c r="FV237" s="222"/>
      <c r="FW237" s="222"/>
      <c r="FX237" s="222"/>
      <c r="FY237" s="222"/>
      <c r="FZ237" s="223"/>
      <c r="GA237" s="196"/>
      <c r="GD237" s="339"/>
      <c r="GE237" s="339"/>
      <c r="GF237" s="339"/>
      <c r="GG237" s="339"/>
      <c r="GH237" s="339"/>
      <c r="GI237" s="339"/>
      <c r="GJ237" s="339"/>
      <c r="GK237" s="339"/>
      <c r="GL237" s="339"/>
      <c r="GM237" s="339"/>
      <c r="GN237" s="339"/>
      <c r="GO237" s="339"/>
      <c r="GP237" s="339"/>
      <c r="GQ237" s="339"/>
      <c r="GR237" s="339"/>
      <c r="GS237" s="339"/>
      <c r="GT237" s="339"/>
      <c r="GU237" s="339"/>
      <c r="GV237" s="339"/>
      <c r="GW237" s="339"/>
      <c r="GX237" s="339"/>
      <c r="GY237" s="339"/>
      <c r="GZ237" s="339"/>
      <c r="HA237" s="339"/>
      <c r="HB237" s="339"/>
      <c r="HC237" s="339"/>
      <c r="HD237" s="339"/>
      <c r="HE237" s="339"/>
      <c r="HF237" s="339"/>
      <c r="HG237" s="339"/>
      <c r="HH237" s="339"/>
      <c r="HI237" s="339"/>
      <c r="HJ237" s="339"/>
      <c r="HK237" s="339"/>
      <c r="HL237" s="339"/>
      <c r="HM237" s="339"/>
      <c r="HN237" s="339"/>
      <c r="HO237" s="339"/>
      <c r="HP237" s="339"/>
      <c r="HQ237" s="339"/>
      <c r="HR237" s="339"/>
    </row>
    <row r="238" spans="1:238" ht="14.1" customHeight="1">
      <c r="B238" s="225"/>
      <c r="C238" s="304"/>
      <c r="D238" s="304"/>
      <c r="E238" s="304"/>
      <c r="F238" s="304"/>
      <c r="G238" s="304"/>
      <c r="H238" s="304"/>
      <c r="I238" s="304"/>
      <c r="J238" s="304"/>
      <c r="K238" s="166"/>
      <c r="L238" s="166"/>
      <c r="M238" s="166"/>
      <c r="N238" s="304"/>
      <c r="O238" s="304"/>
      <c r="P238" s="166"/>
      <c r="Q238" s="166"/>
      <c r="R238" s="304"/>
      <c r="S238" s="304"/>
      <c r="T238" s="304"/>
      <c r="U238" s="304"/>
      <c r="V238" s="304"/>
      <c r="W238" s="304"/>
      <c r="X238" s="166"/>
      <c r="Y238" s="166"/>
      <c r="Z238" s="305"/>
      <c r="AA238" s="63"/>
      <c r="AB238" s="63"/>
      <c r="AC238" s="63"/>
      <c r="AD238" s="63"/>
      <c r="AE238" s="63"/>
      <c r="AF238" s="63"/>
      <c r="AJ238" s="173" t="str">
        <f>IF(AK237="D",CONCATENATE(AI237,".",2),"")</f>
        <v/>
      </c>
      <c r="AL238" s="200"/>
      <c r="AM238" s="200" t="str">
        <f>IF(AK237="D",VLOOKUP(AJ238,'Matchblatt  FEUILLE DE MATCH'!AK:AS,8,FALSE),"")</f>
        <v/>
      </c>
      <c r="AN238" s="200"/>
      <c r="AO238" s="200"/>
      <c r="AP238" s="200"/>
      <c r="AQ238" s="200"/>
      <c r="AR238" s="200"/>
      <c r="AS238" s="200"/>
      <c r="AT238" s="200"/>
      <c r="AU238" s="200"/>
      <c r="AV238" s="200"/>
      <c r="AW238" s="200"/>
      <c r="AX238" s="200"/>
      <c r="AY238" s="200"/>
      <c r="AZ238" s="200"/>
      <c r="BA238" s="200" t="str">
        <f>IF(AK237="D",VLOOKUP(AJ238,'Matchblatt  FEUILLE DE MATCH'!AK:AS,9,FALSE),"")</f>
        <v/>
      </c>
      <c r="BB238" s="63"/>
      <c r="BC238" s="63"/>
      <c r="BD238" s="63"/>
      <c r="BE238" s="63"/>
      <c r="BF238" s="63"/>
      <c r="BG238" s="63"/>
      <c r="BH238" s="63"/>
      <c r="BK238" s="166" t="s">
        <v>7</v>
      </c>
      <c r="BL238" s="166" t="s">
        <v>12</v>
      </c>
      <c r="BM238" s="166"/>
      <c r="BN238" s="166" t="s">
        <v>7</v>
      </c>
      <c r="BO238" s="166" t="s">
        <v>12</v>
      </c>
      <c r="BP238" s="166"/>
      <c r="BQ238" s="226" t="s">
        <v>894</v>
      </c>
      <c r="BR238" s="227" t="s">
        <v>895</v>
      </c>
      <c r="BS238" s="228" t="s">
        <v>896</v>
      </c>
      <c r="BT238" s="229"/>
      <c r="BU238" s="226" t="s">
        <v>7</v>
      </c>
      <c r="BV238" s="166"/>
      <c r="BW238" s="166"/>
      <c r="BX238" s="230"/>
      <c r="BY238" s="166"/>
      <c r="BZ238" s="166"/>
      <c r="CA238" s="227"/>
      <c r="CB238" s="166"/>
      <c r="CC238" s="166"/>
      <c r="CD238" s="226" t="s">
        <v>12</v>
      </c>
      <c r="CE238" s="166"/>
      <c r="CF238" s="166"/>
      <c r="CG238" s="230"/>
      <c r="CH238" s="166"/>
      <c r="CI238" s="166"/>
      <c r="CJ238" s="227"/>
      <c r="CK238" s="166"/>
      <c r="CL238" s="166" t="s">
        <v>897</v>
      </c>
      <c r="CM238" s="166"/>
      <c r="CN238" s="166"/>
      <c r="CO238" s="166"/>
      <c r="CP238" s="166"/>
      <c r="CQ238" s="166"/>
      <c r="CR238" s="166"/>
      <c r="CS238" s="166"/>
      <c r="CT238" s="166"/>
      <c r="CU238" s="166" t="s">
        <v>843</v>
      </c>
      <c r="CV238" s="166"/>
      <c r="CW238" s="166" t="s">
        <v>843</v>
      </c>
      <c r="CX238" s="166"/>
      <c r="CY238" s="166"/>
      <c r="CZ238" s="166"/>
      <c r="DA238" s="166"/>
      <c r="DB238" s="166"/>
      <c r="DC238" s="166"/>
      <c r="DD238" s="166" t="s">
        <v>894</v>
      </c>
      <c r="DE238" s="166" t="s">
        <v>895</v>
      </c>
      <c r="DF238" s="166"/>
      <c r="DG238" s="166" t="s">
        <v>927</v>
      </c>
      <c r="DH238" s="166"/>
      <c r="DI238" s="166"/>
      <c r="DJ238" s="166"/>
      <c r="DK238" s="166"/>
      <c r="DL238" s="166"/>
      <c r="DM238" s="166"/>
      <c r="DN238" s="166" t="s">
        <v>928</v>
      </c>
      <c r="DO238" s="166" t="s">
        <v>929</v>
      </c>
      <c r="DP238" s="166"/>
      <c r="DQ238" s="166"/>
      <c r="DR238" s="166"/>
      <c r="DS238" s="166"/>
      <c r="DT238" s="166"/>
      <c r="DU238" s="166"/>
      <c r="DV238" s="166" t="s">
        <v>894</v>
      </c>
      <c r="DW238" s="166" t="s">
        <v>895</v>
      </c>
      <c r="DX238" s="166"/>
      <c r="DY238" s="166"/>
      <c r="DZ238" s="166"/>
      <c r="EA238" s="166"/>
      <c r="EB238" s="166"/>
      <c r="EC238" s="166"/>
      <c r="ED238" s="166" t="s">
        <v>894</v>
      </c>
      <c r="EE238" s="166" t="s">
        <v>895</v>
      </c>
      <c r="EF238" s="166"/>
      <c r="EG238" s="166"/>
      <c r="EH238" s="166"/>
      <c r="EI238" s="166"/>
      <c r="EJ238" s="166"/>
      <c r="EK238" s="166"/>
      <c r="EL238" s="166"/>
      <c r="EM238" s="166"/>
      <c r="EN238" s="166"/>
      <c r="EO238" s="166"/>
      <c r="EP238" s="166"/>
      <c r="EQ238" s="166"/>
      <c r="ER238" s="166"/>
      <c r="ES238" s="166"/>
      <c r="ET238" s="230"/>
      <c r="EU238" s="166"/>
      <c r="EV238" s="166"/>
      <c r="EW238" s="166"/>
      <c r="EX238" s="166"/>
      <c r="EY238" s="166"/>
      <c r="EZ238" s="166"/>
      <c r="FA238" s="166"/>
      <c r="FB238" s="166"/>
      <c r="FC238" s="166"/>
      <c r="FD238" s="166"/>
      <c r="FE238" s="166"/>
      <c r="FF238" s="166"/>
      <c r="FG238" s="166"/>
      <c r="FH238" s="166"/>
      <c r="FI238" s="166"/>
      <c r="FJ238" s="166"/>
      <c r="FK238" s="166"/>
      <c r="FL238" s="166"/>
      <c r="FM238" s="166"/>
      <c r="FN238" s="166"/>
      <c r="FO238" s="230"/>
      <c r="FP238" s="166"/>
      <c r="FQ238" s="166"/>
      <c r="FR238" s="166"/>
      <c r="FS238" s="166"/>
      <c r="FT238" s="166"/>
      <c r="FU238" s="166"/>
      <c r="FV238" s="166"/>
      <c r="FW238" s="166"/>
      <c r="FX238" s="166"/>
      <c r="FY238" s="166"/>
      <c r="FZ238" s="166"/>
      <c r="GA238" s="166"/>
      <c r="GD238" s="339"/>
      <c r="GE238" s="339"/>
      <c r="GF238" s="339"/>
      <c r="GG238" s="339"/>
      <c r="GH238" s="339"/>
      <c r="GI238" s="339"/>
      <c r="GJ238" s="339"/>
      <c r="GK238" s="339"/>
      <c r="GL238" s="339"/>
      <c r="GM238" s="339"/>
      <c r="GN238" s="339"/>
      <c r="GO238" s="339"/>
      <c r="GP238" s="339"/>
      <c r="GQ238" s="339"/>
      <c r="GR238" s="339"/>
      <c r="GS238" s="339"/>
      <c r="GT238" s="339"/>
      <c r="GU238" s="339"/>
      <c r="GV238" s="339"/>
      <c r="GW238" s="339"/>
      <c r="GX238" s="339"/>
      <c r="GY238" s="339"/>
      <c r="GZ238" s="339"/>
      <c r="HA238" s="339"/>
      <c r="HB238" s="339"/>
      <c r="HC238" s="339"/>
      <c r="HD238" s="339"/>
      <c r="HE238" s="339"/>
      <c r="HF238" s="339"/>
      <c r="HG238" s="339"/>
      <c r="HH238" s="339"/>
      <c r="HI238" s="339"/>
      <c r="HJ238" s="339"/>
      <c r="HK238" s="339"/>
      <c r="HL238" s="339"/>
      <c r="HM238" s="339"/>
      <c r="HN238" s="339"/>
      <c r="HO238" s="339"/>
      <c r="HP238" s="339"/>
      <c r="HQ238" s="339"/>
      <c r="HR238" s="339"/>
    </row>
    <row r="239" spans="1:238" s="234" customFormat="1" ht="20.100000000000001" customHeight="1">
      <c r="A239" s="235"/>
      <c r="B239" s="231"/>
      <c r="C239" s="232" t="str">
        <f>REPT(Sprache!$K$12,1)</f>
        <v>SPIEL</v>
      </c>
      <c r="D239" s="233" t="s">
        <v>869</v>
      </c>
      <c r="E239" s="233" t="str">
        <f>REPT(Sprache!$K$62,1)</f>
        <v>Punkte</v>
      </c>
      <c r="F239" s="233" t="str">
        <f>REPT(Sprache!$K$61,1)</f>
        <v>Rest</v>
      </c>
      <c r="G239" s="233" t="s">
        <v>898</v>
      </c>
      <c r="H239" s="233" t="s">
        <v>848</v>
      </c>
      <c r="I239" s="233">
        <v>180</v>
      </c>
      <c r="J239" s="233" t="str">
        <f>REPT(Sprache!$K$63,1)</f>
        <v>Fehler</v>
      </c>
      <c r="L239" s="306" t="s">
        <v>923</v>
      </c>
      <c r="M239" s="307"/>
      <c r="P239" s="306" t="s">
        <v>923</v>
      </c>
      <c r="R239" s="232" t="str">
        <f>REPT(Sprache!$K$12,1)</f>
        <v>SPIEL</v>
      </c>
      <c r="S239" s="233" t="s">
        <v>869</v>
      </c>
      <c r="T239" s="233" t="str">
        <f>REPT(Sprache!$K$62,1)</f>
        <v>Punkte</v>
      </c>
      <c r="U239" s="233" t="str">
        <f>REPT(Sprache!$K$61,1)</f>
        <v>Rest</v>
      </c>
      <c r="V239" s="233" t="s">
        <v>898</v>
      </c>
      <c r="W239" s="233" t="s">
        <v>848</v>
      </c>
      <c r="X239" s="233">
        <v>180</v>
      </c>
      <c r="Y239" s="233" t="str">
        <f>REPT(Sprache!$K$63,1)</f>
        <v>Fehler</v>
      </c>
      <c r="Z239" s="308"/>
      <c r="AD239" s="235"/>
      <c r="AE239" s="236" t="s">
        <v>966</v>
      </c>
      <c r="AF239" s="236" t="s">
        <v>967</v>
      </c>
      <c r="AG239" s="236" t="s">
        <v>965</v>
      </c>
      <c r="AH239" s="237" t="str">
        <f>LEFT($BM$6,10)</f>
        <v/>
      </c>
      <c r="AI239" s="237" t="str">
        <f>LEFT($BN$6,10)</f>
        <v/>
      </c>
      <c r="AJ239" s="237" t="s">
        <v>898</v>
      </c>
      <c r="AK239" s="237" t="s">
        <v>848</v>
      </c>
      <c r="AL239" s="237">
        <v>180</v>
      </c>
      <c r="AM239" s="237" t="str">
        <f>LEFT($BL$6,50)</f>
        <v/>
      </c>
      <c r="AN239" s="235"/>
      <c r="AO239" s="235"/>
      <c r="AP239" s="235"/>
      <c r="AQ239" s="235"/>
      <c r="AR239" s="235"/>
      <c r="AS239" s="235"/>
      <c r="AT239" s="235"/>
      <c r="AU239" s="235"/>
      <c r="AV239" s="237" t="str">
        <f>LEFT($BM$6,10)</f>
        <v/>
      </c>
      <c r="AW239" s="237" t="str">
        <f>LEFT($BN$6,10)</f>
        <v/>
      </c>
      <c r="AX239" s="237" t="s">
        <v>898</v>
      </c>
      <c r="AY239" s="237" t="s">
        <v>848</v>
      </c>
      <c r="AZ239" s="237">
        <v>180</v>
      </c>
      <c r="BA239" s="237" t="str">
        <f>LEFT($BL$6,50)</f>
        <v/>
      </c>
      <c r="BI239" s="238"/>
      <c r="BJ239" s="238"/>
      <c r="BK239" s="238" t="s">
        <v>165</v>
      </c>
      <c r="BL239" s="238" t="s">
        <v>165</v>
      </c>
      <c r="BM239" s="239" t="s">
        <v>165</v>
      </c>
      <c r="BN239" s="239" t="s">
        <v>899</v>
      </c>
      <c r="BO239" s="239" t="s">
        <v>899</v>
      </c>
      <c r="BP239" s="239" t="s">
        <v>900</v>
      </c>
      <c r="BQ239" s="240" t="s">
        <v>901</v>
      </c>
      <c r="BR239" s="241"/>
      <c r="BS239" s="242" t="s">
        <v>926</v>
      </c>
      <c r="BT239" s="243"/>
      <c r="BU239" s="242" t="s">
        <v>902</v>
      </c>
      <c r="BV239" s="238"/>
      <c r="BW239" s="238"/>
      <c r="BX239" s="244"/>
      <c r="BY239" s="238"/>
      <c r="BZ239" s="238" t="s">
        <v>903</v>
      </c>
      <c r="CA239" s="243" t="s">
        <v>904</v>
      </c>
      <c r="CB239" s="238"/>
      <c r="CC239" s="238"/>
      <c r="CD239" s="242" t="s">
        <v>902</v>
      </c>
      <c r="CE239" s="238"/>
      <c r="CF239" s="238"/>
      <c r="CG239" s="244"/>
      <c r="CH239" s="238"/>
      <c r="CI239" s="238" t="s">
        <v>903</v>
      </c>
      <c r="CJ239" s="243" t="s">
        <v>904</v>
      </c>
      <c r="CK239" s="238"/>
      <c r="CL239" s="245" t="s">
        <v>905</v>
      </c>
      <c r="CM239" s="245" t="s">
        <v>906</v>
      </c>
      <c r="CN239" s="245" t="s">
        <v>907</v>
      </c>
      <c r="CO239" s="245" t="s">
        <v>908</v>
      </c>
      <c r="CP239" s="245" t="s">
        <v>909</v>
      </c>
      <c r="CQ239" s="246" t="s">
        <v>910</v>
      </c>
      <c r="CR239" s="247"/>
      <c r="CS239" s="246" t="s">
        <v>911</v>
      </c>
      <c r="CT239" s="248"/>
      <c r="CU239" s="246" t="s">
        <v>912</v>
      </c>
      <c r="CV239" s="248"/>
      <c r="CW239" s="246" t="s">
        <v>913</v>
      </c>
      <c r="CX239" s="248"/>
      <c r="CY239" s="238"/>
      <c r="CZ239" s="238"/>
      <c r="DA239" s="238"/>
      <c r="DB239" s="238"/>
      <c r="DC239" s="249" t="s">
        <v>165</v>
      </c>
      <c r="DD239" s="249" t="s">
        <v>165</v>
      </c>
      <c r="DE239" s="249" t="s">
        <v>165</v>
      </c>
      <c r="DF239" s="238"/>
      <c r="DG239" s="238" t="s">
        <v>914</v>
      </c>
      <c r="DH239" s="238" t="s">
        <v>930</v>
      </c>
      <c r="DI239" s="238" t="s">
        <v>931</v>
      </c>
      <c r="DK239" s="238" t="s">
        <v>932</v>
      </c>
      <c r="DL239" s="238" t="s">
        <v>933</v>
      </c>
      <c r="DM239" s="238" t="s">
        <v>869</v>
      </c>
      <c r="DN239" s="230" t="s">
        <v>915</v>
      </c>
      <c r="DO239" s="250" t="s">
        <v>915</v>
      </c>
      <c r="DP239" s="322" t="s">
        <v>934</v>
      </c>
      <c r="DQ239" s="238"/>
      <c r="DR239" s="166" t="s">
        <v>894</v>
      </c>
      <c r="DS239" s="166" t="s">
        <v>895</v>
      </c>
      <c r="DT239" s="166" t="s">
        <v>935</v>
      </c>
      <c r="DU239" s="166" t="s">
        <v>936</v>
      </c>
      <c r="DV239" s="251" t="s">
        <v>165</v>
      </c>
      <c r="DW239" s="251" t="s">
        <v>165</v>
      </c>
      <c r="DX239" s="238" t="s">
        <v>916</v>
      </c>
      <c r="DY239" s="238"/>
      <c r="DZ239" s="238"/>
      <c r="EA239" s="238"/>
      <c r="EB239" s="238"/>
      <c r="EC239" s="238"/>
      <c r="ED239" s="251" t="s">
        <v>165</v>
      </c>
      <c r="EE239" s="251" t="s">
        <v>165</v>
      </c>
      <c r="EF239" s="166"/>
      <c r="EG239" s="238"/>
      <c r="EH239" s="238"/>
      <c r="EI239" s="238"/>
      <c r="EJ239" s="238"/>
      <c r="EK239" s="238"/>
      <c r="EL239" s="238"/>
      <c r="EM239" s="238"/>
      <c r="EN239" s="238"/>
      <c r="EO239" s="246" t="s">
        <v>917</v>
      </c>
      <c r="EP239" s="247"/>
      <c r="EQ239" s="247"/>
      <c r="ER239" s="247"/>
      <c r="ES239" s="247"/>
      <c r="ET239" s="252"/>
      <c r="EU239" s="248"/>
      <c r="EV239" s="246" t="s">
        <v>918</v>
      </c>
      <c r="EW239" s="247"/>
      <c r="EX239" s="248"/>
      <c r="EY239" s="251" t="s">
        <v>165</v>
      </c>
      <c r="EZ239" s="246" t="s">
        <v>919</v>
      </c>
      <c r="FA239" s="247"/>
      <c r="FB239" s="248"/>
      <c r="FC239" s="246" t="s">
        <v>920</v>
      </c>
      <c r="FD239" s="247"/>
      <c r="FE239" s="248"/>
      <c r="FF239" s="238"/>
      <c r="FG239" s="238"/>
      <c r="FH239" s="238"/>
      <c r="FI239" s="238"/>
      <c r="FJ239" s="246" t="s">
        <v>917</v>
      </c>
      <c r="FK239" s="247"/>
      <c r="FL239" s="247"/>
      <c r="FM239" s="247"/>
      <c r="FN239" s="247"/>
      <c r="FO239" s="252"/>
      <c r="FP239" s="248"/>
      <c r="FQ239" s="246" t="s">
        <v>918</v>
      </c>
      <c r="FR239" s="247"/>
      <c r="FS239" s="248"/>
      <c r="FT239" s="251" t="s">
        <v>165</v>
      </c>
      <c r="FU239" s="246" t="s">
        <v>919</v>
      </c>
      <c r="FV239" s="247"/>
      <c r="FW239" s="248"/>
      <c r="FX239" s="246" t="s">
        <v>920</v>
      </c>
      <c r="FY239" s="247"/>
      <c r="FZ239" s="248"/>
      <c r="GD239" s="340"/>
      <c r="GE239" s="340"/>
      <c r="GF239" s="341" t="s">
        <v>968</v>
      </c>
      <c r="GG239" s="340"/>
      <c r="GH239" s="340"/>
      <c r="GI239" s="340"/>
      <c r="GJ239" s="341" t="s">
        <v>972</v>
      </c>
      <c r="GK239" s="340"/>
      <c r="GL239" s="340"/>
      <c r="GM239" s="340"/>
      <c r="GN239" s="341" t="s">
        <v>971</v>
      </c>
      <c r="GO239" s="340"/>
      <c r="GP239" s="340"/>
      <c r="GQ239" s="340"/>
      <c r="GR239" s="341" t="s">
        <v>970</v>
      </c>
      <c r="GS239" s="340"/>
      <c r="GT239" s="340"/>
      <c r="GU239" s="340"/>
      <c r="GV239" s="341" t="s">
        <v>969</v>
      </c>
      <c r="GW239" s="340"/>
      <c r="GX239" s="340"/>
      <c r="GY239" s="340"/>
      <c r="GZ239" s="342" t="s">
        <v>973</v>
      </c>
      <c r="HA239" s="340"/>
      <c r="HB239" s="340"/>
      <c r="HC239" s="340"/>
      <c r="HD239" s="342" t="s">
        <v>974</v>
      </c>
      <c r="HE239" s="340"/>
      <c r="HF239" s="340"/>
      <c r="HG239" s="340"/>
      <c r="HH239" s="340"/>
      <c r="HI239" s="340"/>
      <c r="HJ239" s="340"/>
      <c r="HK239" s="340"/>
      <c r="HL239" s="340"/>
      <c r="HM239" s="341"/>
      <c r="HN239" s="341"/>
      <c r="HO239" s="341"/>
      <c r="HP239" s="341"/>
      <c r="HQ239" s="341"/>
      <c r="HR239" s="341"/>
      <c r="HS239" s="238"/>
      <c r="HT239" s="238"/>
      <c r="HU239" s="238"/>
      <c r="HV239" s="238"/>
      <c r="HX239" s="238"/>
      <c r="HY239" s="238"/>
      <c r="HZ239" s="238"/>
      <c r="ID239" s="238"/>
    </row>
    <row r="240" spans="1:238" s="234" customFormat="1" ht="20.100000000000001" customHeight="1">
      <c r="A240" s="235"/>
      <c r="B240" s="231">
        <f>COUNT(AJ241,AJ240)</f>
        <v>0</v>
      </c>
      <c r="C240" s="325" t="str">
        <f>CONCATENATE(BG240,BE240)</f>
        <v>HS</v>
      </c>
      <c r="D240" s="253" t="str">
        <f>REPT(DN240,1)</f>
        <v>1</v>
      </c>
      <c r="E240" s="254" t="str">
        <f>REPT(AH240,1)</f>
        <v/>
      </c>
      <c r="F240" s="168"/>
      <c r="G240" s="168"/>
      <c r="H240" s="168"/>
      <c r="I240" s="169"/>
      <c r="J240" s="255" t="str">
        <f>REPT(AM240,1)</f>
        <v/>
      </c>
      <c r="L240" s="309">
        <f>SUM(BS249)</f>
        <v>0</v>
      </c>
      <c r="M240" s="238"/>
      <c r="N240" s="255" t="str">
        <f>REPT(AP240,1)</f>
        <v/>
      </c>
      <c r="P240" s="309">
        <f>SUM(CF249)</f>
        <v>0</v>
      </c>
      <c r="Q240" s="310"/>
      <c r="R240" s="323" t="str">
        <f>CONCATENATE(BH240,BE240)</f>
        <v>GS</v>
      </c>
      <c r="S240" s="253" t="str">
        <f>REPT(DO240,1)</f>
        <v>1</v>
      </c>
      <c r="T240" s="254" t="str">
        <f>REPT(AV240,1)</f>
        <v/>
      </c>
      <c r="U240" s="168"/>
      <c r="V240" s="168"/>
      <c r="W240" s="168"/>
      <c r="X240" s="169"/>
      <c r="Y240" s="255" t="str">
        <f>REPT(BA240,1)</f>
        <v/>
      </c>
      <c r="Z240" s="308"/>
      <c r="AB240" s="234">
        <f>IF(AY240="",0,IF(AY240&lt;2,1,""))</f>
        <v>0</v>
      </c>
      <c r="AC240" s="238">
        <f>IF(AD240=1,1,IF(AD240=3,1,IF(AD240=2,0,IF(AD240=0,0,0))))</f>
        <v>0</v>
      </c>
      <c r="AD240" s="256">
        <f>SUM(AE240:AG240)</f>
        <v>0</v>
      </c>
      <c r="AE240" s="256">
        <f t="shared" ref="AE240:AE244" si="572">IF(F240="",0,1)</f>
        <v>0</v>
      </c>
      <c r="AF240" s="256">
        <f t="shared" ref="AF240:AF244" si="573">IF(G240="",0,1)</f>
        <v>0</v>
      </c>
      <c r="AG240" s="256">
        <f>IF(H240="",0,1)</f>
        <v>0</v>
      </c>
      <c r="AH240" s="257" t="str">
        <f>IF(AK240="",IF(AI240="","",IF(AI240="",501,501-AI240)),501)</f>
        <v/>
      </c>
      <c r="AI240" s="256" t="str">
        <f>IF(F240&gt;1,F240,IF(F240=0,"",IF(F240="","","")))</f>
        <v/>
      </c>
      <c r="AJ240" s="256" t="str">
        <f>IF(G240&gt;8,G240,IF(G240="","",""))</f>
        <v/>
      </c>
      <c r="AK240" s="256" t="str">
        <f>IF(H240&gt;1,H240,IF(H240="","",""))</f>
        <v/>
      </c>
      <c r="AL240" s="256" t="str">
        <f>IF(I240&gt;0,I240,IF(I240="","",""))</f>
        <v/>
      </c>
      <c r="AM240" s="258" t="str">
        <f>IF(BK240=0,"","X")</f>
        <v/>
      </c>
      <c r="AN240" s="237"/>
      <c r="AO240" s="237"/>
      <c r="AP240" s="258" t="str">
        <f>IF(BM240=0,"","X")</f>
        <v/>
      </c>
      <c r="AQ240" s="236">
        <f>IF(AR240=1,1,IF(AR240=3,1,IF(AR240=2,0,IF(AR240=0,0,0))))</f>
        <v>0</v>
      </c>
      <c r="AR240" s="256">
        <f>SUM(AS240:AU240)</f>
        <v>0</v>
      </c>
      <c r="AS240" s="256">
        <f t="shared" ref="AS240:AS244" si="574">IF(U240="",0,1)</f>
        <v>0</v>
      </c>
      <c r="AT240" s="256">
        <f t="shared" ref="AT240:AT244" si="575">IF(V240="",0,1)</f>
        <v>0</v>
      </c>
      <c r="AU240" s="256">
        <f>IF(W240="",0,1)</f>
        <v>0</v>
      </c>
      <c r="AV240" s="257" t="str">
        <f>IF(AY240="",IF(AW240="","",IF(AW240="",501,501-AW240)),501)</f>
        <v/>
      </c>
      <c r="AW240" s="256" t="str">
        <f>IF(U240&gt;1,U240,IF(U240=0,"",IF(U240="","","")))</f>
        <v/>
      </c>
      <c r="AX240" s="256" t="str">
        <f>IF(V240&gt;8,V240,IF(V240="","",""))</f>
        <v/>
      </c>
      <c r="AY240" s="256" t="str">
        <f>IF(W240&gt;1,W240,IF(W240="","",""))</f>
        <v/>
      </c>
      <c r="AZ240" s="256" t="str">
        <f>IF(X240&gt;0,X240,IF(X240="","",""))</f>
        <v/>
      </c>
      <c r="BA240" s="258" t="str">
        <f>IF(BL240=0,"","X")</f>
        <v/>
      </c>
      <c r="BF240" s="238" t="s">
        <v>894</v>
      </c>
      <c r="BG240" s="238" t="str">
        <f>CONCATENATE(BF240,AK237)</f>
        <v>HS</v>
      </c>
      <c r="BH240" s="238" t="str">
        <f>CONCATENATE(BI240,AK237)</f>
        <v>GS</v>
      </c>
      <c r="BI240" s="238" t="s">
        <v>895</v>
      </c>
      <c r="BJ240" s="238"/>
      <c r="BK240" s="251">
        <f>SUM(DD240,DV240,EY240,ED240,FF240,BQ240,BS240,AC240)</f>
        <v>0</v>
      </c>
      <c r="BL240" s="251">
        <f>SUM(DE240,DW240,EE240,FT240,GA240,BR240,BT240,AQ240)</f>
        <v>0</v>
      </c>
      <c r="BM240" s="259">
        <f>SUM(DC240,BK240:BL240,AC240,AQ240)</f>
        <v>0</v>
      </c>
      <c r="BN240" s="239">
        <f>COUNT(AK240)</f>
        <v>0</v>
      </c>
      <c r="BO240" s="239">
        <f>COUNT(AY240)</f>
        <v>0</v>
      </c>
      <c r="BP240" s="239">
        <f>IF(BN242=0,0,1)</f>
        <v>0</v>
      </c>
      <c r="BQ240" s="260">
        <f>IF(AL240="",0,IF(AL240&gt;2,1,0))</f>
        <v>0</v>
      </c>
      <c r="BR240" s="261">
        <f>IF(AZ240="",0,IF(AZ240&gt;2,1,0))</f>
        <v>0</v>
      </c>
      <c r="BS240" s="262">
        <f>IF(AJ240=9,IF(AK240&lt;141,1,0),0)</f>
        <v>0</v>
      </c>
      <c r="BT240" s="263">
        <f>IF(AX240=9,IF(AY240&lt;141,1,0),0)</f>
        <v>0</v>
      </c>
      <c r="BU240" s="242">
        <f>IF(H240,G240,0)</f>
        <v>0</v>
      </c>
      <c r="BV240" s="238">
        <f>IF(BU240&gt;0,AJ240/3,0)</f>
        <v>0</v>
      </c>
      <c r="BW240" s="238">
        <f>ROUNDUP(BV240,0)</f>
        <v>0</v>
      </c>
      <c r="BX240" s="244">
        <f>IF(MOD(BW240,2)=0,BW240,BW240+1)</f>
        <v>0</v>
      </c>
      <c r="BY240" s="238">
        <f>IF(AJ240&lt;9,"",SUM(BX240-BW240))</f>
        <v>0</v>
      </c>
      <c r="BZ240" s="238">
        <f>IF(BY240=1,AK240,0)</f>
        <v>0</v>
      </c>
      <c r="CA240" s="243" t="str">
        <f>IF(BY240=0,AK240,0)</f>
        <v/>
      </c>
      <c r="CB240" s="238"/>
      <c r="CC240" s="238"/>
      <c r="CD240" s="242">
        <f>IF(W240,V240,0)</f>
        <v>0</v>
      </c>
      <c r="CE240" s="238">
        <f>IF(CD240&gt;0,AX240/3,0)</f>
        <v>0</v>
      </c>
      <c r="CF240" s="238">
        <f>ROUNDUP(CE240,0)</f>
        <v>0</v>
      </c>
      <c r="CG240" s="244">
        <f>IF(MOD(CF240,2)=0,CF240,CF240+1)</f>
        <v>0</v>
      </c>
      <c r="CH240" s="238">
        <f>IF(AX240&lt;9,"",SUM(CG240-CF240))</f>
        <v>0</v>
      </c>
      <c r="CI240" s="238">
        <f>IF(CH240=1,AY240,0)</f>
        <v>0</v>
      </c>
      <c r="CJ240" s="243" t="str">
        <f>IF(CH240=0,AY240,0)</f>
        <v/>
      </c>
      <c r="CK240" s="238"/>
      <c r="CL240" s="245">
        <f>IF(COUNT(F240,H240)=1,0,1)</f>
        <v>1</v>
      </c>
      <c r="CM240" s="245">
        <f>IF(COUNT(F240,U240)=1,0,1)</f>
        <v>1</v>
      </c>
      <c r="CN240" s="245">
        <f>IF(COUNT(H240,W240)=1,0,1)</f>
        <v>1</v>
      </c>
      <c r="CO240" s="245">
        <f>IF(COUNT(G240,V240)=2,0,1)</f>
        <v>1</v>
      </c>
      <c r="CP240" s="245">
        <f>IF(COUNT(U240,W240)=1,0,1)</f>
        <v>1</v>
      </c>
      <c r="CQ240" s="245">
        <f>IF(SUM(G240-V240)&gt;3,1,0)</f>
        <v>0</v>
      </c>
      <c r="CR240" s="245">
        <f>IF(SUM(G240-V240)&lt;-3,1,0)</f>
        <v>0</v>
      </c>
      <c r="CS240" s="264">
        <f>IF(AJ240=9,IF(AH240&lt;141,1,0),IF(AH240="",0,IF(AH240&gt;1,0,1)))</f>
        <v>0</v>
      </c>
      <c r="CT240" s="264">
        <f>IF(AX240=9,IF(AV240&lt;141,1,0),IF(AV240="",0,IF(AV240&gt;1,0,1)))</f>
        <v>0</v>
      </c>
      <c r="CU240" s="264">
        <f>IF(AI240="",0,IF(AI240&lt;502,0,1))</f>
        <v>0</v>
      </c>
      <c r="CV240" s="264">
        <f>IF(AW240="",0,IF(AW240&lt;502,0,1))</f>
        <v>0</v>
      </c>
      <c r="CW240" s="264">
        <f>IF(AI240="",IF(AJ240&lt;9,1,0),IF(AJ240&lt;9,1,0))</f>
        <v>0</v>
      </c>
      <c r="CX240" s="264">
        <f>IF(AW240="",IF(AX240&lt;9,1,0),IF(AX240&lt;9,1,0))</f>
        <v>0</v>
      </c>
      <c r="CY240" s="374"/>
      <c r="CZ240" s="374"/>
      <c r="DA240" s="374"/>
      <c r="DB240" s="374"/>
      <c r="DC240" s="265">
        <f>IF(AJ240="",0,SUM(CL240:CX240))</f>
        <v>0</v>
      </c>
      <c r="DD240" s="265">
        <f>IF(AJ240="",0,SUM(CL240,CS240,CU240,CW240))</f>
        <v>0</v>
      </c>
      <c r="DE240" s="265">
        <f>IF(AJ240="",0,SUM(CP240,CT240,CV240,CX240))</f>
        <v>0</v>
      </c>
      <c r="DF240" s="238"/>
      <c r="DG240" s="248" t="str">
        <f>IF(G240="","",SUM(G240-V240))</f>
        <v/>
      </c>
      <c r="DH240" s="245">
        <f>IF(F240="",0,1)</f>
        <v>0</v>
      </c>
      <c r="DI240" s="245" t="str">
        <f>IF(DG240=0,DH240,DG240)</f>
        <v/>
      </c>
      <c r="DJ240" s="245" t="e">
        <f>SIGN(DI240)</f>
        <v>#VALUE!</v>
      </c>
      <c r="DK240" s="245" t="str">
        <f>IF(G240="","",IF(DJ240=1,"*",""))</f>
        <v/>
      </c>
      <c r="DL240" s="245" t="str">
        <f>IF(G240="","",IF(DJ240=-1,"*",IF(DJ240=0,"*","")))</f>
        <v/>
      </c>
      <c r="DM240" s="245">
        <v>1</v>
      </c>
      <c r="DN240" s="245" t="str">
        <f>CONCATENATE(DM240,DK240)</f>
        <v>1</v>
      </c>
      <c r="DO240" s="245" t="str">
        <f>CONCATENATE(DM240,DL240)</f>
        <v>1</v>
      </c>
      <c r="DP240" s="245">
        <f>IF(DK240="*",1,0)</f>
        <v>0</v>
      </c>
      <c r="DQ240" s="245">
        <f>IF(DL240="*",1,0)</f>
        <v>0</v>
      </c>
      <c r="DR240" s="245"/>
      <c r="DS240" s="245"/>
      <c r="DT240" s="245"/>
      <c r="DU240" s="245"/>
      <c r="DV240" s="266"/>
      <c r="DW240" s="266"/>
      <c r="DX240" s="238">
        <f>IF(AK240="",0,1)</f>
        <v>0</v>
      </c>
      <c r="DY240" s="238">
        <f>IF(DG240=-3,1,0)</f>
        <v>0</v>
      </c>
      <c r="DZ240" s="238">
        <f>SUM(DX240:DY240)</f>
        <v>0</v>
      </c>
      <c r="EA240" s="238">
        <f>IF(AK240="",1,0)</f>
        <v>1</v>
      </c>
      <c r="EB240" s="238">
        <f>IF(DG240=3,1,0)</f>
        <v>0</v>
      </c>
      <c r="EC240" s="238">
        <f>SUM(EA240:EB240)</f>
        <v>1</v>
      </c>
      <c r="ED240" s="267">
        <f>IF(EC240=2,1,0)</f>
        <v>0</v>
      </c>
      <c r="EE240" s="267">
        <f>IF(DZ240=2,1,0)</f>
        <v>0</v>
      </c>
      <c r="EG240" s="166"/>
      <c r="EH240" s="238"/>
      <c r="EI240" s="238"/>
      <c r="EJ240" s="238"/>
      <c r="EK240" s="238"/>
      <c r="EL240" s="238"/>
      <c r="EM240" s="245">
        <f>IF(AK240="",0,1)</f>
        <v>0</v>
      </c>
      <c r="EN240" s="245">
        <f>SUM(AK240)</f>
        <v>0</v>
      </c>
      <c r="EO240" s="268">
        <f>SUM(AJ240)</f>
        <v>0</v>
      </c>
      <c r="EP240" s="268">
        <f>SUM(G240/3)</f>
        <v>0</v>
      </c>
      <c r="EQ240" s="268" t="e">
        <f>SUM(EO240/EP240)</f>
        <v>#DIV/0!</v>
      </c>
      <c r="ER240" s="268">
        <f>ROUNDDOWN(EP240,0)</f>
        <v>0</v>
      </c>
      <c r="ES240" s="268">
        <f>SUM(EO240,-ER240*3)</f>
        <v>0</v>
      </c>
      <c r="ET240" s="269" t="b">
        <f>MOD(EN240/1,2)=0</f>
        <v>1</v>
      </c>
      <c r="EU240" s="245">
        <f>IF(ET240=FALSE,1,0)</f>
        <v>0</v>
      </c>
      <c r="EV240" s="245">
        <f>IF(EN240=50,0,IF(EN240&lt;40,1,0))</f>
        <v>1</v>
      </c>
      <c r="EW240" s="245">
        <f>SUM(EU240:EV240)</f>
        <v>1</v>
      </c>
      <c r="EX240" s="267">
        <f>IF(EN240=1,1,IF(EN240=50,0,IF(ES240=1,IF(EN240&gt;40,1,0),0)))</f>
        <v>0</v>
      </c>
      <c r="EY240" s="267">
        <f>IF(ES240=1,IF(EW240=2,1,0),0)+EX240+FB240+FE240</f>
        <v>0</v>
      </c>
      <c r="EZ240" s="245">
        <f>IF(EN240=109,1,IF(EN240=108,1,IF(EN240=106,1,IF(EN240=105,1,IF(EN240=103,1,IF(EN240=102,1,IF(EN240=99,1,0)))))))</f>
        <v>0</v>
      </c>
      <c r="FA240" s="245">
        <f>IF(EN240&gt;110,1,0)</f>
        <v>0</v>
      </c>
      <c r="FB240" s="267">
        <f>IF(ES240=2,SUM(EZ240:FA240),0)</f>
        <v>0</v>
      </c>
      <c r="FC240" s="245">
        <f>IF(EN240=159,1,IF(EN240=162,1,IF(EN240=163,1,IF(EN240=165,1,IF(EN240=166,1,IF(EN240=168,1,IF(EN240=169,1,0)))))))</f>
        <v>0</v>
      </c>
      <c r="FD240" s="245">
        <f>IF(EN240&gt;170,1,0)</f>
        <v>0</v>
      </c>
      <c r="FE240" s="267">
        <f>IF(ES240=0,SUM(FC240:FD240),0)</f>
        <v>0</v>
      </c>
      <c r="FF240" s="251">
        <f>IF(AJ240="",0,IF(AI240="",0,IF(EO240/ER240-3=0,0,1)))</f>
        <v>0</v>
      </c>
      <c r="FG240" s="238"/>
      <c r="FH240" s="245">
        <f>IF(AY240="",0,1)</f>
        <v>0</v>
      </c>
      <c r="FI240" s="245">
        <f>SUM(AY240)</f>
        <v>0</v>
      </c>
      <c r="FJ240" s="268">
        <f>SUM(AX240)</f>
        <v>0</v>
      </c>
      <c r="FK240" s="268">
        <f>SUM(V240/3)</f>
        <v>0</v>
      </c>
      <c r="FL240" s="268" t="e">
        <f>SUM(FJ240/FK240)</f>
        <v>#DIV/0!</v>
      </c>
      <c r="FM240" s="268">
        <f>ROUNDDOWN(FK240,0)</f>
        <v>0</v>
      </c>
      <c r="FN240" s="268">
        <f>SUM(FJ240,-FM240*3)</f>
        <v>0</v>
      </c>
      <c r="FO240" s="269" t="b">
        <f>MOD(FI240/1,2)=0</f>
        <v>1</v>
      </c>
      <c r="FP240" s="245">
        <f>IF(FO240=FALSE,1,0)</f>
        <v>0</v>
      </c>
      <c r="FQ240" s="245">
        <f>IF(FI240=50,0,IF(FI240&lt;40,1,0))</f>
        <v>1</v>
      </c>
      <c r="FR240" s="245">
        <f>SUM(FP240:FQ240)</f>
        <v>1</v>
      </c>
      <c r="FS240" s="267">
        <f>IF(FI240=1,1,IF(FI240=50,0,IF(FN240=1,IF(FI240&gt;40,1,0),0)))</f>
        <v>0</v>
      </c>
      <c r="FT240" s="267">
        <f>IF(FN240=1,IF(FR240=2,1,0),0)+FS240+FW240+FZ240</f>
        <v>0</v>
      </c>
      <c r="FU240" s="245">
        <f>IF(FI240=109,1,IF(FI240=108,1,IF(FI240=106,1,IF(FI240=105,1,IF(FI240=103,1,IF(FI240=102,1,IF(FI240=99,1,0)))))))</f>
        <v>0</v>
      </c>
      <c r="FV240" s="245">
        <f>IF(FI240&gt;110,1,0)</f>
        <v>0</v>
      </c>
      <c r="FW240" s="267">
        <f>IF(FN240=2,SUM(FU240:FV240),0)</f>
        <v>0</v>
      </c>
      <c r="FX240" s="245">
        <f>IF(FI240=159,1,IF(FI240=162,1,IF(FI240=163,1,IF(FI240=165,1,IF(FI240=166,1,IF(FI240=168,1,IF(FI240=169,1,0)))))))</f>
        <v>0</v>
      </c>
      <c r="FY240" s="245">
        <f>IF(FI240&gt;170,1,0)</f>
        <v>0</v>
      </c>
      <c r="FZ240" s="267">
        <f>IF(FN240=0,SUM(FX240:FY240),0)</f>
        <v>0</v>
      </c>
      <c r="GA240" s="251">
        <f>IF(AX240="",0,IF(AW240="",0,IF(FJ240/FM240-3=0,0,1)))</f>
        <v>0</v>
      </c>
      <c r="GD240" s="341">
        <f>IF(AK237="D",1,0)</f>
        <v>0</v>
      </c>
      <c r="GE240" s="343"/>
      <c r="GF240" s="343" t="s">
        <v>866</v>
      </c>
      <c r="GG240" s="343" t="s">
        <v>868</v>
      </c>
      <c r="GH240" s="343" t="s">
        <v>848</v>
      </c>
      <c r="GI240" s="343">
        <v>180</v>
      </c>
      <c r="GJ240" s="343" t="s">
        <v>866</v>
      </c>
      <c r="GK240" s="343" t="s">
        <v>868</v>
      </c>
      <c r="GL240" s="343" t="s">
        <v>848</v>
      </c>
      <c r="GM240" s="343">
        <v>180</v>
      </c>
      <c r="GN240" s="343" t="s">
        <v>866</v>
      </c>
      <c r="GO240" s="343" t="s">
        <v>868</v>
      </c>
      <c r="GP240" s="343" t="s">
        <v>848</v>
      </c>
      <c r="GQ240" s="343">
        <v>180</v>
      </c>
      <c r="GR240" s="343" t="s">
        <v>866</v>
      </c>
      <c r="GS240" s="343" t="s">
        <v>868</v>
      </c>
      <c r="GT240" s="343" t="s">
        <v>848</v>
      </c>
      <c r="GU240" s="343">
        <v>180</v>
      </c>
      <c r="GV240" s="343" t="s">
        <v>866</v>
      </c>
      <c r="GW240" s="343" t="s">
        <v>868</v>
      </c>
      <c r="GX240" s="343" t="s">
        <v>848</v>
      </c>
      <c r="GY240" s="343">
        <v>180</v>
      </c>
      <c r="GZ240" s="343" t="s">
        <v>866</v>
      </c>
      <c r="HA240" s="343" t="s">
        <v>868</v>
      </c>
      <c r="HB240" s="343" t="s">
        <v>848</v>
      </c>
      <c r="HC240" s="343">
        <v>180</v>
      </c>
      <c r="HD240" s="343" t="s">
        <v>866</v>
      </c>
      <c r="HE240" s="343" t="s">
        <v>868</v>
      </c>
      <c r="HF240" s="341" t="s">
        <v>975</v>
      </c>
      <c r="HG240" s="341" t="s">
        <v>976</v>
      </c>
      <c r="HH240" s="341" t="s">
        <v>899</v>
      </c>
      <c r="HJ240" s="238"/>
      <c r="HK240" s="238"/>
      <c r="HL240" s="238"/>
      <c r="HM240" s="238">
        <f>COUNT(HI241,HJ241,HK241,HL241,HM241)</f>
        <v>0</v>
      </c>
      <c r="HN240" s="341"/>
      <c r="HO240" s="341"/>
      <c r="HP240" s="341"/>
      <c r="HQ240" s="341"/>
      <c r="HR240" s="341"/>
      <c r="HS240" s="238"/>
      <c r="HT240" s="238"/>
      <c r="HU240" s="238"/>
      <c r="HV240" s="238"/>
      <c r="HX240" s="238"/>
      <c r="HY240" s="238"/>
      <c r="ID240" s="238"/>
    </row>
    <row r="241" spans="1:238" s="234" customFormat="1" ht="20.100000000000001" customHeight="1">
      <c r="A241" s="235"/>
      <c r="B241" s="231">
        <f>COUNT(AJ242,AJ241)</f>
        <v>0</v>
      </c>
      <c r="C241" s="326">
        <f>IF(DK240="*",AJ237,AI237)</f>
        <v>2.5</v>
      </c>
      <c r="D241" s="253" t="str">
        <f>REPT(DN241,1)</f>
        <v>2</v>
      </c>
      <c r="E241" s="254" t="str">
        <f>REPT(AH241,1)</f>
        <v/>
      </c>
      <c r="F241" s="168"/>
      <c r="G241" s="168"/>
      <c r="H241" s="168"/>
      <c r="I241" s="169"/>
      <c r="J241" s="270" t="str">
        <f>REPT(AM241,1)</f>
        <v/>
      </c>
      <c r="L241" s="306" t="s">
        <v>922</v>
      </c>
      <c r="M241" s="311"/>
      <c r="N241" s="270" t="str">
        <f>REPT(AP241,1)</f>
        <v/>
      </c>
      <c r="P241" s="306" t="s">
        <v>922</v>
      </c>
      <c r="Q241" s="310"/>
      <c r="R241" s="324">
        <f>IF(DL240="*",AJ237,AI237)</f>
        <v>2.5</v>
      </c>
      <c r="S241" s="253" t="str">
        <f>REPT(DO241,1)</f>
        <v>2</v>
      </c>
      <c r="T241" s="254" t="str">
        <f>REPT(AV241,1)</f>
        <v/>
      </c>
      <c r="U241" s="168"/>
      <c r="V241" s="168"/>
      <c r="W241" s="168"/>
      <c r="X241" s="169"/>
      <c r="Y241" s="270" t="str">
        <f t="shared" ref="Y241:Y243" si="576">REPT(BA241,1)</f>
        <v/>
      </c>
      <c r="Z241" s="308"/>
      <c r="AB241" s="234">
        <f>IF(AY241="",0,IF(AY241&lt;2,1,""))</f>
        <v>0</v>
      </c>
      <c r="AC241" s="238">
        <f t="shared" ref="AC241:AC242" si="577">IF(AD241=1,1,IF(AD241=3,1,IF(AD241=2,0,IF(AD241=0,0,0))))</f>
        <v>0</v>
      </c>
      <c r="AD241" s="256">
        <f t="shared" ref="AD241:AD244" si="578">SUM(AE241:AG241)</f>
        <v>0</v>
      </c>
      <c r="AE241" s="256">
        <f t="shared" si="572"/>
        <v>0</v>
      </c>
      <c r="AF241" s="256">
        <f t="shared" si="573"/>
        <v>0</v>
      </c>
      <c r="AG241" s="256">
        <f t="shared" ref="AG241:AG244" si="579">IF(H241="",0,1)</f>
        <v>0</v>
      </c>
      <c r="AH241" s="257" t="str">
        <f>IF(AK241="",IF(AI241="","",IF(AI241="",501,501-AI241)),501)</f>
        <v/>
      </c>
      <c r="AI241" s="256" t="str">
        <f>IF(F241&gt;1,F241,IF(F241=0,"",IF(F241="","","")))</f>
        <v/>
      </c>
      <c r="AJ241" s="256" t="str">
        <f>IF(G241&gt;8,G241,IF(G241="","",""))</f>
        <v/>
      </c>
      <c r="AK241" s="256" t="str">
        <f>IF(H241&gt;1,H241,IF(H241="","",""))</f>
        <v/>
      </c>
      <c r="AL241" s="256" t="str">
        <f>IF(I241&gt;0,I241,IF(I241="","",""))</f>
        <v/>
      </c>
      <c r="AM241" s="258" t="str">
        <f>IF(BK241=0,"","X")</f>
        <v/>
      </c>
      <c r="AN241" s="237"/>
      <c r="AO241" s="237"/>
      <c r="AP241" s="258" t="str">
        <f>IF(BM241=0,"","X")</f>
        <v/>
      </c>
      <c r="AQ241" s="236">
        <f t="shared" ref="AQ241:AQ242" si="580">IF(AR241=1,1,IF(AR241=3,1,IF(AR241=2,0,IF(AR241=0,0,0))))</f>
        <v>0</v>
      </c>
      <c r="AR241" s="256">
        <f t="shared" ref="AR241:AR244" si="581">SUM(AS241:AU241)</f>
        <v>0</v>
      </c>
      <c r="AS241" s="256">
        <f t="shared" si="574"/>
        <v>0</v>
      </c>
      <c r="AT241" s="256">
        <f t="shared" si="575"/>
        <v>0</v>
      </c>
      <c r="AU241" s="256">
        <f t="shared" ref="AU241:AU244" si="582">IF(W241="",0,1)</f>
        <v>0</v>
      </c>
      <c r="AV241" s="257" t="str">
        <f>IF(AY241="",IF(AW241="","",IF(AW241="",501,501-AW241)),501)</f>
        <v/>
      </c>
      <c r="AW241" s="256" t="str">
        <f>IF(U241&gt;1,U241,IF(U241=0,"",IF(U241="","","")))</f>
        <v/>
      </c>
      <c r="AX241" s="256" t="str">
        <f>IF(V241&gt;8,V241,IF(V241="","",""))</f>
        <v/>
      </c>
      <c r="AY241" s="256" t="str">
        <f>IF(W241&gt;1,W241,IF(W241="","",""))</f>
        <v/>
      </c>
      <c r="AZ241" s="256" t="str">
        <f>IF(X241&gt;0,X241,IF(X241="","",""))</f>
        <v/>
      </c>
      <c r="BA241" s="258" t="str">
        <f>IF(BL241=0,"","X")</f>
        <v/>
      </c>
      <c r="BK241" s="251">
        <f>SUM(DD241,DV241,EY241,ED241,FF241,BQ241,BS241,AC241)</f>
        <v>0</v>
      </c>
      <c r="BL241" s="251">
        <f>SUM(DE241,DW241,EE241,FT241,GA241,BR241,BT241,AQ241)</f>
        <v>0</v>
      </c>
      <c r="BM241" s="259">
        <f t="shared" ref="BM241:BM242" si="583">SUM(DC241,BK241:BL241,AC241,AQ241)</f>
        <v>0</v>
      </c>
      <c r="BN241" s="239">
        <f>COUNT(AK241)</f>
        <v>0</v>
      </c>
      <c r="BO241" s="239">
        <f>COUNT(AY241)</f>
        <v>0</v>
      </c>
      <c r="BP241" s="239">
        <f>IF(BN243=0,0,1)</f>
        <v>0</v>
      </c>
      <c r="BQ241" s="260">
        <f>IF(AL241="",0,IF(AL241&gt;2,1,0))</f>
        <v>0</v>
      </c>
      <c r="BR241" s="261">
        <f>IF(AZ241="",0,IF(AZ241&gt;2,1,0))</f>
        <v>0</v>
      </c>
      <c r="BS241" s="262">
        <f>IF(AJ241=9,IF(AK241&lt;141,1,0),0)</f>
        <v>0</v>
      </c>
      <c r="BT241" s="263">
        <f>IF(AX241=9,IF(AY241&lt;141,1,0),0)</f>
        <v>0</v>
      </c>
      <c r="BU241" s="242">
        <f>IF(H241,G241,0)</f>
        <v>0</v>
      </c>
      <c r="BV241" s="238">
        <f>IF(BU241&gt;0,AJ241/3,0)</f>
        <v>0</v>
      </c>
      <c r="BW241" s="238">
        <f>ROUNDUP(BV241,0)</f>
        <v>0</v>
      </c>
      <c r="BX241" s="244">
        <f>IF(MOD(BW241,2)=0,BW241,BW241+1)</f>
        <v>0</v>
      </c>
      <c r="BY241" s="238">
        <f>IF(AJ241&lt;9,"",SUM(BX241-BW241))</f>
        <v>0</v>
      </c>
      <c r="BZ241" s="238">
        <f>IF(BY241=1,AK241,0)</f>
        <v>0</v>
      </c>
      <c r="CA241" s="243" t="str">
        <f>IF(BY241=0,AK241,0)</f>
        <v/>
      </c>
      <c r="CB241" s="238"/>
      <c r="CC241" s="238"/>
      <c r="CD241" s="242">
        <f>IF(W241,V241,0)</f>
        <v>0</v>
      </c>
      <c r="CE241" s="238">
        <f>IF(CD241&gt;0,AX241/3,0)</f>
        <v>0</v>
      </c>
      <c r="CF241" s="238">
        <f>ROUNDUP(CE241,0)</f>
        <v>0</v>
      </c>
      <c r="CG241" s="244">
        <f>IF(MOD(CF241,2)=0,CF241,CF241+1)</f>
        <v>0</v>
      </c>
      <c r="CH241" s="238">
        <f>IF(AX241&lt;9,"",SUM(CG241-CF241))</f>
        <v>0</v>
      </c>
      <c r="CI241" s="238">
        <f>IF(CH241=1,AY241,0)</f>
        <v>0</v>
      </c>
      <c r="CJ241" s="243" t="str">
        <f>IF(CH241=0,AY241,0)</f>
        <v/>
      </c>
      <c r="CK241" s="238"/>
      <c r="CL241" s="245">
        <f>IF(COUNT(F241,H241)=1,0,1)</f>
        <v>1</v>
      </c>
      <c r="CM241" s="245">
        <f>IF(COUNT(F241,U241)=1,0,1)</f>
        <v>1</v>
      </c>
      <c r="CN241" s="245">
        <f>IF(COUNT(H241,W241)=1,0,1)</f>
        <v>1</v>
      </c>
      <c r="CO241" s="245">
        <f>IF(COUNT(G241,V241)=2,0,1)</f>
        <v>1</v>
      </c>
      <c r="CP241" s="245">
        <f>IF(COUNT(U241,W241)=1,0,1)</f>
        <v>1</v>
      </c>
      <c r="CQ241" s="245">
        <f>IF(SUM(G241-V241)&gt;3,1,0)</f>
        <v>0</v>
      </c>
      <c r="CR241" s="245">
        <f>IF(SUM(G241-V241)&lt;-3,1,0)</f>
        <v>0</v>
      </c>
      <c r="CS241" s="264">
        <f>IF(AJ241=9,IF(AH241&lt;141,1,0),IF(AH241="",0,IF(AH241&gt;1,0,1)))</f>
        <v>0</v>
      </c>
      <c r="CT241" s="264">
        <f>IF(AX241=9,IF(AV241&lt;141,1,0),IF(AV241="",0,IF(AV241&gt;1,0,1)))</f>
        <v>0</v>
      </c>
      <c r="CU241" s="264">
        <f>IF(AI241="",0,IF(AI241&lt;502,0,1))</f>
        <v>0</v>
      </c>
      <c r="CV241" s="264">
        <f>IF(AW241="",0,IF(AW241&lt;502,0,1))</f>
        <v>0</v>
      </c>
      <c r="CW241" s="264">
        <f>IF(AI241="",IF(AJ241&lt;9,1,0),IF(AJ241&lt;9,1,0))</f>
        <v>0</v>
      </c>
      <c r="CX241" s="264">
        <f>IF(AW241="",IF(AX241&lt;9,1,0),IF(AX241&lt;9,1,0))</f>
        <v>0</v>
      </c>
      <c r="CY241" s="374"/>
      <c r="CZ241" s="374"/>
      <c r="DA241" s="374"/>
      <c r="DB241" s="374"/>
      <c r="DC241" s="265">
        <f>IF(AJ241="",0,SUM(CL241:CX241))</f>
        <v>0</v>
      </c>
      <c r="DD241" s="265">
        <f>IF(AJ241="",0,SUM(CL241,CS241,CU241,CW241))</f>
        <v>0</v>
      </c>
      <c r="DE241" s="265">
        <f>IF(AJ241="",0,SUM(CP241,CT241,CV241,CX241))</f>
        <v>0</v>
      </c>
      <c r="DF241" s="238"/>
      <c r="DG241" s="248">
        <f>SUM(G241-V241)</f>
        <v>0</v>
      </c>
      <c r="DH241" s="245">
        <f>IF(F241="",0,1)</f>
        <v>0</v>
      </c>
      <c r="DI241" s="245">
        <f t="shared" ref="DI241:DI244" si="584">IF(DG241=0,DH241,DG241)</f>
        <v>0</v>
      </c>
      <c r="DJ241" s="245">
        <f t="shared" ref="DJ241:DJ244" si="585">SIGN(DI241)</f>
        <v>0</v>
      </c>
      <c r="DK241" s="245" t="str">
        <f>IF(G241="","",IF(DJ241=1,"*",""))</f>
        <v/>
      </c>
      <c r="DL241" s="245" t="str">
        <f>IF(G241="","",IF(DJ241=-1,"*",IF(DJ241=0,"*","")))</f>
        <v/>
      </c>
      <c r="DM241" s="245">
        <v>2</v>
      </c>
      <c r="DN241" s="245" t="str">
        <f t="shared" ref="DN241:DN244" si="586">CONCATENATE(DM241,DK241)</f>
        <v>2</v>
      </c>
      <c r="DO241" s="245" t="str">
        <f t="shared" ref="DO241:DO244" si="587">CONCATENATE(DM241,DL241)</f>
        <v>2</v>
      </c>
      <c r="DP241" s="245">
        <f>SUM(DQ240)</f>
        <v>0</v>
      </c>
      <c r="DQ241" s="245">
        <f>SUM(DP240)</f>
        <v>0</v>
      </c>
      <c r="DR241" s="245">
        <f>IF(DK241="*",1,0)</f>
        <v>0</v>
      </c>
      <c r="DS241" s="245">
        <f>IF(DL241="*",1,0)</f>
        <v>0</v>
      </c>
      <c r="DT241" s="245">
        <f>IF(H231="",0,IF(DP241=DR241,1,0))</f>
        <v>0</v>
      </c>
      <c r="DU241" s="245">
        <f>IF(V241="",0,IF(DQ241=DS241,0,1))</f>
        <v>0</v>
      </c>
      <c r="DV241" s="267">
        <f>SUM(DT241)</f>
        <v>0</v>
      </c>
      <c r="DW241" s="267">
        <f>IF(V241="",0,SUM(DU241))</f>
        <v>0</v>
      </c>
      <c r="DX241" s="238">
        <f>IF(AK241="",0,1)</f>
        <v>0</v>
      </c>
      <c r="DY241" s="238">
        <f>IF(DG241=-3,1,0)</f>
        <v>0</v>
      </c>
      <c r="DZ241" s="238">
        <f>SUM(DX241:DY241)</f>
        <v>0</v>
      </c>
      <c r="EA241" s="238">
        <f>IF(AK241="",1,0)</f>
        <v>1</v>
      </c>
      <c r="EB241" s="238">
        <f>IF(DG241=3,1,0)</f>
        <v>0</v>
      </c>
      <c r="EC241" s="238">
        <f>SUM(EA241:EB241)</f>
        <v>1</v>
      </c>
      <c r="ED241" s="267">
        <f>IF(EC241=2,1,0)</f>
        <v>0</v>
      </c>
      <c r="EE241" s="267">
        <f>IF(DZ241=2,1,0)</f>
        <v>0</v>
      </c>
      <c r="EG241" s="166"/>
      <c r="EH241" s="238"/>
      <c r="EI241" s="238"/>
      <c r="EJ241" s="238"/>
      <c r="EK241" s="238"/>
      <c r="EL241" s="238"/>
      <c r="EM241" s="245">
        <f>IF(AK241="",0,1)</f>
        <v>0</v>
      </c>
      <c r="EN241" s="245">
        <f>SUM(AK241)</f>
        <v>0</v>
      </c>
      <c r="EO241" s="268">
        <f>SUM(AJ241)</f>
        <v>0</v>
      </c>
      <c r="EP241" s="268">
        <f>SUM(G241/3)</f>
        <v>0</v>
      </c>
      <c r="EQ241" s="268" t="e">
        <f>SUM(EO241/EP241)</f>
        <v>#DIV/0!</v>
      </c>
      <c r="ER241" s="268">
        <f>ROUNDDOWN(EP241,0)</f>
        <v>0</v>
      </c>
      <c r="ES241" s="268">
        <f>SUM(EO241,-ER241*3)</f>
        <v>0</v>
      </c>
      <c r="ET241" s="269" t="b">
        <f>MOD(EN241/1,2)=0</f>
        <v>1</v>
      </c>
      <c r="EU241" s="245">
        <f>IF(ET241=FALSE,1,0)</f>
        <v>0</v>
      </c>
      <c r="EV241" s="245">
        <f>IF(EN241=50,0,IF(EN241&lt;40,1,0))</f>
        <v>1</v>
      </c>
      <c r="EW241" s="245">
        <f>SUM(EU241:EV241)</f>
        <v>1</v>
      </c>
      <c r="EX241" s="267">
        <f>IF(EN241=1,1,IF(EN241=50,0,IF(ES241=1,IF(EN241&gt;40,1,0),0)))</f>
        <v>0</v>
      </c>
      <c r="EY241" s="267">
        <f>IF(ES241=1,IF(EW241=2,1,0),0)+EX241+FB241+FE241</f>
        <v>0</v>
      </c>
      <c r="EZ241" s="245">
        <f>IF(EN241=109,1,IF(EN241=108,1,IF(EN241=106,1,IF(EN241=105,1,IF(EN241=103,1,IF(EN241=102,1,IF(EN241=99,1,0)))))))</f>
        <v>0</v>
      </c>
      <c r="FA241" s="245">
        <f>IF(EN241&gt;110,1,0)</f>
        <v>0</v>
      </c>
      <c r="FB241" s="267">
        <f>IF(ES241=2,SUM(EZ241:FA241),0)</f>
        <v>0</v>
      </c>
      <c r="FC241" s="245">
        <f>IF(EN241=159,1,IF(EN241=162,1,IF(EN241=163,1,IF(EN241=165,1,IF(EN241=166,1,IF(EN241=168,1,IF(EN241=169,1,0)))))))</f>
        <v>0</v>
      </c>
      <c r="FD241" s="245">
        <f>IF(EN241&gt;170,1,0)</f>
        <v>0</v>
      </c>
      <c r="FE241" s="267">
        <f>IF(ES241=0,SUM(FC241:FD241),0)</f>
        <v>0</v>
      </c>
      <c r="FF241" s="251">
        <f t="shared" ref="FF241:FF244" si="588">IF(AJ241="",0,IF(AI241="",0,IF(EO241/ER241-3=0,0,1)))</f>
        <v>0</v>
      </c>
      <c r="FG241" s="238"/>
      <c r="FH241" s="245">
        <f>IF(AY241="",0,1)</f>
        <v>0</v>
      </c>
      <c r="FI241" s="245">
        <f>SUM(AY241)</f>
        <v>0</v>
      </c>
      <c r="FJ241" s="268">
        <f>SUM(AX241)</f>
        <v>0</v>
      </c>
      <c r="FK241" s="268">
        <f>SUM(V241/3)</f>
        <v>0</v>
      </c>
      <c r="FL241" s="268" t="e">
        <f>SUM(FJ241/FK241)</f>
        <v>#DIV/0!</v>
      </c>
      <c r="FM241" s="268">
        <f>ROUNDDOWN(FK241,0)</f>
        <v>0</v>
      </c>
      <c r="FN241" s="268">
        <f>SUM(FJ241,-FM241*3)</f>
        <v>0</v>
      </c>
      <c r="FO241" s="269" t="b">
        <f>MOD(FI241/1,2)=0</f>
        <v>1</v>
      </c>
      <c r="FP241" s="245">
        <f>IF(FO241=FALSE,1,0)</f>
        <v>0</v>
      </c>
      <c r="FQ241" s="245">
        <f>IF(FI241=50,0,IF(FI241&lt;40,1,0))</f>
        <v>1</v>
      </c>
      <c r="FR241" s="245">
        <f>SUM(FP241:FQ241)</f>
        <v>1</v>
      </c>
      <c r="FS241" s="267">
        <f>IF(FI241=1,1,IF(FI241=50,0,IF(FN241=1,IF(FI241&gt;40,1,0),0)))</f>
        <v>0</v>
      </c>
      <c r="FT241" s="267">
        <f>IF(FN241=1,IF(FR241=2,1,0),0)+FS241+FW241+FZ241</f>
        <v>0</v>
      </c>
      <c r="FU241" s="245">
        <f>IF(FI241=109,1,IF(FI241=108,1,IF(FI241=106,1,IF(FI241=105,1,IF(FI241=103,1,IF(FI241=102,1,IF(FI241=99,1,0)))))))</f>
        <v>0</v>
      </c>
      <c r="FV241" s="245">
        <f>IF(FI241&gt;110,1,0)</f>
        <v>0</v>
      </c>
      <c r="FW241" s="267">
        <f>IF(FN241=2,SUM(FU241:FV241),0)</f>
        <v>0</v>
      </c>
      <c r="FX241" s="245">
        <f>IF(FI241=159,1,IF(FI241=162,1,IF(FI241=163,1,IF(FI241=165,1,IF(FI241=166,1,IF(FI241=168,1,IF(FI241=169,1,0)))))))</f>
        <v>0</v>
      </c>
      <c r="FY241" s="245">
        <f>IF(FI241&gt;170,1,0)</f>
        <v>0</v>
      </c>
      <c r="FZ241" s="267">
        <f>IF(FN241=0,SUM(FX241:FY241),0)</f>
        <v>0</v>
      </c>
      <c r="GA241" s="251">
        <f t="shared" ref="GA241:GA244" si="589">IF(AX241="",0,IF(AW241="",0,IF(FJ241/FM241-3=0,0,1)))</f>
        <v>0</v>
      </c>
      <c r="GC241" s="238" t="str">
        <f>VLOOKUP(AH237,Chema!BL:BR,2,FALSE)</f>
        <v>HS 2.5</v>
      </c>
      <c r="GD241" s="341">
        <f>IF(E247="FORFAIT",1,0)</f>
        <v>0</v>
      </c>
      <c r="GE241" s="343" t="str">
        <f>IF(C247="","",SUM(C247))</f>
        <v/>
      </c>
      <c r="GF241" s="344">
        <f>SUM(AH240)</f>
        <v>0</v>
      </c>
      <c r="GG241" s="344">
        <f>SUM(AJ240)</f>
        <v>0</v>
      </c>
      <c r="GH241" s="344">
        <f t="shared" ref="GH241" si="590">SUM(AK240)</f>
        <v>0</v>
      </c>
      <c r="GI241" s="344">
        <f t="shared" ref="GI241" si="591">SUM(AL240)</f>
        <v>0</v>
      </c>
      <c r="GJ241" s="344">
        <f>SUM(AH241)</f>
        <v>0</v>
      </c>
      <c r="GK241" s="344">
        <f>SUM(AJ241)</f>
        <v>0</v>
      </c>
      <c r="GL241" s="344">
        <f>SUM(AK241)</f>
        <v>0</v>
      </c>
      <c r="GM241" s="344">
        <f>SUM(AL241)</f>
        <v>0</v>
      </c>
      <c r="GN241" s="344">
        <f>SUM(AH242)</f>
        <v>0</v>
      </c>
      <c r="GO241" s="344">
        <f>SUM(AJ242)</f>
        <v>0</v>
      </c>
      <c r="GP241" s="344">
        <f>SUM(AK242)</f>
        <v>0</v>
      </c>
      <c r="GQ241" s="344">
        <f>SUM(AL242)</f>
        <v>0</v>
      </c>
      <c r="GR241" s="344">
        <f>SUM(AH243)</f>
        <v>0</v>
      </c>
      <c r="GS241" s="344">
        <f>SUM(AJ243)</f>
        <v>0</v>
      </c>
      <c r="GT241" s="344">
        <f>SUM(AK243)</f>
        <v>0</v>
      </c>
      <c r="GU241" s="344">
        <f>SUM(AL243)</f>
        <v>0</v>
      </c>
      <c r="GV241" s="344">
        <f>SUM(AH244)</f>
        <v>0</v>
      </c>
      <c r="GW241" s="344">
        <f>SUM(AJ244)</f>
        <v>0</v>
      </c>
      <c r="GX241" s="344">
        <f>SUM(AK244)</f>
        <v>0</v>
      </c>
      <c r="GY241" s="344">
        <f>SUM(AL244)</f>
        <v>0</v>
      </c>
      <c r="GZ241" s="344">
        <f>SUM(GF241,GJ241,GN241,GR241,GV241)</f>
        <v>0</v>
      </c>
      <c r="HA241" s="344">
        <f t="shared" ref="HA241" si="592">SUM(GG241,GK241,GO241,GS241,GW241)</f>
        <v>0</v>
      </c>
      <c r="HB241" s="344">
        <f>IF(GD240=1,L247,MAX(GH241,GL241,GP241,GT241,GX241))</f>
        <v>0</v>
      </c>
      <c r="HC241" s="344">
        <f>IF(GD240=1,I247,SUM(GI241,GM241,GQ241,GU241,GY241))</f>
        <v>0</v>
      </c>
      <c r="HD241" s="345">
        <f>IF(GD240=1,0,SUM(GF241,GJ241,GN241,GR241,GV241))</f>
        <v>0</v>
      </c>
      <c r="HE241" s="345">
        <f>IF(GD240=1,0,SUM(GG241,GK241,GO241,GS241,GW241))</f>
        <v>0</v>
      </c>
      <c r="HF241" s="341">
        <f>IF(GD240=1,0,MIN(HI241,HJ241,HK241,HL241,HM241))</f>
        <v>0</v>
      </c>
      <c r="HG241" s="341">
        <f>IF(HF241=0,0,COUNTIF(HI241:HM241,HF241))</f>
        <v>0</v>
      </c>
      <c r="HH241" s="341">
        <f>SUM(GH242,GL242,GP242,GT242,GX242)</f>
        <v>0</v>
      </c>
      <c r="HI241" s="343" t="str">
        <f>IF(GH242=1,GG241,"")</f>
        <v/>
      </c>
      <c r="HJ241" s="343" t="str">
        <f>IF(GL242=1,GK241,"")</f>
        <v/>
      </c>
      <c r="HK241" s="343" t="str">
        <f>IF(GP242=1,GO241,"")</f>
        <v/>
      </c>
      <c r="HL241" s="343" t="str">
        <f>IF(GT242=1,GS241,"")</f>
        <v/>
      </c>
      <c r="HM241" s="343" t="str">
        <f>IF(GX242=1,GW241,"")</f>
        <v/>
      </c>
      <c r="HN241" s="341"/>
      <c r="HO241" s="341" t="s">
        <v>928</v>
      </c>
      <c r="HP241" s="341" t="s">
        <v>982</v>
      </c>
      <c r="HQ241" s="341" t="s">
        <v>983</v>
      </c>
      <c r="HR241" s="341" t="s">
        <v>984</v>
      </c>
      <c r="HS241" s="238" t="s">
        <v>932</v>
      </c>
      <c r="HT241" s="238" t="s">
        <v>933</v>
      </c>
      <c r="HU241" s="238" t="s">
        <v>985</v>
      </c>
      <c r="HV241" s="238" t="s">
        <v>986</v>
      </c>
      <c r="HW241" s="238" t="str">
        <f>IFERROR(IF(GD240=0,SUM(HZ242:IA242),""),"")</f>
        <v/>
      </c>
      <c r="HY241" s="238"/>
      <c r="HZ241" s="238" t="s">
        <v>1132</v>
      </c>
      <c r="IA241" s="238" t="s">
        <v>1133</v>
      </c>
      <c r="IB241" s="238" t="s">
        <v>1132</v>
      </c>
      <c r="IC241" s="238" t="s">
        <v>1133</v>
      </c>
      <c r="ID241" s="238"/>
    </row>
    <row r="242" spans="1:238" s="234" customFormat="1" ht="20.100000000000001" customHeight="1">
      <c r="A242" s="235"/>
      <c r="B242" s="231">
        <f>COUNT(AJ243,AJ242)</f>
        <v>0</v>
      </c>
      <c r="C242" s="235"/>
      <c r="D242" s="271" t="str">
        <f>REPT(DN242,1)</f>
        <v>3</v>
      </c>
      <c r="E242" s="254" t="str">
        <f>REPT(AH242,1)</f>
        <v/>
      </c>
      <c r="F242" s="168"/>
      <c r="G242" s="168"/>
      <c r="H242" s="168"/>
      <c r="I242" s="169"/>
      <c r="J242" s="270" t="str">
        <f t="shared" ref="J242:J243" si="593">REPT(AM242,1)</f>
        <v/>
      </c>
      <c r="L242" s="312">
        <f>SUM(L240*3)</f>
        <v>0</v>
      </c>
      <c r="M242" s="307"/>
      <c r="N242" s="270" t="str">
        <f>REPT(AP242,1)</f>
        <v/>
      </c>
      <c r="P242" s="312">
        <f>SUM(P240*3)</f>
        <v>0</v>
      </c>
      <c r="Q242" s="310"/>
      <c r="R242" s="235"/>
      <c r="S242" s="271" t="str">
        <f>REPT(DO242,1)</f>
        <v>3</v>
      </c>
      <c r="T242" s="254" t="str">
        <f>REPT(AV242,1)</f>
        <v/>
      </c>
      <c r="U242" s="168"/>
      <c r="V242" s="168"/>
      <c r="W242" s="168"/>
      <c r="X242" s="169"/>
      <c r="Y242" s="270" t="str">
        <f t="shared" si="576"/>
        <v/>
      </c>
      <c r="Z242" s="308"/>
      <c r="AB242" s="234">
        <f>IF(AY242="",0,IF(AY242&lt;2,1,""))</f>
        <v>0</v>
      </c>
      <c r="AC242" s="238">
        <f t="shared" si="577"/>
        <v>0</v>
      </c>
      <c r="AD242" s="256">
        <f t="shared" si="578"/>
        <v>0</v>
      </c>
      <c r="AE242" s="256">
        <f t="shared" si="572"/>
        <v>0</v>
      </c>
      <c r="AF242" s="256">
        <f t="shared" si="573"/>
        <v>0</v>
      </c>
      <c r="AG242" s="256">
        <f t="shared" si="579"/>
        <v>0</v>
      </c>
      <c r="AH242" s="257" t="str">
        <f>IF(AK242="",IF(AI242="","",IF(AI242="",501,501-AI242)),501)</f>
        <v/>
      </c>
      <c r="AI242" s="256" t="str">
        <f>IF(F242&gt;1,F242,IF(F242=0,"",IF(F242="","","")))</f>
        <v/>
      </c>
      <c r="AJ242" s="256" t="str">
        <f>IF(G242&gt;8,G242,IF(G242="","",""))</f>
        <v/>
      </c>
      <c r="AK242" s="256" t="str">
        <f>IF(H242&gt;1,H242,IF(H242="","",""))</f>
        <v/>
      </c>
      <c r="AL242" s="256" t="str">
        <f>IF(I242&gt;0,I242,IF(I242="","",""))</f>
        <v/>
      </c>
      <c r="AM242" s="258" t="str">
        <f>IF(BK242=0,"","X")</f>
        <v/>
      </c>
      <c r="AN242" s="237"/>
      <c r="AO242" s="237"/>
      <c r="AP242" s="258" t="str">
        <f>IF(BM242=0,"","X")</f>
        <v/>
      </c>
      <c r="AQ242" s="236">
        <f t="shared" si="580"/>
        <v>0</v>
      </c>
      <c r="AR242" s="256">
        <f t="shared" si="581"/>
        <v>0</v>
      </c>
      <c r="AS242" s="256">
        <f t="shared" si="574"/>
        <v>0</v>
      </c>
      <c r="AT242" s="256">
        <f t="shared" si="575"/>
        <v>0</v>
      </c>
      <c r="AU242" s="256">
        <f t="shared" si="582"/>
        <v>0</v>
      </c>
      <c r="AV242" s="257" t="str">
        <f>IF(AY242="",IF(AW242="","",IF(AW242="",501,501-AW242)),501)</f>
        <v/>
      </c>
      <c r="AW242" s="256" t="str">
        <f>IF(U242&gt;1,U242,IF(U242=0,"",IF(U242="","","")))</f>
        <v/>
      </c>
      <c r="AX242" s="256" t="str">
        <f>IF(V242&gt;8,V242,IF(V242="","",""))</f>
        <v/>
      </c>
      <c r="AY242" s="256" t="str">
        <f>IF(W242&gt;1,W242,IF(W242="","",""))</f>
        <v/>
      </c>
      <c r="AZ242" s="256" t="str">
        <f>IF(X242&gt;0,X242,IF(X242="","",""))</f>
        <v/>
      </c>
      <c r="BA242" s="258" t="str">
        <f>IF(BL242=0,"","X")</f>
        <v/>
      </c>
      <c r="BK242" s="251">
        <f>SUM(DD242,DV242,EY242,ED242,FF242,BQ242,BS242,AC242,BK249)</f>
        <v>0</v>
      </c>
      <c r="BL242" s="251">
        <f>SUM(DE242,DW242,EE242,FT242,GA242,BR242,BT242,AQ242,BL249,CZ242)</f>
        <v>0</v>
      </c>
      <c r="BM242" s="259">
        <f t="shared" si="583"/>
        <v>0</v>
      </c>
      <c r="BN242" s="239">
        <f>COUNT(AK242)</f>
        <v>0</v>
      </c>
      <c r="BO242" s="239">
        <f>COUNT(AY242)</f>
        <v>0</v>
      </c>
      <c r="BP242" s="239">
        <f>IF(BN244=0,0,1)</f>
        <v>0</v>
      </c>
      <c r="BQ242" s="260">
        <f>IF(AL242="",0,IF(AL242&gt;2,1,0))</f>
        <v>0</v>
      </c>
      <c r="BR242" s="261">
        <f>IF(AZ242="",0,IF(AZ242&gt;2,1,0))</f>
        <v>0</v>
      </c>
      <c r="BS242" s="262">
        <f>IF(AJ242=9,IF(AK242&lt;141,1,0),0)</f>
        <v>0</v>
      </c>
      <c r="BT242" s="263">
        <f>IF(AX242=9,IF(AY242&lt;141,1,0),0)</f>
        <v>0</v>
      </c>
      <c r="BU242" s="242">
        <f>IF(H242,G242,0)</f>
        <v>0</v>
      </c>
      <c r="BV242" s="238">
        <f>IF(BU242&gt;0,AJ242/3,0)</f>
        <v>0</v>
      </c>
      <c r="BW242" s="238">
        <f>ROUNDUP(BV242,0)</f>
        <v>0</v>
      </c>
      <c r="BX242" s="244">
        <f>IF(MOD(BW242,2)=0,BW242,BW242+1)</f>
        <v>0</v>
      </c>
      <c r="BY242" s="238">
        <f>IF(AJ242&lt;9,"",SUM(BX242-BW242))</f>
        <v>0</v>
      </c>
      <c r="BZ242" s="238">
        <f>IF(BY242=1,AK242,0)</f>
        <v>0</v>
      </c>
      <c r="CA242" s="243" t="str">
        <f>IF(BY242=0,AK242,0)</f>
        <v/>
      </c>
      <c r="CB242" s="238"/>
      <c r="CC242" s="238"/>
      <c r="CD242" s="242">
        <f>IF(W242,V242,0)</f>
        <v>0</v>
      </c>
      <c r="CE242" s="238">
        <f>IF(CD242&gt;0,AX242/3,0)</f>
        <v>0</v>
      </c>
      <c r="CF242" s="238">
        <f>ROUNDUP(CE242,0)</f>
        <v>0</v>
      </c>
      <c r="CG242" s="244">
        <f>IF(MOD(CF242,2)=0,CF242,CF242+1)</f>
        <v>0</v>
      </c>
      <c r="CH242" s="238">
        <f>IF(AX242&lt;9,"",SUM(CG242-CF242))</f>
        <v>0</v>
      </c>
      <c r="CI242" s="238">
        <f>IF(CH242=1,AY242,0)</f>
        <v>0</v>
      </c>
      <c r="CJ242" s="243" t="str">
        <f>IF(CH242=0,AY242,0)</f>
        <v/>
      </c>
      <c r="CK242" s="238"/>
      <c r="CL242" s="245">
        <f>IF(COUNT(F242,H242)=1,0,1)</f>
        <v>1</v>
      </c>
      <c r="CM242" s="245">
        <f>IF(COUNT(F242,U242)=1,0,1)</f>
        <v>1</v>
      </c>
      <c r="CN242" s="245">
        <f>IF(COUNT(H242,W242)=1,0,1)</f>
        <v>1</v>
      </c>
      <c r="CO242" s="245">
        <f>IF(COUNT(G242,V242)=2,0,1)</f>
        <v>1</v>
      </c>
      <c r="CP242" s="245">
        <f>IF(COUNT(U242,W242)=1,0,1)</f>
        <v>1</v>
      </c>
      <c r="CQ242" s="245">
        <f>IF(SUM(G242-V242)&gt;3,1,0)</f>
        <v>0</v>
      </c>
      <c r="CR242" s="245">
        <f>IF(SUM(G242-V242)&lt;-3,1,0)</f>
        <v>0</v>
      </c>
      <c r="CS242" s="264">
        <f>IF(AJ242=9,IF(AH242&lt;141,1,0),IF(AH242="",0,IF(AH242&gt;1,0,1)))</f>
        <v>0</v>
      </c>
      <c r="CT242" s="264">
        <f>IF(AX242=9,IF(AV242&lt;141,1,0),IF(AV242="",0,IF(AV242&gt;1,0,1)))</f>
        <v>0</v>
      </c>
      <c r="CU242" s="264">
        <f>IF(AI242="",0,IF(AI242&lt;502,0,1))</f>
        <v>0</v>
      </c>
      <c r="CV242" s="264">
        <f>IF(AW242="",0,IF(AW242&lt;502,0,1))</f>
        <v>0</v>
      </c>
      <c r="CW242" s="264">
        <f>IF(AI242="",IF(AJ242&lt;9,1,0),IF(AJ242&lt;9,1,0))</f>
        <v>0</v>
      </c>
      <c r="CX242" s="264">
        <f>IF(AW242="",IF(AX242&lt;9,1,0),IF(AX242&lt;9,1,0))</f>
        <v>0</v>
      </c>
      <c r="CY242" s="374">
        <f>COUNT(U240,U241,U242)</f>
        <v>0</v>
      </c>
      <c r="CZ242" s="375">
        <f>IF(AL237=3,IF(CY242&gt;2,1,0),0)</f>
        <v>0</v>
      </c>
      <c r="DA242" s="374"/>
      <c r="DB242" s="374"/>
      <c r="DC242" s="265">
        <f>IF(AJ242="",0,SUM(CL242:CX242))</f>
        <v>0</v>
      </c>
      <c r="DD242" s="265">
        <f>IF(AJ242="",0,SUM(CL242,CS242,CU242,CW242))</f>
        <v>0</v>
      </c>
      <c r="DE242" s="265">
        <f>IF(AJ242="",0,SUM(CP242,CT242,CV242,CX242))</f>
        <v>0</v>
      </c>
      <c r="DF242" s="238"/>
      <c r="DG242" s="248">
        <f>SUM(G242-V242)</f>
        <v>0</v>
      </c>
      <c r="DH242" s="245">
        <f>IF(F242="",0,1)</f>
        <v>0</v>
      </c>
      <c r="DI242" s="245">
        <f t="shared" si="584"/>
        <v>0</v>
      </c>
      <c r="DJ242" s="245">
        <f t="shared" si="585"/>
        <v>0</v>
      </c>
      <c r="DK242" s="245" t="str">
        <f>IF(G242="","",IF(DJ242=1,"*",""))</f>
        <v/>
      </c>
      <c r="DL242" s="245" t="str">
        <f>IF(G242="","",IF(DJ242=-1,"*",IF(DJ242=0,"*","")))</f>
        <v/>
      </c>
      <c r="DM242" s="245">
        <v>3</v>
      </c>
      <c r="DN242" s="245" t="str">
        <f t="shared" si="586"/>
        <v>3</v>
      </c>
      <c r="DO242" s="245" t="str">
        <f t="shared" si="587"/>
        <v>3</v>
      </c>
      <c r="DP242" s="245">
        <f>SUM(DP240)</f>
        <v>0</v>
      </c>
      <c r="DQ242" s="245">
        <f>SUM(DQ240)</f>
        <v>0</v>
      </c>
      <c r="DR242" s="245">
        <f t="shared" ref="DR242:DR244" si="594">IF(DK242="*",1,0)</f>
        <v>0</v>
      </c>
      <c r="DS242" s="245">
        <f t="shared" ref="DS242:DS244" si="595">IF(DL242="*",1,0)</f>
        <v>0</v>
      </c>
      <c r="DT242" s="245">
        <f t="shared" ref="DT242:DT244" si="596">IF(H232="",0,IF(DP242=DR242,1,0))</f>
        <v>0</v>
      </c>
      <c r="DU242" s="245">
        <f>IF(V242="",0,IF(DQ242=DS242,0,1))</f>
        <v>0</v>
      </c>
      <c r="DV242" s="267">
        <f t="shared" ref="DV242:DV244" si="597">SUM(DT242)</f>
        <v>0</v>
      </c>
      <c r="DW242" s="267">
        <f>IF(V242="",0,SUM(DU242))</f>
        <v>0</v>
      </c>
      <c r="DX242" s="238">
        <f>IF(AK242="",0,1)</f>
        <v>0</v>
      </c>
      <c r="DY242" s="238">
        <f>IF(DG242=-3,1,0)</f>
        <v>0</v>
      </c>
      <c r="DZ242" s="238">
        <f>SUM(DX242:DY242)</f>
        <v>0</v>
      </c>
      <c r="EA242" s="238">
        <f>IF(AK242="",1,0)</f>
        <v>1</v>
      </c>
      <c r="EB242" s="238">
        <f>IF(DG242=3,1,0)</f>
        <v>0</v>
      </c>
      <c r="EC242" s="238">
        <f>SUM(EA242:EB242)</f>
        <v>1</v>
      </c>
      <c r="ED242" s="267">
        <f>IF(EC242=2,1,0)</f>
        <v>0</v>
      </c>
      <c r="EE242" s="267">
        <f>IF(DZ242=2,1,0)</f>
        <v>0</v>
      </c>
      <c r="EG242" s="166"/>
      <c r="EH242" s="238"/>
      <c r="EI242" s="238"/>
      <c r="EJ242" s="238"/>
      <c r="EK242" s="238"/>
      <c r="EL242" s="238"/>
      <c r="EM242" s="245">
        <f>IF(AK242="",0,1)</f>
        <v>0</v>
      </c>
      <c r="EN242" s="245">
        <f>SUM(AK242)</f>
        <v>0</v>
      </c>
      <c r="EO242" s="268">
        <f>SUM(AJ242)</f>
        <v>0</v>
      </c>
      <c r="EP242" s="268">
        <f>SUM(G242/3)</f>
        <v>0</v>
      </c>
      <c r="EQ242" s="268" t="e">
        <f>SUM(EO242/EP242)</f>
        <v>#DIV/0!</v>
      </c>
      <c r="ER242" s="268">
        <f>ROUNDDOWN(EP242,0)</f>
        <v>0</v>
      </c>
      <c r="ES242" s="268">
        <f>SUM(EO242,-ER242*3)</f>
        <v>0</v>
      </c>
      <c r="ET242" s="269" t="b">
        <f>MOD(EN242/1,2)=0</f>
        <v>1</v>
      </c>
      <c r="EU242" s="245">
        <f>IF(ET242=FALSE,1,0)</f>
        <v>0</v>
      </c>
      <c r="EV242" s="245">
        <f>IF(EN242=50,0,IF(EN242&lt;40,1,0))</f>
        <v>1</v>
      </c>
      <c r="EW242" s="245">
        <f>SUM(EU242:EV242)</f>
        <v>1</v>
      </c>
      <c r="EX242" s="267">
        <f>IF(EN242=1,1,IF(EN242=50,0,IF(ES242=1,IF(EN242&gt;40,1,0),0)))</f>
        <v>0</v>
      </c>
      <c r="EY242" s="267">
        <f>IF(ES242=1,IF(EW242=2,1,0),0)+EX242+FB242+FE242</f>
        <v>0</v>
      </c>
      <c r="EZ242" s="245">
        <f>IF(EN242=109,1,IF(EN242=108,1,IF(EN242=106,1,IF(EN242=105,1,IF(EN242=103,1,IF(EN242=102,1,IF(EN242=99,1,0)))))))</f>
        <v>0</v>
      </c>
      <c r="FA242" s="245">
        <f>IF(EN242&gt;110,1,0)</f>
        <v>0</v>
      </c>
      <c r="FB242" s="267">
        <f>IF(ES242=2,SUM(EZ242:FA242),0)</f>
        <v>0</v>
      </c>
      <c r="FC242" s="245">
        <f>IF(EN242=159,1,IF(EN242=162,1,IF(EN242=163,1,IF(EN242=165,1,IF(EN242=166,1,IF(EN242=168,1,IF(EN242=169,1,0)))))))</f>
        <v>0</v>
      </c>
      <c r="FD242" s="245">
        <f>IF(EN242&gt;170,1,0)</f>
        <v>0</v>
      </c>
      <c r="FE242" s="267">
        <f>IF(ES242=0,SUM(FC242:FD242),0)</f>
        <v>0</v>
      </c>
      <c r="FF242" s="251">
        <f t="shared" si="588"/>
        <v>0</v>
      </c>
      <c r="FG242" s="238"/>
      <c r="FH242" s="245">
        <f>IF(AY242="",0,1)</f>
        <v>0</v>
      </c>
      <c r="FI242" s="245">
        <f>SUM(AY242)</f>
        <v>0</v>
      </c>
      <c r="FJ242" s="268">
        <f>SUM(AX242)</f>
        <v>0</v>
      </c>
      <c r="FK242" s="268">
        <f>SUM(V242/3)</f>
        <v>0</v>
      </c>
      <c r="FL242" s="268" t="e">
        <f>SUM(FJ242/FK242)</f>
        <v>#DIV/0!</v>
      </c>
      <c r="FM242" s="268">
        <f>ROUNDDOWN(FK242,0)</f>
        <v>0</v>
      </c>
      <c r="FN242" s="268">
        <f>SUM(FJ242,-FM242*3)</f>
        <v>0</v>
      </c>
      <c r="FO242" s="269" t="b">
        <f>MOD(FI242/1,2)=0</f>
        <v>1</v>
      </c>
      <c r="FP242" s="245">
        <f>IF(FO242=FALSE,1,0)</f>
        <v>0</v>
      </c>
      <c r="FQ242" s="245">
        <f>IF(FI242=50,0,IF(FI242&lt;40,1,0))</f>
        <v>1</v>
      </c>
      <c r="FR242" s="245">
        <f>SUM(FP242:FQ242)</f>
        <v>1</v>
      </c>
      <c r="FS242" s="267">
        <f>IF(FI242=1,1,IF(FI242=50,0,IF(FN242=1,IF(FI242&gt;40,1,0),0)))</f>
        <v>0</v>
      </c>
      <c r="FT242" s="267">
        <f>IF(FN242=1,IF(FR242=2,1,0),0)+FS242+FW242+FZ242</f>
        <v>0</v>
      </c>
      <c r="FU242" s="245">
        <f>IF(FI242=109,1,IF(FI242=108,1,IF(FI242=106,1,IF(FI242=105,1,IF(FI242=103,1,IF(FI242=102,1,IF(FI242=99,1,0)))))))</f>
        <v>0</v>
      </c>
      <c r="FV242" s="245">
        <f>IF(FI242&gt;110,1,0)</f>
        <v>0</v>
      </c>
      <c r="FW242" s="267">
        <f>IF(FN242=2,SUM(FU242:FV242),0)</f>
        <v>0</v>
      </c>
      <c r="FX242" s="245">
        <f>IF(FI242=159,1,IF(FI242=162,1,IF(FI242=163,1,IF(FI242=165,1,IF(FI242=166,1,IF(FI242=168,1,IF(FI242=169,1,0)))))))</f>
        <v>0</v>
      </c>
      <c r="FY242" s="245">
        <f>IF(FI242&gt;170,1,0)</f>
        <v>0</v>
      </c>
      <c r="FZ242" s="267">
        <f>IF(FN242=0,SUM(FX242:FY242),0)</f>
        <v>0</v>
      </c>
      <c r="GA242" s="251">
        <f t="shared" si="589"/>
        <v>0</v>
      </c>
      <c r="GC242" s="238" t="str">
        <f>VLOOKUP(AH237,Chema!BL:BR,3,FALSE)</f>
        <v/>
      </c>
      <c r="GD242" s="341"/>
      <c r="GE242" s="343" t="str">
        <f>IF(C248="","",SUM(C248))</f>
        <v/>
      </c>
      <c r="GF242" s="346"/>
      <c r="GG242" s="340"/>
      <c r="GH242" s="343">
        <f>IF(GH241&gt;0,1,0)</f>
        <v>0</v>
      </c>
      <c r="GI242" s="346"/>
      <c r="GJ242" s="343"/>
      <c r="GK242" s="340"/>
      <c r="GL242" s="343">
        <f>IF(GL241&gt;0,1,0)</f>
        <v>0</v>
      </c>
      <c r="GM242" s="343"/>
      <c r="GN242" s="343"/>
      <c r="GO242" s="340"/>
      <c r="GP242" s="343">
        <f>IF(GP241&gt;0,1,0)</f>
        <v>0</v>
      </c>
      <c r="GQ242" s="343"/>
      <c r="GR242" s="343"/>
      <c r="GS242" s="340"/>
      <c r="GT242" s="343">
        <f>IF(GT241&gt;0,1,0)</f>
        <v>0</v>
      </c>
      <c r="GU242" s="343"/>
      <c r="GV242" s="343"/>
      <c r="GW242" s="340"/>
      <c r="GX242" s="343">
        <f>IF(GX241&gt;0,1,0)</f>
        <v>0</v>
      </c>
      <c r="GY242" s="343"/>
      <c r="GZ242" s="343"/>
      <c r="HA242" s="343"/>
      <c r="HB242" s="343" t="str">
        <f>IF(GD240=1,L248,"")</f>
        <v/>
      </c>
      <c r="HC242" s="343" t="str">
        <f>IF(GD240=1,I248,"")</f>
        <v/>
      </c>
      <c r="HD242" s="345"/>
      <c r="HE242" s="340"/>
      <c r="HF242" s="340"/>
      <c r="HG242" s="347">
        <f>IF(GE241="",0,IF(AL237=3,2,IF(AL237=5,3,0)))</f>
        <v>0</v>
      </c>
      <c r="HH242" s="347">
        <f>IF(HK242=0,0,IF(HG244=0,0,1))</f>
        <v>0</v>
      </c>
      <c r="HI242" s="340"/>
      <c r="HJ242" s="340"/>
      <c r="HK242" s="340">
        <f>SUM(HM240,HM244)</f>
        <v>0</v>
      </c>
      <c r="HL242" s="340">
        <f>IF(HK242=0,0,IF(HM240=HG242,1,0))</f>
        <v>0</v>
      </c>
      <c r="HM242" s="340">
        <f>IF(HK242=0,0,IF(HM244=HG242,1,0))</f>
        <v>0</v>
      </c>
      <c r="HN242" s="341" t="str">
        <f>REPT(N237,1)</f>
        <v>Spiel 17</v>
      </c>
      <c r="HO242" s="348" t="str">
        <f>IF(HK242=0,"",IF(HH242=0,SUM(HH241),""))</f>
        <v/>
      </c>
      <c r="HP242" s="348" t="str">
        <f>IF(HK242=0,"",IF(HH242=0,SUM(HH243),""))</f>
        <v/>
      </c>
      <c r="HQ242" s="348" t="e">
        <f>IF(HH242=0,SUM(GZ241/HA241),"")</f>
        <v>#DIV/0!</v>
      </c>
      <c r="HR242" s="348" t="e">
        <f>IF(HH242=0,SUM(GZ243/HA243),"")</f>
        <v>#DIV/0!</v>
      </c>
      <c r="HS242" s="238" t="str">
        <f>REPT(DK240,1)</f>
        <v/>
      </c>
      <c r="HT242" s="238" t="str">
        <f>REPT(DL240,1)</f>
        <v/>
      </c>
      <c r="HU242" s="238">
        <f>IF(HH242=0,HL242,"")</f>
        <v>0</v>
      </c>
      <c r="HV242" s="238">
        <f>IF(HH242=0,HM242,"")</f>
        <v>0</v>
      </c>
      <c r="HW242" s="238" t="s">
        <v>1131</v>
      </c>
      <c r="HY242" s="238"/>
      <c r="HZ242" s="238" t="e">
        <f>IF(AL237=5,IF(HU242=1,SUM(HO242*2-HP242),HO242+HP242-2),"")</f>
        <v>#VALUE!</v>
      </c>
      <c r="IA242" s="238" t="str">
        <f>IF(AL237=3,IF(HU242=1,SUM(HO242-HP242+3),HO242+HP242-1),"")</f>
        <v/>
      </c>
      <c r="IB242" s="238" t="e">
        <f>IF(AL237=5,IF(HV242=1,SUM(HP242*2-HO242),HO242+HP242-2),"")</f>
        <v>#VALUE!</v>
      </c>
      <c r="IC242" s="238" t="str">
        <f>IF(AL237=3,IF(HV242=1,SUM(HP242-HO242+3),HO242+HP242-1),"")</f>
        <v/>
      </c>
      <c r="ID242" s="238">
        <f>SUM(BM246)</f>
        <v>0</v>
      </c>
    </row>
    <row r="243" spans="1:238" s="234" customFormat="1" ht="20.100000000000001" customHeight="1">
      <c r="A243" s="235"/>
      <c r="B243" s="231">
        <f>COUNT(AJ244,AJ243)</f>
        <v>0</v>
      </c>
      <c r="C243" s="235"/>
      <c r="D243" s="328" t="str">
        <f>REPT(DN243,1)</f>
        <v>4</v>
      </c>
      <c r="E243" s="329" t="str">
        <f>REPT(AH243,1)</f>
        <v/>
      </c>
      <c r="F243" s="330"/>
      <c r="G243" s="330"/>
      <c r="H243" s="330"/>
      <c r="I243" s="331"/>
      <c r="J243" s="270" t="str">
        <f t="shared" si="593"/>
        <v/>
      </c>
      <c r="M243" s="311"/>
      <c r="N243" s="270" t="str">
        <f>REPT(AP243,1)</f>
        <v/>
      </c>
      <c r="Q243" s="310"/>
      <c r="R243" s="235"/>
      <c r="S243" s="328" t="str">
        <f>REPT(DO243,1)</f>
        <v>4</v>
      </c>
      <c r="T243" s="329" t="str">
        <f>REPT(AV243,1)</f>
        <v/>
      </c>
      <c r="U243" s="330"/>
      <c r="V243" s="330"/>
      <c r="W243" s="330"/>
      <c r="X243" s="331"/>
      <c r="Y243" s="270" t="str">
        <f t="shared" si="576"/>
        <v/>
      </c>
      <c r="Z243" s="308"/>
      <c r="AA243" s="238">
        <f>SUM(AL237)</f>
        <v>5</v>
      </c>
      <c r="AB243" s="234">
        <f>IF(AY243="",0,IF(AY243&lt;2,1,""))</f>
        <v>0</v>
      </c>
      <c r="AC243" s="238">
        <f>IF(AL237=3,0,IF(AD243=1,1,IF(AD243=3,1,IF(AD243=2,0,IF(AD243=0,0,0)))))</f>
        <v>0</v>
      </c>
      <c r="AD243" s="256">
        <f t="shared" si="578"/>
        <v>0</v>
      </c>
      <c r="AE243" s="256">
        <f t="shared" si="572"/>
        <v>0</v>
      </c>
      <c r="AF243" s="256">
        <f t="shared" si="573"/>
        <v>0</v>
      </c>
      <c r="AG243" s="256">
        <f t="shared" si="579"/>
        <v>0</v>
      </c>
      <c r="AH243" s="257" t="str">
        <f>IF(AL237=3,"",IF(AK243="",IF(AI243="","",IF(AI243="",501,501-AI243)),501))</f>
        <v/>
      </c>
      <c r="AI243" s="256" t="str">
        <f>IF(AL237=3,"",IF(F243&gt;1,F243,IF(F243=0,"",IF(F243="","",""))))</f>
        <v/>
      </c>
      <c r="AJ243" s="256" t="str">
        <f>IF(AL237=3,"",IF(G243&gt;8,G243,IF(G243="","","")))</f>
        <v/>
      </c>
      <c r="AK243" s="256" t="str">
        <f>IF(AL237=3,"",IF(H243&gt;1,H243,IF(H243="","","")))</f>
        <v/>
      </c>
      <c r="AL243" s="256" t="str">
        <f>IF(AL237=3,"",IF(I243&gt;0,I243,IF(I243="","","")))</f>
        <v/>
      </c>
      <c r="AM243" s="258" t="str">
        <f>IF(BK243=0,"","X")</f>
        <v/>
      </c>
      <c r="AN243" s="237"/>
      <c r="AO243" s="237"/>
      <c r="AP243" s="258" t="str">
        <f>IF(BM243=0,"","X")</f>
        <v/>
      </c>
      <c r="AQ243" s="236">
        <f>IF(AL237=3,0,IF(AR243=1,1,IF(AR243=3,1,IF(AR243=2,0,IF(AR243=0,0,0)))))</f>
        <v>0</v>
      </c>
      <c r="AR243" s="256">
        <f t="shared" si="581"/>
        <v>0</v>
      </c>
      <c r="AS243" s="256">
        <f t="shared" si="574"/>
        <v>0</v>
      </c>
      <c r="AT243" s="256">
        <f t="shared" si="575"/>
        <v>0</v>
      </c>
      <c r="AU243" s="256">
        <f t="shared" si="582"/>
        <v>0</v>
      </c>
      <c r="AV243" s="257" t="str">
        <f>IF(AY243="",IF(AW243="","",IF(AW243="",501,501-AW243)),501)</f>
        <v/>
      </c>
      <c r="AW243" s="256" t="str">
        <f>IF(AL237=3,"",IF(U243&gt;1,U243,IF(U243=0,"",IF(U243="","",""))))</f>
        <v/>
      </c>
      <c r="AX243" s="256" t="str">
        <f>IF(AL237=3,"",IF(V243&gt;8,V243,IF(V243="","","")))</f>
        <v/>
      </c>
      <c r="AY243" s="256" t="str">
        <f>IF(AL237=3,"",IF(W243&gt;1,W243,IF(W243="","","")))</f>
        <v/>
      </c>
      <c r="AZ243" s="256" t="str">
        <f>IF(AL237=3,"",IF(X243&gt;0,X243,IF(X243="","","")))</f>
        <v/>
      </c>
      <c r="BA243" s="258" t="str">
        <f>IF(BL243=0,"","X")</f>
        <v/>
      </c>
      <c r="BK243" s="251">
        <f>IF(AL237=3,0,SUM(DD243,DV243,EY243,ED243,FF243,BQ243,BS243,AC243))</f>
        <v>0</v>
      </c>
      <c r="BL243" s="251">
        <f>IF(AL237=3,0,SUM(DE243,DW243,EE243,FT243,GA243,BR243,BT243,AQ243))</f>
        <v>0</v>
      </c>
      <c r="BM243" s="259">
        <f>IF(AL237=3,0,SUM(DC243,BK243:BL243,AC243,AQ243))</f>
        <v>0</v>
      </c>
      <c r="BN243" s="239">
        <f>COUNT(AK243)</f>
        <v>0</v>
      </c>
      <c r="BO243" s="239">
        <f>COUNT(AY243)</f>
        <v>0</v>
      </c>
      <c r="BP243" s="239">
        <f>IF(BZ245=0,0,1)</f>
        <v>0</v>
      </c>
      <c r="BQ243" s="260">
        <f>IF(AL243="",0,IF(AL243&gt;2,1,0))</f>
        <v>0</v>
      </c>
      <c r="BR243" s="261">
        <f>IF(AZ243="",0,IF(AZ243&gt;2,1,0))</f>
        <v>0</v>
      </c>
      <c r="BS243" s="262">
        <f>IF(AJ243=9,IF(AK243&lt;141,1,0),0)</f>
        <v>0</v>
      </c>
      <c r="BT243" s="263">
        <f>IF(AX243=9,IF(AY243&lt;141,1,0),0)</f>
        <v>0</v>
      </c>
      <c r="BU243" s="242">
        <f>IF(AL237=3,0,IF(H243,G243,0))</f>
        <v>0</v>
      </c>
      <c r="BV243" s="238">
        <f>IF(BU243&gt;0,AJ243/3,0)</f>
        <v>0</v>
      </c>
      <c r="BW243" s="238">
        <f>ROUNDUP(BV243,0)</f>
        <v>0</v>
      </c>
      <c r="BX243" s="244">
        <f>IF(MOD(BW243,2)=0,BW243,BW243+1)</f>
        <v>0</v>
      </c>
      <c r="BY243" s="238">
        <f>IF(AJ243&lt;9,"",SUM(BX243-BW243))</f>
        <v>0</v>
      </c>
      <c r="BZ243" s="238">
        <f>IF(BY243=1,AK243,0)</f>
        <v>0</v>
      </c>
      <c r="CA243" s="243" t="str">
        <f>IF(BY243=0,AK243,0)</f>
        <v/>
      </c>
      <c r="CB243" s="238"/>
      <c r="CC243" s="238"/>
      <c r="CD243" s="242">
        <f>IF(AL237=3,0,IF(W243,V243,0))</f>
        <v>0</v>
      </c>
      <c r="CE243" s="238">
        <f>IF(CD243&gt;0,AX243/3,0)</f>
        <v>0</v>
      </c>
      <c r="CF243" s="238">
        <f>ROUNDUP(CE243,0)</f>
        <v>0</v>
      </c>
      <c r="CG243" s="244">
        <f>IF(MOD(CF243,2)=0,CF243,CF243+1)</f>
        <v>0</v>
      </c>
      <c r="CH243" s="238">
        <f>IF(AX243&lt;9,"",SUM(CG243-CF243))</f>
        <v>0</v>
      </c>
      <c r="CI243" s="238">
        <f>IF(CH243=1,AY243,0)</f>
        <v>0</v>
      </c>
      <c r="CJ243" s="243" t="str">
        <f>IF(CH243=0,AY243,0)</f>
        <v/>
      </c>
      <c r="CK243" s="238"/>
      <c r="CL243" s="245">
        <f>IF(COUNT(F243,H243)=1,0,1)</f>
        <v>1</v>
      </c>
      <c r="CM243" s="245">
        <f>IF(COUNT(F243,U243)=1,0,1)</f>
        <v>1</v>
      </c>
      <c r="CN243" s="245">
        <f>IF(COUNT(H243,W243)=1,0,1)</f>
        <v>1</v>
      </c>
      <c r="CO243" s="245">
        <f>IF(COUNT(G243,V243)=2,0,1)</f>
        <v>1</v>
      </c>
      <c r="CP243" s="245">
        <f>IF(COUNT(U243,W243)=1,0,1)</f>
        <v>1</v>
      </c>
      <c r="CQ243" s="245">
        <f>IF(SUM(G243-V243)&gt;3,1,0)</f>
        <v>0</v>
      </c>
      <c r="CR243" s="245">
        <f>IF(SUM(G243-V243)&lt;-3,1,0)</f>
        <v>0</v>
      </c>
      <c r="CS243" s="264">
        <f>IF(AJ243=9,IF(AH243&lt;141,1,0),IF(AH243="",0,IF(AH243&gt;1,0,1)))</f>
        <v>0</v>
      </c>
      <c r="CT243" s="264">
        <f>IF(AX243=9,IF(AV243&lt;141,1,0),IF(AV243="",0,IF(AV243&gt;1,0,1)))</f>
        <v>0</v>
      </c>
      <c r="CU243" s="264">
        <f>IF(AI243="",0,IF(AI243&lt;502,0,1))</f>
        <v>0</v>
      </c>
      <c r="CV243" s="264">
        <f>IF(AW243="",0,IF(AW243&lt;502,0,1))</f>
        <v>0</v>
      </c>
      <c r="CW243" s="264">
        <f>IF(AI243="",IF(AJ243&lt;9,1,0),IF(AJ243&lt;9,1,0))</f>
        <v>0</v>
      </c>
      <c r="CX243" s="264">
        <f>IF(AW243="",IF(AX243&lt;9,1,0),IF(AX243&lt;9,1,0))</f>
        <v>0</v>
      </c>
      <c r="CY243" s="374"/>
      <c r="CZ243" s="374"/>
      <c r="DA243" s="374"/>
      <c r="DB243" s="374"/>
      <c r="DC243" s="265">
        <f>IF(AJ243="",0,SUM(CL243:CX243))</f>
        <v>0</v>
      </c>
      <c r="DD243" s="265">
        <f>IF(AJ243="",0,SUM(CL243,CS243,CU243,CW243))</f>
        <v>0</v>
      </c>
      <c r="DE243" s="265">
        <f>IF(AJ243="",0,SUM(CP243,CT243,CV243,CX243))</f>
        <v>0</v>
      </c>
      <c r="DF243" s="238"/>
      <c r="DG243" s="248">
        <f>IF(AL237=3,0,SUM(G243-V243))</f>
        <v>0</v>
      </c>
      <c r="DH243" s="245">
        <f>IF(F243="",0,1)</f>
        <v>0</v>
      </c>
      <c r="DI243" s="245">
        <f t="shared" si="584"/>
        <v>0</v>
      </c>
      <c r="DJ243" s="245">
        <f t="shared" si="585"/>
        <v>0</v>
      </c>
      <c r="DK243" s="245" t="str">
        <f>IF(G243="","",IF(DJ243=1,"*",""))</f>
        <v/>
      </c>
      <c r="DL243" s="245" t="str">
        <f>IF(AL237=3,"",IF(G243="","",IF(DJ243=-1,"*",IF(DJ243=0,"*",""))))</f>
        <v/>
      </c>
      <c r="DM243" s="245">
        <v>4</v>
      </c>
      <c r="DN243" s="245" t="str">
        <f t="shared" si="586"/>
        <v>4</v>
      </c>
      <c r="DO243" s="245" t="str">
        <f t="shared" si="587"/>
        <v>4</v>
      </c>
      <c r="DP243" s="245">
        <f>SUM(DQ240)</f>
        <v>0</v>
      </c>
      <c r="DQ243" s="245">
        <f>SUM(DP240)</f>
        <v>0</v>
      </c>
      <c r="DR243" s="245">
        <f t="shared" si="594"/>
        <v>0</v>
      </c>
      <c r="DS243" s="245">
        <f t="shared" si="595"/>
        <v>0</v>
      </c>
      <c r="DT243" s="245">
        <f t="shared" si="596"/>
        <v>0</v>
      </c>
      <c r="DU243" s="245">
        <f>IF(V243="",0,IF(DQ243=DS243,0,1))</f>
        <v>0</v>
      </c>
      <c r="DV243" s="267">
        <f t="shared" si="597"/>
        <v>0</v>
      </c>
      <c r="DW243" s="267">
        <f>IF(V243="",0,SUM(DU243))</f>
        <v>0</v>
      </c>
      <c r="DX243" s="238">
        <f>IF(AK243="",0,1)</f>
        <v>0</v>
      </c>
      <c r="DY243" s="238">
        <f>IF(DG243=-3,1,0)</f>
        <v>0</v>
      </c>
      <c r="DZ243" s="238">
        <f>SUM(DX243:DY243)</f>
        <v>0</v>
      </c>
      <c r="EA243" s="238">
        <f>IF(AK243="",1,0)</f>
        <v>1</v>
      </c>
      <c r="EB243" s="238">
        <f>IF(DG243=3,1,0)</f>
        <v>0</v>
      </c>
      <c r="EC243" s="238">
        <f>SUM(EA243:EB243)</f>
        <v>1</v>
      </c>
      <c r="ED243" s="267">
        <f>IF(EC243=2,1,0)</f>
        <v>0</v>
      </c>
      <c r="EE243" s="267">
        <f>IF(DZ243=2,1,0)</f>
        <v>0</v>
      </c>
      <c r="EG243" s="166"/>
      <c r="EH243" s="238"/>
      <c r="EI243" s="238"/>
      <c r="EJ243" s="238"/>
      <c r="EK243" s="238"/>
      <c r="EL243" s="238"/>
      <c r="EM243" s="245">
        <f>IF(AK243="",0,1)</f>
        <v>0</v>
      </c>
      <c r="EN243" s="245">
        <f>SUM(AK243)</f>
        <v>0</v>
      </c>
      <c r="EO243" s="268">
        <f>SUM(AJ243)</f>
        <v>0</v>
      </c>
      <c r="EP243" s="268">
        <f>SUM(G243/3)</f>
        <v>0</v>
      </c>
      <c r="EQ243" s="268" t="e">
        <f>SUM(EO243/EP243)</f>
        <v>#DIV/0!</v>
      </c>
      <c r="ER243" s="268">
        <f>ROUNDDOWN(EP243,0)</f>
        <v>0</v>
      </c>
      <c r="ES243" s="268">
        <f>SUM(EO243,-ER243*3)</f>
        <v>0</v>
      </c>
      <c r="ET243" s="269" t="b">
        <f>MOD(EN243/1,2)=0</f>
        <v>1</v>
      </c>
      <c r="EU243" s="245">
        <f>IF(ET243=FALSE,1,0)</f>
        <v>0</v>
      </c>
      <c r="EV243" s="245">
        <f>IF(EN243=50,0,IF(EN243&lt;40,1,0))</f>
        <v>1</v>
      </c>
      <c r="EW243" s="245">
        <f>SUM(EU243:EV243)</f>
        <v>1</v>
      </c>
      <c r="EX243" s="267">
        <f>IF(EN243=1,1,IF(EN243=50,0,IF(ES243=1,IF(EN243&gt;40,1,0),0)))</f>
        <v>0</v>
      </c>
      <c r="EY243" s="267">
        <f>IF(ES243=1,IF(EW243=2,1,0),0)+EX243+FB243+FE243</f>
        <v>0</v>
      </c>
      <c r="EZ243" s="245">
        <f>IF(EN243=109,1,IF(EN243=108,1,IF(EN243=106,1,IF(EN243=105,1,IF(EN243=103,1,IF(EN243=102,1,IF(EN243=99,1,0)))))))</f>
        <v>0</v>
      </c>
      <c r="FA243" s="245">
        <f>IF(EN243&gt;110,1,0)</f>
        <v>0</v>
      </c>
      <c r="FB243" s="267">
        <f>IF(ES243=2,SUM(EZ243:FA243),0)</f>
        <v>0</v>
      </c>
      <c r="FC243" s="245">
        <f>IF(EN243=159,1,IF(EN243=162,1,IF(EN243=163,1,IF(EN243=165,1,IF(EN243=166,1,IF(EN243=168,1,IF(EN243=169,1,0)))))))</f>
        <v>0</v>
      </c>
      <c r="FD243" s="245">
        <f>IF(EN243&gt;170,1,0)</f>
        <v>0</v>
      </c>
      <c r="FE243" s="267">
        <f>IF(ES243=0,SUM(FC243:FD243),0)</f>
        <v>0</v>
      </c>
      <c r="FF243" s="251">
        <f t="shared" si="588"/>
        <v>0</v>
      </c>
      <c r="FG243" s="238"/>
      <c r="FH243" s="245">
        <f>IF(AY243="",0,1)</f>
        <v>0</v>
      </c>
      <c r="FI243" s="245">
        <f>SUM(AY243)</f>
        <v>0</v>
      </c>
      <c r="FJ243" s="268">
        <f>SUM(AX243)</f>
        <v>0</v>
      </c>
      <c r="FK243" s="268">
        <f>SUM(V243/3)</f>
        <v>0</v>
      </c>
      <c r="FL243" s="268" t="e">
        <f>SUM(FJ243/FK243)</f>
        <v>#DIV/0!</v>
      </c>
      <c r="FM243" s="268">
        <f>ROUNDDOWN(FK243,0)</f>
        <v>0</v>
      </c>
      <c r="FN243" s="268">
        <f>SUM(FJ243,-FM243*3)</f>
        <v>0</v>
      </c>
      <c r="FO243" s="269" t="b">
        <f>MOD(FI243/1,2)=0</f>
        <v>1</v>
      </c>
      <c r="FP243" s="245">
        <f>IF(FO243=FALSE,1,0)</f>
        <v>0</v>
      </c>
      <c r="FQ243" s="245">
        <f>IF(FI243=50,0,IF(FI243&lt;40,1,0))</f>
        <v>1</v>
      </c>
      <c r="FR243" s="245">
        <f>SUM(FP243:FQ243)</f>
        <v>1</v>
      </c>
      <c r="FS243" s="267">
        <f>IF(FI243=1,1,IF(FI243=50,0,IF(FN243=1,IF(FI243&gt;40,1,0),0)))</f>
        <v>0</v>
      </c>
      <c r="FT243" s="267">
        <f>IF(FN243=1,IF(FR243=2,1,0),0)+FS243+FW243+FZ243</f>
        <v>0</v>
      </c>
      <c r="FU243" s="245">
        <f>IF(FI243=109,1,IF(FI243=108,1,IF(FI243=106,1,IF(FI243=105,1,IF(FI243=103,1,IF(FI243=102,1,IF(FI243=99,1,0)))))))</f>
        <v>0</v>
      </c>
      <c r="FV243" s="245">
        <f>IF(FI243&gt;110,1,0)</f>
        <v>0</v>
      </c>
      <c r="FW243" s="267">
        <f>IF(FN243=2,SUM(FU243:FV243),0)</f>
        <v>0</v>
      </c>
      <c r="FX243" s="245">
        <f>IF(FI243=159,1,IF(FI243=162,1,IF(FI243=163,1,IF(FI243=165,1,IF(FI243=166,1,IF(FI243=168,1,IF(FI243=169,1,0)))))))</f>
        <v>0</v>
      </c>
      <c r="FY243" s="245">
        <f>IF(FI243&gt;170,1,0)</f>
        <v>0</v>
      </c>
      <c r="FZ243" s="267">
        <f>IF(FN243=0,SUM(FX243:FY243),0)</f>
        <v>0</v>
      </c>
      <c r="GA243" s="251">
        <f t="shared" si="589"/>
        <v>0</v>
      </c>
      <c r="GC243" s="238" t="str">
        <f>VLOOKUP(AH237,Chema!BL:BR,4,FALSE)</f>
        <v>GS 2.5</v>
      </c>
      <c r="GD243" s="341">
        <f>IF(T247="FORFAIT",1,0)</f>
        <v>0</v>
      </c>
      <c r="GE243" s="343" t="str">
        <f>IF(R247="","",SUM(R247))</f>
        <v/>
      </c>
      <c r="GF243" s="344">
        <f>SUM(AV240)</f>
        <v>0</v>
      </c>
      <c r="GG243" s="344">
        <f>SUM(AX240)</f>
        <v>0</v>
      </c>
      <c r="GH243" s="344">
        <f t="shared" ref="GH243" si="598">SUM(AY240)</f>
        <v>0</v>
      </c>
      <c r="GI243" s="344">
        <f t="shared" ref="GI243" si="599">SUM(AZ240)</f>
        <v>0</v>
      </c>
      <c r="GJ243" s="344">
        <f>SUM(AV241)</f>
        <v>0</v>
      </c>
      <c r="GK243" s="344">
        <f>SUM(AX241)</f>
        <v>0</v>
      </c>
      <c r="GL243" s="344">
        <f>SUM(AY241)</f>
        <v>0</v>
      </c>
      <c r="GM243" s="344">
        <f>SUM(AZ241)</f>
        <v>0</v>
      </c>
      <c r="GN243" s="344">
        <f>SUM(AV242)</f>
        <v>0</v>
      </c>
      <c r="GO243" s="344">
        <f>SUM(AX242)</f>
        <v>0</v>
      </c>
      <c r="GP243" s="344">
        <f>SUM(AY242)</f>
        <v>0</v>
      </c>
      <c r="GQ243" s="344">
        <f>SUM(AZ242)</f>
        <v>0</v>
      </c>
      <c r="GR243" s="344">
        <f>SUM(AV243)</f>
        <v>0</v>
      </c>
      <c r="GS243" s="344">
        <f>SUM(AX243)</f>
        <v>0</v>
      </c>
      <c r="GT243" s="344">
        <f>SUM(AY243)</f>
        <v>0</v>
      </c>
      <c r="GU243" s="344">
        <f>SUM(AZ243)</f>
        <v>0</v>
      </c>
      <c r="GV243" s="344">
        <f>SUM(AV244)</f>
        <v>0</v>
      </c>
      <c r="GW243" s="344">
        <f>SUM(AX244)</f>
        <v>0</v>
      </c>
      <c r="GX243" s="344">
        <f>SUM(AY244)</f>
        <v>0</v>
      </c>
      <c r="GY243" s="344">
        <f>SUM(AZ244)</f>
        <v>0</v>
      </c>
      <c r="GZ243" s="344">
        <f>SUM(GF243,GJ243,GN243,GR243,GV243)</f>
        <v>0</v>
      </c>
      <c r="HA243" s="344">
        <f t="shared" ref="HA243" si="600">SUM(GG243,GK243,GO243,GS243,GW243)</f>
        <v>0</v>
      </c>
      <c r="HB243" s="344">
        <f>IF(GD240=1,P247,MAX(GH243,GL243,GP243,GT243,GX243))</f>
        <v>0</v>
      </c>
      <c r="HC243" s="344">
        <f>IF(GD240=1,X247,SUM(GI243,GM243,GQ243,GU243,GY243))</f>
        <v>0</v>
      </c>
      <c r="HD243" s="345">
        <f>IF(GD240=1,0,SUM(GF243,GJ243,GN243,GR243,GV243))</f>
        <v>0</v>
      </c>
      <c r="HE243" s="345">
        <f>IF(GD240=1,0,SUM(GG243,GK243,GO243,GS243,GW243))</f>
        <v>0</v>
      </c>
      <c r="HF243" s="341">
        <f>IF(GD240=1,0,MIN(HI243,HJ243,HK243,HL243,HM243))</f>
        <v>0</v>
      </c>
      <c r="HG243" s="341">
        <f>IF(HF243=0,0,COUNTIF(HI243:HM243,HF243))</f>
        <v>0</v>
      </c>
      <c r="HH243" s="341">
        <f>SUM(GH244,GL244,GP244,GT244,GX244)</f>
        <v>0</v>
      </c>
      <c r="HI243" s="343" t="str">
        <f>IF(GH244=1,GG243,"")</f>
        <v/>
      </c>
      <c r="HJ243" s="343" t="str">
        <f>IF(GL244=1,GK243,"")</f>
        <v/>
      </c>
      <c r="HK243" s="343" t="str">
        <f>IF(GP244=1,GO243,"")</f>
        <v/>
      </c>
      <c r="HL243" s="343" t="str">
        <f>IF(GT244=1,GS243,"")</f>
        <v/>
      </c>
      <c r="HM243" s="343" t="str">
        <f>IF(GX244=1,GW243,"")</f>
        <v/>
      </c>
      <c r="HN243" s="341"/>
      <c r="HO243" s="341"/>
      <c r="HP243" s="341"/>
      <c r="HQ243" s="341"/>
      <c r="HR243" s="341"/>
      <c r="HS243" s="238"/>
      <c r="HT243" s="238"/>
      <c r="HU243" s="238"/>
      <c r="HV243" s="238"/>
      <c r="HW243" s="238" t="str">
        <f>IFERROR(IF(GD240=0,SUM(IB242:IC242),""),"")</f>
        <v/>
      </c>
      <c r="HY243" s="238"/>
      <c r="ID243" s="238"/>
    </row>
    <row r="244" spans="1:238" s="234" customFormat="1" ht="20.100000000000001" customHeight="1">
      <c r="A244" s="235"/>
      <c r="B244" s="231">
        <f>COUNT(AJ245,AJ244)</f>
        <v>1</v>
      </c>
      <c r="C244" s="235"/>
      <c r="D244" s="271" t="str">
        <f>REPT(DN244,1)</f>
        <v>5</v>
      </c>
      <c r="E244" s="254" t="str">
        <f>REPT(AH244,1)</f>
        <v/>
      </c>
      <c r="F244" s="168"/>
      <c r="G244" s="168"/>
      <c r="H244" s="168"/>
      <c r="I244" s="169"/>
      <c r="J244" s="272" t="str">
        <f>REPT(AM244,1)</f>
        <v/>
      </c>
      <c r="L244" s="310"/>
      <c r="M244" s="310"/>
      <c r="N244" s="272" t="str">
        <f>REPT(AP244,1)</f>
        <v/>
      </c>
      <c r="O244" s="118"/>
      <c r="Q244" s="310"/>
      <c r="R244" s="235"/>
      <c r="S244" s="271" t="str">
        <f>REPT(DO244,1)</f>
        <v>5</v>
      </c>
      <c r="T244" s="254" t="str">
        <f>REPT(AV244,1)</f>
        <v/>
      </c>
      <c r="U244" s="168"/>
      <c r="V244" s="168"/>
      <c r="W244" s="168"/>
      <c r="X244" s="169"/>
      <c r="Y244" s="272" t="str">
        <f>REPT(BA244,1)</f>
        <v/>
      </c>
      <c r="Z244" s="308"/>
      <c r="AA244" s="238">
        <f>SUM(AL237)</f>
        <v>5</v>
      </c>
      <c r="AB244" s="234">
        <f>IF(AY244="",0,IF(AY244&lt;2,1,""))</f>
        <v>0</v>
      </c>
      <c r="AC244" s="238">
        <f>IF(AL237=3,0,IF(AD244=1,1,IF(AD244=3,1,IF(AD244=2,0,IF(AD244=0,0,0)))))</f>
        <v>0</v>
      </c>
      <c r="AD244" s="256">
        <f t="shared" si="578"/>
        <v>0</v>
      </c>
      <c r="AE244" s="256">
        <f t="shared" si="572"/>
        <v>0</v>
      </c>
      <c r="AF244" s="256">
        <f t="shared" si="573"/>
        <v>0</v>
      </c>
      <c r="AG244" s="256">
        <f t="shared" si="579"/>
        <v>0</v>
      </c>
      <c r="AH244" s="257" t="str">
        <f>IF(AL237=3,"",IF(AK244="",IF(AI244="","",IF(AI244="",501,501-AI244)),501))</f>
        <v/>
      </c>
      <c r="AI244" s="256" t="str">
        <f>IF(AL237=3,"",IF(F244&gt;1,F244,IF(F244=0,"",IF(F244="","",""))))</f>
        <v/>
      </c>
      <c r="AJ244" s="256" t="str">
        <f>IF(AL237=3,"",IF(G244&gt;8,G244,IF(G244="","","")))</f>
        <v/>
      </c>
      <c r="AK244" s="256" t="str">
        <f>IF(AL237=3,"",IF(H244&gt;1,H244,IF(H244="","","")))</f>
        <v/>
      </c>
      <c r="AL244" s="256" t="str">
        <f>IF(AL237=3,"",IF(I244&gt;0,I244,IF(I244="","","")))</f>
        <v/>
      </c>
      <c r="AM244" s="258" t="str">
        <f>IF(BK244=0,"","X")</f>
        <v/>
      </c>
      <c r="AN244" s="237"/>
      <c r="AO244" s="237"/>
      <c r="AP244" s="258" t="str">
        <f>IF(BM244=0,"","X")</f>
        <v/>
      </c>
      <c r="AQ244" s="236">
        <f>IF(AL237=3,0,IF(AR244=1,1,IF(AR244=3,1,IF(AR244=2,0,IF(AR244=0,0,0)))))</f>
        <v>0</v>
      </c>
      <c r="AR244" s="256">
        <f t="shared" si="581"/>
        <v>0</v>
      </c>
      <c r="AS244" s="256">
        <f t="shared" si="574"/>
        <v>0</v>
      </c>
      <c r="AT244" s="256">
        <f t="shared" si="575"/>
        <v>0</v>
      </c>
      <c r="AU244" s="256">
        <f t="shared" si="582"/>
        <v>0</v>
      </c>
      <c r="AV244" s="257" t="str">
        <f>IF(AY244="",IF(AW244="","",IF(AW244="",501,501-AW244)),501)</f>
        <v/>
      </c>
      <c r="AW244" s="256" t="str">
        <f>IF(AL237=3,"",IF(U244&gt;1,U244,IF(U244=0,"",IF(U244="","",""))))</f>
        <v/>
      </c>
      <c r="AX244" s="256" t="str">
        <f>IF(AL237=3,"",IF(V244&gt;8,V244,IF(V244="","","")))</f>
        <v/>
      </c>
      <c r="AY244" s="256" t="str">
        <f>IF(AL237=3,"",IF(W244&gt;1,W244,IF(W244="","","")))</f>
        <v/>
      </c>
      <c r="AZ244" s="256" t="str">
        <f>IF(AL237=3,"",IF(X244&gt;0,X244,IF(X244="","","")))</f>
        <v/>
      </c>
      <c r="BA244" s="258" t="str">
        <f>IF(BL244=0,"","X")</f>
        <v/>
      </c>
      <c r="BK244" s="251">
        <f>IF(AL237=3,0,SUM(DD244,DV244,EY244,ED244,FF244,BQ244,BS244,AC244))</f>
        <v>0</v>
      </c>
      <c r="BL244" s="251">
        <f>SUM(DE244,DW244,EE244,FT244,GA244,BR244,BT244,AQ244)</f>
        <v>0</v>
      </c>
      <c r="BM244" s="259">
        <f>IF(AL237=3,0,SUM(DC244,BK244:BL244,AC244,AQ244))</f>
        <v>0</v>
      </c>
      <c r="BN244" s="239">
        <f>COUNT(AK244)</f>
        <v>0</v>
      </c>
      <c r="BO244" s="239">
        <f>COUNT(AY244)</f>
        <v>0</v>
      </c>
      <c r="BP244" s="239">
        <f>IF(BN246=0,0,1)</f>
        <v>0</v>
      </c>
      <c r="BQ244" s="260">
        <f>IF(AL244="",0,IF(AL244&gt;2,1,0))</f>
        <v>0</v>
      </c>
      <c r="BR244" s="261">
        <f>IF(AZ244="",0,IF(AZ244&gt;2,1,0))</f>
        <v>0</v>
      </c>
      <c r="BS244" s="262">
        <f>IF(AJ244=9,IF(AK244&lt;141,1,0),0)</f>
        <v>0</v>
      </c>
      <c r="BT244" s="263">
        <f>IF(AX244=9,IF(AY244&lt;141,1,0),0)</f>
        <v>0</v>
      </c>
      <c r="BU244" s="242">
        <f>IF(AL237=3,0,IF(H244,G244,0))</f>
        <v>0</v>
      </c>
      <c r="BV244" s="238">
        <f>IF(BU244&gt;0,AJ244/3,0)</f>
        <v>0</v>
      </c>
      <c r="BW244" s="238">
        <f>ROUNDUP(BV244,0)</f>
        <v>0</v>
      </c>
      <c r="BX244" s="244">
        <f>IF(MOD(BW244,2)=0,BW244,BW244+1)</f>
        <v>0</v>
      </c>
      <c r="BY244" s="238">
        <f>IF(AJ244&lt;9,"",SUM(BX244-BW244))</f>
        <v>0</v>
      </c>
      <c r="BZ244" s="238">
        <f>IF(BY244=1,AK244,0)</f>
        <v>0</v>
      </c>
      <c r="CA244" s="243" t="str">
        <f>IF(BY244=0,AK244,0)</f>
        <v/>
      </c>
      <c r="CB244" s="238"/>
      <c r="CC244" s="238"/>
      <c r="CD244" s="242">
        <f>IF(AL237=3,0,IF(W244,V244,0))</f>
        <v>0</v>
      </c>
      <c r="CE244" s="238">
        <f>IF(CD244&gt;0,AX244/3,0)</f>
        <v>0</v>
      </c>
      <c r="CF244" s="238">
        <f>ROUNDUP(CE244,0)</f>
        <v>0</v>
      </c>
      <c r="CG244" s="244">
        <f>IF(MOD(CF244,2)=0,CF244,CF244+1)</f>
        <v>0</v>
      </c>
      <c r="CH244" s="238">
        <f>IF(AX244&lt;9,"",SUM(CG244-CF244))</f>
        <v>0</v>
      </c>
      <c r="CI244" s="238">
        <f>IF(CH244=1,AY244,0)</f>
        <v>0</v>
      </c>
      <c r="CJ244" s="243" t="str">
        <f>IF(CH244=0,AY244,0)</f>
        <v/>
      </c>
      <c r="CK244" s="238"/>
      <c r="CL244" s="245">
        <f>IF(COUNT(F244,H244)=1,0,1)</f>
        <v>1</v>
      </c>
      <c r="CM244" s="245">
        <f>IF(COUNT(F244,U244)=1,0,1)</f>
        <v>1</v>
      </c>
      <c r="CN244" s="245">
        <f>IF(COUNT(H244,W244)=1,0,1)</f>
        <v>1</v>
      </c>
      <c r="CO244" s="245">
        <f>IF(COUNT(G244,V244)=2,0,1)</f>
        <v>1</v>
      </c>
      <c r="CP244" s="245">
        <f>IF(COUNT(U244,W244)=1,0,1)</f>
        <v>1</v>
      </c>
      <c r="CQ244" s="245">
        <f>IF(SUM(G244-V244)&gt;3,1,0)</f>
        <v>0</v>
      </c>
      <c r="CR244" s="245">
        <f>IF(SUM(G244-V244)&lt;-3,1,0)</f>
        <v>0</v>
      </c>
      <c r="CS244" s="264">
        <f>IF(AJ244=9,IF(AH244&lt;141,1,0),IF(AH244="",0,IF(AH244&gt;1,0,1)))</f>
        <v>0</v>
      </c>
      <c r="CT244" s="264">
        <f>IF(AX244=9,IF(AV244&lt;141,1,0),IF(AV244="",0,IF(AV244&gt;1,0,1)))</f>
        <v>0</v>
      </c>
      <c r="CU244" s="264">
        <f>IF(AI244="",0,IF(AI244&lt;502,0,1))</f>
        <v>0</v>
      </c>
      <c r="CV244" s="264">
        <f>IF(AW244="",0,IF(AW244&lt;502,0,1))</f>
        <v>0</v>
      </c>
      <c r="CW244" s="264">
        <f>IF(AI244="",IF(AJ244&lt;9,1,0),IF(AJ244&lt;9,1,0))</f>
        <v>0</v>
      </c>
      <c r="CX244" s="264">
        <f>IF(AW244="",IF(AX244&lt;9,1,0),IF(AX244&lt;9,1,0))</f>
        <v>0</v>
      </c>
      <c r="CY244" s="374"/>
      <c r="CZ244" s="374"/>
      <c r="DA244" s="374"/>
      <c r="DB244" s="374"/>
      <c r="DC244" s="265">
        <f>IF(AJ244="",0,SUM(CL244:CX244))</f>
        <v>0</v>
      </c>
      <c r="DD244" s="265">
        <f>IF(AJ244="",0,SUM(CL244,CS244,CU244,CW244))</f>
        <v>0</v>
      </c>
      <c r="DE244" s="265">
        <f>IF(AJ244="",0,SUM(CP244,CT244,CV244,CX244))</f>
        <v>0</v>
      </c>
      <c r="DF244" s="238"/>
      <c r="DG244" s="248">
        <f>IF(AL237=3,0,SUM(G244-V244))</f>
        <v>0</v>
      </c>
      <c r="DH244" s="245">
        <f>IF(F244="",0,1)</f>
        <v>0</v>
      </c>
      <c r="DI244" s="245">
        <f t="shared" si="584"/>
        <v>0</v>
      </c>
      <c r="DJ244" s="245">
        <f t="shared" si="585"/>
        <v>0</v>
      </c>
      <c r="DK244" s="245" t="str">
        <f>IF(G244="","",IF(DJ244=1,"*",""))</f>
        <v/>
      </c>
      <c r="DL244" s="245" t="str">
        <f>IF(AL237=3,"",IF(G244="","",IF(DJ244=-1,"*",IF(DJ244=0,"*",""))))</f>
        <v/>
      </c>
      <c r="DM244" s="245">
        <v>5</v>
      </c>
      <c r="DN244" s="245" t="str">
        <f t="shared" si="586"/>
        <v>5</v>
      </c>
      <c r="DO244" s="245" t="str">
        <f t="shared" si="587"/>
        <v>5</v>
      </c>
      <c r="DP244" s="245">
        <f>SUM(DP240)</f>
        <v>0</v>
      </c>
      <c r="DQ244" s="245">
        <f>SUM(DQ240)</f>
        <v>0</v>
      </c>
      <c r="DR244" s="245">
        <f t="shared" si="594"/>
        <v>0</v>
      </c>
      <c r="DS244" s="245">
        <f t="shared" si="595"/>
        <v>0</v>
      </c>
      <c r="DT244" s="245">
        <f t="shared" si="596"/>
        <v>0</v>
      </c>
      <c r="DU244" s="245">
        <f>IF(V244="",0,IF(DQ244=DS244,0,1))</f>
        <v>0</v>
      </c>
      <c r="DV244" s="267">
        <f t="shared" si="597"/>
        <v>0</v>
      </c>
      <c r="DW244" s="267">
        <f>IF(V244="",0,SUM(DU244))</f>
        <v>0</v>
      </c>
      <c r="DX244" s="238">
        <f>IF(AK244="",0,1)</f>
        <v>0</v>
      </c>
      <c r="DY244" s="238">
        <f>IF(DG244=-3,1,0)</f>
        <v>0</v>
      </c>
      <c r="DZ244" s="238">
        <f>SUM(DX244:DY244)</f>
        <v>0</v>
      </c>
      <c r="EA244" s="238">
        <f>IF(AK244="",1,0)</f>
        <v>1</v>
      </c>
      <c r="EB244" s="238">
        <f>IF(DG244=3,1,0)</f>
        <v>0</v>
      </c>
      <c r="EC244" s="238">
        <f>SUM(EA244:EB244)</f>
        <v>1</v>
      </c>
      <c r="ED244" s="267">
        <f>IF(EC244=2,1,0)</f>
        <v>0</v>
      </c>
      <c r="EE244" s="267">
        <f>IF(DZ244=2,1,0)</f>
        <v>0</v>
      </c>
      <c r="EG244" s="166"/>
      <c r="EH244" s="238"/>
      <c r="EI244" s="238"/>
      <c r="EJ244" s="238"/>
      <c r="EK244" s="238"/>
      <c r="EL244" s="238"/>
      <c r="EM244" s="245">
        <f>IF(AK244="",0,1)</f>
        <v>0</v>
      </c>
      <c r="EN244" s="245">
        <f>SUM(AK244)</f>
        <v>0</v>
      </c>
      <c r="EO244" s="268">
        <f>SUM(AJ244)</f>
        <v>0</v>
      </c>
      <c r="EP244" s="268">
        <f>SUM(G244/3)</f>
        <v>0</v>
      </c>
      <c r="EQ244" s="268" t="e">
        <f>SUM(EO244/EP244)</f>
        <v>#DIV/0!</v>
      </c>
      <c r="ER244" s="268">
        <f>ROUNDDOWN(EP244,0)</f>
        <v>0</v>
      </c>
      <c r="ES244" s="268">
        <f>SUM(EO244,-ER244*3)</f>
        <v>0</v>
      </c>
      <c r="ET244" s="269" t="b">
        <f>MOD(EN244/1,2)=0</f>
        <v>1</v>
      </c>
      <c r="EU244" s="245">
        <f>IF(ET244=FALSE,1,0)</f>
        <v>0</v>
      </c>
      <c r="EV244" s="245">
        <f>IF(EN244=50,0,IF(EN244&lt;40,1,0))</f>
        <v>1</v>
      </c>
      <c r="EW244" s="245">
        <f>SUM(EU244:EV244)</f>
        <v>1</v>
      </c>
      <c r="EX244" s="267">
        <f>IF(EN244=1,1,IF(EN244=50,0,IF(ES244=1,IF(EN244&gt;40,1,0),0)))</f>
        <v>0</v>
      </c>
      <c r="EY244" s="267">
        <f>IF(ES244=1,IF(EW244=2,1,0),0)+EX244+FB244+FE244</f>
        <v>0</v>
      </c>
      <c r="EZ244" s="245">
        <f>IF(EN244=109,1,IF(EN244=108,1,IF(EN244=106,1,IF(EN244=105,1,IF(EN244=103,1,IF(EN244=102,1,IF(EN244=99,1,0)))))))</f>
        <v>0</v>
      </c>
      <c r="FA244" s="245">
        <f>IF(EN244&gt;110,1,0)</f>
        <v>0</v>
      </c>
      <c r="FB244" s="267">
        <f>IF(ES244=2,SUM(EZ244:FA244),0)</f>
        <v>0</v>
      </c>
      <c r="FC244" s="245">
        <f>IF(EN244=159,1,IF(EN244=162,1,IF(EN244=163,1,IF(EN244=165,1,IF(EN244=166,1,IF(EN244=168,1,IF(EN244=169,1,0)))))))</f>
        <v>0</v>
      </c>
      <c r="FD244" s="245">
        <f>IF(EN244&gt;170,1,0)</f>
        <v>0</v>
      </c>
      <c r="FE244" s="267">
        <f>IF(ES244=0,SUM(FC244:FD244),0)</f>
        <v>0</v>
      </c>
      <c r="FF244" s="251">
        <f t="shared" si="588"/>
        <v>0</v>
      </c>
      <c r="FG244" s="238"/>
      <c r="FH244" s="245">
        <f>IF(AY244="",0,1)</f>
        <v>0</v>
      </c>
      <c r="FI244" s="245">
        <f>SUM(AY244)</f>
        <v>0</v>
      </c>
      <c r="FJ244" s="268">
        <f>SUM(AX244)</f>
        <v>0</v>
      </c>
      <c r="FK244" s="268">
        <f>SUM(V244/3)</f>
        <v>0</v>
      </c>
      <c r="FL244" s="268" t="e">
        <f>SUM(FJ244/FK244)</f>
        <v>#DIV/0!</v>
      </c>
      <c r="FM244" s="268">
        <f>ROUNDDOWN(FK244,0)</f>
        <v>0</v>
      </c>
      <c r="FN244" s="268">
        <f>SUM(FJ244,-FM244*3)</f>
        <v>0</v>
      </c>
      <c r="FO244" s="269" t="b">
        <f>MOD(FI244/1,2)=0</f>
        <v>1</v>
      </c>
      <c r="FP244" s="245">
        <f>IF(FO244=FALSE,1,0)</f>
        <v>0</v>
      </c>
      <c r="FQ244" s="245">
        <f>IF(FI244=50,0,IF(FI244&lt;40,1,0))</f>
        <v>1</v>
      </c>
      <c r="FR244" s="245">
        <f>SUM(FP244:FQ244)</f>
        <v>1</v>
      </c>
      <c r="FS244" s="267">
        <f>IF(FI244=1,1,IF(FI244=50,0,IF(FN244=1,IF(FI244&gt;40,1,0),0)))</f>
        <v>0</v>
      </c>
      <c r="FT244" s="267">
        <f>IF(FN244=1,IF(FR244=2,1,0),0)+FS244+FW244+FZ244</f>
        <v>0</v>
      </c>
      <c r="FU244" s="245">
        <f>IF(FI244=109,1,IF(FI244=108,1,IF(FI244=106,1,IF(FI244=105,1,IF(FI244=103,1,IF(FI244=102,1,IF(FI244=99,1,0)))))))</f>
        <v>0</v>
      </c>
      <c r="FV244" s="245">
        <f>IF(FI244&gt;110,1,0)</f>
        <v>0</v>
      </c>
      <c r="FW244" s="267">
        <f>IF(FN244=2,SUM(FU244:FV244),0)</f>
        <v>0</v>
      </c>
      <c r="FX244" s="245">
        <f>IF(FI244=159,1,IF(FI244=162,1,IF(FI244=163,1,IF(FI244=165,1,IF(FI244=166,1,IF(FI244=168,1,IF(FI244=169,1,0)))))))</f>
        <v>0</v>
      </c>
      <c r="FY244" s="245">
        <f>IF(FI244&gt;170,1,0)</f>
        <v>0</v>
      </c>
      <c r="FZ244" s="267">
        <f>IF(FN244=0,SUM(FX244:FY244),0)</f>
        <v>0</v>
      </c>
      <c r="GA244" s="251">
        <f t="shared" si="589"/>
        <v>0</v>
      </c>
      <c r="GC244" s="238" t="str">
        <f>VLOOKUP(AH237,Chema!BL:BR,5,FALSE)</f>
        <v/>
      </c>
      <c r="GD244" s="341"/>
      <c r="GE244" s="343" t="str">
        <f>IF(R248="","",SUM(R248))</f>
        <v/>
      </c>
      <c r="GF244" s="340"/>
      <c r="GG244" s="346"/>
      <c r="GH244" s="343">
        <f>IF(GH243&gt;0,1,0)</f>
        <v>0</v>
      </c>
      <c r="GI244" s="346"/>
      <c r="GJ244" s="343"/>
      <c r="GK244" s="346"/>
      <c r="GL244" s="343">
        <f>IF(GL243&gt;0,1,0)</f>
        <v>0</v>
      </c>
      <c r="GM244" s="343"/>
      <c r="GN244" s="343"/>
      <c r="GO244" s="346"/>
      <c r="GP244" s="343">
        <f>IF(GP243&gt;0,1,0)</f>
        <v>0</v>
      </c>
      <c r="GQ244" s="343"/>
      <c r="GR244" s="343"/>
      <c r="GS244" s="346"/>
      <c r="GT244" s="343">
        <f>IF(GT243&gt;0,1,0)</f>
        <v>0</v>
      </c>
      <c r="GU244" s="343"/>
      <c r="GV244" s="343"/>
      <c r="GW244" s="346"/>
      <c r="GX244" s="343">
        <f>IF(GX243&gt;0,1,0)</f>
        <v>0</v>
      </c>
      <c r="GY244" s="340"/>
      <c r="GZ244" s="343"/>
      <c r="HA244" s="343"/>
      <c r="HB244" s="343" t="str">
        <f>IF(GD240=1,P248,"")</f>
        <v/>
      </c>
      <c r="HC244" s="343" t="str">
        <f>IF(GD240=1,X248,"")</f>
        <v/>
      </c>
      <c r="HD244" s="340"/>
      <c r="HE244" s="340"/>
      <c r="HF244" s="340"/>
      <c r="HG244" s="340">
        <f>IF(HG242=HM240,0,IF(HG242=HM244,0,1))</f>
        <v>0</v>
      </c>
      <c r="HH244" s="340">
        <f>IF(HH241=HH243,1,0)</f>
        <v>1</v>
      </c>
      <c r="HI244" s="340"/>
      <c r="HJ244" s="340"/>
      <c r="HK244" s="340"/>
      <c r="HL244" s="340"/>
      <c r="HM244" s="341">
        <f>COUNT(HI243,HJ243,HK243,HL243,HM243)</f>
        <v>0</v>
      </c>
      <c r="HN244" s="341"/>
      <c r="HO244" s="341"/>
      <c r="HP244" s="341"/>
      <c r="HQ244" s="341"/>
      <c r="HR244" s="341"/>
      <c r="HS244" s="238"/>
      <c r="HT244" s="238"/>
      <c r="HU244" s="238"/>
      <c r="HV244" s="238"/>
      <c r="HX244" s="238"/>
      <c r="HY244" s="238"/>
      <c r="ID244" s="238"/>
    </row>
    <row r="245" spans="1:238" s="234" customFormat="1" ht="6.6" customHeight="1">
      <c r="A245" s="235"/>
      <c r="B245" s="231"/>
      <c r="C245" s="310"/>
      <c r="D245" s="310"/>
      <c r="E245" s="310"/>
      <c r="F245" s="310"/>
      <c r="G245" s="313"/>
      <c r="H245" s="310"/>
      <c r="I245" s="310"/>
      <c r="J245" s="273"/>
      <c r="K245" s="313"/>
      <c r="O245" s="118"/>
      <c r="R245" s="310"/>
      <c r="S245" s="310"/>
      <c r="T245" s="310"/>
      <c r="U245" s="310"/>
      <c r="V245" s="313"/>
      <c r="W245" s="310"/>
      <c r="X245" s="310"/>
      <c r="Y245" s="273"/>
      <c r="Z245" s="308"/>
      <c r="AA245" s="274"/>
      <c r="AD245" s="235"/>
      <c r="AE245" s="237">
        <f>IF(AF245=0,0,1)</f>
        <v>0</v>
      </c>
      <c r="AF245" s="237">
        <f>IF(AL245=0,0,SUM(AL247:AL248,-AL246))</f>
        <v>0</v>
      </c>
      <c r="AG245" s="237"/>
      <c r="AH245" s="275">
        <f>SUM(AH240,AH241,AH242,AH243,AH244)</f>
        <v>0</v>
      </c>
      <c r="AI245" s="275">
        <f t="shared" ref="AI245" si="601">SUM(AI240,AI241,AI242,AI243,AI244)</f>
        <v>0</v>
      </c>
      <c r="AJ245" s="275">
        <f t="shared" ref="AJ245" si="602">SUM(AJ240,AJ241,AJ242,AJ243,AJ244)</f>
        <v>0</v>
      </c>
      <c r="AK245" s="275">
        <f>MAX(AK240,AK241,AK242,AK243,AK244)</f>
        <v>0</v>
      </c>
      <c r="AL245" s="275">
        <f t="shared" ref="AL245" si="603">SUM(AL240,AL241,AL242,AL243,AL244)</f>
        <v>0</v>
      </c>
      <c r="AM245" s="275">
        <f>IF(AK237="D",SUM(AL240,AL241,AL242,AL243,AL244,-AL247,-AL248),0)</f>
        <v>0</v>
      </c>
      <c r="AN245" s="235"/>
      <c r="AO245" s="235"/>
      <c r="AP245" s="235"/>
      <c r="AQ245" s="235"/>
      <c r="AR245" s="235"/>
      <c r="AS245" s="237">
        <f>IF(AT245=0,0,1)</f>
        <v>0</v>
      </c>
      <c r="AT245" s="237">
        <f>IF(AZ245=0,0,SUM(AZ247:AZ248,-AZ246))</f>
        <v>0</v>
      </c>
      <c r="AU245" s="237"/>
      <c r="AV245" s="275">
        <f>SUM(AV240,AV241,AV242,AV243,AV244)</f>
        <v>0</v>
      </c>
      <c r="AW245" s="275">
        <f t="shared" ref="AW245" si="604">SUM(AW240,AW241,AW242,AW243,AW244)</f>
        <v>0</v>
      </c>
      <c r="AX245" s="275">
        <f t="shared" ref="AX245" si="605">SUM(AX240,AX241,AX242,AX243,AX244)</f>
        <v>0</v>
      </c>
      <c r="AY245" s="275">
        <f>MAX(AY240,AY241,AY242,AY243,AY244)</f>
        <v>0</v>
      </c>
      <c r="AZ245" s="275">
        <f t="shared" ref="AZ245" si="606">SUM(AZ240,AZ241,AZ242,AZ243,AZ244)</f>
        <v>0</v>
      </c>
      <c r="BA245" s="275">
        <f>IF(AK237="D",SUM(AZ240,AZ241,AZ242,AZ243,AZ244,-AZ247,-AZ248),0)</f>
        <v>0</v>
      </c>
      <c r="BJ245" s="236"/>
      <c r="BK245" s="238"/>
      <c r="BL245" s="238"/>
      <c r="BM245" s="238"/>
      <c r="BP245" s="238"/>
      <c r="BQ245" s="238"/>
      <c r="BR245" s="238"/>
      <c r="BS245" s="238"/>
      <c r="BT245" s="238"/>
      <c r="BU245" s="238"/>
      <c r="BY245" s="238"/>
      <c r="BZ245" s="238">
        <f>MAX(BZ240,BZ241,BZ242,BZ243,BZ244)</f>
        <v>0</v>
      </c>
      <c r="CA245" s="238">
        <f>MAX(CA240,CA241,CA242,CA243,CA244)</f>
        <v>0</v>
      </c>
      <c r="CB245" s="238"/>
      <c r="CC245" s="238"/>
      <c r="CD245" s="238"/>
      <c r="CG245" s="244"/>
      <c r="CH245" s="238"/>
      <c r="CI245" s="238">
        <f>MAX(CI240,CI241,CI242,CI243,CI244)</f>
        <v>0</v>
      </c>
      <c r="CJ245" s="238">
        <f>MAX(CJ240,CJ241,CJ242,CJ243,CJ244)</f>
        <v>0</v>
      </c>
      <c r="CK245" s="238"/>
      <c r="CL245" s="238"/>
      <c r="CM245" s="238"/>
      <c r="CN245" s="238"/>
      <c r="CO245" s="238"/>
      <c r="CP245" s="238"/>
      <c r="CQ245" s="238"/>
      <c r="CR245" s="238"/>
      <c r="CS245" s="238"/>
      <c r="CT245" s="238"/>
      <c r="CU245" s="238"/>
      <c r="CV245" s="238"/>
      <c r="CW245" s="238"/>
      <c r="CX245" s="238"/>
      <c r="CY245" s="238"/>
      <c r="CZ245" s="238"/>
      <c r="DA245" s="238"/>
      <c r="DB245" s="238"/>
      <c r="DC245" s="238"/>
      <c r="DD245" s="238"/>
      <c r="DE245" s="238"/>
      <c r="DF245" s="238"/>
      <c r="DG245" s="238"/>
      <c r="DH245" s="238"/>
      <c r="DI245" s="238"/>
      <c r="DJ245" s="238"/>
      <c r="DK245" s="238"/>
      <c r="DL245" s="238"/>
      <c r="DM245" s="238"/>
      <c r="DN245" s="238"/>
      <c r="DO245" s="238"/>
      <c r="DP245" s="238"/>
      <c r="DQ245" s="238"/>
      <c r="DR245" s="238"/>
      <c r="DS245" s="238"/>
      <c r="DT245" s="238"/>
      <c r="DU245" s="238"/>
      <c r="DV245" s="238"/>
      <c r="DW245" s="238"/>
      <c r="DX245" s="238"/>
      <c r="DY245" s="238"/>
      <c r="DZ245" s="238"/>
      <c r="EA245" s="238"/>
      <c r="EB245" s="238"/>
      <c r="EC245" s="238"/>
      <c r="ED245" s="238"/>
      <c r="EE245" s="238"/>
      <c r="EF245" s="238"/>
      <c r="EG245" s="238"/>
      <c r="EH245" s="238"/>
      <c r="EI245" s="238"/>
      <c r="EJ245" s="238"/>
      <c r="EK245" s="238"/>
      <c r="EL245" s="238"/>
      <c r="EM245" s="166"/>
      <c r="EN245" s="166"/>
      <c r="EO245" s="166"/>
      <c r="EP245" s="238">
        <f>SUM(EN245-EO245)</f>
        <v>0</v>
      </c>
      <c r="EQ245" s="238"/>
      <c r="ER245" s="238"/>
      <c r="ES245" s="238"/>
      <c r="ET245" s="244"/>
      <c r="EU245" s="238"/>
      <c r="EV245" s="238"/>
      <c r="EW245" s="238"/>
      <c r="EX245" s="238"/>
      <c r="EY245" s="238"/>
      <c r="EZ245" s="238"/>
      <c r="FA245" s="238"/>
      <c r="FB245" s="238"/>
      <c r="FC245" s="238"/>
      <c r="FD245" s="238"/>
      <c r="FE245" s="238"/>
      <c r="FF245" s="238"/>
      <c r="FG245" s="238"/>
      <c r="FH245" s="238"/>
      <c r="FI245" s="238"/>
      <c r="FJ245" s="238"/>
      <c r="FK245" s="238"/>
      <c r="FL245" s="238"/>
      <c r="FM245" s="238"/>
      <c r="FN245" s="238"/>
      <c r="FO245" s="244"/>
      <c r="FP245" s="238"/>
      <c r="FQ245" s="238"/>
      <c r="FR245" s="238"/>
      <c r="FS245" s="238"/>
      <c r="FT245" s="238"/>
      <c r="FU245" s="238"/>
      <c r="FV245" s="238"/>
      <c r="FW245" s="238"/>
      <c r="FX245" s="238"/>
      <c r="FY245" s="238"/>
      <c r="FZ245" s="238"/>
      <c r="GA245" s="238"/>
      <c r="GB245" s="238"/>
      <c r="GC245" s="238"/>
      <c r="GD245" s="341"/>
      <c r="GE245" s="340"/>
      <c r="GF245" s="340"/>
      <c r="GG245" s="340"/>
      <c r="GH245" s="340"/>
      <c r="GI245" s="340"/>
      <c r="GJ245" s="340"/>
      <c r="GK245" s="340"/>
      <c r="GL245" s="340"/>
      <c r="GM245" s="340"/>
      <c r="GN245" s="340"/>
      <c r="GO245" s="340"/>
      <c r="GP245" s="340"/>
      <c r="GQ245" s="340"/>
      <c r="GR245" s="340"/>
      <c r="GS245" s="340"/>
      <c r="GT245" s="340"/>
      <c r="GU245" s="340"/>
      <c r="GV245" s="340"/>
      <c r="GW245" s="340"/>
      <c r="GX245" s="340"/>
      <c r="GY245" s="340"/>
      <c r="GZ245" s="340"/>
      <c r="HA245" s="340"/>
      <c r="HB245" s="340"/>
      <c r="HC245" s="340"/>
      <c r="HD245" s="341"/>
      <c r="HE245" s="341"/>
      <c r="HF245" s="341"/>
      <c r="HG245" s="341"/>
      <c r="HH245" s="341"/>
      <c r="HI245" s="341"/>
      <c r="HJ245" s="341"/>
      <c r="HK245" s="341"/>
      <c r="HL245" s="341"/>
      <c r="HM245" s="341"/>
      <c r="HN245" s="341"/>
      <c r="HO245" s="341"/>
      <c r="HP245" s="341"/>
      <c r="HQ245" s="341"/>
      <c r="HR245" s="341"/>
      <c r="HS245" s="238"/>
      <c r="HT245" s="238"/>
      <c r="HU245" s="238"/>
      <c r="HV245" s="238"/>
      <c r="HX245" s="238"/>
      <c r="HY245" s="238"/>
      <c r="ID245" s="238"/>
    </row>
    <row r="246" spans="1:238" s="234" customFormat="1" ht="20.100000000000001" customHeight="1">
      <c r="A246" s="235"/>
      <c r="B246" s="231"/>
      <c r="C246" s="314" t="s">
        <v>771</v>
      </c>
      <c r="D246" s="276" t="str">
        <f>REPT(Sprache!$K$58,1)</f>
        <v>Spieler</v>
      </c>
      <c r="E246" s="277" t="str">
        <f>REPT(Sprache!$K$33,1)</f>
        <v>Name / Vorname</v>
      </c>
      <c r="F246" s="278"/>
      <c r="G246" s="278"/>
      <c r="H246" s="279"/>
      <c r="I246" s="280"/>
      <c r="J246" s="281" t="str">
        <f>REPT(AM246,1)</f>
        <v/>
      </c>
      <c r="L246" s="306" t="s">
        <v>848</v>
      </c>
      <c r="M246" s="238"/>
      <c r="P246" s="306" t="s">
        <v>848</v>
      </c>
      <c r="R246" s="314" t="s">
        <v>771</v>
      </c>
      <c r="S246" s="276" t="str">
        <f>REPT(Sprache!$K$58,1)</f>
        <v>Spieler</v>
      </c>
      <c r="T246" s="277" t="str">
        <f>REPT(Sprache!$K$33,1)</f>
        <v>Name / Vorname</v>
      </c>
      <c r="U246" s="278"/>
      <c r="V246" s="278"/>
      <c r="W246" s="279"/>
      <c r="X246" s="280"/>
      <c r="Y246" s="281" t="str">
        <f>REPT(BA246,1)</f>
        <v/>
      </c>
      <c r="Z246" s="308"/>
      <c r="AD246" s="235"/>
      <c r="AE246" s="235"/>
      <c r="AF246" s="237" t="s">
        <v>771</v>
      </c>
      <c r="AG246" s="282" t="s">
        <v>877</v>
      </c>
      <c r="AH246" s="283" t="str">
        <f>IF(AH245=0,"",AH245)</f>
        <v/>
      </c>
      <c r="AI246" s="283" t="str">
        <f>IF(AI245=0,"",AI245)</f>
        <v/>
      </c>
      <c r="AJ246" s="283" t="str">
        <f>IF(AJ245=0,"",AJ245)</f>
        <v/>
      </c>
      <c r="AK246" s="283" t="str">
        <f>IF(AK245=0,"",AK245)</f>
        <v/>
      </c>
      <c r="AL246" s="283" t="str">
        <f>IF(AL245=0,"",AL245)</f>
        <v/>
      </c>
      <c r="AM246" s="258" t="str">
        <f>IF(AK237="D",IF(AF245=0,"","X"),"")</f>
        <v/>
      </c>
      <c r="AN246" s="235"/>
      <c r="AO246" s="235"/>
      <c r="AP246" s="284"/>
      <c r="AQ246" s="235"/>
      <c r="AR246" s="235"/>
      <c r="AS246" s="235"/>
      <c r="AT246" s="237" t="s">
        <v>771</v>
      </c>
      <c r="AU246" s="282" t="s">
        <v>877</v>
      </c>
      <c r="AV246" s="283" t="str">
        <f>IF(AV245=0,"",AV245)</f>
        <v/>
      </c>
      <c r="AW246" s="283" t="str">
        <f>IF(AW245=0,"",AW245)</f>
        <v/>
      </c>
      <c r="AX246" s="283" t="str">
        <f>IF(AX245=0,"",AX245)</f>
        <v/>
      </c>
      <c r="AY246" s="283" t="str">
        <f>IF(AY245=0,"",AY245)</f>
        <v/>
      </c>
      <c r="AZ246" s="421" t="str">
        <f>IF(AZ245=0,"",AZ245)</f>
        <v/>
      </c>
      <c r="BA246" s="258" t="str">
        <f>IF(AK237="D",IF(AT245=0,"","X"),"")</f>
        <v/>
      </c>
      <c r="BJ246" s="236"/>
      <c r="BK246" s="238"/>
      <c r="BL246" s="244">
        <f>IF(BM246=0,0,1)</f>
        <v>0</v>
      </c>
      <c r="BM246" s="244">
        <f>SUM(BM240,BM241,BM242,BM243,BM244,HH242,AN247,AN248,BB247,BB248)</f>
        <v>0</v>
      </c>
      <c r="BN246" s="166">
        <f t="shared" ref="BN246:BO246" si="607">SUM(BN240,BN241,BN242,BN243,BN244)</f>
        <v>0</v>
      </c>
      <c r="BO246" s="166">
        <f t="shared" si="607"/>
        <v>0</v>
      </c>
      <c r="BP246" s="244"/>
      <c r="BQ246" s="238"/>
      <c r="BR246" s="238"/>
      <c r="BS246" s="238"/>
      <c r="BT246" s="238"/>
      <c r="BU246" s="238"/>
      <c r="BV246" s="238"/>
      <c r="BW246" s="238"/>
      <c r="BX246" s="236"/>
      <c r="BY246" s="238"/>
      <c r="BZ246" s="238"/>
      <c r="CA246" s="238"/>
      <c r="CB246" s="238"/>
      <c r="CC246" s="238"/>
      <c r="CD246" s="238"/>
      <c r="CE246" s="238"/>
      <c r="CF246" s="238"/>
      <c r="CG246" s="244"/>
      <c r="CH246" s="238"/>
      <c r="CI246" s="238"/>
      <c r="CJ246" s="238"/>
      <c r="CK246" s="238"/>
      <c r="CL246" s="238"/>
      <c r="CM246" s="238"/>
      <c r="CN246" s="238"/>
      <c r="CO246" s="238"/>
      <c r="CP246" s="238"/>
      <c r="CQ246" s="238"/>
      <c r="CR246" s="238"/>
      <c r="CS246" s="238"/>
      <c r="CT246" s="238"/>
      <c r="CU246" s="238"/>
      <c r="CV246" s="238"/>
      <c r="CW246" s="238"/>
      <c r="CX246" s="238"/>
      <c r="CY246" s="238"/>
      <c r="CZ246" s="238"/>
      <c r="DA246" s="238"/>
      <c r="DB246" s="238"/>
      <c r="DC246" s="238"/>
      <c r="DD246" s="238"/>
      <c r="DE246" s="238"/>
      <c r="DF246" s="238"/>
      <c r="DG246" s="238"/>
      <c r="DH246" s="238"/>
      <c r="DI246" s="238"/>
      <c r="DJ246" s="238"/>
      <c r="DK246" s="238"/>
      <c r="DL246" s="238"/>
      <c r="DM246" s="238"/>
      <c r="DN246" s="238"/>
      <c r="DO246" s="238"/>
      <c r="DP246" s="238"/>
      <c r="DQ246" s="238"/>
      <c r="DR246" s="238"/>
      <c r="DS246" s="238"/>
      <c r="DT246" s="238"/>
      <c r="DU246" s="238"/>
      <c r="DV246" s="238"/>
      <c r="DW246" s="238"/>
      <c r="DX246" s="238"/>
      <c r="DY246" s="238"/>
      <c r="DZ246" s="238"/>
      <c r="EA246" s="238"/>
      <c r="EB246" s="238"/>
      <c r="EC246" s="238"/>
      <c r="ED246" s="238"/>
      <c r="EE246" s="238"/>
      <c r="EF246" s="238"/>
      <c r="EG246" s="238"/>
      <c r="EH246" s="238"/>
      <c r="EI246" s="238"/>
      <c r="EJ246" s="238"/>
      <c r="EK246" s="238"/>
      <c r="EL246" s="238"/>
      <c r="EM246" s="238"/>
      <c r="EN246" s="238"/>
      <c r="EO246" s="238"/>
      <c r="EP246" s="238"/>
      <c r="EQ246" s="238"/>
      <c r="ER246" s="238"/>
      <c r="ES246" s="238"/>
      <c r="ET246" s="244"/>
      <c r="EU246" s="238"/>
      <c r="EV246" s="238"/>
      <c r="EW246" s="238"/>
      <c r="EX246" s="238"/>
      <c r="EY246" s="238"/>
      <c r="EZ246" s="238"/>
      <c r="FA246" s="238"/>
      <c r="FB246" s="238"/>
      <c r="FC246" s="238"/>
      <c r="FD246" s="238"/>
      <c r="FE246" s="238"/>
      <c r="FF246" s="238"/>
      <c r="FG246" s="238"/>
      <c r="FH246" s="238"/>
      <c r="FI246" s="238"/>
      <c r="FJ246" s="238"/>
      <c r="FK246" s="238"/>
      <c r="FL246" s="238"/>
      <c r="FM246" s="238"/>
      <c r="FN246" s="238"/>
      <c r="FO246" s="244"/>
      <c r="FP246" s="238"/>
      <c r="FQ246" s="238"/>
      <c r="FR246" s="238"/>
      <c r="FS246" s="238"/>
      <c r="FT246" s="238"/>
      <c r="FU246" s="238"/>
      <c r="FV246" s="238"/>
      <c r="FW246" s="238"/>
      <c r="FX246" s="238"/>
      <c r="FY246" s="238"/>
      <c r="FZ246" s="238"/>
      <c r="GA246" s="238"/>
      <c r="GB246" s="238"/>
      <c r="GC246" s="238"/>
      <c r="GD246" s="341"/>
      <c r="GE246" s="340"/>
      <c r="GF246" s="340"/>
      <c r="GG246" s="340"/>
      <c r="GH246" s="340"/>
      <c r="GI246" s="340"/>
      <c r="GJ246" s="340"/>
      <c r="GK246" s="340"/>
      <c r="GL246" s="340"/>
      <c r="GM246" s="340"/>
      <c r="GN246" s="340"/>
      <c r="GO246" s="340"/>
      <c r="GP246" s="340"/>
      <c r="GQ246" s="340"/>
      <c r="GR246" s="340"/>
      <c r="GS246" s="340"/>
      <c r="GT246" s="340"/>
      <c r="GU246" s="340"/>
      <c r="GV246" s="340"/>
      <c r="GW246" s="340"/>
      <c r="GX246" s="340"/>
      <c r="GY246" s="340"/>
      <c r="GZ246" s="340"/>
      <c r="HA246" s="340"/>
      <c r="HB246" s="340"/>
      <c r="HC246" s="340"/>
      <c r="HD246" s="341"/>
      <c r="HE246" s="341"/>
      <c r="HF246" s="341"/>
      <c r="HG246" s="341"/>
      <c r="HH246" s="341"/>
      <c r="HI246" s="341"/>
      <c r="HJ246" s="341"/>
      <c r="HK246" s="341"/>
      <c r="HL246" s="341"/>
      <c r="HM246" s="341"/>
      <c r="HN246" s="341"/>
      <c r="HO246" s="341"/>
      <c r="HP246" s="341"/>
      <c r="HQ246" s="341"/>
      <c r="HR246" s="341"/>
      <c r="HS246" s="238"/>
      <c r="HT246" s="238"/>
      <c r="HU246" s="238"/>
      <c r="HV246" s="238"/>
      <c r="HX246" s="238"/>
      <c r="HY246" s="238"/>
      <c r="ID246" s="238"/>
    </row>
    <row r="247" spans="1:238" s="234" customFormat="1" ht="20.100000000000001" customHeight="1">
      <c r="A247" s="235"/>
      <c r="B247" s="231"/>
      <c r="C247" s="285" t="str">
        <f>IF(AF247="","",SUM(AF247))</f>
        <v/>
      </c>
      <c r="D247" s="286" t="str">
        <f>IF(AK237="D",1,"")</f>
        <v/>
      </c>
      <c r="E247" s="287" t="str">
        <f>IF(C247="","",VLOOKUP(C247,Licenses!B:C,2,FALSE))</f>
        <v/>
      </c>
      <c r="F247" s="288"/>
      <c r="G247" s="288"/>
      <c r="H247" s="289"/>
      <c r="I247" s="169"/>
      <c r="J247" s="270" t="str">
        <f>REPT(AM247,1)</f>
        <v/>
      </c>
      <c r="L247" s="290" t="str">
        <f>IF(AK237="D",AK247,IF(AK246="","",AK246))</f>
        <v/>
      </c>
      <c r="M247" s="311"/>
      <c r="P247" s="290" t="str">
        <f>IF(AK237="D",AY247,IF(AY246="","",AY246))</f>
        <v/>
      </c>
      <c r="R247" s="291" t="str">
        <f>IF(AT247="","",SUM(AT247))</f>
        <v/>
      </c>
      <c r="S247" s="286" t="str">
        <f>IF(AK237="D",1,"")</f>
        <v/>
      </c>
      <c r="T247" s="292" t="str">
        <f>IF(R247="","",VLOOKUP(R247,Licenses!B:C,2,FALSE))</f>
        <v/>
      </c>
      <c r="U247" s="293"/>
      <c r="V247" s="293"/>
      <c r="W247" s="294"/>
      <c r="X247" s="169"/>
      <c r="Y247" s="270" t="str">
        <f>REPT(BA247,1)</f>
        <v/>
      </c>
      <c r="Z247" s="308"/>
      <c r="AD247" s="235"/>
      <c r="AE247" s="235"/>
      <c r="AF247" s="256" t="str">
        <f>IF(AM237="","",SUM(AM237))</f>
        <v/>
      </c>
      <c r="AG247" s="237"/>
      <c r="AH247" s="256"/>
      <c r="AI247" s="256"/>
      <c r="AJ247" s="256"/>
      <c r="AK247" s="256" t="str">
        <f>IF(BZ245&gt;1,BZ245,"")</f>
        <v/>
      </c>
      <c r="AL247" s="257">
        <f>IF(AK237="D",SUM(I247),0)</f>
        <v>0</v>
      </c>
      <c r="AM247" s="258" t="str">
        <f>IF(AM245=0,IF(AL247&lt;6,"","X"),"X")</f>
        <v/>
      </c>
      <c r="AN247" s="347" t="str">
        <f>IF(AM245=0,IF(AL247&lt;6,"",1),1)</f>
        <v/>
      </c>
      <c r="AO247" s="235"/>
      <c r="AP247" s="236"/>
      <c r="AQ247" s="235"/>
      <c r="AR247" s="235"/>
      <c r="AS247" s="235"/>
      <c r="AT247" s="256" t="str">
        <f>IF(BA237="","",SUM(BA237))</f>
        <v/>
      </c>
      <c r="AU247" s="237"/>
      <c r="AV247" s="256"/>
      <c r="AW247" s="256"/>
      <c r="AX247" s="256"/>
      <c r="AY247" s="256" t="str">
        <f>IF(CI245&gt;1,CI245,"")</f>
        <v/>
      </c>
      <c r="AZ247" s="257">
        <f>IF(AK237="D",SUM(X247),0)</f>
        <v>0</v>
      </c>
      <c r="BA247" s="258" t="str">
        <f>IF(BA245=0,IF(AZ247&lt;6,"","X"),"X")</f>
        <v/>
      </c>
      <c r="BB247" s="347" t="str">
        <f>IF(BA245=0,IF(AZ247&lt;6,"",1),1)</f>
        <v/>
      </c>
      <c r="BC247" s="236"/>
      <c r="BD247" s="236"/>
      <c r="BE247" s="236"/>
      <c r="BF247" s="236"/>
      <c r="BG247" s="236"/>
      <c r="BH247" s="236"/>
      <c r="BI247" s="236"/>
      <c r="BJ247" s="236"/>
      <c r="BK247" s="238"/>
      <c r="BL247" s="238"/>
      <c r="BM247" s="295"/>
      <c r="BN247" s="295"/>
      <c r="BO247" s="295"/>
      <c r="BP247" s="295"/>
      <c r="BQ247" s="295"/>
      <c r="BR247" s="295"/>
      <c r="BS247" s="295"/>
      <c r="BT247" s="295"/>
      <c r="BU247" s="295"/>
      <c r="BV247" s="295"/>
      <c r="BW247" s="295"/>
      <c r="BX247" s="236"/>
      <c r="BY247" s="295"/>
      <c r="BZ247" s="295"/>
      <c r="CA247" s="295"/>
      <c r="CB247" s="295"/>
      <c r="CC247" s="295"/>
      <c r="CD247" s="295"/>
      <c r="CE247" s="295"/>
      <c r="CF247" s="295"/>
      <c r="CG247" s="296"/>
      <c r="CH247" s="295"/>
      <c r="CI247" s="295"/>
      <c r="CJ247" s="295"/>
      <c r="CK247" s="238"/>
      <c r="CL247" s="238"/>
      <c r="CM247" s="238"/>
      <c r="CN247" s="238"/>
      <c r="CO247" s="238"/>
      <c r="CP247" s="238"/>
      <c r="CQ247" s="238"/>
      <c r="CR247" s="238"/>
      <c r="CS247" s="238"/>
      <c r="CT247" s="238"/>
      <c r="CU247" s="238"/>
      <c r="CV247" s="238"/>
      <c r="CW247" s="238"/>
      <c r="CX247" s="238"/>
      <c r="CY247" s="238"/>
      <c r="CZ247" s="238"/>
      <c r="DA247" s="238"/>
      <c r="DB247" s="238"/>
      <c r="DC247" s="238"/>
      <c r="DD247" s="238"/>
      <c r="DE247" s="238"/>
      <c r="DF247" s="238"/>
      <c r="DG247" s="238"/>
      <c r="DH247" s="238"/>
      <c r="DI247" s="238"/>
      <c r="DJ247" s="238"/>
      <c r="DK247" s="238"/>
      <c r="DL247" s="238"/>
      <c r="DM247" s="238"/>
      <c r="DN247" s="238"/>
      <c r="DO247" s="238"/>
      <c r="DP247" s="238"/>
      <c r="DQ247" s="238"/>
      <c r="DR247" s="238"/>
      <c r="DS247" s="238"/>
      <c r="DT247" s="238"/>
      <c r="DU247" s="238"/>
      <c r="DV247" s="238"/>
      <c r="DW247" s="238"/>
      <c r="DX247" s="238"/>
      <c r="DY247" s="238"/>
      <c r="DZ247" s="238"/>
      <c r="EA247" s="238"/>
      <c r="EB247" s="238"/>
      <c r="EC247" s="238"/>
      <c r="ED247" s="238"/>
      <c r="EE247" s="238"/>
      <c r="EF247" s="238"/>
      <c r="EG247" s="238"/>
      <c r="EH247" s="238"/>
      <c r="EI247" s="238"/>
      <c r="EJ247" s="238"/>
      <c r="EK247" s="238"/>
      <c r="EL247" s="238"/>
      <c r="EM247" s="238"/>
      <c r="EN247" s="238"/>
      <c r="EO247" s="238"/>
      <c r="EP247" s="238"/>
      <c r="EQ247" s="238"/>
      <c r="ER247" s="238"/>
      <c r="ES247" s="238"/>
      <c r="ET247" s="244"/>
      <c r="EU247" s="238"/>
      <c r="EV247" s="238"/>
      <c r="EW247" s="238"/>
      <c r="EX247" s="238"/>
      <c r="EY247" s="238"/>
      <c r="EZ247" s="238"/>
      <c r="FA247" s="238"/>
      <c r="FB247" s="238"/>
      <c r="FC247" s="238"/>
      <c r="FD247" s="238"/>
      <c r="FE247" s="238"/>
      <c r="FF247" s="238"/>
      <c r="FG247" s="238"/>
      <c r="FH247" s="238"/>
      <c r="FI247" s="238"/>
      <c r="FJ247" s="238"/>
      <c r="FK247" s="238"/>
      <c r="FL247" s="238"/>
      <c r="FM247" s="238"/>
      <c r="FN247" s="238"/>
      <c r="FO247" s="244"/>
      <c r="FP247" s="238"/>
      <c r="FQ247" s="238"/>
      <c r="FR247" s="238"/>
      <c r="FS247" s="238"/>
      <c r="FT247" s="238"/>
      <c r="FU247" s="238"/>
      <c r="FV247" s="238"/>
      <c r="FW247" s="238"/>
      <c r="FX247" s="238"/>
      <c r="FY247" s="238"/>
      <c r="FZ247" s="238"/>
      <c r="GA247" s="238"/>
      <c r="GB247" s="238"/>
      <c r="GC247" s="238"/>
      <c r="GD247" s="341"/>
      <c r="GE247" s="340"/>
      <c r="GF247" s="340"/>
      <c r="GG247" s="340"/>
      <c r="GH247" s="340"/>
      <c r="GI247" s="340"/>
      <c r="GJ247" s="340"/>
      <c r="GK247" s="340"/>
      <c r="GL247" s="340"/>
      <c r="GM247" s="340"/>
      <c r="GN247" s="340"/>
      <c r="GO247" s="340"/>
      <c r="GP247" s="340"/>
      <c r="GQ247" s="340"/>
      <c r="GR247" s="340"/>
      <c r="GS247" s="340"/>
      <c r="GT247" s="340"/>
      <c r="GU247" s="340"/>
      <c r="GV247" s="340"/>
      <c r="GW247" s="340"/>
      <c r="GX247" s="340"/>
      <c r="GY247" s="340"/>
      <c r="GZ247" s="340"/>
      <c r="HA247" s="340"/>
      <c r="HB247" s="340"/>
      <c r="HC247" s="340"/>
      <c r="HD247" s="341"/>
      <c r="HE247" s="341"/>
      <c r="HF247" s="341"/>
      <c r="HG247" s="341"/>
      <c r="HH247" s="341"/>
      <c r="HI247" s="341"/>
      <c r="HJ247" s="341"/>
      <c r="HK247" s="341"/>
      <c r="HL247" s="341"/>
      <c r="HM247" s="341"/>
      <c r="HN247" s="341"/>
      <c r="HO247" s="341"/>
      <c r="HP247" s="341"/>
      <c r="HQ247" s="341"/>
      <c r="HR247" s="341"/>
      <c r="HS247" s="238"/>
      <c r="HT247" s="238"/>
      <c r="HU247" s="238"/>
      <c r="HV247" s="238"/>
      <c r="HX247" s="238"/>
      <c r="HY247" s="238"/>
      <c r="ID247" s="238"/>
    </row>
    <row r="248" spans="1:238" s="234" customFormat="1" ht="20.100000000000001" customHeight="1">
      <c r="A248" s="235"/>
      <c r="B248" s="231"/>
      <c r="C248" s="336" t="str">
        <f>IF(AF248="","",SUM(AF248))</f>
        <v/>
      </c>
      <c r="D248" s="333" t="str">
        <f>IF(AK237="D",2,"")</f>
        <v/>
      </c>
      <c r="E248" s="337" t="str">
        <f>IF(C248="","",VLOOKUP(C248,Licenses!B:C,2,FALSE))</f>
        <v/>
      </c>
      <c r="F248" s="290"/>
      <c r="G248" s="290"/>
      <c r="H248" s="338"/>
      <c r="I248" s="331"/>
      <c r="J248" s="272" t="str">
        <f>REPT(AM248,1)</f>
        <v/>
      </c>
      <c r="L248" s="315" t="str">
        <f>IF(AK237="D",AK248,"")</f>
        <v/>
      </c>
      <c r="M248" s="311"/>
      <c r="P248" s="315" t="str">
        <f>IF(AK237="D",AY248,"")</f>
        <v/>
      </c>
      <c r="R248" s="332" t="str">
        <f>IF(AT248="","",SUM(AT248))</f>
        <v/>
      </c>
      <c r="S248" s="333" t="str">
        <f>IF(AK237="D",2,"")</f>
        <v/>
      </c>
      <c r="T248" s="334" t="str">
        <f>IF(R248="","",VLOOKUP(R248,Licenses!B:C,2,FALSE))</f>
        <v/>
      </c>
      <c r="U248" s="297"/>
      <c r="V248" s="297"/>
      <c r="W248" s="335"/>
      <c r="X248" s="331"/>
      <c r="Y248" s="272" t="str">
        <f>REPT(BA248,1)</f>
        <v/>
      </c>
      <c r="Z248" s="308"/>
      <c r="AA248" s="238">
        <f>IF(AK237="D",0,1)</f>
        <v>1</v>
      </c>
      <c r="AD248" s="235"/>
      <c r="AE248" s="235"/>
      <c r="AF248" s="256" t="str">
        <f>IF(AM238="","",SUM(AM238))</f>
        <v/>
      </c>
      <c r="AG248" s="237"/>
      <c r="AH248" s="256"/>
      <c r="AI248" s="256"/>
      <c r="AJ248" s="256"/>
      <c r="AK248" s="256" t="str">
        <f>IF(CA245&gt;1,CA245,"")</f>
        <v/>
      </c>
      <c r="AL248" s="257">
        <f>IF(AK237="D",SUM(I248),0)</f>
        <v>0</v>
      </c>
      <c r="AM248" s="258" t="str">
        <f>IF(AM245=0,IF(AL248&lt;6,"","X"),"X")</f>
        <v/>
      </c>
      <c r="AN248" s="347" t="str">
        <f>IF(AM245=0,IF(AL248&lt;6,"",1),1)</f>
        <v/>
      </c>
      <c r="AO248" s="235"/>
      <c r="AP248" s="236"/>
      <c r="AQ248" s="235"/>
      <c r="AR248" s="235"/>
      <c r="AS248" s="235"/>
      <c r="AT248" s="256" t="str">
        <f>IF(BA238="","",SUM(BA238))</f>
        <v/>
      </c>
      <c r="AU248" s="237"/>
      <c r="AV248" s="256"/>
      <c r="AW248" s="256"/>
      <c r="AX248" s="256"/>
      <c r="AY248" s="256" t="str">
        <f>IF(CJ245&gt;1,CJ245,"")</f>
        <v/>
      </c>
      <c r="AZ248" s="257">
        <f>IF(AK237="D",SUM(X248),0)</f>
        <v>0</v>
      </c>
      <c r="BA248" s="258" t="str">
        <f>IF(BA245=0,IF(AZ248&lt;6,"","X"),"X")</f>
        <v/>
      </c>
      <c r="BB248" s="347" t="str">
        <f>IF(BA245=0,IF(AZ248&lt;6,"",1),1)</f>
        <v/>
      </c>
      <c r="BC248" s="236"/>
      <c r="BD248" s="236"/>
      <c r="BE248" s="236"/>
      <c r="BF248" s="236"/>
      <c r="BG248" s="236"/>
      <c r="BH248" s="236"/>
      <c r="BI248" s="236"/>
      <c r="BJ248" s="236"/>
      <c r="BK248" s="238"/>
      <c r="BM248" s="238"/>
      <c r="BN248" s="238"/>
      <c r="BO248" s="238"/>
      <c r="BP248" s="238"/>
      <c r="BQ248" s="238" t="s">
        <v>899</v>
      </c>
      <c r="BR248" s="238"/>
      <c r="BS248" s="238"/>
      <c r="BT248" s="238"/>
      <c r="BU248" s="238"/>
      <c r="BV248" s="238"/>
      <c r="BW248" s="238"/>
      <c r="BX248" s="236"/>
      <c r="BY248" s="238"/>
      <c r="BZ248" s="238"/>
      <c r="CA248" s="238"/>
      <c r="CB248" s="238"/>
      <c r="CC248" s="238"/>
      <c r="CD248" s="238" t="s">
        <v>899</v>
      </c>
      <c r="CE248" s="238"/>
      <c r="CF248" s="238"/>
      <c r="CG248" s="244"/>
      <c r="CH248" s="238"/>
      <c r="CI248" s="238"/>
      <c r="CJ248" s="238"/>
      <c r="CK248" s="238"/>
      <c r="CL248" s="238"/>
      <c r="CM248" s="238"/>
      <c r="CN248" s="238"/>
      <c r="CO248" s="238"/>
      <c r="CP248" s="238"/>
      <c r="CQ248" s="238"/>
      <c r="CR248" s="238"/>
      <c r="CS248" s="238"/>
      <c r="CT248" s="238"/>
      <c r="CU248" s="238"/>
      <c r="CV248" s="238"/>
      <c r="CW248" s="238"/>
      <c r="CX248" s="238"/>
      <c r="CY248" s="238"/>
      <c r="CZ248" s="238"/>
      <c r="DA248" s="238"/>
      <c r="DB248" s="238"/>
      <c r="DC248" s="238"/>
      <c r="DD248" s="238"/>
      <c r="DE248" s="238"/>
      <c r="DF248" s="238"/>
      <c r="DG248" s="238"/>
      <c r="DH248" s="238"/>
      <c r="DI248" s="238"/>
      <c r="DJ248" s="238"/>
      <c r="DK248" s="238"/>
      <c r="DL248" s="238"/>
      <c r="DM248" s="238"/>
      <c r="DN248" s="238"/>
      <c r="DO248" s="238"/>
      <c r="DP248" s="238"/>
      <c r="DQ248" s="238"/>
      <c r="DR248" s="238"/>
      <c r="DS248" s="238"/>
      <c r="DT248" s="238"/>
      <c r="DU248" s="238"/>
      <c r="DV248" s="238"/>
      <c r="DW248" s="238"/>
      <c r="DX248" s="238"/>
      <c r="DY248" s="238"/>
      <c r="DZ248" s="238"/>
      <c r="EA248" s="238"/>
      <c r="EB248" s="238"/>
      <c r="EC248" s="238"/>
      <c r="ED248" s="238"/>
      <c r="EE248" s="238"/>
      <c r="EF248" s="238"/>
      <c r="EG248" s="238"/>
      <c r="EH248" s="238"/>
      <c r="EI248" s="238"/>
      <c r="EJ248" s="238"/>
      <c r="EK248" s="238"/>
      <c r="EL248" s="238"/>
      <c r="EM248" s="238"/>
      <c r="EN248" s="238"/>
      <c r="EO248" s="238"/>
      <c r="EP248" s="238"/>
      <c r="EQ248" s="238"/>
      <c r="ER248" s="238"/>
      <c r="ES248" s="238"/>
      <c r="ET248" s="244"/>
      <c r="EU248" s="238"/>
      <c r="EV248" s="238"/>
      <c r="EW248" s="238"/>
      <c r="EX248" s="238"/>
      <c r="EY248" s="238"/>
      <c r="EZ248" s="238"/>
      <c r="FA248" s="238"/>
      <c r="FB248" s="238"/>
      <c r="FC248" s="238"/>
      <c r="FD248" s="238"/>
      <c r="FE248" s="238"/>
      <c r="FF248" s="238"/>
      <c r="FG248" s="238"/>
      <c r="FH248" s="238"/>
      <c r="FI248" s="238"/>
      <c r="FJ248" s="238"/>
      <c r="FK248" s="238"/>
      <c r="FL248" s="238"/>
      <c r="FM248" s="238"/>
      <c r="FN248" s="238"/>
      <c r="FO248" s="244"/>
      <c r="FP248" s="238"/>
      <c r="FQ248" s="238"/>
      <c r="FR248" s="238"/>
      <c r="FS248" s="238"/>
      <c r="FT248" s="238"/>
      <c r="FU248" s="238"/>
      <c r="FV248" s="238"/>
      <c r="FW248" s="238"/>
      <c r="FX248" s="238"/>
      <c r="FY248" s="238"/>
      <c r="FZ248" s="238"/>
      <c r="GA248" s="238"/>
      <c r="GB248" s="238"/>
      <c r="GC248" s="238"/>
      <c r="GD248" s="341"/>
      <c r="GE248" s="340"/>
      <c r="GF248" s="340"/>
      <c r="GG248" s="340"/>
      <c r="GH248" s="340"/>
      <c r="GI248" s="340"/>
      <c r="GJ248" s="340"/>
      <c r="GK248" s="340"/>
      <c r="GL248" s="340"/>
      <c r="GM248" s="340"/>
      <c r="GN248" s="340"/>
      <c r="GO248" s="340"/>
      <c r="GP248" s="340"/>
      <c r="GQ248" s="340"/>
      <c r="GR248" s="340"/>
      <c r="GS248" s="340"/>
      <c r="GT248" s="340"/>
      <c r="GU248" s="340"/>
      <c r="GV248" s="340"/>
      <c r="GW248" s="340"/>
      <c r="GX248" s="340"/>
      <c r="GY248" s="340"/>
      <c r="GZ248" s="340"/>
      <c r="HA248" s="340"/>
      <c r="HB248" s="340"/>
      <c r="HC248" s="340"/>
      <c r="HD248" s="341"/>
      <c r="HE248" s="341"/>
      <c r="HF248" s="341"/>
      <c r="HG248" s="341"/>
      <c r="HH248" s="341"/>
      <c r="HI248" s="341"/>
      <c r="HJ248" s="341"/>
      <c r="HK248" s="341"/>
      <c r="HL248" s="341"/>
      <c r="HM248" s="341"/>
      <c r="HN248" s="341"/>
      <c r="HO248" s="341"/>
      <c r="HP248" s="341"/>
      <c r="HQ248" s="341"/>
      <c r="HR248" s="341"/>
      <c r="HS248" s="238"/>
      <c r="HT248" s="238"/>
      <c r="HU248" s="238"/>
      <c r="HV248" s="238"/>
      <c r="HX248" s="238"/>
      <c r="HY248" s="238"/>
      <c r="ID248" s="238"/>
    </row>
    <row r="249" spans="1:238" s="234" customFormat="1" ht="20.100000000000001" customHeight="1">
      <c r="A249" s="235"/>
      <c r="B249" s="316"/>
      <c r="C249" s="317"/>
      <c r="D249" s="317"/>
      <c r="E249" s="318"/>
      <c r="F249" s="318"/>
      <c r="G249" s="318"/>
      <c r="H249" s="318"/>
      <c r="I249" s="318"/>
      <c r="J249" s="318"/>
      <c r="K249" s="319"/>
      <c r="L249" s="319"/>
      <c r="M249" s="319"/>
      <c r="N249" s="319"/>
      <c r="O249" s="319"/>
      <c r="P249" s="320"/>
      <c r="Q249" s="319"/>
      <c r="R249" s="317"/>
      <c r="S249" s="318"/>
      <c r="T249" s="318"/>
      <c r="U249" s="318"/>
      <c r="V249" s="318"/>
      <c r="W249" s="318"/>
      <c r="X249" s="318"/>
      <c r="Y249" s="318"/>
      <c r="Z249" s="321"/>
      <c r="AD249" s="235"/>
      <c r="AE249" s="237"/>
      <c r="AF249" s="237"/>
      <c r="AG249" s="237"/>
      <c r="AH249" s="237" t="s">
        <v>921</v>
      </c>
      <c r="AI249" s="237" t="s">
        <v>922</v>
      </c>
      <c r="AJ249" s="298" t="str">
        <f>IF(BS249="","",SUM(AM249)*3)</f>
        <v/>
      </c>
      <c r="AK249" s="299" t="s">
        <v>923</v>
      </c>
      <c r="AL249" s="256"/>
      <c r="AM249" s="256" t="str">
        <f>IF(BS249="","",SUM(BS249))</f>
        <v/>
      </c>
      <c r="AN249" s="235"/>
      <c r="AO249" s="235"/>
      <c r="AP249" s="236"/>
      <c r="AQ249" s="235"/>
      <c r="AR249" s="235"/>
      <c r="AS249" s="237"/>
      <c r="AT249" s="237"/>
      <c r="AU249" s="237"/>
      <c r="AV249" s="237" t="s">
        <v>921</v>
      </c>
      <c r="AW249" s="237" t="s">
        <v>922</v>
      </c>
      <c r="AX249" s="298" t="str">
        <f>IF(BS249="","",SUM(BA249)*3)</f>
        <v/>
      </c>
      <c r="AY249" s="299" t="s">
        <v>923</v>
      </c>
      <c r="AZ249" s="256"/>
      <c r="BA249" s="256" t="str">
        <f>IF(BS249="","",SUM(CF249))</f>
        <v/>
      </c>
      <c r="BB249" s="236"/>
      <c r="BC249" s="236"/>
      <c r="BD249" s="236"/>
      <c r="BE249" s="236"/>
      <c r="BF249" s="236"/>
      <c r="BG249" s="236"/>
      <c r="BH249" s="236"/>
      <c r="BI249" s="236"/>
      <c r="BJ249" s="236"/>
      <c r="BK249" s="373">
        <f>IF(AL237=BQ249,1,0)</f>
        <v>0</v>
      </c>
      <c r="BL249" s="373">
        <f>IF(AL237=CD249,1,0)</f>
        <v>0</v>
      </c>
      <c r="BM249" s="256">
        <f>IF(BN249&gt;2,1,0)</f>
        <v>0</v>
      </c>
      <c r="BN249" s="256">
        <f>COUNT(AH240,AH241,AH242)</f>
        <v>0</v>
      </c>
      <c r="BO249" s="256" t="str">
        <f>IF(AH246="","",SUM(AH246/AJ246))</f>
        <v/>
      </c>
      <c r="BP249" s="256"/>
      <c r="BQ249" s="300">
        <f>COUNT(AK240,AK241,AK242,AK243,AK244)</f>
        <v>0</v>
      </c>
      <c r="BR249" s="256"/>
      <c r="BS249" s="256" t="str">
        <f>IF(BL246=0,IF(AJ241="","",BO249),"")</f>
        <v/>
      </c>
      <c r="BT249" s="236"/>
      <c r="BU249" s="236"/>
      <c r="BV249" s="236"/>
      <c r="BW249" s="236"/>
      <c r="BX249" s="236"/>
      <c r="BY249" s="256">
        <f>IF(CD249&gt;2,1,0)</f>
        <v>0</v>
      </c>
      <c r="BZ249" s="256">
        <f>IF(CA249&gt;2,1,0)</f>
        <v>0</v>
      </c>
      <c r="CA249" s="256">
        <f>COUNT(AV240,AV241,AV242)</f>
        <v>0</v>
      </c>
      <c r="CB249" s="256" t="str">
        <f>IF(AV246="","",SUM(AV246/AX246))</f>
        <v/>
      </c>
      <c r="CC249" s="256"/>
      <c r="CD249" s="300">
        <f>COUNT(AY240,AY241,AY242,AY243,AY244)</f>
        <v>0</v>
      </c>
      <c r="CE249" s="256"/>
      <c r="CF249" s="256" t="str">
        <f>IF(BL246=0,IF(AX241="","",CB249),"")</f>
        <v/>
      </c>
      <c r="CG249" s="236"/>
      <c r="CH249" s="188"/>
      <c r="CI249" s="188"/>
      <c r="CJ249" s="196"/>
      <c r="CK249" s="196"/>
      <c r="CL249" s="196"/>
      <c r="CM249" s="196"/>
      <c r="CN249" s="196"/>
      <c r="CO249" s="196"/>
      <c r="CP249" s="196"/>
      <c r="CQ249" s="196"/>
      <c r="CR249" s="196"/>
      <c r="CS249" s="196"/>
      <c r="CT249" s="196"/>
      <c r="CU249" s="196"/>
      <c r="CV249" s="196"/>
      <c r="CW249" s="196"/>
      <c r="CX249" s="196"/>
      <c r="CY249" s="196"/>
      <c r="CZ249" s="196"/>
      <c r="DA249" s="196"/>
      <c r="DB249" s="196"/>
      <c r="DC249" s="196"/>
      <c r="DD249" s="196"/>
      <c r="DE249" s="196"/>
      <c r="DF249" s="196"/>
      <c r="DG249" s="196"/>
      <c r="DH249" s="196"/>
      <c r="DI249" s="196"/>
      <c r="DJ249" s="196"/>
      <c r="DK249" s="196"/>
      <c r="DL249" s="196"/>
      <c r="DM249" s="196"/>
      <c r="DN249" s="196"/>
      <c r="DO249" s="196"/>
      <c r="DP249" s="196"/>
      <c r="DQ249" s="196"/>
      <c r="DR249" s="196"/>
      <c r="DS249" s="196"/>
      <c r="DT249" s="196"/>
      <c r="DU249" s="196"/>
      <c r="DV249" s="196"/>
      <c r="DW249" s="196"/>
      <c r="DX249" s="196"/>
      <c r="DY249" s="196"/>
      <c r="DZ249" s="196"/>
      <c r="EA249" s="196"/>
      <c r="EB249" s="196"/>
      <c r="EC249" s="196"/>
      <c r="ED249" s="196"/>
      <c r="EE249" s="196"/>
      <c r="EF249" s="196"/>
      <c r="EG249" s="196"/>
      <c r="EH249" s="196"/>
      <c r="EI249" s="196"/>
      <c r="EJ249" s="196"/>
      <c r="EK249" s="196"/>
      <c r="EL249" s="196"/>
      <c r="EM249" s="196"/>
      <c r="EN249" s="196"/>
      <c r="EO249" s="196"/>
      <c r="EP249" s="196"/>
      <c r="EQ249" s="196"/>
      <c r="ER249" s="196"/>
      <c r="ES249" s="196"/>
      <c r="ET249" s="301"/>
      <c r="EU249" s="196"/>
      <c r="EV249" s="196"/>
      <c r="EW249" s="196"/>
      <c r="EX249" s="196"/>
      <c r="EY249" s="196"/>
      <c r="EZ249" s="196"/>
      <c r="FA249" s="196"/>
      <c r="FB249" s="196"/>
      <c r="FC249" s="196"/>
      <c r="FD249" s="196"/>
      <c r="FE249" s="196"/>
      <c r="FF249" s="196"/>
      <c r="FG249" s="196"/>
      <c r="FH249" s="196"/>
      <c r="FI249" s="196"/>
      <c r="FJ249" s="196"/>
      <c r="FK249" s="196"/>
      <c r="FL249" s="196"/>
      <c r="FM249" s="196"/>
      <c r="FN249" s="196"/>
      <c r="FO249" s="301"/>
      <c r="FP249" s="196"/>
      <c r="FQ249" s="196"/>
      <c r="FR249" s="196"/>
      <c r="FS249" s="196"/>
      <c r="FT249" s="196"/>
      <c r="FU249" s="196"/>
      <c r="FV249" s="196"/>
      <c r="FW249" s="196"/>
      <c r="FX249" s="196"/>
      <c r="FY249" s="196"/>
      <c r="FZ249" s="196"/>
      <c r="GA249" s="196"/>
      <c r="GB249" s="238"/>
      <c r="GC249" s="238"/>
      <c r="GD249" s="341"/>
      <c r="GE249" s="341"/>
      <c r="GF249" s="341"/>
      <c r="GG249" s="341"/>
      <c r="GH249" s="341"/>
      <c r="GI249" s="341"/>
      <c r="GJ249" s="341"/>
      <c r="GK249" s="341"/>
      <c r="GL249" s="341"/>
      <c r="GM249" s="341"/>
      <c r="GN249" s="341"/>
      <c r="GO249" s="341"/>
      <c r="GP249" s="341"/>
      <c r="GQ249" s="341"/>
      <c r="GR249" s="341"/>
      <c r="GS249" s="341"/>
      <c r="GT249" s="341"/>
      <c r="GU249" s="341"/>
      <c r="GV249" s="341"/>
      <c r="GW249" s="341"/>
      <c r="GX249" s="341"/>
      <c r="GY249" s="341"/>
      <c r="GZ249" s="341"/>
      <c r="HA249" s="341"/>
      <c r="HB249" s="341"/>
      <c r="HC249" s="341"/>
      <c r="HD249" s="341"/>
      <c r="HE249" s="341"/>
      <c r="HF249" s="341"/>
      <c r="HG249" s="341"/>
      <c r="HH249" s="341"/>
      <c r="HI249" s="341"/>
      <c r="HJ249" s="341"/>
      <c r="HK249" s="341"/>
      <c r="HL249" s="341"/>
      <c r="HM249" s="341"/>
      <c r="HN249" s="341"/>
      <c r="HO249" s="341"/>
      <c r="HP249" s="341"/>
      <c r="HQ249" s="341"/>
      <c r="HR249" s="341"/>
      <c r="HS249" s="238"/>
      <c r="HT249" s="238"/>
      <c r="HU249" s="238"/>
      <c r="HV249" s="238"/>
      <c r="HX249" s="238"/>
      <c r="HY249" s="238"/>
      <c r="ID249" s="238"/>
    </row>
    <row r="250" spans="1:238" ht="14.1" customHeight="1">
      <c r="B250" s="214"/>
      <c r="C250" s="171"/>
      <c r="D250" s="171"/>
      <c r="E250" s="171"/>
      <c r="F250" s="171"/>
      <c r="G250" s="171"/>
      <c r="H250" s="171"/>
      <c r="I250" s="171"/>
      <c r="J250" s="171"/>
      <c r="K250" s="171"/>
      <c r="L250" s="171"/>
      <c r="M250" s="171"/>
      <c r="N250" s="171"/>
      <c r="O250" s="171"/>
      <c r="P250" s="171"/>
      <c r="Q250" s="171"/>
      <c r="R250" s="171"/>
      <c r="S250" s="171"/>
      <c r="T250" s="171"/>
      <c r="U250" s="171"/>
      <c r="V250" s="171"/>
      <c r="W250" s="171"/>
      <c r="X250" s="171"/>
      <c r="Y250" s="171"/>
      <c r="Z250" s="302"/>
      <c r="AA250" s="215"/>
      <c r="AB250" s="215"/>
      <c r="AC250" s="215"/>
      <c r="AD250" s="215"/>
      <c r="AE250" s="215"/>
      <c r="AF250" s="215"/>
      <c r="BB250" s="215"/>
      <c r="BC250" s="215"/>
      <c r="BD250" s="215"/>
      <c r="BE250" s="215"/>
      <c r="BF250" s="215"/>
      <c r="BG250" s="215"/>
      <c r="BH250" s="215"/>
      <c r="GD250" s="339"/>
      <c r="GE250" s="339"/>
      <c r="GF250" s="339"/>
      <c r="GG250" s="339"/>
      <c r="GH250" s="339"/>
      <c r="GI250" s="339"/>
      <c r="GJ250" s="339"/>
      <c r="GK250" s="339"/>
      <c r="GL250" s="339"/>
      <c r="GM250" s="339"/>
      <c r="GN250" s="339"/>
      <c r="GO250" s="339"/>
      <c r="GP250" s="339"/>
      <c r="GQ250" s="339"/>
      <c r="GR250" s="339"/>
      <c r="GS250" s="339"/>
      <c r="GT250" s="339"/>
      <c r="GU250" s="339"/>
      <c r="GV250" s="339"/>
      <c r="GW250" s="339"/>
      <c r="GX250" s="339"/>
      <c r="GY250" s="339"/>
      <c r="GZ250" s="339"/>
      <c r="HA250" s="339"/>
      <c r="HB250" s="339"/>
      <c r="HC250" s="339"/>
      <c r="HD250" s="339"/>
      <c r="HE250" s="339"/>
      <c r="HF250" s="339"/>
      <c r="HG250" s="339"/>
      <c r="HH250" s="339"/>
      <c r="HI250" s="339"/>
      <c r="HJ250" s="339"/>
      <c r="HK250" s="339"/>
      <c r="HL250" s="339"/>
      <c r="HM250" s="339"/>
      <c r="HN250" s="339"/>
      <c r="HO250" s="339"/>
      <c r="HP250" s="339"/>
      <c r="HQ250" s="339"/>
      <c r="HR250" s="339"/>
    </row>
    <row r="251" spans="1:238" ht="24" customHeight="1">
      <c r="B251" s="216"/>
      <c r="C251" s="181"/>
      <c r="D251" s="181"/>
      <c r="E251" s="181"/>
      <c r="F251" s="181"/>
      <c r="G251" s="181"/>
      <c r="H251" s="181"/>
      <c r="I251" s="181"/>
      <c r="J251" s="181"/>
      <c r="K251" s="185"/>
      <c r="L251" s="217"/>
      <c r="M251" s="218"/>
      <c r="N251" s="327" t="str">
        <f>CONCATENATE(AG251," ",AH251)</f>
        <v>Spiel 18</v>
      </c>
      <c r="O251" s="218"/>
      <c r="P251" s="219"/>
      <c r="Q251" s="185"/>
      <c r="R251" s="181"/>
      <c r="S251" s="181"/>
      <c r="T251" s="181"/>
      <c r="U251" s="181"/>
      <c r="V251" s="181"/>
      <c r="W251" s="181"/>
      <c r="X251" s="181"/>
      <c r="Y251" s="181"/>
      <c r="Z251" s="303"/>
      <c r="AA251" s="200"/>
      <c r="AB251" s="200"/>
      <c r="AC251" s="200"/>
      <c r="AD251" s="200"/>
      <c r="AE251" s="200"/>
      <c r="AF251" s="200"/>
      <c r="AG251" s="200" t="s">
        <v>863</v>
      </c>
      <c r="AH251" s="220">
        <v>18</v>
      </c>
      <c r="AI251" s="173">
        <f>VLOOKUP(AH251,Chema!R:T,3,FALSE)</f>
        <v>2.6</v>
      </c>
      <c r="AJ251" s="200" t="str">
        <f>VLOOKUP(AH251,Chema!BL:BQ,6,FALSE)</f>
        <v>2.6*</v>
      </c>
      <c r="AK251" s="200" t="str">
        <f>VLOOKUP(AH251,'Matchblatt  FEUILLE DE MATCH'!AI:AJ,2,FALSE)</f>
        <v>S</v>
      </c>
      <c r="AL251" s="200">
        <f>VLOOKUP(AH251,Chema!R:U,4,FALSE)</f>
        <v>5</v>
      </c>
      <c r="AM251" s="215" t="str">
        <f>VLOOKUP(AH251,'Matchblatt  FEUILLE DE MATCH'!AI:AS,10,FALSE)</f>
        <v/>
      </c>
      <c r="AN251" s="215"/>
      <c r="AO251" s="215"/>
      <c r="AP251" s="215"/>
      <c r="AQ251" s="215"/>
      <c r="AR251" s="215"/>
      <c r="AS251" s="215"/>
      <c r="AT251" s="215"/>
      <c r="AU251" s="215"/>
      <c r="AV251" s="215"/>
      <c r="AW251" s="215"/>
      <c r="AX251" s="215"/>
      <c r="AY251" s="215"/>
      <c r="AZ251" s="215"/>
      <c r="BA251" s="215" t="str">
        <f>VLOOKUP(AH251,'Matchblatt  FEUILLE DE MATCH'!AI:AS,11,FALSE)</f>
        <v/>
      </c>
      <c r="BB251" s="200"/>
      <c r="BC251" s="200"/>
      <c r="BD251" s="200"/>
      <c r="BE251" s="200"/>
      <c r="BF251" s="200"/>
      <c r="BG251" s="200"/>
      <c r="BH251" s="200"/>
      <c r="BK251" s="196"/>
      <c r="BL251" s="196"/>
      <c r="BM251" s="196"/>
      <c r="BN251" s="196"/>
      <c r="BO251" s="196"/>
      <c r="BP251" s="196"/>
      <c r="BQ251" s="221" t="s">
        <v>843</v>
      </c>
      <c r="BR251" s="222"/>
      <c r="BS251" s="222"/>
      <c r="BT251" s="223"/>
      <c r="BU251" s="222" t="s">
        <v>843</v>
      </c>
      <c r="BV251" s="222"/>
      <c r="BW251" s="222"/>
      <c r="BX251" s="224"/>
      <c r="BY251" s="222"/>
      <c r="BZ251" s="222"/>
      <c r="CA251" s="222"/>
      <c r="CB251" s="222"/>
      <c r="CC251" s="222"/>
      <c r="CD251" s="222"/>
      <c r="CE251" s="222"/>
      <c r="CF251" s="222"/>
      <c r="CG251" s="224"/>
      <c r="CH251" s="222"/>
      <c r="CI251" s="222"/>
      <c r="CJ251" s="223"/>
      <c r="CK251" s="196"/>
      <c r="CL251" s="196"/>
      <c r="CM251" s="196"/>
      <c r="CN251" s="196"/>
      <c r="CO251" s="196"/>
      <c r="CP251" s="196"/>
      <c r="CQ251" s="196"/>
      <c r="CR251" s="196"/>
      <c r="CS251" s="196"/>
      <c r="CT251" s="196"/>
      <c r="CU251" s="196"/>
      <c r="CV251" s="196"/>
      <c r="CW251" s="196"/>
      <c r="CX251" s="196"/>
      <c r="CY251" s="196"/>
      <c r="CZ251" s="196"/>
      <c r="DA251" s="196"/>
      <c r="DB251" s="196"/>
      <c r="DC251" s="196"/>
      <c r="DD251" s="196"/>
      <c r="DE251" s="196"/>
      <c r="DF251" s="196"/>
      <c r="DG251" s="196"/>
      <c r="DH251" s="196"/>
      <c r="DI251" s="196"/>
      <c r="DJ251" s="196"/>
      <c r="DK251" s="196"/>
      <c r="DL251" s="196"/>
      <c r="DM251" s="196"/>
      <c r="DN251" s="196"/>
      <c r="DO251" s="196"/>
      <c r="DP251" s="196"/>
      <c r="DQ251" s="196"/>
      <c r="DR251" s="196"/>
      <c r="DS251" s="196"/>
      <c r="DT251" s="196"/>
      <c r="DU251" s="196"/>
      <c r="DV251" s="196"/>
      <c r="DW251" s="196"/>
      <c r="DX251" s="196"/>
      <c r="DY251" s="196"/>
      <c r="DZ251" s="196"/>
      <c r="EA251" s="196"/>
      <c r="EB251" s="196"/>
      <c r="EC251" s="196"/>
      <c r="ED251" s="196"/>
      <c r="EE251" s="196"/>
      <c r="EF251" s="196"/>
      <c r="EG251" s="196"/>
      <c r="EH251" s="196"/>
      <c r="EI251" s="196"/>
      <c r="EJ251" s="196"/>
      <c r="EK251" s="196"/>
      <c r="EL251" s="196"/>
      <c r="EM251" s="221" t="s">
        <v>7</v>
      </c>
      <c r="EN251" s="222"/>
      <c r="EO251" s="222"/>
      <c r="EP251" s="222"/>
      <c r="EQ251" s="222"/>
      <c r="ER251" s="222"/>
      <c r="ES251" s="222"/>
      <c r="ET251" s="224"/>
      <c r="EU251" s="222"/>
      <c r="EV251" s="222"/>
      <c r="EW251" s="222"/>
      <c r="EX251" s="222"/>
      <c r="EY251" s="222"/>
      <c r="EZ251" s="222"/>
      <c r="FA251" s="222"/>
      <c r="FB251" s="222"/>
      <c r="FC251" s="222"/>
      <c r="FD251" s="222"/>
      <c r="FE251" s="223"/>
      <c r="FF251" s="196"/>
      <c r="FG251" s="196"/>
      <c r="FH251" s="221" t="s">
        <v>12</v>
      </c>
      <c r="FI251" s="222"/>
      <c r="FJ251" s="222"/>
      <c r="FK251" s="222"/>
      <c r="FL251" s="222"/>
      <c r="FM251" s="222"/>
      <c r="FN251" s="222"/>
      <c r="FO251" s="224"/>
      <c r="FP251" s="222"/>
      <c r="FQ251" s="222"/>
      <c r="FR251" s="222"/>
      <c r="FS251" s="222"/>
      <c r="FT251" s="222"/>
      <c r="FU251" s="222"/>
      <c r="FV251" s="222"/>
      <c r="FW251" s="222"/>
      <c r="FX251" s="222"/>
      <c r="FY251" s="222"/>
      <c r="FZ251" s="223"/>
      <c r="GA251" s="196"/>
      <c r="GD251" s="339"/>
      <c r="GE251" s="339"/>
      <c r="GF251" s="339"/>
      <c r="GG251" s="339"/>
      <c r="GH251" s="339"/>
      <c r="GI251" s="339"/>
      <c r="GJ251" s="339"/>
      <c r="GK251" s="339"/>
      <c r="GL251" s="339"/>
      <c r="GM251" s="339"/>
      <c r="GN251" s="339"/>
      <c r="GO251" s="339"/>
      <c r="GP251" s="339"/>
      <c r="GQ251" s="339"/>
      <c r="GR251" s="339"/>
      <c r="GS251" s="339"/>
      <c r="GT251" s="339"/>
      <c r="GU251" s="339"/>
      <c r="GV251" s="339"/>
      <c r="GW251" s="339"/>
      <c r="GX251" s="339"/>
      <c r="GY251" s="339"/>
      <c r="GZ251" s="339"/>
      <c r="HA251" s="339"/>
      <c r="HB251" s="339"/>
      <c r="HC251" s="339"/>
      <c r="HD251" s="339"/>
      <c r="HE251" s="339"/>
      <c r="HF251" s="339"/>
      <c r="HG251" s="339"/>
      <c r="HH251" s="339"/>
      <c r="HI251" s="339"/>
      <c r="HJ251" s="339"/>
      <c r="HK251" s="339"/>
      <c r="HL251" s="339"/>
      <c r="HM251" s="339"/>
      <c r="HN251" s="339"/>
      <c r="HO251" s="339"/>
      <c r="HP251" s="339"/>
      <c r="HQ251" s="339"/>
      <c r="HR251" s="339"/>
    </row>
    <row r="252" spans="1:238" ht="14.1" customHeight="1">
      <c r="B252" s="225"/>
      <c r="C252" s="304"/>
      <c r="D252" s="304"/>
      <c r="E252" s="304"/>
      <c r="F252" s="304"/>
      <c r="G252" s="304"/>
      <c r="H252" s="304"/>
      <c r="I252" s="304"/>
      <c r="J252" s="304"/>
      <c r="K252" s="166"/>
      <c r="L252" s="166"/>
      <c r="M252" s="166"/>
      <c r="N252" s="304"/>
      <c r="O252" s="304"/>
      <c r="P252" s="166"/>
      <c r="Q252" s="166"/>
      <c r="R252" s="304"/>
      <c r="S252" s="304"/>
      <c r="T252" s="304"/>
      <c r="U252" s="304"/>
      <c r="V252" s="304"/>
      <c r="W252" s="304"/>
      <c r="X252" s="166"/>
      <c r="Y252" s="166"/>
      <c r="Z252" s="305"/>
      <c r="AA252" s="63"/>
      <c r="AB252" s="63"/>
      <c r="AC252" s="63"/>
      <c r="AD252" s="63"/>
      <c r="AE252" s="63"/>
      <c r="AF252" s="63"/>
      <c r="AJ252" s="173" t="str">
        <f>IF(AK251="D",CONCATENATE(AI251,".",2),"")</f>
        <v/>
      </c>
      <c r="AL252" s="200"/>
      <c r="AM252" s="200" t="str">
        <f>IF(AK251="D",VLOOKUP(AJ252,'Matchblatt  FEUILLE DE MATCH'!AK:AS,8,FALSE),"")</f>
        <v/>
      </c>
      <c r="AN252" s="200"/>
      <c r="AO252" s="200"/>
      <c r="AP252" s="200"/>
      <c r="AQ252" s="200"/>
      <c r="AR252" s="200"/>
      <c r="AS252" s="200"/>
      <c r="AT252" s="200"/>
      <c r="AU252" s="200"/>
      <c r="AV252" s="200"/>
      <c r="AW252" s="200"/>
      <c r="AX252" s="200"/>
      <c r="AY252" s="200"/>
      <c r="AZ252" s="200"/>
      <c r="BA252" s="200" t="str">
        <f>IF(AK251="D",VLOOKUP(AJ252,'Matchblatt  FEUILLE DE MATCH'!AK:AS,9,FALSE),"")</f>
        <v/>
      </c>
      <c r="BB252" s="63"/>
      <c r="BC252" s="63"/>
      <c r="BD252" s="63"/>
      <c r="BE252" s="63"/>
      <c r="BF252" s="63"/>
      <c r="BG252" s="63"/>
      <c r="BH252" s="63"/>
      <c r="BK252" s="166" t="s">
        <v>7</v>
      </c>
      <c r="BL252" s="166" t="s">
        <v>12</v>
      </c>
      <c r="BM252" s="166"/>
      <c r="BN252" s="166" t="s">
        <v>7</v>
      </c>
      <c r="BO252" s="166" t="s">
        <v>12</v>
      </c>
      <c r="BP252" s="166"/>
      <c r="BQ252" s="226" t="s">
        <v>894</v>
      </c>
      <c r="BR252" s="227" t="s">
        <v>895</v>
      </c>
      <c r="BS252" s="228" t="s">
        <v>896</v>
      </c>
      <c r="BT252" s="229"/>
      <c r="BU252" s="226" t="s">
        <v>7</v>
      </c>
      <c r="BV252" s="166"/>
      <c r="BW252" s="166"/>
      <c r="BX252" s="230"/>
      <c r="BY252" s="166"/>
      <c r="BZ252" s="166"/>
      <c r="CA252" s="227"/>
      <c r="CB252" s="166"/>
      <c r="CC252" s="166"/>
      <c r="CD252" s="226" t="s">
        <v>12</v>
      </c>
      <c r="CE252" s="166"/>
      <c r="CF252" s="166"/>
      <c r="CG252" s="230"/>
      <c r="CH252" s="166"/>
      <c r="CI252" s="166"/>
      <c r="CJ252" s="227"/>
      <c r="CK252" s="166"/>
      <c r="CL252" s="166" t="s">
        <v>897</v>
      </c>
      <c r="CM252" s="166"/>
      <c r="CN252" s="166"/>
      <c r="CO252" s="166"/>
      <c r="CP252" s="166"/>
      <c r="CQ252" s="166"/>
      <c r="CR252" s="166"/>
      <c r="CS252" s="166"/>
      <c r="CT252" s="166"/>
      <c r="CU252" s="166" t="s">
        <v>843</v>
      </c>
      <c r="CV252" s="166"/>
      <c r="CW252" s="166" t="s">
        <v>843</v>
      </c>
      <c r="CX252" s="166"/>
      <c r="CY252" s="166"/>
      <c r="CZ252" s="166"/>
      <c r="DA252" s="166"/>
      <c r="DB252" s="166"/>
      <c r="DC252" s="166"/>
      <c r="DD252" s="166" t="s">
        <v>894</v>
      </c>
      <c r="DE252" s="166" t="s">
        <v>895</v>
      </c>
      <c r="DF252" s="166"/>
      <c r="DG252" s="166" t="s">
        <v>927</v>
      </c>
      <c r="DH252" s="166"/>
      <c r="DI252" s="166"/>
      <c r="DJ252" s="166"/>
      <c r="DK252" s="166"/>
      <c r="DL252" s="166"/>
      <c r="DM252" s="166"/>
      <c r="DN252" s="166" t="s">
        <v>928</v>
      </c>
      <c r="DO252" s="166" t="s">
        <v>929</v>
      </c>
      <c r="DP252" s="166"/>
      <c r="DQ252" s="166"/>
      <c r="DR252" s="166"/>
      <c r="DS252" s="166"/>
      <c r="DT252" s="166"/>
      <c r="DU252" s="166"/>
      <c r="DV252" s="166" t="s">
        <v>894</v>
      </c>
      <c r="DW252" s="166" t="s">
        <v>895</v>
      </c>
      <c r="DX252" s="166"/>
      <c r="DY252" s="166"/>
      <c r="DZ252" s="166"/>
      <c r="EA252" s="166"/>
      <c r="EB252" s="166"/>
      <c r="EC252" s="166"/>
      <c r="ED252" s="166" t="s">
        <v>894</v>
      </c>
      <c r="EE252" s="166" t="s">
        <v>895</v>
      </c>
      <c r="EF252" s="166"/>
      <c r="EG252" s="166"/>
      <c r="EH252" s="166"/>
      <c r="EI252" s="166"/>
      <c r="EJ252" s="166"/>
      <c r="EK252" s="166"/>
      <c r="EL252" s="166"/>
      <c r="EM252" s="166"/>
      <c r="EN252" s="166"/>
      <c r="EO252" s="166"/>
      <c r="EP252" s="166"/>
      <c r="EQ252" s="166"/>
      <c r="ER252" s="166"/>
      <c r="ES252" s="166"/>
      <c r="ET252" s="230"/>
      <c r="EU252" s="166"/>
      <c r="EV252" s="166"/>
      <c r="EW252" s="166"/>
      <c r="EX252" s="166"/>
      <c r="EY252" s="166"/>
      <c r="EZ252" s="166"/>
      <c r="FA252" s="166"/>
      <c r="FB252" s="166"/>
      <c r="FC252" s="166"/>
      <c r="FD252" s="166"/>
      <c r="FE252" s="166"/>
      <c r="FF252" s="166"/>
      <c r="FG252" s="166"/>
      <c r="FH252" s="166"/>
      <c r="FI252" s="166"/>
      <c r="FJ252" s="166"/>
      <c r="FK252" s="166"/>
      <c r="FL252" s="166"/>
      <c r="FM252" s="166"/>
      <c r="FN252" s="166"/>
      <c r="FO252" s="230"/>
      <c r="FP252" s="166"/>
      <c r="FQ252" s="166"/>
      <c r="FR252" s="166"/>
      <c r="FS252" s="166"/>
      <c r="FT252" s="166"/>
      <c r="FU252" s="166"/>
      <c r="FV252" s="166"/>
      <c r="FW252" s="166"/>
      <c r="FX252" s="166"/>
      <c r="FY252" s="166"/>
      <c r="FZ252" s="166"/>
      <c r="GA252" s="166"/>
      <c r="GD252" s="339"/>
      <c r="GE252" s="339"/>
      <c r="GF252" s="339"/>
      <c r="GG252" s="339"/>
      <c r="GH252" s="339"/>
      <c r="GI252" s="339"/>
      <c r="GJ252" s="339"/>
      <c r="GK252" s="339"/>
      <c r="GL252" s="339"/>
      <c r="GM252" s="339"/>
      <c r="GN252" s="339"/>
      <c r="GO252" s="339"/>
      <c r="GP252" s="339"/>
      <c r="GQ252" s="339"/>
      <c r="GR252" s="339"/>
      <c r="GS252" s="339"/>
      <c r="GT252" s="339"/>
      <c r="GU252" s="339"/>
      <c r="GV252" s="339"/>
      <c r="GW252" s="339"/>
      <c r="GX252" s="339"/>
      <c r="GY252" s="339"/>
      <c r="GZ252" s="339"/>
      <c r="HA252" s="339"/>
      <c r="HB252" s="339"/>
      <c r="HC252" s="339"/>
      <c r="HD252" s="339"/>
      <c r="HE252" s="339"/>
      <c r="HF252" s="339"/>
      <c r="HG252" s="339"/>
      <c r="HH252" s="339"/>
      <c r="HI252" s="339"/>
      <c r="HJ252" s="339"/>
      <c r="HK252" s="339"/>
      <c r="HL252" s="339"/>
      <c r="HM252" s="339"/>
      <c r="HN252" s="339"/>
      <c r="HO252" s="339"/>
      <c r="HP252" s="339"/>
      <c r="HQ252" s="339"/>
      <c r="HR252" s="339"/>
    </row>
    <row r="253" spans="1:238" s="234" customFormat="1" ht="20.100000000000001" customHeight="1">
      <c r="A253" s="235"/>
      <c r="B253" s="231"/>
      <c r="C253" s="232" t="str">
        <f>REPT(Sprache!$K$12,1)</f>
        <v>SPIEL</v>
      </c>
      <c r="D253" s="233" t="s">
        <v>869</v>
      </c>
      <c r="E253" s="233" t="str">
        <f>REPT(Sprache!$K$62,1)</f>
        <v>Punkte</v>
      </c>
      <c r="F253" s="233" t="str">
        <f>REPT(Sprache!$K$61,1)</f>
        <v>Rest</v>
      </c>
      <c r="G253" s="233" t="s">
        <v>898</v>
      </c>
      <c r="H253" s="233" t="s">
        <v>848</v>
      </c>
      <c r="I253" s="233">
        <v>180</v>
      </c>
      <c r="J253" s="233" t="str">
        <f>REPT(Sprache!$K$63,1)</f>
        <v>Fehler</v>
      </c>
      <c r="L253" s="306" t="s">
        <v>923</v>
      </c>
      <c r="M253" s="307"/>
      <c r="P253" s="306" t="s">
        <v>923</v>
      </c>
      <c r="R253" s="232" t="str">
        <f>REPT(Sprache!$K$12,1)</f>
        <v>SPIEL</v>
      </c>
      <c r="S253" s="233" t="s">
        <v>869</v>
      </c>
      <c r="T253" s="233" t="str">
        <f>REPT(Sprache!$K$62,1)</f>
        <v>Punkte</v>
      </c>
      <c r="U253" s="233" t="str">
        <f>REPT(Sprache!$K$61,1)</f>
        <v>Rest</v>
      </c>
      <c r="V253" s="233" t="s">
        <v>898</v>
      </c>
      <c r="W253" s="233" t="s">
        <v>848</v>
      </c>
      <c r="X253" s="233">
        <v>180</v>
      </c>
      <c r="Y253" s="233" t="str">
        <f>REPT(Sprache!$K$63,1)</f>
        <v>Fehler</v>
      </c>
      <c r="Z253" s="308"/>
      <c r="AD253" s="235"/>
      <c r="AE253" s="236" t="s">
        <v>966</v>
      </c>
      <c r="AF253" s="236" t="s">
        <v>967</v>
      </c>
      <c r="AG253" s="236" t="s">
        <v>965</v>
      </c>
      <c r="AH253" s="237" t="str">
        <f>LEFT($BM$6,10)</f>
        <v/>
      </c>
      <c r="AI253" s="237" t="str">
        <f>LEFT($BN$6,10)</f>
        <v/>
      </c>
      <c r="AJ253" s="237" t="s">
        <v>898</v>
      </c>
      <c r="AK253" s="237" t="s">
        <v>848</v>
      </c>
      <c r="AL253" s="237">
        <v>180</v>
      </c>
      <c r="AM253" s="237" t="str">
        <f>LEFT($BL$6,50)</f>
        <v/>
      </c>
      <c r="AN253" s="235"/>
      <c r="AO253" s="235"/>
      <c r="AP253" s="235"/>
      <c r="AQ253" s="235"/>
      <c r="AR253" s="235"/>
      <c r="AS253" s="235"/>
      <c r="AT253" s="235"/>
      <c r="AU253" s="235"/>
      <c r="AV253" s="237" t="str">
        <f>LEFT($BM$6,10)</f>
        <v/>
      </c>
      <c r="AW253" s="237" t="str">
        <f>LEFT($BN$6,10)</f>
        <v/>
      </c>
      <c r="AX253" s="237" t="s">
        <v>898</v>
      </c>
      <c r="AY253" s="237" t="s">
        <v>848</v>
      </c>
      <c r="AZ253" s="237">
        <v>180</v>
      </c>
      <c r="BA253" s="237" t="str">
        <f>LEFT($BL$6,50)</f>
        <v/>
      </c>
      <c r="BI253" s="238"/>
      <c r="BJ253" s="238"/>
      <c r="BK253" s="238" t="s">
        <v>165</v>
      </c>
      <c r="BL253" s="238" t="s">
        <v>165</v>
      </c>
      <c r="BM253" s="239" t="s">
        <v>165</v>
      </c>
      <c r="BN253" s="239" t="s">
        <v>899</v>
      </c>
      <c r="BO253" s="239" t="s">
        <v>899</v>
      </c>
      <c r="BP253" s="239" t="s">
        <v>900</v>
      </c>
      <c r="BQ253" s="240" t="s">
        <v>901</v>
      </c>
      <c r="BR253" s="241"/>
      <c r="BS253" s="242" t="s">
        <v>926</v>
      </c>
      <c r="BT253" s="243"/>
      <c r="BU253" s="242" t="s">
        <v>902</v>
      </c>
      <c r="BV253" s="238"/>
      <c r="BW253" s="238"/>
      <c r="BX253" s="244"/>
      <c r="BY253" s="238"/>
      <c r="BZ253" s="238" t="s">
        <v>903</v>
      </c>
      <c r="CA253" s="243" t="s">
        <v>904</v>
      </c>
      <c r="CB253" s="238"/>
      <c r="CC253" s="238"/>
      <c r="CD253" s="242" t="s">
        <v>902</v>
      </c>
      <c r="CE253" s="238"/>
      <c r="CF253" s="238"/>
      <c r="CG253" s="244"/>
      <c r="CH253" s="238"/>
      <c r="CI253" s="238" t="s">
        <v>903</v>
      </c>
      <c r="CJ253" s="243" t="s">
        <v>904</v>
      </c>
      <c r="CK253" s="238"/>
      <c r="CL253" s="245" t="s">
        <v>905</v>
      </c>
      <c r="CM253" s="245" t="s">
        <v>906</v>
      </c>
      <c r="CN253" s="245" t="s">
        <v>907</v>
      </c>
      <c r="CO253" s="245" t="s">
        <v>908</v>
      </c>
      <c r="CP253" s="245" t="s">
        <v>909</v>
      </c>
      <c r="CQ253" s="246" t="s">
        <v>910</v>
      </c>
      <c r="CR253" s="247"/>
      <c r="CS253" s="246" t="s">
        <v>911</v>
      </c>
      <c r="CT253" s="248"/>
      <c r="CU253" s="246" t="s">
        <v>912</v>
      </c>
      <c r="CV253" s="248"/>
      <c r="CW253" s="246" t="s">
        <v>913</v>
      </c>
      <c r="CX253" s="248"/>
      <c r="CY253" s="238"/>
      <c r="CZ253" s="238"/>
      <c r="DA253" s="238"/>
      <c r="DB253" s="238"/>
      <c r="DC253" s="249" t="s">
        <v>165</v>
      </c>
      <c r="DD253" s="249" t="s">
        <v>165</v>
      </c>
      <c r="DE253" s="249" t="s">
        <v>165</v>
      </c>
      <c r="DF253" s="238"/>
      <c r="DG253" s="238" t="s">
        <v>914</v>
      </c>
      <c r="DH253" s="238" t="s">
        <v>930</v>
      </c>
      <c r="DI253" s="238" t="s">
        <v>931</v>
      </c>
      <c r="DK253" s="238" t="s">
        <v>932</v>
      </c>
      <c r="DL253" s="238" t="s">
        <v>933</v>
      </c>
      <c r="DM253" s="238" t="s">
        <v>869</v>
      </c>
      <c r="DN253" s="230" t="s">
        <v>915</v>
      </c>
      <c r="DO253" s="250" t="s">
        <v>915</v>
      </c>
      <c r="DP253" s="322" t="s">
        <v>934</v>
      </c>
      <c r="DQ253" s="238"/>
      <c r="DR253" s="166" t="s">
        <v>894</v>
      </c>
      <c r="DS253" s="166" t="s">
        <v>895</v>
      </c>
      <c r="DT253" s="166" t="s">
        <v>935</v>
      </c>
      <c r="DU253" s="166" t="s">
        <v>936</v>
      </c>
      <c r="DV253" s="251" t="s">
        <v>165</v>
      </c>
      <c r="DW253" s="251" t="s">
        <v>165</v>
      </c>
      <c r="DX253" s="238" t="s">
        <v>916</v>
      </c>
      <c r="DY253" s="238"/>
      <c r="DZ253" s="238"/>
      <c r="EA253" s="238"/>
      <c r="EB253" s="238"/>
      <c r="EC253" s="238"/>
      <c r="ED253" s="251" t="s">
        <v>165</v>
      </c>
      <c r="EE253" s="251" t="s">
        <v>165</v>
      </c>
      <c r="EF253" s="166"/>
      <c r="EG253" s="238"/>
      <c r="EH253" s="238"/>
      <c r="EI253" s="238"/>
      <c r="EJ253" s="238"/>
      <c r="EK253" s="238"/>
      <c r="EL253" s="238"/>
      <c r="EM253" s="238"/>
      <c r="EN253" s="238"/>
      <c r="EO253" s="246" t="s">
        <v>917</v>
      </c>
      <c r="EP253" s="247"/>
      <c r="EQ253" s="247"/>
      <c r="ER253" s="247"/>
      <c r="ES253" s="247"/>
      <c r="ET253" s="252"/>
      <c r="EU253" s="248"/>
      <c r="EV253" s="246" t="s">
        <v>918</v>
      </c>
      <c r="EW253" s="247"/>
      <c r="EX253" s="248"/>
      <c r="EY253" s="251" t="s">
        <v>165</v>
      </c>
      <c r="EZ253" s="246" t="s">
        <v>919</v>
      </c>
      <c r="FA253" s="247"/>
      <c r="FB253" s="248"/>
      <c r="FC253" s="246" t="s">
        <v>920</v>
      </c>
      <c r="FD253" s="247"/>
      <c r="FE253" s="248"/>
      <c r="FF253" s="238"/>
      <c r="FG253" s="238"/>
      <c r="FH253" s="238"/>
      <c r="FI253" s="238"/>
      <c r="FJ253" s="246" t="s">
        <v>917</v>
      </c>
      <c r="FK253" s="247"/>
      <c r="FL253" s="247"/>
      <c r="FM253" s="247"/>
      <c r="FN253" s="247"/>
      <c r="FO253" s="252"/>
      <c r="FP253" s="248"/>
      <c r="FQ253" s="246" t="s">
        <v>918</v>
      </c>
      <c r="FR253" s="247"/>
      <c r="FS253" s="248"/>
      <c r="FT253" s="251" t="s">
        <v>165</v>
      </c>
      <c r="FU253" s="246" t="s">
        <v>919</v>
      </c>
      <c r="FV253" s="247"/>
      <c r="FW253" s="248"/>
      <c r="FX253" s="246" t="s">
        <v>920</v>
      </c>
      <c r="FY253" s="247"/>
      <c r="FZ253" s="248"/>
      <c r="GD253" s="340"/>
      <c r="GE253" s="340"/>
      <c r="GF253" s="341" t="s">
        <v>968</v>
      </c>
      <c r="GG253" s="340"/>
      <c r="GH253" s="340"/>
      <c r="GI253" s="340"/>
      <c r="GJ253" s="341" t="s">
        <v>972</v>
      </c>
      <c r="GK253" s="340"/>
      <c r="GL253" s="340"/>
      <c r="GM253" s="340"/>
      <c r="GN253" s="341" t="s">
        <v>971</v>
      </c>
      <c r="GO253" s="340"/>
      <c r="GP253" s="340"/>
      <c r="GQ253" s="340"/>
      <c r="GR253" s="341" t="s">
        <v>970</v>
      </c>
      <c r="GS253" s="340"/>
      <c r="GT253" s="340"/>
      <c r="GU253" s="340"/>
      <c r="GV253" s="341" t="s">
        <v>969</v>
      </c>
      <c r="GW253" s="340"/>
      <c r="GX253" s="340"/>
      <c r="GY253" s="340"/>
      <c r="GZ253" s="342" t="s">
        <v>973</v>
      </c>
      <c r="HA253" s="340"/>
      <c r="HB253" s="340"/>
      <c r="HC253" s="340"/>
      <c r="HD253" s="342" t="s">
        <v>974</v>
      </c>
      <c r="HE253" s="340"/>
      <c r="HF253" s="340"/>
      <c r="HG253" s="340"/>
      <c r="HH253" s="340"/>
      <c r="HI253" s="340"/>
      <c r="HJ253" s="340"/>
      <c r="HK253" s="340"/>
      <c r="HL253" s="340"/>
      <c r="HM253" s="341"/>
      <c r="HN253" s="341"/>
      <c r="HO253" s="341"/>
      <c r="HP253" s="341"/>
      <c r="HQ253" s="341"/>
      <c r="HR253" s="341"/>
      <c r="HS253" s="238"/>
      <c r="HT253" s="238"/>
      <c r="HU253" s="238"/>
      <c r="HV253" s="238"/>
      <c r="HX253" s="238"/>
      <c r="HY253" s="238"/>
      <c r="HZ253" s="238"/>
      <c r="ID253" s="238"/>
    </row>
    <row r="254" spans="1:238" s="234" customFormat="1" ht="20.100000000000001" customHeight="1">
      <c r="A254" s="235"/>
      <c r="B254" s="231">
        <f>COUNT(AJ255,AJ254)</f>
        <v>0</v>
      </c>
      <c r="C254" s="325" t="str">
        <f>CONCATENATE(BG254,BE254)</f>
        <v>HS</v>
      </c>
      <c r="D254" s="253" t="str">
        <f>REPT(DN254,1)</f>
        <v>1</v>
      </c>
      <c r="E254" s="254" t="str">
        <f>REPT(AH254,1)</f>
        <v/>
      </c>
      <c r="F254" s="168"/>
      <c r="G254" s="168"/>
      <c r="H254" s="168"/>
      <c r="I254" s="169"/>
      <c r="J254" s="255" t="str">
        <f>REPT(AM254,1)</f>
        <v/>
      </c>
      <c r="L254" s="309">
        <f>SUM(BS263)</f>
        <v>0</v>
      </c>
      <c r="M254" s="238"/>
      <c r="N254" s="255" t="str">
        <f>REPT(AP254,1)</f>
        <v/>
      </c>
      <c r="P254" s="309">
        <f>SUM(CF263)</f>
        <v>0</v>
      </c>
      <c r="Q254" s="310"/>
      <c r="R254" s="323" t="str">
        <f>CONCATENATE(BH254,BE254)</f>
        <v>GS</v>
      </c>
      <c r="S254" s="253" t="str">
        <f>REPT(DO254,1)</f>
        <v>1</v>
      </c>
      <c r="T254" s="254" t="str">
        <f>REPT(AV254,1)</f>
        <v/>
      </c>
      <c r="U254" s="168"/>
      <c r="V254" s="168"/>
      <c r="W254" s="168"/>
      <c r="X254" s="169"/>
      <c r="Y254" s="255" t="str">
        <f>REPT(BA254,1)</f>
        <v/>
      </c>
      <c r="Z254" s="308"/>
      <c r="AB254" s="234">
        <f>IF(AY254="",0,IF(AY254&lt;2,1,""))</f>
        <v>0</v>
      </c>
      <c r="AC254" s="238">
        <f>IF(AD254=1,1,IF(AD254=3,1,IF(AD254=2,0,IF(AD254=0,0,0))))</f>
        <v>0</v>
      </c>
      <c r="AD254" s="256">
        <f>SUM(AE254:AG254)</f>
        <v>0</v>
      </c>
      <c r="AE254" s="256">
        <f t="shared" ref="AE254:AE258" si="608">IF(F254="",0,1)</f>
        <v>0</v>
      </c>
      <c r="AF254" s="256">
        <f t="shared" ref="AF254:AF258" si="609">IF(G254="",0,1)</f>
        <v>0</v>
      </c>
      <c r="AG254" s="256">
        <f>IF(H254="",0,1)</f>
        <v>0</v>
      </c>
      <c r="AH254" s="257" t="str">
        <f>IF(AK254="",IF(AI254="","",IF(AI254="",501,501-AI254)),501)</f>
        <v/>
      </c>
      <c r="AI254" s="256" t="str">
        <f>IF(F254&gt;1,F254,IF(F254=0,"",IF(F254="","","")))</f>
        <v/>
      </c>
      <c r="AJ254" s="256" t="str">
        <f>IF(G254&gt;8,G254,IF(G254="","",""))</f>
        <v/>
      </c>
      <c r="AK254" s="256" t="str">
        <f>IF(H254&gt;1,H254,IF(H254="","",""))</f>
        <v/>
      </c>
      <c r="AL254" s="256" t="str">
        <f>IF(I254&gt;0,I254,IF(I254="","",""))</f>
        <v/>
      </c>
      <c r="AM254" s="258" t="str">
        <f>IF(BK254=0,"","X")</f>
        <v/>
      </c>
      <c r="AN254" s="237"/>
      <c r="AO254" s="237"/>
      <c r="AP254" s="258" t="str">
        <f>IF(BM254=0,"","X")</f>
        <v/>
      </c>
      <c r="AQ254" s="236">
        <f>IF(AR254=1,1,IF(AR254=3,1,IF(AR254=2,0,IF(AR254=0,0,0))))</f>
        <v>0</v>
      </c>
      <c r="AR254" s="256">
        <f>SUM(AS254:AU254)</f>
        <v>0</v>
      </c>
      <c r="AS254" s="256">
        <f t="shared" ref="AS254:AS258" si="610">IF(U254="",0,1)</f>
        <v>0</v>
      </c>
      <c r="AT254" s="256">
        <f t="shared" ref="AT254:AT258" si="611">IF(V254="",0,1)</f>
        <v>0</v>
      </c>
      <c r="AU254" s="256">
        <f>IF(W254="",0,1)</f>
        <v>0</v>
      </c>
      <c r="AV254" s="257" t="str">
        <f>IF(AY254="",IF(AW254="","",IF(AW254="",501,501-AW254)),501)</f>
        <v/>
      </c>
      <c r="AW254" s="256" t="str">
        <f>IF(U254&gt;1,U254,IF(U254=0,"",IF(U254="","","")))</f>
        <v/>
      </c>
      <c r="AX254" s="256" t="str">
        <f>IF(V254&gt;8,V254,IF(V254="","",""))</f>
        <v/>
      </c>
      <c r="AY254" s="256" t="str">
        <f>IF(W254&gt;1,W254,IF(W254="","",""))</f>
        <v/>
      </c>
      <c r="AZ254" s="256" t="str">
        <f>IF(X254&gt;0,X254,IF(X254="","",""))</f>
        <v/>
      </c>
      <c r="BA254" s="258" t="str">
        <f>IF(BL254=0,"","X")</f>
        <v/>
      </c>
      <c r="BF254" s="238" t="s">
        <v>894</v>
      </c>
      <c r="BG254" s="238" t="str">
        <f>CONCATENATE(BF254,AK251)</f>
        <v>HS</v>
      </c>
      <c r="BH254" s="238" t="str">
        <f>CONCATENATE(BI254,AK251)</f>
        <v>GS</v>
      </c>
      <c r="BI254" s="238" t="s">
        <v>895</v>
      </c>
      <c r="BJ254" s="238"/>
      <c r="BK254" s="251">
        <f>SUM(DD254,DV254,EY254,ED254,FF254,BQ254,BS254,AC254)</f>
        <v>0</v>
      </c>
      <c r="BL254" s="251">
        <f>SUM(DE254,DW254,EE254,FT254,GA254,BR254,BT254,AQ254)</f>
        <v>0</v>
      </c>
      <c r="BM254" s="259">
        <f>SUM(DC254,BK254:BL254,AC254,AQ254)</f>
        <v>0</v>
      </c>
      <c r="BN254" s="239">
        <f>COUNT(AK254)</f>
        <v>0</v>
      </c>
      <c r="BO254" s="239">
        <f>COUNT(AY254)</f>
        <v>0</v>
      </c>
      <c r="BP254" s="239">
        <f>IF(BN256=0,0,1)</f>
        <v>0</v>
      </c>
      <c r="BQ254" s="260">
        <f>IF(AL254="",0,IF(AL254&gt;2,1,0))</f>
        <v>0</v>
      </c>
      <c r="BR254" s="261">
        <f>IF(AZ254="",0,IF(AZ254&gt;2,1,0))</f>
        <v>0</v>
      </c>
      <c r="BS254" s="262">
        <f>IF(AJ254=9,IF(AK254&lt;141,1,0),0)</f>
        <v>0</v>
      </c>
      <c r="BT254" s="263">
        <f>IF(AX254=9,IF(AY254&lt;141,1,0),0)</f>
        <v>0</v>
      </c>
      <c r="BU254" s="242">
        <f>IF(H254,G254,0)</f>
        <v>0</v>
      </c>
      <c r="BV254" s="238">
        <f>IF(BU254&gt;0,AJ254/3,0)</f>
        <v>0</v>
      </c>
      <c r="BW254" s="238">
        <f>ROUNDUP(BV254,0)</f>
        <v>0</v>
      </c>
      <c r="BX254" s="244">
        <f>IF(MOD(BW254,2)=0,BW254,BW254+1)</f>
        <v>0</v>
      </c>
      <c r="BY254" s="238">
        <f>IF(AJ254&lt;9,"",SUM(BX254-BW254))</f>
        <v>0</v>
      </c>
      <c r="BZ254" s="238">
        <f>IF(BY254=1,AK254,0)</f>
        <v>0</v>
      </c>
      <c r="CA254" s="243" t="str">
        <f>IF(BY254=0,AK254,0)</f>
        <v/>
      </c>
      <c r="CB254" s="238"/>
      <c r="CC254" s="238"/>
      <c r="CD254" s="242">
        <f>IF(W254,V254,0)</f>
        <v>0</v>
      </c>
      <c r="CE254" s="238">
        <f>IF(CD254&gt;0,AX254/3,0)</f>
        <v>0</v>
      </c>
      <c r="CF254" s="238">
        <f>ROUNDUP(CE254,0)</f>
        <v>0</v>
      </c>
      <c r="CG254" s="244">
        <f>IF(MOD(CF254,2)=0,CF254,CF254+1)</f>
        <v>0</v>
      </c>
      <c r="CH254" s="238">
        <f>IF(AX254&lt;9,"",SUM(CG254-CF254))</f>
        <v>0</v>
      </c>
      <c r="CI254" s="238">
        <f>IF(CH254=1,AY254,0)</f>
        <v>0</v>
      </c>
      <c r="CJ254" s="243" t="str">
        <f>IF(CH254=0,AY254,0)</f>
        <v/>
      </c>
      <c r="CK254" s="238"/>
      <c r="CL254" s="245">
        <f>IF(COUNT(F254,H254)=1,0,1)</f>
        <v>1</v>
      </c>
      <c r="CM254" s="245">
        <f>IF(COUNT(F254,U254)=1,0,1)</f>
        <v>1</v>
      </c>
      <c r="CN254" s="245">
        <f>IF(COUNT(H254,W254)=1,0,1)</f>
        <v>1</v>
      </c>
      <c r="CO254" s="245">
        <f>IF(COUNT(G254,V254)=2,0,1)</f>
        <v>1</v>
      </c>
      <c r="CP254" s="245">
        <f>IF(COUNT(U254,W254)=1,0,1)</f>
        <v>1</v>
      </c>
      <c r="CQ254" s="245">
        <f>IF(SUM(G254-V254)&gt;3,1,0)</f>
        <v>0</v>
      </c>
      <c r="CR254" s="245">
        <f>IF(SUM(G254-V254)&lt;-3,1,0)</f>
        <v>0</v>
      </c>
      <c r="CS254" s="264">
        <f>IF(AJ254=9,IF(AH254&lt;141,1,0),IF(AH254="",0,IF(AH254&gt;1,0,1)))</f>
        <v>0</v>
      </c>
      <c r="CT254" s="264">
        <f>IF(AX254=9,IF(AV254&lt;141,1,0),IF(AV254="",0,IF(AV254&gt;1,0,1)))</f>
        <v>0</v>
      </c>
      <c r="CU254" s="264">
        <f>IF(AI254="",0,IF(AI254&lt;502,0,1))</f>
        <v>0</v>
      </c>
      <c r="CV254" s="264">
        <f>IF(AW254="",0,IF(AW254&lt;502,0,1))</f>
        <v>0</v>
      </c>
      <c r="CW254" s="264">
        <f>IF(AI254="",IF(AJ254&lt;9,1,0),IF(AJ254&lt;9,1,0))</f>
        <v>0</v>
      </c>
      <c r="CX254" s="264">
        <f>IF(AW254="",IF(AX254&lt;9,1,0),IF(AX254&lt;9,1,0))</f>
        <v>0</v>
      </c>
      <c r="CY254" s="374"/>
      <c r="CZ254" s="374"/>
      <c r="DA254" s="374"/>
      <c r="DB254" s="374"/>
      <c r="DC254" s="265">
        <f>IF(AJ254="",0,SUM(CL254:CX254))</f>
        <v>0</v>
      </c>
      <c r="DD254" s="265">
        <f>IF(AJ254="",0,SUM(CL254,CS254,CU254,CW254))</f>
        <v>0</v>
      </c>
      <c r="DE254" s="265">
        <f>IF(AJ254="",0,SUM(CP254,CT254,CV254,CX254))</f>
        <v>0</v>
      </c>
      <c r="DF254" s="238"/>
      <c r="DG254" s="248" t="str">
        <f>IF(G254="","",SUM(G254-V254))</f>
        <v/>
      </c>
      <c r="DH254" s="245">
        <f>IF(F254="",0,1)</f>
        <v>0</v>
      </c>
      <c r="DI254" s="245" t="str">
        <f>IF(DG254=0,DH254,DG254)</f>
        <v/>
      </c>
      <c r="DJ254" s="245" t="e">
        <f>SIGN(DI254)</f>
        <v>#VALUE!</v>
      </c>
      <c r="DK254" s="245" t="str">
        <f>IF(G254="","",IF(DJ254=1,"*",""))</f>
        <v/>
      </c>
      <c r="DL254" s="245" t="str">
        <f>IF(G254="","",IF(DJ254=-1,"*",IF(DJ254=0,"*","")))</f>
        <v/>
      </c>
      <c r="DM254" s="245">
        <v>1</v>
      </c>
      <c r="DN254" s="245" t="str">
        <f>CONCATENATE(DM254,DK254)</f>
        <v>1</v>
      </c>
      <c r="DO254" s="245" t="str">
        <f>CONCATENATE(DM254,DL254)</f>
        <v>1</v>
      </c>
      <c r="DP254" s="245">
        <f>IF(DK254="*",1,0)</f>
        <v>0</v>
      </c>
      <c r="DQ254" s="245">
        <f>IF(DL254="*",1,0)</f>
        <v>0</v>
      </c>
      <c r="DR254" s="245"/>
      <c r="DS254" s="245"/>
      <c r="DT254" s="245"/>
      <c r="DU254" s="245"/>
      <c r="DV254" s="266"/>
      <c r="DW254" s="266"/>
      <c r="DX254" s="238">
        <f>IF(AK254="",0,1)</f>
        <v>0</v>
      </c>
      <c r="DY254" s="238">
        <f>IF(DG254=-3,1,0)</f>
        <v>0</v>
      </c>
      <c r="DZ254" s="238">
        <f>SUM(DX254:DY254)</f>
        <v>0</v>
      </c>
      <c r="EA254" s="238">
        <f>IF(AK254="",1,0)</f>
        <v>1</v>
      </c>
      <c r="EB254" s="238">
        <f>IF(DG254=3,1,0)</f>
        <v>0</v>
      </c>
      <c r="EC254" s="238">
        <f>SUM(EA254:EB254)</f>
        <v>1</v>
      </c>
      <c r="ED254" s="267">
        <f>IF(EC254=2,1,0)</f>
        <v>0</v>
      </c>
      <c r="EE254" s="267">
        <f>IF(DZ254=2,1,0)</f>
        <v>0</v>
      </c>
      <c r="EG254" s="166"/>
      <c r="EH254" s="238"/>
      <c r="EI254" s="238"/>
      <c r="EJ254" s="238"/>
      <c r="EK254" s="238"/>
      <c r="EL254" s="238"/>
      <c r="EM254" s="245">
        <f>IF(AK254="",0,1)</f>
        <v>0</v>
      </c>
      <c r="EN254" s="245">
        <f>SUM(AK254)</f>
        <v>0</v>
      </c>
      <c r="EO254" s="268">
        <f>SUM(AJ254)</f>
        <v>0</v>
      </c>
      <c r="EP254" s="268">
        <f>SUM(G254/3)</f>
        <v>0</v>
      </c>
      <c r="EQ254" s="268" t="e">
        <f>SUM(EO254/EP254)</f>
        <v>#DIV/0!</v>
      </c>
      <c r="ER254" s="268">
        <f>ROUNDDOWN(EP254,0)</f>
        <v>0</v>
      </c>
      <c r="ES254" s="268">
        <f>SUM(EO254,-ER254*3)</f>
        <v>0</v>
      </c>
      <c r="ET254" s="269" t="b">
        <f>MOD(EN254/1,2)=0</f>
        <v>1</v>
      </c>
      <c r="EU254" s="245">
        <f>IF(ET254=FALSE,1,0)</f>
        <v>0</v>
      </c>
      <c r="EV254" s="245">
        <f>IF(EN254=50,0,IF(EN254&lt;40,1,0))</f>
        <v>1</v>
      </c>
      <c r="EW254" s="245">
        <f>SUM(EU254:EV254)</f>
        <v>1</v>
      </c>
      <c r="EX254" s="267">
        <f>IF(EN254=1,1,IF(EN254=50,0,IF(ES254=1,IF(EN254&gt;40,1,0),0)))</f>
        <v>0</v>
      </c>
      <c r="EY254" s="267">
        <f>IF(ES254=1,IF(EW254=2,1,0),0)+EX254+FB254+FE254</f>
        <v>0</v>
      </c>
      <c r="EZ254" s="245">
        <f>IF(EN254=109,1,IF(EN254=108,1,IF(EN254=106,1,IF(EN254=105,1,IF(EN254=103,1,IF(EN254=102,1,IF(EN254=99,1,0)))))))</f>
        <v>0</v>
      </c>
      <c r="FA254" s="245">
        <f>IF(EN254&gt;110,1,0)</f>
        <v>0</v>
      </c>
      <c r="FB254" s="267">
        <f>IF(ES254=2,SUM(EZ254:FA254),0)</f>
        <v>0</v>
      </c>
      <c r="FC254" s="245">
        <f>IF(EN254=159,1,IF(EN254=162,1,IF(EN254=163,1,IF(EN254=165,1,IF(EN254=166,1,IF(EN254=168,1,IF(EN254=169,1,0)))))))</f>
        <v>0</v>
      </c>
      <c r="FD254" s="245">
        <f>IF(EN254&gt;170,1,0)</f>
        <v>0</v>
      </c>
      <c r="FE254" s="267">
        <f>IF(ES254=0,SUM(FC254:FD254),0)</f>
        <v>0</v>
      </c>
      <c r="FF254" s="251">
        <f>IF(AJ254="",0,IF(AI254="",0,IF(EO254/ER254-3=0,0,1)))</f>
        <v>0</v>
      </c>
      <c r="FG254" s="238"/>
      <c r="FH254" s="245">
        <f>IF(AY254="",0,1)</f>
        <v>0</v>
      </c>
      <c r="FI254" s="245">
        <f>SUM(AY254)</f>
        <v>0</v>
      </c>
      <c r="FJ254" s="268">
        <f>SUM(AX254)</f>
        <v>0</v>
      </c>
      <c r="FK254" s="268">
        <f>SUM(V254/3)</f>
        <v>0</v>
      </c>
      <c r="FL254" s="268" t="e">
        <f>SUM(FJ254/FK254)</f>
        <v>#DIV/0!</v>
      </c>
      <c r="FM254" s="268">
        <f>ROUNDDOWN(FK254,0)</f>
        <v>0</v>
      </c>
      <c r="FN254" s="268">
        <f>SUM(FJ254,-FM254*3)</f>
        <v>0</v>
      </c>
      <c r="FO254" s="269" t="b">
        <f>MOD(FI254/1,2)=0</f>
        <v>1</v>
      </c>
      <c r="FP254" s="245">
        <f>IF(FO254=FALSE,1,0)</f>
        <v>0</v>
      </c>
      <c r="FQ254" s="245">
        <f>IF(FI254=50,0,IF(FI254&lt;40,1,0))</f>
        <v>1</v>
      </c>
      <c r="FR254" s="245">
        <f>SUM(FP254:FQ254)</f>
        <v>1</v>
      </c>
      <c r="FS254" s="267">
        <f>IF(FI254=1,1,IF(FI254=50,0,IF(FN254=1,IF(FI254&gt;40,1,0),0)))</f>
        <v>0</v>
      </c>
      <c r="FT254" s="267">
        <f>IF(FN254=1,IF(FR254=2,1,0),0)+FS254+FW254+FZ254</f>
        <v>0</v>
      </c>
      <c r="FU254" s="245">
        <f>IF(FI254=109,1,IF(FI254=108,1,IF(FI254=106,1,IF(FI254=105,1,IF(FI254=103,1,IF(FI254=102,1,IF(FI254=99,1,0)))))))</f>
        <v>0</v>
      </c>
      <c r="FV254" s="245">
        <f>IF(FI254&gt;110,1,0)</f>
        <v>0</v>
      </c>
      <c r="FW254" s="267">
        <f>IF(FN254=2,SUM(FU254:FV254),0)</f>
        <v>0</v>
      </c>
      <c r="FX254" s="245">
        <f>IF(FI254=159,1,IF(FI254=162,1,IF(FI254=163,1,IF(FI254=165,1,IF(FI254=166,1,IF(FI254=168,1,IF(FI254=169,1,0)))))))</f>
        <v>0</v>
      </c>
      <c r="FY254" s="245">
        <f>IF(FI254&gt;170,1,0)</f>
        <v>0</v>
      </c>
      <c r="FZ254" s="267">
        <f>IF(FN254=0,SUM(FX254:FY254),0)</f>
        <v>0</v>
      </c>
      <c r="GA254" s="251">
        <f>IF(AX254="",0,IF(AW254="",0,IF(FJ254/FM254-3=0,0,1)))</f>
        <v>0</v>
      </c>
      <c r="GD254" s="341">
        <f>IF(AK251="D",1,0)</f>
        <v>0</v>
      </c>
      <c r="GE254" s="343"/>
      <c r="GF254" s="343" t="s">
        <v>866</v>
      </c>
      <c r="GG254" s="343" t="s">
        <v>868</v>
      </c>
      <c r="GH254" s="343" t="s">
        <v>848</v>
      </c>
      <c r="GI254" s="343">
        <v>180</v>
      </c>
      <c r="GJ254" s="343" t="s">
        <v>866</v>
      </c>
      <c r="GK254" s="343" t="s">
        <v>868</v>
      </c>
      <c r="GL254" s="343" t="s">
        <v>848</v>
      </c>
      <c r="GM254" s="343">
        <v>180</v>
      </c>
      <c r="GN254" s="343" t="s">
        <v>866</v>
      </c>
      <c r="GO254" s="343" t="s">
        <v>868</v>
      </c>
      <c r="GP254" s="343" t="s">
        <v>848</v>
      </c>
      <c r="GQ254" s="343">
        <v>180</v>
      </c>
      <c r="GR254" s="343" t="s">
        <v>866</v>
      </c>
      <c r="GS254" s="343" t="s">
        <v>868</v>
      </c>
      <c r="GT254" s="343" t="s">
        <v>848</v>
      </c>
      <c r="GU254" s="343">
        <v>180</v>
      </c>
      <c r="GV254" s="343" t="s">
        <v>866</v>
      </c>
      <c r="GW254" s="343" t="s">
        <v>868</v>
      </c>
      <c r="GX254" s="343" t="s">
        <v>848</v>
      </c>
      <c r="GY254" s="343">
        <v>180</v>
      </c>
      <c r="GZ254" s="343" t="s">
        <v>866</v>
      </c>
      <c r="HA254" s="343" t="s">
        <v>868</v>
      </c>
      <c r="HB254" s="343" t="s">
        <v>848</v>
      </c>
      <c r="HC254" s="343">
        <v>180</v>
      </c>
      <c r="HD254" s="343" t="s">
        <v>866</v>
      </c>
      <c r="HE254" s="343" t="s">
        <v>868</v>
      </c>
      <c r="HF254" s="341" t="s">
        <v>975</v>
      </c>
      <c r="HG254" s="341" t="s">
        <v>976</v>
      </c>
      <c r="HH254" s="341" t="s">
        <v>899</v>
      </c>
      <c r="HJ254" s="238"/>
      <c r="HK254" s="238"/>
      <c r="HL254" s="238"/>
      <c r="HM254" s="238">
        <f>COUNT(HI255,HJ255,HK255,HL255,HM255)</f>
        <v>0</v>
      </c>
      <c r="HN254" s="341"/>
      <c r="HO254" s="341"/>
      <c r="HP254" s="341"/>
      <c r="HQ254" s="341"/>
      <c r="HR254" s="341"/>
      <c r="HS254" s="238"/>
      <c r="HT254" s="238"/>
      <c r="HU254" s="238"/>
      <c r="HV254" s="238"/>
      <c r="HX254" s="238"/>
      <c r="HY254" s="238"/>
      <c r="ID254" s="238"/>
    </row>
    <row r="255" spans="1:238" s="234" customFormat="1" ht="20.100000000000001" customHeight="1">
      <c r="A255" s="235"/>
      <c r="B255" s="231">
        <f>COUNT(AJ256,AJ255)</f>
        <v>0</v>
      </c>
      <c r="C255" s="326">
        <f>IF(DK254="*",AJ251,AI251)</f>
        <v>2.6</v>
      </c>
      <c r="D255" s="253" t="str">
        <f>REPT(DN255,1)</f>
        <v>2</v>
      </c>
      <c r="E255" s="254" t="str">
        <f>REPT(AH255,1)</f>
        <v/>
      </c>
      <c r="F255" s="168"/>
      <c r="G255" s="168"/>
      <c r="H255" s="168"/>
      <c r="I255" s="169"/>
      <c r="J255" s="270" t="str">
        <f>REPT(AM255,1)</f>
        <v/>
      </c>
      <c r="L255" s="306" t="s">
        <v>922</v>
      </c>
      <c r="M255" s="311"/>
      <c r="N255" s="270" t="str">
        <f>REPT(AP255,1)</f>
        <v/>
      </c>
      <c r="P255" s="306" t="s">
        <v>922</v>
      </c>
      <c r="Q255" s="310"/>
      <c r="R255" s="324">
        <f>IF(DL254="*",AJ251,AI251)</f>
        <v>2.6</v>
      </c>
      <c r="S255" s="253" t="str">
        <f>REPT(DO255,1)</f>
        <v>2</v>
      </c>
      <c r="T255" s="254" t="str">
        <f>REPT(AV255,1)</f>
        <v/>
      </c>
      <c r="U255" s="168"/>
      <c r="V255" s="168"/>
      <c r="W255" s="168"/>
      <c r="X255" s="169"/>
      <c r="Y255" s="270" t="str">
        <f t="shared" ref="Y255:Y257" si="612">REPT(BA255,1)</f>
        <v/>
      </c>
      <c r="Z255" s="308"/>
      <c r="AB255" s="234">
        <f>IF(AY255="",0,IF(AY255&lt;2,1,""))</f>
        <v>0</v>
      </c>
      <c r="AC255" s="238">
        <f t="shared" ref="AC255:AC256" si="613">IF(AD255=1,1,IF(AD255=3,1,IF(AD255=2,0,IF(AD255=0,0,0))))</f>
        <v>0</v>
      </c>
      <c r="AD255" s="256">
        <f t="shared" ref="AD255:AD258" si="614">SUM(AE255:AG255)</f>
        <v>0</v>
      </c>
      <c r="AE255" s="256">
        <f t="shared" si="608"/>
        <v>0</v>
      </c>
      <c r="AF255" s="256">
        <f t="shared" si="609"/>
        <v>0</v>
      </c>
      <c r="AG255" s="256">
        <f t="shared" ref="AG255:AG258" si="615">IF(H255="",0,1)</f>
        <v>0</v>
      </c>
      <c r="AH255" s="257" t="str">
        <f>IF(AK255="",IF(AI255="","",IF(AI255="",501,501-AI255)),501)</f>
        <v/>
      </c>
      <c r="AI255" s="256" t="str">
        <f>IF(F255&gt;1,F255,IF(F255=0,"",IF(F255="","","")))</f>
        <v/>
      </c>
      <c r="AJ255" s="256" t="str">
        <f>IF(G255&gt;8,G255,IF(G255="","",""))</f>
        <v/>
      </c>
      <c r="AK255" s="256" t="str">
        <f>IF(H255&gt;1,H255,IF(H255="","",""))</f>
        <v/>
      </c>
      <c r="AL255" s="256" t="str">
        <f>IF(I255&gt;0,I255,IF(I255="","",""))</f>
        <v/>
      </c>
      <c r="AM255" s="258" t="str">
        <f>IF(BK255=0,"","X")</f>
        <v/>
      </c>
      <c r="AN255" s="237"/>
      <c r="AO255" s="237"/>
      <c r="AP255" s="258" t="str">
        <f>IF(BM255=0,"","X")</f>
        <v/>
      </c>
      <c r="AQ255" s="236">
        <f t="shared" ref="AQ255:AQ256" si="616">IF(AR255=1,1,IF(AR255=3,1,IF(AR255=2,0,IF(AR255=0,0,0))))</f>
        <v>0</v>
      </c>
      <c r="AR255" s="256">
        <f t="shared" ref="AR255:AR258" si="617">SUM(AS255:AU255)</f>
        <v>0</v>
      </c>
      <c r="AS255" s="256">
        <f t="shared" si="610"/>
        <v>0</v>
      </c>
      <c r="AT255" s="256">
        <f t="shared" si="611"/>
        <v>0</v>
      </c>
      <c r="AU255" s="256">
        <f t="shared" ref="AU255:AU258" si="618">IF(W255="",0,1)</f>
        <v>0</v>
      </c>
      <c r="AV255" s="257" t="str">
        <f>IF(AY255="",IF(AW255="","",IF(AW255="",501,501-AW255)),501)</f>
        <v/>
      </c>
      <c r="AW255" s="256" t="str">
        <f>IF(U255&gt;1,U255,IF(U255=0,"",IF(U255="","","")))</f>
        <v/>
      </c>
      <c r="AX255" s="256" t="str">
        <f>IF(V255&gt;8,V255,IF(V255="","",""))</f>
        <v/>
      </c>
      <c r="AY255" s="256" t="str">
        <f>IF(W255&gt;1,W255,IF(W255="","",""))</f>
        <v/>
      </c>
      <c r="AZ255" s="256" t="str">
        <f>IF(X255&gt;0,X255,IF(X255="","",""))</f>
        <v/>
      </c>
      <c r="BA255" s="258" t="str">
        <f>IF(BL255=0,"","X")</f>
        <v/>
      </c>
      <c r="BK255" s="251">
        <f>SUM(DD255,DV255,EY255,ED255,FF255,BQ255,BS255,AC255)</f>
        <v>0</v>
      </c>
      <c r="BL255" s="251">
        <f>SUM(DE255,DW255,EE255,FT255,GA255,BR255,BT255,AQ255)</f>
        <v>0</v>
      </c>
      <c r="BM255" s="259">
        <f t="shared" ref="BM255:BM256" si="619">SUM(DC255,BK255:BL255,AC255,AQ255)</f>
        <v>0</v>
      </c>
      <c r="BN255" s="239">
        <f>COUNT(AK255)</f>
        <v>0</v>
      </c>
      <c r="BO255" s="239">
        <f>COUNT(AY255)</f>
        <v>0</v>
      </c>
      <c r="BP255" s="239">
        <f>IF(BN257=0,0,1)</f>
        <v>0</v>
      </c>
      <c r="BQ255" s="260">
        <f>IF(AL255="",0,IF(AL255&gt;2,1,0))</f>
        <v>0</v>
      </c>
      <c r="BR255" s="261">
        <f>IF(AZ255="",0,IF(AZ255&gt;2,1,0))</f>
        <v>0</v>
      </c>
      <c r="BS255" s="262">
        <f>IF(AJ255=9,IF(AK255&lt;141,1,0),0)</f>
        <v>0</v>
      </c>
      <c r="BT255" s="263">
        <f>IF(AX255=9,IF(AY255&lt;141,1,0),0)</f>
        <v>0</v>
      </c>
      <c r="BU255" s="242">
        <f>IF(H255,G255,0)</f>
        <v>0</v>
      </c>
      <c r="BV255" s="238">
        <f>IF(BU255&gt;0,AJ255/3,0)</f>
        <v>0</v>
      </c>
      <c r="BW255" s="238">
        <f>ROUNDUP(BV255,0)</f>
        <v>0</v>
      </c>
      <c r="BX255" s="244">
        <f>IF(MOD(BW255,2)=0,BW255,BW255+1)</f>
        <v>0</v>
      </c>
      <c r="BY255" s="238">
        <f>IF(AJ255&lt;9,"",SUM(BX255-BW255))</f>
        <v>0</v>
      </c>
      <c r="BZ255" s="238">
        <f>IF(BY255=1,AK255,0)</f>
        <v>0</v>
      </c>
      <c r="CA255" s="243" t="str">
        <f>IF(BY255=0,AK255,0)</f>
        <v/>
      </c>
      <c r="CB255" s="238"/>
      <c r="CC255" s="238"/>
      <c r="CD255" s="242">
        <f>IF(W255,V255,0)</f>
        <v>0</v>
      </c>
      <c r="CE255" s="238">
        <f>IF(CD255&gt;0,AX255/3,0)</f>
        <v>0</v>
      </c>
      <c r="CF255" s="238">
        <f>ROUNDUP(CE255,0)</f>
        <v>0</v>
      </c>
      <c r="CG255" s="244">
        <f>IF(MOD(CF255,2)=0,CF255,CF255+1)</f>
        <v>0</v>
      </c>
      <c r="CH255" s="238">
        <f>IF(AX255&lt;9,"",SUM(CG255-CF255))</f>
        <v>0</v>
      </c>
      <c r="CI255" s="238">
        <f>IF(CH255=1,AY255,0)</f>
        <v>0</v>
      </c>
      <c r="CJ255" s="243" t="str">
        <f>IF(CH255=0,AY255,0)</f>
        <v/>
      </c>
      <c r="CK255" s="238"/>
      <c r="CL255" s="245">
        <f>IF(COUNT(F255,H255)=1,0,1)</f>
        <v>1</v>
      </c>
      <c r="CM255" s="245">
        <f>IF(COUNT(F255,U255)=1,0,1)</f>
        <v>1</v>
      </c>
      <c r="CN255" s="245">
        <f>IF(COUNT(H255,W255)=1,0,1)</f>
        <v>1</v>
      </c>
      <c r="CO255" s="245">
        <f>IF(COUNT(G255,V255)=2,0,1)</f>
        <v>1</v>
      </c>
      <c r="CP255" s="245">
        <f>IF(COUNT(U255,W255)=1,0,1)</f>
        <v>1</v>
      </c>
      <c r="CQ255" s="245">
        <f>IF(SUM(G255-V255)&gt;3,1,0)</f>
        <v>0</v>
      </c>
      <c r="CR255" s="245">
        <f>IF(SUM(G255-V255)&lt;-3,1,0)</f>
        <v>0</v>
      </c>
      <c r="CS255" s="264">
        <f>IF(AJ255=9,IF(AH255&lt;141,1,0),IF(AH255="",0,IF(AH255&gt;1,0,1)))</f>
        <v>0</v>
      </c>
      <c r="CT255" s="264">
        <f>IF(AX255=9,IF(AV255&lt;141,1,0),IF(AV255="",0,IF(AV255&gt;1,0,1)))</f>
        <v>0</v>
      </c>
      <c r="CU255" s="264">
        <f>IF(AI255="",0,IF(AI255&lt;502,0,1))</f>
        <v>0</v>
      </c>
      <c r="CV255" s="264">
        <f>IF(AW255="",0,IF(AW255&lt;502,0,1))</f>
        <v>0</v>
      </c>
      <c r="CW255" s="264">
        <f>IF(AI255="",IF(AJ255&lt;9,1,0),IF(AJ255&lt;9,1,0))</f>
        <v>0</v>
      </c>
      <c r="CX255" s="264">
        <f>IF(AW255="",IF(AX255&lt;9,1,0),IF(AX255&lt;9,1,0))</f>
        <v>0</v>
      </c>
      <c r="CY255" s="374"/>
      <c r="CZ255" s="374"/>
      <c r="DA255" s="374"/>
      <c r="DB255" s="374"/>
      <c r="DC255" s="265">
        <f>IF(AJ255="",0,SUM(CL255:CX255))</f>
        <v>0</v>
      </c>
      <c r="DD255" s="265">
        <f>IF(AJ255="",0,SUM(CL255,CS255,CU255,CW255))</f>
        <v>0</v>
      </c>
      <c r="DE255" s="265">
        <f>IF(AJ255="",0,SUM(CP255,CT255,CV255,CX255))</f>
        <v>0</v>
      </c>
      <c r="DF255" s="238"/>
      <c r="DG255" s="248">
        <f>SUM(G255-V255)</f>
        <v>0</v>
      </c>
      <c r="DH255" s="245">
        <f>IF(F255="",0,1)</f>
        <v>0</v>
      </c>
      <c r="DI255" s="245">
        <f t="shared" ref="DI255:DI258" si="620">IF(DG255=0,DH255,DG255)</f>
        <v>0</v>
      </c>
      <c r="DJ255" s="245">
        <f t="shared" ref="DJ255:DJ258" si="621">SIGN(DI255)</f>
        <v>0</v>
      </c>
      <c r="DK255" s="245" t="str">
        <f>IF(G255="","",IF(DJ255=1,"*",""))</f>
        <v/>
      </c>
      <c r="DL255" s="245" t="str">
        <f>IF(G255="","",IF(DJ255=-1,"*",IF(DJ255=0,"*","")))</f>
        <v/>
      </c>
      <c r="DM255" s="245">
        <v>2</v>
      </c>
      <c r="DN255" s="245" t="str">
        <f t="shared" ref="DN255:DN258" si="622">CONCATENATE(DM255,DK255)</f>
        <v>2</v>
      </c>
      <c r="DO255" s="245" t="str">
        <f t="shared" ref="DO255:DO258" si="623">CONCATENATE(DM255,DL255)</f>
        <v>2</v>
      </c>
      <c r="DP255" s="245">
        <f>SUM(DQ254)</f>
        <v>0</v>
      </c>
      <c r="DQ255" s="245">
        <f>SUM(DP254)</f>
        <v>0</v>
      </c>
      <c r="DR255" s="245">
        <f>IF(DK255="*",1,0)</f>
        <v>0</v>
      </c>
      <c r="DS255" s="245">
        <f>IF(DL255="*",1,0)</f>
        <v>0</v>
      </c>
      <c r="DT255" s="245">
        <f>IF(H245="",0,IF(DP255=DR255,1,0))</f>
        <v>0</v>
      </c>
      <c r="DU255" s="245">
        <f>IF(V255="",0,IF(DQ255=DS255,0,1))</f>
        <v>0</v>
      </c>
      <c r="DV255" s="267">
        <f>SUM(DT255)</f>
        <v>0</v>
      </c>
      <c r="DW255" s="267">
        <f>IF(V255="",0,SUM(DU255))</f>
        <v>0</v>
      </c>
      <c r="DX255" s="238">
        <f>IF(AK255="",0,1)</f>
        <v>0</v>
      </c>
      <c r="DY255" s="238">
        <f>IF(DG255=-3,1,0)</f>
        <v>0</v>
      </c>
      <c r="DZ255" s="238">
        <f>SUM(DX255:DY255)</f>
        <v>0</v>
      </c>
      <c r="EA255" s="238">
        <f>IF(AK255="",1,0)</f>
        <v>1</v>
      </c>
      <c r="EB255" s="238">
        <f>IF(DG255=3,1,0)</f>
        <v>0</v>
      </c>
      <c r="EC255" s="238">
        <f>SUM(EA255:EB255)</f>
        <v>1</v>
      </c>
      <c r="ED255" s="267">
        <f>IF(EC255=2,1,0)</f>
        <v>0</v>
      </c>
      <c r="EE255" s="267">
        <f>IF(DZ255=2,1,0)</f>
        <v>0</v>
      </c>
      <c r="EG255" s="166"/>
      <c r="EH255" s="238"/>
      <c r="EI255" s="238"/>
      <c r="EJ255" s="238"/>
      <c r="EK255" s="238"/>
      <c r="EL255" s="238"/>
      <c r="EM255" s="245">
        <f>IF(AK255="",0,1)</f>
        <v>0</v>
      </c>
      <c r="EN255" s="245">
        <f>SUM(AK255)</f>
        <v>0</v>
      </c>
      <c r="EO255" s="268">
        <f>SUM(AJ255)</f>
        <v>0</v>
      </c>
      <c r="EP255" s="268">
        <f>SUM(G255/3)</f>
        <v>0</v>
      </c>
      <c r="EQ255" s="268" t="e">
        <f>SUM(EO255/EP255)</f>
        <v>#DIV/0!</v>
      </c>
      <c r="ER255" s="268">
        <f>ROUNDDOWN(EP255,0)</f>
        <v>0</v>
      </c>
      <c r="ES255" s="268">
        <f>SUM(EO255,-ER255*3)</f>
        <v>0</v>
      </c>
      <c r="ET255" s="269" t="b">
        <f>MOD(EN255/1,2)=0</f>
        <v>1</v>
      </c>
      <c r="EU255" s="245">
        <f>IF(ET255=FALSE,1,0)</f>
        <v>0</v>
      </c>
      <c r="EV255" s="245">
        <f>IF(EN255=50,0,IF(EN255&lt;40,1,0))</f>
        <v>1</v>
      </c>
      <c r="EW255" s="245">
        <f>SUM(EU255:EV255)</f>
        <v>1</v>
      </c>
      <c r="EX255" s="267">
        <f>IF(EN255=1,1,IF(EN255=50,0,IF(ES255=1,IF(EN255&gt;40,1,0),0)))</f>
        <v>0</v>
      </c>
      <c r="EY255" s="267">
        <f>IF(ES255=1,IF(EW255=2,1,0),0)+EX255+FB255+FE255</f>
        <v>0</v>
      </c>
      <c r="EZ255" s="245">
        <f>IF(EN255=109,1,IF(EN255=108,1,IF(EN255=106,1,IF(EN255=105,1,IF(EN255=103,1,IF(EN255=102,1,IF(EN255=99,1,0)))))))</f>
        <v>0</v>
      </c>
      <c r="FA255" s="245">
        <f>IF(EN255&gt;110,1,0)</f>
        <v>0</v>
      </c>
      <c r="FB255" s="267">
        <f>IF(ES255=2,SUM(EZ255:FA255),0)</f>
        <v>0</v>
      </c>
      <c r="FC255" s="245">
        <f>IF(EN255=159,1,IF(EN255=162,1,IF(EN255=163,1,IF(EN255=165,1,IF(EN255=166,1,IF(EN255=168,1,IF(EN255=169,1,0)))))))</f>
        <v>0</v>
      </c>
      <c r="FD255" s="245">
        <f>IF(EN255&gt;170,1,0)</f>
        <v>0</v>
      </c>
      <c r="FE255" s="267">
        <f>IF(ES255=0,SUM(FC255:FD255),0)</f>
        <v>0</v>
      </c>
      <c r="FF255" s="251">
        <f t="shared" ref="FF255:FF258" si="624">IF(AJ255="",0,IF(AI255="",0,IF(EO255/ER255-3=0,0,1)))</f>
        <v>0</v>
      </c>
      <c r="FG255" s="238"/>
      <c r="FH255" s="245">
        <f>IF(AY255="",0,1)</f>
        <v>0</v>
      </c>
      <c r="FI255" s="245">
        <f>SUM(AY255)</f>
        <v>0</v>
      </c>
      <c r="FJ255" s="268">
        <f>SUM(AX255)</f>
        <v>0</v>
      </c>
      <c r="FK255" s="268">
        <f>SUM(V255/3)</f>
        <v>0</v>
      </c>
      <c r="FL255" s="268" t="e">
        <f>SUM(FJ255/FK255)</f>
        <v>#DIV/0!</v>
      </c>
      <c r="FM255" s="268">
        <f>ROUNDDOWN(FK255,0)</f>
        <v>0</v>
      </c>
      <c r="FN255" s="268">
        <f>SUM(FJ255,-FM255*3)</f>
        <v>0</v>
      </c>
      <c r="FO255" s="269" t="b">
        <f>MOD(FI255/1,2)=0</f>
        <v>1</v>
      </c>
      <c r="FP255" s="245">
        <f>IF(FO255=FALSE,1,0)</f>
        <v>0</v>
      </c>
      <c r="FQ255" s="245">
        <f>IF(FI255=50,0,IF(FI255&lt;40,1,0))</f>
        <v>1</v>
      </c>
      <c r="FR255" s="245">
        <f>SUM(FP255:FQ255)</f>
        <v>1</v>
      </c>
      <c r="FS255" s="267">
        <f>IF(FI255=1,1,IF(FI255=50,0,IF(FN255=1,IF(FI255&gt;40,1,0),0)))</f>
        <v>0</v>
      </c>
      <c r="FT255" s="267">
        <f>IF(FN255=1,IF(FR255=2,1,0),0)+FS255+FW255+FZ255</f>
        <v>0</v>
      </c>
      <c r="FU255" s="245">
        <f>IF(FI255=109,1,IF(FI255=108,1,IF(FI255=106,1,IF(FI255=105,1,IF(FI255=103,1,IF(FI255=102,1,IF(FI255=99,1,0)))))))</f>
        <v>0</v>
      </c>
      <c r="FV255" s="245">
        <f>IF(FI255&gt;110,1,0)</f>
        <v>0</v>
      </c>
      <c r="FW255" s="267">
        <f>IF(FN255=2,SUM(FU255:FV255),0)</f>
        <v>0</v>
      </c>
      <c r="FX255" s="245">
        <f>IF(FI255=159,1,IF(FI255=162,1,IF(FI255=163,1,IF(FI255=165,1,IF(FI255=166,1,IF(FI255=168,1,IF(FI255=169,1,0)))))))</f>
        <v>0</v>
      </c>
      <c r="FY255" s="245">
        <f>IF(FI255&gt;170,1,0)</f>
        <v>0</v>
      </c>
      <c r="FZ255" s="267">
        <f>IF(FN255=0,SUM(FX255:FY255),0)</f>
        <v>0</v>
      </c>
      <c r="GA255" s="251">
        <f t="shared" ref="GA255:GA258" si="625">IF(AX255="",0,IF(AW255="",0,IF(FJ255/FM255-3=0,0,1)))</f>
        <v>0</v>
      </c>
      <c r="GC255" s="238" t="str">
        <f>VLOOKUP(AH251,Chema!BL:BR,2,FALSE)</f>
        <v>HS 2.6</v>
      </c>
      <c r="GD255" s="341">
        <f>IF(E261="FORFAIT",1,0)</f>
        <v>0</v>
      </c>
      <c r="GE255" s="343" t="str">
        <f>IF(C261="","",SUM(C261))</f>
        <v/>
      </c>
      <c r="GF255" s="344">
        <f>SUM(AH254)</f>
        <v>0</v>
      </c>
      <c r="GG255" s="344">
        <f>SUM(AJ254)</f>
        <v>0</v>
      </c>
      <c r="GH255" s="344">
        <f t="shared" ref="GH255" si="626">SUM(AK254)</f>
        <v>0</v>
      </c>
      <c r="GI255" s="344">
        <f t="shared" ref="GI255" si="627">SUM(AL254)</f>
        <v>0</v>
      </c>
      <c r="GJ255" s="344">
        <f>SUM(AH255)</f>
        <v>0</v>
      </c>
      <c r="GK255" s="344">
        <f>SUM(AJ255)</f>
        <v>0</v>
      </c>
      <c r="GL255" s="344">
        <f>SUM(AK255)</f>
        <v>0</v>
      </c>
      <c r="GM255" s="344">
        <f>SUM(AL255)</f>
        <v>0</v>
      </c>
      <c r="GN255" s="344">
        <f>SUM(AH256)</f>
        <v>0</v>
      </c>
      <c r="GO255" s="344">
        <f>SUM(AJ256)</f>
        <v>0</v>
      </c>
      <c r="GP255" s="344">
        <f>SUM(AK256)</f>
        <v>0</v>
      </c>
      <c r="GQ255" s="344">
        <f>SUM(AL256)</f>
        <v>0</v>
      </c>
      <c r="GR255" s="344">
        <f>SUM(AH257)</f>
        <v>0</v>
      </c>
      <c r="GS255" s="344">
        <f>SUM(AJ257)</f>
        <v>0</v>
      </c>
      <c r="GT255" s="344">
        <f>SUM(AK257)</f>
        <v>0</v>
      </c>
      <c r="GU255" s="344">
        <f>SUM(AL257)</f>
        <v>0</v>
      </c>
      <c r="GV255" s="344">
        <f>SUM(AH258)</f>
        <v>0</v>
      </c>
      <c r="GW255" s="344">
        <f>SUM(AJ258)</f>
        <v>0</v>
      </c>
      <c r="GX255" s="344">
        <f>SUM(AK258)</f>
        <v>0</v>
      </c>
      <c r="GY255" s="344">
        <f>SUM(AL258)</f>
        <v>0</v>
      </c>
      <c r="GZ255" s="344">
        <f>SUM(GF255,GJ255,GN255,GR255,GV255)</f>
        <v>0</v>
      </c>
      <c r="HA255" s="344">
        <f t="shared" ref="HA255" si="628">SUM(GG255,GK255,GO255,GS255,GW255)</f>
        <v>0</v>
      </c>
      <c r="HB255" s="344">
        <f>IF(GD254=1,L261,MAX(GH255,GL255,GP255,GT255,GX255))</f>
        <v>0</v>
      </c>
      <c r="HC255" s="344">
        <f>IF(GD254=1,I261,SUM(GI255,GM255,GQ255,GU255,GY255))</f>
        <v>0</v>
      </c>
      <c r="HD255" s="345">
        <f>IF(GD254=1,0,SUM(GF255,GJ255,GN255,GR255,GV255))</f>
        <v>0</v>
      </c>
      <c r="HE255" s="345">
        <f>IF(GD254=1,0,SUM(GG255,GK255,GO255,GS255,GW255))</f>
        <v>0</v>
      </c>
      <c r="HF255" s="341">
        <f>IF(GD254=1,0,MIN(HI255,HJ255,HK255,HL255,HM255))</f>
        <v>0</v>
      </c>
      <c r="HG255" s="341">
        <f>IF(HF255=0,0,COUNTIF(HI255:HM255,HF255))</f>
        <v>0</v>
      </c>
      <c r="HH255" s="341">
        <f>SUM(GH256,GL256,GP256,GT256,GX256)</f>
        <v>0</v>
      </c>
      <c r="HI255" s="343" t="str">
        <f>IF(GH256=1,GG255,"")</f>
        <v/>
      </c>
      <c r="HJ255" s="343" t="str">
        <f>IF(GL256=1,GK255,"")</f>
        <v/>
      </c>
      <c r="HK255" s="343" t="str">
        <f>IF(GP256=1,GO255,"")</f>
        <v/>
      </c>
      <c r="HL255" s="343" t="str">
        <f>IF(GT256=1,GS255,"")</f>
        <v/>
      </c>
      <c r="HM255" s="343" t="str">
        <f>IF(GX256=1,GW255,"")</f>
        <v/>
      </c>
      <c r="HN255" s="341"/>
      <c r="HO255" s="341" t="s">
        <v>928</v>
      </c>
      <c r="HP255" s="341" t="s">
        <v>982</v>
      </c>
      <c r="HQ255" s="341" t="s">
        <v>983</v>
      </c>
      <c r="HR255" s="341" t="s">
        <v>984</v>
      </c>
      <c r="HS255" s="238" t="s">
        <v>932</v>
      </c>
      <c r="HT255" s="238" t="s">
        <v>933</v>
      </c>
      <c r="HU255" s="238" t="s">
        <v>985</v>
      </c>
      <c r="HV255" s="238" t="s">
        <v>986</v>
      </c>
      <c r="HW255" s="238" t="str">
        <f>IFERROR(IF(GD254=0,SUM(HZ256:IA256),""),"")</f>
        <v/>
      </c>
      <c r="HY255" s="238"/>
      <c r="HZ255" s="238" t="s">
        <v>1132</v>
      </c>
      <c r="IA255" s="238" t="s">
        <v>1133</v>
      </c>
      <c r="IB255" s="238" t="s">
        <v>1132</v>
      </c>
      <c r="IC255" s="238" t="s">
        <v>1133</v>
      </c>
      <c r="ID255" s="238"/>
    </row>
    <row r="256" spans="1:238" s="234" customFormat="1" ht="20.100000000000001" customHeight="1">
      <c r="A256" s="235"/>
      <c r="B256" s="231">
        <f>COUNT(AJ257,AJ256)</f>
        <v>0</v>
      </c>
      <c r="C256" s="235"/>
      <c r="D256" s="271" t="str">
        <f>REPT(DN256,1)</f>
        <v>3</v>
      </c>
      <c r="E256" s="254" t="str">
        <f>REPT(AH256,1)</f>
        <v/>
      </c>
      <c r="F256" s="168"/>
      <c r="G256" s="168"/>
      <c r="H256" s="168"/>
      <c r="I256" s="169"/>
      <c r="J256" s="270" t="str">
        <f t="shared" ref="J256:J257" si="629">REPT(AM256,1)</f>
        <v/>
      </c>
      <c r="L256" s="312">
        <f>SUM(L254*3)</f>
        <v>0</v>
      </c>
      <c r="M256" s="307"/>
      <c r="N256" s="270" t="str">
        <f>REPT(AP256,1)</f>
        <v/>
      </c>
      <c r="P256" s="312">
        <f>SUM(P254*3)</f>
        <v>0</v>
      </c>
      <c r="Q256" s="310"/>
      <c r="R256" s="235"/>
      <c r="S256" s="271" t="str">
        <f>REPT(DO256,1)</f>
        <v>3</v>
      </c>
      <c r="T256" s="254" t="str">
        <f>REPT(AV256,1)</f>
        <v/>
      </c>
      <c r="U256" s="168"/>
      <c r="V256" s="168"/>
      <c r="W256" s="168"/>
      <c r="X256" s="169"/>
      <c r="Y256" s="270" t="str">
        <f t="shared" si="612"/>
        <v/>
      </c>
      <c r="Z256" s="308"/>
      <c r="AB256" s="234">
        <f>IF(AY256="",0,IF(AY256&lt;2,1,""))</f>
        <v>0</v>
      </c>
      <c r="AC256" s="238">
        <f t="shared" si="613"/>
        <v>0</v>
      </c>
      <c r="AD256" s="256">
        <f t="shared" si="614"/>
        <v>0</v>
      </c>
      <c r="AE256" s="256">
        <f t="shared" si="608"/>
        <v>0</v>
      </c>
      <c r="AF256" s="256">
        <f t="shared" si="609"/>
        <v>0</v>
      </c>
      <c r="AG256" s="256">
        <f t="shared" si="615"/>
        <v>0</v>
      </c>
      <c r="AH256" s="257" t="str">
        <f>IF(AK256="",IF(AI256="","",IF(AI256="",501,501-AI256)),501)</f>
        <v/>
      </c>
      <c r="AI256" s="256" t="str">
        <f>IF(F256&gt;1,F256,IF(F256=0,"",IF(F256="","","")))</f>
        <v/>
      </c>
      <c r="AJ256" s="256" t="str">
        <f>IF(G256&gt;8,G256,IF(G256="","",""))</f>
        <v/>
      </c>
      <c r="AK256" s="256" t="str">
        <f>IF(H256&gt;1,H256,IF(H256="","",""))</f>
        <v/>
      </c>
      <c r="AL256" s="256" t="str">
        <f>IF(I256&gt;0,I256,IF(I256="","",""))</f>
        <v/>
      </c>
      <c r="AM256" s="258" t="str">
        <f>IF(BK256=0,"","X")</f>
        <v/>
      </c>
      <c r="AN256" s="237"/>
      <c r="AO256" s="237"/>
      <c r="AP256" s="258" t="str">
        <f>IF(BM256=0,"","X")</f>
        <v/>
      </c>
      <c r="AQ256" s="236">
        <f t="shared" si="616"/>
        <v>0</v>
      </c>
      <c r="AR256" s="256">
        <f t="shared" si="617"/>
        <v>0</v>
      </c>
      <c r="AS256" s="256">
        <f t="shared" si="610"/>
        <v>0</v>
      </c>
      <c r="AT256" s="256">
        <f t="shared" si="611"/>
        <v>0</v>
      </c>
      <c r="AU256" s="256">
        <f t="shared" si="618"/>
        <v>0</v>
      </c>
      <c r="AV256" s="257" t="str">
        <f>IF(AY256="",IF(AW256="","",IF(AW256="",501,501-AW256)),501)</f>
        <v/>
      </c>
      <c r="AW256" s="256" t="str">
        <f>IF(U256&gt;1,U256,IF(U256=0,"",IF(U256="","","")))</f>
        <v/>
      </c>
      <c r="AX256" s="256" t="str">
        <f>IF(V256&gt;8,V256,IF(V256="","",""))</f>
        <v/>
      </c>
      <c r="AY256" s="256" t="str">
        <f>IF(W256&gt;1,W256,IF(W256="","",""))</f>
        <v/>
      </c>
      <c r="AZ256" s="256" t="str">
        <f>IF(X256&gt;0,X256,IF(X256="","",""))</f>
        <v/>
      </c>
      <c r="BA256" s="258" t="str">
        <f>IF(BL256=0,"","X")</f>
        <v/>
      </c>
      <c r="BK256" s="251">
        <f>SUM(DD256,DV256,EY256,ED256,FF256,BQ256,BS256,AC256,BK263)</f>
        <v>0</v>
      </c>
      <c r="BL256" s="251">
        <f>SUM(DE256,DW256,EE256,FT256,GA256,BR256,BT256,AQ256,BL263,CZ256)</f>
        <v>0</v>
      </c>
      <c r="BM256" s="259">
        <f t="shared" si="619"/>
        <v>0</v>
      </c>
      <c r="BN256" s="239">
        <f>COUNT(AK256)</f>
        <v>0</v>
      </c>
      <c r="BO256" s="239">
        <f>COUNT(AY256)</f>
        <v>0</v>
      </c>
      <c r="BP256" s="239">
        <f>IF(BN258=0,0,1)</f>
        <v>0</v>
      </c>
      <c r="BQ256" s="260">
        <f>IF(AL256="",0,IF(AL256&gt;2,1,0))</f>
        <v>0</v>
      </c>
      <c r="BR256" s="261">
        <f>IF(AZ256="",0,IF(AZ256&gt;2,1,0))</f>
        <v>0</v>
      </c>
      <c r="BS256" s="262">
        <f>IF(AJ256=9,IF(AK256&lt;141,1,0),0)</f>
        <v>0</v>
      </c>
      <c r="BT256" s="263">
        <f>IF(AX256=9,IF(AY256&lt;141,1,0),0)</f>
        <v>0</v>
      </c>
      <c r="BU256" s="242">
        <f>IF(H256,G256,0)</f>
        <v>0</v>
      </c>
      <c r="BV256" s="238">
        <f>IF(BU256&gt;0,AJ256/3,0)</f>
        <v>0</v>
      </c>
      <c r="BW256" s="238">
        <f>ROUNDUP(BV256,0)</f>
        <v>0</v>
      </c>
      <c r="BX256" s="244">
        <f>IF(MOD(BW256,2)=0,BW256,BW256+1)</f>
        <v>0</v>
      </c>
      <c r="BY256" s="238">
        <f>IF(AJ256&lt;9,"",SUM(BX256-BW256))</f>
        <v>0</v>
      </c>
      <c r="BZ256" s="238">
        <f>IF(BY256=1,AK256,0)</f>
        <v>0</v>
      </c>
      <c r="CA256" s="243" t="str">
        <f>IF(BY256=0,AK256,0)</f>
        <v/>
      </c>
      <c r="CB256" s="238"/>
      <c r="CC256" s="238"/>
      <c r="CD256" s="242">
        <f>IF(W256,V256,0)</f>
        <v>0</v>
      </c>
      <c r="CE256" s="238">
        <f>IF(CD256&gt;0,AX256/3,0)</f>
        <v>0</v>
      </c>
      <c r="CF256" s="238">
        <f>ROUNDUP(CE256,0)</f>
        <v>0</v>
      </c>
      <c r="CG256" s="244">
        <f>IF(MOD(CF256,2)=0,CF256,CF256+1)</f>
        <v>0</v>
      </c>
      <c r="CH256" s="238">
        <f>IF(AX256&lt;9,"",SUM(CG256-CF256))</f>
        <v>0</v>
      </c>
      <c r="CI256" s="238">
        <f>IF(CH256=1,AY256,0)</f>
        <v>0</v>
      </c>
      <c r="CJ256" s="243" t="str">
        <f>IF(CH256=0,AY256,0)</f>
        <v/>
      </c>
      <c r="CK256" s="238"/>
      <c r="CL256" s="245">
        <f>IF(COUNT(F256,H256)=1,0,1)</f>
        <v>1</v>
      </c>
      <c r="CM256" s="245">
        <f>IF(COUNT(F256,U256)=1,0,1)</f>
        <v>1</v>
      </c>
      <c r="CN256" s="245">
        <f>IF(COUNT(H256,W256)=1,0,1)</f>
        <v>1</v>
      </c>
      <c r="CO256" s="245">
        <f>IF(COUNT(G256,V256)=2,0,1)</f>
        <v>1</v>
      </c>
      <c r="CP256" s="245">
        <f>IF(COUNT(U256,W256)=1,0,1)</f>
        <v>1</v>
      </c>
      <c r="CQ256" s="245">
        <f>IF(SUM(G256-V256)&gt;3,1,0)</f>
        <v>0</v>
      </c>
      <c r="CR256" s="245">
        <f>IF(SUM(G256-V256)&lt;-3,1,0)</f>
        <v>0</v>
      </c>
      <c r="CS256" s="264">
        <f>IF(AJ256=9,IF(AH256&lt;141,1,0),IF(AH256="",0,IF(AH256&gt;1,0,1)))</f>
        <v>0</v>
      </c>
      <c r="CT256" s="264">
        <f>IF(AX256=9,IF(AV256&lt;141,1,0),IF(AV256="",0,IF(AV256&gt;1,0,1)))</f>
        <v>0</v>
      </c>
      <c r="CU256" s="264">
        <f>IF(AI256="",0,IF(AI256&lt;502,0,1))</f>
        <v>0</v>
      </c>
      <c r="CV256" s="264">
        <f>IF(AW256="",0,IF(AW256&lt;502,0,1))</f>
        <v>0</v>
      </c>
      <c r="CW256" s="264">
        <f>IF(AI256="",IF(AJ256&lt;9,1,0),IF(AJ256&lt;9,1,0))</f>
        <v>0</v>
      </c>
      <c r="CX256" s="264">
        <f>IF(AW256="",IF(AX256&lt;9,1,0),IF(AX256&lt;9,1,0))</f>
        <v>0</v>
      </c>
      <c r="CY256" s="374">
        <f>COUNT(U254,U255,U256)</f>
        <v>0</v>
      </c>
      <c r="CZ256" s="375">
        <f>IF(AL251=3,IF(CY256&gt;2,1,0),0)</f>
        <v>0</v>
      </c>
      <c r="DA256" s="374"/>
      <c r="DB256" s="374"/>
      <c r="DC256" s="265">
        <f>IF(AJ256="",0,SUM(CL256:CX256))</f>
        <v>0</v>
      </c>
      <c r="DD256" s="265">
        <f>IF(AJ256="",0,SUM(CL256,CS256,CU256,CW256))</f>
        <v>0</v>
      </c>
      <c r="DE256" s="265">
        <f>IF(AJ256="",0,SUM(CP256,CT256,CV256,CX256))</f>
        <v>0</v>
      </c>
      <c r="DF256" s="238"/>
      <c r="DG256" s="248">
        <f>SUM(G256-V256)</f>
        <v>0</v>
      </c>
      <c r="DH256" s="245">
        <f>IF(F256="",0,1)</f>
        <v>0</v>
      </c>
      <c r="DI256" s="245">
        <f t="shared" si="620"/>
        <v>0</v>
      </c>
      <c r="DJ256" s="245">
        <f t="shared" si="621"/>
        <v>0</v>
      </c>
      <c r="DK256" s="245" t="str">
        <f>IF(G256="","",IF(DJ256=1,"*",""))</f>
        <v/>
      </c>
      <c r="DL256" s="245" t="str">
        <f>IF(G256="","",IF(DJ256=-1,"*",IF(DJ256=0,"*","")))</f>
        <v/>
      </c>
      <c r="DM256" s="245">
        <v>3</v>
      </c>
      <c r="DN256" s="245" t="str">
        <f t="shared" si="622"/>
        <v>3</v>
      </c>
      <c r="DO256" s="245" t="str">
        <f t="shared" si="623"/>
        <v>3</v>
      </c>
      <c r="DP256" s="245">
        <f>SUM(DP254)</f>
        <v>0</v>
      </c>
      <c r="DQ256" s="245">
        <f>SUM(DQ254)</f>
        <v>0</v>
      </c>
      <c r="DR256" s="245">
        <f t="shared" ref="DR256:DR258" si="630">IF(DK256="*",1,0)</f>
        <v>0</v>
      </c>
      <c r="DS256" s="245">
        <f t="shared" ref="DS256:DS258" si="631">IF(DL256="*",1,0)</f>
        <v>0</v>
      </c>
      <c r="DT256" s="245">
        <f t="shared" ref="DT256:DT258" si="632">IF(H246="",0,IF(DP256=DR256,1,0))</f>
        <v>0</v>
      </c>
      <c r="DU256" s="245">
        <f>IF(V256="",0,IF(DQ256=DS256,0,1))</f>
        <v>0</v>
      </c>
      <c r="DV256" s="267">
        <f t="shared" ref="DV256:DV258" si="633">SUM(DT256)</f>
        <v>0</v>
      </c>
      <c r="DW256" s="267">
        <f>IF(V256="",0,SUM(DU256))</f>
        <v>0</v>
      </c>
      <c r="DX256" s="238">
        <f>IF(AK256="",0,1)</f>
        <v>0</v>
      </c>
      <c r="DY256" s="238">
        <f>IF(DG256=-3,1,0)</f>
        <v>0</v>
      </c>
      <c r="DZ256" s="238">
        <f>SUM(DX256:DY256)</f>
        <v>0</v>
      </c>
      <c r="EA256" s="238">
        <f>IF(AK256="",1,0)</f>
        <v>1</v>
      </c>
      <c r="EB256" s="238">
        <f>IF(DG256=3,1,0)</f>
        <v>0</v>
      </c>
      <c r="EC256" s="238">
        <f>SUM(EA256:EB256)</f>
        <v>1</v>
      </c>
      <c r="ED256" s="267">
        <f>IF(EC256=2,1,0)</f>
        <v>0</v>
      </c>
      <c r="EE256" s="267">
        <f>IF(DZ256=2,1,0)</f>
        <v>0</v>
      </c>
      <c r="EG256" s="166"/>
      <c r="EH256" s="238"/>
      <c r="EI256" s="238"/>
      <c r="EJ256" s="238"/>
      <c r="EK256" s="238"/>
      <c r="EL256" s="238"/>
      <c r="EM256" s="245">
        <f>IF(AK256="",0,1)</f>
        <v>0</v>
      </c>
      <c r="EN256" s="245">
        <f>SUM(AK256)</f>
        <v>0</v>
      </c>
      <c r="EO256" s="268">
        <f>SUM(AJ256)</f>
        <v>0</v>
      </c>
      <c r="EP256" s="268">
        <f>SUM(G256/3)</f>
        <v>0</v>
      </c>
      <c r="EQ256" s="268" t="e">
        <f>SUM(EO256/EP256)</f>
        <v>#DIV/0!</v>
      </c>
      <c r="ER256" s="268">
        <f>ROUNDDOWN(EP256,0)</f>
        <v>0</v>
      </c>
      <c r="ES256" s="268">
        <f>SUM(EO256,-ER256*3)</f>
        <v>0</v>
      </c>
      <c r="ET256" s="269" t="b">
        <f>MOD(EN256/1,2)=0</f>
        <v>1</v>
      </c>
      <c r="EU256" s="245">
        <f>IF(ET256=FALSE,1,0)</f>
        <v>0</v>
      </c>
      <c r="EV256" s="245">
        <f>IF(EN256=50,0,IF(EN256&lt;40,1,0))</f>
        <v>1</v>
      </c>
      <c r="EW256" s="245">
        <f>SUM(EU256:EV256)</f>
        <v>1</v>
      </c>
      <c r="EX256" s="267">
        <f>IF(EN256=1,1,IF(EN256=50,0,IF(ES256=1,IF(EN256&gt;40,1,0),0)))</f>
        <v>0</v>
      </c>
      <c r="EY256" s="267">
        <f>IF(ES256=1,IF(EW256=2,1,0),0)+EX256+FB256+FE256</f>
        <v>0</v>
      </c>
      <c r="EZ256" s="245">
        <f>IF(EN256=109,1,IF(EN256=108,1,IF(EN256=106,1,IF(EN256=105,1,IF(EN256=103,1,IF(EN256=102,1,IF(EN256=99,1,0)))))))</f>
        <v>0</v>
      </c>
      <c r="FA256" s="245">
        <f>IF(EN256&gt;110,1,0)</f>
        <v>0</v>
      </c>
      <c r="FB256" s="267">
        <f>IF(ES256=2,SUM(EZ256:FA256),0)</f>
        <v>0</v>
      </c>
      <c r="FC256" s="245">
        <f>IF(EN256=159,1,IF(EN256=162,1,IF(EN256=163,1,IF(EN256=165,1,IF(EN256=166,1,IF(EN256=168,1,IF(EN256=169,1,0)))))))</f>
        <v>0</v>
      </c>
      <c r="FD256" s="245">
        <f>IF(EN256&gt;170,1,0)</f>
        <v>0</v>
      </c>
      <c r="FE256" s="267">
        <f>IF(ES256=0,SUM(FC256:FD256),0)</f>
        <v>0</v>
      </c>
      <c r="FF256" s="251">
        <f t="shared" si="624"/>
        <v>0</v>
      </c>
      <c r="FG256" s="238"/>
      <c r="FH256" s="245">
        <f>IF(AY256="",0,1)</f>
        <v>0</v>
      </c>
      <c r="FI256" s="245">
        <f>SUM(AY256)</f>
        <v>0</v>
      </c>
      <c r="FJ256" s="268">
        <f>SUM(AX256)</f>
        <v>0</v>
      </c>
      <c r="FK256" s="268">
        <f>SUM(V256/3)</f>
        <v>0</v>
      </c>
      <c r="FL256" s="268" t="e">
        <f>SUM(FJ256/FK256)</f>
        <v>#DIV/0!</v>
      </c>
      <c r="FM256" s="268">
        <f>ROUNDDOWN(FK256,0)</f>
        <v>0</v>
      </c>
      <c r="FN256" s="268">
        <f>SUM(FJ256,-FM256*3)</f>
        <v>0</v>
      </c>
      <c r="FO256" s="269" t="b">
        <f>MOD(FI256/1,2)=0</f>
        <v>1</v>
      </c>
      <c r="FP256" s="245">
        <f>IF(FO256=FALSE,1,0)</f>
        <v>0</v>
      </c>
      <c r="FQ256" s="245">
        <f>IF(FI256=50,0,IF(FI256&lt;40,1,0))</f>
        <v>1</v>
      </c>
      <c r="FR256" s="245">
        <f>SUM(FP256:FQ256)</f>
        <v>1</v>
      </c>
      <c r="FS256" s="267">
        <f>IF(FI256=1,1,IF(FI256=50,0,IF(FN256=1,IF(FI256&gt;40,1,0),0)))</f>
        <v>0</v>
      </c>
      <c r="FT256" s="267">
        <f>IF(FN256=1,IF(FR256=2,1,0),0)+FS256+FW256+FZ256</f>
        <v>0</v>
      </c>
      <c r="FU256" s="245">
        <f>IF(FI256=109,1,IF(FI256=108,1,IF(FI256=106,1,IF(FI256=105,1,IF(FI256=103,1,IF(FI256=102,1,IF(FI256=99,1,0)))))))</f>
        <v>0</v>
      </c>
      <c r="FV256" s="245">
        <f>IF(FI256&gt;110,1,0)</f>
        <v>0</v>
      </c>
      <c r="FW256" s="267">
        <f>IF(FN256=2,SUM(FU256:FV256),0)</f>
        <v>0</v>
      </c>
      <c r="FX256" s="245">
        <f>IF(FI256=159,1,IF(FI256=162,1,IF(FI256=163,1,IF(FI256=165,1,IF(FI256=166,1,IF(FI256=168,1,IF(FI256=169,1,0)))))))</f>
        <v>0</v>
      </c>
      <c r="FY256" s="245">
        <f>IF(FI256&gt;170,1,0)</f>
        <v>0</v>
      </c>
      <c r="FZ256" s="267">
        <f>IF(FN256=0,SUM(FX256:FY256),0)</f>
        <v>0</v>
      </c>
      <c r="GA256" s="251">
        <f t="shared" si="625"/>
        <v>0</v>
      </c>
      <c r="GC256" s="238" t="str">
        <f>VLOOKUP(AH251,Chema!BL:BR,3,FALSE)</f>
        <v/>
      </c>
      <c r="GD256" s="341"/>
      <c r="GE256" s="343" t="str">
        <f>IF(C262="","",SUM(C262))</f>
        <v/>
      </c>
      <c r="GF256" s="346"/>
      <c r="GG256" s="340"/>
      <c r="GH256" s="343">
        <f>IF(GH255&gt;0,1,0)</f>
        <v>0</v>
      </c>
      <c r="GI256" s="346"/>
      <c r="GJ256" s="343"/>
      <c r="GK256" s="340"/>
      <c r="GL256" s="343">
        <f>IF(GL255&gt;0,1,0)</f>
        <v>0</v>
      </c>
      <c r="GM256" s="343"/>
      <c r="GN256" s="343"/>
      <c r="GO256" s="340"/>
      <c r="GP256" s="343">
        <f>IF(GP255&gt;0,1,0)</f>
        <v>0</v>
      </c>
      <c r="GQ256" s="343"/>
      <c r="GR256" s="343"/>
      <c r="GS256" s="340"/>
      <c r="GT256" s="343">
        <f>IF(GT255&gt;0,1,0)</f>
        <v>0</v>
      </c>
      <c r="GU256" s="343"/>
      <c r="GV256" s="343"/>
      <c r="GW256" s="340"/>
      <c r="GX256" s="343">
        <f>IF(GX255&gt;0,1,0)</f>
        <v>0</v>
      </c>
      <c r="GY256" s="343"/>
      <c r="GZ256" s="343"/>
      <c r="HA256" s="343"/>
      <c r="HB256" s="343" t="str">
        <f>IF(GD254=1,L262,"")</f>
        <v/>
      </c>
      <c r="HC256" s="343" t="str">
        <f>IF(GD254=1,I262,"")</f>
        <v/>
      </c>
      <c r="HD256" s="345"/>
      <c r="HE256" s="340"/>
      <c r="HF256" s="340"/>
      <c r="HG256" s="347">
        <f>IF(GE255="",0,IF(AL251=3,2,IF(AL251=5,3,0)))</f>
        <v>0</v>
      </c>
      <c r="HH256" s="347">
        <f>IF(HK256=0,0,IF(HG258=0,0,1))</f>
        <v>0</v>
      </c>
      <c r="HI256" s="340"/>
      <c r="HJ256" s="340"/>
      <c r="HK256" s="340">
        <f>SUM(HM254,HM258)</f>
        <v>0</v>
      </c>
      <c r="HL256" s="340">
        <f>IF(HK256=0,0,IF(HM254=HG256,1,0))</f>
        <v>0</v>
      </c>
      <c r="HM256" s="340">
        <f>IF(HK256=0,0,IF(HM258=HG256,1,0))</f>
        <v>0</v>
      </c>
      <c r="HN256" s="341" t="str">
        <f>REPT(N251,1)</f>
        <v>Spiel 18</v>
      </c>
      <c r="HO256" s="348" t="str">
        <f>IF(HK256=0,"",IF(HH256=0,SUM(HH255),""))</f>
        <v/>
      </c>
      <c r="HP256" s="348" t="str">
        <f>IF(HK256=0,"",IF(HH256=0,SUM(HH257),""))</f>
        <v/>
      </c>
      <c r="HQ256" s="348" t="e">
        <f>IF(HH256=0,SUM(GZ255/HA255),"")</f>
        <v>#DIV/0!</v>
      </c>
      <c r="HR256" s="348" t="e">
        <f>IF(HH256=0,SUM(GZ257/HA257),"")</f>
        <v>#DIV/0!</v>
      </c>
      <c r="HS256" s="238" t="str">
        <f>REPT(DK254,1)</f>
        <v/>
      </c>
      <c r="HT256" s="238" t="str">
        <f>REPT(DL254,1)</f>
        <v/>
      </c>
      <c r="HU256" s="238">
        <f>IF(HH256=0,HL256,"")</f>
        <v>0</v>
      </c>
      <c r="HV256" s="238">
        <f>IF(HH256=0,HM256,"")</f>
        <v>0</v>
      </c>
      <c r="HW256" s="238" t="s">
        <v>1131</v>
      </c>
      <c r="HY256" s="238"/>
      <c r="HZ256" s="238" t="e">
        <f>IF(AL251=5,IF(HU256=1,SUM(HO256*2-HP256),HO256+HP256-2),"")</f>
        <v>#VALUE!</v>
      </c>
      <c r="IA256" s="238" t="str">
        <f>IF(AL251=3,IF(HU256=1,SUM(HO256-HP256+3),HO256+HP256-1),"")</f>
        <v/>
      </c>
      <c r="IB256" s="238" t="e">
        <f>IF(AL251=5,IF(HV256=1,SUM(HP256*2-HO256),HO256+HP256-2),"")</f>
        <v>#VALUE!</v>
      </c>
      <c r="IC256" s="238" t="str">
        <f>IF(AL251=3,IF(HV256=1,SUM(HP256-HO256+3),HO256+HP256-1),"")</f>
        <v/>
      </c>
      <c r="ID256" s="238">
        <f>SUM(BM260)</f>
        <v>0</v>
      </c>
    </row>
    <row r="257" spans="1:238" s="234" customFormat="1" ht="20.100000000000001" customHeight="1">
      <c r="A257" s="235"/>
      <c r="B257" s="231">
        <f>COUNT(AJ258,AJ257)</f>
        <v>0</v>
      </c>
      <c r="C257" s="235"/>
      <c r="D257" s="328" t="str">
        <f>REPT(DN257,1)</f>
        <v>4</v>
      </c>
      <c r="E257" s="329" t="str">
        <f>REPT(AH257,1)</f>
        <v/>
      </c>
      <c r="F257" s="330"/>
      <c r="G257" s="330"/>
      <c r="H257" s="330"/>
      <c r="I257" s="331"/>
      <c r="J257" s="270" t="str">
        <f t="shared" si="629"/>
        <v/>
      </c>
      <c r="M257" s="311"/>
      <c r="N257" s="270" t="str">
        <f>REPT(AP257,1)</f>
        <v/>
      </c>
      <c r="Q257" s="310"/>
      <c r="R257" s="235"/>
      <c r="S257" s="328" t="str">
        <f>REPT(DO257,1)</f>
        <v>4</v>
      </c>
      <c r="T257" s="329" t="str">
        <f>REPT(AV257,1)</f>
        <v/>
      </c>
      <c r="U257" s="330"/>
      <c r="V257" s="330"/>
      <c r="W257" s="330"/>
      <c r="X257" s="331"/>
      <c r="Y257" s="270" t="str">
        <f t="shared" si="612"/>
        <v/>
      </c>
      <c r="Z257" s="308"/>
      <c r="AA257" s="238">
        <f>SUM(AL251)</f>
        <v>5</v>
      </c>
      <c r="AB257" s="234">
        <f>IF(AY257="",0,IF(AY257&lt;2,1,""))</f>
        <v>0</v>
      </c>
      <c r="AC257" s="238">
        <f>IF(AL251=3,0,IF(AD257=1,1,IF(AD257=3,1,IF(AD257=2,0,IF(AD257=0,0,0)))))</f>
        <v>0</v>
      </c>
      <c r="AD257" s="256">
        <f t="shared" si="614"/>
        <v>0</v>
      </c>
      <c r="AE257" s="256">
        <f t="shared" si="608"/>
        <v>0</v>
      </c>
      <c r="AF257" s="256">
        <f t="shared" si="609"/>
        <v>0</v>
      </c>
      <c r="AG257" s="256">
        <f t="shared" si="615"/>
        <v>0</v>
      </c>
      <c r="AH257" s="257" t="str">
        <f>IF(AL251=3,"",IF(AK257="",IF(AI257="","",IF(AI257="",501,501-AI257)),501))</f>
        <v/>
      </c>
      <c r="AI257" s="256" t="str">
        <f>IF(AL251=3,"",IF(F257&gt;1,F257,IF(F257=0,"",IF(F257="","",""))))</f>
        <v/>
      </c>
      <c r="AJ257" s="256" t="str">
        <f>IF(AL251=3,"",IF(G257&gt;8,G257,IF(G257="","","")))</f>
        <v/>
      </c>
      <c r="AK257" s="256" t="str">
        <f>IF(AL251=3,"",IF(H257&gt;1,H257,IF(H257="","","")))</f>
        <v/>
      </c>
      <c r="AL257" s="256" t="str">
        <f>IF(AL251=3,"",IF(I257&gt;0,I257,IF(I257="","","")))</f>
        <v/>
      </c>
      <c r="AM257" s="258" t="str">
        <f>IF(BK257=0,"","X")</f>
        <v/>
      </c>
      <c r="AN257" s="237"/>
      <c r="AO257" s="237"/>
      <c r="AP257" s="258" t="str">
        <f>IF(BM257=0,"","X")</f>
        <v/>
      </c>
      <c r="AQ257" s="236">
        <f>IF(AL251=3,0,IF(AR257=1,1,IF(AR257=3,1,IF(AR257=2,0,IF(AR257=0,0,0)))))</f>
        <v>0</v>
      </c>
      <c r="AR257" s="256">
        <f t="shared" si="617"/>
        <v>0</v>
      </c>
      <c r="AS257" s="256">
        <f t="shared" si="610"/>
        <v>0</v>
      </c>
      <c r="AT257" s="256">
        <f t="shared" si="611"/>
        <v>0</v>
      </c>
      <c r="AU257" s="256">
        <f t="shared" si="618"/>
        <v>0</v>
      </c>
      <c r="AV257" s="257" t="str">
        <f>IF(AY257="",IF(AW257="","",IF(AW257="",501,501-AW257)),501)</f>
        <v/>
      </c>
      <c r="AW257" s="256" t="str">
        <f>IF(AL251=3,"",IF(U257&gt;1,U257,IF(U257=0,"",IF(U257="","",""))))</f>
        <v/>
      </c>
      <c r="AX257" s="256" t="str">
        <f>IF(AL251=3,"",IF(V257&gt;8,V257,IF(V257="","","")))</f>
        <v/>
      </c>
      <c r="AY257" s="256" t="str">
        <f>IF(AL251=3,"",IF(W257&gt;1,W257,IF(W257="","","")))</f>
        <v/>
      </c>
      <c r="AZ257" s="256" t="str">
        <f>IF(AL251=3,"",IF(X257&gt;0,X257,IF(X257="","","")))</f>
        <v/>
      </c>
      <c r="BA257" s="258" t="str">
        <f>IF(BL257=0,"","X")</f>
        <v/>
      </c>
      <c r="BK257" s="251">
        <f>IF(AL251=3,0,SUM(DD257,DV257,EY257,ED257,FF257,BQ257,BS257,AC257))</f>
        <v>0</v>
      </c>
      <c r="BL257" s="251">
        <f>IF(AL251=3,0,SUM(DE257,DW257,EE257,FT257,GA257,BR257,BT257,AQ257))</f>
        <v>0</v>
      </c>
      <c r="BM257" s="259">
        <f>IF(AL251=3,0,SUM(DC257,BK257:BL257,AC257,AQ257))</f>
        <v>0</v>
      </c>
      <c r="BN257" s="239">
        <f>COUNT(AK257)</f>
        <v>0</v>
      </c>
      <c r="BO257" s="239">
        <f>COUNT(AY257)</f>
        <v>0</v>
      </c>
      <c r="BP257" s="239">
        <f>IF(BZ259=0,0,1)</f>
        <v>0</v>
      </c>
      <c r="BQ257" s="260">
        <f>IF(AL257="",0,IF(AL257&gt;2,1,0))</f>
        <v>0</v>
      </c>
      <c r="BR257" s="261">
        <f>IF(AZ257="",0,IF(AZ257&gt;2,1,0))</f>
        <v>0</v>
      </c>
      <c r="BS257" s="262">
        <f>IF(AJ257=9,IF(AK257&lt;141,1,0),0)</f>
        <v>0</v>
      </c>
      <c r="BT257" s="263">
        <f>IF(AX257=9,IF(AY257&lt;141,1,0),0)</f>
        <v>0</v>
      </c>
      <c r="BU257" s="242">
        <f>IF(AL251=3,0,IF(H257,G257,0))</f>
        <v>0</v>
      </c>
      <c r="BV257" s="238">
        <f>IF(BU257&gt;0,AJ257/3,0)</f>
        <v>0</v>
      </c>
      <c r="BW257" s="238">
        <f>ROUNDUP(BV257,0)</f>
        <v>0</v>
      </c>
      <c r="BX257" s="244">
        <f>IF(MOD(BW257,2)=0,BW257,BW257+1)</f>
        <v>0</v>
      </c>
      <c r="BY257" s="238">
        <f>IF(AJ257&lt;9,"",SUM(BX257-BW257))</f>
        <v>0</v>
      </c>
      <c r="BZ257" s="238">
        <f>IF(BY257=1,AK257,0)</f>
        <v>0</v>
      </c>
      <c r="CA257" s="243" t="str">
        <f>IF(BY257=0,AK257,0)</f>
        <v/>
      </c>
      <c r="CB257" s="238"/>
      <c r="CC257" s="238"/>
      <c r="CD257" s="242">
        <f>IF(AL251=3,0,IF(W257,V257,0))</f>
        <v>0</v>
      </c>
      <c r="CE257" s="238">
        <f>IF(CD257&gt;0,AX257/3,0)</f>
        <v>0</v>
      </c>
      <c r="CF257" s="238">
        <f>ROUNDUP(CE257,0)</f>
        <v>0</v>
      </c>
      <c r="CG257" s="244">
        <f>IF(MOD(CF257,2)=0,CF257,CF257+1)</f>
        <v>0</v>
      </c>
      <c r="CH257" s="238">
        <f>IF(AX257&lt;9,"",SUM(CG257-CF257))</f>
        <v>0</v>
      </c>
      <c r="CI257" s="238">
        <f>IF(CH257=1,AY257,0)</f>
        <v>0</v>
      </c>
      <c r="CJ257" s="243" t="str">
        <f>IF(CH257=0,AY257,0)</f>
        <v/>
      </c>
      <c r="CK257" s="238"/>
      <c r="CL257" s="245">
        <f>IF(COUNT(F257,H257)=1,0,1)</f>
        <v>1</v>
      </c>
      <c r="CM257" s="245">
        <f>IF(COUNT(F257,U257)=1,0,1)</f>
        <v>1</v>
      </c>
      <c r="CN257" s="245">
        <f>IF(COUNT(H257,W257)=1,0,1)</f>
        <v>1</v>
      </c>
      <c r="CO257" s="245">
        <f>IF(COUNT(G257,V257)=2,0,1)</f>
        <v>1</v>
      </c>
      <c r="CP257" s="245">
        <f>IF(COUNT(U257,W257)=1,0,1)</f>
        <v>1</v>
      </c>
      <c r="CQ257" s="245">
        <f>IF(SUM(G257-V257)&gt;3,1,0)</f>
        <v>0</v>
      </c>
      <c r="CR257" s="245">
        <f>IF(SUM(G257-V257)&lt;-3,1,0)</f>
        <v>0</v>
      </c>
      <c r="CS257" s="264">
        <f>IF(AJ257=9,IF(AH257&lt;141,1,0),IF(AH257="",0,IF(AH257&gt;1,0,1)))</f>
        <v>0</v>
      </c>
      <c r="CT257" s="264">
        <f>IF(AX257=9,IF(AV257&lt;141,1,0),IF(AV257="",0,IF(AV257&gt;1,0,1)))</f>
        <v>0</v>
      </c>
      <c r="CU257" s="264">
        <f>IF(AI257="",0,IF(AI257&lt;502,0,1))</f>
        <v>0</v>
      </c>
      <c r="CV257" s="264">
        <f>IF(AW257="",0,IF(AW257&lt;502,0,1))</f>
        <v>0</v>
      </c>
      <c r="CW257" s="264">
        <f>IF(AI257="",IF(AJ257&lt;9,1,0),IF(AJ257&lt;9,1,0))</f>
        <v>0</v>
      </c>
      <c r="CX257" s="264">
        <f>IF(AW257="",IF(AX257&lt;9,1,0),IF(AX257&lt;9,1,0))</f>
        <v>0</v>
      </c>
      <c r="CY257" s="374"/>
      <c r="CZ257" s="374"/>
      <c r="DA257" s="374"/>
      <c r="DB257" s="374"/>
      <c r="DC257" s="265">
        <f>IF(AJ257="",0,SUM(CL257:CX257))</f>
        <v>0</v>
      </c>
      <c r="DD257" s="265">
        <f>IF(AJ257="",0,SUM(CL257,CS257,CU257,CW257))</f>
        <v>0</v>
      </c>
      <c r="DE257" s="265">
        <f>IF(AJ257="",0,SUM(CP257,CT257,CV257,CX257))</f>
        <v>0</v>
      </c>
      <c r="DF257" s="238"/>
      <c r="DG257" s="248">
        <f>IF(AL251=3,0,SUM(G257-V257))</f>
        <v>0</v>
      </c>
      <c r="DH257" s="245">
        <f>IF(F257="",0,1)</f>
        <v>0</v>
      </c>
      <c r="DI257" s="245">
        <f t="shared" si="620"/>
        <v>0</v>
      </c>
      <c r="DJ257" s="245">
        <f t="shared" si="621"/>
        <v>0</v>
      </c>
      <c r="DK257" s="245" t="str">
        <f>IF(G257="","",IF(DJ257=1,"*",""))</f>
        <v/>
      </c>
      <c r="DL257" s="245" t="str">
        <f>IF(AL251=3,"",IF(G257="","",IF(DJ257=-1,"*",IF(DJ257=0,"*",""))))</f>
        <v/>
      </c>
      <c r="DM257" s="245">
        <v>4</v>
      </c>
      <c r="DN257" s="245" t="str">
        <f t="shared" si="622"/>
        <v>4</v>
      </c>
      <c r="DO257" s="245" t="str">
        <f t="shared" si="623"/>
        <v>4</v>
      </c>
      <c r="DP257" s="245">
        <f>SUM(DQ254)</f>
        <v>0</v>
      </c>
      <c r="DQ257" s="245">
        <f>SUM(DP254)</f>
        <v>0</v>
      </c>
      <c r="DR257" s="245">
        <f t="shared" si="630"/>
        <v>0</v>
      </c>
      <c r="DS257" s="245">
        <f t="shared" si="631"/>
        <v>0</v>
      </c>
      <c r="DT257" s="245">
        <f t="shared" si="632"/>
        <v>0</v>
      </c>
      <c r="DU257" s="245">
        <f>IF(V257="",0,IF(DQ257=DS257,0,1))</f>
        <v>0</v>
      </c>
      <c r="DV257" s="267">
        <f t="shared" si="633"/>
        <v>0</v>
      </c>
      <c r="DW257" s="267">
        <f>IF(V257="",0,SUM(DU257))</f>
        <v>0</v>
      </c>
      <c r="DX257" s="238">
        <f>IF(AK257="",0,1)</f>
        <v>0</v>
      </c>
      <c r="DY257" s="238">
        <f>IF(DG257=-3,1,0)</f>
        <v>0</v>
      </c>
      <c r="DZ257" s="238">
        <f>SUM(DX257:DY257)</f>
        <v>0</v>
      </c>
      <c r="EA257" s="238">
        <f>IF(AK257="",1,0)</f>
        <v>1</v>
      </c>
      <c r="EB257" s="238">
        <f>IF(DG257=3,1,0)</f>
        <v>0</v>
      </c>
      <c r="EC257" s="238">
        <f>SUM(EA257:EB257)</f>
        <v>1</v>
      </c>
      <c r="ED257" s="267">
        <f>IF(EC257=2,1,0)</f>
        <v>0</v>
      </c>
      <c r="EE257" s="267">
        <f>IF(DZ257=2,1,0)</f>
        <v>0</v>
      </c>
      <c r="EG257" s="166"/>
      <c r="EH257" s="238"/>
      <c r="EI257" s="238"/>
      <c r="EJ257" s="238"/>
      <c r="EK257" s="238"/>
      <c r="EL257" s="238"/>
      <c r="EM257" s="245">
        <f>IF(AK257="",0,1)</f>
        <v>0</v>
      </c>
      <c r="EN257" s="245">
        <f>SUM(AK257)</f>
        <v>0</v>
      </c>
      <c r="EO257" s="268">
        <f>SUM(AJ257)</f>
        <v>0</v>
      </c>
      <c r="EP257" s="268">
        <f>SUM(G257/3)</f>
        <v>0</v>
      </c>
      <c r="EQ257" s="268" t="e">
        <f>SUM(EO257/EP257)</f>
        <v>#DIV/0!</v>
      </c>
      <c r="ER257" s="268">
        <f>ROUNDDOWN(EP257,0)</f>
        <v>0</v>
      </c>
      <c r="ES257" s="268">
        <f>SUM(EO257,-ER257*3)</f>
        <v>0</v>
      </c>
      <c r="ET257" s="269" t="b">
        <f>MOD(EN257/1,2)=0</f>
        <v>1</v>
      </c>
      <c r="EU257" s="245">
        <f>IF(ET257=FALSE,1,0)</f>
        <v>0</v>
      </c>
      <c r="EV257" s="245">
        <f>IF(EN257=50,0,IF(EN257&lt;40,1,0))</f>
        <v>1</v>
      </c>
      <c r="EW257" s="245">
        <f>SUM(EU257:EV257)</f>
        <v>1</v>
      </c>
      <c r="EX257" s="267">
        <f>IF(EN257=1,1,IF(EN257=50,0,IF(ES257=1,IF(EN257&gt;40,1,0),0)))</f>
        <v>0</v>
      </c>
      <c r="EY257" s="267">
        <f>IF(ES257=1,IF(EW257=2,1,0),0)+EX257+FB257+FE257</f>
        <v>0</v>
      </c>
      <c r="EZ257" s="245">
        <f>IF(EN257=109,1,IF(EN257=108,1,IF(EN257=106,1,IF(EN257=105,1,IF(EN257=103,1,IF(EN257=102,1,IF(EN257=99,1,0)))))))</f>
        <v>0</v>
      </c>
      <c r="FA257" s="245">
        <f>IF(EN257&gt;110,1,0)</f>
        <v>0</v>
      </c>
      <c r="FB257" s="267">
        <f>IF(ES257=2,SUM(EZ257:FA257),0)</f>
        <v>0</v>
      </c>
      <c r="FC257" s="245">
        <f>IF(EN257=159,1,IF(EN257=162,1,IF(EN257=163,1,IF(EN257=165,1,IF(EN257=166,1,IF(EN257=168,1,IF(EN257=169,1,0)))))))</f>
        <v>0</v>
      </c>
      <c r="FD257" s="245">
        <f>IF(EN257&gt;170,1,0)</f>
        <v>0</v>
      </c>
      <c r="FE257" s="267">
        <f>IF(ES257=0,SUM(FC257:FD257),0)</f>
        <v>0</v>
      </c>
      <c r="FF257" s="251">
        <f t="shared" si="624"/>
        <v>0</v>
      </c>
      <c r="FG257" s="238"/>
      <c r="FH257" s="245">
        <f>IF(AY257="",0,1)</f>
        <v>0</v>
      </c>
      <c r="FI257" s="245">
        <f>SUM(AY257)</f>
        <v>0</v>
      </c>
      <c r="FJ257" s="268">
        <f>SUM(AX257)</f>
        <v>0</v>
      </c>
      <c r="FK257" s="268">
        <f>SUM(V257/3)</f>
        <v>0</v>
      </c>
      <c r="FL257" s="268" t="e">
        <f>SUM(FJ257/FK257)</f>
        <v>#DIV/0!</v>
      </c>
      <c r="FM257" s="268">
        <f>ROUNDDOWN(FK257,0)</f>
        <v>0</v>
      </c>
      <c r="FN257" s="268">
        <f>SUM(FJ257,-FM257*3)</f>
        <v>0</v>
      </c>
      <c r="FO257" s="269" t="b">
        <f>MOD(FI257/1,2)=0</f>
        <v>1</v>
      </c>
      <c r="FP257" s="245">
        <f>IF(FO257=FALSE,1,0)</f>
        <v>0</v>
      </c>
      <c r="FQ257" s="245">
        <f>IF(FI257=50,0,IF(FI257&lt;40,1,0))</f>
        <v>1</v>
      </c>
      <c r="FR257" s="245">
        <f>SUM(FP257:FQ257)</f>
        <v>1</v>
      </c>
      <c r="FS257" s="267">
        <f>IF(FI257=1,1,IF(FI257=50,0,IF(FN257=1,IF(FI257&gt;40,1,0),0)))</f>
        <v>0</v>
      </c>
      <c r="FT257" s="267">
        <f>IF(FN257=1,IF(FR257=2,1,0),0)+FS257+FW257+FZ257</f>
        <v>0</v>
      </c>
      <c r="FU257" s="245">
        <f>IF(FI257=109,1,IF(FI257=108,1,IF(FI257=106,1,IF(FI257=105,1,IF(FI257=103,1,IF(FI257=102,1,IF(FI257=99,1,0)))))))</f>
        <v>0</v>
      </c>
      <c r="FV257" s="245">
        <f>IF(FI257&gt;110,1,0)</f>
        <v>0</v>
      </c>
      <c r="FW257" s="267">
        <f>IF(FN257=2,SUM(FU257:FV257),0)</f>
        <v>0</v>
      </c>
      <c r="FX257" s="245">
        <f>IF(FI257=159,1,IF(FI257=162,1,IF(FI257=163,1,IF(FI257=165,1,IF(FI257=166,1,IF(FI257=168,1,IF(FI257=169,1,0)))))))</f>
        <v>0</v>
      </c>
      <c r="FY257" s="245">
        <f>IF(FI257&gt;170,1,0)</f>
        <v>0</v>
      </c>
      <c r="FZ257" s="267">
        <f>IF(FN257=0,SUM(FX257:FY257),0)</f>
        <v>0</v>
      </c>
      <c r="GA257" s="251">
        <f t="shared" si="625"/>
        <v>0</v>
      </c>
      <c r="GC257" s="238" t="str">
        <f>VLOOKUP(AH251,Chema!BL:BR,4,FALSE)</f>
        <v>GS 2.6</v>
      </c>
      <c r="GD257" s="341">
        <f>IF(T261="FORFAIT",1,0)</f>
        <v>0</v>
      </c>
      <c r="GE257" s="343" t="str">
        <f>IF(R261="","",SUM(R261))</f>
        <v/>
      </c>
      <c r="GF257" s="344">
        <f>SUM(AV254)</f>
        <v>0</v>
      </c>
      <c r="GG257" s="344">
        <f>SUM(AX254)</f>
        <v>0</v>
      </c>
      <c r="GH257" s="344">
        <f t="shared" ref="GH257" si="634">SUM(AY254)</f>
        <v>0</v>
      </c>
      <c r="GI257" s="344">
        <f t="shared" ref="GI257" si="635">SUM(AZ254)</f>
        <v>0</v>
      </c>
      <c r="GJ257" s="344">
        <f>SUM(AV255)</f>
        <v>0</v>
      </c>
      <c r="GK257" s="344">
        <f>SUM(AX255)</f>
        <v>0</v>
      </c>
      <c r="GL257" s="344">
        <f>SUM(AY255)</f>
        <v>0</v>
      </c>
      <c r="GM257" s="344">
        <f>SUM(AZ255)</f>
        <v>0</v>
      </c>
      <c r="GN257" s="344">
        <f>SUM(AV256)</f>
        <v>0</v>
      </c>
      <c r="GO257" s="344">
        <f>SUM(AX256)</f>
        <v>0</v>
      </c>
      <c r="GP257" s="344">
        <f>SUM(AY256)</f>
        <v>0</v>
      </c>
      <c r="GQ257" s="344">
        <f>SUM(AZ256)</f>
        <v>0</v>
      </c>
      <c r="GR257" s="344">
        <f>SUM(AV257)</f>
        <v>0</v>
      </c>
      <c r="GS257" s="344">
        <f>SUM(AX257)</f>
        <v>0</v>
      </c>
      <c r="GT257" s="344">
        <f>SUM(AY257)</f>
        <v>0</v>
      </c>
      <c r="GU257" s="344">
        <f>SUM(AZ257)</f>
        <v>0</v>
      </c>
      <c r="GV257" s="344">
        <f>SUM(AV258)</f>
        <v>0</v>
      </c>
      <c r="GW257" s="344">
        <f>SUM(AX258)</f>
        <v>0</v>
      </c>
      <c r="GX257" s="344">
        <f>SUM(AY258)</f>
        <v>0</v>
      </c>
      <c r="GY257" s="344">
        <f>SUM(AZ258)</f>
        <v>0</v>
      </c>
      <c r="GZ257" s="344">
        <f>SUM(GF257,GJ257,GN257,GR257,GV257)</f>
        <v>0</v>
      </c>
      <c r="HA257" s="344">
        <f t="shared" ref="HA257" si="636">SUM(GG257,GK257,GO257,GS257,GW257)</f>
        <v>0</v>
      </c>
      <c r="HB257" s="344">
        <f>IF(GD254=1,P261,MAX(GH257,GL257,GP257,GT257,GX257))</f>
        <v>0</v>
      </c>
      <c r="HC257" s="344">
        <f>IF(GD254=1,X261,SUM(GI257,GM257,GQ257,GU257,GY257))</f>
        <v>0</v>
      </c>
      <c r="HD257" s="345">
        <f>IF(GD254=1,0,SUM(GF257,GJ257,GN257,GR257,GV257))</f>
        <v>0</v>
      </c>
      <c r="HE257" s="345">
        <f>IF(GD254=1,0,SUM(GG257,GK257,GO257,GS257,GW257))</f>
        <v>0</v>
      </c>
      <c r="HF257" s="341">
        <f>IF(GD254=1,0,MIN(HI257,HJ257,HK257,HL257,HM257))</f>
        <v>0</v>
      </c>
      <c r="HG257" s="341">
        <f>IF(HF257=0,0,COUNTIF(HI257:HM257,HF257))</f>
        <v>0</v>
      </c>
      <c r="HH257" s="341">
        <f>SUM(GH258,GL258,GP258,GT258,GX258)</f>
        <v>0</v>
      </c>
      <c r="HI257" s="343" t="str">
        <f>IF(GH258=1,GG257,"")</f>
        <v/>
      </c>
      <c r="HJ257" s="343" t="str">
        <f>IF(GL258=1,GK257,"")</f>
        <v/>
      </c>
      <c r="HK257" s="343" t="str">
        <f>IF(GP258=1,GO257,"")</f>
        <v/>
      </c>
      <c r="HL257" s="343" t="str">
        <f>IF(GT258=1,GS257,"")</f>
        <v/>
      </c>
      <c r="HM257" s="343" t="str">
        <f>IF(GX258=1,GW257,"")</f>
        <v/>
      </c>
      <c r="HN257" s="341"/>
      <c r="HO257" s="341"/>
      <c r="HP257" s="341"/>
      <c r="HQ257" s="341"/>
      <c r="HR257" s="341"/>
      <c r="HS257" s="238"/>
      <c r="HT257" s="238"/>
      <c r="HU257" s="238"/>
      <c r="HV257" s="238"/>
      <c r="HW257" s="238" t="str">
        <f>IFERROR(IF(GD254=0,SUM(IB256:IC256),""),"")</f>
        <v/>
      </c>
      <c r="HY257" s="238"/>
      <c r="ID257" s="238"/>
    </row>
    <row r="258" spans="1:238" s="234" customFormat="1" ht="20.100000000000001" customHeight="1">
      <c r="A258" s="235"/>
      <c r="B258" s="231">
        <f>COUNT(AJ259,AJ258)</f>
        <v>1</v>
      </c>
      <c r="C258" s="235"/>
      <c r="D258" s="271" t="str">
        <f>REPT(DN258,1)</f>
        <v>5</v>
      </c>
      <c r="E258" s="254" t="str">
        <f>REPT(AH258,1)</f>
        <v/>
      </c>
      <c r="F258" s="168"/>
      <c r="G258" s="168"/>
      <c r="H258" s="168"/>
      <c r="I258" s="169"/>
      <c r="J258" s="272" t="str">
        <f>REPT(AM258,1)</f>
        <v/>
      </c>
      <c r="L258" s="310"/>
      <c r="M258" s="310"/>
      <c r="N258" s="272" t="str">
        <f>REPT(AP258,1)</f>
        <v/>
      </c>
      <c r="O258" s="118"/>
      <c r="Q258" s="310"/>
      <c r="R258" s="235"/>
      <c r="S258" s="271" t="str">
        <f>REPT(DO258,1)</f>
        <v>5</v>
      </c>
      <c r="T258" s="254" t="str">
        <f>REPT(AV258,1)</f>
        <v/>
      </c>
      <c r="U258" s="168"/>
      <c r="V258" s="168"/>
      <c r="W258" s="168"/>
      <c r="X258" s="169"/>
      <c r="Y258" s="272" t="str">
        <f>REPT(BA258,1)</f>
        <v/>
      </c>
      <c r="Z258" s="308"/>
      <c r="AA258" s="238">
        <f>SUM(AL251)</f>
        <v>5</v>
      </c>
      <c r="AB258" s="234">
        <f>IF(AY258="",0,IF(AY258&lt;2,1,""))</f>
        <v>0</v>
      </c>
      <c r="AC258" s="238">
        <f>IF(AL251=3,0,IF(AD258=1,1,IF(AD258=3,1,IF(AD258=2,0,IF(AD258=0,0,0)))))</f>
        <v>0</v>
      </c>
      <c r="AD258" s="256">
        <f t="shared" si="614"/>
        <v>0</v>
      </c>
      <c r="AE258" s="256">
        <f t="shared" si="608"/>
        <v>0</v>
      </c>
      <c r="AF258" s="256">
        <f t="shared" si="609"/>
        <v>0</v>
      </c>
      <c r="AG258" s="256">
        <f t="shared" si="615"/>
        <v>0</v>
      </c>
      <c r="AH258" s="257" t="str">
        <f>IF(AL251=3,"",IF(AK258="",IF(AI258="","",IF(AI258="",501,501-AI258)),501))</f>
        <v/>
      </c>
      <c r="AI258" s="256" t="str">
        <f>IF(AL251=3,"",IF(F258&gt;1,F258,IF(F258=0,"",IF(F258="","",""))))</f>
        <v/>
      </c>
      <c r="AJ258" s="256" t="str">
        <f>IF(AL251=3,"",IF(G258&gt;8,G258,IF(G258="","","")))</f>
        <v/>
      </c>
      <c r="AK258" s="256" t="str">
        <f>IF(AL251=3,"",IF(H258&gt;1,H258,IF(H258="","","")))</f>
        <v/>
      </c>
      <c r="AL258" s="256" t="str">
        <f>IF(AL251=3,"",IF(I258&gt;0,I258,IF(I258="","","")))</f>
        <v/>
      </c>
      <c r="AM258" s="258" t="str">
        <f>IF(BK258=0,"","X")</f>
        <v/>
      </c>
      <c r="AN258" s="237"/>
      <c r="AO258" s="237"/>
      <c r="AP258" s="258" t="str">
        <f>IF(BM258=0,"","X")</f>
        <v/>
      </c>
      <c r="AQ258" s="236">
        <f>IF(AL251=3,0,IF(AR258=1,1,IF(AR258=3,1,IF(AR258=2,0,IF(AR258=0,0,0)))))</f>
        <v>0</v>
      </c>
      <c r="AR258" s="256">
        <f t="shared" si="617"/>
        <v>0</v>
      </c>
      <c r="AS258" s="256">
        <f t="shared" si="610"/>
        <v>0</v>
      </c>
      <c r="AT258" s="256">
        <f t="shared" si="611"/>
        <v>0</v>
      </c>
      <c r="AU258" s="256">
        <f t="shared" si="618"/>
        <v>0</v>
      </c>
      <c r="AV258" s="257" t="str">
        <f>IF(AY258="",IF(AW258="","",IF(AW258="",501,501-AW258)),501)</f>
        <v/>
      </c>
      <c r="AW258" s="256" t="str">
        <f>IF(AL251=3,"",IF(U258&gt;1,U258,IF(U258=0,"",IF(U258="","",""))))</f>
        <v/>
      </c>
      <c r="AX258" s="256" t="str">
        <f>IF(AL251=3,"",IF(V258&gt;8,V258,IF(V258="","","")))</f>
        <v/>
      </c>
      <c r="AY258" s="256" t="str">
        <f>IF(AL251=3,"",IF(W258&gt;1,W258,IF(W258="","","")))</f>
        <v/>
      </c>
      <c r="AZ258" s="256" t="str">
        <f>IF(AL251=3,"",IF(X258&gt;0,X258,IF(X258="","","")))</f>
        <v/>
      </c>
      <c r="BA258" s="258" t="str">
        <f>IF(BL258=0,"","X")</f>
        <v/>
      </c>
      <c r="BK258" s="251">
        <f>IF(AL251=3,0,SUM(DD258,DV258,EY258,ED258,FF258,BQ258,BS258,AC258))</f>
        <v>0</v>
      </c>
      <c r="BL258" s="251">
        <f>SUM(DE258,DW258,EE258,FT258,GA258,BR258,BT258,AQ258)</f>
        <v>0</v>
      </c>
      <c r="BM258" s="259">
        <f>IF(AL251=3,0,SUM(DC258,BK258:BL258,AC258,AQ258))</f>
        <v>0</v>
      </c>
      <c r="BN258" s="239">
        <f>COUNT(AK258)</f>
        <v>0</v>
      </c>
      <c r="BO258" s="239">
        <f>COUNT(AY258)</f>
        <v>0</v>
      </c>
      <c r="BP258" s="239">
        <f>IF(BN260=0,0,1)</f>
        <v>0</v>
      </c>
      <c r="BQ258" s="260">
        <f>IF(AL258="",0,IF(AL258&gt;2,1,0))</f>
        <v>0</v>
      </c>
      <c r="BR258" s="261">
        <f>IF(AZ258="",0,IF(AZ258&gt;2,1,0))</f>
        <v>0</v>
      </c>
      <c r="BS258" s="262">
        <f>IF(AJ258=9,IF(AK258&lt;141,1,0),0)</f>
        <v>0</v>
      </c>
      <c r="BT258" s="263">
        <f>IF(AX258=9,IF(AY258&lt;141,1,0),0)</f>
        <v>0</v>
      </c>
      <c r="BU258" s="242">
        <f>IF(AL251=3,0,IF(H258,G258,0))</f>
        <v>0</v>
      </c>
      <c r="BV258" s="238">
        <f>IF(BU258&gt;0,AJ258/3,0)</f>
        <v>0</v>
      </c>
      <c r="BW258" s="238">
        <f>ROUNDUP(BV258,0)</f>
        <v>0</v>
      </c>
      <c r="BX258" s="244">
        <f>IF(MOD(BW258,2)=0,BW258,BW258+1)</f>
        <v>0</v>
      </c>
      <c r="BY258" s="238">
        <f>IF(AJ258&lt;9,"",SUM(BX258-BW258))</f>
        <v>0</v>
      </c>
      <c r="BZ258" s="238">
        <f>IF(BY258=1,AK258,0)</f>
        <v>0</v>
      </c>
      <c r="CA258" s="243" t="str">
        <f>IF(BY258=0,AK258,0)</f>
        <v/>
      </c>
      <c r="CB258" s="238"/>
      <c r="CC258" s="238"/>
      <c r="CD258" s="242">
        <f>IF(AL251=3,0,IF(W258,V258,0))</f>
        <v>0</v>
      </c>
      <c r="CE258" s="238">
        <f>IF(CD258&gt;0,AX258/3,0)</f>
        <v>0</v>
      </c>
      <c r="CF258" s="238">
        <f>ROUNDUP(CE258,0)</f>
        <v>0</v>
      </c>
      <c r="CG258" s="244">
        <f>IF(MOD(CF258,2)=0,CF258,CF258+1)</f>
        <v>0</v>
      </c>
      <c r="CH258" s="238">
        <f>IF(AX258&lt;9,"",SUM(CG258-CF258))</f>
        <v>0</v>
      </c>
      <c r="CI258" s="238">
        <f>IF(CH258=1,AY258,0)</f>
        <v>0</v>
      </c>
      <c r="CJ258" s="243" t="str">
        <f>IF(CH258=0,AY258,0)</f>
        <v/>
      </c>
      <c r="CK258" s="238"/>
      <c r="CL258" s="245">
        <f>IF(COUNT(F258,H258)=1,0,1)</f>
        <v>1</v>
      </c>
      <c r="CM258" s="245">
        <f>IF(COUNT(F258,U258)=1,0,1)</f>
        <v>1</v>
      </c>
      <c r="CN258" s="245">
        <f>IF(COUNT(H258,W258)=1,0,1)</f>
        <v>1</v>
      </c>
      <c r="CO258" s="245">
        <f>IF(COUNT(G258,V258)=2,0,1)</f>
        <v>1</v>
      </c>
      <c r="CP258" s="245">
        <f>IF(COUNT(U258,W258)=1,0,1)</f>
        <v>1</v>
      </c>
      <c r="CQ258" s="245">
        <f>IF(SUM(G258-V258)&gt;3,1,0)</f>
        <v>0</v>
      </c>
      <c r="CR258" s="245">
        <f>IF(SUM(G258-V258)&lt;-3,1,0)</f>
        <v>0</v>
      </c>
      <c r="CS258" s="264">
        <f>IF(AJ258=9,IF(AH258&lt;141,1,0),IF(AH258="",0,IF(AH258&gt;1,0,1)))</f>
        <v>0</v>
      </c>
      <c r="CT258" s="264">
        <f>IF(AX258=9,IF(AV258&lt;141,1,0),IF(AV258="",0,IF(AV258&gt;1,0,1)))</f>
        <v>0</v>
      </c>
      <c r="CU258" s="264">
        <f>IF(AI258="",0,IF(AI258&lt;502,0,1))</f>
        <v>0</v>
      </c>
      <c r="CV258" s="264">
        <f>IF(AW258="",0,IF(AW258&lt;502,0,1))</f>
        <v>0</v>
      </c>
      <c r="CW258" s="264">
        <f>IF(AI258="",IF(AJ258&lt;9,1,0),IF(AJ258&lt;9,1,0))</f>
        <v>0</v>
      </c>
      <c r="CX258" s="264">
        <f>IF(AW258="",IF(AX258&lt;9,1,0),IF(AX258&lt;9,1,0))</f>
        <v>0</v>
      </c>
      <c r="CY258" s="374"/>
      <c r="CZ258" s="374"/>
      <c r="DA258" s="374"/>
      <c r="DB258" s="374"/>
      <c r="DC258" s="265">
        <f>IF(AJ258="",0,SUM(CL258:CX258))</f>
        <v>0</v>
      </c>
      <c r="DD258" s="265">
        <f>IF(AJ258="",0,SUM(CL258,CS258,CU258,CW258))</f>
        <v>0</v>
      </c>
      <c r="DE258" s="265">
        <f>IF(AJ258="",0,SUM(CP258,CT258,CV258,CX258))</f>
        <v>0</v>
      </c>
      <c r="DF258" s="238"/>
      <c r="DG258" s="248">
        <f>IF(AL251=3,0,SUM(G258-V258))</f>
        <v>0</v>
      </c>
      <c r="DH258" s="245">
        <f>IF(F258="",0,1)</f>
        <v>0</v>
      </c>
      <c r="DI258" s="245">
        <f t="shared" si="620"/>
        <v>0</v>
      </c>
      <c r="DJ258" s="245">
        <f t="shared" si="621"/>
        <v>0</v>
      </c>
      <c r="DK258" s="245" t="str">
        <f>IF(G258="","",IF(DJ258=1,"*",""))</f>
        <v/>
      </c>
      <c r="DL258" s="245" t="str">
        <f>IF(AL251=3,"",IF(G258="","",IF(DJ258=-1,"*",IF(DJ258=0,"*",""))))</f>
        <v/>
      </c>
      <c r="DM258" s="245">
        <v>5</v>
      </c>
      <c r="DN258" s="245" t="str">
        <f t="shared" si="622"/>
        <v>5</v>
      </c>
      <c r="DO258" s="245" t="str">
        <f t="shared" si="623"/>
        <v>5</v>
      </c>
      <c r="DP258" s="245">
        <f>SUM(DP254)</f>
        <v>0</v>
      </c>
      <c r="DQ258" s="245">
        <f>SUM(DQ254)</f>
        <v>0</v>
      </c>
      <c r="DR258" s="245">
        <f t="shared" si="630"/>
        <v>0</v>
      </c>
      <c r="DS258" s="245">
        <f t="shared" si="631"/>
        <v>0</v>
      </c>
      <c r="DT258" s="245">
        <f t="shared" si="632"/>
        <v>0</v>
      </c>
      <c r="DU258" s="245">
        <f>IF(V258="",0,IF(DQ258=DS258,0,1))</f>
        <v>0</v>
      </c>
      <c r="DV258" s="267">
        <f t="shared" si="633"/>
        <v>0</v>
      </c>
      <c r="DW258" s="267">
        <f>IF(V258="",0,SUM(DU258))</f>
        <v>0</v>
      </c>
      <c r="DX258" s="238">
        <f>IF(AK258="",0,1)</f>
        <v>0</v>
      </c>
      <c r="DY258" s="238">
        <f>IF(DG258=-3,1,0)</f>
        <v>0</v>
      </c>
      <c r="DZ258" s="238">
        <f>SUM(DX258:DY258)</f>
        <v>0</v>
      </c>
      <c r="EA258" s="238">
        <f>IF(AK258="",1,0)</f>
        <v>1</v>
      </c>
      <c r="EB258" s="238">
        <f>IF(DG258=3,1,0)</f>
        <v>0</v>
      </c>
      <c r="EC258" s="238">
        <f>SUM(EA258:EB258)</f>
        <v>1</v>
      </c>
      <c r="ED258" s="267">
        <f>IF(EC258=2,1,0)</f>
        <v>0</v>
      </c>
      <c r="EE258" s="267">
        <f>IF(DZ258=2,1,0)</f>
        <v>0</v>
      </c>
      <c r="EG258" s="166"/>
      <c r="EH258" s="238"/>
      <c r="EI258" s="238"/>
      <c r="EJ258" s="238"/>
      <c r="EK258" s="238"/>
      <c r="EL258" s="238"/>
      <c r="EM258" s="245">
        <f>IF(AK258="",0,1)</f>
        <v>0</v>
      </c>
      <c r="EN258" s="245">
        <f>SUM(AK258)</f>
        <v>0</v>
      </c>
      <c r="EO258" s="268">
        <f>SUM(AJ258)</f>
        <v>0</v>
      </c>
      <c r="EP258" s="268">
        <f>SUM(G258/3)</f>
        <v>0</v>
      </c>
      <c r="EQ258" s="268" t="e">
        <f>SUM(EO258/EP258)</f>
        <v>#DIV/0!</v>
      </c>
      <c r="ER258" s="268">
        <f>ROUNDDOWN(EP258,0)</f>
        <v>0</v>
      </c>
      <c r="ES258" s="268">
        <f>SUM(EO258,-ER258*3)</f>
        <v>0</v>
      </c>
      <c r="ET258" s="269" t="b">
        <f>MOD(EN258/1,2)=0</f>
        <v>1</v>
      </c>
      <c r="EU258" s="245">
        <f>IF(ET258=FALSE,1,0)</f>
        <v>0</v>
      </c>
      <c r="EV258" s="245">
        <f>IF(EN258=50,0,IF(EN258&lt;40,1,0))</f>
        <v>1</v>
      </c>
      <c r="EW258" s="245">
        <f>SUM(EU258:EV258)</f>
        <v>1</v>
      </c>
      <c r="EX258" s="267">
        <f>IF(EN258=1,1,IF(EN258=50,0,IF(ES258=1,IF(EN258&gt;40,1,0),0)))</f>
        <v>0</v>
      </c>
      <c r="EY258" s="267">
        <f>IF(ES258=1,IF(EW258=2,1,0),0)+EX258+FB258+FE258</f>
        <v>0</v>
      </c>
      <c r="EZ258" s="245">
        <f>IF(EN258=109,1,IF(EN258=108,1,IF(EN258=106,1,IF(EN258=105,1,IF(EN258=103,1,IF(EN258=102,1,IF(EN258=99,1,0)))))))</f>
        <v>0</v>
      </c>
      <c r="FA258" s="245">
        <f>IF(EN258&gt;110,1,0)</f>
        <v>0</v>
      </c>
      <c r="FB258" s="267">
        <f>IF(ES258=2,SUM(EZ258:FA258),0)</f>
        <v>0</v>
      </c>
      <c r="FC258" s="245">
        <f>IF(EN258=159,1,IF(EN258=162,1,IF(EN258=163,1,IF(EN258=165,1,IF(EN258=166,1,IF(EN258=168,1,IF(EN258=169,1,0)))))))</f>
        <v>0</v>
      </c>
      <c r="FD258" s="245">
        <f>IF(EN258&gt;170,1,0)</f>
        <v>0</v>
      </c>
      <c r="FE258" s="267">
        <f>IF(ES258=0,SUM(FC258:FD258),0)</f>
        <v>0</v>
      </c>
      <c r="FF258" s="251">
        <f t="shared" si="624"/>
        <v>0</v>
      </c>
      <c r="FG258" s="238"/>
      <c r="FH258" s="245">
        <f>IF(AY258="",0,1)</f>
        <v>0</v>
      </c>
      <c r="FI258" s="245">
        <f>SUM(AY258)</f>
        <v>0</v>
      </c>
      <c r="FJ258" s="268">
        <f>SUM(AX258)</f>
        <v>0</v>
      </c>
      <c r="FK258" s="268">
        <f>SUM(V258/3)</f>
        <v>0</v>
      </c>
      <c r="FL258" s="268" t="e">
        <f>SUM(FJ258/FK258)</f>
        <v>#DIV/0!</v>
      </c>
      <c r="FM258" s="268">
        <f>ROUNDDOWN(FK258,0)</f>
        <v>0</v>
      </c>
      <c r="FN258" s="268">
        <f>SUM(FJ258,-FM258*3)</f>
        <v>0</v>
      </c>
      <c r="FO258" s="269" t="b">
        <f>MOD(FI258/1,2)=0</f>
        <v>1</v>
      </c>
      <c r="FP258" s="245">
        <f>IF(FO258=FALSE,1,0)</f>
        <v>0</v>
      </c>
      <c r="FQ258" s="245">
        <f>IF(FI258=50,0,IF(FI258&lt;40,1,0))</f>
        <v>1</v>
      </c>
      <c r="FR258" s="245">
        <f>SUM(FP258:FQ258)</f>
        <v>1</v>
      </c>
      <c r="FS258" s="267">
        <f>IF(FI258=1,1,IF(FI258=50,0,IF(FN258=1,IF(FI258&gt;40,1,0),0)))</f>
        <v>0</v>
      </c>
      <c r="FT258" s="267">
        <f>IF(FN258=1,IF(FR258=2,1,0),0)+FS258+FW258+FZ258</f>
        <v>0</v>
      </c>
      <c r="FU258" s="245">
        <f>IF(FI258=109,1,IF(FI258=108,1,IF(FI258=106,1,IF(FI258=105,1,IF(FI258=103,1,IF(FI258=102,1,IF(FI258=99,1,0)))))))</f>
        <v>0</v>
      </c>
      <c r="FV258" s="245">
        <f>IF(FI258&gt;110,1,0)</f>
        <v>0</v>
      </c>
      <c r="FW258" s="267">
        <f>IF(FN258=2,SUM(FU258:FV258),0)</f>
        <v>0</v>
      </c>
      <c r="FX258" s="245">
        <f>IF(FI258=159,1,IF(FI258=162,1,IF(FI258=163,1,IF(FI258=165,1,IF(FI258=166,1,IF(FI258=168,1,IF(FI258=169,1,0)))))))</f>
        <v>0</v>
      </c>
      <c r="FY258" s="245">
        <f>IF(FI258&gt;170,1,0)</f>
        <v>0</v>
      </c>
      <c r="FZ258" s="267">
        <f>IF(FN258=0,SUM(FX258:FY258),0)</f>
        <v>0</v>
      </c>
      <c r="GA258" s="251">
        <f t="shared" si="625"/>
        <v>0</v>
      </c>
      <c r="GC258" s="238" t="str">
        <f>VLOOKUP(AH251,Chema!BL:BR,5,FALSE)</f>
        <v/>
      </c>
      <c r="GD258" s="341"/>
      <c r="GE258" s="343" t="str">
        <f>IF(R262="","",SUM(R262))</f>
        <v/>
      </c>
      <c r="GF258" s="340"/>
      <c r="GG258" s="346"/>
      <c r="GH258" s="343">
        <f>IF(GH257&gt;0,1,0)</f>
        <v>0</v>
      </c>
      <c r="GI258" s="346"/>
      <c r="GJ258" s="343"/>
      <c r="GK258" s="346"/>
      <c r="GL258" s="343">
        <f>IF(GL257&gt;0,1,0)</f>
        <v>0</v>
      </c>
      <c r="GM258" s="343"/>
      <c r="GN258" s="343"/>
      <c r="GO258" s="346"/>
      <c r="GP258" s="343">
        <f>IF(GP257&gt;0,1,0)</f>
        <v>0</v>
      </c>
      <c r="GQ258" s="343"/>
      <c r="GR258" s="343"/>
      <c r="GS258" s="346"/>
      <c r="GT258" s="343">
        <f>IF(GT257&gt;0,1,0)</f>
        <v>0</v>
      </c>
      <c r="GU258" s="343"/>
      <c r="GV258" s="343"/>
      <c r="GW258" s="346"/>
      <c r="GX258" s="343">
        <f>IF(GX257&gt;0,1,0)</f>
        <v>0</v>
      </c>
      <c r="GY258" s="340"/>
      <c r="GZ258" s="343"/>
      <c r="HA258" s="343"/>
      <c r="HB258" s="343" t="str">
        <f>IF(GD254=1,P262,"")</f>
        <v/>
      </c>
      <c r="HC258" s="343" t="str">
        <f>IF(GD254=1,X262,"")</f>
        <v/>
      </c>
      <c r="HD258" s="340"/>
      <c r="HE258" s="340"/>
      <c r="HF258" s="340"/>
      <c r="HG258" s="340">
        <f>IF(HG256=HM254,0,IF(HG256=HM258,0,1))</f>
        <v>0</v>
      </c>
      <c r="HH258" s="340">
        <f>IF(HH255=HH257,1,0)</f>
        <v>1</v>
      </c>
      <c r="HI258" s="340"/>
      <c r="HJ258" s="340"/>
      <c r="HK258" s="340"/>
      <c r="HL258" s="340"/>
      <c r="HM258" s="341">
        <f>COUNT(HI257,HJ257,HK257,HL257,HM257)</f>
        <v>0</v>
      </c>
      <c r="HN258" s="341"/>
      <c r="HO258" s="341"/>
      <c r="HP258" s="341"/>
      <c r="HQ258" s="341"/>
      <c r="HR258" s="341"/>
      <c r="HS258" s="238"/>
      <c r="HT258" s="238"/>
      <c r="HU258" s="238"/>
      <c r="HV258" s="238"/>
      <c r="HX258" s="238"/>
      <c r="HY258" s="238"/>
      <c r="ID258" s="238"/>
    </row>
    <row r="259" spans="1:238" s="234" customFormat="1" ht="6.6" customHeight="1">
      <c r="A259" s="235"/>
      <c r="B259" s="231"/>
      <c r="C259" s="310"/>
      <c r="D259" s="310"/>
      <c r="E259" s="310"/>
      <c r="F259" s="310"/>
      <c r="G259" s="313"/>
      <c r="H259" s="310"/>
      <c r="I259" s="310"/>
      <c r="J259" s="273"/>
      <c r="K259" s="313"/>
      <c r="O259" s="118"/>
      <c r="R259" s="310"/>
      <c r="S259" s="310"/>
      <c r="T259" s="310"/>
      <c r="U259" s="310"/>
      <c r="V259" s="313"/>
      <c r="W259" s="310"/>
      <c r="X259" s="310"/>
      <c r="Y259" s="273"/>
      <c r="Z259" s="308"/>
      <c r="AA259" s="274"/>
      <c r="AD259" s="235"/>
      <c r="AE259" s="237">
        <f>IF(AF259=0,0,1)</f>
        <v>0</v>
      </c>
      <c r="AF259" s="237">
        <f>IF(AL259=0,0,SUM(AL261:AL262,-AL260))</f>
        <v>0</v>
      </c>
      <c r="AG259" s="237"/>
      <c r="AH259" s="275">
        <f>SUM(AH254,AH255,AH256,AH257,AH258)</f>
        <v>0</v>
      </c>
      <c r="AI259" s="275">
        <f t="shared" ref="AI259" si="637">SUM(AI254,AI255,AI256,AI257,AI258)</f>
        <v>0</v>
      </c>
      <c r="AJ259" s="275">
        <f t="shared" ref="AJ259" si="638">SUM(AJ254,AJ255,AJ256,AJ257,AJ258)</f>
        <v>0</v>
      </c>
      <c r="AK259" s="275">
        <f>MAX(AK254,AK255,AK256,AK257,AK258)</f>
        <v>0</v>
      </c>
      <c r="AL259" s="275">
        <f t="shared" ref="AL259" si="639">SUM(AL254,AL255,AL256,AL257,AL258)</f>
        <v>0</v>
      </c>
      <c r="AM259" s="275">
        <f>IF(AK251="D",SUM(AL254,AL255,AL256,AL257,AL258,-AL261,-AL262),0)</f>
        <v>0</v>
      </c>
      <c r="AN259" s="235"/>
      <c r="AO259" s="235"/>
      <c r="AP259" s="235"/>
      <c r="AQ259" s="235"/>
      <c r="AR259" s="235"/>
      <c r="AS259" s="237">
        <f>IF(AT259=0,0,1)</f>
        <v>0</v>
      </c>
      <c r="AT259" s="237">
        <f>IF(AZ259=0,0,SUM(AZ261:AZ262,-AZ260))</f>
        <v>0</v>
      </c>
      <c r="AU259" s="237"/>
      <c r="AV259" s="275">
        <f>SUM(AV254,AV255,AV256,AV257,AV258)</f>
        <v>0</v>
      </c>
      <c r="AW259" s="275">
        <f t="shared" ref="AW259" si="640">SUM(AW254,AW255,AW256,AW257,AW258)</f>
        <v>0</v>
      </c>
      <c r="AX259" s="275">
        <f t="shared" ref="AX259" si="641">SUM(AX254,AX255,AX256,AX257,AX258)</f>
        <v>0</v>
      </c>
      <c r="AY259" s="275">
        <f>MAX(AY254,AY255,AY256,AY257,AY258)</f>
        <v>0</v>
      </c>
      <c r="AZ259" s="275">
        <f t="shared" ref="AZ259" si="642">SUM(AZ254,AZ255,AZ256,AZ257,AZ258)</f>
        <v>0</v>
      </c>
      <c r="BA259" s="275">
        <f>IF(AK251="D",SUM(AZ254,AZ255,AZ256,AZ257,AZ258,-AZ261,-AZ262),0)</f>
        <v>0</v>
      </c>
      <c r="BJ259" s="236"/>
      <c r="BK259" s="238"/>
      <c r="BL259" s="238"/>
      <c r="BM259" s="238"/>
      <c r="BP259" s="238"/>
      <c r="BQ259" s="238"/>
      <c r="BR259" s="238"/>
      <c r="BS259" s="238"/>
      <c r="BT259" s="238"/>
      <c r="BU259" s="238"/>
      <c r="BY259" s="238"/>
      <c r="BZ259" s="238">
        <f>MAX(BZ254,BZ255,BZ256,BZ257,BZ258)</f>
        <v>0</v>
      </c>
      <c r="CA259" s="238">
        <f>MAX(CA254,CA255,CA256,CA257,CA258)</f>
        <v>0</v>
      </c>
      <c r="CB259" s="238"/>
      <c r="CC259" s="238"/>
      <c r="CD259" s="238"/>
      <c r="CG259" s="244"/>
      <c r="CH259" s="238"/>
      <c r="CI259" s="238">
        <f>MAX(CI254,CI255,CI256,CI257,CI258)</f>
        <v>0</v>
      </c>
      <c r="CJ259" s="238">
        <f>MAX(CJ254,CJ255,CJ256,CJ257,CJ258)</f>
        <v>0</v>
      </c>
      <c r="CK259" s="238"/>
      <c r="CL259" s="238"/>
      <c r="CM259" s="238"/>
      <c r="CN259" s="238"/>
      <c r="CO259" s="238"/>
      <c r="CP259" s="238"/>
      <c r="CQ259" s="238"/>
      <c r="CR259" s="238"/>
      <c r="CS259" s="238"/>
      <c r="CT259" s="238"/>
      <c r="CU259" s="238"/>
      <c r="CV259" s="238"/>
      <c r="CW259" s="238"/>
      <c r="CX259" s="238"/>
      <c r="CY259" s="238"/>
      <c r="CZ259" s="238"/>
      <c r="DA259" s="238"/>
      <c r="DB259" s="238"/>
      <c r="DC259" s="238"/>
      <c r="DD259" s="238"/>
      <c r="DE259" s="238"/>
      <c r="DF259" s="238"/>
      <c r="DG259" s="238"/>
      <c r="DH259" s="238"/>
      <c r="DI259" s="238"/>
      <c r="DJ259" s="238"/>
      <c r="DK259" s="238"/>
      <c r="DL259" s="238"/>
      <c r="DM259" s="238"/>
      <c r="DN259" s="238"/>
      <c r="DO259" s="238"/>
      <c r="DP259" s="238"/>
      <c r="DQ259" s="238"/>
      <c r="DR259" s="238"/>
      <c r="DS259" s="238"/>
      <c r="DT259" s="238"/>
      <c r="DU259" s="238"/>
      <c r="DV259" s="238"/>
      <c r="DW259" s="238"/>
      <c r="DX259" s="238"/>
      <c r="DY259" s="238"/>
      <c r="DZ259" s="238"/>
      <c r="EA259" s="238"/>
      <c r="EB259" s="238"/>
      <c r="EC259" s="238"/>
      <c r="ED259" s="238"/>
      <c r="EE259" s="238"/>
      <c r="EF259" s="238"/>
      <c r="EG259" s="238"/>
      <c r="EH259" s="238"/>
      <c r="EI259" s="238"/>
      <c r="EJ259" s="238"/>
      <c r="EK259" s="238"/>
      <c r="EL259" s="238"/>
      <c r="EM259" s="166"/>
      <c r="EN259" s="166"/>
      <c r="EO259" s="166"/>
      <c r="EP259" s="238">
        <f>SUM(EN259-EO259)</f>
        <v>0</v>
      </c>
      <c r="EQ259" s="238"/>
      <c r="ER259" s="238"/>
      <c r="ES259" s="238"/>
      <c r="ET259" s="244"/>
      <c r="EU259" s="238"/>
      <c r="EV259" s="238"/>
      <c r="EW259" s="238"/>
      <c r="EX259" s="238"/>
      <c r="EY259" s="238"/>
      <c r="EZ259" s="238"/>
      <c r="FA259" s="238"/>
      <c r="FB259" s="238"/>
      <c r="FC259" s="238"/>
      <c r="FD259" s="238"/>
      <c r="FE259" s="238"/>
      <c r="FF259" s="238"/>
      <c r="FG259" s="238"/>
      <c r="FH259" s="238"/>
      <c r="FI259" s="238"/>
      <c r="FJ259" s="238"/>
      <c r="FK259" s="238"/>
      <c r="FL259" s="238"/>
      <c r="FM259" s="238"/>
      <c r="FN259" s="238"/>
      <c r="FO259" s="244"/>
      <c r="FP259" s="238"/>
      <c r="FQ259" s="238"/>
      <c r="FR259" s="238"/>
      <c r="FS259" s="238"/>
      <c r="FT259" s="238"/>
      <c r="FU259" s="238"/>
      <c r="FV259" s="238"/>
      <c r="FW259" s="238"/>
      <c r="FX259" s="238"/>
      <c r="FY259" s="238"/>
      <c r="FZ259" s="238"/>
      <c r="GA259" s="238"/>
      <c r="GB259" s="238"/>
      <c r="GC259" s="238"/>
      <c r="GD259" s="341"/>
      <c r="GE259" s="340"/>
      <c r="GF259" s="340"/>
      <c r="GG259" s="340"/>
      <c r="GH259" s="340"/>
      <c r="GI259" s="340"/>
      <c r="GJ259" s="340"/>
      <c r="GK259" s="340"/>
      <c r="GL259" s="340"/>
      <c r="GM259" s="340"/>
      <c r="GN259" s="340"/>
      <c r="GO259" s="340"/>
      <c r="GP259" s="340"/>
      <c r="GQ259" s="340"/>
      <c r="GR259" s="340"/>
      <c r="GS259" s="340"/>
      <c r="GT259" s="340"/>
      <c r="GU259" s="340"/>
      <c r="GV259" s="340"/>
      <c r="GW259" s="340"/>
      <c r="GX259" s="340"/>
      <c r="GY259" s="340"/>
      <c r="GZ259" s="340"/>
      <c r="HA259" s="340"/>
      <c r="HB259" s="340"/>
      <c r="HC259" s="340"/>
      <c r="HD259" s="341"/>
      <c r="HE259" s="341"/>
      <c r="HF259" s="341"/>
      <c r="HG259" s="341"/>
      <c r="HH259" s="341"/>
      <c r="HI259" s="341"/>
      <c r="HJ259" s="341"/>
      <c r="HK259" s="341"/>
      <c r="HL259" s="341"/>
      <c r="HM259" s="341"/>
      <c r="HN259" s="341"/>
      <c r="HO259" s="341"/>
      <c r="HP259" s="341"/>
      <c r="HQ259" s="341"/>
      <c r="HR259" s="341"/>
      <c r="HS259" s="238"/>
      <c r="HT259" s="238"/>
      <c r="HU259" s="238"/>
      <c r="HV259" s="238"/>
      <c r="HX259" s="238"/>
      <c r="HY259" s="238"/>
      <c r="ID259" s="238"/>
    </row>
    <row r="260" spans="1:238" s="234" customFormat="1" ht="20.100000000000001" customHeight="1">
      <c r="A260" s="235"/>
      <c r="B260" s="231"/>
      <c r="C260" s="314" t="s">
        <v>771</v>
      </c>
      <c r="D260" s="276" t="str">
        <f>REPT(Sprache!$K$58,1)</f>
        <v>Spieler</v>
      </c>
      <c r="E260" s="277" t="str">
        <f>REPT(Sprache!$K$33,1)</f>
        <v>Name / Vorname</v>
      </c>
      <c r="F260" s="278"/>
      <c r="G260" s="278"/>
      <c r="H260" s="279"/>
      <c r="I260" s="280"/>
      <c r="J260" s="281" t="str">
        <f>REPT(AM260,1)</f>
        <v/>
      </c>
      <c r="L260" s="306" t="s">
        <v>848</v>
      </c>
      <c r="M260" s="238"/>
      <c r="P260" s="306" t="s">
        <v>848</v>
      </c>
      <c r="R260" s="314" t="s">
        <v>771</v>
      </c>
      <c r="S260" s="276" t="str">
        <f>REPT(Sprache!$K$58,1)</f>
        <v>Spieler</v>
      </c>
      <c r="T260" s="277" t="str">
        <f>REPT(Sprache!$K$33,1)</f>
        <v>Name / Vorname</v>
      </c>
      <c r="U260" s="278"/>
      <c r="V260" s="278"/>
      <c r="W260" s="279"/>
      <c r="X260" s="280"/>
      <c r="Y260" s="281" t="str">
        <f>REPT(BA260,1)</f>
        <v/>
      </c>
      <c r="Z260" s="308"/>
      <c r="AD260" s="235"/>
      <c r="AE260" s="235"/>
      <c r="AF260" s="237" t="s">
        <v>771</v>
      </c>
      <c r="AG260" s="282" t="s">
        <v>877</v>
      </c>
      <c r="AH260" s="283" t="str">
        <f>IF(AH259=0,"",AH259)</f>
        <v/>
      </c>
      <c r="AI260" s="283" t="str">
        <f>IF(AI259=0,"",AI259)</f>
        <v/>
      </c>
      <c r="AJ260" s="283" t="str">
        <f>IF(AJ259=0,"",AJ259)</f>
        <v/>
      </c>
      <c r="AK260" s="283" t="str">
        <f>IF(AK259=0,"",AK259)</f>
        <v/>
      </c>
      <c r="AL260" s="283" t="str">
        <f>IF(AL259=0,"",AL259)</f>
        <v/>
      </c>
      <c r="AM260" s="258" t="str">
        <f>IF(AK251="D",IF(AF259=0,"","X"),"")</f>
        <v/>
      </c>
      <c r="AN260" s="235"/>
      <c r="AO260" s="235"/>
      <c r="AP260" s="284"/>
      <c r="AQ260" s="235"/>
      <c r="AR260" s="235"/>
      <c r="AS260" s="235"/>
      <c r="AT260" s="237" t="s">
        <v>771</v>
      </c>
      <c r="AU260" s="282" t="s">
        <v>877</v>
      </c>
      <c r="AV260" s="283" t="str">
        <f>IF(AV259=0,"",AV259)</f>
        <v/>
      </c>
      <c r="AW260" s="283" t="str">
        <f>IF(AW259=0,"",AW259)</f>
        <v/>
      </c>
      <c r="AX260" s="283" t="str">
        <f>IF(AX259=0,"",AX259)</f>
        <v/>
      </c>
      <c r="AY260" s="283" t="str">
        <f>IF(AY259=0,"",AY259)</f>
        <v/>
      </c>
      <c r="AZ260" s="421" t="str">
        <f>IF(AZ259=0,"",AZ259)</f>
        <v/>
      </c>
      <c r="BA260" s="258" t="str">
        <f>IF(AK251="D",IF(AT259=0,"","X"),"")</f>
        <v/>
      </c>
      <c r="BJ260" s="236"/>
      <c r="BK260" s="238"/>
      <c r="BL260" s="244">
        <f>IF(BM260=0,0,1)</f>
        <v>0</v>
      </c>
      <c r="BM260" s="244">
        <f>SUM(BM254,BM255,BM256,BM257,BM258,HH256,AN261,AN262,BB261,BB262)</f>
        <v>0</v>
      </c>
      <c r="BN260" s="166">
        <f t="shared" ref="BN260:BO260" si="643">SUM(BN254,BN255,BN256,BN257,BN258)</f>
        <v>0</v>
      </c>
      <c r="BO260" s="166">
        <f t="shared" si="643"/>
        <v>0</v>
      </c>
      <c r="BP260" s="244"/>
      <c r="BQ260" s="238"/>
      <c r="BR260" s="238"/>
      <c r="BS260" s="238"/>
      <c r="BT260" s="238"/>
      <c r="BU260" s="238"/>
      <c r="BV260" s="238"/>
      <c r="BW260" s="238"/>
      <c r="BX260" s="236"/>
      <c r="BY260" s="238"/>
      <c r="BZ260" s="238"/>
      <c r="CA260" s="238"/>
      <c r="CB260" s="238"/>
      <c r="CC260" s="238"/>
      <c r="CD260" s="238"/>
      <c r="CE260" s="238"/>
      <c r="CF260" s="238"/>
      <c r="CG260" s="244"/>
      <c r="CH260" s="238"/>
      <c r="CI260" s="238"/>
      <c r="CJ260" s="238"/>
      <c r="CK260" s="238"/>
      <c r="CL260" s="238"/>
      <c r="CM260" s="238"/>
      <c r="CN260" s="238"/>
      <c r="CO260" s="238"/>
      <c r="CP260" s="238"/>
      <c r="CQ260" s="238"/>
      <c r="CR260" s="238"/>
      <c r="CS260" s="238"/>
      <c r="CT260" s="238"/>
      <c r="CU260" s="238"/>
      <c r="CV260" s="238"/>
      <c r="CW260" s="238"/>
      <c r="CX260" s="238"/>
      <c r="CY260" s="238"/>
      <c r="CZ260" s="238"/>
      <c r="DA260" s="238"/>
      <c r="DB260" s="238"/>
      <c r="DC260" s="238"/>
      <c r="DD260" s="238"/>
      <c r="DE260" s="238"/>
      <c r="DF260" s="238"/>
      <c r="DG260" s="238"/>
      <c r="DH260" s="238"/>
      <c r="DI260" s="238"/>
      <c r="DJ260" s="238"/>
      <c r="DK260" s="238"/>
      <c r="DL260" s="238"/>
      <c r="DM260" s="238"/>
      <c r="DN260" s="238"/>
      <c r="DO260" s="238"/>
      <c r="DP260" s="238"/>
      <c r="DQ260" s="238"/>
      <c r="DR260" s="238"/>
      <c r="DS260" s="238"/>
      <c r="DT260" s="238"/>
      <c r="DU260" s="238"/>
      <c r="DV260" s="238"/>
      <c r="DW260" s="238"/>
      <c r="DX260" s="238"/>
      <c r="DY260" s="238"/>
      <c r="DZ260" s="238"/>
      <c r="EA260" s="238"/>
      <c r="EB260" s="238"/>
      <c r="EC260" s="238"/>
      <c r="ED260" s="238"/>
      <c r="EE260" s="238"/>
      <c r="EF260" s="238"/>
      <c r="EG260" s="238"/>
      <c r="EH260" s="238"/>
      <c r="EI260" s="238"/>
      <c r="EJ260" s="238"/>
      <c r="EK260" s="238"/>
      <c r="EL260" s="238"/>
      <c r="EM260" s="238"/>
      <c r="EN260" s="238"/>
      <c r="EO260" s="238"/>
      <c r="EP260" s="238"/>
      <c r="EQ260" s="238"/>
      <c r="ER260" s="238"/>
      <c r="ES260" s="238"/>
      <c r="ET260" s="244"/>
      <c r="EU260" s="238"/>
      <c r="EV260" s="238"/>
      <c r="EW260" s="238"/>
      <c r="EX260" s="238"/>
      <c r="EY260" s="238"/>
      <c r="EZ260" s="238"/>
      <c r="FA260" s="238"/>
      <c r="FB260" s="238"/>
      <c r="FC260" s="238"/>
      <c r="FD260" s="238"/>
      <c r="FE260" s="238"/>
      <c r="FF260" s="238"/>
      <c r="FG260" s="238"/>
      <c r="FH260" s="238"/>
      <c r="FI260" s="238"/>
      <c r="FJ260" s="238"/>
      <c r="FK260" s="238"/>
      <c r="FL260" s="238"/>
      <c r="FM260" s="238"/>
      <c r="FN260" s="238"/>
      <c r="FO260" s="244"/>
      <c r="FP260" s="238"/>
      <c r="FQ260" s="238"/>
      <c r="FR260" s="238"/>
      <c r="FS260" s="238"/>
      <c r="FT260" s="238"/>
      <c r="FU260" s="238"/>
      <c r="FV260" s="238"/>
      <c r="FW260" s="238"/>
      <c r="FX260" s="238"/>
      <c r="FY260" s="238"/>
      <c r="FZ260" s="238"/>
      <c r="GA260" s="238"/>
      <c r="GB260" s="238"/>
      <c r="GC260" s="238"/>
      <c r="GD260" s="341"/>
      <c r="GE260" s="340"/>
      <c r="GF260" s="340"/>
      <c r="GG260" s="340"/>
      <c r="GH260" s="340"/>
      <c r="GI260" s="340"/>
      <c r="GJ260" s="340"/>
      <c r="GK260" s="340"/>
      <c r="GL260" s="340"/>
      <c r="GM260" s="340"/>
      <c r="GN260" s="340"/>
      <c r="GO260" s="340"/>
      <c r="GP260" s="340"/>
      <c r="GQ260" s="340"/>
      <c r="GR260" s="340"/>
      <c r="GS260" s="340"/>
      <c r="GT260" s="340"/>
      <c r="GU260" s="340"/>
      <c r="GV260" s="340"/>
      <c r="GW260" s="340"/>
      <c r="GX260" s="340"/>
      <c r="GY260" s="340"/>
      <c r="GZ260" s="340"/>
      <c r="HA260" s="340"/>
      <c r="HB260" s="340"/>
      <c r="HC260" s="340"/>
      <c r="HD260" s="341"/>
      <c r="HE260" s="341"/>
      <c r="HF260" s="341"/>
      <c r="HG260" s="341"/>
      <c r="HH260" s="341"/>
      <c r="HI260" s="341"/>
      <c r="HJ260" s="341"/>
      <c r="HK260" s="341"/>
      <c r="HL260" s="341"/>
      <c r="HM260" s="341"/>
      <c r="HN260" s="341"/>
      <c r="HO260" s="341"/>
      <c r="HP260" s="341"/>
      <c r="HQ260" s="341"/>
      <c r="HR260" s="341"/>
      <c r="HS260" s="238"/>
      <c r="HT260" s="238"/>
      <c r="HU260" s="238"/>
      <c r="HV260" s="238"/>
      <c r="HX260" s="238"/>
      <c r="HY260" s="238"/>
      <c r="ID260" s="238"/>
    </row>
    <row r="261" spans="1:238" s="234" customFormat="1" ht="20.100000000000001" customHeight="1">
      <c r="A261" s="235"/>
      <c r="B261" s="231"/>
      <c r="C261" s="285" t="str">
        <f>IF(AF261="","",SUM(AF261))</f>
        <v/>
      </c>
      <c r="D261" s="286" t="str">
        <f>IF(AK251="D",1,"")</f>
        <v/>
      </c>
      <c r="E261" s="287" t="str">
        <f>IF(C261="","",VLOOKUP(C261,Licenses!B:C,2,FALSE))</f>
        <v/>
      </c>
      <c r="F261" s="288"/>
      <c r="G261" s="288"/>
      <c r="H261" s="289"/>
      <c r="I261" s="169"/>
      <c r="J261" s="270" t="str">
        <f>REPT(AM261,1)</f>
        <v/>
      </c>
      <c r="L261" s="290" t="str">
        <f>IF(AK251="D",AK261,IF(AK260="","",AK260))</f>
        <v/>
      </c>
      <c r="M261" s="311"/>
      <c r="P261" s="290" t="str">
        <f>IF(AK251="D",AY261,IF(AY260="","",AY260))</f>
        <v/>
      </c>
      <c r="R261" s="291" t="str">
        <f>IF(AT261="","",SUM(AT261))</f>
        <v/>
      </c>
      <c r="S261" s="286" t="str">
        <f>IF(AK251="D",1,"")</f>
        <v/>
      </c>
      <c r="T261" s="292" t="str">
        <f>IF(R261="","",VLOOKUP(R261,Licenses!B:C,2,FALSE))</f>
        <v/>
      </c>
      <c r="U261" s="293"/>
      <c r="V261" s="293"/>
      <c r="W261" s="294"/>
      <c r="X261" s="169"/>
      <c r="Y261" s="270" t="str">
        <f>REPT(BA261,1)</f>
        <v/>
      </c>
      <c r="Z261" s="308"/>
      <c r="AD261" s="235"/>
      <c r="AE261" s="235"/>
      <c r="AF261" s="256" t="str">
        <f>IF(AM251="","",SUM(AM251))</f>
        <v/>
      </c>
      <c r="AG261" s="237"/>
      <c r="AH261" s="256"/>
      <c r="AI261" s="256"/>
      <c r="AJ261" s="256"/>
      <c r="AK261" s="256" t="str">
        <f>IF(BZ259&gt;1,BZ259,"")</f>
        <v/>
      </c>
      <c r="AL261" s="257">
        <f>IF(AK251="D",SUM(I261),0)</f>
        <v>0</v>
      </c>
      <c r="AM261" s="258" t="str">
        <f>IF(AM259=0,IF(AL261&lt;6,"","X"),"X")</f>
        <v/>
      </c>
      <c r="AN261" s="347" t="str">
        <f>IF(AM259=0,IF(AL261&lt;6,"",1),1)</f>
        <v/>
      </c>
      <c r="AO261" s="235"/>
      <c r="AP261" s="236"/>
      <c r="AQ261" s="235"/>
      <c r="AR261" s="235"/>
      <c r="AS261" s="235"/>
      <c r="AT261" s="256" t="str">
        <f>IF(BA251="","",SUM(BA251))</f>
        <v/>
      </c>
      <c r="AU261" s="237"/>
      <c r="AV261" s="256"/>
      <c r="AW261" s="256"/>
      <c r="AX261" s="256"/>
      <c r="AY261" s="256" t="str">
        <f>IF(CI259&gt;1,CI259,"")</f>
        <v/>
      </c>
      <c r="AZ261" s="257">
        <f>IF(AK251="D",SUM(X261),0)</f>
        <v>0</v>
      </c>
      <c r="BA261" s="258" t="str">
        <f>IF(BA259=0,IF(AZ261&lt;6,"","X"),"X")</f>
        <v/>
      </c>
      <c r="BB261" s="347" t="str">
        <f>IF(BA259=0,IF(AZ261&lt;6,"",1),1)</f>
        <v/>
      </c>
      <c r="BC261" s="236"/>
      <c r="BD261" s="236"/>
      <c r="BE261" s="236"/>
      <c r="BF261" s="236"/>
      <c r="BG261" s="236"/>
      <c r="BH261" s="236"/>
      <c r="BI261" s="236"/>
      <c r="BJ261" s="236"/>
      <c r="BK261" s="238"/>
      <c r="BL261" s="238"/>
      <c r="BM261" s="295"/>
      <c r="BN261" s="295"/>
      <c r="BO261" s="295"/>
      <c r="BP261" s="295"/>
      <c r="BQ261" s="295"/>
      <c r="BR261" s="295"/>
      <c r="BS261" s="295"/>
      <c r="BT261" s="295"/>
      <c r="BU261" s="295"/>
      <c r="BV261" s="295"/>
      <c r="BW261" s="295"/>
      <c r="BX261" s="236"/>
      <c r="BY261" s="295"/>
      <c r="BZ261" s="295"/>
      <c r="CA261" s="295"/>
      <c r="CB261" s="295"/>
      <c r="CC261" s="295"/>
      <c r="CD261" s="295"/>
      <c r="CE261" s="295"/>
      <c r="CF261" s="295"/>
      <c r="CG261" s="296"/>
      <c r="CH261" s="295"/>
      <c r="CI261" s="295"/>
      <c r="CJ261" s="295"/>
      <c r="CK261" s="238"/>
      <c r="CL261" s="238"/>
      <c r="CM261" s="238"/>
      <c r="CN261" s="238"/>
      <c r="CO261" s="238"/>
      <c r="CP261" s="238"/>
      <c r="CQ261" s="238"/>
      <c r="CR261" s="238"/>
      <c r="CS261" s="238"/>
      <c r="CT261" s="238"/>
      <c r="CU261" s="238"/>
      <c r="CV261" s="238"/>
      <c r="CW261" s="238"/>
      <c r="CX261" s="238"/>
      <c r="CY261" s="238"/>
      <c r="CZ261" s="238"/>
      <c r="DA261" s="238"/>
      <c r="DB261" s="238"/>
      <c r="DC261" s="238"/>
      <c r="DD261" s="238"/>
      <c r="DE261" s="238"/>
      <c r="DF261" s="238"/>
      <c r="DG261" s="238"/>
      <c r="DH261" s="238"/>
      <c r="DI261" s="238"/>
      <c r="DJ261" s="238"/>
      <c r="DK261" s="238"/>
      <c r="DL261" s="238"/>
      <c r="DM261" s="238"/>
      <c r="DN261" s="238"/>
      <c r="DO261" s="238"/>
      <c r="DP261" s="238"/>
      <c r="DQ261" s="238"/>
      <c r="DR261" s="238"/>
      <c r="DS261" s="238"/>
      <c r="DT261" s="238"/>
      <c r="DU261" s="238"/>
      <c r="DV261" s="238"/>
      <c r="DW261" s="238"/>
      <c r="DX261" s="238"/>
      <c r="DY261" s="238"/>
      <c r="DZ261" s="238"/>
      <c r="EA261" s="238"/>
      <c r="EB261" s="238"/>
      <c r="EC261" s="238"/>
      <c r="ED261" s="238"/>
      <c r="EE261" s="238"/>
      <c r="EF261" s="238"/>
      <c r="EG261" s="238"/>
      <c r="EH261" s="238"/>
      <c r="EI261" s="238"/>
      <c r="EJ261" s="238"/>
      <c r="EK261" s="238"/>
      <c r="EL261" s="238"/>
      <c r="EM261" s="238"/>
      <c r="EN261" s="238"/>
      <c r="EO261" s="238"/>
      <c r="EP261" s="238"/>
      <c r="EQ261" s="238"/>
      <c r="ER261" s="238"/>
      <c r="ES261" s="238"/>
      <c r="ET261" s="244"/>
      <c r="EU261" s="238"/>
      <c r="EV261" s="238"/>
      <c r="EW261" s="238"/>
      <c r="EX261" s="238"/>
      <c r="EY261" s="238"/>
      <c r="EZ261" s="238"/>
      <c r="FA261" s="238"/>
      <c r="FB261" s="238"/>
      <c r="FC261" s="238"/>
      <c r="FD261" s="238"/>
      <c r="FE261" s="238"/>
      <c r="FF261" s="238"/>
      <c r="FG261" s="238"/>
      <c r="FH261" s="238"/>
      <c r="FI261" s="238"/>
      <c r="FJ261" s="238"/>
      <c r="FK261" s="238"/>
      <c r="FL261" s="238"/>
      <c r="FM261" s="238"/>
      <c r="FN261" s="238"/>
      <c r="FO261" s="244"/>
      <c r="FP261" s="238"/>
      <c r="FQ261" s="238"/>
      <c r="FR261" s="238"/>
      <c r="FS261" s="238"/>
      <c r="FT261" s="238"/>
      <c r="FU261" s="238"/>
      <c r="FV261" s="238"/>
      <c r="FW261" s="238"/>
      <c r="FX261" s="238"/>
      <c r="FY261" s="238"/>
      <c r="FZ261" s="238"/>
      <c r="GA261" s="238"/>
      <c r="GB261" s="238"/>
      <c r="GC261" s="238"/>
      <c r="GD261" s="341"/>
      <c r="GE261" s="340"/>
      <c r="GF261" s="340"/>
      <c r="GG261" s="340"/>
      <c r="GH261" s="340"/>
      <c r="GI261" s="340"/>
      <c r="GJ261" s="340"/>
      <c r="GK261" s="340"/>
      <c r="GL261" s="340"/>
      <c r="GM261" s="340"/>
      <c r="GN261" s="340"/>
      <c r="GO261" s="340"/>
      <c r="GP261" s="340"/>
      <c r="GQ261" s="340"/>
      <c r="GR261" s="340"/>
      <c r="GS261" s="340"/>
      <c r="GT261" s="340"/>
      <c r="GU261" s="340"/>
      <c r="GV261" s="340"/>
      <c r="GW261" s="340"/>
      <c r="GX261" s="340"/>
      <c r="GY261" s="340"/>
      <c r="GZ261" s="340"/>
      <c r="HA261" s="340"/>
      <c r="HB261" s="340"/>
      <c r="HC261" s="340"/>
      <c r="HD261" s="341"/>
      <c r="HE261" s="341"/>
      <c r="HF261" s="341"/>
      <c r="HG261" s="341"/>
      <c r="HH261" s="341"/>
      <c r="HI261" s="341"/>
      <c r="HJ261" s="341"/>
      <c r="HK261" s="341"/>
      <c r="HL261" s="341"/>
      <c r="HM261" s="341"/>
      <c r="HN261" s="341"/>
      <c r="HO261" s="341"/>
      <c r="HP261" s="341"/>
      <c r="HQ261" s="341"/>
      <c r="HR261" s="341"/>
      <c r="HS261" s="238"/>
      <c r="HT261" s="238"/>
      <c r="HU261" s="238"/>
      <c r="HV261" s="238"/>
      <c r="HX261" s="238"/>
      <c r="HY261" s="238"/>
      <c r="ID261" s="238"/>
    </row>
    <row r="262" spans="1:238" s="234" customFormat="1" ht="20.100000000000001" customHeight="1">
      <c r="A262" s="235"/>
      <c r="B262" s="231"/>
      <c r="C262" s="336" t="str">
        <f>IF(AF262="","",SUM(AF262))</f>
        <v/>
      </c>
      <c r="D262" s="333" t="str">
        <f>IF(AK251="D",2,"")</f>
        <v/>
      </c>
      <c r="E262" s="337" t="str">
        <f>IF(C262="","",VLOOKUP(C262,Licenses!B:C,2,FALSE))</f>
        <v/>
      </c>
      <c r="F262" s="290"/>
      <c r="G262" s="290"/>
      <c r="H262" s="338"/>
      <c r="I262" s="331"/>
      <c r="J262" s="272" t="str">
        <f>REPT(AM262,1)</f>
        <v/>
      </c>
      <c r="L262" s="315" t="str">
        <f>IF(AK251="D",AK262,"")</f>
        <v/>
      </c>
      <c r="M262" s="311"/>
      <c r="P262" s="315" t="str">
        <f>IF(AK251="D",AY262,"")</f>
        <v/>
      </c>
      <c r="R262" s="332" t="str">
        <f>IF(AT262="","",SUM(AT262))</f>
        <v/>
      </c>
      <c r="S262" s="333" t="str">
        <f>IF(AK251="D",2,"")</f>
        <v/>
      </c>
      <c r="T262" s="334" t="str">
        <f>IF(R262="","",VLOOKUP(R262,Licenses!B:C,2,FALSE))</f>
        <v/>
      </c>
      <c r="U262" s="297"/>
      <c r="V262" s="297"/>
      <c r="W262" s="335"/>
      <c r="X262" s="331"/>
      <c r="Y262" s="272" t="str">
        <f>REPT(BA262,1)</f>
        <v/>
      </c>
      <c r="Z262" s="308"/>
      <c r="AA262" s="238">
        <f>IF(AK251="D",0,1)</f>
        <v>1</v>
      </c>
      <c r="AD262" s="235"/>
      <c r="AE262" s="235"/>
      <c r="AF262" s="256" t="str">
        <f>IF(AM252="","",SUM(AM252))</f>
        <v/>
      </c>
      <c r="AG262" s="237"/>
      <c r="AH262" s="256"/>
      <c r="AI262" s="256"/>
      <c r="AJ262" s="256"/>
      <c r="AK262" s="256" t="str">
        <f>IF(CA259&gt;1,CA259,"")</f>
        <v/>
      </c>
      <c r="AL262" s="257">
        <f>IF(AK251="D",SUM(I262),0)</f>
        <v>0</v>
      </c>
      <c r="AM262" s="258" t="str">
        <f>IF(AM259=0,IF(AL262&lt;6,"","X"),"X")</f>
        <v/>
      </c>
      <c r="AN262" s="347" t="str">
        <f>IF(AM259=0,IF(AL262&lt;6,"",1),1)</f>
        <v/>
      </c>
      <c r="AO262" s="235"/>
      <c r="AP262" s="236"/>
      <c r="AQ262" s="235"/>
      <c r="AR262" s="235"/>
      <c r="AS262" s="235"/>
      <c r="AT262" s="256" t="str">
        <f>IF(BA252="","",SUM(BA252))</f>
        <v/>
      </c>
      <c r="AU262" s="237"/>
      <c r="AV262" s="256"/>
      <c r="AW262" s="256"/>
      <c r="AX262" s="256"/>
      <c r="AY262" s="256" t="str">
        <f>IF(CJ259&gt;1,CJ259,"")</f>
        <v/>
      </c>
      <c r="AZ262" s="257">
        <f>IF(AK251="D",SUM(X262),0)</f>
        <v>0</v>
      </c>
      <c r="BA262" s="258" t="str">
        <f>IF(BA259=0,IF(AZ262&lt;6,"","X"),"X")</f>
        <v/>
      </c>
      <c r="BB262" s="347" t="str">
        <f>IF(BA259=0,IF(AZ262&lt;6,"",1),1)</f>
        <v/>
      </c>
      <c r="BC262" s="236"/>
      <c r="BD262" s="236"/>
      <c r="BE262" s="236"/>
      <c r="BF262" s="236"/>
      <c r="BG262" s="236"/>
      <c r="BH262" s="236"/>
      <c r="BI262" s="236"/>
      <c r="BJ262" s="236"/>
      <c r="BK262" s="238"/>
      <c r="BM262" s="238"/>
      <c r="BN262" s="238"/>
      <c r="BO262" s="238"/>
      <c r="BP262" s="238"/>
      <c r="BQ262" s="238" t="s">
        <v>899</v>
      </c>
      <c r="BR262" s="238"/>
      <c r="BS262" s="238"/>
      <c r="BT262" s="238"/>
      <c r="BU262" s="238"/>
      <c r="BV262" s="238"/>
      <c r="BW262" s="238"/>
      <c r="BX262" s="236"/>
      <c r="BY262" s="238"/>
      <c r="BZ262" s="238"/>
      <c r="CA262" s="238"/>
      <c r="CB262" s="238"/>
      <c r="CC262" s="238"/>
      <c r="CD262" s="238" t="s">
        <v>899</v>
      </c>
      <c r="CE262" s="238"/>
      <c r="CF262" s="238"/>
      <c r="CG262" s="244"/>
      <c r="CH262" s="238"/>
      <c r="CI262" s="238"/>
      <c r="CJ262" s="238"/>
      <c r="CK262" s="238"/>
      <c r="CL262" s="238"/>
      <c r="CM262" s="238"/>
      <c r="CN262" s="238"/>
      <c r="CO262" s="238"/>
      <c r="CP262" s="238"/>
      <c r="CQ262" s="238"/>
      <c r="CR262" s="238"/>
      <c r="CS262" s="238"/>
      <c r="CT262" s="238"/>
      <c r="CU262" s="238"/>
      <c r="CV262" s="238"/>
      <c r="CW262" s="238"/>
      <c r="CX262" s="238"/>
      <c r="CY262" s="238"/>
      <c r="CZ262" s="238"/>
      <c r="DA262" s="238"/>
      <c r="DB262" s="238"/>
      <c r="DC262" s="238"/>
      <c r="DD262" s="238"/>
      <c r="DE262" s="238"/>
      <c r="DF262" s="238"/>
      <c r="DG262" s="238"/>
      <c r="DH262" s="238"/>
      <c r="DI262" s="238"/>
      <c r="DJ262" s="238"/>
      <c r="DK262" s="238"/>
      <c r="DL262" s="238"/>
      <c r="DM262" s="238"/>
      <c r="DN262" s="238"/>
      <c r="DO262" s="238"/>
      <c r="DP262" s="238"/>
      <c r="DQ262" s="238"/>
      <c r="DR262" s="238"/>
      <c r="DS262" s="238"/>
      <c r="DT262" s="238"/>
      <c r="DU262" s="238"/>
      <c r="DV262" s="238"/>
      <c r="DW262" s="238"/>
      <c r="DX262" s="238"/>
      <c r="DY262" s="238"/>
      <c r="DZ262" s="238"/>
      <c r="EA262" s="238"/>
      <c r="EB262" s="238"/>
      <c r="EC262" s="238"/>
      <c r="ED262" s="238"/>
      <c r="EE262" s="238"/>
      <c r="EF262" s="238"/>
      <c r="EG262" s="238"/>
      <c r="EH262" s="238"/>
      <c r="EI262" s="238"/>
      <c r="EJ262" s="238"/>
      <c r="EK262" s="238"/>
      <c r="EL262" s="238"/>
      <c r="EM262" s="238"/>
      <c r="EN262" s="238"/>
      <c r="EO262" s="238"/>
      <c r="EP262" s="238"/>
      <c r="EQ262" s="238"/>
      <c r="ER262" s="238"/>
      <c r="ES262" s="238"/>
      <c r="ET262" s="244"/>
      <c r="EU262" s="238"/>
      <c r="EV262" s="238"/>
      <c r="EW262" s="238"/>
      <c r="EX262" s="238"/>
      <c r="EY262" s="238"/>
      <c r="EZ262" s="238"/>
      <c r="FA262" s="238"/>
      <c r="FB262" s="238"/>
      <c r="FC262" s="238"/>
      <c r="FD262" s="238"/>
      <c r="FE262" s="238"/>
      <c r="FF262" s="238"/>
      <c r="FG262" s="238"/>
      <c r="FH262" s="238"/>
      <c r="FI262" s="238"/>
      <c r="FJ262" s="238"/>
      <c r="FK262" s="238"/>
      <c r="FL262" s="238"/>
      <c r="FM262" s="238"/>
      <c r="FN262" s="238"/>
      <c r="FO262" s="244"/>
      <c r="FP262" s="238"/>
      <c r="FQ262" s="238"/>
      <c r="FR262" s="238"/>
      <c r="FS262" s="238"/>
      <c r="FT262" s="238"/>
      <c r="FU262" s="238"/>
      <c r="FV262" s="238"/>
      <c r="FW262" s="238"/>
      <c r="FX262" s="238"/>
      <c r="FY262" s="238"/>
      <c r="FZ262" s="238"/>
      <c r="GA262" s="238"/>
      <c r="GB262" s="238"/>
      <c r="GC262" s="238"/>
      <c r="GD262" s="341"/>
      <c r="GE262" s="340"/>
      <c r="GF262" s="340"/>
      <c r="GG262" s="340"/>
      <c r="GH262" s="340"/>
      <c r="GI262" s="340"/>
      <c r="GJ262" s="340"/>
      <c r="GK262" s="340"/>
      <c r="GL262" s="340"/>
      <c r="GM262" s="340"/>
      <c r="GN262" s="340"/>
      <c r="GO262" s="340"/>
      <c r="GP262" s="340"/>
      <c r="GQ262" s="340"/>
      <c r="GR262" s="340"/>
      <c r="GS262" s="340"/>
      <c r="GT262" s="340"/>
      <c r="GU262" s="340"/>
      <c r="GV262" s="340"/>
      <c r="GW262" s="340"/>
      <c r="GX262" s="340"/>
      <c r="GY262" s="340"/>
      <c r="GZ262" s="340"/>
      <c r="HA262" s="340"/>
      <c r="HB262" s="340"/>
      <c r="HC262" s="340"/>
      <c r="HD262" s="341"/>
      <c r="HE262" s="341"/>
      <c r="HF262" s="341"/>
      <c r="HG262" s="341"/>
      <c r="HH262" s="341"/>
      <c r="HI262" s="341"/>
      <c r="HJ262" s="341"/>
      <c r="HK262" s="341"/>
      <c r="HL262" s="341"/>
      <c r="HM262" s="341"/>
      <c r="HN262" s="341"/>
      <c r="HO262" s="341"/>
      <c r="HP262" s="341"/>
      <c r="HQ262" s="341"/>
      <c r="HR262" s="341"/>
      <c r="HS262" s="238"/>
      <c r="HT262" s="238"/>
      <c r="HU262" s="238"/>
      <c r="HV262" s="238"/>
      <c r="HX262" s="238"/>
      <c r="HY262" s="238"/>
      <c r="ID262" s="238"/>
    </row>
    <row r="263" spans="1:238" s="234" customFormat="1" ht="20.100000000000001" customHeight="1">
      <c r="A263" s="235"/>
      <c r="B263" s="316"/>
      <c r="C263" s="317"/>
      <c r="D263" s="317"/>
      <c r="E263" s="318"/>
      <c r="F263" s="318"/>
      <c r="G263" s="318"/>
      <c r="H263" s="318"/>
      <c r="I263" s="318"/>
      <c r="J263" s="318"/>
      <c r="K263" s="319"/>
      <c r="L263" s="319"/>
      <c r="M263" s="319"/>
      <c r="N263" s="319"/>
      <c r="O263" s="319"/>
      <c r="P263" s="320"/>
      <c r="Q263" s="319"/>
      <c r="R263" s="317"/>
      <c r="S263" s="318"/>
      <c r="T263" s="318"/>
      <c r="U263" s="318"/>
      <c r="V263" s="318"/>
      <c r="W263" s="318"/>
      <c r="X263" s="318"/>
      <c r="Y263" s="318"/>
      <c r="Z263" s="321"/>
      <c r="AD263" s="235"/>
      <c r="AE263" s="237"/>
      <c r="AF263" s="237"/>
      <c r="AG263" s="237"/>
      <c r="AH263" s="237" t="s">
        <v>921</v>
      </c>
      <c r="AI263" s="237" t="s">
        <v>922</v>
      </c>
      <c r="AJ263" s="298" t="str">
        <f>IF(BS263="","",SUM(AM263)*3)</f>
        <v/>
      </c>
      <c r="AK263" s="299" t="s">
        <v>923</v>
      </c>
      <c r="AL263" s="256"/>
      <c r="AM263" s="256" t="str">
        <f>IF(BS263="","",SUM(BS263))</f>
        <v/>
      </c>
      <c r="AN263" s="235"/>
      <c r="AO263" s="235"/>
      <c r="AP263" s="236"/>
      <c r="AQ263" s="235"/>
      <c r="AR263" s="235"/>
      <c r="AS263" s="237"/>
      <c r="AT263" s="237"/>
      <c r="AU263" s="237"/>
      <c r="AV263" s="237" t="s">
        <v>921</v>
      </c>
      <c r="AW263" s="237" t="s">
        <v>922</v>
      </c>
      <c r="AX263" s="298" t="str">
        <f>IF(BS263="","",SUM(BA263)*3)</f>
        <v/>
      </c>
      <c r="AY263" s="299" t="s">
        <v>923</v>
      </c>
      <c r="AZ263" s="256"/>
      <c r="BA263" s="256" t="str">
        <f>IF(BS263="","",SUM(CF263))</f>
        <v/>
      </c>
      <c r="BB263" s="236"/>
      <c r="BC263" s="236"/>
      <c r="BD263" s="236"/>
      <c r="BE263" s="236"/>
      <c r="BF263" s="236"/>
      <c r="BG263" s="236"/>
      <c r="BH263" s="236"/>
      <c r="BI263" s="236"/>
      <c r="BJ263" s="236"/>
      <c r="BK263" s="373">
        <f>IF(AL251=BQ263,1,0)</f>
        <v>0</v>
      </c>
      <c r="BL263" s="373">
        <f>IF(AL251=CD263,1,0)</f>
        <v>0</v>
      </c>
      <c r="BM263" s="256">
        <f>IF(BN263&gt;2,1,0)</f>
        <v>0</v>
      </c>
      <c r="BN263" s="256">
        <f>COUNT(AH254,AH255,AH256)</f>
        <v>0</v>
      </c>
      <c r="BO263" s="256" t="str">
        <f>IF(AH260="","",SUM(AH260/AJ260))</f>
        <v/>
      </c>
      <c r="BP263" s="256"/>
      <c r="BQ263" s="300">
        <f>COUNT(AK254,AK255,AK256,AK257,AK258)</f>
        <v>0</v>
      </c>
      <c r="BR263" s="256"/>
      <c r="BS263" s="256" t="str">
        <f>IF(BL260=0,IF(AJ255="","",BO263),"")</f>
        <v/>
      </c>
      <c r="BT263" s="236"/>
      <c r="BU263" s="236"/>
      <c r="BV263" s="236"/>
      <c r="BW263" s="236"/>
      <c r="BX263" s="236"/>
      <c r="BY263" s="256">
        <f>IF(CD263&gt;2,1,0)</f>
        <v>0</v>
      </c>
      <c r="BZ263" s="256">
        <f>IF(CA263&gt;2,1,0)</f>
        <v>0</v>
      </c>
      <c r="CA263" s="256">
        <f>COUNT(AV254,AV255,AV256)</f>
        <v>0</v>
      </c>
      <c r="CB263" s="256" t="str">
        <f>IF(AV260="","",SUM(AV260/AX260))</f>
        <v/>
      </c>
      <c r="CC263" s="256"/>
      <c r="CD263" s="300">
        <f>COUNT(AY254,AY255,AY256,AY257,AY258)</f>
        <v>0</v>
      </c>
      <c r="CE263" s="256"/>
      <c r="CF263" s="256" t="str">
        <f>IF(BL260=0,IF(AX255="","",CB263),"")</f>
        <v/>
      </c>
      <c r="CG263" s="236"/>
      <c r="CH263" s="188"/>
      <c r="CI263" s="188"/>
      <c r="CJ263" s="196"/>
      <c r="CK263" s="196"/>
      <c r="CL263" s="196"/>
      <c r="CM263" s="196"/>
      <c r="CN263" s="196"/>
      <c r="CO263" s="196"/>
      <c r="CP263" s="196"/>
      <c r="CQ263" s="196"/>
      <c r="CR263" s="196"/>
      <c r="CS263" s="196"/>
      <c r="CT263" s="196"/>
      <c r="CU263" s="196"/>
      <c r="CV263" s="196"/>
      <c r="CW263" s="196"/>
      <c r="CX263" s="196"/>
      <c r="CY263" s="196"/>
      <c r="CZ263" s="196"/>
      <c r="DA263" s="196"/>
      <c r="DB263" s="196"/>
      <c r="DC263" s="196"/>
      <c r="DD263" s="196"/>
      <c r="DE263" s="196"/>
      <c r="DF263" s="196"/>
      <c r="DG263" s="196"/>
      <c r="DH263" s="196"/>
      <c r="DI263" s="196"/>
      <c r="DJ263" s="196"/>
      <c r="DK263" s="196"/>
      <c r="DL263" s="196"/>
      <c r="DM263" s="196"/>
      <c r="DN263" s="196"/>
      <c r="DO263" s="196"/>
      <c r="DP263" s="196"/>
      <c r="DQ263" s="196"/>
      <c r="DR263" s="196"/>
      <c r="DS263" s="196"/>
      <c r="DT263" s="196"/>
      <c r="DU263" s="196"/>
      <c r="DV263" s="196"/>
      <c r="DW263" s="196"/>
      <c r="DX263" s="196"/>
      <c r="DY263" s="196"/>
      <c r="DZ263" s="196"/>
      <c r="EA263" s="196"/>
      <c r="EB263" s="196"/>
      <c r="EC263" s="196"/>
      <c r="ED263" s="196"/>
      <c r="EE263" s="196"/>
      <c r="EF263" s="196"/>
      <c r="EG263" s="196"/>
      <c r="EH263" s="196"/>
      <c r="EI263" s="196"/>
      <c r="EJ263" s="196"/>
      <c r="EK263" s="196"/>
      <c r="EL263" s="196"/>
      <c r="EM263" s="196"/>
      <c r="EN263" s="196"/>
      <c r="EO263" s="196"/>
      <c r="EP263" s="196"/>
      <c r="EQ263" s="196"/>
      <c r="ER263" s="196"/>
      <c r="ES263" s="196"/>
      <c r="ET263" s="301"/>
      <c r="EU263" s="196"/>
      <c r="EV263" s="196"/>
      <c r="EW263" s="196"/>
      <c r="EX263" s="196"/>
      <c r="EY263" s="196"/>
      <c r="EZ263" s="196"/>
      <c r="FA263" s="196"/>
      <c r="FB263" s="196"/>
      <c r="FC263" s="196"/>
      <c r="FD263" s="196"/>
      <c r="FE263" s="196"/>
      <c r="FF263" s="196"/>
      <c r="FG263" s="196"/>
      <c r="FH263" s="196"/>
      <c r="FI263" s="196"/>
      <c r="FJ263" s="196"/>
      <c r="FK263" s="196"/>
      <c r="FL263" s="196"/>
      <c r="FM263" s="196"/>
      <c r="FN263" s="196"/>
      <c r="FO263" s="301"/>
      <c r="FP263" s="196"/>
      <c r="FQ263" s="196"/>
      <c r="FR263" s="196"/>
      <c r="FS263" s="196"/>
      <c r="FT263" s="196"/>
      <c r="FU263" s="196"/>
      <c r="FV263" s="196"/>
      <c r="FW263" s="196"/>
      <c r="FX263" s="196"/>
      <c r="FY263" s="196"/>
      <c r="FZ263" s="196"/>
      <c r="GA263" s="196"/>
      <c r="GB263" s="238"/>
      <c r="GC263" s="238"/>
      <c r="GD263" s="341"/>
      <c r="GE263" s="341"/>
      <c r="GF263" s="341"/>
      <c r="GG263" s="341"/>
      <c r="GH263" s="341"/>
      <c r="GI263" s="341"/>
      <c r="GJ263" s="341"/>
      <c r="GK263" s="341"/>
      <c r="GL263" s="341"/>
      <c r="GM263" s="341"/>
      <c r="GN263" s="341"/>
      <c r="GO263" s="341"/>
      <c r="GP263" s="341"/>
      <c r="GQ263" s="341"/>
      <c r="GR263" s="341"/>
      <c r="GS263" s="341"/>
      <c r="GT263" s="341"/>
      <c r="GU263" s="341"/>
      <c r="GV263" s="341"/>
      <c r="GW263" s="341"/>
      <c r="GX263" s="341"/>
      <c r="GY263" s="341"/>
      <c r="GZ263" s="341"/>
      <c r="HA263" s="341"/>
      <c r="HB263" s="341"/>
      <c r="HC263" s="341"/>
      <c r="HD263" s="341"/>
      <c r="HE263" s="341"/>
      <c r="HF263" s="341"/>
      <c r="HG263" s="341"/>
      <c r="HH263" s="341"/>
      <c r="HI263" s="341"/>
      <c r="HJ263" s="341"/>
      <c r="HK263" s="341"/>
      <c r="HL263" s="341"/>
      <c r="HM263" s="341"/>
      <c r="HN263" s="341"/>
      <c r="HO263" s="341"/>
      <c r="HP263" s="341"/>
      <c r="HQ263" s="341"/>
      <c r="HR263" s="341"/>
      <c r="HS263" s="238"/>
      <c r="HT263" s="238"/>
      <c r="HU263" s="238"/>
      <c r="HV263" s="238"/>
      <c r="HX263" s="238"/>
      <c r="HY263" s="238"/>
      <c r="ID263" s="238"/>
    </row>
    <row r="264" spans="1:238" ht="14.1" customHeight="1">
      <c r="B264" s="214"/>
      <c r="C264" s="171"/>
      <c r="D264" s="171"/>
      <c r="E264" s="171"/>
      <c r="F264" s="171"/>
      <c r="G264" s="171"/>
      <c r="H264" s="171"/>
      <c r="I264" s="171"/>
      <c r="J264" s="171"/>
      <c r="K264" s="171"/>
      <c r="L264" s="171"/>
      <c r="M264" s="171"/>
      <c r="N264" s="171"/>
      <c r="O264" s="171"/>
      <c r="P264" s="171"/>
      <c r="Q264" s="171"/>
      <c r="R264" s="171"/>
      <c r="S264" s="171"/>
      <c r="T264" s="171"/>
      <c r="U264" s="171"/>
      <c r="V264" s="171"/>
      <c r="W264" s="171"/>
      <c r="X264" s="171"/>
      <c r="Y264" s="171"/>
      <c r="Z264" s="302"/>
      <c r="AA264" s="215"/>
      <c r="AB264" s="215"/>
      <c r="AC264" s="215"/>
      <c r="AD264" s="215"/>
      <c r="AE264" s="215"/>
      <c r="AF264" s="215"/>
      <c r="BB264" s="215"/>
      <c r="BC264" s="215"/>
      <c r="BD264" s="215"/>
      <c r="BE264" s="215"/>
      <c r="BF264" s="215"/>
      <c r="BG264" s="215"/>
      <c r="BH264" s="215"/>
      <c r="GD264" s="339"/>
      <c r="GE264" s="339"/>
      <c r="GF264" s="339"/>
      <c r="GG264" s="339"/>
      <c r="GH264" s="339"/>
      <c r="GI264" s="339"/>
      <c r="GJ264" s="339"/>
      <c r="GK264" s="339"/>
      <c r="GL264" s="339"/>
      <c r="GM264" s="339"/>
      <c r="GN264" s="339"/>
      <c r="GO264" s="339"/>
      <c r="GP264" s="339"/>
      <c r="GQ264" s="339"/>
      <c r="GR264" s="339"/>
      <c r="GS264" s="339"/>
      <c r="GT264" s="339"/>
      <c r="GU264" s="339"/>
      <c r="GV264" s="339"/>
      <c r="GW264" s="339"/>
      <c r="GX264" s="339"/>
      <c r="GY264" s="339"/>
      <c r="GZ264" s="339"/>
      <c r="HA264" s="339"/>
      <c r="HB264" s="339"/>
      <c r="HC264" s="339"/>
      <c r="HD264" s="339"/>
      <c r="HE264" s="339"/>
      <c r="HF264" s="339"/>
      <c r="HG264" s="339"/>
      <c r="HH264" s="339"/>
      <c r="HI264" s="339"/>
      <c r="HJ264" s="339"/>
      <c r="HK264" s="339"/>
      <c r="HL264" s="339"/>
      <c r="HM264" s="339"/>
      <c r="HN264" s="339"/>
      <c r="HO264" s="339"/>
      <c r="HP264" s="339"/>
      <c r="HQ264" s="339"/>
      <c r="HR264" s="339"/>
    </row>
    <row r="265" spans="1:238" ht="24" customHeight="1">
      <c r="B265" s="216"/>
      <c r="C265" s="181"/>
      <c r="D265" s="181"/>
      <c r="E265" s="181"/>
      <c r="F265" s="181"/>
      <c r="G265" s="181"/>
      <c r="H265" s="181"/>
      <c r="I265" s="181"/>
      <c r="J265" s="181"/>
      <c r="K265" s="185"/>
      <c r="L265" s="217"/>
      <c r="M265" s="218"/>
      <c r="N265" s="327" t="str">
        <f>CONCATENATE(AG265," ",AH265)</f>
        <v>Spiel 19</v>
      </c>
      <c r="O265" s="218"/>
      <c r="P265" s="219"/>
      <c r="Q265" s="185"/>
      <c r="R265" s="181"/>
      <c r="S265" s="181"/>
      <c r="T265" s="181"/>
      <c r="U265" s="181"/>
      <c r="V265" s="181"/>
      <c r="W265" s="181"/>
      <c r="X265" s="181"/>
      <c r="Y265" s="181"/>
      <c r="Z265" s="303"/>
      <c r="AA265" s="200"/>
      <c r="AB265" s="200"/>
      <c r="AC265" s="200"/>
      <c r="AD265" s="200"/>
      <c r="AE265" s="200"/>
      <c r="AF265" s="200"/>
      <c r="AG265" s="200" t="s">
        <v>863</v>
      </c>
      <c r="AH265" s="220">
        <v>19</v>
      </c>
      <c r="AI265" s="173">
        <f>VLOOKUP(AH265,Chema!R:T,3,FALSE)</f>
        <v>2.7</v>
      </c>
      <c r="AJ265" s="200" t="str">
        <f>VLOOKUP(AH265,Chema!BL:BQ,6,FALSE)</f>
        <v>2.7*</v>
      </c>
      <c r="AK265" s="200" t="str">
        <f>VLOOKUP(AH265,'Matchblatt  FEUILLE DE MATCH'!AI:AJ,2,FALSE)</f>
        <v>S</v>
      </c>
      <c r="AL265" s="200">
        <f>VLOOKUP(AH265,Chema!R:U,4,FALSE)</f>
        <v>5</v>
      </c>
      <c r="AM265" s="215" t="str">
        <f>VLOOKUP(AH265,'Matchblatt  FEUILLE DE MATCH'!AI:AS,10,FALSE)</f>
        <v/>
      </c>
      <c r="AN265" s="215"/>
      <c r="AO265" s="215"/>
      <c r="AP265" s="215"/>
      <c r="AQ265" s="215"/>
      <c r="AR265" s="215"/>
      <c r="AS265" s="215"/>
      <c r="AT265" s="215"/>
      <c r="AU265" s="215"/>
      <c r="AV265" s="215"/>
      <c r="AW265" s="215"/>
      <c r="AX265" s="215"/>
      <c r="AY265" s="215"/>
      <c r="AZ265" s="215"/>
      <c r="BA265" s="215" t="str">
        <f>VLOOKUP(AH265,'Matchblatt  FEUILLE DE MATCH'!AI:AS,11,FALSE)</f>
        <v/>
      </c>
      <c r="BB265" s="200"/>
      <c r="BC265" s="200"/>
      <c r="BD265" s="200"/>
      <c r="BE265" s="200"/>
      <c r="BF265" s="200"/>
      <c r="BG265" s="200"/>
      <c r="BH265" s="200"/>
      <c r="BK265" s="196"/>
      <c r="BL265" s="196"/>
      <c r="BM265" s="196"/>
      <c r="BN265" s="196"/>
      <c r="BO265" s="196"/>
      <c r="BP265" s="196"/>
      <c r="BQ265" s="221" t="s">
        <v>843</v>
      </c>
      <c r="BR265" s="222"/>
      <c r="BS265" s="222"/>
      <c r="BT265" s="223"/>
      <c r="BU265" s="222" t="s">
        <v>843</v>
      </c>
      <c r="BV265" s="222"/>
      <c r="BW265" s="222"/>
      <c r="BX265" s="224"/>
      <c r="BY265" s="222"/>
      <c r="BZ265" s="222"/>
      <c r="CA265" s="222"/>
      <c r="CB265" s="222"/>
      <c r="CC265" s="222"/>
      <c r="CD265" s="222"/>
      <c r="CE265" s="222"/>
      <c r="CF265" s="222"/>
      <c r="CG265" s="224"/>
      <c r="CH265" s="222"/>
      <c r="CI265" s="222"/>
      <c r="CJ265" s="223"/>
      <c r="CK265" s="196"/>
      <c r="CL265" s="196"/>
      <c r="CM265" s="196"/>
      <c r="CN265" s="196"/>
      <c r="CO265" s="196"/>
      <c r="CP265" s="196"/>
      <c r="CQ265" s="196"/>
      <c r="CR265" s="196"/>
      <c r="CS265" s="196"/>
      <c r="CT265" s="196"/>
      <c r="CU265" s="196"/>
      <c r="CV265" s="196"/>
      <c r="CW265" s="196"/>
      <c r="CX265" s="196"/>
      <c r="CY265" s="196"/>
      <c r="CZ265" s="196"/>
      <c r="DA265" s="196"/>
      <c r="DB265" s="196"/>
      <c r="DC265" s="196"/>
      <c r="DD265" s="196"/>
      <c r="DE265" s="196"/>
      <c r="DF265" s="196"/>
      <c r="DG265" s="196"/>
      <c r="DH265" s="196"/>
      <c r="DI265" s="196"/>
      <c r="DJ265" s="196"/>
      <c r="DK265" s="196"/>
      <c r="DL265" s="196"/>
      <c r="DM265" s="196"/>
      <c r="DN265" s="196"/>
      <c r="DO265" s="196"/>
      <c r="DP265" s="196"/>
      <c r="DQ265" s="196"/>
      <c r="DR265" s="196"/>
      <c r="DS265" s="196"/>
      <c r="DT265" s="196"/>
      <c r="DU265" s="196"/>
      <c r="DV265" s="196"/>
      <c r="DW265" s="196"/>
      <c r="DX265" s="196"/>
      <c r="DY265" s="196"/>
      <c r="DZ265" s="196"/>
      <c r="EA265" s="196"/>
      <c r="EB265" s="196"/>
      <c r="EC265" s="196"/>
      <c r="ED265" s="196"/>
      <c r="EE265" s="196"/>
      <c r="EF265" s="196"/>
      <c r="EG265" s="196"/>
      <c r="EH265" s="196"/>
      <c r="EI265" s="196"/>
      <c r="EJ265" s="196"/>
      <c r="EK265" s="196"/>
      <c r="EL265" s="196"/>
      <c r="EM265" s="221" t="s">
        <v>7</v>
      </c>
      <c r="EN265" s="222"/>
      <c r="EO265" s="222"/>
      <c r="EP265" s="222"/>
      <c r="EQ265" s="222"/>
      <c r="ER265" s="222"/>
      <c r="ES265" s="222"/>
      <c r="ET265" s="224"/>
      <c r="EU265" s="222"/>
      <c r="EV265" s="222"/>
      <c r="EW265" s="222"/>
      <c r="EX265" s="222"/>
      <c r="EY265" s="222"/>
      <c r="EZ265" s="222"/>
      <c r="FA265" s="222"/>
      <c r="FB265" s="222"/>
      <c r="FC265" s="222"/>
      <c r="FD265" s="222"/>
      <c r="FE265" s="223"/>
      <c r="FF265" s="196"/>
      <c r="FG265" s="196"/>
      <c r="FH265" s="221" t="s">
        <v>12</v>
      </c>
      <c r="FI265" s="222"/>
      <c r="FJ265" s="222"/>
      <c r="FK265" s="222"/>
      <c r="FL265" s="222"/>
      <c r="FM265" s="222"/>
      <c r="FN265" s="222"/>
      <c r="FO265" s="224"/>
      <c r="FP265" s="222"/>
      <c r="FQ265" s="222"/>
      <c r="FR265" s="222"/>
      <c r="FS265" s="222"/>
      <c r="FT265" s="222"/>
      <c r="FU265" s="222"/>
      <c r="FV265" s="222"/>
      <c r="FW265" s="222"/>
      <c r="FX265" s="222"/>
      <c r="FY265" s="222"/>
      <c r="FZ265" s="223"/>
      <c r="GA265" s="196"/>
      <c r="GD265" s="339"/>
      <c r="GE265" s="339"/>
      <c r="GF265" s="339"/>
      <c r="GG265" s="339"/>
      <c r="GH265" s="339"/>
      <c r="GI265" s="339"/>
      <c r="GJ265" s="339"/>
      <c r="GK265" s="339"/>
      <c r="GL265" s="339"/>
      <c r="GM265" s="339"/>
      <c r="GN265" s="339"/>
      <c r="GO265" s="339"/>
      <c r="GP265" s="339"/>
      <c r="GQ265" s="339"/>
      <c r="GR265" s="339"/>
      <c r="GS265" s="339"/>
      <c r="GT265" s="339"/>
      <c r="GU265" s="339"/>
      <c r="GV265" s="339"/>
      <c r="GW265" s="339"/>
      <c r="GX265" s="339"/>
      <c r="GY265" s="339"/>
      <c r="GZ265" s="339"/>
      <c r="HA265" s="339"/>
      <c r="HB265" s="339"/>
      <c r="HC265" s="339"/>
      <c r="HD265" s="339"/>
      <c r="HE265" s="339"/>
      <c r="HF265" s="339"/>
      <c r="HG265" s="339"/>
      <c r="HH265" s="339"/>
      <c r="HI265" s="339"/>
      <c r="HJ265" s="339"/>
      <c r="HK265" s="339"/>
      <c r="HL265" s="339"/>
      <c r="HM265" s="339"/>
      <c r="HN265" s="339"/>
      <c r="HO265" s="339"/>
      <c r="HP265" s="339"/>
      <c r="HQ265" s="339"/>
      <c r="HR265" s="339"/>
    </row>
    <row r="266" spans="1:238" ht="14.1" customHeight="1">
      <c r="B266" s="225"/>
      <c r="C266" s="304"/>
      <c r="D266" s="304"/>
      <c r="E266" s="304"/>
      <c r="F266" s="304"/>
      <c r="G266" s="304"/>
      <c r="H266" s="304"/>
      <c r="I266" s="304"/>
      <c r="J266" s="304"/>
      <c r="K266" s="166"/>
      <c r="L266" s="166"/>
      <c r="M266" s="166"/>
      <c r="N266" s="304"/>
      <c r="O266" s="304"/>
      <c r="P266" s="166"/>
      <c r="Q266" s="166"/>
      <c r="R266" s="304"/>
      <c r="S266" s="304"/>
      <c r="T266" s="304"/>
      <c r="U266" s="304"/>
      <c r="V266" s="304"/>
      <c r="W266" s="304"/>
      <c r="X266" s="166"/>
      <c r="Y266" s="166"/>
      <c r="Z266" s="305"/>
      <c r="AA266" s="63"/>
      <c r="AB266" s="63"/>
      <c r="AC266" s="63"/>
      <c r="AD266" s="63"/>
      <c r="AE266" s="63"/>
      <c r="AF266" s="63"/>
      <c r="AJ266" s="173" t="str">
        <f>IF(AK265="D",CONCATENATE(AI265,".",2),"")</f>
        <v/>
      </c>
      <c r="AL266" s="200"/>
      <c r="AM266" s="200" t="str">
        <f>IF(AK265="D",VLOOKUP(AJ266,'Matchblatt  FEUILLE DE MATCH'!AK:AS,8,FALSE),"")</f>
        <v/>
      </c>
      <c r="AN266" s="200"/>
      <c r="AO266" s="200"/>
      <c r="AP266" s="200"/>
      <c r="AQ266" s="200"/>
      <c r="AR266" s="200"/>
      <c r="AS266" s="200"/>
      <c r="AT266" s="200"/>
      <c r="AU266" s="200"/>
      <c r="AV266" s="200"/>
      <c r="AW266" s="200"/>
      <c r="AX266" s="200"/>
      <c r="AY266" s="200"/>
      <c r="AZ266" s="200"/>
      <c r="BA266" s="200" t="str">
        <f>IF(AK265="D",VLOOKUP(AJ266,'Matchblatt  FEUILLE DE MATCH'!AK:AS,9,FALSE),"")</f>
        <v/>
      </c>
      <c r="BB266" s="63"/>
      <c r="BC266" s="63"/>
      <c r="BD266" s="63"/>
      <c r="BE266" s="63"/>
      <c r="BF266" s="63"/>
      <c r="BG266" s="63"/>
      <c r="BH266" s="63"/>
      <c r="BK266" s="166" t="s">
        <v>7</v>
      </c>
      <c r="BL266" s="166" t="s">
        <v>12</v>
      </c>
      <c r="BM266" s="166"/>
      <c r="BN266" s="166" t="s">
        <v>7</v>
      </c>
      <c r="BO266" s="166" t="s">
        <v>12</v>
      </c>
      <c r="BP266" s="166"/>
      <c r="BQ266" s="226" t="s">
        <v>894</v>
      </c>
      <c r="BR266" s="227" t="s">
        <v>895</v>
      </c>
      <c r="BS266" s="228" t="s">
        <v>896</v>
      </c>
      <c r="BT266" s="229"/>
      <c r="BU266" s="226" t="s">
        <v>7</v>
      </c>
      <c r="BV266" s="166"/>
      <c r="BW266" s="166"/>
      <c r="BX266" s="230"/>
      <c r="BY266" s="166"/>
      <c r="BZ266" s="166"/>
      <c r="CA266" s="227"/>
      <c r="CB266" s="166"/>
      <c r="CC266" s="166"/>
      <c r="CD266" s="226" t="s">
        <v>12</v>
      </c>
      <c r="CE266" s="166"/>
      <c r="CF266" s="166"/>
      <c r="CG266" s="230"/>
      <c r="CH266" s="166"/>
      <c r="CI266" s="166"/>
      <c r="CJ266" s="227"/>
      <c r="CK266" s="166"/>
      <c r="CL266" s="166" t="s">
        <v>897</v>
      </c>
      <c r="CM266" s="166"/>
      <c r="CN266" s="166"/>
      <c r="CO266" s="166"/>
      <c r="CP266" s="166"/>
      <c r="CQ266" s="166"/>
      <c r="CR266" s="166"/>
      <c r="CS266" s="166"/>
      <c r="CT266" s="166"/>
      <c r="CU266" s="166" t="s">
        <v>843</v>
      </c>
      <c r="CV266" s="166"/>
      <c r="CW266" s="166" t="s">
        <v>843</v>
      </c>
      <c r="CX266" s="166"/>
      <c r="CY266" s="166"/>
      <c r="CZ266" s="166"/>
      <c r="DA266" s="166"/>
      <c r="DB266" s="166"/>
      <c r="DC266" s="166"/>
      <c r="DD266" s="166" t="s">
        <v>894</v>
      </c>
      <c r="DE266" s="166" t="s">
        <v>895</v>
      </c>
      <c r="DF266" s="166"/>
      <c r="DG266" s="166" t="s">
        <v>927</v>
      </c>
      <c r="DH266" s="166"/>
      <c r="DI266" s="166"/>
      <c r="DJ266" s="166"/>
      <c r="DK266" s="166"/>
      <c r="DL266" s="166"/>
      <c r="DM266" s="166"/>
      <c r="DN266" s="166" t="s">
        <v>928</v>
      </c>
      <c r="DO266" s="166" t="s">
        <v>929</v>
      </c>
      <c r="DP266" s="166"/>
      <c r="DQ266" s="166"/>
      <c r="DR266" s="166"/>
      <c r="DS266" s="166"/>
      <c r="DT266" s="166"/>
      <c r="DU266" s="166"/>
      <c r="DV266" s="166" t="s">
        <v>894</v>
      </c>
      <c r="DW266" s="166" t="s">
        <v>895</v>
      </c>
      <c r="DX266" s="166"/>
      <c r="DY266" s="166"/>
      <c r="DZ266" s="166"/>
      <c r="EA266" s="166"/>
      <c r="EB266" s="166"/>
      <c r="EC266" s="166"/>
      <c r="ED266" s="166" t="s">
        <v>894</v>
      </c>
      <c r="EE266" s="166" t="s">
        <v>895</v>
      </c>
      <c r="EF266" s="166"/>
      <c r="EG266" s="166"/>
      <c r="EH266" s="166"/>
      <c r="EI266" s="166"/>
      <c r="EJ266" s="166"/>
      <c r="EK266" s="166"/>
      <c r="EL266" s="166"/>
      <c r="EM266" s="166"/>
      <c r="EN266" s="166"/>
      <c r="EO266" s="166"/>
      <c r="EP266" s="166"/>
      <c r="EQ266" s="166"/>
      <c r="ER266" s="166"/>
      <c r="ES266" s="166"/>
      <c r="ET266" s="230"/>
      <c r="EU266" s="166"/>
      <c r="EV266" s="166"/>
      <c r="EW266" s="166"/>
      <c r="EX266" s="166"/>
      <c r="EY266" s="166"/>
      <c r="EZ266" s="166"/>
      <c r="FA266" s="166"/>
      <c r="FB266" s="166"/>
      <c r="FC266" s="166"/>
      <c r="FD266" s="166"/>
      <c r="FE266" s="166"/>
      <c r="FF266" s="166"/>
      <c r="FG266" s="166"/>
      <c r="FH266" s="166"/>
      <c r="FI266" s="166"/>
      <c r="FJ266" s="166"/>
      <c r="FK266" s="166"/>
      <c r="FL266" s="166"/>
      <c r="FM266" s="166"/>
      <c r="FN266" s="166"/>
      <c r="FO266" s="230"/>
      <c r="FP266" s="166"/>
      <c r="FQ266" s="166"/>
      <c r="FR266" s="166"/>
      <c r="FS266" s="166"/>
      <c r="FT266" s="166"/>
      <c r="FU266" s="166"/>
      <c r="FV266" s="166"/>
      <c r="FW266" s="166"/>
      <c r="FX266" s="166"/>
      <c r="FY266" s="166"/>
      <c r="FZ266" s="166"/>
      <c r="GA266" s="166"/>
      <c r="GD266" s="339"/>
      <c r="GE266" s="339"/>
      <c r="GF266" s="339"/>
      <c r="GG266" s="339"/>
      <c r="GH266" s="339"/>
      <c r="GI266" s="339"/>
      <c r="GJ266" s="339"/>
      <c r="GK266" s="339"/>
      <c r="GL266" s="339"/>
      <c r="GM266" s="339"/>
      <c r="GN266" s="339"/>
      <c r="GO266" s="339"/>
      <c r="GP266" s="339"/>
      <c r="GQ266" s="339"/>
      <c r="GR266" s="339"/>
      <c r="GS266" s="339"/>
      <c r="GT266" s="339"/>
      <c r="GU266" s="339"/>
      <c r="GV266" s="339"/>
      <c r="GW266" s="339"/>
      <c r="GX266" s="339"/>
      <c r="GY266" s="339"/>
      <c r="GZ266" s="339"/>
      <c r="HA266" s="339"/>
      <c r="HB266" s="339"/>
      <c r="HC266" s="339"/>
      <c r="HD266" s="339"/>
      <c r="HE266" s="339"/>
      <c r="HF266" s="339"/>
      <c r="HG266" s="339"/>
      <c r="HH266" s="339"/>
      <c r="HI266" s="339"/>
      <c r="HJ266" s="339"/>
      <c r="HK266" s="339"/>
      <c r="HL266" s="339"/>
      <c r="HM266" s="339"/>
      <c r="HN266" s="339"/>
      <c r="HO266" s="339"/>
      <c r="HP266" s="339"/>
      <c r="HQ266" s="339"/>
      <c r="HR266" s="339"/>
    </row>
    <row r="267" spans="1:238" s="234" customFormat="1" ht="20.100000000000001" customHeight="1">
      <c r="A267" s="235"/>
      <c r="B267" s="231"/>
      <c r="C267" s="232" t="str">
        <f>REPT(Sprache!$K$12,1)</f>
        <v>SPIEL</v>
      </c>
      <c r="D267" s="233" t="s">
        <v>869</v>
      </c>
      <c r="E267" s="233" t="str">
        <f>REPT(Sprache!$K$62,1)</f>
        <v>Punkte</v>
      </c>
      <c r="F267" s="233" t="str">
        <f>REPT(Sprache!$K$61,1)</f>
        <v>Rest</v>
      </c>
      <c r="G267" s="233" t="s">
        <v>898</v>
      </c>
      <c r="H267" s="233" t="s">
        <v>848</v>
      </c>
      <c r="I267" s="233">
        <v>180</v>
      </c>
      <c r="J267" s="233" t="str">
        <f>REPT(Sprache!$K$63,1)</f>
        <v>Fehler</v>
      </c>
      <c r="L267" s="306" t="s">
        <v>923</v>
      </c>
      <c r="M267" s="307"/>
      <c r="P267" s="306" t="s">
        <v>923</v>
      </c>
      <c r="R267" s="232" t="str">
        <f>REPT(Sprache!$K$12,1)</f>
        <v>SPIEL</v>
      </c>
      <c r="S267" s="233" t="s">
        <v>869</v>
      </c>
      <c r="T267" s="233" t="str">
        <f>REPT(Sprache!$K$62,1)</f>
        <v>Punkte</v>
      </c>
      <c r="U267" s="233" t="str">
        <f>REPT(Sprache!$K$61,1)</f>
        <v>Rest</v>
      </c>
      <c r="V267" s="233" t="s">
        <v>898</v>
      </c>
      <c r="W267" s="233" t="s">
        <v>848</v>
      </c>
      <c r="X267" s="233">
        <v>180</v>
      </c>
      <c r="Y267" s="233" t="str">
        <f>REPT(Sprache!$K$63,1)</f>
        <v>Fehler</v>
      </c>
      <c r="Z267" s="308"/>
      <c r="AD267" s="235"/>
      <c r="AE267" s="236" t="s">
        <v>966</v>
      </c>
      <c r="AF267" s="236" t="s">
        <v>967</v>
      </c>
      <c r="AG267" s="236" t="s">
        <v>965</v>
      </c>
      <c r="AH267" s="237" t="str">
        <f>LEFT($BM$6,10)</f>
        <v/>
      </c>
      <c r="AI267" s="237" t="str">
        <f>LEFT($BN$6,10)</f>
        <v/>
      </c>
      <c r="AJ267" s="237" t="s">
        <v>898</v>
      </c>
      <c r="AK267" s="237" t="s">
        <v>848</v>
      </c>
      <c r="AL267" s="237">
        <v>180</v>
      </c>
      <c r="AM267" s="237" t="str">
        <f>LEFT($BL$6,50)</f>
        <v/>
      </c>
      <c r="AN267" s="235"/>
      <c r="AO267" s="235"/>
      <c r="AP267" s="235"/>
      <c r="AQ267" s="235"/>
      <c r="AR267" s="235"/>
      <c r="AS267" s="235"/>
      <c r="AT267" s="235"/>
      <c r="AU267" s="235"/>
      <c r="AV267" s="237" t="str">
        <f>LEFT($BM$6,10)</f>
        <v/>
      </c>
      <c r="AW267" s="237" t="str">
        <f>LEFT($BN$6,10)</f>
        <v/>
      </c>
      <c r="AX267" s="237" t="s">
        <v>898</v>
      </c>
      <c r="AY267" s="237" t="s">
        <v>848</v>
      </c>
      <c r="AZ267" s="237">
        <v>180</v>
      </c>
      <c r="BA267" s="237" t="str">
        <f>LEFT($BL$6,50)</f>
        <v/>
      </c>
      <c r="BI267" s="238"/>
      <c r="BJ267" s="238"/>
      <c r="BK267" s="238" t="s">
        <v>165</v>
      </c>
      <c r="BL267" s="238" t="s">
        <v>165</v>
      </c>
      <c r="BM267" s="239" t="s">
        <v>165</v>
      </c>
      <c r="BN267" s="239" t="s">
        <v>899</v>
      </c>
      <c r="BO267" s="239" t="s">
        <v>899</v>
      </c>
      <c r="BP267" s="239" t="s">
        <v>900</v>
      </c>
      <c r="BQ267" s="240" t="s">
        <v>901</v>
      </c>
      <c r="BR267" s="241"/>
      <c r="BS267" s="242" t="s">
        <v>926</v>
      </c>
      <c r="BT267" s="243"/>
      <c r="BU267" s="242" t="s">
        <v>902</v>
      </c>
      <c r="BV267" s="238"/>
      <c r="BW267" s="238"/>
      <c r="BX267" s="244"/>
      <c r="BY267" s="238"/>
      <c r="BZ267" s="238" t="s">
        <v>903</v>
      </c>
      <c r="CA267" s="243" t="s">
        <v>904</v>
      </c>
      <c r="CB267" s="238"/>
      <c r="CC267" s="238"/>
      <c r="CD267" s="242" t="s">
        <v>902</v>
      </c>
      <c r="CE267" s="238"/>
      <c r="CF267" s="238"/>
      <c r="CG267" s="244"/>
      <c r="CH267" s="238"/>
      <c r="CI267" s="238" t="s">
        <v>903</v>
      </c>
      <c r="CJ267" s="243" t="s">
        <v>904</v>
      </c>
      <c r="CK267" s="238"/>
      <c r="CL267" s="245" t="s">
        <v>905</v>
      </c>
      <c r="CM267" s="245" t="s">
        <v>906</v>
      </c>
      <c r="CN267" s="245" t="s">
        <v>907</v>
      </c>
      <c r="CO267" s="245" t="s">
        <v>908</v>
      </c>
      <c r="CP267" s="245" t="s">
        <v>909</v>
      </c>
      <c r="CQ267" s="246" t="s">
        <v>910</v>
      </c>
      <c r="CR267" s="247"/>
      <c r="CS267" s="246" t="s">
        <v>911</v>
      </c>
      <c r="CT267" s="248"/>
      <c r="CU267" s="246" t="s">
        <v>912</v>
      </c>
      <c r="CV267" s="248"/>
      <c r="CW267" s="246" t="s">
        <v>913</v>
      </c>
      <c r="CX267" s="248"/>
      <c r="CY267" s="238"/>
      <c r="CZ267" s="238"/>
      <c r="DA267" s="238"/>
      <c r="DB267" s="238"/>
      <c r="DC267" s="249" t="s">
        <v>165</v>
      </c>
      <c r="DD267" s="249" t="s">
        <v>165</v>
      </c>
      <c r="DE267" s="249" t="s">
        <v>165</v>
      </c>
      <c r="DF267" s="238"/>
      <c r="DG267" s="238" t="s">
        <v>914</v>
      </c>
      <c r="DH267" s="238" t="s">
        <v>930</v>
      </c>
      <c r="DI267" s="238" t="s">
        <v>931</v>
      </c>
      <c r="DK267" s="238" t="s">
        <v>932</v>
      </c>
      <c r="DL267" s="238" t="s">
        <v>933</v>
      </c>
      <c r="DM267" s="238" t="s">
        <v>869</v>
      </c>
      <c r="DN267" s="230" t="s">
        <v>915</v>
      </c>
      <c r="DO267" s="250" t="s">
        <v>915</v>
      </c>
      <c r="DP267" s="322" t="s">
        <v>934</v>
      </c>
      <c r="DQ267" s="238"/>
      <c r="DR267" s="166" t="s">
        <v>894</v>
      </c>
      <c r="DS267" s="166" t="s">
        <v>895</v>
      </c>
      <c r="DT267" s="166" t="s">
        <v>935</v>
      </c>
      <c r="DU267" s="166" t="s">
        <v>936</v>
      </c>
      <c r="DV267" s="251" t="s">
        <v>165</v>
      </c>
      <c r="DW267" s="251" t="s">
        <v>165</v>
      </c>
      <c r="DX267" s="238" t="s">
        <v>916</v>
      </c>
      <c r="DY267" s="238"/>
      <c r="DZ267" s="238"/>
      <c r="EA267" s="238"/>
      <c r="EB267" s="238"/>
      <c r="EC267" s="238"/>
      <c r="ED267" s="251" t="s">
        <v>165</v>
      </c>
      <c r="EE267" s="251" t="s">
        <v>165</v>
      </c>
      <c r="EF267" s="166"/>
      <c r="EG267" s="238"/>
      <c r="EH267" s="238"/>
      <c r="EI267" s="238"/>
      <c r="EJ267" s="238"/>
      <c r="EK267" s="238"/>
      <c r="EL267" s="238"/>
      <c r="EM267" s="238"/>
      <c r="EN267" s="238"/>
      <c r="EO267" s="246" t="s">
        <v>917</v>
      </c>
      <c r="EP267" s="247"/>
      <c r="EQ267" s="247"/>
      <c r="ER267" s="247"/>
      <c r="ES267" s="247"/>
      <c r="ET267" s="252"/>
      <c r="EU267" s="248"/>
      <c r="EV267" s="246" t="s">
        <v>918</v>
      </c>
      <c r="EW267" s="247"/>
      <c r="EX267" s="248"/>
      <c r="EY267" s="251" t="s">
        <v>165</v>
      </c>
      <c r="EZ267" s="246" t="s">
        <v>919</v>
      </c>
      <c r="FA267" s="247"/>
      <c r="FB267" s="248"/>
      <c r="FC267" s="246" t="s">
        <v>920</v>
      </c>
      <c r="FD267" s="247"/>
      <c r="FE267" s="248"/>
      <c r="FF267" s="238"/>
      <c r="FG267" s="238"/>
      <c r="FH267" s="238"/>
      <c r="FI267" s="238"/>
      <c r="FJ267" s="246" t="s">
        <v>917</v>
      </c>
      <c r="FK267" s="247"/>
      <c r="FL267" s="247"/>
      <c r="FM267" s="247"/>
      <c r="FN267" s="247"/>
      <c r="FO267" s="252"/>
      <c r="FP267" s="248"/>
      <c r="FQ267" s="246" t="s">
        <v>918</v>
      </c>
      <c r="FR267" s="247"/>
      <c r="FS267" s="248"/>
      <c r="FT267" s="251" t="s">
        <v>165</v>
      </c>
      <c r="FU267" s="246" t="s">
        <v>919</v>
      </c>
      <c r="FV267" s="247"/>
      <c r="FW267" s="248"/>
      <c r="FX267" s="246" t="s">
        <v>920</v>
      </c>
      <c r="FY267" s="247"/>
      <c r="FZ267" s="248"/>
      <c r="GD267" s="340"/>
      <c r="GE267" s="340"/>
      <c r="GF267" s="341" t="s">
        <v>968</v>
      </c>
      <c r="GG267" s="340"/>
      <c r="GH267" s="340"/>
      <c r="GI267" s="340"/>
      <c r="GJ267" s="341" t="s">
        <v>972</v>
      </c>
      <c r="GK267" s="340"/>
      <c r="GL267" s="340"/>
      <c r="GM267" s="340"/>
      <c r="GN267" s="341" t="s">
        <v>971</v>
      </c>
      <c r="GO267" s="340"/>
      <c r="GP267" s="340"/>
      <c r="GQ267" s="340"/>
      <c r="GR267" s="341" t="s">
        <v>970</v>
      </c>
      <c r="GS267" s="340"/>
      <c r="GT267" s="340"/>
      <c r="GU267" s="340"/>
      <c r="GV267" s="341" t="s">
        <v>969</v>
      </c>
      <c r="GW267" s="340"/>
      <c r="GX267" s="340"/>
      <c r="GY267" s="340"/>
      <c r="GZ267" s="342" t="s">
        <v>973</v>
      </c>
      <c r="HA267" s="340"/>
      <c r="HB267" s="340"/>
      <c r="HC267" s="340"/>
      <c r="HD267" s="342" t="s">
        <v>974</v>
      </c>
      <c r="HE267" s="340"/>
      <c r="HF267" s="340"/>
      <c r="HG267" s="340"/>
      <c r="HH267" s="340"/>
      <c r="HI267" s="340"/>
      <c r="HJ267" s="340"/>
      <c r="HK267" s="340"/>
      <c r="HL267" s="340"/>
      <c r="HM267" s="341"/>
      <c r="HN267" s="341"/>
      <c r="HO267" s="341"/>
      <c r="HP267" s="341"/>
      <c r="HQ267" s="341"/>
      <c r="HR267" s="341"/>
      <c r="HS267" s="238"/>
      <c r="HT267" s="238"/>
      <c r="HU267" s="238"/>
      <c r="HV267" s="238"/>
      <c r="HX267" s="238"/>
      <c r="HY267" s="238"/>
      <c r="HZ267" s="238"/>
      <c r="ID267" s="238"/>
    </row>
    <row r="268" spans="1:238" s="234" customFormat="1" ht="20.100000000000001" customHeight="1">
      <c r="A268" s="235"/>
      <c r="B268" s="231">
        <f>COUNT(AJ269,AJ268)</f>
        <v>0</v>
      </c>
      <c r="C268" s="325" t="str">
        <f>CONCATENATE(BG268,BE268)</f>
        <v>HS</v>
      </c>
      <c r="D268" s="253" t="str">
        <f>REPT(DN268,1)</f>
        <v>1</v>
      </c>
      <c r="E268" s="254" t="str">
        <f>REPT(AH268,1)</f>
        <v/>
      </c>
      <c r="F268" s="168"/>
      <c r="G268" s="168"/>
      <c r="H268" s="168"/>
      <c r="I268" s="169"/>
      <c r="J268" s="255" t="str">
        <f>REPT(AM268,1)</f>
        <v/>
      </c>
      <c r="L268" s="309">
        <f>SUM(BS277)</f>
        <v>0</v>
      </c>
      <c r="M268" s="238"/>
      <c r="N268" s="255" t="str">
        <f>REPT(AP268,1)</f>
        <v/>
      </c>
      <c r="P268" s="309">
        <f>SUM(CF277)</f>
        <v>0</v>
      </c>
      <c r="Q268" s="310"/>
      <c r="R268" s="323" t="str">
        <f>CONCATENATE(BH268,BE268)</f>
        <v>GS</v>
      </c>
      <c r="S268" s="253" t="str">
        <f>REPT(DO268,1)</f>
        <v>1</v>
      </c>
      <c r="T268" s="254" t="str">
        <f>REPT(AV268,1)</f>
        <v/>
      </c>
      <c r="U268" s="168"/>
      <c r="V268" s="168"/>
      <c r="W268" s="168"/>
      <c r="X268" s="169"/>
      <c r="Y268" s="255" t="str">
        <f>REPT(BA268,1)</f>
        <v/>
      </c>
      <c r="Z268" s="308"/>
      <c r="AB268" s="234">
        <f>IF(AY268="",0,IF(AY268&lt;2,1,""))</f>
        <v>0</v>
      </c>
      <c r="AC268" s="238">
        <f>IF(AD268=1,1,IF(AD268=3,1,IF(AD268=2,0,IF(AD268=0,0,0))))</f>
        <v>0</v>
      </c>
      <c r="AD268" s="256">
        <f>SUM(AE268:AG268)</f>
        <v>0</v>
      </c>
      <c r="AE268" s="256">
        <f t="shared" ref="AE268:AE272" si="644">IF(F268="",0,1)</f>
        <v>0</v>
      </c>
      <c r="AF268" s="256">
        <f t="shared" ref="AF268:AF272" si="645">IF(G268="",0,1)</f>
        <v>0</v>
      </c>
      <c r="AG268" s="256">
        <f>IF(H268="",0,1)</f>
        <v>0</v>
      </c>
      <c r="AH268" s="257" t="str">
        <f>IF(AK268="",IF(AI268="","",IF(AI268="",501,501-AI268)),501)</f>
        <v/>
      </c>
      <c r="AI268" s="256" t="str">
        <f>IF(F268&gt;1,F268,IF(F268=0,"",IF(F268="","","")))</f>
        <v/>
      </c>
      <c r="AJ268" s="256" t="str">
        <f>IF(G268&gt;8,G268,IF(G268="","",""))</f>
        <v/>
      </c>
      <c r="AK268" s="256" t="str">
        <f>IF(H268&gt;1,H268,IF(H268="","",""))</f>
        <v/>
      </c>
      <c r="AL268" s="256" t="str">
        <f>IF(I268&gt;0,I268,IF(I268="","",""))</f>
        <v/>
      </c>
      <c r="AM268" s="258" t="str">
        <f>IF(BK268=0,"","X")</f>
        <v/>
      </c>
      <c r="AN268" s="237"/>
      <c r="AO268" s="237"/>
      <c r="AP268" s="258" t="str">
        <f>IF(BM268=0,"","X")</f>
        <v/>
      </c>
      <c r="AQ268" s="236">
        <f>IF(AR268=1,1,IF(AR268=3,1,IF(AR268=2,0,IF(AR268=0,0,0))))</f>
        <v>0</v>
      </c>
      <c r="AR268" s="256">
        <f>SUM(AS268:AU268)</f>
        <v>0</v>
      </c>
      <c r="AS268" s="256">
        <f t="shared" ref="AS268:AS272" si="646">IF(U268="",0,1)</f>
        <v>0</v>
      </c>
      <c r="AT268" s="256">
        <f t="shared" ref="AT268:AT272" si="647">IF(V268="",0,1)</f>
        <v>0</v>
      </c>
      <c r="AU268" s="256">
        <f>IF(W268="",0,1)</f>
        <v>0</v>
      </c>
      <c r="AV268" s="257" t="str">
        <f>IF(AY268="",IF(AW268="","",IF(AW268="",501,501-AW268)),501)</f>
        <v/>
      </c>
      <c r="AW268" s="256" t="str">
        <f>IF(U268&gt;1,U268,IF(U268=0,"",IF(U268="","","")))</f>
        <v/>
      </c>
      <c r="AX268" s="256" t="str">
        <f>IF(V268&gt;8,V268,IF(V268="","",""))</f>
        <v/>
      </c>
      <c r="AY268" s="256" t="str">
        <f>IF(W268&gt;1,W268,IF(W268="","",""))</f>
        <v/>
      </c>
      <c r="AZ268" s="256" t="str">
        <f>IF(X268&gt;0,X268,IF(X268="","",""))</f>
        <v/>
      </c>
      <c r="BA268" s="258" t="str">
        <f>IF(BL268=0,"","X")</f>
        <v/>
      </c>
      <c r="BF268" s="238" t="s">
        <v>894</v>
      </c>
      <c r="BG268" s="238" t="str">
        <f>CONCATENATE(BF268,AK265)</f>
        <v>HS</v>
      </c>
      <c r="BH268" s="238" t="str">
        <f>CONCATENATE(BI268,AK265)</f>
        <v>GS</v>
      </c>
      <c r="BI268" s="238" t="s">
        <v>895</v>
      </c>
      <c r="BJ268" s="238"/>
      <c r="BK268" s="251">
        <f>SUM(DD268,DV268,EY268,ED268,FF268,BQ268,BS268,AC268)</f>
        <v>0</v>
      </c>
      <c r="BL268" s="251">
        <f>SUM(DE268,DW268,EE268,FT268,GA268,BR268,BT268,AQ268)</f>
        <v>0</v>
      </c>
      <c r="BM268" s="259">
        <f>SUM(DC268,BK268:BL268,AC268,AQ268)</f>
        <v>0</v>
      </c>
      <c r="BN268" s="239">
        <f>COUNT(AK268)</f>
        <v>0</v>
      </c>
      <c r="BO268" s="239">
        <f>COUNT(AY268)</f>
        <v>0</v>
      </c>
      <c r="BP268" s="239">
        <f>IF(BN270=0,0,1)</f>
        <v>0</v>
      </c>
      <c r="BQ268" s="260">
        <f>IF(AL268="",0,IF(AL268&gt;2,1,0))</f>
        <v>0</v>
      </c>
      <c r="BR268" s="261">
        <f>IF(AZ268="",0,IF(AZ268&gt;2,1,0))</f>
        <v>0</v>
      </c>
      <c r="BS268" s="262">
        <f>IF(AJ268=9,IF(AK268&lt;141,1,0),0)</f>
        <v>0</v>
      </c>
      <c r="BT268" s="263">
        <f>IF(AX268=9,IF(AY268&lt;141,1,0),0)</f>
        <v>0</v>
      </c>
      <c r="BU268" s="242">
        <f>IF(H268,G268,0)</f>
        <v>0</v>
      </c>
      <c r="BV268" s="238">
        <f>IF(BU268&gt;0,AJ268/3,0)</f>
        <v>0</v>
      </c>
      <c r="BW268" s="238">
        <f>ROUNDUP(BV268,0)</f>
        <v>0</v>
      </c>
      <c r="BX268" s="244">
        <f>IF(MOD(BW268,2)=0,BW268,BW268+1)</f>
        <v>0</v>
      </c>
      <c r="BY268" s="238">
        <f>IF(AJ268&lt;9,"",SUM(BX268-BW268))</f>
        <v>0</v>
      </c>
      <c r="BZ268" s="238">
        <f>IF(BY268=1,AK268,0)</f>
        <v>0</v>
      </c>
      <c r="CA268" s="243" t="str">
        <f>IF(BY268=0,AK268,0)</f>
        <v/>
      </c>
      <c r="CB268" s="238"/>
      <c r="CC268" s="238"/>
      <c r="CD268" s="242">
        <f>IF(W268,V268,0)</f>
        <v>0</v>
      </c>
      <c r="CE268" s="238">
        <f>IF(CD268&gt;0,AX268/3,0)</f>
        <v>0</v>
      </c>
      <c r="CF268" s="238">
        <f>ROUNDUP(CE268,0)</f>
        <v>0</v>
      </c>
      <c r="CG268" s="244">
        <f>IF(MOD(CF268,2)=0,CF268,CF268+1)</f>
        <v>0</v>
      </c>
      <c r="CH268" s="238">
        <f>IF(AX268&lt;9,"",SUM(CG268-CF268))</f>
        <v>0</v>
      </c>
      <c r="CI268" s="238">
        <f>IF(CH268=1,AY268,0)</f>
        <v>0</v>
      </c>
      <c r="CJ268" s="243" t="str">
        <f>IF(CH268=0,AY268,0)</f>
        <v/>
      </c>
      <c r="CK268" s="238"/>
      <c r="CL268" s="245">
        <f>IF(COUNT(F268,H268)=1,0,1)</f>
        <v>1</v>
      </c>
      <c r="CM268" s="245">
        <f>IF(COUNT(F268,U268)=1,0,1)</f>
        <v>1</v>
      </c>
      <c r="CN268" s="245">
        <f>IF(COUNT(H268,W268)=1,0,1)</f>
        <v>1</v>
      </c>
      <c r="CO268" s="245">
        <f>IF(COUNT(G268,V268)=2,0,1)</f>
        <v>1</v>
      </c>
      <c r="CP268" s="245">
        <f>IF(COUNT(U268,W268)=1,0,1)</f>
        <v>1</v>
      </c>
      <c r="CQ268" s="245">
        <f>IF(SUM(G268-V268)&gt;3,1,0)</f>
        <v>0</v>
      </c>
      <c r="CR268" s="245">
        <f>IF(SUM(G268-V268)&lt;-3,1,0)</f>
        <v>0</v>
      </c>
      <c r="CS268" s="264">
        <f>IF(AJ268=9,IF(AH268&lt;141,1,0),IF(AH268="",0,IF(AH268&gt;1,0,1)))</f>
        <v>0</v>
      </c>
      <c r="CT268" s="264">
        <f>IF(AX268=9,IF(AV268&lt;141,1,0),IF(AV268="",0,IF(AV268&gt;1,0,1)))</f>
        <v>0</v>
      </c>
      <c r="CU268" s="264">
        <f>IF(AI268="",0,IF(AI268&lt;502,0,1))</f>
        <v>0</v>
      </c>
      <c r="CV268" s="264">
        <f>IF(AW268="",0,IF(AW268&lt;502,0,1))</f>
        <v>0</v>
      </c>
      <c r="CW268" s="264">
        <f>IF(AI268="",IF(AJ268&lt;9,1,0),IF(AJ268&lt;9,1,0))</f>
        <v>0</v>
      </c>
      <c r="CX268" s="264">
        <f>IF(AW268="",IF(AX268&lt;9,1,0),IF(AX268&lt;9,1,0))</f>
        <v>0</v>
      </c>
      <c r="CY268" s="374"/>
      <c r="CZ268" s="374"/>
      <c r="DA268" s="374"/>
      <c r="DB268" s="374"/>
      <c r="DC268" s="265">
        <f>IF(AJ268="",0,SUM(CL268:CX268))</f>
        <v>0</v>
      </c>
      <c r="DD268" s="265">
        <f>IF(AJ268="",0,SUM(CL268,CS268,CU268,CW268))</f>
        <v>0</v>
      </c>
      <c r="DE268" s="265">
        <f>IF(AJ268="",0,SUM(CP268,CT268,CV268,CX268))</f>
        <v>0</v>
      </c>
      <c r="DF268" s="238"/>
      <c r="DG268" s="248" t="str">
        <f>IF(G268="","",SUM(G268-V268))</f>
        <v/>
      </c>
      <c r="DH268" s="245">
        <f>IF(F268="",0,1)</f>
        <v>0</v>
      </c>
      <c r="DI268" s="245" t="str">
        <f>IF(DG268=0,DH268,DG268)</f>
        <v/>
      </c>
      <c r="DJ268" s="245" t="e">
        <f>SIGN(DI268)</f>
        <v>#VALUE!</v>
      </c>
      <c r="DK268" s="245" t="str">
        <f>IF(G268="","",IF(DJ268=1,"*",""))</f>
        <v/>
      </c>
      <c r="DL268" s="245" t="str">
        <f>IF(G268="","",IF(DJ268=-1,"*",IF(DJ268=0,"*","")))</f>
        <v/>
      </c>
      <c r="DM268" s="245">
        <v>1</v>
      </c>
      <c r="DN268" s="245" t="str">
        <f>CONCATENATE(DM268,DK268)</f>
        <v>1</v>
      </c>
      <c r="DO268" s="245" t="str">
        <f>CONCATENATE(DM268,DL268)</f>
        <v>1</v>
      </c>
      <c r="DP268" s="245">
        <f>IF(DK268="*",1,0)</f>
        <v>0</v>
      </c>
      <c r="DQ268" s="245">
        <f>IF(DL268="*",1,0)</f>
        <v>0</v>
      </c>
      <c r="DR268" s="245"/>
      <c r="DS268" s="245"/>
      <c r="DT268" s="245"/>
      <c r="DU268" s="245"/>
      <c r="DV268" s="266"/>
      <c r="DW268" s="266"/>
      <c r="DX268" s="238">
        <f>IF(AK268="",0,1)</f>
        <v>0</v>
      </c>
      <c r="DY268" s="238">
        <f>IF(DG268=-3,1,0)</f>
        <v>0</v>
      </c>
      <c r="DZ268" s="238">
        <f>SUM(DX268:DY268)</f>
        <v>0</v>
      </c>
      <c r="EA268" s="238">
        <f>IF(AK268="",1,0)</f>
        <v>1</v>
      </c>
      <c r="EB268" s="238">
        <f>IF(DG268=3,1,0)</f>
        <v>0</v>
      </c>
      <c r="EC268" s="238">
        <f>SUM(EA268:EB268)</f>
        <v>1</v>
      </c>
      <c r="ED268" s="267">
        <f>IF(EC268=2,1,0)</f>
        <v>0</v>
      </c>
      <c r="EE268" s="267">
        <f>IF(DZ268=2,1,0)</f>
        <v>0</v>
      </c>
      <c r="EG268" s="166"/>
      <c r="EH268" s="238"/>
      <c r="EI268" s="238"/>
      <c r="EJ268" s="238"/>
      <c r="EK268" s="238"/>
      <c r="EL268" s="238"/>
      <c r="EM268" s="245">
        <f>IF(AK268="",0,1)</f>
        <v>0</v>
      </c>
      <c r="EN268" s="245">
        <f>SUM(AK268)</f>
        <v>0</v>
      </c>
      <c r="EO268" s="268">
        <f>SUM(AJ268)</f>
        <v>0</v>
      </c>
      <c r="EP268" s="268">
        <f>SUM(G268/3)</f>
        <v>0</v>
      </c>
      <c r="EQ268" s="268" t="e">
        <f>SUM(EO268/EP268)</f>
        <v>#DIV/0!</v>
      </c>
      <c r="ER268" s="268">
        <f>ROUNDDOWN(EP268,0)</f>
        <v>0</v>
      </c>
      <c r="ES268" s="268">
        <f>SUM(EO268,-ER268*3)</f>
        <v>0</v>
      </c>
      <c r="ET268" s="269" t="b">
        <f>MOD(EN268/1,2)=0</f>
        <v>1</v>
      </c>
      <c r="EU268" s="245">
        <f>IF(ET268=FALSE,1,0)</f>
        <v>0</v>
      </c>
      <c r="EV268" s="245">
        <f>IF(EN268=50,0,IF(EN268&lt;40,1,0))</f>
        <v>1</v>
      </c>
      <c r="EW268" s="245">
        <f>SUM(EU268:EV268)</f>
        <v>1</v>
      </c>
      <c r="EX268" s="267">
        <f>IF(EN268=1,1,IF(EN268=50,0,IF(ES268=1,IF(EN268&gt;40,1,0),0)))</f>
        <v>0</v>
      </c>
      <c r="EY268" s="267">
        <f>IF(ES268=1,IF(EW268=2,1,0),0)+EX268+FB268+FE268</f>
        <v>0</v>
      </c>
      <c r="EZ268" s="245">
        <f>IF(EN268=109,1,IF(EN268=108,1,IF(EN268=106,1,IF(EN268=105,1,IF(EN268=103,1,IF(EN268=102,1,IF(EN268=99,1,0)))))))</f>
        <v>0</v>
      </c>
      <c r="FA268" s="245">
        <f>IF(EN268&gt;110,1,0)</f>
        <v>0</v>
      </c>
      <c r="FB268" s="267">
        <f>IF(ES268=2,SUM(EZ268:FA268),0)</f>
        <v>0</v>
      </c>
      <c r="FC268" s="245">
        <f>IF(EN268=159,1,IF(EN268=162,1,IF(EN268=163,1,IF(EN268=165,1,IF(EN268=166,1,IF(EN268=168,1,IF(EN268=169,1,0)))))))</f>
        <v>0</v>
      </c>
      <c r="FD268" s="245">
        <f>IF(EN268&gt;170,1,0)</f>
        <v>0</v>
      </c>
      <c r="FE268" s="267">
        <f>IF(ES268=0,SUM(FC268:FD268),0)</f>
        <v>0</v>
      </c>
      <c r="FF268" s="251">
        <f>IF(AJ268="",0,IF(AI268="",0,IF(EO268/ER268-3=0,0,1)))</f>
        <v>0</v>
      </c>
      <c r="FG268" s="238"/>
      <c r="FH268" s="245">
        <f>IF(AY268="",0,1)</f>
        <v>0</v>
      </c>
      <c r="FI268" s="245">
        <f>SUM(AY268)</f>
        <v>0</v>
      </c>
      <c r="FJ268" s="268">
        <f>SUM(AX268)</f>
        <v>0</v>
      </c>
      <c r="FK268" s="268">
        <f>SUM(V268/3)</f>
        <v>0</v>
      </c>
      <c r="FL268" s="268" t="e">
        <f>SUM(FJ268/FK268)</f>
        <v>#DIV/0!</v>
      </c>
      <c r="FM268" s="268">
        <f>ROUNDDOWN(FK268,0)</f>
        <v>0</v>
      </c>
      <c r="FN268" s="268">
        <f>SUM(FJ268,-FM268*3)</f>
        <v>0</v>
      </c>
      <c r="FO268" s="269" t="b">
        <f>MOD(FI268/1,2)=0</f>
        <v>1</v>
      </c>
      <c r="FP268" s="245">
        <f>IF(FO268=FALSE,1,0)</f>
        <v>0</v>
      </c>
      <c r="FQ268" s="245">
        <f>IF(FI268=50,0,IF(FI268&lt;40,1,0))</f>
        <v>1</v>
      </c>
      <c r="FR268" s="245">
        <f>SUM(FP268:FQ268)</f>
        <v>1</v>
      </c>
      <c r="FS268" s="267">
        <f>IF(FI268=1,1,IF(FI268=50,0,IF(FN268=1,IF(FI268&gt;40,1,0),0)))</f>
        <v>0</v>
      </c>
      <c r="FT268" s="267">
        <f>IF(FN268=1,IF(FR268=2,1,0),0)+FS268+FW268+FZ268</f>
        <v>0</v>
      </c>
      <c r="FU268" s="245">
        <f>IF(FI268=109,1,IF(FI268=108,1,IF(FI268=106,1,IF(FI268=105,1,IF(FI268=103,1,IF(FI268=102,1,IF(FI268=99,1,0)))))))</f>
        <v>0</v>
      </c>
      <c r="FV268" s="245">
        <f>IF(FI268&gt;110,1,0)</f>
        <v>0</v>
      </c>
      <c r="FW268" s="267">
        <f>IF(FN268=2,SUM(FU268:FV268),0)</f>
        <v>0</v>
      </c>
      <c r="FX268" s="245">
        <f>IF(FI268=159,1,IF(FI268=162,1,IF(FI268=163,1,IF(FI268=165,1,IF(FI268=166,1,IF(FI268=168,1,IF(FI268=169,1,0)))))))</f>
        <v>0</v>
      </c>
      <c r="FY268" s="245">
        <f>IF(FI268&gt;170,1,0)</f>
        <v>0</v>
      </c>
      <c r="FZ268" s="267">
        <f>IF(FN268=0,SUM(FX268:FY268),0)</f>
        <v>0</v>
      </c>
      <c r="GA268" s="251">
        <f>IF(AX268="",0,IF(AW268="",0,IF(FJ268/FM268-3=0,0,1)))</f>
        <v>0</v>
      </c>
      <c r="GD268" s="341">
        <f>IF(AK265="D",1,0)</f>
        <v>0</v>
      </c>
      <c r="GE268" s="343"/>
      <c r="GF268" s="343" t="s">
        <v>866</v>
      </c>
      <c r="GG268" s="343" t="s">
        <v>868</v>
      </c>
      <c r="GH268" s="343" t="s">
        <v>848</v>
      </c>
      <c r="GI268" s="343">
        <v>180</v>
      </c>
      <c r="GJ268" s="343" t="s">
        <v>866</v>
      </c>
      <c r="GK268" s="343" t="s">
        <v>868</v>
      </c>
      <c r="GL268" s="343" t="s">
        <v>848</v>
      </c>
      <c r="GM268" s="343">
        <v>180</v>
      </c>
      <c r="GN268" s="343" t="s">
        <v>866</v>
      </c>
      <c r="GO268" s="343" t="s">
        <v>868</v>
      </c>
      <c r="GP268" s="343" t="s">
        <v>848</v>
      </c>
      <c r="GQ268" s="343">
        <v>180</v>
      </c>
      <c r="GR268" s="343" t="s">
        <v>866</v>
      </c>
      <c r="GS268" s="343" t="s">
        <v>868</v>
      </c>
      <c r="GT268" s="343" t="s">
        <v>848</v>
      </c>
      <c r="GU268" s="343">
        <v>180</v>
      </c>
      <c r="GV268" s="343" t="s">
        <v>866</v>
      </c>
      <c r="GW268" s="343" t="s">
        <v>868</v>
      </c>
      <c r="GX268" s="343" t="s">
        <v>848</v>
      </c>
      <c r="GY268" s="343">
        <v>180</v>
      </c>
      <c r="GZ268" s="343" t="s">
        <v>866</v>
      </c>
      <c r="HA268" s="343" t="s">
        <v>868</v>
      </c>
      <c r="HB268" s="343" t="s">
        <v>848</v>
      </c>
      <c r="HC268" s="343">
        <v>180</v>
      </c>
      <c r="HD268" s="343" t="s">
        <v>866</v>
      </c>
      <c r="HE268" s="343" t="s">
        <v>868</v>
      </c>
      <c r="HF268" s="341" t="s">
        <v>975</v>
      </c>
      <c r="HG268" s="341" t="s">
        <v>976</v>
      </c>
      <c r="HH268" s="341" t="s">
        <v>899</v>
      </c>
      <c r="HJ268" s="238"/>
      <c r="HK268" s="238"/>
      <c r="HL268" s="238"/>
      <c r="HM268" s="238">
        <f>COUNT(HI269,HJ269,HK269,HL269,HM269)</f>
        <v>0</v>
      </c>
      <c r="HN268" s="341"/>
      <c r="HO268" s="341"/>
      <c r="HP268" s="341"/>
      <c r="HQ268" s="341"/>
      <c r="HR268" s="341"/>
      <c r="HS268" s="238"/>
      <c r="HT268" s="238"/>
      <c r="HU268" s="238"/>
      <c r="HV268" s="238"/>
      <c r="HX268" s="238"/>
      <c r="HY268" s="238"/>
      <c r="ID268" s="238"/>
    </row>
    <row r="269" spans="1:238" s="234" customFormat="1" ht="20.100000000000001" customHeight="1">
      <c r="A269" s="235"/>
      <c r="B269" s="231">
        <f>COUNT(AJ270,AJ269)</f>
        <v>0</v>
      </c>
      <c r="C269" s="326">
        <f>IF(DK268="*",AJ265,AI265)</f>
        <v>2.7</v>
      </c>
      <c r="D269" s="253" t="str">
        <f>REPT(DN269,1)</f>
        <v>2</v>
      </c>
      <c r="E269" s="254" t="str">
        <f>REPT(AH269,1)</f>
        <v/>
      </c>
      <c r="F269" s="168"/>
      <c r="G269" s="168"/>
      <c r="H269" s="168"/>
      <c r="I269" s="169"/>
      <c r="J269" s="270" t="str">
        <f>REPT(AM269,1)</f>
        <v/>
      </c>
      <c r="L269" s="306" t="s">
        <v>922</v>
      </c>
      <c r="M269" s="311"/>
      <c r="N269" s="270" t="str">
        <f>REPT(AP269,1)</f>
        <v/>
      </c>
      <c r="P269" s="306" t="s">
        <v>922</v>
      </c>
      <c r="Q269" s="310"/>
      <c r="R269" s="324">
        <f>IF(DL268="*",AJ265,AI265)</f>
        <v>2.7</v>
      </c>
      <c r="S269" s="253" t="str">
        <f>REPT(DO269,1)</f>
        <v>2</v>
      </c>
      <c r="T269" s="254" t="str">
        <f>REPT(AV269,1)</f>
        <v/>
      </c>
      <c r="U269" s="168"/>
      <c r="V269" s="168"/>
      <c r="W269" s="168"/>
      <c r="X269" s="169"/>
      <c r="Y269" s="270" t="str">
        <f t="shared" ref="Y269:Y271" si="648">REPT(BA269,1)</f>
        <v/>
      </c>
      <c r="Z269" s="308"/>
      <c r="AB269" s="234">
        <f>IF(AY269="",0,IF(AY269&lt;2,1,""))</f>
        <v>0</v>
      </c>
      <c r="AC269" s="238">
        <f t="shared" ref="AC269:AC270" si="649">IF(AD269=1,1,IF(AD269=3,1,IF(AD269=2,0,IF(AD269=0,0,0))))</f>
        <v>0</v>
      </c>
      <c r="AD269" s="256">
        <f t="shared" ref="AD269:AD272" si="650">SUM(AE269:AG269)</f>
        <v>0</v>
      </c>
      <c r="AE269" s="256">
        <f t="shared" si="644"/>
        <v>0</v>
      </c>
      <c r="AF269" s="256">
        <f t="shared" si="645"/>
        <v>0</v>
      </c>
      <c r="AG269" s="256">
        <f t="shared" ref="AG269:AG272" si="651">IF(H269="",0,1)</f>
        <v>0</v>
      </c>
      <c r="AH269" s="257" t="str">
        <f>IF(AK269="",IF(AI269="","",IF(AI269="",501,501-AI269)),501)</f>
        <v/>
      </c>
      <c r="AI269" s="256" t="str">
        <f>IF(F269&gt;1,F269,IF(F269=0,"",IF(F269="","","")))</f>
        <v/>
      </c>
      <c r="AJ269" s="256" t="str">
        <f>IF(G269&gt;8,G269,IF(G269="","",""))</f>
        <v/>
      </c>
      <c r="AK269" s="256" t="str">
        <f>IF(H269&gt;1,H269,IF(H269="","",""))</f>
        <v/>
      </c>
      <c r="AL269" s="256" t="str">
        <f>IF(I269&gt;0,I269,IF(I269="","",""))</f>
        <v/>
      </c>
      <c r="AM269" s="258" t="str">
        <f>IF(BK269=0,"","X")</f>
        <v/>
      </c>
      <c r="AN269" s="237"/>
      <c r="AO269" s="237"/>
      <c r="AP269" s="258" t="str">
        <f>IF(BM269=0,"","X")</f>
        <v/>
      </c>
      <c r="AQ269" s="236">
        <f t="shared" ref="AQ269:AQ270" si="652">IF(AR269=1,1,IF(AR269=3,1,IF(AR269=2,0,IF(AR269=0,0,0))))</f>
        <v>0</v>
      </c>
      <c r="AR269" s="256">
        <f t="shared" ref="AR269:AR272" si="653">SUM(AS269:AU269)</f>
        <v>0</v>
      </c>
      <c r="AS269" s="256">
        <f t="shared" si="646"/>
        <v>0</v>
      </c>
      <c r="AT269" s="256">
        <f t="shared" si="647"/>
        <v>0</v>
      </c>
      <c r="AU269" s="256">
        <f t="shared" ref="AU269:AU272" si="654">IF(W269="",0,1)</f>
        <v>0</v>
      </c>
      <c r="AV269" s="257" t="str">
        <f>IF(AY269="",IF(AW269="","",IF(AW269="",501,501-AW269)),501)</f>
        <v/>
      </c>
      <c r="AW269" s="256" t="str">
        <f>IF(U269&gt;1,U269,IF(U269=0,"",IF(U269="","","")))</f>
        <v/>
      </c>
      <c r="AX269" s="256" t="str">
        <f>IF(V269&gt;8,V269,IF(V269="","",""))</f>
        <v/>
      </c>
      <c r="AY269" s="256" t="str">
        <f>IF(W269&gt;1,W269,IF(W269="","",""))</f>
        <v/>
      </c>
      <c r="AZ269" s="256" t="str">
        <f>IF(X269&gt;0,X269,IF(X269="","",""))</f>
        <v/>
      </c>
      <c r="BA269" s="258" t="str">
        <f>IF(BL269=0,"","X")</f>
        <v/>
      </c>
      <c r="BK269" s="251">
        <f>SUM(DD269,DV269,EY269,ED269,FF269,BQ269,BS269,AC269)</f>
        <v>0</v>
      </c>
      <c r="BL269" s="251">
        <f>SUM(DE269,DW269,EE269,FT269,GA269,BR269,BT269,AQ269)</f>
        <v>0</v>
      </c>
      <c r="BM269" s="259">
        <f t="shared" ref="BM269:BM270" si="655">SUM(DC269,BK269:BL269,AC269,AQ269)</f>
        <v>0</v>
      </c>
      <c r="BN269" s="239">
        <f>COUNT(AK269)</f>
        <v>0</v>
      </c>
      <c r="BO269" s="239">
        <f>COUNT(AY269)</f>
        <v>0</v>
      </c>
      <c r="BP269" s="239">
        <f>IF(BN271=0,0,1)</f>
        <v>0</v>
      </c>
      <c r="BQ269" s="260">
        <f>IF(AL269="",0,IF(AL269&gt;2,1,0))</f>
        <v>0</v>
      </c>
      <c r="BR269" s="261">
        <f>IF(AZ269="",0,IF(AZ269&gt;2,1,0))</f>
        <v>0</v>
      </c>
      <c r="BS269" s="262">
        <f>IF(AJ269=9,IF(AK269&lt;141,1,0),0)</f>
        <v>0</v>
      </c>
      <c r="BT269" s="263">
        <f>IF(AX269=9,IF(AY269&lt;141,1,0),0)</f>
        <v>0</v>
      </c>
      <c r="BU269" s="242">
        <f>IF(H269,G269,0)</f>
        <v>0</v>
      </c>
      <c r="BV269" s="238">
        <f>IF(BU269&gt;0,AJ269/3,0)</f>
        <v>0</v>
      </c>
      <c r="BW269" s="238">
        <f>ROUNDUP(BV269,0)</f>
        <v>0</v>
      </c>
      <c r="BX269" s="244">
        <f>IF(MOD(BW269,2)=0,BW269,BW269+1)</f>
        <v>0</v>
      </c>
      <c r="BY269" s="238">
        <f>IF(AJ269&lt;9,"",SUM(BX269-BW269))</f>
        <v>0</v>
      </c>
      <c r="BZ269" s="238">
        <f>IF(BY269=1,AK269,0)</f>
        <v>0</v>
      </c>
      <c r="CA269" s="243" t="str">
        <f>IF(BY269=0,AK269,0)</f>
        <v/>
      </c>
      <c r="CB269" s="238"/>
      <c r="CC269" s="238"/>
      <c r="CD269" s="242">
        <f>IF(W269,V269,0)</f>
        <v>0</v>
      </c>
      <c r="CE269" s="238">
        <f>IF(CD269&gt;0,AX269/3,0)</f>
        <v>0</v>
      </c>
      <c r="CF269" s="238">
        <f>ROUNDUP(CE269,0)</f>
        <v>0</v>
      </c>
      <c r="CG269" s="244">
        <f>IF(MOD(CF269,2)=0,CF269,CF269+1)</f>
        <v>0</v>
      </c>
      <c r="CH269" s="238">
        <f>IF(AX269&lt;9,"",SUM(CG269-CF269))</f>
        <v>0</v>
      </c>
      <c r="CI269" s="238">
        <f>IF(CH269=1,AY269,0)</f>
        <v>0</v>
      </c>
      <c r="CJ269" s="243" t="str">
        <f>IF(CH269=0,AY269,0)</f>
        <v/>
      </c>
      <c r="CK269" s="238"/>
      <c r="CL269" s="245">
        <f>IF(COUNT(F269,H269)=1,0,1)</f>
        <v>1</v>
      </c>
      <c r="CM269" s="245">
        <f>IF(COUNT(F269,U269)=1,0,1)</f>
        <v>1</v>
      </c>
      <c r="CN269" s="245">
        <f>IF(COUNT(H269,W269)=1,0,1)</f>
        <v>1</v>
      </c>
      <c r="CO269" s="245">
        <f>IF(COUNT(G269,V269)=2,0,1)</f>
        <v>1</v>
      </c>
      <c r="CP269" s="245">
        <f>IF(COUNT(U269,W269)=1,0,1)</f>
        <v>1</v>
      </c>
      <c r="CQ269" s="245">
        <f>IF(SUM(G269-V269)&gt;3,1,0)</f>
        <v>0</v>
      </c>
      <c r="CR269" s="245">
        <f>IF(SUM(G269-V269)&lt;-3,1,0)</f>
        <v>0</v>
      </c>
      <c r="CS269" s="264">
        <f>IF(AJ269=9,IF(AH269&lt;141,1,0),IF(AH269="",0,IF(AH269&gt;1,0,1)))</f>
        <v>0</v>
      </c>
      <c r="CT269" s="264">
        <f>IF(AX269=9,IF(AV269&lt;141,1,0),IF(AV269="",0,IF(AV269&gt;1,0,1)))</f>
        <v>0</v>
      </c>
      <c r="CU269" s="264">
        <f>IF(AI269="",0,IF(AI269&lt;502,0,1))</f>
        <v>0</v>
      </c>
      <c r="CV269" s="264">
        <f>IF(AW269="",0,IF(AW269&lt;502,0,1))</f>
        <v>0</v>
      </c>
      <c r="CW269" s="264">
        <f>IF(AI269="",IF(AJ269&lt;9,1,0),IF(AJ269&lt;9,1,0))</f>
        <v>0</v>
      </c>
      <c r="CX269" s="264">
        <f>IF(AW269="",IF(AX269&lt;9,1,0),IF(AX269&lt;9,1,0))</f>
        <v>0</v>
      </c>
      <c r="CY269" s="374"/>
      <c r="CZ269" s="374"/>
      <c r="DA269" s="374"/>
      <c r="DB269" s="374"/>
      <c r="DC269" s="265">
        <f>IF(AJ269="",0,SUM(CL269:CX269))</f>
        <v>0</v>
      </c>
      <c r="DD269" s="265">
        <f>IF(AJ269="",0,SUM(CL269,CS269,CU269,CW269))</f>
        <v>0</v>
      </c>
      <c r="DE269" s="265">
        <f>IF(AJ269="",0,SUM(CP269,CT269,CV269,CX269))</f>
        <v>0</v>
      </c>
      <c r="DF269" s="238"/>
      <c r="DG269" s="248">
        <f>SUM(G269-V269)</f>
        <v>0</v>
      </c>
      <c r="DH269" s="245">
        <f>IF(F269="",0,1)</f>
        <v>0</v>
      </c>
      <c r="DI269" s="245">
        <f t="shared" ref="DI269:DI272" si="656">IF(DG269=0,DH269,DG269)</f>
        <v>0</v>
      </c>
      <c r="DJ269" s="245">
        <f t="shared" ref="DJ269:DJ272" si="657">SIGN(DI269)</f>
        <v>0</v>
      </c>
      <c r="DK269" s="245" t="str">
        <f>IF(G269="","",IF(DJ269=1,"*",""))</f>
        <v/>
      </c>
      <c r="DL269" s="245" t="str">
        <f>IF(G269="","",IF(DJ269=-1,"*",IF(DJ269=0,"*","")))</f>
        <v/>
      </c>
      <c r="DM269" s="245">
        <v>2</v>
      </c>
      <c r="DN269" s="245" t="str">
        <f t="shared" ref="DN269:DN272" si="658">CONCATENATE(DM269,DK269)</f>
        <v>2</v>
      </c>
      <c r="DO269" s="245" t="str">
        <f t="shared" ref="DO269:DO272" si="659">CONCATENATE(DM269,DL269)</f>
        <v>2</v>
      </c>
      <c r="DP269" s="245">
        <f>SUM(DQ268)</f>
        <v>0</v>
      </c>
      <c r="DQ269" s="245">
        <f>SUM(DP268)</f>
        <v>0</v>
      </c>
      <c r="DR269" s="245">
        <f>IF(DK269="*",1,0)</f>
        <v>0</v>
      </c>
      <c r="DS269" s="245">
        <f>IF(DL269="*",1,0)</f>
        <v>0</v>
      </c>
      <c r="DT269" s="245">
        <f>IF(H259="",0,IF(DP269=DR269,1,0))</f>
        <v>0</v>
      </c>
      <c r="DU269" s="245">
        <f>IF(V269="",0,IF(DQ269=DS269,0,1))</f>
        <v>0</v>
      </c>
      <c r="DV269" s="267">
        <f>SUM(DT269)</f>
        <v>0</v>
      </c>
      <c r="DW269" s="267">
        <f>IF(V269="",0,SUM(DU269))</f>
        <v>0</v>
      </c>
      <c r="DX269" s="238">
        <f>IF(AK269="",0,1)</f>
        <v>0</v>
      </c>
      <c r="DY269" s="238">
        <f>IF(DG269=-3,1,0)</f>
        <v>0</v>
      </c>
      <c r="DZ269" s="238">
        <f>SUM(DX269:DY269)</f>
        <v>0</v>
      </c>
      <c r="EA269" s="238">
        <f>IF(AK269="",1,0)</f>
        <v>1</v>
      </c>
      <c r="EB269" s="238">
        <f>IF(DG269=3,1,0)</f>
        <v>0</v>
      </c>
      <c r="EC269" s="238">
        <f>SUM(EA269:EB269)</f>
        <v>1</v>
      </c>
      <c r="ED269" s="267">
        <f>IF(EC269=2,1,0)</f>
        <v>0</v>
      </c>
      <c r="EE269" s="267">
        <f>IF(DZ269=2,1,0)</f>
        <v>0</v>
      </c>
      <c r="EG269" s="166"/>
      <c r="EH269" s="238"/>
      <c r="EI269" s="238"/>
      <c r="EJ269" s="238"/>
      <c r="EK269" s="238"/>
      <c r="EL269" s="238"/>
      <c r="EM269" s="245">
        <f>IF(AK269="",0,1)</f>
        <v>0</v>
      </c>
      <c r="EN269" s="245">
        <f>SUM(AK269)</f>
        <v>0</v>
      </c>
      <c r="EO269" s="268">
        <f>SUM(AJ269)</f>
        <v>0</v>
      </c>
      <c r="EP269" s="268">
        <f>SUM(G269/3)</f>
        <v>0</v>
      </c>
      <c r="EQ269" s="268" t="e">
        <f>SUM(EO269/EP269)</f>
        <v>#DIV/0!</v>
      </c>
      <c r="ER269" s="268">
        <f>ROUNDDOWN(EP269,0)</f>
        <v>0</v>
      </c>
      <c r="ES269" s="268">
        <f>SUM(EO269,-ER269*3)</f>
        <v>0</v>
      </c>
      <c r="ET269" s="269" t="b">
        <f>MOD(EN269/1,2)=0</f>
        <v>1</v>
      </c>
      <c r="EU269" s="245">
        <f>IF(ET269=FALSE,1,0)</f>
        <v>0</v>
      </c>
      <c r="EV269" s="245">
        <f>IF(EN269=50,0,IF(EN269&lt;40,1,0))</f>
        <v>1</v>
      </c>
      <c r="EW269" s="245">
        <f>SUM(EU269:EV269)</f>
        <v>1</v>
      </c>
      <c r="EX269" s="267">
        <f>IF(EN269=1,1,IF(EN269=50,0,IF(ES269=1,IF(EN269&gt;40,1,0),0)))</f>
        <v>0</v>
      </c>
      <c r="EY269" s="267">
        <f>IF(ES269=1,IF(EW269=2,1,0),0)+EX269+FB269+FE269</f>
        <v>0</v>
      </c>
      <c r="EZ269" s="245">
        <f>IF(EN269=109,1,IF(EN269=108,1,IF(EN269=106,1,IF(EN269=105,1,IF(EN269=103,1,IF(EN269=102,1,IF(EN269=99,1,0)))))))</f>
        <v>0</v>
      </c>
      <c r="FA269" s="245">
        <f>IF(EN269&gt;110,1,0)</f>
        <v>0</v>
      </c>
      <c r="FB269" s="267">
        <f>IF(ES269=2,SUM(EZ269:FA269),0)</f>
        <v>0</v>
      </c>
      <c r="FC269" s="245">
        <f>IF(EN269=159,1,IF(EN269=162,1,IF(EN269=163,1,IF(EN269=165,1,IF(EN269=166,1,IF(EN269=168,1,IF(EN269=169,1,0)))))))</f>
        <v>0</v>
      </c>
      <c r="FD269" s="245">
        <f>IF(EN269&gt;170,1,0)</f>
        <v>0</v>
      </c>
      <c r="FE269" s="267">
        <f>IF(ES269=0,SUM(FC269:FD269),0)</f>
        <v>0</v>
      </c>
      <c r="FF269" s="251">
        <f t="shared" ref="FF269:FF272" si="660">IF(AJ269="",0,IF(AI269="",0,IF(EO269/ER269-3=0,0,1)))</f>
        <v>0</v>
      </c>
      <c r="FG269" s="238"/>
      <c r="FH269" s="245">
        <f>IF(AY269="",0,1)</f>
        <v>0</v>
      </c>
      <c r="FI269" s="245">
        <f>SUM(AY269)</f>
        <v>0</v>
      </c>
      <c r="FJ269" s="268">
        <f>SUM(AX269)</f>
        <v>0</v>
      </c>
      <c r="FK269" s="268">
        <f>SUM(V269/3)</f>
        <v>0</v>
      </c>
      <c r="FL269" s="268" t="e">
        <f>SUM(FJ269/FK269)</f>
        <v>#DIV/0!</v>
      </c>
      <c r="FM269" s="268">
        <f>ROUNDDOWN(FK269,0)</f>
        <v>0</v>
      </c>
      <c r="FN269" s="268">
        <f>SUM(FJ269,-FM269*3)</f>
        <v>0</v>
      </c>
      <c r="FO269" s="269" t="b">
        <f>MOD(FI269/1,2)=0</f>
        <v>1</v>
      </c>
      <c r="FP269" s="245">
        <f>IF(FO269=FALSE,1,0)</f>
        <v>0</v>
      </c>
      <c r="FQ269" s="245">
        <f>IF(FI269=50,0,IF(FI269&lt;40,1,0))</f>
        <v>1</v>
      </c>
      <c r="FR269" s="245">
        <f>SUM(FP269:FQ269)</f>
        <v>1</v>
      </c>
      <c r="FS269" s="267">
        <f>IF(FI269=1,1,IF(FI269=50,0,IF(FN269=1,IF(FI269&gt;40,1,0),0)))</f>
        <v>0</v>
      </c>
      <c r="FT269" s="267">
        <f>IF(FN269=1,IF(FR269=2,1,0),0)+FS269+FW269+FZ269</f>
        <v>0</v>
      </c>
      <c r="FU269" s="245">
        <f>IF(FI269=109,1,IF(FI269=108,1,IF(FI269=106,1,IF(FI269=105,1,IF(FI269=103,1,IF(FI269=102,1,IF(FI269=99,1,0)))))))</f>
        <v>0</v>
      </c>
      <c r="FV269" s="245">
        <f>IF(FI269&gt;110,1,0)</f>
        <v>0</v>
      </c>
      <c r="FW269" s="267">
        <f>IF(FN269=2,SUM(FU269:FV269),0)</f>
        <v>0</v>
      </c>
      <c r="FX269" s="245">
        <f>IF(FI269=159,1,IF(FI269=162,1,IF(FI269=163,1,IF(FI269=165,1,IF(FI269=166,1,IF(FI269=168,1,IF(FI269=169,1,0)))))))</f>
        <v>0</v>
      </c>
      <c r="FY269" s="245">
        <f>IF(FI269&gt;170,1,0)</f>
        <v>0</v>
      </c>
      <c r="FZ269" s="267">
        <f>IF(FN269=0,SUM(FX269:FY269),0)</f>
        <v>0</v>
      </c>
      <c r="GA269" s="251">
        <f t="shared" ref="GA269:GA272" si="661">IF(AX269="",0,IF(AW269="",0,IF(FJ269/FM269-3=0,0,1)))</f>
        <v>0</v>
      </c>
      <c r="GC269" s="238" t="str">
        <f>VLOOKUP(AH265,Chema!BL:BR,2,FALSE)</f>
        <v>HS 2.7</v>
      </c>
      <c r="GD269" s="341">
        <f>IF(E275="FORFAIT",1,0)</f>
        <v>0</v>
      </c>
      <c r="GE269" s="343" t="str">
        <f>IF(C275="","",SUM(C275))</f>
        <v/>
      </c>
      <c r="GF269" s="344">
        <f>SUM(AH268)</f>
        <v>0</v>
      </c>
      <c r="GG269" s="344">
        <f>SUM(AJ268)</f>
        <v>0</v>
      </c>
      <c r="GH269" s="344">
        <f t="shared" ref="GH269" si="662">SUM(AK268)</f>
        <v>0</v>
      </c>
      <c r="GI269" s="344">
        <f t="shared" ref="GI269" si="663">SUM(AL268)</f>
        <v>0</v>
      </c>
      <c r="GJ269" s="344">
        <f>SUM(AH269)</f>
        <v>0</v>
      </c>
      <c r="GK269" s="344">
        <f>SUM(AJ269)</f>
        <v>0</v>
      </c>
      <c r="GL269" s="344">
        <f>SUM(AK269)</f>
        <v>0</v>
      </c>
      <c r="GM269" s="344">
        <f>SUM(AL269)</f>
        <v>0</v>
      </c>
      <c r="GN269" s="344">
        <f>SUM(AH270)</f>
        <v>0</v>
      </c>
      <c r="GO269" s="344">
        <f>SUM(AJ270)</f>
        <v>0</v>
      </c>
      <c r="GP269" s="344">
        <f>SUM(AK270)</f>
        <v>0</v>
      </c>
      <c r="GQ269" s="344">
        <f>SUM(AL270)</f>
        <v>0</v>
      </c>
      <c r="GR269" s="344">
        <f>SUM(AH271)</f>
        <v>0</v>
      </c>
      <c r="GS269" s="344">
        <f>SUM(AJ271)</f>
        <v>0</v>
      </c>
      <c r="GT269" s="344">
        <f>SUM(AK271)</f>
        <v>0</v>
      </c>
      <c r="GU269" s="344">
        <f>SUM(AL271)</f>
        <v>0</v>
      </c>
      <c r="GV269" s="344">
        <f>SUM(AH272)</f>
        <v>0</v>
      </c>
      <c r="GW269" s="344">
        <f>SUM(AJ272)</f>
        <v>0</v>
      </c>
      <c r="GX269" s="344">
        <f>SUM(AK272)</f>
        <v>0</v>
      </c>
      <c r="GY269" s="344">
        <f>SUM(AL272)</f>
        <v>0</v>
      </c>
      <c r="GZ269" s="344">
        <f>SUM(GF269,GJ269,GN269,GR269,GV269)</f>
        <v>0</v>
      </c>
      <c r="HA269" s="344">
        <f t="shared" ref="HA269" si="664">SUM(GG269,GK269,GO269,GS269,GW269)</f>
        <v>0</v>
      </c>
      <c r="HB269" s="344">
        <f>IF(GD268=1,L275,MAX(GH269,GL269,GP269,GT269,GX269))</f>
        <v>0</v>
      </c>
      <c r="HC269" s="344">
        <f>IF(GD268=1,I275,SUM(GI269,GM269,GQ269,GU269,GY269))</f>
        <v>0</v>
      </c>
      <c r="HD269" s="345">
        <f>IF(GD268=1,0,SUM(GF269,GJ269,GN269,GR269,GV269))</f>
        <v>0</v>
      </c>
      <c r="HE269" s="345">
        <f>IF(GD268=1,0,SUM(GG269,GK269,GO269,GS269,GW269))</f>
        <v>0</v>
      </c>
      <c r="HF269" s="341">
        <f>IF(GD268=1,0,MIN(HI269,HJ269,HK269,HL269,HM269))</f>
        <v>0</v>
      </c>
      <c r="HG269" s="341">
        <f>IF(HF269=0,0,COUNTIF(HI269:HM269,HF269))</f>
        <v>0</v>
      </c>
      <c r="HH269" s="341">
        <f>SUM(GH270,GL270,GP270,GT270,GX270)</f>
        <v>0</v>
      </c>
      <c r="HI269" s="343" t="str">
        <f>IF(GH270=1,GG269,"")</f>
        <v/>
      </c>
      <c r="HJ269" s="343" t="str">
        <f>IF(GL270=1,GK269,"")</f>
        <v/>
      </c>
      <c r="HK269" s="343" t="str">
        <f>IF(GP270=1,GO269,"")</f>
        <v/>
      </c>
      <c r="HL269" s="343" t="str">
        <f>IF(GT270=1,GS269,"")</f>
        <v/>
      </c>
      <c r="HM269" s="343" t="str">
        <f>IF(GX270=1,GW269,"")</f>
        <v/>
      </c>
      <c r="HN269" s="341"/>
      <c r="HO269" s="341" t="s">
        <v>928</v>
      </c>
      <c r="HP269" s="341" t="s">
        <v>982</v>
      </c>
      <c r="HQ269" s="341" t="s">
        <v>983</v>
      </c>
      <c r="HR269" s="341" t="s">
        <v>984</v>
      </c>
      <c r="HS269" s="238" t="s">
        <v>932</v>
      </c>
      <c r="HT269" s="238" t="s">
        <v>933</v>
      </c>
      <c r="HU269" s="238" t="s">
        <v>985</v>
      </c>
      <c r="HV269" s="238" t="s">
        <v>986</v>
      </c>
      <c r="HW269" s="238" t="str">
        <f>IFERROR(IF(GD268=0,SUM(HZ270:IA270),""),"")</f>
        <v/>
      </c>
      <c r="HY269" s="238"/>
      <c r="HZ269" s="238" t="s">
        <v>1132</v>
      </c>
      <c r="IA269" s="238" t="s">
        <v>1133</v>
      </c>
      <c r="IB269" s="238" t="s">
        <v>1132</v>
      </c>
      <c r="IC269" s="238" t="s">
        <v>1133</v>
      </c>
      <c r="ID269" s="238"/>
    </row>
    <row r="270" spans="1:238" s="234" customFormat="1" ht="20.100000000000001" customHeight="1">
      <c r="A270" s="235"/>
      <c r="B270" s="231">
        <f>COUNT(AJ271,AJ270)</f>
        <v>0</v>
      </c>
      <c r="C270" s="235"/>
      <c r="D270" s="271" t="str">
        <f>REPT(DN270,1)</f>
        <v>3</v>
      </c>
      <c r="E270" s="254" t="str">
        <f>REPT(AH270,1)</f>
        <v/>
      </c>
      <c r="F270" s="168"/>
      <c r="G270" s="168"/>
      <c r="H270" s="168"/>
      <c r="I270" s="169"/>
      <c r="J270" s="270" t="str">
        <f t="shared" ref="J270:J271" si="665">REPT(AM270,1)</f>
        <v/>
      </c>
      <c r="L270" s="312">
        <f>SUM(L268*3)</f>
        <v>0</v>
      </c>
      <c r="M270" s="307"/>
      <c r="N270" s="270" t="str">
        <f>REPT(AP270,1)</f>
        <v/>
      </c>
      <c r="P270" s="312">
        <f>SUM(P268*3)</f>
        <v>0</v>
      </c>
      <c r="Q270" s="310"/>
      <c r="R270" s="235"/>
      <c r="S270" s="271" t="str">
        <f>REPT(DO270,1)</f>
        <v>3</v>
      </c>
      <c r="T270" s="254" t="str">
        <f>REPT(AV270,1)</f>
        <v/>
      </c>
      <c r="U270" s="168"/>
      <c r="V270" s="168"/>
      <c r="W270" s="168"/>
      <c r="X270" s="169"/>
      <c r="Y270" s="270" t="str">
        <f t="shared" si="648"/>
        <v/>
      </c>
      <c r="Z270" s="308"/>
      <c r="AB270" s="234">
        <f>IF(AY270="",0,IF(AY270&lt;2,1,""))</f>
        <v>0</v>
      </c>
      <c r="AC270" s="238">
        <f t="shared" si="649"/>
        <v>0</v>
      </c>
      <c r="AD270" s="256">
        <f t="shared" si="650"/>
        <v>0</v>
      </c>
      <c r="AE270" s="256">
        <f t="shared" si="644"/>
        <v>0</v>
      </c>
      <c r="AF270" s="256">
        <f t="shared" si="645"/>
        <v>0</v>
      </c>
      <c r="AG270" s="256">
        <f t="shared" si="651"/>
        <v>0</v>
      </c>
      <c r="AH270" s="257" t="str">
        <f>IF(AK270="",IF(AI270="","",IF(AI270="",501,501-AI270)),501)</f>
        <v/>
      </c>
      <c r="AI270" s="256" t="str">
        <f>IF(F270&gt;1,F270,IF(F270=0,"",IF(F270="","","")))</f>
        <v/>
      </c>
      <c r="AJ270" s="256" t="str">
        <f>IF(G270&gt;8,G270,IF(G270="","",""))</f>
        <v/>
      </c>
      <c r="AK270" s="256" t="str">
        <f>IF(H270&gt;1,H270,IF(H270="","",""))</f>
        <v/>
      </c>
      <c r="AL270" s="256" t="str">
        <f>IF(I270&gt;0,I270,IF(I270="","",""))</f>
        <v/>
      </c>
      <c r="AM270" s="258" t="str">
        <f>IF(BK270=0,"","X")</f>
        <v/>
      </c>
      <c r="AN270" s="237"/>
      <c r="AO270" s="237"/>
      <c r="AP270" s="258" t="str">
        <f>IF(BM270=0,"","X")</f>
        <v/>
      </c>
      <c r="AQ270" s="236">
        <f t="shared" si="652"/>
        <v>0</v>
      </c>
      <c r="AR270" s="256">
        <f t="shared" si="653"/>
        <v>0</v>
      </c>
      <c r="AS270" s="256">
        <f t="shared" si="646"/>
        <v>0</v>
      </c>
      <c r="AT270" s="256">
        <f t="shared" si="647"/>
        <v>0</v>
      </c>
      <c r="AU270" s="256">
        <f t="shared" si="654"/>
        <v>0</v>
      </c>
      <c r="AV270" s="257" t="str">
        <f>IF(AY270="",IF(AW270="","",IF(AW270="",501,501-AW270)),501)</f>
        <v/>
      </c>
      <c r="AW270" s="256" t="str">
        <f>IF(U270&gt;1,U270,IF(U270=0,"",IF(U270="","","")))</f>
        <v/>
      </c>
      <c r="AX270" s="256" t="str">
        <f>IF(V270&gt;8,V270,IF(V270="","",""))</f>
        <v/>
      </c>
      <c r="AY270" s="256" t="str">
        <f>IF(W270&gt;1,W270,IF(W270="","",""))</f>
        <v/>
      </c>
      <c r="AZ270" s="256" t="str">
        <f>IF(X270&gt;0,X270,IF(X270="","",""))</f>
        <v/>
      </c>
      <c r="BA270" s="258" t="str">
        <f>IF(BL270=0,"","X")</f>
        <v/>
      </c>
      <c r="BK270" s="251">
        <f>SUM(DD270,DV270,EY270,ED270,FF270,BQ270,BS270,AC270,BK277)</f>
        <v>0</v>
      </c>
      <c r="BL270" s="251">
        <f>SUM(DE270,DW270,EE270,FT270,GA270,BR270,BT270,AQ270,BL277,CZ270)</f>
        <v>0</v>
      </c>
      <c r="BM270" s="259">
        <f t="shared" si="655"/>
        <v>0</v>
      </c>
      <c r="BN270" s="239">
        <f>COUNT(AK270)</f>
        <v>0</v>
      </c>
      <c r="BO270" s="239">
        <f>COUNT(AY270)</f>
        <v>0</v>
      </c>
      <c r="BP270" s="239">
        <f>IF(BN272=0,0,1)</f>
        <v>0</v>
      </c>
      <c r="BQ270" s="260">
        <f>IF(AL270="",0,IF(AL270&gt;2,1,0))</f>
        <v>0</v>
      </c>
      <c r="BR270" s="261">
        <f>IF(AZ270="",0,IF(AZ270&gt;2,1,0))</f>
        <v>0</v>
      </c>
      <c r="BS270" s="262">
        <f>IF(AJ270=9,IF(AK270&lt;141,1,0),0)</f>
        <v>0</v>
      </c>
      <c r="BT270" s="263">
        <f>IF(AX270=9,IF(AY270&lt;141,1,0),0)</f>
        <v>0</v>
      </c>
      <c r="BU270" s="242">
        <f>IF(H270,G270,0)</f>
        <v>0</v>
      </c>
      <c r="BV270" s="238">
        <f>IF(BU270&gt;0,AJ270/3,0)</f>
        <v>0</v>
      </c>
      <c r="BW270" s="238">
        <f>ROUNDUP(BV270,0)</f>
        <v>0</v>
      </c>
      <c r="BX270" s="244">
        <f>IF(MOD(BW270,2)=0,BW270,BW270+1)</f>
        <v>0</v>
      </c>
      <c r="BY270" s="238">
        <f>IF(AJ270&lt;9,"",SUM(BX270-BW270))</f>
        <v>0</v>
      </c>
      <c r="BZ270" s="238">
        <f>IF(BY270=1,AK270,0)</f>
        <v>0</v>
      </c>
      <c r="CA270" s="243" t="str">
        <f>IF(BY270=0,AK270,0)</f>
        <v/>
      </c>
      <c r="CB270" s="238"/>
      <c r="CC270" s="238"/>
      <c r="CD270" s="242">
        <f>IF(W270,V270,0)</f>
        <v>0</v>
      </c>
      <c r="CE270" s="238">
        <f>IF(CD270&gt;0,AX270/3,0)</f>
        <v>0</v>
      </c>
      <c r="CF270" s="238">
        <f>ROUNDUP(CE270,0)</f>
        <v>0</v>
      </c>
      <c r="CG270" s="244">
        <f>IF(MOD(CF270,2)=0,CF270,CF270+1)</f>
        <v>0</v>
      </c>
      <c r="CH270" s="238">
        <f>IF(AX270&lt;9,"",SUM(CG270-CF270))</f>
        <v>0</v>
      </c>
      <c r="CI270" s="238">
        <f>IF(CH270=1,AY270,0)</f>
        <v>0</v>
      </c>
      <c r="CJ270" s="243" t="str">
        <f>IF(CH270=0,AY270,0)</f>
        <v/>
      </c>
      <c r="CK270" s="238"/>
      <c r="CL270" s="245">
        <f>IF(COUNT(F270,H270)=1,0,1)</f>
        <v>1</v>
      </c>
      <c r="CM270" s="245">
        <f>IF(COUNT(F270,U270)=1,0,1)</f>
        <v>1</v>
      </c>
      <c r="CN270" s="245">
        <f>IF(COUNT(H270,W270)=1,0,1)</f>
        <v>1</v>
      </c>
      <c r="CO270" s="245">
        <f>IF(COUNT(G270,V270)=2,0,1)</f>
        <v>1</v>
      </c>
      <c r="CP270" s="245">
        <f>IF(COUNT(U270,W270)=1,0,1)</f>
        <v>1</v>
      </c>
      <c r="CQ270" s="245">
        <f>IF(SUM(G270-V270)&gt;3,1,0)</f>
        <v>0</v>
      </c>
      <c r="CR270" s="245">
        <f>IF(SUM(G270-V270)&lt;-3,1,0)</f>
        <v>0</v>
      </c>
      <c r="CS270" s="264">
        <f>IF(AJ270=9,IF(AH270&lt;141,1,0),IF(AH270="",0,IF(AH270&gt;1,0,1)))</f>
        <v>0</v>
      </c>
      <c r="CT270" s="264">
        <f>IF(AX270=9,IF(AV270&lt;141,1,0),IF(AV270="",0,IF(AV270&gt;1,0,1)))</f>
        <v>0</v>
      </c>
      <c r="CU270" s="264">
        <f>IF(AI270="",0,IF(AI270&lt;502,0,1))</f>
        <v>0</v>
      </c>
      <c r="CV270" s="264">
        <f>IF(AW270="",0,IF(AW270&lt;502,0,1))</f>
        <v>0</v>
      </c>
      <c r="CW270" s="264">
        <f>IF(AI270="",IF(AJ270&lt;9,1,0),IF(AJ270&lt;9,1,0))</f>
        <v>0</v>
      </c>
      <c r="CX270" s="264">
        <f>IF(AW270="",IF(AX270&lt;9,1,0),IF(AX270&lt;9,1,0))</f>
        <v>0</v>
      </c>
      <c r="CY270" s="374">
        <f>COUNT(U268,U269,U270)</f>
        <v>0</v>
      </c>
      <c r="CZ270" s="375">
        <f>IF(AL265=3,IF(CY270&gt;2,1,0),0)</f>
        <v>0</v>
      </c>
      <c r="DA270" s="374"/>
      <c r="DB270" s="374"/>
      <c r="DC270" s="265">
        <f>IF(AJ270="",0,SUM(CL270:CX270))</f>
        <v>0</v>
      </c>
      <c r="DD270" s="265">
        <f>IF(AJ270="",0,SUM(CL270,CS270,CU270,CW270))</f>
        <v>0</v>
      </c>
      <c r="DE270" s="265">
        <f>IF(AJ270="",0,SUM(CP270,CT270,CV270,CX270))</f>
        <v>0</v>
      </c>
      <c r="DF270" s="238"/>
      <c r="DG270" s="248">
        <f>SUM(G270-V270)</f>
        <v>0</v>
      </c>
      <c r="DH270" s="245">
        <f>IF(F270="",0,1)</f>
        <v>0</v>
      </c>
      <c r="DI270" s="245">
        <f t="shared" si="656"/>
        <v>0</v>
      </c>
      <c r="DJ270" s="245">
        <f t="shared" si="657"/>
        <v>0</v>
      </c>
      <c r="DK270" s="245" t="str">
        <f>IF(G270="","",IF(DJ270=1,"*",""))</f>
        <v/>
      </c>
      <c r="DL270" s="245" t="str">
        <f>IF(G270="","",IF(DJ270=-1,"*",IF(DJ270=0,"*","")))</f>
        <v/>
      </c>
      <c r="DM270" s="245">
        <v>3</v>
      </c>
      <c r="DN270" s="245" t="str">
        <f t="shared" si="658"/>
        <v>3</v>
      </c>
      <c r="DO270" s="245" t="str">
        <f t="shared" si="659"/>
        <v>3</v>
      </c>
      <c r="DP270" s="245">
        <f>SUM(DP268)</f>
        <v>0</v>
      </c>
      <c r="DQ270" s="245">
        <f>SUM(DQ268)</f>
        <v>0</v>
      </c>
      <c r="DR270" s="245">
        <f t="shared" ref="DR270:DR272" si="666">IF(DK270="*",1,0)</f>
        <v>0</v>
      </c>
      <c r="DS270" s="245">
        <f t="shared" ref="DS270:DS272" si="667">IF(DL270="*",1,0)</f>
        <v>0</v>
      </c>
      <c r="DT270" s="245">
        <f t="shared" ref="DT270:DT272" si="668">IF(H260="",0,IF(DP270=DR270,1,0))</f>
        <v>0</v>
      </c>
      <c r="DU270" s="245">
        <f>IF(V270="",0,IF(DQ270=DS270,0,1))</f>
        <v>0</v>
      </c>
      <c r="DV270" s="267">
        <f t="shared" ref="DV270:DV272" si="669">SUM(DT270)</f>
        <v>0</v>
      </c>
      <c r="DW270" s="267">
        <f>IF(V270="",0,SUM(DU270))</f>
        <v>0</v>
      </c>
      <c r="DX270" s="238">
        <f>IF(AK270="",0,1)</f>
        <v>0</v>
      </c>
      <c r="DY270" s="238">
        <f>IF(DG270=-3,1,0)</f>
        <v>0</v>
      </c>
      <c r="DZ270" s="238">
        <f>SUM(DX270:DY270)</f>
        <v>0</v>
      </c>
      <c r="EA270" s="238">
        <f>IF(AK270="",1,0)</f>
        <v>1</v>
      </c>
      <c r="EB270" s="238">
        <f>IF(DG270=3,1,0)</f>
        <v>0</v>
      </c>
      <c r="EC270" s="238">
        <f>SUM(EA270:EB270)</f>
        <v>1</v>
      </c>
      <c r="ED270" s="267">
        <f>IF(EC270=2,1,0)</f>
        <v>0</v>
      </c>
      <c r="EE270" s="267">
        <f>IF(DZ270=2,1,0)</f>
        <v>0</v>
      </c>
      <c r="EG270" s="166"/>
      <c r="EH270" s="238"/>
      <c r="EI270" s="238"/>
      <c r="EJ270" s="238"/>
      <c r="EK270" s="238"/>
      <c r="EL270" s="238"/>
      <c r="EM270" s="245">
        <f>IF(AK270="",0,1)</f>
        <v>0</v>
      </c>
      <c r="EN270" s="245">
        <f>SUM(AK270)</f>
        <v>0</v>
      </c>
      <c r="EO270" s="268">
        <f>SUM(AJ270)</f>
        <v>0</v>
      </c>
      <c r="EP270" s="268">
        <f>SUM(G270/3)</f>
        <v>0</v>
      </c>
      <c r="EQ270" s="268" t="e">
        <f>SUM(EO270/EP270)</f>
        <v>#DIV/0!</v>
      </c>
      <c r="ER270" s="268">
        <f>ROUNDDOWN(EP270,0)</f>
        <v>0</v>
      </c>
      <c r="ES270" s="268">
        <f>SUM(EO270,-ER270*3)</f>
        <v>0</v>
      </c>
      <c r="ET270" s="269" t="b">
        <f>MOD(EN270/1,2)=0</f>
        <v>1</v>
      </c>
      <c r="EU270" s="245">
        <f>IF(ET270=FALSE,1,0)</f>
        <v>0</v>
      </c>
      <c r="EV270" s="245">
        <f>IF(EN270=50,0,IF(EN270&lt;40,1,0))</f>
        <v>1</v>
      </c>
      <c r="EW270" s="245">
        <f>SUM(EU270:EV270)</f>
        <v>1</v>
      </c>
      <c r="EX270" s="267">
        <f>IF(EN270=1,1,IF(EN270=50,0,IF(ES270=1,IF(EN270&gt;40,1,0),0)))</f>
        <v>0</v>
      </c>
      <c r="EY270" s="267">
        <f>IF(ES270=1,IF(EW270=2,1,0),0)+EX270+FB270+FE270</f>
        <v>0</v>
      </c>
      <c r="EZ270" s="245">
        <f>IF(EN270=109,1,IF(EN270=108,1,IF(EN270=106,1,IF(EN270=105,1,IF(EN270=103,1,IF(EN270=102,1,IF(EN270=99,1,0)))))))</f>
        <v>0</v>
      </c>
      <c r="FA270" s="245">
        <f>IF(EN270&gt;110,1,0)</f>
        <v>0</v>
      </c>
      <c r="FB270" s="267">
        <f>IF(ES270=2,SUM(EZ270:FA270),0)</f>
        <v>0</v>
      </c>
      <c r="FC270" s="245">
        <f>IF(EN270=159,1,IF(EN270=162,1,IF(EN270=163,1,IF(EN270=165,1,IF(EN270=166,1,IF(EN270=168,1,IF(EN270=169,1,0)))))))</f>
        <v>0</v>
      </c>
      <c r="FD270" s="245">
        <f>IF(EN270&gt;170,1,0)</f>
        <v>0</v>
      </c>
      <c r="FE270" s="267">
        <f>IF(ES270=0,SUM(FC270:FD270),0)</f>
        <v>0</v>
      </c>
      <c r="FF270" s="251">
        <f t="shared" si="660"/>
        <v>0</v>
      </c>
      <c r="FG270" s="238"/>
      <c r="FH270" s="245">
        <f>IF(AY270="",0,1)</f>
        <v>0</v>
      </c>
      <c r="FI270" s="245">
        <f>SUM(AY270)</f>
        <v>0</v>
      </c>
      <c r="FJ270" s="268">
        <f>SUM(AX270)</f>
        <v>0</v>
      </c>
      <c r="FK270" s="268">
        <f>SUM(V270/3)</f>
        <v>0</v>
      </c>
      <c r="FL270" s="268" t="e">
        <f>SUM(FJ270/FK270)</f>
        <v>#DIV/0!</v>
      </c>
      <c r="FM270" s="268">
        <f>ROUNDDOWN(FK270,0)</f>
        <v>0</v>
      </c>
      <c r="FN270" s="268">
        <f>SUM(FJ270,-FM270*3)</f>
        <v>0</v>
      </c>
      <c r="FO270" s="269" t="b">
        <f>MOD(FI270/1,2)=0</f>
        <v>1</v>
      </c>
      <c r="FP270" s="245">
        <f>IF(FO270=FALSE,1,0)</f>
        <v>0</v>
      </c>
      <c r="FQ270" s="245">
        <f>IF(FI270=50,0,IF(FI270&lt;40,1,0))</f>
        <v>1</v>
      </c>
      <c r="FR270" s="245">
        <f>SUM(FP270:FQ270)</f>
        <v>1</v>
      </c>
      <c r="FS270" s="267">
        <f>IF(FI270=1,1,IF(FI270=50,0,IF(FN270=1,IF(FI270&gt;40,1,0),0)))</f>
        <v>0</v>
      </c>
      <c r="FT270" s="267">
        <f>IF(FN270=1,IF(FR270=2,1,0),0)+FS270+FW270+FZ270</f>
        <v>0</v>
      </c>
      <c r="FU270" s="245">
        <f>IF(FI270=109,1,IF(FI270=108,1,IF(FI270=106,1,IF(FI270=105,1,IF(FI270=103,1,IF(FI270=102,1,IF(FI270=99,1,0)))))))</f>
        <v>0</v>
      </c>
      <c r="FV270" s="245">
        <f>IF(FI270&gt;110,1,0)</f>
        <v>0</v>
      </c>
      <c r="FW270" s="267">
        <f>IF(FN270=2,SUM(FU270:FV270),0)</f>
        <v>0</v>
      </c>
      <c r="FX270" s="245">
        <f>IF(FI270=159,1,IF(FI270=162,1,IF(FI270=163,1,IF(FI270=165,1,IF(FI270=166,1,IF(FI270=168,1,IF(FI270=169,1,0)))))))</f>
        <v>0</v>
      </c>
      <c r="FY270" s="245">
        <f>IF(FI270&gt;170,1,0)</f>
        <v>0</v>
      </c>
      <c r="FZ270" s="267">
        <f>IF(FN270=0,SUM(FX270:FY270),0)</f>
        <v>0</v>
      </c>
      <c r="GA270" s="251">
        <f t="shared" si="661"/>
        <v>0</v>
      </c>
      <c r="GC270" s="238" t="str">
        <f>VLOOKUP(AH265,Chema!BL:BR,3,FALSE)</f>
        <v/>
      </c>
      <c r="GD270" s="341"/>
      <c r="GE270" s="343" t="str">
        <f>IF(C276="","",SUM(C276))</f>
        <v/>
      </c>
      <c r="GF270" s="346"/>
      <c r="GG270" s="340"/>
      <c r="GH270" s="343">
        <f>IF(GH269&gt;0,1,0)</f>
        <v>0</v>
      </c>
      <c r="GI270" s="346"/>
      <c r="GJ270" s="343"/>
      <c r="GK270" s="340"/>
      <c r="GL270" s="343">
        <f>IF(GL269&gt;0,1,0)</f>
        <v>0</v>
      </c>
      <c r="GM270" s="343"/>
      <c r="GN270" s="343"/>
      <c r="GO270" s="340"/>
      <c r="GP270" s="343">
        <f>IF(GP269&gt;0,1,0)</f>
        <v>0</v>
      </c>
      <c r="GQ270" s="343"/>
      <c r="GR270" s="343"/>
      <c r="GS270" s="340"/>
      <c r="GT270" s="343">
        <f>IF(GT269&gt;0,1,0)</f>
        <v>0</v>
      </c>
      <c r="GU270" s="343"/>
      <c r="GV270" s="343"/>
      <c r="GW270" s="340"/>
      <c r="GX270" s="343">
        <f>IF(GX269&gt;0,1,0)</f>
        <v>0</v>
      </c>
      <c r="GY270" s="343"/>
      <c r="GZ270" s="343"/>
      <c r="HA270" s="343"/>
      <c r="HB270" s="343" t="str">
        <f>IF(GD268=1,L276,"")</f>
        <v/>
      </c>
      <c r="HC270" s="343" t="str">
        <f>IF(GD268=1,I276,"")</f>
        <v/>
      </c>
      <c r="HD270" s="345"/>
      <c r="HE270" s="340"/>
      <c r="HF270" s="340"/>
      <c r="HG270" s="347">
        <f>IF(GE269="",0,IF(AL265=3,2,IF(AL265=5,3,0)))</f>
        <v>0</v>
      </c>
      <c r="HH270" s="347">
        <f>IF(HK270=0,0,IF(HG272=0,0,1))</f>
        <v>0</v>
      </c>
      <c r="HI270" s="340"/>
      <c r="HJ270" s="340"/>
      <c r="HK270" s="340">
        <f>SUM(HM268,HM272)</f>
        <v>0</v>
      </c>
      <c r="HL270" s="340">
        <f>IF(HK270=0,0,IF(HM268=HG270,1,0))</f>
        <v>0</v>
      </c>
      <c r="HM270" s="340">
        <f>IF(HK270=0,0,IF(HM272=HG270,1,0))</f>
        <v>0</v>
      </c>
      <c r="HN270" s="341" t="str">
        <f>REPT(N265,1)</f>
        <v>Spiel 19</v>
      </c>
      <c r="HO270" s="348" t="str">
        <f>IF(HK270=0,"",IF(HH270=0,SUM(HH269),""))</f>
        <v/>
      </c>
      <c r="HP270" s="348" t="str">
        <f>IF(HK270=0,"",IF(HH270=0,SUM(HH271),""))</f>
        <v/>
      </c>
      <c r="HQ270" s="348" t="e">
        <f>IF(HH270=0,SUM(GZ269/HA269),"")</f>
        <v>#DIV/0!</v>
      </c>
      <c r="HR270" s="348" t="e">
        <f>IF(HH270=0,SUM(GZ271/HA271),"")</f>
        <v>#DIV/0!</v>
      </c>
      <c r="HS270" s="238" t="str">
        <f>REPT(DK268,1)</f>
        <v/>
      </c>
      <c r="HT270" s="238" t="str">
        <f>REPT(DL268,1)</f>
        <v/>
      </c>
      <c r="HU270" s="238">
        <f>IF(HH270=0,HL270,"")</f>
        <v>0</v>
      </c>
      <c r="HV270" s="238">
        <f>IF(HH270=0,HM270,"")</f>
        <v>0</v>
      </c>
      <c r="HW270" s="238" t="s">
        <v>1131</v>
      </c>
      <c r="HY270" s="238"/>
      <c r="HZ270" s="238" t="e">
        <f>IF(AL265=5,IF(HU270=1,SUM(HO270*2-HP270),HO270+HP270-2),"")</f>
        <v>#VALUE!</v>
      </c>
      <c r="IA270" s="238" t="str">
        <f>IF(AL265=3,IF(HU270=1,SUM(HO270-HP270+3),HO270+HP270-1),"")</f>
        <v/>
      </c>
      <c r="IB270" s="238" t="e">
        <f>IF(AL265=5,IF(HV270=1,SUM(HP270*2-HO270),HO270+HP270-2),"")</f>
        <v>#VALUE!</v>
      </c>
      <c r="IC270" s="238" t="str">
        <f>IF(AL265=3,IF(HV270=1,SUM(HP270-HO270+3),HO270+HP270-1),"")</f>
        <v/>
      </c>
      <c r="ID270" s="238">
        <f>SUM(BM274)</f>
        <v>0</v>
      </c>
    </row>
    <row r="271" spans="1:238" s="234" customFormat="1" ht="20.100000000000001" customHeight="1">
      <c r="A271" s="235"/>
      <c r="B271" s="231">
        <f>COUNT(AJ272,AJ271)</f>
        <v>0</v>
      </c>
      <c r="C271" s="235"/>
      <c r="D271" s="328" t="str">
        <f>REPT(DN271,1)</f>
        <v>4</v>
      </c>
      <c r="E271" s="329" t="str">
        <f>REPT(AH271,1)</f>
        <v/>
      </c>
      <c r="F271" s="330"/>
      <c r="G271" s="330"/>
      <c r="H271" s="330"/>
      <c r="I271" s="331"/>
      <c r="J271" s="270" t="str">
        <f t="shared" si="665"/>
        <v/>
      </c>
      <c r="M271" s="311"/>
      <c r="N271" s="270" t="str">
        <f>REPT(AP271,1)</f>
        <v/>
      </c>
      <c r="Q271" s="310"/>
      <c r="R271" s="235"/>
      <c r="S271" s="328" t="str">
        <f>REPT(DO271,1)</f>
        <v>4</v>
      </c>
      <c r="T271" s="329" t="str">
        <f>REPT(AV271,1)</f>
        <v/>
      </c>
      <c r="U271" s="330"/>
      <c r="V271" s="330"/>
      <c r="W271" s="330"/>
      <c r="X271" s="331"/>
      <c r="Y271" s="270" t="str">
        <f t="shared" si="648"/>
        <v/>
      </c>
      <c r="Z271" s="308"/>
      <c r="AA271" s="238">
        <f>SUM(AL265)</f>
        <v>5</v>
      </c>
      <c r="AB271" s="234">
        <f>IF(AY271="",0,IF(AY271&lt;2,1,""))</f>
        <v>0</v>
      </c>
      <c r="AC271" s="238">
        <f>IF(AL265=3,0,IF(AD271=1,1,IF(AD271=3,1,IF(AD271=2,0,IF(AD271=0,0,0)))))</f>
        <v>0</v>
      </c>
      <c r="AD271" s="256">
        <f t="shared" si="650"/>
        <v>0</v>
      </c>
      <c r="AE271" s="256">
        <f t="shared" si="644"/>
        <v>0</v>
      </c>
      <c r="AF271" s="256">
        <f t="shared" si="645"/>
        <v>0</v>
      </c>
      <c r="AG271" s="256">
        <f t="shared" si="651"/>
        <v>0</v>
      </c>
      <c r="AH271" s="257" t="str">
        <f>IF(AL265=3,"",IF(AK271="",IF(AI271="","",IF(AI271="",501,501-AI271)),501))</f>
        <v/>
      </c>
      <c r="AI271" s="256" t="str">
        <f>IF(AL265=3,"",IF(F271&gt;1,F271,IF(F271=0,"",IF(F271="","",""))))</f>
        <v/>
      </c>
      <c r="AJ271" s="256" t="str">
        <f>IF(AL265=3,"",IF(G271&gt;8,G271,IF(G271="","","")))</f>
        <v/>
      </c>
      <c r="AK271" s="256" t="str">
        <f>IF(AL265=3,"",IF(H271&gt;1,H271,IF(H271="","","")))</f>
        <v/>
      </c>
      <c r="AL271" s="256" t="str">
        <f>IF(AL265=3,"",IF(I271&gt;0,I271,IF(I271="","","")))</f>
        <v/>
      </c>
      <c r="AM271" s="258" t="str">
        <f>IF(BK271=0,"","X")</f>
        <v/>
      </c>
      <c r="AN271" s="237"/>
      <c r="AO271" s="237"/>
      <c r="AP271" s="258" t="str">
        <f>IF(BM271=0,"","X")</f>
        <v/>
      </c>
      <c r="AQ271" s="236">
        <f>IF(AL265=3,0,IF(AR271=1,1,IF(AR271=3,1,IF(AR271=2,0,IF(AR271=0,0,0)))))</f>
        <v>0</v>
      </c>
      <c r="AR271" s="256">
        <f t="shared" si="653"/>
        <v>0</v>
      </c>
      <c r="AS271" s="256">
        <f t="shared" si="646"/>
        <v>0</v>
      </c>
      <c r="AT271" s="256">
        <f t="shared" si="647"/>
        <v>0</v>
      </c>
      <c r="AU271" s="256">
        <f t="shared" si="654"/>
        <v>0</v>
      </c>
      <c r="AV271" s="257" t="str">
        <f>IF(AY271="",IF(AW271="","",IF(AW271="",501,501-AW271)),501)</f>
        <v/>
      </c>
      <c r="AW271" s="256" t="str">
        <f>IF(AL265=3,"",IF(U271&gt;1,U271,IF(U271=0,"",IF(U271="","",""))))</f>
        <v/>
      </c>
      <c r="AX271" s="256" t="str">
        <f>IF(AL265=3,"",IF(V271&gt;8,V271,IF(V271="","","")))</f>
        <v/>
      </c>
      <c r="AY271" s="256" t="str">
        <f>IF(AL265=3,"",IF(W271&gt;1,W271,IF(W271="","","")))</f>
        <v/>
      </c>
      <c r="AZ271" s="256" t="str">
        <f>IF(AL265=3,"",IF(X271&gt;0,X271,IF(X271="","","")))</f>
        <v/>
      </c>
      <c r="BA271" s="258" t="str">
        <f>IF(BL271=0,"","X")</f>
        <v/>
      </c>
      <c r="BK271" s="251">
        <f>IF(AL265=3,0,SUM(DD271,DV271,EY271,ED271,FF271,BQ271,BS271,AC271))</f>
        <v>0</v>
      </c>
      <c r="BL271" s="251">
        <f>IF(AL265=3,0,SUM(DE271,DW271,EE271,FT271,GA271,BR271,BT271,AQ271))</f>
        <v>0</v>
      </c>
      <c r="BM271" s="259">
        <f>IF(AL265=3,0,SUM(DC271,BK271:BL271,AC271,AQ271))</f>
        <v>0</v>
      </c>
      <c r="BN271" s="239">
        <f>COUNT(AK271)</f>
        <v>0</v>
      </c>
      <c r="BO271" s="239">
        <f>COUNT(AY271)</f>
        <v>0</v>
      </c>
      <c r="BP271" s="239">
        <f>IF(BZ273=0,0,1)</f>
        <v>0</v>
      </c>
      <c r="BQ271" s="260">
        <f>IF(AL271="",0,IF(AL271&gt;2,1,0))</f>
        <v>0</v>
      </c>
      <c r="BR271" s="261">
        <f>IF(AZ271="",0,IF(AZ271&gt;2,1,0))</f>
        <v>0</v>
      </c>
      <c r="BS271" s="262">
        <f>IF(AJ271=9,IF(AK271&lt;141,1,0),0)</f>
        <v>0</v>
      </c>
      <c r="BT271" s="263">
        <f>IF(AX271=9,IF(AY271&lt;141,1,0),0)</f>
        <v>0</v>
      </c>
      <c r="BU271" s="242">
        <f>IF(AL265=3,0,IF(H271,G271,0))</f>
        <v>0</v>
      </c>
      <c r="BV271" s="238">
        <f>IF(BU271&gt;0,AJ271/3,0)</f>
        <v>0</v>
      </c>
      <c r="BW271" s="238">
        <f>ROUNDUP(BV271,0)</f>
        <v>0</v>
      </c>
      <c r="BX271" s="244">
        <f>IF(MOD(BW271,2)=0,BW271,BW271+1)</f>
        <v>0</v>
      </c>
      <c r="BY271" s="238">
        <f>IF(AJ271&lt;9,"",SUM(BX271-BW271))</f>
        <v>0</v>
      </c>
      <c r="BZ271" s="238">
        <f>IF(BY271=1,AK271,0)</f>
        <v>0</v>
      </c>
      <c r="CA271" s="243" t="str">
        <f>IF(BY271=0,AK271,0)</f>
        <v/>
      </c>
      <c r="CB271" s="238"/>
      <c r="CC271" s="238"/>
      <c r="CD271" s="242">
        <f>IF(AL265=3,0,IF(W271,V271,0))</f>
        <v>0</v>
      </c>
      <c r="CE271" s="238">
        <f>IF(CD271&gt;0,AX271/3,0)</f>
        <v>0</v>
      </c>
      <c r="CF271" s="238">
        <f>ROUNDUP(CE271,0)</f>
        <v>0</v>
      </c>
      <c r="CG271" s="244">
        <f>IF(MOD(CF271,2)=0,CF271,CF271+1)</f>
        <v>0</v>
      </c>
      <c r="CH271" s="238">
        <f>IF(AX271&lt;9,"",SUM(CG271-CF271))</f>
        <v>0</v>
      </c>
      <c r="CI271" s="238">
        <f>IF(CH271=1,AY271,0)</f>
        <v>0</v>
      </c>
      <c r="CJ271" s="243" t="str">
        <f>IF(CH271=0,AY271,0)</f>
        <v/>
      </c>
      <c r="CK271" s="238"/>
      <c r="CL271" s="245">
        <f>IF(COUNT(F271,H271)=1,0,1)</f>
        <v>1</v>
      </c>
      <c r="CM271" s="245">
        <f>IF(COUNT(F271,U271)=1,0,1)</f>
        <v>1</v>
      </c>
      <c r="CN271" s="245">
        <f>IF(COUNT(H271,W271)=1,0,1)</f>
        <v>1</v>
      </c>
      <c r="CO271" s="245">
        <f>IF(COUNT(G271,V271)=2,0,1)</f>
        <v>1</v>
      </c>
      <c r="CP271" s="245">
        <f>IF(COUNT(U271,W271)=1,0,1)</f>
        <v>1</v>
      </c>
      <c r="CQ271" s="245">
        <f>IF(SUM(G271-V271)&gt;3,1,0)</f>
        <v>0</v>
      </c>
      <c r="CR271" s="245">
        <f>IF(SUM(G271-V271)&lt;-3,1,0)</f>
        <v>0</v>
      </c>
      <c r="CS271" s="264">
        <f>IF(AJ271=9,IF(AH271&lt;141,1,0),IF(AH271="",0,IF(AH271&gt;1,0,1)))</f>
        <v>0</v>
      </c>
      <c r="CT271" s="264">
        <f>IF(AX271=9,IF(AV271&lt;141,1,0),IF(AV271="",0,IF(AV271&gt;1,0,1)))</f>
        <v>0</v>
      </c>
      <c r="CU271" s="264">
        <f>IF(AI271="",0,IF(AI271&lt;502,0,1))</f>
        <v>0</v>
      </c>
      <c r="CV271" s="264">
        <f>IF(AW271="",0,IF(AW271&lt;502,0,1))</f>
        <v>0</v>
      </c>
      <c r="CW271" s="264">
        <f>IF(AI271="",IF(AJ271&lt;9,1,0),IF(AJ271&lt;9,1,0))</f>
        <v>0</v>
      </c>
      <c r="CX271" s="264">
        <f>IF(AW271="",IF(AX271&lt;9,1,0),IF(AX271&lt;9,1,0))</f>
        <v>0</v>
      </c>
      <c r="CY271" s="374"/>
      <c r="CZ271" s="374"/>
      <c r="DA271" s="374"/>
      <c r="DB271" s="374"/>
      <c r="DC271" s="265">
        <f>IF(AJ271="",0,SUM(CL271:CX271))</f>
        <v>0</v>
      </c>
      <c r="DD271" s="265">
        <f>IF(AJ271="",0,SUM(CL271,CS271,CU271,CW271))</f>
        <v>0</v>
      </c>
      <c r="DE271" s="265">
        <f>IF(AJ271="",0,SUM(CP271,CT271,CV271,CX271))</f>
        <v>0</v>
      </c>
      <c r="DF271" s="238"/>
      <c r="DG271" s="248">
        <f>IF(AL265=3,0,SUM(G271-V271))</f>
        <v>0</v>
      </c>
      <c r="DH271" s="245">
        <f>IF(F271="",0,1)</f>
        <v>0</v>
      </c>
      <c r="DI271" s="245">
        <f t="shared" si="656"/>
        <v>0</v>
      </c>
      <c r="DJ271" s="245">
        <f t="shared" si="657"/>
        <v>0</v>
      </c>
      <c r="DK271" s="245" t="str">
        <f>IF(G271="","",IF(DJ271=1,"*",""))</f>
        <v/>
      </c>
      <c r="DL271" s="245" t="str">
        <f>IF(AL265=3,"",IF(G271="","",IF(DJ271=-1,"*",IF(DJ271=0,"*",""))))</f>
        <v/>
      </c>
      <c r="DM271" s="245">
        <v>4</v>
      </c>
      <c r="DN271" s="245" t="str">
        <f t="shared" si="658"/>
        <v>4</v>
      </c>
      <c r="DO271" s="245" t="str">
        <f t="shared" si="659"/>
        <v>4</v>
      </c>
      <c r="DP271" s="245">
        <f>SUM(DQ268)</f>
        <v>0</v>
      </c>
      <c r="DQ271" s="245">
        <f>SUM(DP268)</f>
        <v>0</v>
      </c>
      <c r="DR271" s="245">
        <f t="shared" si="666"/>
        <v>0</v>
      </c>
      <c r="DS271" s="245">
        <f t="shared" si="667"/>
        <v>0</v>
      </c>
      <c r="DT271" s="245">
        <f t="shared" si="668"/>
        <v>0</v>
      </c>
      <c r="DU271" s="245">
        <f>IF(V271="",0,IF(DQ271=DS271,0,1))</f>
        <v>0</v>
      </c>
      <c r="DV271" s="267">
        <f t="shared" si="669"/>
        <v>0</v>
      </c>
      <c r="DW271" s="267">
        <f>IF(V271="",0,SUM(DU271))</f>
        <v>0</v>
      </c>
      <c r="DX271" s="238">
        <f>IF(AK271="",0,1)</f>
        <v>0</v>
      </c>
      <c r="DY271" s="238">
        <f>IF(DG271=-3,1,0)</f>
        <v>0</v>
      </c>
      <c r="DZ271" s="238">
        <f>SUM(DX271:DY271)</f>
        <v>0</v>
      </c>
      <c r="EA271" s="238">
        <f>IF(AK271="",1,0)</f>
        <v>1</v>
      </c>
      <c r="EB271" s="238">
        <f>IF(DG271=3,1,0)</f>
        <v>0</v>
      </c>
      <c r="EC271" s="238">
        <f>SUM(EA271:EB271)</f>
        <v>1</v>
      </c>
      <c r="ED271" s="267">
        <f>IF(EC271=2,1,0)</f>
        <v>0</v>
      </c>
      <c r="EE271" s="267">
        <f>IF(DZ271=2,1,0)</f>
        <v>0</v>
      </c>
      <c r="EG271" s="166"/>
      <c r="EH271" s="238"/>
      <c r="EI271" s="238"/>
      <c r="EJ271" s="238"/>
      <c r="EK271" s="238"/>
      <c r="EL271" s="238"/>
      <c r="EM271" s="245">
        <f>IF(AK271="",0,1)</f>
        <v>0</v>
      </c>
      <c r="EN271" s="245">
        <f>SUM(AK271)</f>
        <v>0</v>
      </c>
      <c r="EO271" s="268">
        <f>SUM(AJ271)</f>
        <v>0</v>
      </c>
      <c r="EP271" s="268">
        <f>SUM(G271/3)</f>
        <v>0</v>
      </c>
      <c r="EQ271" s="268" t="e">
        <f>SUM(EO271/EP271)</f>
        <v>#DIV/0!</v>
      </c>
      <c r="ER271" s="268">
        <f>ROUNDDOWN(EP271,0)</f>
        <v>0</v>
      </c>
      <c r="ES271" s="268">
        <f>SUM(EO271,-ER271*3)</f>
        <v>0</v>
      </c>
      <c r="ET271" s="269" t="b">
        <f>MOD(EN271/1,2)=0</f>
        <v>1</v>
      </c>
      <c r="EU271" s="245">
        <f>IF(ET271=FALSE,1,0)</f>
        <v>0</v>
      </c>
      <c r="EV271" s="245">
        <f>IF(EN271=50,0,IF(EN271&lt;40,1,0))</f>
        <v>1</v>
      </c>
      <c r="EW271" s="245">
        <f>SUM(EU271:EV271)</f>
        <v>1</v>
      </c>
      <c r="EX271" s="267">
        <f>IF(EN271=1,1,IF(EN271=50,0,IF(ES271=1,IF(EN271&gt;40,1,0),0)))</f>
        <v>0</v>
      </c>
      <c r="EY271" s="267">
        <f>IF(ES271=1,IF(EW271=2,1,0),0)+EX271+FB271+FE271</f>
        <v>0</v>
      </c>
      <c r="EZ271" s="245">
        <f>IF(EN271=109,1,IF(EN271=108,1,IF(EN271=106,1,IF(EN271=105,1,IF(EN271=103,1,IF(EN271=102,1,IF(EN271=99,1,0)))))))</f>
        <v>0</v>
      </c>
      <c r="FA271" s="245">
        <f>IF(EN271&gt;110,1,0)</f>
        <v>0</v>
      </c>
      <c r="FB271" s="267">
        <f>IF(ES271=2,SUM(EZ271:FA271),0)</f>
        <v>0</v>
      </c>
      <c r="FC271" s="245">
        <f>IF(EN271=159,1,IF(EN271=162,1,IF(EN271=163,1,IF(EN271=165,1,IF(EN271=166,1,IF(EN271=168,1,IF(EN271=169,1,0)))))))</f>
        <v>0</v>
      </c>
      <c r="FD271" s="245">
        <f>IF(EN271&gt;170,1,0)</f>
        <v>0</v>
      </c>
      <c r="FE271" s="267">
        <f>IF(ES271=0,SUM(FC271:FD271),0)</f>
        <v>0</v>
      </c>
      <c r="FF271" s="251">
        <f t="shared" si="660"/>
        <v>0</v>
      </c>
      <c r="FG271" s="238"/>
      <c r="FH271" s="245">
        <f>IF(AY271="",0,1)</f>
        <v>0</v>
      </c>
      <c r="FI271" s="245">
        <f>SUM(AY271)</f>
        <v>0</v>
      </c>
      <c r="FJ271" s="268">
        <f>SUM(AX271)</f>
        <v>0</v>
      </c>
      <c r="FK271" s="268">
        <f>SUM(V271/3)</f>
        <v>0</v>
      </c>
      <c r="FL271" s="268" t="e">
        <f>SUM(FJ271/FK271)</f>
        <v>#DIV/0!</v>
      </c>
      <c r="FM271" s="268">
        <f>ROUNDDOWN(FK271,0)</f>
        <v>0</v>
      </c>
      <c r="FN271" s="268">
        <f>SUM(FJ271,-FM271*3)</f>
        <v>0</v>
      </c>
      <c r="FO271" s="269" t="b">
        <f>MOD(FI271/1,2)=0</f>
        <v>1</v>
      </c>
      <c r="FP271" s="245">
        <f>IF(FO271=FALSE,1,0)</f>
        <v>0</v>
      </c>
      <c r="FQ271" s="245">
        <f>IF(FI271=50,0,IF(FI271&lt;40,1,0))</f>
        <v>1</v>
      </c>
      <c r="FR271" s="245">
        <f>SUM(FP271:FQ271)</f>
        <v>1</v>
      </c>
      <c r="FS271" s="267">
        <f>IF(FI271=1,1,IF(FI271=50,0,IF(FN271=1,IF(FI271&gt;40,1,0),0)))</f>
        <v>0</v>
      </c>
      <c r="FT271" s="267">
        <f>IF(FN271=1,IF(FR271=2,1,0),0)+FS271+FW271+FZ271</f>
        <v>0</v>
      </c>
      <c r="FU271" s="245">
        <f>IF(FI271=109,1,IF(FI271=108,1,IF(FI271=106,1,IF(FI271=105,1,IF(FI271=103,1,IF(FI271=102,1,IF(FI271=99,1,0)))))))</f>
        <v>0</v>
      </c>
      <c r="FV271" s="245">
        <f>IF(FI271&gt;110,1,0)</f>
        <v>0</v>
      </c>
      <c r="FW271" s="267">
        <f>IF(FN271=2,SUM(FU271:FV271),0)</f>
        <v>0</v>
      </c>
      <c r="FX271" s="245">
        <f>IF(FI271=159,1,IF(FI271=162,1,IF(FI271=163,1,IF(FI271=165,1,IF(FI271=166,1,IF(FI271=168,1,IF(FI271=169,1,0)))))))</f>
        <v>0</v>
      </c>
      <c r="FY271" s="245">
        <f>IF(FI271&gt;170,1,0)</f>
        <v>0</v>
      </c>
      <c r="FZ271" s="267">
        <f>IF(FN271=0,SUM(FX271:FY271),0)</f>
        <v>0</v>
      </c>
      <c r="GA271" s="251">
        <f t="shared" si="661"/>
        <v>0</v>
      </c>
      <c r="GC271" s="238" t="str">
        <f>VLOOKUP(AH265,Chema!BL:BR,4,FALSE)</f>
        <v>GS 2.7</v>
      </c>
      <c r="GD271" s="341">
        <f>IF(T275="FORFAIT",1,0)</f>
        <v>0</v>
      </c>
      <c r="GE271" s="343" t="str">
        <f>IF(R275="","",SUM(R275))</f>
        <v/>
      </c>
      <c r="GF271" s="344">
        <f>SUM(AV268)</f>
        <v>0</v>
      </c>
      <c r="GG271" s="344">
        <f>SUM(AX268)</f>
        <v>0</v>
      </c>
      <c r="GH271" s="344">
        <f t="shared" ref="GH271" si="670">SUM(AY268)</f>
        <v>0</v>
      </c>
      <c r="GI271" s="344">
        <f t="shared" ref="GI271" si="671">SUM(AZ268)</f>
        <v>0</v>
      </c>
      <c r="GJ271" s="344">
        <f>SUM(AV269)</f>
        <v>0</v>
      </c>
      <c r="GK271" s="344">
        <f>SUM(AX269)</f>
        <v>0</v>
      </c>
      <c r="GL271" s="344">
        <f>SUM(AY269)</f>
        <v>0</v>
      </c>
      <c r="GM271" s="344">
        <f>SUM(AZ269)</f>
        <v>0</v>
      </c>
      <c r="GN271" s="344">
        <f>SUM(AV270)</f>
        <v>0</v>
      </c>
      <c r="GO271" s="344">
        <f>SUM(AX270)</f>
        <v>0</v>
      </c>
      <c r="GP271" s="344">
        <f>SUM(AY270)</f>
        <v>0</v>
      </c>
      <c r="GQ271" s="344">
        <f>SUM(AZ270)</f>
        <v>0</v>
      </c>
      <c r="GR271" s="344">
        <f>SUM(AV271)</f>
        <v>0</v>
      </c>
      <c r="GS271" s="344">
        <f>SUM(AX271)</f>
        <v>0</v>
      </c>
      <c r="GT271" s="344">
        <f>SUM(AY271)</f>
        <v>0</v>
      </c>
      <c r="GU271" s="344">
        <f>SUM(AZ271)</f>
        <v>0</v>
      </c>
      <c r="GV271" s="344">
        <f>SUM(AV272)</f>
        <v>0</v>
      </c>
      <c r="GW271" s="344">
        <f>SUM(AX272)</f>
        <v>0</v>
      </c>
      <c r="GX271" s="344">
        <f>SUM(AY272)</f>
        <v>0</v>
      </c>
      <c r="GY271" s="344">
        <f>SUM(AZ272)</f>
        <v>0</v>
      </c>
      <c r="GZ271" s="344">
        <f>SUM(GF271,GJ271,GN271,GR271,GV271)</f>
        <v>0</v>
      </c>
      <c r="HA271" s="344">
        <f t="shared" ref="HA271" si="672">SUM(GG271,GK271,GO271,GS271,GW271)</f>
        <v>0</v>
      </c>
      <c r="HB271" s="344">
        <f>IF(GD268=1,P275,MAX(GH271,GL271,GP271,GT271,GX271))</f>
        <v>0</v>
      </c>
      <c r="HC271" s="344">
        <f>IF(GD268=1,X275,SUM(GI271,GM271,GQ271,GU271,GY271))</f>
        <v>0</v>
      </c>
      <c r="HD271" s="345">
        <f>IF(GD268=1,0,SUM(GF271,GJ271,GN271,GR271,GV271))</f>
        <v>0</v>
      </c>
      <c r="HE271" s="345">
        <f>IF(GD268=1,0,SUM(GG271,GK271,GO271,GS271,GW271))</f>
        <v>0</v>
      </c>
      <c r="HF271" s="341">
        <f>IF(GD268=1,0,MIN(HI271,HJ271,HK271,HL271,HM271))</f>
        <v>0</v>
      </c>
      <c r="HG271" s="341">
        <f>IF(HF271=0,0,COUNTIF(HI271:HM271,HF271))</f>
        <v>0</v>
      </c>
      <c r="HH271" s="341">
        <f>SUM(GH272,GL272,GP272,GT272,GX272)</f>
        <v>0</v>
      </c>
      <c r="HI271" s="343" t="str">
        <f>IF(GH272=1,GG271,"")</f>
        <v/>
      </c>
      <c r="HJ271" s="343" t="str">
        <f>IF(GL272=1,GK271,"")</f>
        <v/>
      </c>
      <c r="HK271" s="343" t="str">
        <f>IF(GP272=1,GO271,"")</f>
        <v/>
      </c>
      <c r="HL271" s="343" t="str">
        <f>IF(GT272=1,GS271,"")</f>
        <v/>
      </c>
      <c r="HM271" s="343" t="str">
        <f>IF(GX272=1,GW271,"")</f>
        <v/>
      </c>
      <c r="HN271" s="341"/>
      <c r="HO271" s="341"/>
      <c r="HP271" s="341"/>
      <c r="HQ271" s="341"/>
      <c r="HR271" s="341"/>
      <c r="HS271" s="238"/>
      <c r="HT271" s="238"/>
      <c r="HU271" s="238"/>
      <c r="HV271" s="238"/>
      <c r="HW271" s="238" t="str">
        <f>IFERROR(IF(GD268=0,SUM(IB270:IC270),""),"")</f>
        <v/>
      </c>
      <c r="HY271" s="238"/>
      <c r="ID271" s="238"/>
    </row>
    <row r="272" spans="1:238" s="234" customFormat="1" ht="20.100000000000001" customHeight="1">
      <c r="A272" s="235"/>
      <c r="B272" s="231">
        <f>COUNT(AJ273,AJ272)</f>
        <v>1</v>
      </c>
      <c r="C272" s="235"/>
      <c r="D272" s="271" t="str">
        <f>REPT(DN272,1)</f>
        <v>5</v>
      </c>
      <c r="E272" s="254" t="str">
        <f>REPT(AH272,1)</f>
        <v/>
      </c>
      <c r="F272" s="168"/>
      <c r="G272" s="168"/>
      <c r="H272" s="168"/>
      <c r="I272" s="169"/>
      <c r="J272" s="272" t="str">
        <f>REPT(AM272,1)</f>
        <v/>
      </c>
      <c r="L272" s="310"/>
      <c r="M272" s="310"/>
      <c r="N272" s="272" t="str">
        <f>REPT(AP272,1)</f>
        <v/>
      </c>
      <c r="O272" s="118"/>
      <c r="Q272" s="310"/>
      <c r="R272" s="235"/>
      <c r="S272" s="271" t="str">
        <f>REPT(DO272,1)</f>
        <v>5</v>
      </c>
      <c r="T272" s="254" t="str">
        <f>REPT(AV272,1)</f>
        <v/>
      </c>
      <c r="U272" s="168"/>
      <c r="V272" s="168"/>
      <c r="W272" s="168"/>
      <c r="X272" s="169"/>
      <c r="Y272" s="272" t="str">
        <f>REPT(BA272,1)</f>
        <v/>
      </c>
      <c r="Z272" s="308"/>
      <c r="AA272" s="238">
        <f>SUM(AL265)</f>
        <v>5</v>
      </c>
      <c r="AB272" s="234">
        <f>IF(AY272="",0,IF(AY272&lt;2,1,""))</f>
        <v>0</v>
      </c>
      <c r="AC272" s="238">
        <f>IF(AL265=3,0,IF(AD272=1,1,IF(AD272=3,1,IF(AD272=2,0,IF(AD272=0,0,0)))))</f>
        <v>0</v>
      </c>
      <c r="AD272" s="256">
        <f t="shared" si="650"/>
        <v>0</v>
      </c>
      <c r="AE272" s="256">
        <f t="shared" si="644"/>
        <v>0</v>
      </c>
      <c r="AF272" s="256">
        <f t="shared" si="645"/>
        <v>0</v>
      </c>
      <c r="AG272" s="256">
        <f t="shared" si="651"/>
        <v>0</v>
      </c>
      <c r="AH272" s="257" t="str">
        <f>IF(AL265=3,"",IF(AK272="",IF(AI272="","",IF(AI272="",501,501-AI272)),501))</f>
        <v/>
      </c>
      <c r="AI272" s="256" t="str">
        <f>IF(AL265=3,"",IF(F272&gt;1,F272,IF(F272=0,"",IF(F272="","",""))))</f>
        <v/>
      </c>
      <c r="AJ272" s="256" t="str">
        <f>IF(AL265=3,"",IF(G272&gt;8,G272,IF(G272="","","")))</f>
        <v/>
      </c>
      <c r="AK272" s="256" t="str">
        <f>IF(AL265=3,"",IF(H272&gt;1,H272,IF(H272="","","")))</f>
        <v/>
      </c>
      <c r="AL272" s="256" t="str">
        <f>IF(AL265=3,"",IF(I272&gt;0,I272,IF(I272="","","")))</f>
        <v/>
      </c>
      <c r="AM272" s="258" t="str">
        <f>IF(BK272=0,"","X")</f>
        <v/>
      </c>
      <c r="AN272" s="237"/>
      <c r="AO272" s="237"/>
      <c r="AP272" s="258" t="str">
        <f>IF(BM272=0,"","X")</f>
        <v/>
      </c>
      <c r="AQ272" s="236">
        <f>IF(AL265=3,0,IF(AR272=1,1,IF(AR272=3,1,IF(AR272=2,0,IF(AR272=0,0,0)))))</f>
        <v>0</v>
      </c>
      <c r="AR272" s="256">
        <f t="shared" si="653"/>
        <v>0</v>
      </c>
      <c r="AS272" s="256">
        <f t="shared" si="646"/>
        <v>0</v>
      </c>
      <c r="AT272" s="256">
        <f t="shared" si="647"/>
        <v>0</v>
      </c>
      <c r="AU272" s="256">
        <f t="shared" si="654"/>
        <v>0</v>
      </c>
      <c r="AV272" s="257" t="str">
        <f>IF(AY272="",IF(AW272="","",IF(AW272="",501,501-AW272)),501)</f>
        <v/>
      </c>
      <c r="AW272" s="256" t="str">
        <f>IF(AL265=3,"",IF(U272&gt;1,U272,IF(U272=0,"",IF(U272="","",""))))</f>
        <v/>
      </c>
      <c r="AX272" s="256" t="str">
        <f>IF(AL265=3,"",IF(V272&gt;8,V272,IF(V272="","","")))</f>
        <v/>
      </c>
      <c r="AY272" s="256" t="str">
        <f>IF(AL265=3,"",IF(W272&gt;1,W272,IF(W272="","","")))</f>
        <v/>
      </c>
      <c r="AZ272" s="256" t="str">
        <f>IF(AL265=3,"",IF(X272&gt;0,X272,IF(X272="","","")))</f>
        <v/>
      </c>
      <c r="BA272" s="258" t="str">
        <f>IF(BL272=0,"","X")</f>
        <v/>
      </c>
      <c r="BK272" s="251">
        <f>IF(AL265=3,0,SUM(DD272,DV272,EY272,ED272,FF272,BQ272,BS272,AC272))</f>
        <v>0</v>
      </c>
      <c r="BL272" s="251">
        <f>SUM(DE272,DW272,EE272,FT272,GA272,BR272,BT272,AQ272)</f>
        <v>0</v>
      </c>
      <c r="BM272" s="259">
        <f>IF(AL265=3,0,SUM(DC272,BK272:BL272,AC272,AQ272))</f>
        <v>0</v>
      </c>
      <c r="BN272" s="239">
        <f>COUNT(AK272)</f>
        <v>0</v>
      </c>
      <c r="BO272" s="239">
        <f>COUNT(AY272)</f>
        <v>0</v>
      </c>
      <c r="BP272" s="239">
        <f>IF(BN274=0,0,1)</f>
        <v>0</v>
      </c>
      <c r="BQ272" s="260">
        <f>IF(AL272="",0,IF(AL272&gt;2,1,0))</f>
        <v>0</v>
      </c>
      <c r="BR272" s="261">
        <f>IF(AZ272="",0,IF(AZ272&gt;2,1,0))</f>
        <v>0</v>
      </c>
      <c r="BS272" s="262">
        <f>IF(AJ272=9,IF(AK272&lt;141,1,0),0)</f>
        <v>0</v>
      </c>
      <c r="BT272" s="263">
        <f>IF(AX272=9,IF(AY272&lt;141,1,0),0)</f>
        <v>0</v>
      </c>
      <c r="BU272" s="242">
        <f>IF(AL265=3,0,IF(H272,G272,0))</f>
        <v>0</v>
      </c>
      <c r="BV272" s="238">
        <f>IF(BU272&gt;0,AJ272/3,0)</f>
        <v>0</v>
      </c>
      <c r="BW272" s="238">
        <f>ROUNDUP(BV272,0)</f>
        <v>0</v>
      </c>
      <c r="BX272" s="244">
        <f>IF(MOD(BW272,2)=0,BW272,BW272+1)</f>
        <v>0</v>
      </c>
      <c r="BY272" s="238">
        <f>IF(AJ272&lt;9,"",SUM(BX272-BW272))</f>
        <v>0</v>
      </c>
      <c r="BZ272" s="238">
        <f>IF(BY272=1,AK272,0)</f>
        <v>0</v>
      </c>
      <c r="CA272" s="243" t="str">
        <f>IF(BY272=0,AK272,0)</f>
        <v/>
      </c>
      <c r="CB272" s="238"/>
      <c r="CC272" s="238"/>
      <c r="CD272" s="242">
        <f>IF(AL265=3,0,IF(W272,V272,0))</f>
        <v>0</v>
      </c>
      <c r="CE272" s="238">
        <f>IF(CD272&gt;0,AX272/3,0)</f>
        <v>0</v>
      </c>
      <c r="CF272" s="238">
        <f>ROUNDUP(CE272,0)</f>
        <v>0</v>
      </c>
      <c r="CG272" s="244">
        <f>IF(MOD(CF272,2)=0,CF272,CF272+1)</f>
        <v>0</v>
      </c>
      <c r="CH272" s="238">
        <f>IF(AX272&lt;9,"",SUM(CG272-CF272))</f>
        <v>0</v>
      </c>
      <c r="CI272" s="238">
        <f>IF(CH272=1,AY272,0)</f>
        <v>0</v>
      </c>
      <c r="CJ272" s="243" t="str">
        <f>IF(CH272=0,AY272,0)</f>
        <v/>
      </c>
      <c r="CK272" s="238"/>
      <c r="CL272" s="245">
        <f>IF(COUNT(F272,H272)=1,0,1)</f>
        <v>1</v>
      </c>
      <c r="CM272" s="245">
        <f>IF(COUNT(F272,U272)=1,0,1)</f>
        <v>1</v>
      </c>
      <c r="CN272" s="245">
        <f>IF(COUNT(H272,W272)=1,0,1)</f>
        <v>1</v>
      </c>
      <c r="CO272" s="245">
        <f>IF(COUNT(G272,V272)=2,0,1)</f>
        <v>1</v>
      </c>
      <c r="CP272" s="245">
        <f>IF(COUNT(U272,W272)=1,0,1)</f>
        <v>1</v>
      </c>
      <c r="CQ272" s="245">
        <f>IF(SUM(G272-V272)&gt;3,1,0)</f>
        <v>0</v>
      </c>
      <c r="CR272" s="245">
        <f>IF(SUM(G272-V272)&lt;-3,1,0)</f>
        <v>0</v>
      </c>
      <c r="CS272" s="264">
        <f>IF(AJ272=9,IF(AH272&lt;141,1,0),IF(AH272="",0,IF(AH272&gt;1,0,1)))</f>
        <v>0</v>
      </c>
      <c r="CT272" s="264">
        <f>IF(AX272=9,IF(AV272&lt;141,1,0),IF(AV272="",0,IF(AV272&gt;1,0,1)))</f>
        <v>0</v>
      </c>
      <c r="CU272" s="264">
        <f>IF(AI272="",0,IF(AI272&lt;502,0,1))</f>
        <v>0</v>
      </c>
      <c r="CV272" s="264">
        <f>IF(AW272="",0,IF(AW272&lt;502,0,1))</f>
        <v>0</v>
      </c>
      <c r="CW272" s="264">
        <f>IF(AI272="",IF(AJ272&lt;9,1,0),IF(AJ272&lt;9,1,0))</f>
        <v>0</v>
      </c>
      <c r="CX272" s="264">
        <f>IF(AW272="",IF(AX272&lt;9,1,0),IF(AX272&lt;9,1,0))</f>
        <v>0</v>
      </c>
      <c r="CY272" s="374"/>
      <c r="CZ272" s="374"/>
      <c r="DA272" s="374"/>
      <c r="DB272" s="374"/>
      <c r="DC272" s="265">
        <f>IF(AJ272="",0,SUM(CL272:CX272))</f>
        <v>0</v>
      </c>
      <c r="DD272" s="265">
        <f>IF(AJ272="",0,SUM(CL272,CS272,CU272,CW272))</f>
        <v>0</v>
      </c>
      <c r="DE272" s="265">
        <f>IF(AJ272="",0,SUM(CP272,CT272,CV272,CX272))</f>
        <v>0</v>
      </c>
      <c r="DF272" s="238"/>
      <c r="DG272" s="248">
        <f>IF(AL265=3,0,SUM(G272-V272))</f>
        <v>0</v>
      </c>
      <c r="DH272" s="245">
        <f>IF(F272="",0,1)</f>
        <v>0</v>
      </c>
      <c r="DI272" s="245">
        <f t="shared" si="656"/>
        <v>0</v>
      </c>
      <c r="DJ272" s="245">
        <f t="shared" si="657"/>
        <v>0</v>
      </c>
      <c r="DK272" s="245" t="str">
        <f>IF(G272="","",IF(DJ272=1,"*",""))</f>
        <v/>
      </c>
      <c r="DL272" s="245" t="str">
        <f>IF(AL265=3,"",IF(G272="","",IF(DJ272=-1,"*",IF(DJ272=0,"*",""))))</f>
        <v/>
      </c>
      <c r="DM272" s="245">
        <v>5</v>
      </c>
      <c r="DN272" s="245" t="str">
        <f t="shared" si="658"/>
        <v>5</v>
      </c>
      <c r="DO272" s="245" t="str">
        <f t="shared" si="659"/>
        <v>5</v>
      </c>
      <c r="DP272" s="245">
        <f>SUM(DP268)</f>
        <v>0</v>
      </c>
      <c r="DQ272" s="245">
        <f>SUM(DQ268)</f>
        <v>0</v>
      </c>
      <c r="DR272" s="245">
        <f t="shared" si="666"/>
        <v>0</v>
      </c>
      <c r="DS272" s="245">
        <f t="shared" si="667"/>
        <v>0</v>
      </c>
      <c r="DT272" s="245">
        <f t="shared" si="668"/>
        <v>0</v>
      </c>
      <c r="DU272" s="245">
        <f>IF(V272="",0,IF(DQ272=DS272,0,1))</f>
        <v>0</v>
      </c>
      <c r="DV272" s="267">
        <f t="shared" si="669"/>
        <v>0</v>
      </c>
      <c r="DW272" s="267">
        <f>IF(V272="",0,SUM(DU272))</f>
        <v>0</v>
      </c>
      <c r="DX272" s="238">
        <f>IF(AK272="",0,1)</f>
        <v>0</v>
      </c>
      <c r="DY272" s="238">
        <f>IF(DG272=-3,1,0)</f>
        <v>0</v>
      </c>
      <c r="DZ272" s="238">
        <f>SUM(DX272:DY272)</f>
        <v>0</v>
      </c>
      <c r="EA272" s="238">
        <f>IF(AK272="",1,0)</f>
        <v>1</v>
      </c>
      <c r="EB272" s="238">
        <f>IF(DG272=3,1,0)</f>
        <v>0</v>
      </c>
      <c r="EC272" s="238">
        <f>SUM(EA272:EB272)</f>
        <v>1</v>
      </c>
      <c r="ED272" s="267">
        <f>IF(EC272=2,1,0)</f>
        <v>0</v>
      </c>
      <c r="EE272" s="267">
        <f>IF(DZ272=2,1,0)</f>
        <v>0</v>
      </c>
      <c r="EG272" s="166"/>
      <c r="EH272" s="238"/>
      <c r="EI272" s="238"/>
      <c r="EJ272" s="238"/>
      <c r="EK272" s="238"/>
      <c r="EL272" s="238"/>
      <c r="EM272" s="245">
        <f>IF(AK272="",0,1)</f>
        <v>0</v>
      </c>
      <c r="EN272" s="245">
        <f>SUM(AK272)</f>
        <v>0</v>
      </c>
      <c r="EO272" s="268">
        <f>SUM(AJ272)</f>
        <v>0</v>
      </c>
      <c r="EP272" s="268">
        <f>SUM(G272/3)</f>
        <v>0</v>
      </c>
      <c r="EQ272" s="268" t="e">
        <f>SUM(EO272/EP272)</f>
        <v>#DIV/0!</v>
      </c>
      <c r="ER272" s="268">
        <f>ROUNDDOWN(EP272,0)</f>
        <v>0</v>
      </c>
      <c r="ES272" s="268">
        <f>SUM(EO272,-ER272*3)</f>
        <v>0</v>
      </c>
      <c r="ET272" s="269" t="b">
        <f>MOD(EN272/1,2)=0</f>
        <v>1</v>
      </c>
      <c r="EU272" s="245">
        <f>IF(ET272=FALSE,1,0)</f>
        <v>0</v>
      </c>
      <c r="EV272" s="245">
        <f>IF(EN272=50,0,IF(EN272&lt;40,1,0))</f>
        <v>1</v>
      </c>
      <c r="EW272" s="245">
        <f>SUM(EU272:EV272)</f>
        <v>1</v>
      </c>
      <c r="EX272" s="267">
        <f>IF(EN272=1,1,IF(EN272=50,0,IF(ES272=1,IF(EN272&gt;40,1,0),0)))</f>
        <v>0</v>
      </c>
      <c r="EY272" s="267">
        <f>IF(ES272=1,IF(EW272=2,1,0),0)+EX272+FB272+FE272</f>
        <v>0</v>
      </c>
      <c r="EZ272" s="245">
        <f>IF(EN272=109,1,IF(EN272=108,1,IF(EN272=106,1,IF(EN272=105,1,IF(EN272=103,1,IF(EN272=102,1,IF(EN272=99,1,0)))))))</f>
        <v>0</v>
      </c>
      <c r="FA272" s="245">
        <f>IF(EN272&gt;110,1,0)</f>
        <v>0</v>
      </c>
      <c r="FB272" s="267">
        <f>IF(ES272=2,SUM(EZ272:FA272),0)</f>
        <v>0</v>
      </c>
      <c r="FC272" s="245">
        <f>IF(EN272=159,1,IF(EN272=162,1,IF(EN272=163,1,IF(EN272=165,1,IF(EN272=166,1,IF(EN272=168,1,IF(EN272=169,1,0)))))))</f>
        <v>0</v>
      </c>
      <c r="FD272" s="245">
        <f>IF(EN272&gt;170,1,0)</f>
        <v>0</v>
      </c>
      <c r="FE272" s="267">
        <f>IF(ES272=0,SUM(FC272:FD272),0)</f>
        <v>0</v>
      </c>
      <c r="FF272" s="251">
        <f t="shared" si="660"/>
        <v>0</v>
      </c>
      <c r="FG272" s="238"/>
      <c r="FH272" s="245">
        <f>IF(AY272="",0,1)</f>
        <v>0</v>
      </c>
      <c r="FI272" s="245">
        <f>SUM(AY272)</f>
        <v>0</v>
      </c>
      <c r="FJ272" s="268">
        <f>SUM(AX272)</f>
        <v>0</v>
      </c>
      <c r="FK272" s="268">
        <f>SUM(V272/3)</f>
        <v>0</v>
      </c>
      <c r="FL272" s="268" t="e">
        <f>SUM(FJ272/FK272)</f>
        <v>#DIV/0!</v>
      </c>
      <c r="FM272" s="268">
        <f>ROUNDDOWN(FK272,0)</f>
        <v>0</v>
      </c>
      <c r="FN272" s="268">
        <f>SUM(FJ272,-FM272*3)</f>
        <v>0</v>
      </c>
      <c r="FO272" s="269" t="b">
        <f>MOD(FI272/1,2)=0</f>
        <v>1</v>
      </c>
      <c r="FP272" s="245">
        <f>IF(FO272=FALSE,1,0)</f>
        <v>0</v>
      </c>
      <c r="FQ272" s="245">
        <f>IF(FI272=50,0,IF(FI272&lt;40,1,0))</f>
        <v>1</v>
      </c>
      <c r="FR272" s="245">
        <f>SUM(FP272:FQ272)</f>
        <v>1</v>
      </c>
      <c r="FS272" s="267">
        <f>IF(FI272=1,1,IF(FI272=50,0,IF(FN272=1,IF(FI272&gt;40,1,0),0)))</f>
        <v>0</v>
      </c>
      <c r="FT272" s="267">
        <f>IF(FN272=1,IF(FR272=2,1,0),0)+FS272+FW272+FZ272</f>
        <v>0</v>
      </c>
      <c r="FU272" s="245">
        <f>IF(FI272=109,1,IF(FI272=108,1,IF(FI272=106,1,IF(FI272=105,1,IF(FI272=103,1,IF(FI272=102,1,IF(FI272=99,1,0)))))))</f>
        <v>0</v>
      </c>
      <c r="FV272" s="245">
        <f>IF(FI272&gt;110,1,0)</f>
        <v>0</v>
      </c>
      <c r="FW272" s="267">
        <f>IF(FN272=2,SUM(FU272:FV272),0)</f>
        <v>0</v>
      </c>
      <c r="FX272" s="245">
        <f>IF(FI272=159,1,IF(FI272=162,1,IF(FI272=163,1,IF(FI272=165,1,IF(FI272=166,1,IF(FI272=168,1,IF(FI272=169,1,0)))))))</f>
        <v>0</v>
      </c>
      <c r="FY272" s="245">
        <f>IF(FI272&gt;170,1,0)</f>
        <v>0</v>
      </c>
      <c r="FZ272" s="267">
        <f>IF(FN272=0,SUM(FX272:FY272),0)</f>
        <v>0</v>
      </c>
      <c r="GA272" s="251">
        <f t="shared" si="661"/>
        <v>0</v>
      </c>
      <c r="GC272" s="238" t="str">
        <f>VLOOKUP(AH265,Chema!BL:BR,5,FALSE)</f>
        <v/>
      </c>
      <c r="GD272" s="341"/>
      <c r="GE272" s="343" t="str">
        <f>IF(R276="","",SUM(R276))</f>
        <v/>
      </c>
      <c r="GF272" s="340"/>
      <c r="GG272" s="346"/>
      <c r="GH272" s="343">
        <f>IF(GH271&gt;0,1,0)</f>
        <v>0</v>
      </c>
      <c r="GI272" s="346"/>
      <c r="GJ272" s="343"/>
      <c r="GK272" s="346"/>
      <c r="GL272" s="343">
        <f>IF(GL271&gt;0,1,0)</f>
        <v>0</v>
      </c>
      <c r="GM272" s="343"/>
      <c r="GN272" s="343"/>
      <c r="GO272" s="346"/>
      <c r="GP272" s="343">
        <f>IF(GP271&gt;0,1,0)</f>
        <v>0</v>
      </c>
      <c r="GQ272" s="343"/>
      <c r="GR272" s="343"/>
      <c r="GS272" s="346"/>
      <c r="GT272" s="343">
        <f>IF(GT271&gt;0,1,0)</f>
        <v>0</v>
      </c>
      <c r="GU272" s="343"/>
      <c r="GV272" s="343"/>
      <c r="GW272" s="346"/>
      <c r="GX272" s="343">
        <f>IF(GX271&gt;0,1,0)</f>
        <v>0</v>
      </c>
      <c r="GY272" s="340"/>
      <c r="GZ272" s="343"/>
      <c r="HA272" s="343"/>
      <c r="HB272" s="343" t="str">
        <f>IF(GD268=1,P276,"")</f>
        <v/>
      </c>
      <c r="HC272" s="343" t="str">
        <f>IF(GD268=1,X276,"")</f>
        <v/>
      </c>
      <c r="HD272" s="340"/>
      <c r="HE272" s="340"/>
      <c r="HF272" s="340"/>
      <c r="HG272" s="340">
        <f>IF(HG270=HM268,0,IF(HG270=HM272,0,1))</f>
        <v>0</v>
      </c>
      <c r="HH272" s="340">
        <f>IF(HH269=HH271,1,0)</f>
        <v>1</v>
      </c>
      <c r="HI272" s="340"/>
      <c r="HJ272" s="340"/>
      <c r="HK272" s="340"/>
      <c r="HL272" s="340"/>
      <c r="HM272" s="341">
        <f>COUNT(HI271,HJ271,HK271,HL271,HM271)</f>
        <v>0</v>
      </c>
      <c r="HN272" s="341"/>
      <c r="HO272" s="341"/>
      <c r="HP272" s="341"/>
      <c r="HQ272" s="341"/>
      <c r="HR272" s="341"/>
      <c r="HS272" s="238"/>
      <c r="HT272" s="238"/>
      <c r="HU272" s="238"/>
      <c r="HV272" s="238"/>
      <c r="HX272" s="238"/>
      <c r="HY272" s="238"/>
      <c r="ID272" s="238"/>
    </row>
    <row r="273" spans="1:238" s="234" customFormat="1" ht="6.6" customHeight="1">
      <c r="A273" s="235"/>
      <c r="B273" s="231"/>
      <c r="C273" s="310"/>
      <c r="D273" s="310"/>
      <c r="E273" s="310"/>
      <c r="F273" s="310"/>
      <c r="G273" s="313"/>
      <c r="H273" s="310"/>
      <c r="I273" s="310"/>
      <c r="J273" s="273"/>
      <c r="K273" s="313"/>
      <c r="O273" s="118"/>
      <c r="R273" s="310"/>
      <c r="S273" s="310"/>
      <c r="T273" s="310"/>
      <c r="U273" s="310"/>
      <c r="V273" s="313"/>
      <c r="W273" s="310"/>
      <c r="X273" s="310"/>
      <c r="Y273" s="273"/>
      <c r="Z273" s="308"/>
      <c r="AA273" s="274"/>
      <c r="AD273" s="235"/>
      <c r="AE273" s="237">
        <f>IF(AF273=0,0,1)</f>
        <v>0</v>
      </c>
      <c r="AF273" s="237">
        <f>IF(AL273=0,0,SUM(AL275:AL276,-AL274))</f>
        <v>0</v>
      </c>
      <c r="AG273" s="237"/>
      <c r="AH273" s="275">
        <f>SUM(AH268,AH269,AH270,AH271,AH272)</f>
        <v>0</v>
      </c>
      <c r="AI273" s="275">
        <f t="shared" ref="AI273" si="673">SUM(AI268,AI269,AI270,AI271,AI272)</f>
        <v>0</v>
      </c>
      <c r="AJ273" s="275">
        <f t="shared" ref="AJ273" si="674">SUM(AJ268,AJ269,AJ270,AJ271,AJ272)</f>
        <v>0</v>
      </c>
      <c r="AK273" s="275">
        <f>MAX(AK268,AK269,AK270,AK271,AK272)</f>
        <v>0</v>
      </c>
      <c r="AL273" s="275">
        <f t="shared" ref="AL273" si="675">SUM(AL268,AL269,AL270,AL271,AL272)</f>
        <v>0</v>
      </c>
      <c r="AM273" s="275">
        <f>IF(AK265="D",SUM(AL268,AL269,AL270,AL271,AL272,-AL275,-AL276),0)</f>
        <v>0</v>
      </c>
      <c r="AN273" s="235"/>
      <c r="AO273" s="235"/>
      <c r="AP273" s="235"/>
      <c r="AQ273" s="235"/>
      <c r="AR273" s="235"/>
      <c r="AS273" s="237">
        <f>IF(AT273=0,0,1)</f>
        <v>0</v>
      </c>
      <c r="AT273" s="237">
        <f>IF(AZ273=0,0,SUM(AZ275:AZ276,-AZ274))</f>
        <v>0</v>
      </c>
      <c r="AU273" s="237"/>
      <c r="AV273" s="275">
        <f>SUM(AV268,AV269,AV270,AV271,AV272)</f>
        <v>0</v>
      </c>
      <c r="AW273" s="275">
        <f t="shared" ref="AW273" si="676">SUM(AW268,AW269,AW270,AW271,AW272)</f>
        <v>0</v>
      </c>
      <c r="AX273" s="275">
        <f t="shared" ref="AX273" si="677">SUM(AX268,AX269,AX270,AX271,AX272)</f>
        <v>0</v>
      </c>
      <c r="AY273" s="275">
        <f>MAX(AY268,AY269,AY270,AY271,AY272)</f>
        <v>0</v>
      </c>
      <c r="AZ273" s="275">
        <f t="shared" ref="AZ273" si="678">SUM(AZ268,AZ269,AZ270,AZ271,AZ272)</f>
        <v>0</v>
      </c>
      <c r="BA273" s="275">
        <f>IF(AK265="D",SUM(AZ268,AZ269,AZ270,AZ271,AZ272,-AZ275,-AZ276),0)</f>
        <v>0</v>
      </c>
      <c r="BJ273" s="236"/>
      <c r="BK273" s="238"/>
      <c r="BL273" s="238"/>
      <c r="BM273" s="238"/>
      <c r="BP273" s="238"/>
      <c r="BQ273" s="238"/>
      <c r="BR273" s="238"/>
      <c r="BS273" s="238"/>
      <c r="BT273" s="238"/>
      <c r="BU273" s="238"/>
      <c r="BY273" s="238"/>
      <c r="BZ273" s="238">
        <f>MAX(BZ268,BZ269,BZ270,BZ271,BZ272)</f>
        <v>0</v>
      </c>
      <c r="CA273" s="238">
        <f>MAX(CA268,CA269,CA270,CA271,CA272)</f>
        <v>0</v>
      </c>
      <c r="CB273" s="238"/>
      <c r="CC273" s="238"/>
      <c r="CD273" s="238"/>
      <c r="CG273" s="244"/>
      <c r="CH273" s="238"/>
      <c r="CI273" s="238">
        <f>MAX(CI268,CI269,CI270,CI271,CI272)</f>
        <v>0</v>
      </c>
      <c r="CJ273" s="238">
        <f>MAX(CJ268,CJ269,CJ270,CJ271,CJ272)</f>
        <v>0</v>
      </c>
      <c r="CK273" s="238"/>
      <c r="CL273" s="238"/>
      <c r="CM273" s="238"/>
      <c r="CN273" s="238"/>
      <c r="CO273" s="238"/>
      <c r="CP273" s="238"/>
      <c r="CQ273" s="238"/>
      <c r="CR273" s="238"/>
      <c r="CS273" s="238"/>
      <c r="CT273" s="238"/>
      <c r="CU273" s="238"/>
      <c r="CV273" s="238"/>
      <c r="CW273" s="238"/>
      <c r="CX273" s="238"/>
      <c r="CY273" s="238"/>
      <c r="CZ273" s="238"/>
      <c r="DA273" s="238"/>
      <c r="DB273" s="238"/>
      <c r="DC273" s="238"/>
      <c r="DD273" s="238"/>
      <c r="DE273" s="238"/>
      <c r="DF273" s="238"/>
      <c r="DG273" s="238"/>
      <c r="DH273" s="238"/>
      <c r="DI273" s="238"/>
      <c r="DJ273" s="238"/>
      <c r="DK273" s="238"/>
      <c r="DL273" s="238"/>
      <c r="DM273" s="238"/>
      <c r="DN273" s="238"/>
      <c r="DO273" s="238"/>
      <c r="DP273" s="238"/>
      <c r="DQ273" s="238"/>
      <c r="DR273" s="238"/>
      <c r="DS273" s="238"/>
      <c r="DT273" s="238"/>
      <c r="DU273" s="238"/>
      <c r="DV273" s="238"/>
      <c r="DW273" s="238"/>
      <c r="DX273" s="238"/>
      <c r="DY273" s="238"/>
      <c r="DZ273" s="238"/>
      <c r="EA273" s="238"/>
      <c r="EB273" s="238"/>
      <c r="EC273" s="238"/>
      <c r="ED273" s="238"/>
      <c r="EE273" s="238"/>
      <c r="EF273" s="238"/>
      <c r="EG273" s="238"/>
      <c r="EH273" s="238"/>
      <c r="EI273" s="238"/>
      <c r="EJ273" s="238"/>
      <c r="EK273" s="238"/>
      <c r="EL273" s="238"/>
      <c r="EM273" s="166"/>
      <c r="EN273" s="166"/>
      <c r="EO273" s="166"/>
      <c r="EP273" s="238">
        <f>SUM(EN273-EO273)</f>
        <v>0</v>
      </c>
      <c r="EQ273" s="238"/>
      <c r="ER273" s="238"/>
      <c r="ES273" s="238"/>
      <c r="ET273" s="244"/>
      <c r="EU273" s="238"/>
      <c r="EV273" s="238"/>
      <c r="EW273" s="238"/>
      <c r="EX273" s="238"/>
      <c r="EY273" s="238"/>
      <c r="EZ273" s="238"/>
      <c r="FA273" s="238"/>
      <c r="FB273" s="238"/>
      <c r="FC273" s="238"/>
      <c r="FD273" s="238"/>
      <c r="FE273" s="238"/>
      <c r="FF273" s="238"/>
      <c r="FG273" s="238"/>
      <c r="FH273" s="238"/>
      <c r="FI273" s="238"/>
      <c r="FJ273" s="238"/>
      <c r="FK273" s="238"/>
      <c r="FL273" s="238"/>
      <c r="FM273" s="238"/>
      <c r="FN273" s="238"/>
      <c r="FO273" s="244"/>
      <c r="FP273" s="238"/>
      <c r="FQ273" s="238"/>
      <c r="FR273" s="238"/>
      <c r="FS273" s="238"/>
      <c r="FT273" s="238"/>
      <c r="FU273" s="238"/>
      <c r="FV273" s="238"/>
      <c r="FW273" s="238"/>
      <c r="FX273" s="238"/>
      <c r="FY273" s="238"/>
      <c r="FZ273" s="238"/>
      <c r="GA273" s="238"/>
      <c r="GB273" s="238"/>
      <c r="GC273" s="238"/>
      <c r="GD273" s="341"/>
      <c r="GE273" s="340"/>
      <c r="GF273" s="340"/>
      <c r="GG273" s="340"/>
      <c r="GH273" s="340"/>
      <c r="GI273" s="340"/>
      <c r="GJ273" s="340"/>
      <c r="GK273" s="340"/>
      <c r="GL273" s="340"/>
      <c r="GM273" s="340"/>
      <c r="GN273" s="340"/>
      <c r="GO273" s="340"/>
      <c r="GP273" s="340"/>
      <c r="GQ273" s="340"/>
      <c r="GR273" s="340"/>
      <c r="GS273" s="340"/>
      <c r="GT273" s="340"/>
      <c r="GU273" s="340"/>
      <c r="GV273" s="340"/>
      <c r="GW273" s="340"/>
      <c r="GX273" s="340"/>
      <c r="GY273" s="340"/>
      <c r="GZ273" s="340"/>
      <c r="HA273" s="340"/>
      <c r="HB273" s="340"/>
      <c r="HC273" s="340"/>
      <c r="HD273" s="341"/>
      <c r="HE273" s="341"/>
      <c r="HF273" s="341"/>
      <c r="HG273" s="341"/>
      <c r="HH273" s="341"/>
      <c r="HI273" s="341"/>
      <c r="HJ273" s="341"/>
      <c r="HK273" s="341"/>
      <c r="HL273" s="341"/>
      <c r="HM273" s="341"/>
      <c r="HN273" s="341"/>
      <c r="HO273" s="341"/>
      <c r="HP273" s="341"/>
      <c r="HQ273" s="341"/>
      <c r="HR273" s="341"/>
      <c r="HS273" s="238"/>
      <c r="HT273" s="238"/>
      <c r="HU273" s="238"/>
      <c r="HV273" s="238"/>
      <c r="HX273" s="238"/>
      <c r="HY273" s="238"/>
      <c r="ID273" s="238"/>
    </row>
    <row r="274" spans="1:238" s="234" customFormat="1" ht="20.100000000000001" customHeight="1">
      <c r="A274" s="235"/>
      <c r="B274" s="231"/>
      <c r="C274" s="314" t="s">
        <v>771</v>
      </c>
      <c r="D274" s="276" t="str">
        <f>REPT(Sprache!$K$58,1)</f>
        <v>Spieler</v>
      </c>
      <c r="E274" s="277" t="str">
        <f>REPT(Sprache!$K$33,1)</f>
        <v>Name / Vorname</v>
      </c>
      <c r="F274" s="278"/>
      <c r="G274" s="278"/>
      <c r="H274" s="279"/>
      <c r="I274" s="280"/>
      <c r="J274" s="281" t="str">
        <f>REPT(AM274,1)</f>
        <v/>
      </c>
      <c r="L274" s="306" t="s">
        <v>848</v>
      </c>
      <c r="M274" s="238"/>
      <c r="P274" s="306" t="s">
        <v>848</v>
      </c>
      <c r="R274" s="314" t="s">
        <v>771</v>
      </c>
      <c r="S274" s="276" t="str">
        <f>REPT(Sprache!$K$58,1)</f>
        <v>Spieler</v>
      </c>
      <c r="T274" s="277" t="str">
        <f>REPT(Sprache!$K$33,1)</f>
        <v>Name / Vorname</v>
      </c>
      <c r="U274" s="278"/>
      <c r="V274" s="278"/>
      <c r="W274" s="279"/>
      <c r="X274" s="280"/>
      <c r="Y274" s="281" t="str">
        <f>REPT(BA274,1)</f>
        <v/>
      </c>
      <c r="Z274" s="308"/>
      <c r="AD274" s="235"/>
      <c r="AE274" s="235"/>
      <c r="AF274" s="237" t="s">
        <v>771</v>
      </c>
      <c r="AG274" s="282" t="s">
        <v>877</v>
      </c>
      <c r="AH274" s="283" t="str">
        <f>IF(AH273=0,"",AH273)</f>
        <v/>
      </c>
      <c r="AI274" s="283" t="str">
        <f>IF(AI273=0,"",AI273)</f>
        <v/>
      </c>
      <c r="AJ274" s="283" t="str">
        <f>IF(AJ273=0,"",AJ273)</f>
        <v/>
      </c>
      <c r="AK274" s="283" t="str">
        <f>IF(AK273=0,"",AK273)</f>
        <v/>
      </c>
      <c r="AL274" s="283" t="str">
        <f>IF(AL273=0,"",AL273)</f>
        <v/>
      </c>
      <c r="AM274" s="258" t="str">
        <f>IF(AK265="D",IF(AF273=0,"","X"),"")</f>
        <v/>
      </c>
      <c r="AN274" s="235"/>
      <c r="AO274" s="235"/>
      <c r="AP274" s="284"/>
      <c r="AQ274" s="235"/>
      <c r="AR274" s="235"/>
      <c r="AS274" s="235"/>
      <c r="AT274" s="237" t="s">
        <v>771</v>
      </c>
      <c r="AU274" s="282" t="s">
        <v>877</v>
      </c>
      <c r="AV274" s="283" t="str">
        <f>IF(AV273=0,"",AV273)</f>
        <v/>
      </c>
      <c r="AW274" s="283" t="str">
        <f>IF(AW273=0,"",AW273)</f>
        <v/>
      </c>
      <c r="AX274" s="283" t="str">
        <f>IF(AX273=0,"",AX273)</f>
        <v/>
      </c>
      <c r="AY274" s="283" t="str">
        <f>IF(AY273=0,"",AY273)</f>
        <v/>
      </c>
      <c r="AZ274" s="421" t="str">
        <f>IF(AZ273=0,"",AZ273)</f>
        <v/>
      </c>
      <c r="BA274" s="258" t="str">
        <f>IF(AK265="D",IF(AT273=0,"","X"),"")</f>
        <v/>
      </c>
      <c r="BJ274" s="236"/>
      <c r="BK274" s="238"/>
      <c r="BL274" s="244">
        <f>IF(BM274=0,0,1)</f>
        <v>0</v>
      </c>
      <c r="BM274" s="244">
        <f>SUM(BM268,BM269,BM270,BM271,BM272,HH270,AN275,AN276,BB275,BB276)</f>
        <v>0</v>
      </c>
      <c r="BN274" s="166">
        <f t="shared" ref="BN274:BO274" si="679">SUM(BN268,BN269,BN270,BN271,BN272)</f>
        <v>0</v>
      </c>
      <c r="BO274" s="166">
        <f t="shared" si="679"/>
        <v>0</v>
      </c>
      <c r="BP274" s="244"/>
      <c r="BQ274" s="238"/>
      <c r="BR274" s="238"/>
      <c r="BS274" s="238"/>
      <c r="BT274" s="238"/>
      <c r="BU274" s="238"/>
      <c r="BV274" s="238"/>
      <c r="BW274" s="238"/>
      <c r="BX274" s="236"/>
      <c r="BY274" s="238"/>
      <c r="BZ274" s="238"/>
      <c r="CA274" s="238"/>
      <c r="CB274" s="238"/>
      <c r="CC274" s="238"/>
      <c r="CD274" s="238"/>
      <c r="CE274" s="238"/>
      <c r="CF274" s="238"/>
      <c r="CG274" s="244"/>
      <c r="CH274" s="238"/>
      <c r="CI274" s="238"/>
      <c r="CJ274" s="238"/>
      <c r="CK274" s="238"/>
      <c r="CL274" s="238"/>
      <c r="CM274" s="238"/>
      <c r="CN274" s="238"/>
      <c r="CO274" s="238"/>
      <c r="CP274" s="238"/>
      <c r="CQ274" s="238"/>
      <c r="CR274" s="238"/>
      <c r="CS274" s="238"/>
      <c r="CT274" s="238"/>
      <c r="CU274" s="238"/>
      <c r="CV274" s="238"/>
      <c r="CW274" s="238"/>
      <c r="CX274" s="238"/>
      <c r="CY274" s="238"/>
      <c r="CZ274" s="238"/>
      <c r="DA274" s="238"/>
      <c r="DB274" s="238"/>
      <c r="DC274" s="238"/>
      <c r="DD274" s="238"/>
      <c r="DE274" s="238"/>
      <c r="DF274" s="238"/>
      <c r="DG274" s="238"/>
      <c r="DH274" s="238"/>
      <c r="DI274" s="238"/>
      <c r="DJ274" s="238"/>
      <c r="DK274" s="238"/>
      <c r="DL274" s="238"/>
      <c r="DM274" s="238"/>
      <c r="DN274" s="238"/>
      <c r="DO274" s="238"/>
      <c r="DP274" s="238"/>
      <c r="DQ274" s="238"/>
      <c r="DR274" s="238"/>
      <c r="DS274" s="238"/>
      <c r="DT274" s="238"/>
      <c r="DU274" s="238"/>
      <c r="DV274" s="238"/>
      <c r="DW274" s="238"/>
      <c r="DX274" s="238"/>
      <c r="DY274" s="238"/>
      <c r="DZ274" s="238"/>
      <c r="EA274" s="238"/>
      <c r="EB274" s="238"/>
      <c r="EC274" s="238"/>
      <c r="ED274" s="238"/>
      <c r="EE274" s="238"/>
      <c r="EF274" s="238"/>
      <c r="EG274" s="238"/>
      <c r="EH274" s="238"/>
      <c r="EI274" s="238"/>
      <c r="EJ274" s="238"/>
      <c r="EK274" s="238"/>
      <c r="EL274" s="238"/>
      <c r="EM274" s="238"/>
      <c r="EN274" s="238"/>
      <c r="EO274" s="238"/>
      <c r="EP274" s="238"/>
      <c r="EQ274" s="238"/>
      <c r="ER274" s="238"/>
      <c r="ES274" s="238"/>
      <c r="ET274" s="244"/>
      <c r="EU274" s="238"/>
      <c r="EV274" s="238"/>
      <c r="EW274" s="238"/>
      <c r="EX274" s="238"/>
      <c r="EY274" s="238"/>
      <c r="EZ274" s="238"/>
      <c r="FA274" s="238"/>
      <c r="FB274" s="238"/>
      <c r="FC274" s="238"/>
      <c r="FD274" s="238"/>
      <c r="FE274" s="238"/>
      <c r="FF274" s="238"/>
      <c r="FG274" s="238"/>
      <c r="FH274" s="238"/>
      <c r="FI274" s="238"/>
      <c r="FJ274" s="238"/>
      <c r="FK274" s="238"/>
      <c r="FL274" s="238"/>
      <c r="FM274" s="238"/>
      <c r="FN274" s="238"/>
      <c r="FO274" s="244"/>
      <c r="FP274" s="238"/>
      <c r="FQ274" s="238"/>
      <c r="FR274" s="238"/>
      <c r="FS274" s="238"/>
      <c r="FT274" s="238"/>
      <c r="FU274" s="238"/>
      <c r="FV274" s="238"/>
      <c r="FW274" s="238"/>
      <c r="FX274" s="238"/>
      <c r="FY274" s="238"/>
      <c r="FZ274" s="238"/>
      <c r="GA274" s="238"/>
      <c r="GB274" s="238"/>
      <c r="GC274" s="238"/>
      <c r="GD274" s="341"/>
      <c r="GE274" s="340"/>
      <c r="GF274" s="340"/>
      <c r="GG274" s="340"/>
      <c r="GH274" s="340"/>
      <c r="GI274" s="340"/>
      <c r="GJ274" s="340"/>
      <c r="GK274" s="340"/>
      <c r="GL274" s="340"/>
      <c r="GM274" s="340"/>
      <c r="GN274" s="340"/>
      <c r="GO274" s="340"/>
      <c r="GP274" s="340"/>
      <c r="GQ274" s="340"/>
      <c r="GR274" s="340"/>
      <c r="GS274" s="340"/>
      <c r="GT274" s="340"/>
      <c r="GU274" s="340"/>
      <c r="GV274" s="340"/>
      <c r="GW274" s="340"/>
      <c r="GX274" s="340"/>
      <c r="GY274" s="340"/>
      <c r="GZ274" s="340"/>
      <c r="HA274" s="340"/>
      <c r="HB274" s="340"/>
      <c r="HC274" s="340"/>
      <c r="HD274" s="341"/>
      <c r="HE274" s="341"/>
      <c r="HF274" s="341"/>
      <c r="HG274" s="341"/>
      <c r="HH274" s="341"/>
      <c r="HI274" s="341"/>
      <c r="HJ274" s="341"/>
      <c r="HK274" s="341"/>
      <c r="HL274" s="341"/>
      <c r="HM274" s="341"/>
      <c r="HN274" s="341"/>
      <c r="HO274" s="341"/>
      <c r="HP274" s="341"/>
      <c r="HQ274" s="341"/>
      <c r="HR274" s="341"/>
      <c r="HS274" s="238"/>
      <c r="HT274" s="238"/>
      <c r="HU274" s="238"/>
      <c r="HV274" s="238"/>
      <c r="HX274" s="238"/>
      <c r="HY274" s="238"/>
      <c r="ID274" s="238"/>
    </row>
    <row r="275" spans="1:238" s="234" customFormat="1" ht="20.100000000000001" customHeight="1">
      <c r="A275" s="235"/>
      <c r="B275" s="231"/>
      <c r="C275" s="285" t="str">
        <f>IF(AF275="","",SUM(AF275))</f>
        <v/>
      </c>
      <c r="D275" s="286" t="str">
        <f>IF(AK265="D",1,"")</f>
        <v/>
      </c>
      <c r="E275" s="287" t="str">
        <f>IF(C275="","",VLOOKUP(C275,Licenses!B:C,2,FALSE))</f>
        <v/>
      </c>
      <c r="F275" s="288"/>
      <c r="G275" s="288"/>
      <c r="H275" s="289"/>
      <c r="I275" s="169"/>
      <c r="J275" s="270" t="str">
        <f>REPT(AM275,1)</f>
        <v/>
      </c>
      <c r="L275" s="290" t="str">
        <f>IF(AK265="D",AK275,IF(AK274="","",AK274))</f>
        <v/>
      </c>
      <c r="M275" s="311"/>
      <c r="P275" s="290" t="str">
        <f>IF(AK265="D",AY275,IF(AY274="","",AY274))</f>
        <v/>
      </c>
      <c r="R275" s="291" t="str">
        <f>IF(AT275="","",SUM(AT275))</f>
        <v/>
      </c>
      <c r="S275" s="286" t="str">
        <f>IF(AK265="D",1,"")</f>
        <v/>
      </c>
      <c r="T275" s="292" t="str">
        <f>IF(R275="","",VLOOKUP(R275,Licenses!B:C,2,FALSE))</f>
        <v/>
      </c>
      <c r="U275" s="293"/>
      <c r="V275" s="293"/>
      <c r="W275" s="294"/>
      <c r="X275" s="169"/>
      <c r="Y275" s="270" t="str">
        <f>REPT(BA275,1)</f>
        <v/>
      </c>
      <c r="Z275" s="308"/>
      <c r="AD275" s="235"/>
      <c r="AE275" s="235"/>
      <c r="AF275" s="256" t="str">
        <f>IF(AM265="","",SUM(AM265))</f>
        <v/>
      </c>
      <c r="AG275" s="237"/>
      <c r="AH275" s="256"/>
      <c r="AI275" s="256"/>
      <c r="AJ275" s="256"/>
      <c r="AK275" s="256" t="str">
        <f>IF(BZ273&gt;1,BZ273,"")</f>
        <v/>
      </c>
      <c r="AL275" s="257">
        <f>IF(AK265="D",SUM(I275),0)</f>
        <v>0</v>
      </c>
      <c r="AM275" s="258" t="str">
        <f>IF(AM273=0,IF(AL275&lt;6,"","X"),"X")</f>
        <v/>
      </c>
      <c r="AN275" s="347" t="str">
        <f>IF(AM273=0,IF(AL275&lt;6,"",1),1)</f>
        <v/>
      </c>
      <c r="AO275" s="235"/>
      <c r="AP275" s="236"/>
      <c r="AQ275" s="235"/>
      <c r="AR275" s="235"/>
      <c r="AS275" s="235"/>
      <c r="AT275" s="256" t="str">
        <f>IF(BA265="","",SUM(BA265))</f>
        <v/>
      </c>
      <c r="AU275" s="237"/>
      <c r="AV275" s="256"/>
      <c r="AW275" s="256"/>
      <c r="AX275" s="256"/>
      <c r="AY275" s="256" t="str">
        <f>IF(CI273&gt;1,CI273,"")</f>
        <v/>
      </c>
      <c r="AZ275" s="257">
        <f>IF(AK265="D",SUM(X275),0)</f>
        <v>0</v>
      </c>
      <c r="BA275" s="258" t="str">
        <f>IF(BA273=0,IF(AZ275&lt;6,"","X"),"X")</f>
        <v/>
      </c>
      <c r="BB275" s="347" t="str">
        <f>IF(BA273=0,IF(AZ275&lt;6,"",1),1)</f>
        <v/>
      </c>
      <c r="BC275" s="236"/>
      <c r="BD275" s="236"/>
      <c r="BE275" s="236"/>
      <c r="BF275" s="236"/>
      <c r="BG275" s="236"/>
      <c r="BH275" s="236"/>
      <c r="BI275" s="236"/>
      <c r="BJ275" s="236"/>
      <c r="BK275" s="238"/>
      <c r="BL275" s="238"/>
      <c r="BM275" s="295"/>
      <c r="BN275" s="295"/>
      <c r="BO275" s="295"/>
      <c r="BP275" s="295"/>
      <c r="BQ275" s="295"/>
      <c r="BR275" s="295"/>
      <c r="BS275" s="295"/>
      <c r="BT275" s="295"/>
      <c r="BU275" s="295"/>
      <c r="BV275" s="295"/>
      <c r="BW275" s="295"/>
      <c r="BX275" s="236"/>
      <c r="BY275" s="295"/>
      <c r="BZ275" s="295"/>
      <c r="CA275" s="295"/>
      <c r="CB275" s="295"/>
      <c r="CC275" s="295"/>
      <c r="CD275" s="295"/>
      <c r="CE275" s="295"/>
      <c r="CF275" s="295"/>
      <c r="CG275" s="296"/>
      <c r="CH275" s="295"/>
      <c r="CI275" s="295"/>
      <c r="CJ275" s="295"/>
      <c r="CK275" s="238"/>
      <c r="CL275" s="238"/>
      <c r="CM275" s="238"/>
      <c r="CN275" s="238"/>
      <c r="CO275" s="238"/>
      <c r="CP275" s="238"/>
      <c r="CQ275" s="238"/>
      <c r="CR275" s="238"/>
      <c r="CS275" s="238"/>
      <c r="CT275" s="238"/>
      <c r="CU275" s="238"/>
      <c r="CV275" s="238"/>
      <c r="CW275" s="238"/>
      <c r="CX275" s="238"/>
      <c r="CY275" s="238"/>
      <c r="CZ275" s="238"/>
      <c r="DA275" s="238"/>
      <c r="DB275" s="238"/>
      <c r="DC275" s="238"/>
      <c r="DD275" s="238"/>
      <c r="DE275" s="238"/>
      <c r="DF275" s="238"/>
      <c r="DG275" s="238"/>
      <c r="DH275" s="238"/>
      <c r="DI275" s="238"/>
      <c r="DJ275" s="238"/>
      <c r="DK275" s="238"/>
      <c r="DL275" s="238"/>
      <c r="DM275" s="238"/>
      <c r="DN275" s="238"/>
      <c r="DO275" s="238"/>
      <c r="DP275" s="238"/>
      <c r="DQ275" s="238"/>
      <c r="DR275" s="238"/>
      <c r="DS275" s="238"/>
      <c r="DT275" s="238"/>
      <c r="DU275" s="238"/>
      <c r="DV275" s="238"/>
      <c r="DW275" s="238"/>
      <c r="DX275" s="238"/>
      <c r="DY275" s="238"/>
      <c r="DZ275" s="238"/>
      <c r="EA275" s="238"/>
      <c r="EB275" s="238"/>
      <c r="EC275" s="238"/>
      <c r="ED275" s="238"/>
      <c r="EE275" s="238"/>
      <c r="EF275" s="238"/>
      <c r="EG275" s="238"/>
      <c r="EH275" s="238"/>
      <c r="EI275" s="238"/>
      <c r="EJ275" s="238"/>
      <c r="EK275" s="238"/>
      <c r="EL275" s="238"/>
      <c r="EM275" s="238"/>
      <c r="EN275" s="238"/>
      <c r="EO275" s="238"/>
      <c r="EP275" s="238"/>
      <c r="EQ275" s="238"/>
      <c r="ER275" s="238"/>
      <c r="ES275" s="238"/>
      <c r="ET275" s="244"/>
      <c r="EU275" s="238"/>
      <c r="EV275" s="238"/>
      <c r="EW275" s="238"/>
      <c r="EX275" s="238"/>
      <c r="EY275" s="238"/>
      <c r="EZ275" s="238"/>
      <c r="FA275" s="238"/>
      <c r="FB275" s="238"/>
      <c r="FC275" s="238"/>
      <c r="FD275" s="238"/>
      <c r="FE275" s="238"/>
      <c r="FF275" s="238"/>
      <c r="FG275" s="238"/>
      <c r="FH275" s="238"/>
      <c r="FI275" s="238"/>
      <c r="FJ275" s="238"/>
      <c r="FK275" s="238"/>
      <c r="FL275" s="238"/>
      <c r="FM275" s="238"/>
      <c r="FN275" s="238"/>
      <c r="FO275" s="244"/>
      <c r="FP275" s="238"/>
      <c r="FQ275" s="238"/>
      <c r="FR275" s="238"/>
      <c r="FS275" s="238"/>
      <c r="FT275" s="238"/>
      <c r="FU275" s="238"/>
      <c r="FV275" s="238"/>
      <c r="FW275" s="238"/>
      <c r="FX275" s="238"/>
      <c r="FY275" s="238"/>
      <c r="FZ275" s="238"/>
      <c r="GA275" s="238"/>
      <c r="GB275" s="238"/>
      <c r="GC275" s="238"/>
      <c r="GD275" s="341"/>
      <c r="GE275" s="340"/>
      <c r="GF275" s="340"/>
      <c r="GG275" s="340"/>
      <c r="GH275" s="340"/>
      <c r="GI275" s="340"/>
      <c r="GJ275" s="340"/>
      <c r="GK275" s="340"/>
      <c r="GL275" s="340"/>
      <c r="GM275" s="340"/>
      <c r="GN275" s="340"/>
      <c r="GO275" s="340"/>
      <c r="GP275" s="340"/>
      <c r="GQ275" s="340"/>
      <c r="GR275" s="340"/>
      <c r="GS275" s="340"/>
      <c r="GT275" s="340"/>
      <c r="GU275" s="340"/>
      <c r="GV275" s="340"/>
      <c r="GW275" s="340"/>
      <c r="GX275" s="340"/>
      <c r="GY275" s="340"/>
      <c r="GZ275" s="340"/>
      <c r="HA275" s="340"/>
      <c r="HB275" s="340"/>
      <c r="HC275" s="340"/>
      <c r="HD275" s="341"/>
      <c r="HE275" s="341"/>
      <c r="HF275" s="341"/>
      <c r="HG275" s="341"/>
      <c r="HH275" s="341"/>
      <c r="HI275" s="341"/>
      <c r="HJ275" s="341"/>
      <c r="HK275" s="341"/>
      <c r="HL275" s="341"/>
      <c r="HM275" s="341"/>
      <c r="HN275" s="341"/>
      <c r="HO275" s="341"/>
      <c r="HP275" s="341"/>
      <c r="HQ275" s="341"/>
      <c r="HR275" s="341"/>
      <c r="HS275" s="238"/>
      <c r="HT275" s="238"/>
      <c r="HU275" s="238"/>
      <c r="HV275" s="238"/>
      <c r="HX275" s="238"/>
      <c r="HY275" s="238"/>
      <c r="ID275" s="238"/>
    </row>
    <row r="276" spans="1:238" s="234" customFormat="1" ht="20.100000000000001" customHeight="1">
      <c r="A276" s="235"/>
      <c r="B276" s="231"/>
      <c r="C276" s="336" t="str">
        <f>IF(AF276="","",SUM(AF276))</f>
        <v/>
      </c>
      <c r="D276" s="333" t="str">
        <f>IF(AK265="D",2,"")</f>
        <v/>
      </c>
      <c r="E276" s="337" t="str">
        <f>IF(C276="","",VLOOKUP(C276,Licenses!B:C,2,FALSE))</f>
        <v/>
      </c>
      <c r="F276" s="290"/>
      <c r="G276" s="290"/>
      <c r="H276" s="338"/>
      <c r="I276" s="331"/>
      <c r="J276" s="272" t="str">
        <f>REPT(AM276,1)</f>
        <v/>
      </c>
      <c r="L276" s="315" t="str">
        <f>IF(AK265="D",AK276,"")</f>
        <v/>
      </c>
      <c r="M276" s="311"/>
      <c r="P276" s="315" t="str">
        <f>IF(AK265="D",AY276,"")</f>
        <v/>
      </c>
      <c r="R276" s="332" t="str">
        <f>IF(AT276="","",SUM(AT276))</f>
        <v/>
      </c>
      <c r="S276" s="333" t="str">
        <f>IF(AK265="D",2,"")</f>
        <v/>
      </c>
      <c r="T276" s="334" t="str">
        <f>IF(R276="","",VLOOKUP(R276,Licenses!B:C,2,FALSE))</f>
        <v/>
      </c>
      <c r="U276" s="297"/>
      <c r="V276" s="297"/>
      <c r="W276" s="335"/>
      <c r="X276" s="331"/>
      <c r="Y276" s="272" t="str">
        <f>REPT(BA276,1)</f>
        <v/>
      </c>
      <c r="Z276" s="308"/>
      <c r="AA276" s="238">
        <f>IF(AK265="D",0,1)</f>
        <v>1</v>
      </c>
      <c r="AD276" s="235"/>
      <c r="AE276" s="235"/>
      <c r="AF276" s="256" t="str">
        <f>IF(AM266="","",SUM(AM266))</f>
        <v/>
      </c>
      <c r="AG276" s="237"/>
      <c r="AH276" s="256"/>
      <c r="AI276" s="256"/>
      <c r="AJ276" s="256"/>
      <c r="AK276" s="256" t="str">
        <f>IF(CA273&gt;1,CA273,"")</f>
        <v/>
      </c>
      <c r="AL276" s="257">
        <f>IF(AK265="D",SUM(I276),0)</f>
        <v>0</v>
      </c>
      <c r="AM276" s="258" t="str">
        <f>IF(AM273=0,IF(AL276&lt;6,"","X"),"X")</f>
        <v/>
      </c>
      <c r="AN276" s="347" t="str">
        <f>IF(AM273=0,IF(AL276&lt;6,"",1),1)</f>
        <v/>
      </c>
      <c r="AO276" s="235"/>
      <c r="AP276" s="236"/>
      <c r="AQ276" s="235"/>
      <c r="AR276" s="235"/>
      <c r="AS276" s="235"/>
      <c r="AT276" s="256" t="str">
        <f>IF(BA266="","",SUM(BA266))</f>
        <v/>
      </c>
      <c r="AU276" s="237"/>
      <c r="AV276" s="256"/>
      <c r="AW276" s="256"/>
      <c r="AX276" s="256"/>
      <c r="AY276" s="256" t="str">
        <f>IF(CJ273&gt;1,CJ273,"")</f>
        <v/>
      </c>
      <c r="AZ276" s="257">
        <f>IF(AK265="D",SUM(X276),0)</f>
        <v>0</v>
      </c>
      <c r="BA276" s="258" t="str">
        <f>IF(BA273=0,IF(AZ276&lt;6,"","X"),"X")</f>
        <v/>
      </c>
      <c r="BB276" s="347" t="str">
        <f>IF(BA273=0,IF(AZ276&lt;6,"",1),1)</f>
        <v/>
      </c>
      <c r="BC276" s="236"/>
      <c r="BD276" s="236"/>
      <c r="BE276" s="236"/>
      <c r="BF276" s="236"/>
      <c r="BG276" s="236"/>
      <c r="BH276" s="236"/>
      <c r="BI276" s="236"/>
      <c r="BJ276" s="236"/>
      <c r="BK276" s="238"/>
      <c r="BM276" s="238"/>
      <c r="BN276" s="238"/>
      <c r="BO276" s="238"/>
      <c r="BP276" s="238"/>
      <c r="BQ276" s="238" t="s">
        <v>899</v>
      </c>
      <c r="BR276" s="238"/>
      <c r="BS276" s="238"/>
      <c r="BT276" s="238"/>
      <c r="BU276" s="238"/>
      <c r="BV276" s="238"/>
      <c r="BW276" s="238"/>
      <c r="BX276" s="236"/>
      <c r="BY276" s="238"/>
      <c r="BZ276" s="238"/>
      <c r="CA276" s="238"/>
      <c r="CB276" s="238"/>
      <c r="CC276" s="238"/>
      <c r="CD276" s="238" t="s">
        <v>899</v>
      </c>
      <c r="CE276" s="238"/>
      <c r="CF276" s="238"/>
      <c r="CG276" s="244"/>
      <c r="CH276" s="238"/>
      <c r="CI276" s="238"/>
      <c r="CJ276" s="238"/>
      <c r="CK276" s="238"/>
      <c r="CL276" s="238"/>
      <c r="CM276" s="238"/>
      <c r="CN276" s="238"/>
      <c r="CO276" s="238"/>
      <c r="CP276" s="238"/>
      <c r="CQ276" s="238"/>
      <c r="CR276" s="238"/>
      <c r="CS276" s="238"/>
      <c r="CT276" s="238"/>
      <c r="CU276" s="238"/>
      <c r="CV276" s="238"/>
      <c r="CW276" s="238"/>
      <c r="CX276" s="238"/>
      <c r="CY276" s="238"/>
      <c r="CZ276" s="238"/>
      <c r="DA276" s="238"/>
      <c r="DB276" s="238"/>
      <c r="DC276" s="238"/>
      <c r="DD276" s="238"/>
      <c r="DE276" s="238"/>
      <c r="DF276" s="238"/>
      <c r="DG276" s="238"/>
      <c r="DH276" s="238"/>
      <c r="DI276" s="238"/>
      <c r="DJ276" s="238"/>
      <c r="DK276" s="238"/>
      <c r="DL276" s="238"/>
      <c r="DM276" s="238"/>
      <c r="DN276" s="238"/>
      <c r="DO276" s="238"/>
      <c r="DP276" s="238"/>
      <c r="DQ276" s="238"/>
      <c r="DR276" s="238"/>
      <c r="DS276" s="238"/>
      <c r="DT276" s="238"/>
      <c r="DU276" s="238"/>
      <c r="DV276" s="238"/>
      <c r="DW276" s="238"/>
      <c r="DX276" s="238"/>
      <c r="DY276" s="238"/>
      <c r="DZ276" s="238"/>
      <c r="EA276" s="238"/>
      <c r="EB276" s="238"/>
      <c r="EC276" s="238"/>
      <c r="ED276" s="238"/>
      <c r="EE276" s="238"/>
      <c r="EF276" s="238"/>
      <c r="EG276" s="238"/>
      <c r="EH276" s="238"/>
      <c r="EI276" s="238"/>
      <c r="EJ276" s="238"/>
      <c r="EK276" s="238"/>
      <c r="EL276" s="238"/>
      <c r="EM276" s="238"/>
      <c r="EN276" s="238"/>
      <c r="EO276" s="238"/>
      <c r="EP276" s="238"/>
      <c r="EQ276" s="238"/>
      <c r="ER276" s="238"/>
      <c r="ES276" s="238"/>
      <c r="ET276" s="244"/>
      <c r="EU276" s="238"/>
      <c r="EV276" s="238"/>
      <c r="EW276" s="238"/>
      <c r="EX276" s="238"/>
      <c r="EY276" s="238"/>
      <c r="EZ276" s="238"/>
      <c r="FA276" s="238"/>
      <c r="FB276" s="238"/>
      <c r="FC276" s="238"/>
      <c r="FD276" s="238"/>
      <c r="FE276" s="238"/>
      <c r="FF276" s="238"/>
      <c r="FG276" s="238"/>
      <c r="FH276" s="238"/>
      <c r="FI276" s="238"/>
      <c r="FJ276" s="238"/>
      <c r="FK276" s="238"/>
      <c r="FL276" s="238"/>
      <c r="FM276" s="238"/>
      <c r="FN276" s="238"/>
      <c r="FO276" s="244"/>
      <c r="FP276" s="238"/>
      <c r="FQ276" s="238"/>
      <c r="FR276" s="238"/>
      <c r="FS276" s="238"/>
      <c r="FT276" s="238"/>
      <c r="FU276" s="238"/>
      <c r="FV276" s="238"/>
      <c r="FW276" s="238"/>
      <c r="FX276" s="238"/>
      <c r="FY276" s="238"/>
      <c r="FZ276" s="238"/>
      <c r="GA276" s="238"/>
      <c r="GB276" s="238"/>
      <c r="GC276" s="238"/>
      <c r="GD276" s="341"/>
      <c r="GE276" s="340"/>
      <c r="GF276" s="340"/>
      <c r="GG276" s="340"/>
      <c r="GH276" s="340"/>
      <c r="GI276" s="340"/>
      <c r="GJ276" s="340"/>
      <c r="GK276" s="340"/>
      <c r="GL276" s="340"/>
      <c r="GM276" s="340"/>
      <c r="GN276" s="340"/>
      <c r="GO276" s="340"/>
      <c r="GP276" s="340"/>
      <c r="GQ276" s="340"/>
      <c r="GR276" s="340"/>
      <c r="GS276" s="340"/>
      <c r="GT276" s="340"/>
      <c r="GU276" s="340"/>
      <c r="GV276" s="340"/>
      <c r="GW276" s="340"/>
      <c r="GX276" s="340"/>
      <c r="GY276" s="340"/>
      <c r="GZ276" s="340"/>
      <c r="HA276" s="340"/>
      <c r="HB276" s="340"/>
      <c r="HC276" s="340"/>
      <c r="HD276" s="341"/>
      <c r="HE276" s="341"/>
      <c r="HF276" s="341"/>
      <c r="HG276" s="341"/>
      <c r="HH276" s="341"/>
      <c r="HI276" s="341"/>
      <c r="HJ276" s="341"/>
      <c r="HK276" s="341"/>
      <c r="HL276" s="341"/>
      <c r="HM276" s="341"/>
      <c r="HN276" s="341"/>
      <c r="HO276" s="341"/>
      <c r="HP276" s="341"/>
      <c r="HQ276" s="341"/>
      <c r="HR276" s="341"/>
      <c r="HS276" s="238"/>
      <c r="HT276" s="238"/>
      <c r="HU276" s="238"/>
      <c r="HV276" s="238"/>
      <c r="HX276" s="238"/>
      <c r="HY276" s="238"/>
      <c r="ID276" s="238"/>
    </row>
    <row r="277" spans="1:238" s="234" customFormat="1" ht="20.100000000000001" customHeight="1">
      <c r="A277" s="235"/>
      <c r="B277" s="316"/>
      <c r="C277" s="317"/>
      <c r="D277" s="317"/>
      <c r="E277" s="318"/>
      <c r="F277" s="318"/>
      <c r="G277" s="318"/>
      <c r="H277" s="318"/>
      <c r="I277" s="318"/>
      <c r="J277" s="318"/>
      <c r="K277" s="319"/>
      <c r="L277" s="319"/>
      <c r="M277" s="319"/>
      <c r="N277" s="319"/>
      <c r="O277" s="319"/>
      <c r="P277" s="320"/>
      <c r="Q277" s="319"/>
      <c r="R277" s="317"/>
      <c r="S277" s="318"/>
      <c r="T277" s="318"/>
      <c r="U277" s="318"/>
      <c r="V277" s="318"/>
      <c r="W277" s="318"/>
      <c r="X277" s="318"/>
      <c r="Y277" s="318"/>
      <c r="Z277" s="321"/>
      <c r="AD277" s="235"/>
      <c r="AE277" s="237"/>
      <c r="AF277" s="237"/>
      <c r="AG277" s="237"/>
      <c r="AH277" s="237" t="s">
        <v>921</v>
      </c>
      <c r="AI277" s="237" t="s">
        <v>922</v>
      </c>
      <c r="AJ277" s="298" t="str">
        <f>IF(BS277="","",SUM(AM277)*3)</f>
        <v/>
      </c>
      <c r="AK277" s="299" t="s">
        <v>923</v>
      </c>
      <c r="AL277" s="256"/>
      <c r="AM277" s="256" t="str">
        <f>IF(BS277="","",SUM(BS277))</f>
        <v/>
      </c>
      <c r="AN277" s="235"/>
      <c r="AO277" s="235"/>
      <c r="AP277" s="236"/>
      <c r="AQ277" s="235"/>
      <c r="AR277" s="235"/>
      <c r="AS277" s="237"/>
      <c r="AT277" s="237"/>
      <c r="AU277" s="237"/>
      <c r="AV277" s="237" t="s">
        <v>921</v>
      </c>
      <c r="AW277" s="237" t="s">
        <v>922</v>
      </c>
      <c r="AX277" s="298" t="str">
        <f>IF(BS277="","",SUM(BA277)*3)</f>
        <v/>
      </c>
      <c r="AY277" s="299" t="s">
        <v>923</v>
      </c>
      <c r="AZ277" s="256"/>
      <c r="BA277" s="256" t="str">
        <f>IF(BS277="","",SUM(CF277))</f>
        <v/>
      </c>
      <c r="BB277" s="236"/>
      <c r="BC277" s="236"/>
      <c r="BD277" s="236"/>
      <c r="BE277" s="236"/>
      <c r="BF277" s="236"/>
      <c r="BG277" s="236"/>
      <c r="BH277" s="236"/>
      <c r="BI277" s="236"/>
      <c r="BJ277" s="236"/>
      <c r="BK277" s="373">
        <f>IF(AL265=BQ277,1,0)</f>
        <v>0</v>
      </c>
      <c r="BL277" s="373">
        <f>IF(AL265=CD277,1,0)</f>
        <v>0</v>
      </c>
      <c r="BM277" s="256">
        <f>IF(BN277&gt;2,1,0)</f>
        <v>0</v>
      </c>
      <c r="BN277" s="256">
        <f>COUNT(AH268,AH269,AH270)</f>
        <v>0</v>
      </c>
      <c r="BO277" s="256" t="str">
        <f>IF(AH274="","",SUM(AH274/AJ274))</f>
        <v/>
      </c>
      <c r="BP277" s="256"/>
      <c r="BQ277" s="300">
        <f>COUNT(AK268,AK269,AK270,AK271,AK272)</f>
        <v>0</v>
      </c>
      <c r="BR277" s="256"/>
      <c r="BS277" s="256" t="str">
        <f>IF(BL274=0,IF(AJ269="","",BO277),"")</f>
        <v/>
      </c>
      <c r="BT277" s="236"/>
      <c r="BU277" s="236"/>
      <c r="BV277" s="236"/>
      <c r="BW277" s="236"/>
      <c r="BX277" s="236"/>
      <c r="BY277" s="256">
        <f>IF(CD277&gt;2,1,0)</f>
        <v>0</v>
      </c>
      <c r="BZ277" s="256">
        <f>IF(CA277&gt;2,1,0)</f>
        <v>0</v>
      </c>
      <c r="CA277" s="256">
        <f>COUNT(AV268,AV269,AV270)</f>
        <v>0</v>
      </c>
      <c r="CB277" s="256" t="str">
        <f>IF(AV274="","",SUM(AV274/AX274))</f>
        <v/>
      </c>
      <c r="CC277" s="256"/>
      <c r="CD277" s="300">
        <f>COUNT(AY268,AY269,AY270,AY271,AY272)</f>
        <v>0</v>
      </c>
      <c r="CE277" s="256"/>
      <c r="CF277" s="256" t="str">
        <f>IF(BL274=0,IF(AX269="","",CB277),"")</f>
        <v/>
      </c>
      <c r="CG277" s="236"/>
      <c r="CH277" s="188"/>
      <c r="CI277" s="188"/>
      <c r="CJ277" s="196"/>
      <c r="CK277" s="196"/>
      <c r="CL277" s="196"/>
      <c r="CM277" s="196"/>
      <c r="CN277" s="196"/>
      <c r="CO277" s="196"/>
      <c r="CP277" s="196"/>
      <c r="CQ277" s="196"/>
      <c r="CR277" s="196"/>
      <c r="CS277" s="196"/>
      <c r="CT277" s="196"/>
      <c r="CU277" s="196"/>
      <c r="CV277" s="196"/>
      <c r="CW277" s="196"/>
      <c r="CX277" s="196"/>
      <c r="CY277" s="196"/>
      <c r="CZ277" s="196"/>
      <c r="DA277" s="196"/>
      <c r="DB277" s="196"/>
      <c r="DC277" s="196"/>
      <c r="DD277" s="196"/>
      <c r="DE277" s="196"/>
      <c r="DF277" s="196"/>
      <c r="DG277" s="196"/>
      <c r="DH277" s="196"/>
      <c r="DI277" s="196"/>
      <c r="DJ277" s="196"/>
      <c r="DK277" s="196"/>
      <c r="DL277" s="196"/>
      <c r="DM277" s="196"/>
      <c r="DN277" s="196"/>
      <c r="DO277" s="196"/>
      <c r="DP277" s="196"/>
      <c r="DQ277" s="196"/>
      <c r="DR277" s="196"/>
      <c r="DS277" s="196"/>
      <c r="DT277" s="196"/>
      <c r="DU277" s="196"/>
      <c r="DV277" s="196"/>
      <c r="DW277" s="196"/>
      <c r="DX277" s="196"/>
      <c r="DY277" s="196"/>
      <c r="DZ277" s="196"/>
      <c r="EA277" s="196"/>
      <c r="EB277" s="196"/>
      <c r="EC277" s="196"/>
      <c r="ED277" s="196"/>
      <c r="EE277" s="196"/>
      <c r="EF277" s="196"/>
      <c r="EG277" s="196"/>
      <c r="EH277" s="196"/>
      <c r="EI277" s="196"/>
      <c r="EJ277" s="196"/>
      <c r="EK277" s="196"/>
      <c r="EL277" s="196"/>
      <c r="EM277" s="196"/>
      <c r="EN277" s="196"/>
      <c r="EO277" s="196"/>
      <c r="EP277" s="196"/>
      <c r="EQ277" s="196"/>
      <c r="ER277" s="196"/>
      <c r="ES277" s="196"/>
      <c r="ET277" s="301"/>
      <c r="EU277" s="196"/>
      <c r="EV277" s="196"/>
      <c r="EW277" s="196"/>
      <c r="EX277" s="196"/>
      <c r="EY277" s="196"/>
      <c r="EZ277" s="196"/>
      <c r="FA277" s="196"/>
      <c r="FB277" s="196"/>
      <c r="FC277" s="196"/>
      <c r="FD277" s="196"/>
      <c r="FE277" s="196"/>
      <c r="FF277" s="196"/>
      <c r="FG277" s="196"/>
      <c r="FH277" s="196"/>
      <c r="FI277" s="196"/>
      <c r="FJ277" s="196"/>
      <c r="FK277" s="196"/>
      <c r="FL277" s="196"/>
      <c r="FM277" s="196"/>
      <c r="FN277" s="196"/>
      <c r="FO277" s="301"/>
      <c r="FP277" s="196"/>
      <c r="FQ277" s="196"/>
      <c r="FR277" s="196"/>
      <c r="FS277" s="196"/>
      <c r="FT277" s="196"/>
      <c r="FU277" s="196"/>
      <c r="FV277" s="196"/>
      <c r="FW277" s="196"/>
      <c r="FX277" s="196"/>
      <c r="FY277" s="196"/>
      <c r="FZ277" s="196"/>
      <c r="GA277" s="196"/>
      <c r="GB277" s="238"/>
      <c r="GC277" s="238"/>
      <c r="GD277" s="341"/>
      <c r="GE277" s="341"/>
      <c r="GF277" s="341"/>
      <c r="GG277" s="341"/>
      <c r="GH277" s="341"/>
      <c r="GI277" s="341"/>
      <c r="GJ277" s="341"/>
      <c r="GK277" s="341"/>
      <c r="GL277" s="341"/>
      <c r="GM277" s="341"/>
      <c r="GN277" s="341"/>
      <c r="GO277" s="341"/>
      <c r="GP277" s="341"/>
      <c r="GQ277" s="341"/>
      <c r="GR277" s="341"/>
      <c r="GS277" s="341"/>
      <c r="GT277" s="341"/>
      <c r="GU277" s="341"/>
      <c r="GV277" s="341"/>
      <c r="GW277" s="341"/>
      <c r="GX277" s="341"/>
      <c r="GY277" s="341"/>
      <c r="GZ277" s="341"/>
      <c r="HA277" s="341"/>
      <c r="HB277" s="341"/>
      <c r="HC277" s="341"/>
      <c r="HD277" s="341"/>
      <c r="HE277" s="341"/>
      <c r="HF277" s="341"/>
      <c r="HG277" s="341"/>
      <c r="HH277" s="341"/>
      <c r="HI277" s="341"/>
      <c r="HJ277" s="341"/>
      <c r="HK277" s="341"/>
      <c r="HL277" s="341"/>
      <c r="HM277" s="341"/>
      <c r="HN277" s="341"/>
      <c r="HO277" s="341"/>
      <c r="HP277" s="341"/>
      <c r="HQ277" s="341"/>
      <c r="HR277" s="341"/>
      <c r="HS277" s="238"/>
      <c r="HT277" s="238"/>
      <c r="HU277" s="238"/>
      <c r="HV277" s="238"/>
      <c r="HX277" s="238"/>
      <c r="HY277" s="238"/>
      <c r="ID277" s="238"/>
    </row>
    <row r="278" spans="1:238" ht="14.1" customHeight="1">
      <c r="B278" s="214"/>
      <c r="C278" s="171"/>
      <c r="D278" s="171"/>
      <c r="E278" s="171"/>
      <c r="F278" s="171"/>
      <c r="G278" s="171"/>
      <c r="H278" s="171"/>
      <c r="I278" s="171"/>
      <c r="J278" s="171"/>
      <c r="K278" s="171"/>
      <c r="L278" s="171"/>
      <c r="M278" s="171"/>
      <c r="N278" s="171"/>
      <c r="O278" s="171"/>
      <c r="P278" s="171"/>
      <c r="Q278" s="171"/>
      <c r="R278" s="171"/>
      <c r="S278" s="171"/>
      <c r="T278" s="171"/>
      <c r="U278" s="171"/>
      <c r="V278" s="171"/>
      <c r="W278" s="171"/>
      <c r="X278" s="171"/>
      <c r="Y278" s="171"/>
      <c r="Z278" s="302"/>
      <c r="AA278" s="215"/>
      <c r="AB278" s="215"/>
      <c r="AC278" s="215"/>
      <c r="AD278" s="215"/>
      <c r="AE278" s="215"/>
      <c r="AF278" s="215"/>
      <c r="BB278" s="215"/>
      <c r="BC278" s="215"/>
      <c r="BD278" s="215"/>
      <c r="BE278" s="215"/>
      <c r="BF278" s="215"/>
      <c r="BG278" s="215"/>
      <c r="BH278" s="215"/>
      <c r="GD278" s="339"/>
      <c r="GE278" s="339"/>
      <c r="GF278" s="339"/>
      <c r="GG278" s="339"/>
      <c r="GH278" s="339"/>
      <c r="GI278" s="339"/>
      <c r="GJ278" s="339"/>
      <c r="GK278" s="339"/>
      <c r="GL278" s="339"/>
      <c r="GM278" s="339"/>
      <c r="GN278" s="339"/>
      <c r="GO278" s="339"/>
      <c r="GP278" s="339"/>
      <c r="GQ278" s="339"/>
      <c r="GR278" s="339"/>
      <c r="GS278" s="339"/>
      <c r="GT278" s="339"/>
      <c r="GU278" s="339"/>
      <c r="GV278" s="339"/>
      <c r="GW278" s="339"/>
      <c r="GX278" s="339"/>
      <c r="GY278" s="339"/>
      <c r="GZ278" s="339"/>
      <c r="HA278" s="339"/>
      <c r="HB278" s="339"/>
      <c r="HC278" s="339"/>
      <c r="HD278" s="339"/>
      <c r="HE278" s="339"/>
      <c r="HF278" s="339"/>
      <c r="HG278" s="339"/>
      <c r="HH278" s="339"/>
      <c r="HI278" s="339"/>
      <c r="HJ278" s="339"/>
      <c r="HK278" s="339"/>
      <c r="HL278" s="339"/>
      <c r="HM278" s="339"/>
      <c r="HN278" s="339"/>
      <c r="HO278" s="339"/>
      <c r="HP278" s="339"/>
      <c r="HQ278" s="339"/>
      <c r="HR278" s="339"/>
    </row>
    <row r="279" spans="1:238" ht="24" customHeight="1">
      <c r="B279" s="216"/>
      <c r="C279" s="181"/>
      <c r="D279" s="181"/>
      <c r="E279" s="181"/>
      <c r="F279" s="181"/>
      <c r="G279" s="181"/>
      <c r="H279" s="181"/>
      <c r="I279" s="181"/>
      <c r="J279" s="181"/>
      <c r="K279" s="185"/>
      <c r="L279" s="217"/>
      <c r="M279" s="218"/>
      <c r="N279" s="327" t="str">
        <f>CONCATENATE(AG279," ",AH279)</f>
        <v>Spiel 20</v>
      </c>
      <c r="O279" s="218"/>
      <c r="P279" s="219"/>
      <c r="Q279" s="185"/>
      <c r="R279" s="181"/>
      <c r="S279" s="181"/>
      <c r="T279" s="181"/>
      <c r="U279" s="181"/>
      <c r="V279" s="181"/>
      <c r="W279" s="181"/>
      <c r="X279" s="181"/>
      <c r="Y279" s="181"/>
      <c r="Z279" s="303"/>
      <c r="AA279" s="200"/>
      <c r="AB279" s="200"/>
      <c r="AC279" s="200"/>
      <c r="AD279" s="200"/>
      <c r="AE279" s="200"/>
      <c r="AF279" s="200"/>
      <c r="AG279" s="200" t="s">
        <v>863</v>
      </c>
      <c r="AH279" s="220">
        <v>20</v>
      </c>
      <c r="AI279" s="173">
        <f>VLOOKUP(AH279,Chema!R:T,3,FALSE)</f>
        <v>2.8</v>
      </c>
      <c r="AJ279" s="200" t="str">
        <f>VLOOKUP(AH279,Chema!BL:BQ,6,FALSE)</f>
        <v>2.8*</v>
      </c>
      <c r="AK279" s="200" t="str">
        <f>VLOOKUP(AH279,'Matchblatt  FEUILLE DE MATCH'!AI:AJ,2,FALSE)</f>
        <v>S</v>
      </c>
      <c r="AL279" s="200">
        <f>VLOOKUP(AH279,Chema!R:U,4,FALSE)</f>
        <v>5</v>
      </c>
      <c r="AM279" s="215" t="str">
        <f>VLOOKUP(AH279,'Matchblatt  FEUILLE DE MATCH'!AI:AS,10,FALSE)</f>
        <v/>
      </c>
      <c r="AN279" s="215"/>
      <c r="AO279" s="215"/>
      <c r="AP279" s="215"/>
      <c r="AQ279" s="215"/>
      <c r="AR279" s="215"/>
      <c r="AS279" s="215"/>
      <c r="AT279" s="215"/>
      <c r="AU279" s="215"/>
      <c r="AV279" s="215"/>
      <c r="AW279" s="215"/>
      <c r="AX279" s="215"/>
      <c r="AY279" s="215"/>
      <c r="AZ279" s="215"/>
      <c r="BA279" s="215" t="str">
        <f>VLOOKUP(AH279,'Matchblatt  FEUILLE DE MATCH'!AI:AS,11,FALSE)</f>
        <v/>
      </c>
      <c r="BB279" s="200"/>
      <c r="BC279" s="200"/>
      <c r="BD279" s="200"/>
      <c r="BE279" s="200"/>
      <c r="BF279" s="200"/>
      <c r="BG279" s="200"/>
      <c r="BH279" s="200"/>
      <c r="BK279" s="196"/>
      <c r="BL279" s="196"/>
      <c r="BM279" s="196"/>
      <c r="BN279" s="196"/>
      <c r="BO279" s="196"/>
      <c r="BP279" s="196"/>
      <c r="BQ279" s="221" t="s">
        <v>843</v>
      </c>
      <c r="BR279" s="222"/>
      <c r="BS279" s="222"/>
      <c r="BT279" s="223"/>
      <c r="BU279" s="222" t="s">
        <v>843</v>
      </c>
      <c r="BV279" s="222"/>
      <c r="BW279" s="222"/>
      <c r="BX279" s="224"/>
      <c r="BY279" s="222"/>
      <c r="BZ279" s="222"/>
      <c r="CA279" s="222"/>
      <c r="CB279" s="222"/>
      <c r="CC279" s="222"/>
      <c r="CD279" s="222"/>
      <c r="CE279" s="222"/>
      <c r="CF279" s="222"/>
      <c r="CG279" s="224"/>
      <c r="CH279" s="222"/>
      <c r="CI279" s="222"/>
      <c r="CJ279" s="223"/>
      <c r="CK279" s="196"/>
      <c r="CL279" s="196"/>
      <c r="CM279" s="196"/>
      <c r="CN279" s="196"/>
      <c r="CO279" s="196"/>
      <c r="CP279" s="196"/>
      <c r="CQ279" s="196"/>
      <c r="CR279" s="196"/>
      <c r="CS279" s="196"/>
      <c r="CT279" s="196"/>
      <c r="CU279" s="196"/>
      <c r="CV279" s="196"/>
      <c r="CW279" s="196"/>
      <c r="CX279" s="196"/>
      <c r="CY279" s="196"/>
      <c r="CZ279" s="196"/>
      <c r="DA279" s="196"/>
      <c r="DB279" s="196"/>
      <c r="DC279" s="196"/>
      <c r="DD279" s="196"/>
      <c r="DE279" s="196"/>
      <c r="DF279" s="196"/>
      <c r="DG279" s="196"/>
      <c r="DH279" s="196"/>
      <c r="DI279" s="196"/>
      <c r="DJ279" s="196"/>
      <c r="DK279" s="196"/>
      <c r="DL279" s="196"/>
      <c r="DM279" s="196"/>
      <c r="DN279" s="196"/>
      <c r="DO279" s="196"/>
      <c r="DP279" s="196"/>
      <c r="DQ279" s="196"/>
      <c r="DR279" s="196"/>
      <c r="DS279" s="196"/>
      <c r="DT279" s="196"/>
      <c r="DU279" s="196"/>
      <c r="DV279" s="196"/>
      <c r="DW279" s="196"/>
      <c r="DX279" s="196"/>
      <c r="DY279" s="196"/>
      <c r="DZ279" s="196"/>
      <c r="EA279" s="196"/>
      <c r="EB279" s="196"/>
      <c r="EC279" s="196"/>
      <c r="ED279" s="196"/>
      <c r="EE279" s="196"/>
      <c r="EF279" s="196"/>
      <c r="EG279" s="196"/>
      <c r="EH279" s="196"/>
      <c r="EI279" s="196"/>
      <c r="EJ279" s="196"/>
      <c r="EK279" s="196"/>
      <c r="EL279" s="196"/>
      <c r="EM279" s="221" t="s">
        <v>7</v>
      </c>
      <c r="EN279" s="222"/>
      <c r="EO279" s="222"/>
      <c r="EP279" s="222"/>
      <c r="EQ279" s="222"/>
      <c r="ER279" s="222"/>
      <c r="ES279" s="222"/>
      <c r="ET279" s="224"/>
      <c r="EU279" s="222"/>
      <c r="EV279" s="222"/>
      <c r="EW279" s="222"/>
      <c r="EX279" s="222"/>
      <c r="EY279" s="222"/>
      <c r="EZ279" s="222"/>
      <c r="FA279" s="222"/>
      <c r="FB279" s="222"/>
      <c r="FC279" s="222"/>
      <c r="FD279" s="222"/>
      <c r="FE279" s="223"/>
      <c r="FF279" s="196"/>
      <c r="FG279" s="196"/>
      <c r="FH279" s="221" t="s">
        <v>12</v>
      </c>
      <c r="FI279" s="222"/>
      <c r="FJ279" s="222"/>
      <c r="FK279" s="222"/>
      <c r="FL279" s="222"/>
      <c r="FM279" s="222"/>
      <c r="FN279" s="222"/>
      <c r="FO279" s="224"/>
      <c r="FP279" s="222"/>
      <c r="FQ279" s="222"/>
      <c r="FR279" s="222"/>
      <c r="FS279" s="222"/>
      <c r="FT279" s="222"/>
      <c r="FU279" s="222"/>
      <c r="FV279" s="222"/>
      <c r="FW279" s="222"/>
      <c r="FX279" s="222"/>
      <c r="FY279" s="222"/>
      <c r="FZ279" s="223"/>
      <c r="GA279" s="196"/>
      <c r="GD279" s="339"/>
      <c r="GE279" s="339"/>
      <c r="GF279" s="339"/>
      <c r="GG279" s="339"/>
      <c r="GH279" s="339"/>
      <c r="GI279" s="339"/>
      <c r="GJ279" s="339"/>
      <c r="GK279" s="339"/>
      <c r="GL279" s="339"/>
      <c r="GM279" s="339"/>
      <c r="GN279" s="339"/>
      <c r="GO279" s="339"/>
      <c r="GP279" s="339"/>
      <c r="GQ279" s="339"/>
      <c r="GR279" s="339"/>
      <c r="GS279" s="339"/>
      <c r="GT279" s="339"/>
      <c r="GU279" s="339"/>
      <c r="GV279" s="339"/>
      <c r="GW279" s="339"/>
      <c r="GX279" s="339"/>
      <c r="GY279" s="339"/>
      <c r="GZ279" s="339"/>
      <c r="HA279" s="339"/>
      <c r="HB279" s="339"/>
      <c r="HC279" s="339"/>
      <c r="HD279" s="339"/>
      <c r="HE279" s="339"/>
      <c r="HF279" s="339"/>
      <c r="HG279" s="339"/>
      <c r="HH279" s="339"/>
      <c r="HI279" s="339"/>
      <c r="HJ279" s="339"/>
      <c r="HK279" s="339"/>
      <c r="HL279" s="339"/>
      <c r="HM279" s="339"/>
      <c r="HN279" s="339"/>
      <c r="HO279" s="339"/>
      <c r="HP279" s="339"/>
      <c r="HQ279" s="339"/>
      <c r="HR279" s="339"/>
    </row>
    <row r="280" spans="1:238" ht="14.1" customHeight="1">
      <c r="B280" s="225"/>
      <c r="C280" s="304"/>
      <c r="D280" s="304"/>
      <c r="E280" s="304"/>
      <c r="F280" s="304"/>
      <c r="G280" s="304"/>
      <c r="H280" s="304"/>
      <c r="I280" s="304"/>
      <c r="J280" s="304"/>
      <c r="K280" s="166"/>
      <c r="L280" s="166"/>
      <c r="M280" s="166"/>
      <c r="N280" s="304"/>
      <c r="O280" s="304"/>
      <c r="P280" s="166"/>
      <c r="Q280" s="166"/>
      <c r="R280" s="304"/>
      <c r="S280" s="304"/>
      <c r="T280" s="304"/>
      <c r="U280" s="304"/>
      <c r="V280" s="304"/>
      <c r="W280" s="304"/>
      <c r="X280" s="166"/>
      <c r="Y280" s="166"/>
      <c r="Z280" s="305"/>
      <c r="AA280" s="63"/>
      <c r="AB280" s="63"/>
      <c r="AC280" s="63"/>
      <c r="AD280" s="63"/>
      <c r="AE280" s="63"/>
      <c r="AF280" s="63"/>
      <c r="AJ280" s="173" t="str">
        <f>IF(AK279="D",CONCATENATE(AI279,".",2),"")</f>
        <v/>
      </c>
      <c r="AL280" s="200"/>
      <c r="AM280" s="200" t="str">
        <f>IF(AK279="D",VLOOKUP(AJ280,'Matchblatt  FEUILLE DE MATCH'!AK:AS,8,FALSE),"")</f>
        <v/>
      </c>
      <c r="AN280" s="200"/>
      <c r="AO280" s="200"/>
      <c r="AP280" s="200"/>
      <c r="AQ280" s="200"/>
      <c r="AR280" s="200"/>
      <c r="AS280" s="200"/>
      <c r="AT280" s="200"/>
      <c r="AU280" s="200"/>
      <c r="AV280" s="200"/>
      <c r="AW280" s="200"/>
      <c r="AX280" s="200"/>
      <c r="AY280" s="200"/>
      <c r="AZ280" s="200"/>
      <c r="BA280" s="200" t="str">
        <f>IF(AK279="D",VLOOKUP(AJ280,'Matchblatt  FEUILLE DE MATCH'!AK:AS,9,FALSE),"")</f>
        <v/>
      </c>
      <c r="BB280" s="63"/>
      <c r="BC280" s="63"/>
      <c r="BD280" s="63"/>
      <c r="BE280" s="63"/>
      <c r="BF280" s="63"/>
      <c r="BG280" s="63"/>
      <c r="BH280" s="63"/>
      <c r="BK280" s="166" t="s">
        <v>7</v>
      </c>
      <c r="BL280" s="166" t="s">
        <v>12</v>
      </c>
      <c r="BM280" s="166"/>
      <c r="BN280" s="166" t="s">
        <v>7</v>
      </c>
      <c r="BO280" s="166" t="s">
        <v>12</v>
      </c>
      <c r="BP280" s="166"/>
      <c r="BQ280" s="226" t="s">
        <v>894</v>
      </c>
      <c r="BR280" s="227" t="s">
        <v>895</v>
      </c>
      <c r="BS280" s="228" t="s">
        <v>896</v>
      </c>
      <c r="BT280" s="229"/>
      <c r="BU280" s="226" t="s">
        <v>7</v>
      </c>
      <c r="BV280" s="166"/>
      <c r="BW280" s="166"/>
      <c r="BX280" s="230"/>
      <c r="BY280" s="166"/>
      <c r="BZ280" s="166"/>
      <c r="CA280" s="227"/>
      <c r="CB280" s="166"/>
      <c r="CC280" s="166"/>
      <c r="CD280" s="226" t="s">
        <v>12</v>
      </c>
      <c r="CE280" s="166"/>
      <c r="CF280" s="166"/>
      <c r="CG280" s="230"/>
      <c r="CH280" s="166"/>
      <c r="CI280" s="166"/>
      <c r="CJ280" s="227"/>
      <c r="CK280" s="166"/>
      <c r="CL280" s="166" t="s">
        <v>897</v>
      </c>
      <c r="CM280" s="166"/>
      <c r="CN280" s="166"/>
      <c r="CO280" s="166"/>
      <c r="CP280" s="166"/>
      <c r="CQ280" s="166"/>
      <c r="CR280" s="166"/>
      <c r="CS280" s="166"/>
      <c r="CT280" s="166"/>
      <c r="CU280" s="166" t="s">
        <v>843</v>
      </c>
      <c r="CV280" s="166"/>
      <c r="CW280" s="166" t="s">
        <v>843</v>
      </c>
      <c r="CX280" s="166"/>
      <c r="CY280" s="166"/>
      <c r="CZ280" s="166"/>
      <c r="DA280" s="166"/>
      <c r="DB280" s="166"/>
      <c r="DC280" s="166"/>
      <c r="DD280" s="166" t="s">
        <v>894</v>
      </c>
      <c r="DE280" s="166" t="s">
        <v>895</v>
      </c>
      <c r="DF280" s="166"/>
      <c r="DG280" s="166" t="s">
        <v>927</v>
      </c>
      <c r="DH280" s="166"/>
      <c r="DI280" s="166"/>
      <c r="DJ280" s="166"/>
      <c r="DK280" s="166"/>
      <c r="DL280" s="166"/>
      <c r="DM280" s="166"/>
      <c r="DN280" s="166" t="s">
        <v>928</v>
      </c>
      <c r="DO280" s="166" t="s">
        <v>929</v>
      </c>
      <c r="DP280" s="166"/>
      <c r="DQ280" s="166"/>
      <c r="DR280" s="166"/>
      <c r="DS280" s="166"/>
      <c r="DT280" s="166"/>
      <c r="DU280" s="166"/>
      <c r="DV280" s="166" t="s">
        <v>894</v>
      </c>
      <c r="DW280" s="166" t="s">
        <v>895</v>
      </c>
      <c r="DX280" s="166"/>
      <c r="DY280" s="166"/>
      <c r="DZ280" s="166"/>
      <c r="EA280" s="166"/>
      <c r="EB280" s="166"/>
      <c r="EC280" s="166"/>
      <c r="ED280" s="166" t="s">
        <v>894</v>
      </c>
      <c r="EE280" s="166" t="s">
        <v>895</v>
      </c>
      <c r="EF280" s="166"/>
      <c r="EG280" s="166"/>
      <c r="EH280" s="166"/>
      <c r="EI280" s="166"/>
      <c r="EJ280" s="166"/>
      <c r="EK280" s="166"/>
      <c r="EL280" s="166"/>
      <c r="EM280" s="166"/>
      <c r="EN280" s="166"/>
      <c r="EO280" s="166"/>
      <c r="EP280" s="166"/>
      <c r="EQ280" s="166"/>
      <c r="ER280" s="166"/>
      <c r="ES280" s="166"/>
      <c r="ET280" s="230"/>
      <c r="EU280" s="166"/>
      <c r="EV280" s="166"/>
      <c r="EW280" s="166"/>
      <c r="EX280" s="166"/>
      <c r="EY280" s="166"/>
      <c r="EZ280" s="166"/>
      <c r="FA280" s="166"/>
      <c r="FB280" s="166"/>
      <c r="FC280" s="166"/>
      <c r="FD280" s="166"/>
      <c r="FE280" s="166"/>
      <c r="FF280" s="166"/>
      <c r="FG280" s="166"/>
      <c r="FH280" s="166"/>
      <c r="FI280" s="166"/>
      <c r="FJ280" s="166"/>
      <c r="FK280" s="166"/>
      <c r="FL280" s="166"/>
      <c r="FM280" s="166"/>
      <c r="FN280" s="166"/>
      <c r="FO280" s="230"/>
      <c r="FP280" s="166"/>
      <c r="FQ280" s="166"/>
      <c r="FR280" s="166"/>
      <c r="FS280" s="166"/>
      <c r="FT280" s="166"/>
      <c r="FU280" s="166"/>
      <c r="FV280" s="166"/>
      <c r="FW280" s="166"/>
      <c r="FX280" s="166"/>
      <c r="FY280" s="166"/>
      <c r="FZ280" s="166"/>
      <c r="GA280" s="166"/>
      <c r="GD280" s="339"/>
      <c r="GE280" s="339"/>
      <c r="GF280" s="339"/>
      <c r="GG280" s="339"/>
      <c r="GH280" s="339"/>
      <c r="GI280" s="339"/>
      <c r="GJ280" s="339"/>
      <c r="GK280" s="339"/>
      <c r="GL280" s="339"/>
      <c r="GM280" s="339"/>
      <c r="GN280" s="339"/>
      <c r="GO280" s="339"/>
      <c r="GP280" s="339"/>
      <c r="GQ280" s="339"/>
      <c r="GR280" s="339"/>
      <c r="GS280" s="339"/>
      <c r="GT280" s="339"/>
      <c r="GU280" s="339"/>
      <c r="GV280" s="339"/>
      <c r="GW280" s="339"/>
      <c r="GX280" s="339"/>
      <c r="GY280" s="339"/>
      <c r="GZ280" s="339"/>
      <c r="HA280" s="339"/>
      <c r="HB280" s="339"/>
      <c r="HC280" s="339"/>
      <c r="HD280" s="339"/>
      <c r="HE280" s="339"/>
      <c r="HF280" s="339"/>
      <c r="HG280" s="339"/>
      <c r="HH280" s="339"/>
      <c r="HI280" s="339"/>
      <c r="HJ280" s="339"/>
      <c r="HK280" s="339"/>
      <c r="HL280" s="339"/>
      <c r="HM280" s="339"/>
      <c r="HN280" s="339"/>
      <c r="HO280" s="339"/>
      <c r="HP280" s="339"/>
      <c r="HQ280" s="339"/>
      <c r="HR280" s="339"/>
    </row>
    <row r="281" spans="1:238" s="234" customFormat="1" ht="20.100000000000001" customHeight="1">
      <c r="A281" s="235"/>
      <c r="B281" s="231"/>
      <c r="C281" s="232" t="str">
        <f>REPT(Sprache!$K$12,1)</f>
        <v>SPIEL</v>
      </c>
      <c r="D281" s="233" t="s">
        <v>869</v>
      </c>
      <c r="E281" s="233" t="str">
        <f>REPT(Sprache!$K$62,1)</f>
        <v>Punkte</v>
      </c>
      <c r="F281" s="233" t="str">
        <f>REPT(Sprache!$K$61,1)</f>
        <v>Rest</v>
      </c>
      <c r="G281" s="233" t="s">
        <v>898</v>
      </c>
      <c r="H281" s="233" t="s">
        <v>848</v>
      </c>
      <c r="I281" s="233">
        <v>180</v>
      </c>
      <c r="J281" s="233" t="str">
        <f>REPT(Sprache!$K$63,1)</f>
        <v>Fehler</v>
      </c>
      <c r="L281" s="306" t="s">
        <v>923</v>
      </c>
      <c r="M281" s="307"/>
      <c r="P281" s="306" t="s">
        <v>923</v>
      </c>
      <c r="R281" s="232" t="str">
        <f>REPT(Sprache!$K$12,1)</f>
        <v>SPIEL</v>
      </c>
      <c r="S281" s="233" t="s">
        <v>869</v>
      </c>
      <c r="T281" s="233" t="str">
        <f>REPT(Sprache!$K$62,1)</f>
        <v>Punkte</v>
      </c>
      <c r="U281" s="233" t="str">
        <f>REPT(Sprache!$K$61,1)</f>
        <v>Rest</v>
      </c>
      <c r="V281" s="233" t="s">
        <v>898</v>
      </c>
      <c r="W281" s="233" t="s">
        <v>848</v>
      </c>
      <c r="X281" s="233">
        <v>180</v>
      </c>
      <c r="Y281" s="233" t="str">
        <f>REPT(Sprache!$K$63,1)</f>
        <v>Fehler</v>
      </c>
      <c r="Z281" s="308"/>
      <c r="AD281" s="235"/>
      <c r="AE281" s="236" t="s">
        <v>966</v>
      </c>
      <c r="AF281" s="236" t="s">
        <v>967</v>
      </c>
      <c r="AG281" s="236" t="s">
        <v>965</v>
      </c>
      <c r="AH281" s="237" t="str">
        <f>LEFT($BM$6,10)</f>
        <v/>
      </c>
      <c r="AI281" s="237" t="str">
        <f>LEFT($BN$6,10)</f>
        <v/>
      </c>
      <c r="AJ281" s="237" t="s">
        <v>898</v>
      </c>
      <c r="AK281" s="237" t="s">
        <v>848</v>
      </c>
      <c r="AL281" s="237">
        <v>180</v>
      </c>
      <c r="AM281" s="237" t="str">
        <f>LEFT($BL$6,50)</f>
        <v/>
      </c>
      <c r="AN281" s="235"/>
      <c r="AO281" s="235"/>
      <c r="AP281" s="235"/>
      <c r="AQ281" s="235"/>
      <c r="AR281" s="235"/>
      <c r="AS281" s="235"/>
      <c r="AT281" s="235"/>
      <c r="AU281" s="235"/>
      <c r="AV281" s="237" t="str">
        <f>LEFT($BM$6,10)</f>
        <v/>
      </c>
      <c r="AW281" s="237" t="str">
        <f>LEFT($BN$6,10)</f>
        <v/>
      </c>
      <c r="AX281" s="237" t="s">
        <v>898</v>
      </c>
      <c r="AY281" s="237" t="s">
        <v>848</v>
      </c>
      <c r="AZ281" s="237">
        <v>180</v>
      </c>
      <c r="BA281" s="237" t="str">
        <f>LEFT($BL$6,50)</f>
        <v/>
      </c>
      <c r="BI281" s="238"/>
      <c r="BJ281" s="238"/>
      <c r="BK281" s="238" t="s">
        <v>165</v>
      </c>
      <c r="BL281" s="238" t="s">
        <v>165</v>
      </c>
      <c r="BM281" s="239" t="s">
        <v>165</v>
      </c>
      <c r="BN281" s="239" t="s">
        <v>899</v>
      </c>
      <c r="BO281" s="239" t="s">
        <v>899</v>
      </c>
      <c r="BP281" s="239" t="s">
        <v>900</v>
      </c>
      <c r="BQ281" s="240" t="s">
        <v>901</v>
      </c>
      <c r="BR281" s="241"/>
      <c r="BS281" s="242" t="s">
        <v>926</v>
      </c>
      <c r="BT281" s="243"/>
      <c r="BU281" s="242" t="s">
        <v>902</v>
      </c>
      <c r="BV281" s="238"/>
      <c r="BW281" s="238"/>
      <c r="BX281" s="244"/>
      <c r="BY281" s="238"/>
      <c r="BZ281" s="238" t="s">
        <v>903</v>
      </c>
      <c r="CA281" s="243" t="s">
        <v>904</v>
      </c>
      <c r="CB281" s="238"/>
      <c r="CC281" s="238"/>
      <c r="CD281" s="242" t="s">
        <v>902</v>
      </c>
      <c r="CE281" s="238"/>
      <c r="CF281" s="238"/>
      <c r="CG281" s="244"/>
      <c r="CH281" s="238"/>
      <c r="CI281" s="238" t="s">
        <v>903</v>
      </c>
      <c r="CJ281" s="243" t="s">
        <v>904</v>
      </c>
      <c r="CK281" s="238"/>
      <c r="CL281" s="245" t="s">
        <v>905</v>
      </c>
      <c r="CM281" s="245" t="s">
        <v>906</v>
      </c>
      <c r="CN281" s="245" t="s">
        <v>907</v>
      </c>
      <c r="CO281" s="245" t="s">
        <v>908</v>
      </c>
      <c r="CP281" s="245" t="s">
        <v>909</v>
      </c>
      <c r="CQ281" s="246" t="s">
        <v>910</v>
      </c>
      <c r="CR281" s="247"/>
      <c r="CS281" s="246" t="s">
        <v>911</v>
      </c>
      <c r="CT281" s="248"/>
      <c r="CU281" s="246" t="s">
        <v>912</v>
      </c>
      <c r="CV281" s="248"/>
      <c r="CW281" s="246" t="s">
        <v>913</v>
      </c>
      <c r="CX281" s="248"/>
      <c r="CY281" s="238"/>
      <c r="CZ281" s="238"/>
      <c r="DA281" s="238"/>
      <c r="DB281" s="238"/>
      <c r="DC281" s="249" t="s">
        <v>165</v>
      </c>
      <c r="DD281" s="249" t="s">
        <v>165</v>
      </c>
      <c r="DE281" s="249" t="s">
        <v>165</v>
      </c>
      <c r="DF281" s="238"/>
      <c r="DG281" s="238" t="s">
        <v>914</v>
      </c>
      <c r="DH281" s="238" t="s">
        <v>930</v>
      </c>
      <c r="DI281" s="238" t="s">
        <v>931</v>
      </c>
      <c r="DK281" s="238" t="s">
        <v>932</v>
      </c>
      <c r="DL281" s="238" t="s">
        <v>933</v>
      </c>
      <c r="DM281" s="238" t="s">
        <v>869</v>
      </c>
      <c r="DN281" s="230" t="s">
        <v>915</v>
      </c>
      <c r="DO281" s="250" t="s">
        <v>915</v>
      </c>
      <c r="DP281" s="322" t="s">
        <v>934</v>
      </c>
      <c r="DQ281" s="238"/>
      <c r="DR281" s="166" t="s">
        <v>894</v>
      </c>
      <c r="DS281" s="166" t="s">
        <v>895</v>
      </c>
      <c r="DT281" s="166" t="s">
        <v>935</v>
      </c>
      <c r="DU281" s="166" t="s">
        <v>936</v>
      </c>
      <c r="DV281" s="251" t="s">
        <v>165</v>
      </c>
      <c r="DW281" s="251" t="s">
        <v>165</v>
      </c>
      <c r="DX281" s="238" t="s">
        <v>916</v>
      </c>
      <c r="DY281" s="238"/>
      <c r="DZ281" s="238"/>
      <c r="EA281" s="238"/>
      <c r="EB281" s="238"/>
      <c r="EC281" s="238"/>
      <c r="ED281" s="251" t="s">
        <v>165</v>
      </c>
      <c r="EE281" s="251" t="s">
        <v>165</v>
      </c>
      <c r="EF281" s="166"/>
      <c r="EG281" s="238"/>
      <c r="EH281" s="238"/>
      <c r="EI281" s="238"/>
      <c r="EJ281" s="238"/>
      <c r="EK281" s="238"/>
      <c r="EL281" s="238"/>
      <c r="EM281" s="238"/>
      <c r="EN281" s="238"/>
      <c r="EO281" s="246" t="s">
        <v>917</v>
      </c>
      <c r="EP281" s="247"/>
      <c r="EQ281" s="247"/>
      <c r="ER281" s="247"/>
      <c r="ES281" s="247"/>
      <c r="ET281" s="252"/>
      <c r="EU281" s="248"/>
      <c r="EV281" s="246" t="s">
        <v>918</v>
      </c>
      <c r="EW281" s="247"/>
      <c r="EX281" s="248"/>
      <c r="EY281" s="251" t="s">
        <v>165</v>
      </c>
      <c r="EZ281" s="246" t="s">
        <v>919</v>
      </c>
      <c r="FA281" s="247"/>
      <c r="FB281" s="248"/>
      <c r="FC281" s="246" t="s">
        <v>920</v>
      </c>
      <c r="FD281" s="247"/>
      <c r="FE281" s="248"/>
      <c r="FF281" s="238"/>
      <c r="FG281" s="238"/>
      <c r="FH281" s="238"/>
      <c r="FI281" s="238"/>
      <c r="FJ281" s="246" t="s">
        <v>917</v>
      </c>
      <c r="FK281" s="247"/>
      <c r="FL281" s="247"/>
      <c r="FM281" s="247"/>
      <c r="FN281" s="247"/>
      <c r="FO281" s="252"/>
      <c r="FP281" s="248"/>
      <c r="FQ281" s="246" t="s">
        <v>918</v>
      </c>
      <c r="FR281" s="247"/>
      <c r="FS281" s="248"/>
      <c r="FT281" s="251" t="s">
        <v>165</v>
      </c>
      <c r="FU281" s="246" t="s">
        <v>919</v>
      </c>
      <c r="FV281" s="247"/>
      <c r="FW281" s="248"/>
      <c r="FX281" s="246" t="s">
        <v>920</v>
      </c>
      <c r="FY281" s="247"/>
      <c r="FZ281" s="248"/>
      <c r="GD281" s="340"/>
      <c r="GE281" s="340"/>
      <c r="GF281" s="341" t="s">
        <v>968</v>
      </c>
      <c r="GG281" s="340"/>
      <c r="GH281" s="340"/>
      <c r="GI281" s="340"/>
      <c r="GJ281" s="341" t="s">
        <v>972</v>
      </c>
      <c r="GK281" s="340"/>
      <c r="GL281" s="340"/>
      <c r="GM281" s="340"/>
      <c r="GN281" s="341" t="s">
        <v>971</v>
      </c>
      <c r="GO281" s="340"/>
      <c r="GP281" s="340"/>
      <c r="GQ281" s="340"/>
      <c r="GR281" s="341" t="s">
        <v>970</v>
      </c>
      <c r="GS281" s="340"/>
      <c r="GT281" s="340"/>
      <c r="GU281" s="340"/>
      <c r="GV281" s="341" t="s">
        <v>969</v>
      </c>
      <c r="GW281" s="340"/>
      <c r="GX281" s="340"/>
      <c r="GY281" s="340"/>
      <c r="GZ281" s="342" t="s">
        <v>973</v>
      </c>
      <c r="HA281" s="340"/>
      <c r="HB281" s="340"/>
      <c r="HC281" s="340"/>
      <c r="HD281" s="342" t="s">
        <v>974</v>
      </c>
      <c r="HE281" s="340"/>
      <c r="HF281" s="340"/>
      <c r="HG281" s="340"/>
      <c r="HH281" s="340"/>
      <c r="HI281" s="340"/>
      <c r="HJ281" s="340"/>
      <c r="HK281" s="340"/>
      <c r="HL281" s="340"/>
      <c r="HM281" s="341"/>
      <c r="HN281" s="341"/>
      <c r="HO281" s="341"/>
      <c r="HP281" s="341"/>
      <c r="HQ281" s="341"/>
      <c r="HR281" s="341"/>
      <c r="HS281" s="238"/>
      <c r="HT281" s="238"/>
      <c r="HU281" s="238"/>
      <c r="HV281" s="238"/>
      <c r="HX281" s="238"/>
      <c r="HY281" s="238"/>
      <c r="HZ281" s="238"/>
      <c r="ID281" s="238"/>
    </row>
    <row r="282" spans="1:238" s="234" customFormat="1" ht="20.100000000000001" customHeight="1">
      <c r="A282" s="235"/>
      <c r="B282" s="231">
        <f>COUNT(AJ283,AJ282)</f>
        <v>0</v>
      </c>
      <c r="C282" s="325" t="str">
        <f>CONCATENATE(BG282,BE282)</f>
        <v>HS</v>
      </c>
      <c r="D282" s="253" t="str">
        <f>REPT(DN282,1)</f>
        <v>1</v>
      </c>
      <c r="E282" s="254" t="str">
        <f>REPT(AH282,1)</f>
        <v/>
      </c>
      <c r="F282" s="168"/>
      <c r="G282" s="168"/>
      <c r="H282" s="168"/>
      <c r="I282" s="169"/>
      <c r="J282" s="255" t="str">
        <f>REPT(AM282,1)</f>
        <v/>
      </c>
      <c r="L282" s="309">
        <f>SUM(BS291)</f>
        <v>0</v>
      </c>
      <c r="M282" s="238"/>
      <c r="N282" s="255" t="str">
        <f>REPT(AP282,1)</f>
        <v/>
      </c>
      <c r="P282" s="309">
        <f>SUM(CF291)</f>
        <v>0</v>
      </c>
      <c r="Q282" s="310"/>
      <c r="R282" s="323" t="str">
        <f>CONCATENATE(BH282,BE282)</f>
        <v>GS</v>
      </c>
      <c r="S282" s="253" t="str">
        <f>REPT(DO282,1)</f>
        <v>1</v>
      </c>
      <c r="T282" s="254" t="str">
        <f>REPT(AV282,1)</f>
        <v/>
      </c>
      <c r="U282" s="168"/>
      <c r="V282" s="168"/>
      <c r="W282" s="168"/>
      <c r="X282" s="169"/>
      <c r="Y282" s="255" t="str">
        <f>REPT(BA282,1)</f>
        <v/>
      </c>
      <c r="Z282" s="308"/>
      <c r="AB282" s="234">
        <f>IF(AY282="",0,IF(AY282&lt;2,1,""))</f>
        <v>0</v>
      </c>
      <c r="AC282" s="238">
        <f>IF(AD282=1,1,IF(AD282=3,1,IF(AD282=2,0,IF(AD282=0,0,0))))</f>
        <v>0</v>
      </c>
      <c r="AD282" s="256">
        <f>SUM(AE282:AG282)</f>
        <v>0</v>
      </c>
      <c r="AE282" s="256">
        <f t="shared" ref="AE282:AE286" si="680">IF(F282="",0,1)</f>
        <v>0</v>
      </c>
      <c r="AF282" s="256">
        <f t="shared" ref="AF282:AF286" si="681">IF(G282="",0,1)</f>
        <v>0</v>
      </c>
      <c r="AG282" s="256">
        <f>IF(H282="",0,1)</f>
        <v>0</v>
      </c>
      <c r="AH282" s="257" t="str">
        <f>IF(AK282="",IF(AI282="","",IF(AI282="",501,501-AI282)),501)</f>
        <v/>
      </c>
      <c r="AI282" s="256" t="str">
        <f>IF(F282&gt;1,F282,IF(F282=0,"",IF(F282="","","")))</f>
        <v/>
      </c>
      <c r="AJ282" s="256" t="str">
        <f>IF(G282&gt;8,G282,IF(G282="","",""))</f>
        <v/>
      </c>
      <c r="AK282" s="256" t="str">
        <f>IF(H282&gt;1,H282,IF(H282="","",""))</f>
        <v/>
      </c>
      <c r="AL282" s="256" t="str">
        <f>IF(I282&gt;0,I282,IF(I282="","",""))</f>
        <v/>
      </c>
      <c r="AM282" s="258" t="str">
        <f>IF(BK282=0,"","X")</f>
        <v/>
      </c>
      <c r="AN282" s="237"/>
      <c r="AO282" s="237"/>
      <c r="AP282" s="258" t="str">
        <f>IF(BM282=0,"","X")</f>
        <v/>
      </c>
      <c r="AQ282" s="236">
        <f>IF(AR282=1,1,IF(AR282=3,1,IF(AR282=2,0,IF(AR282=0,0,0))))</f>
        <v>0</v>
      </c>
      <c r="AR282" s="256">
        <f>SUM(AS282:AU282)</f>
        <v>0</v>
      </c>
      <c r="AS282" s="256">
        <f t="shared" ref="AS282:AS286" si="682">IF(U282="",0,1)</f>
        <v>0</v>
      </c>
      <c r="AT282" s="256">
        <f t="shared" ref="AT282:AT286" si="683">IF(V282="",0,1)</f>
        <v>0</v>
      </c>
      <c r="AU282" s="256">
        <f>IF(W282="",0,1)</f>
        <v>0</v>
      </c>
      <c r="AV282" s="257" t="str">
        <f>IF(AY282="",IF(AW282="","",IF(AW282="",501,501-AW282)),501)</f>
        <v/>
      </c>
      <c r="AW282" s="256" t="str">
        <f>IF(U282&gt;1,U282,IF(U282=0,"",IF(U282="","","")))</f>
        <v/>
      </c>
      <c r="AX282" s="256" t="str">
        <f>IF(V282&gt;8,V282,IF(V282="","",""))</f>
        <v/>
      </c>
      <c r="AY282" s="256" t="str">
        <f>IF(W282&gt;1,W282,IF(W282="","",""))</f>
        <v/>
      </c>
      <c r="AZ282" s="256" t="str">
        <f>IF(X282&gt;0,X282,IF(X282="","",""))</f>
        <v/>
      </c>
      <c r="BA282" s="258" t="str">
        <f>IF(BL282=0,"","X")</f>
        <v/>
      </c>
      <c r="BF282" s="238" t="s">
        <v>894</v>
      </c>
      <c r="BG282" s="238" t="str">
        <f>CONCATENATE(BF282,AK279)</f>
        <v>HS</v>
      </c>
      <c r="BH282" s="238" t="str">
        <f>CONCATENATE(BI282,AK279)</f>
        <v>GS</v>
      </c>
      <c r="BI282" s="238" t="s">
        <v>895</v>
      </c>
      <c r="BJ282" s="238"/>
      <c r="BK282" s="251">
        <f>SUM(DD282,DV282,EY282,ED282,FF282,BQ282,BS282,AC282)</f>
        <v>0</v>
      </c>
      <c r="BL282" s="251">
        <f>SUM(DE282,DW282,EE282,FT282,GA282,BR282,BT282,AQ282)</f>
        <v>0</v>
      </c>
      <c r="BM282" s="259">
        <f>SUM(DC282,BK282:BL282,AC282,AQ282)</f>
        <v>0</v>
      </c>
      <c r="BN282" s="239">
        <f>COUNT(AK282)</f>
        <v>0</v>
      </c>
      <c r="BO282" s="239">
        <f>COUNT(AY282)</f>
        <v>0</v>
      </c>
      <c r="BP282" s="239">
        <f>IF(BN284=0,0,1)</f>
        <v>0</v>
      </c>
      <c r="BQ282" s="260">
        <f>IF(AL282="",0,IF(AL282&gt;2,1,0))</f>
        <v>0</v>
      </c>
      <c r="BR282" s="261">
        <f>IF(AZ282="",0,IF(AZ282&gt;2,1,0))</f>
        <v>0</v>
      </c>
      <c r="BS282" s="262">
        <f>IF(AJ282=9,IF(AK282&lt;141,1,0),0)</f>
        <v>0</v>
      </c>
      <c r="BT282" s="263">
        <f>IF(AX282=9,IF(AY282&lt;141,1,0),0)</f>
        <v>0</v>
      </c>
      <c r="BU282" s="242">
        <f>IF(H282,G282,0)</f>
        <v>0</v>
      </c>
      <c r="BV282" s="238">
        <f>IF(BU282&gt;0,AJ282/3,0)</f>
        <v>0</v>
      </c>
      <c r="BW282" s="238">
        <f>ROUNDUP(BV282,0)</f>
        <v>0</v>
      </c>
      <c r="BX282" s="244">
        <f>IF(MOD(BW282,2)=0,BW282,BW282+1)</f>
        <v>0</v>
      </c>
      <c r="BY282" s="238">
        <f>IF(AJ282&lt;9,"",SUM(BX282-BW282))</f>
        <v>0</v>
      </c>
      <c r="BZ282" s="238">
        <f>IF(BY282=1,AK282,0)</f>
        <v>0</v>
      </c>
      <c r="CA282" s="243" t="str">
        <f>IF(BY282=0,AK282,0)</f>
        <v/>
      </c>
      <c r="CB282" s="238"/>
      <c r="CC282" s="238"/>
      <c r="CD282" s="242">
        <f>IF(W282,V282,0)</f>
        <v>0</v>
      </c>
      <c r="CE282" s="238">
        <f>IF(CD282&gt;0,AX282/3,0)</f>
        <v>0</v>
      </c>
      <c r="CF282" s="238">
        <f>ROUNDUP(CE282,0)</f>
        <v>0</v>
      </c>
      <c r="CG282" s="244">
        <f>IF(MOD(CF282,2)=0,CF282,CF282+1)</f>
        <v>0</v>
      </c>
      <c r="CH282" s="238">
        <f>IF(AX282&lt;9,"",SUM(CG282-CF282))</f>
        <v>0</v>
      </c>
      <c r="CI282" s="238">
        <f>IF(CH282=1,AY282,0)</f>
        <v>0</v>
      </c>
      <c r="CJ282" s="243" t="str">
        <f>IF(CH282=0,AY282,0)</f>
        <v/>
      </c>
      <c r="CK282" s="238"/>
      <c r="CL282" s="245">
        <f>IF(COUNT(F282,H282)=1,0,1)</f>
        <v>1</v>
      </c>
      <c r="CM282" s="245">
        <f>IF(COUNT(F282,U282)=1,0,1)</f>
        <v>1</v>
      </c>
      <c r="CN282" s="245">
        <f>IF(COUNT(H282,W282)=1,0,1)</f>
        <v>1</v>
      </c>
      <c r="CO282" s="245">
        <f>IF(COUNT(G282,V282)=2,0,1)</f>
        <v>1</v>
      </c>
      <c r="CP282" s="245">
        <f>IF(COUNT(U282,W282)=1,0,1)</f>
        <v>1</v>
      </c>
      <c r="CQ282" s="245">
        <f>IF(SUM(G282-V282)&gt;3,1,0)</f>
        <v>0</v>
      </c>
      <c r="CR282" s="245">
        <f>IF(SUM(G282-V282)&lt;-3,1,0)</f>
        <v>0</v>
      </c>
      <c r="CS282" s="264">
        <f>IF(AJ282=9,IF(AH282&lt;141,1,0),IF(AH282="",0,IF(AH282&gt;1,0,1)))</f>
        <v>0</v>
      </c>
      <c r="CT282" s="264">
        <f>IF(AX282=9,IF(AV282&lt;141,1,0),IF(AV282="",0,IF(AV282&gt;1,0,1)))</f>
        <v>0</v>
      </c>
      <c r="CU282" s="264">
        <f>IF(AI282="",0,IF(AI282&lt;502,0,1))</f>
        <v>0</v>
      </c>
      <c r="CV282" s="264">
        <f>IF(AW282="",0,IF(AW282&lt;502,0,1))</f>
        <v>0</v>
      </c>
      <c r="CW282" s="264">
        <f>IF(AI282="",IF(AJ282&lt;9,1,0),IF(AJ282&lt;9,1,0))</f>
        <v>0</v>
      </c>
      <c r="CX282" s="264">
        <f>IF(AW282="",IF(AX282&lt;9,1,0),IF(AX282&lt;9,1,0))</f>
        <v>0</v>
      </c>
      <c r="CY282" s="374"/>
      <c r="CZ282" s="374"/>
      <c r="DA282" s="374"/>
      <c r="DB282" s="374"/>
      <c r="DC282" s="265">
        <f>IF(AJ282="",0,SUM(CL282:CX282))</f>
        <v>0</v>
      </c>
      <c r="DD282" s="265">
        <f>IF(AJ282="",0,SUM(CL282,CS282,CU282,CW282))</f>
        <v>0</v>
      </c>
      <c r="DE282" s="265">
        <f>IF(AJ282="",0,SUM(CP282,CT282,CV282,CX282))</f>
        <v>0</v>
      </c>
      <c r="DF282" s="238"/>
      <c r="DG282" s="248" t="str">
        <f>IF(G282="","",SUM(G282-V282))</f>
        <v/>
      </c>
      <c r="DH282" s="245">
        <f>IF(F282="",0,1)</f>
        <v>0</v>
      </c>
      <c r="DI282" s="245" t="str">
        <f>IF(DG282=0,DH282,DG282)</f>
        <v/>
      </c>
      <c r="DJ282" s="245" t="e">
        <f>SIGN(DI282)</f>
        <v>#VALUE!</v>
      </c>
      <c r="DK282" s="245" t="str">
        <f>IF(G282="","",IF(DJ282=1,"*",""))</f>
        <v/>
      </c>
      <c r="DL282" s="245" t="str">
        <f>IF(G282="","",IF(DJ282=-1,"*",IF(DJ282=0,"*","")))</f>
        <v/>
      </c>
      <c r="DM282" s="245">
        <v>1</v>
      </c>
      <c r="DN282" s="245" t="str">
        <f>CONCATENATE(DM282,DK282)</f>
        <v>1</v>
      </c>
      <c r="DO282" s="245" t="str">
        <f>CONCATENATE(DM282,DL282)</f>
        <v>1</v>
      </c>
      <c r="DP282" s="245">
        <f>IF(DK282="*",1,0)</f>
        <v>0</v>
      </c>
      <c r="DQ282" s="245">
        <f>IF(DL282="*",1,0)</f>
        <v>0</v>
      </c>
      <c r="DR282" s="245"/>
      <c r="DS282" s="245"/>
      <c r="DT282" s="245"/>
      <c r="DU282" s="245"/>
      <c r="DV282" s="266"/>
      <c r="DW282" s="266"/>
      <c r="DX282" s="238">
        <f>IF(AK282="",0,1)</f>
        <v>0</v>
      </c>
      <c r="DY282" s="238">
        <f>IF(DG282=-3,1,0)</f>
        <v>0</v>
      </c>
      <c r="DZ282" s="238">
        <f>SUM(DX282:DY282)</f>
        <v>0</v>
      </c>
      <c r="EA282" s="238">
        <f>IF(AK282="",1,0)</f>
        <v>1</v>
      </c>
      <c r="EB282" s="238">
        <f>IF(DG282=3,1,0)</f>
        <v>0</v>
      </c>
      <c r="EC282" s="238">
        <f>SUM(EA282:EB282)</f>
        <v>1</v>
      </c>
      <c r="ED282" s="267">
        <f>IF(EC282=2,1,0)</f>
        <v>0</v>
      </c>
      <c r="EE282" s="267">
        <f>IF(DZ282=2,1,0)</f>
        <v>0</v>
      </c>
      <c r="EG282" s="166"/>
      <c r="EH282" s="238"/>
      <c r="EI282" s="238"/>
      <c r="EJ282" s="238"/>
      <c r="EK282" s="238"/>
      <c r="EL282" s="238"/>
      <c r="EM282" s="245">
        <f>IF(AK282="",0,1)</f>
        <v>0</v>
      </c>
      <c r="EN282" s="245">
        <f>SUM(AK282)</f>
        <v>0</v>
      </c>
      <c r="EO282" s="268">
        <f>SUM(AJ282)</f>
        <v>0</v>
      </c>
      <c r="EP282" s="268">
        <f>SUM(G282/3)</f>
        <v>0</v>
      </c>
      <c r="EQ282" s="268" t="e">
        <f>SUM(EO282/EP282)</f>
        <v>#DIV/0!</v>
      </c>
      <c r="ER282" s="268">
        <f>ROUNDDOWN(EP282,0)</f>
        <v>0</v>
      </c>
      <c r="ES282" s="268">
        <f>SUM(EO282,-ER282*3)</f>
        <v>0</v>
      </c>
      <c r="ET282" s="269" t="b">
        <f>MOD(EN282/1,2)=0</f>
        <v>1</v>
      </c>
      <c r="EU282" s="245">
        <f>IF(ET282=FALSE,1,0)</f>
        <v>0</v>
      </c>
      <c r="EV282" s="245">
        <f>IF(EN282=50,0,IF(EN282&lt;40,1,0))</f>
        <v>1</v>
      </c>
      <c r="EW282" s="245">
        <f>SUM(EU282:EV282)</f>
        <v>1</v>
      </c>
      <c r="EX282" s="267">
        <f>IF(EN282=1,1,IF(EN282=50,0,IF(ES282=1,IF(EN282&gt;40,1,0),0)))</f>
        <v>0</v>
      </c>
      <c r="EY282" s="267">
        <f>IF(ES282=1,IF(EW282=2,1,0),0)+EX282+FB282+FE282</f>
        <v>0</v>
      </c>
      <c r="EZ282" s="245">
        <f>IF(EN282=109,1,IF(EN282=108,1,IF(EN282=106,1,IF(EN282=105,1,IF(EN282=103,1,IF(EN282=102,1,IF(EN282=99,1,0)))))))</f>
        <v>0</v>
      </c>
      <c r="FA282" s="245">
        <f>IF(EN282&gt;110,1,0)</f>
        <v>0</v>
      </c>
      <c r="FB282" s="267">
        <f>IF(ES282=2,SUM(EZ282:FA282),0)</f>
        <v>0</v>
      </c>
      <c r="FC282" s="245">
        <f>IF(EN282=159,1,IF(EN282=162,1,IF(EN282=163,1,IF(EN282=165,1,IF(EN282=166,1,IF(EN282=168,1,IF(EN282=169,1,0)))))))</f>
        <v>0</v>
      </c>
      <c r="FD282" s="245">
        <f>IF(EN282&gt;170,1,0)</f>
        <v>0</v>
      </c>
      <c r="FE282" s="267">
        <f>IF(ES282=0,SUM(FC282:FD282),0)</f>
        <v>0</v>
      </c>
      <c r="FF282" s="251">
        <f>IF(AJ282="",0,IF(AI282="",0,IF(EO282/ER282-3=0,0,1)))</f>
        <v>0</v>
      </c>
      <c r="FG282" s="238"/>
      <c r="FH282" s="245">
        <f>IF(AY282="",0,1)</f>
        <v>0</v>
      </c>
      <c r="FI282" s="245">
        <f>SUM(AY282)</f>
        <v>0</v>
      </c>
      <c r="FJ282" s="268">
        <f>SUM(AX282)</f>
        <v>0</v>
      </c>
      <c r="FK282" s="268">
        <f>SUM(V282/3)</f>
        <v>0</v>
      </c>
      <c r="FL282" s="268" t="e">
        <f>SUM(FJ282/FK282)</f>
        <v>#DIV/0!</v>
      </c>
      <c r="FM282" s="268">
        <f>ROUNDDOWN(FK282,0)</f>
        <v>0</v>
      </c>
      <c r="FN282" s="268">
        <f>SUM(FJ282,-FM282*3)</f>
        <v>0</v>
      </c>
      <c r="FO282" s="269" t="b">
        <f>MOD(FI282/1,2)=0</f>
        <v>1</v>
      </c>
      <c r="FP282" s="245">
        <f>IF(FO282=FALSE,1,0)</f>
        <v>0</v>
      </c>
      <c r="FQ282" s="245">
        <f>IF(FI282=50,0,IF(FI282&lt;40,1,0))</f>
        <v>1</v>
      </c>
      <c r="FR282" s="245">
        <f>SUM(FP282:FQ282)</f>
        <v>1</v>
      </c>
      <c r="FS282" s="267">
        <f>IF(FI282=1,1,IF(FI282=50,0,IF(FN282=1,IF(FI282&gt;40,1,0),0)))</f>
        <v>0</v>
      </c>
      <c r="FT282" s="267">
        <f>IF(FN282=1,IF(FR282=2,1,0),0)+FS282+FW282+FZ282</f>
        <v>0</v>
      </c>
      <c r="FU282" s="245">
        <f>IF(FI282=109,1,IF(FI282=108,1,IF(FI282=106,1,IF(FI282=105,1,IF(FI282=103,1,IF(FI282=102,1,IF(FI282=99,1,0)))))))</f>
        <v>0</v>
      </c>
      <c r="FV282" s="245">
        <f>IF(FI282&gt;110,1,0)</f>
        <v>0</v>
      </c>
      <c r="FW282" s="267">
        <f>IF(FN282=2,SUM(FU282:FV282),0)</f>
        <v>0</v>
      </c>
      <c r="FX282" s="245">
        <f>IF(FI282=159,1,IF(FI282=162,1,IF(FI282=163,1,IF(FI282=165,1,IF(FI282=166,1,IF(FI282=168,1,IF(FI282=169,1,0)))))))</f>
        <v>0</v>
      </c>
      <c r="FY282" s="245">
        <f>IF(FI282&gt;170,1,0)</f>
        <v>0</v>
      </c>
      <c r="FZ282" s="267">
        <f>IF(FN282=0,SUM(FX282:FY282),0)</f>
        <v>0</v>
      </c>
      <c r="GA282" s="251">
        <f>IF(AX282="",0,IF(AW282="",0,IF(FJ282/FM282-3=0,0,1)))</f>
        <v>0</v>
      </c>
      <c r="GD282" s="341">
        <f>IF(AK279="D",1,0)</f>
        <v>0</v>
      </c>
      <c r="GE282" s="343"/>
      <c r="GF282" s="343" t="s">
        <v>866</v>
      </c>
      <c r="GG282" s="343" t="s">
        <v>868</v>
      </c>
      <c r="GH282" s="343" t="s">
        <v>848</v>
      </c>
      <c r="GI282" s="343">
        <v>180</v>
      </c>
      <c r="GJ282" s="343" t="s">
        <v>866</v>
      </c>
      <c r="GK282" s="343" t="s">
        <v>868</v>
      </c>
      <c r="GL282" s="343" t="s">
        <v>848</v>
      </c>
      <c r="GM282" s="343">
        <v>180</v>
      </c>
      <c r="GN282" s="343" t="s">
        <v>866</v>
      </c>
      <c r="GO282" s="343" t="s">
        <v>868</v>
      </c>
      <c r="GP282" s="343" t="s">
        <v>848</v>
      </c>
      <c r="GQ282" s="343">
        <v>180</v>
      </c>
      <c r="GR282" s="343" t="s">
        <v>866</v>
      </c>
      <c r="GS282" s="343" t="s">
        <v>868</v>
      </c>
      <c r="GT282" s="343" t="s">
        <v>848</v>
      </c>
      <c r="GU282" s="343">
        <v>180</v>
      </c>
      <c r="GV282" s="343" t="s">
        <v>866</v>
      </c>
      <c r="GW282" s="343" t="s">
        <v>868</v>
      </c>
      <c r="GX282" s="343" t="s">
        <v>848</v>
      </c>
      <c r="GY282" s="343">
        <v>180</v>
      </c>
      <c r="GZ282" s="343" t="s">
        <v>866</v>
      </c>
      <c r="HA282" s="343" t="s">
        <v>868</v>
      </c>
      <c r="HB282" s="343" t="s">
        <v>848</v>
      </c>
      <c r="HC282" s="343">
        <v>180</v>
      </c>
      <c r="HD282" s="343" t="s">
        <v>866</v>
      </c>
      <c r="HE282" s="343" t="s">
        <v>868</v>
      </c>
      <c r="HF282" s="341" t="s">
        <v>975</v>
      </c>
      <c r="HG282" s="341" t="s">
        <v>976</v>
      </c>
      <c r="HH282" s="341" t="s">
        <v>899</v>
      </c>
      <c r="HJ282" s="238"/>
      <c r="HK282" s="238"/>
      <c r="HL282" s="238"/>
      <c r="HM282" s="238">
        <f>COUNT(HI283,HJ283,HK283,HL283,HM283)</f>
        <v>0</v>
      </c>
      <c r="HN282" s="341"/>
      <c r="HO282" s="341"/>
      <c r="HP282" s="341"/>
      <c r="HQ282" s="341"/>
      <c r="HR282" s="341"/>
      <c r="HS282" s="238"/>
      <c r="HT282" s="238"/>
      <c r="HU282" s="238"/>
      <c r="HV282" s="238"/>
      <c r="HX282" s="238"/>
      <c r="HY282" s="238"/>
      <c r="ID282" s="238"/>
    </row>
    <row r="283" spans="1:238" s="234" customFormat="1" ht="20.100000000000001" customHeight="1">
      <c r="A283" s="235"/>
      <c r="B283" s="231">
        <f>COUNT(AJ284,AJ283)</f>
        <v>0</v>
      </c>
      <c r="C283" s="326">
        <f>IF(DK282="*",AJ279,AI279)</f>
        <v>2.8</v>
      </c>
      <c r="D283" s="253" t="str">
        <f>REPT(DN283,1)</f>
        <v>2</v>
      </c>
      <c r="E283" s="254" t="str">
        <f>REPT(AH283,1)</f>
        <v/>
      </c>
      <c r="F283" s="168"/>
      <c r="G283" s="168"/>
      <c r="H283" s="168"/>
      <c r="I283" s="169"/>
      <c r="J283" s="270" t="str">
        <f>REPT(AM283,1)</f>
        <v/>
      </c>
      <c r="L283" s="306" t="s">
        <v>922</v>
      </c>
      <c r="M283" s="311"/>
      <c r="N283" s="270" t="str">
        <f>REPT(AP283,1)</f>
        <v/>
      </c>
      <c r="P283" s="306" t="s">
        <v>922</v>
      </c>
      <c r="Q283" s="310"/>
      <c r="R283" s="324">
        <f>IF(DL282="*",AJ279,AI279)</f>
        <v>2.8</v>
      </c>
      <c r="S283" s="253" t="str">
        <f>REPT(DO283,1)</f>
        <v>2</v>
      </c>
      <c r="T283" s="254" t="str">
        <f>REPT(AV283,1)</f>
        <v/>
      </c>
      <c r="U283" s="168"/>
      <c r="V283" s="168"/>
      <c r="W283" s="168"/>
      <c r="X283" s="169"/>
      <c r="Y283" s="270" t="str">
        <f t="shared" ref="Y283:Y285" si="684">REPT(BA283,1)</f>
        <v/>
      </c>
      <c r="Z283" s="308"/>
      <c r="AB283" s="234">
        <f>IF(AY283="",0,IF(AY283&lt;2,1,""))</f>
        <v>0</v>
      </c>
      <c r="AC283" s="238">
        <f t="shared" ref="AC283:AC284" si="685">IF(AD283=1,1,IF(AD283=3,1,IF(AD283=2,0,IF(AD283=0,0,0))))</f>
        <v>0</v>
      </c>
      <c r="AD283" s="256">
        <f t="shared" ref="AD283:AD286" si="686">SUM(AE283:AG283)</f>
        <v>0</v>
      </c>
      <c r="AE283" s="256">
        <f t="shared" si="680"/>
        <v>0</v>
      </c>
      <c r="AF283" s="256">
        <f t="shared" si="681"/>
        <v>0</v>
      </c>
      <c r="AG283" s="256">
        <f t="shared" ref="AG283:AG286" si="687">IF(H283="",0,1)</f>
        <v>0</v>
      </c>
      <c r="AH283" s="257" t="str">
        <f>IF(AK283="",IF(AI283="","",IF(AI283="",501,501-AI283)),501)</f>
        <v/>
      </c>
      <c r="AI283" s="256" t="str">
        <f>IF(F283&gt;1,F283,IF(F283=0,"",IF(F283="","","")))</f>
        <v/>
      </c>
      <c r="AJ283" s="256" t="str">
        <f>IF(G283&gt;8,G283,IF(G283="","",""))</f>
        <v/>
      </c>
      <c r="AK283" s="256" t="str">
        <f>IF(H283&gt;1,H283,IF(H283="","",""))</f>
        <v/>
      </c>
      <c r="AL283" s="256" t="str">
        <f>IF(I283&gt;0,I283,IF(I283="","",""))</f>
        <v/>
      </c>
      <c r="AM283" s="258" t="str">
        <f>IF(BK283=0,"","X")</f>
        <v/>
      </c>
      <c r="AN283" s="237"/>
      <c r="AO283" s="237"/>
      <c r="AP283" s="258" t="str">
        <f>IF(BM283=0,"","X")</f>
        <v/>
      </c>
      <c r="AQ283" s="236">
        <f t="shared" ref="AQ283:AQ284" si="688">IF(AR283=1,1,IF(AR283=3,1,IF(AR283=2,0,IF(AR283=0,0,0))))</f>
        <v>0</v>
      </c>
      <c r="AR283" s="256">
        <f t="shared" ref="AR283:AR286" si="689">SUM(AS283:AU283)</f>
        <v>0</v>
      </c>
      <c r="AS283" s="256">
        <f t="shared" si="682"/>
        <v>0</v>
      </c>
      <c r="AT283" s="256">
        <f t="shared" si="683"/>
        <v>0</v>
      </c>
      <c r="AU283" s="256">
        <f t="shared" ref="AU283:AU286" si="690">IF(W283="",0,1)</f>
        <v>0</v>
      </c>
      <c r="AV283" s="257" t="str">
        <f>IF(AY283="",IF(AW283="","",IF(AW283="",501,501-AW283)),501)</f>
        <v/>
      </c>
      <c r="AW283" s="256" t="str">
        <f>IF(U283&gt;1,U283,IF(U283=0,"",IF(U283="","","")))</f>
        <v/>
      </c>
      <c r="AX283" s="256" t="str">
        <f>IF(V283&gt;8,V283,IF(V283="","",""))</f>
        <v/>
      </c>
      <c r="AY283" s="256" t="str">
        <f>IF(W283&gt;1,W283,IF(W283="","",""))</f>
        <v/>
      </c>
      <c r="AZ283" s="256" t="str">
        <f>IF(X283&gt;0,X283,IF(X283="","",""))</f>
        <v/>
      </c>
      <c r="BA283" s="258" t="str">
        <f>IF(BL283=0,"","X")</f>
        <v/>
      </c>
      <c r="BK283" s="251">
        <f>SUM(DD283,DV283,EY283,ED283,FF283,BQ283,BS283,AC283)</f>
        <v>0</v>
      </c>
      <c r="BL283" s="251">
        <f>SUM(DE283,DW283,EE283,FT283,GA283,BR283,BT283,AQ283)</f>
        <v>0</v>
      </c>
      <c r="BM283" s="259">
        <f t="shared" ref="BM283:BM284" si="691">SUM(DC283,BK283:BL283,AC283,AQ283)</f>
        <v>0</v>
      </c>
      <c r="BN283" s="239">
        <f>COUNT(AK283)</f>
        <v>0</v>
      </c>
      <c r="BO283" s="239">
        <f>COUNT(AY283)</f>
        <v>0</v>
      </c>
      <c r="BP283" s="239">
        <f>IF(BN285=0,0,1)</f>
        <v>0</v>
      </c>
      <c r="BQ283" s="260">
        <f>IF(AL283="",0,IF(AL283&gt;2,1,0))</f>
        <v>0</v>
      </c>
      <c r="BR283" s="261">
        <f>IF(AZ283="",0,IF(AZ283&gt;2,1,0))</f>
        <v>0</v>
      </c>
      <c r="BS283" s="262">
        <f>IF(AJ283=9,IF(AK283&lt;141,1,0),0)</f>
        <v>0</v>
      </c>
      <c r="BT283" s="263">
        <f>IF(AX283=9,IF(AY283&lt;141,1,0),0)</f>
        <v>0</v>
      </c>
      <c r="BU283" s="242">
        <f>IF(H283,G283,0)</f>
        <v>0</v>
      </c>
      <c r="BV283" s="238">
        <f>IF(BU283&gt;0,AJ283/3,0)</f>
        <v>0</v>
      </c>
      <c r="BW283" s="238">
        <f>ROUNDUP(BV283,0)</f>
        <v>0</v>
      </c>
      <c r="BX283" s="244">
        <f>IF(MOD(BW283,2)=0,BW283,BW283+1)</f>
        <v>0</v>
      </c>
      <c r="BY283" s="238">
        <f>IF(AJ283&lt;9,"",SUM(BX283-BW283))</f>
        <v>0</v>
      </c>
      <c r="BZ283" s="238">
        <f>IF(BY283=1,AK283,0)</f>
        <v>0</v>
      </c>
      <c r="CA283" s="243" t="str">
        <f>IF(BY283=0,AK283,0)</f>
        <v/>
      </c>
      <c r="CB283" s="238"/>
      <c r="CC283" s="238"/>
      <c r="CD283" s="242">
        <f>IF(W283,V283,0)</f>
        <v>0</v>
      </c>
      <c r="CE283" s="238">
        <f>IF(CD283&gt;0,AX283/3,0)</f>
        <v>0</v>
      </c>
      <c r="CF283" s="238">
        <f>ROUNDUP(CE283,0)</f>
        <v>0</v>
      </c>
      <c r="CG283" s="244">
        <f>IF(MOD(CF283,2)=0,CF283,CF283+1)</f>
        <v>0</v>
      </c>
      <c r="CH283" s="238">
        <f>IF(AX283&lt;9,"",SUM(CG283-CF283))</f>
        <v>0</v>
      </c>
      <c r="CI283" s="238">
        <f>IF(CH283=1,AY283,0)</f>
        <v>0</v>
      </c>
      <c r="CJ283" s="243" t="str">
        <f>IF(CH283=0,AY283,0)</f>
        <v/>
      </c>
      <c r="CK283" s="238"/>
      <c r="CL283" s="245">
        <f>IF(COUNT(F283,H283)=1,0,1)</f>
        <v>1</v>
      </c>
      <c r="CM283" s="245">
        <f>IF(COUNT(F283,U283)=1,0,1)</f>
        <v>1</v>
      </c>
      <c r="CN283" s="245">
        <f>IF(COUNT(H283,W283)=1,0,1)</f>
        <v>1</v>
      </c>
      <c r="CO283" s="245">
        <f>IF(COUNT(G283,V283)=2,0,1)</f>
        <v>1</v>
      </c>
      <c r="CP283" s="245">
        <f>IF(COUNT(U283,W283)=1,0,1)</f>
        <v>1</v>
      </c>
      <c r="CQ283" s="245">
        <f>IF(SUM(G283-V283)&gt;3,1,0)</f>
        <v>0</v>
      </c>
      <c r="CR283" s="245">
        <f>IF(SUM(G283-V283)&lt;-3,1,0)</f>
        <v>0</v>
      </c>
      <c r="CS283" s="264">
        <f>IF(AJ283=9,IF(AH283&lt;141,1,0),IF(AH283="",0,IF(AH283&gt;1,0,1)))</f>
        <v>0</v>
      </c>
      <c r="CT283" s="264">
        <f>IF(AX283=9,IF(AV283&lt;141,1,0),IF(AV283="",0,IF(AV283&gt;1,0,1)))</f>
        <v>0</v>
      </c>
      <c r="CU283" s="264">
        <f>IF(AI283="",0,IF(AI283&lt;502,0,1))</f>
        <v>0</v>
      </c>
      <c r="CV283" s="264">
        <f>IF(AW283="",0,IF(AW283&lt;502,0,1))</f>
        <v>0</v>
      </c>
      <c r="CW283" s="264">
        <f>IF(AI283="",IF(AJ283&lt;9,1,0),IF(AJ283&lt;9,1,0))</f>
        <v>0</v>
      </c>
      <c r="CX283" s="264">
        <f>IF(AW283="",IF(AX283&lt;9,1,0),IF(AX283&lt;9,1,0))</f>
        <v>0</v>
      </c>
      <c r="CY283" s="374"/>
      <c r="CZ283" s="374"/>
      <c r="DA283" s="374"/>
      <c r="DB283" s="374"/>
      <c r="DC283" s="265">
        <f>IF(AJ283="",0,SUM(CL283:CX283))</f>
        <v>0</v>
      </c>
      <c r="DD283" s="265">
        <f>IF(AJ283="",0,SUM(CL283,CS283,CU283,CW283))</f>
        <v>0</v>
      </c>
      <c r="DE283" s="265">
        <f>IF(AJ283="",0,SUM(CP283,CT283,CV283,CX283))</f>
        <v>0</v>
      </c>
      <c r="DF283" s="238"/>
      <c r="DG283" s="248">
        <f>SUM(G283-V283)</f>
        <v>0</v>
      </c>
      <c r="DH283" s="245">
        <f>IF(F283="",0,1)</f>
        <v>0</v>
      </c>
      <c r="DI283" s="245">
        <f t="shared" ref="DI283:DI286" si="692">IF(DG283=0,DH283,DG283)</f>
        <v>0</v>
      </c>
      <c r="DJ283" s="245">
        <f t="shared" ref="DJ283:DJ286" si="693">SIGN(DI283)</f>
        <v>0</v>
      </c>
      <c r="DK283" s="245" t="str">
        <f>IF(G283="","",IF(DJ283=1,"*",""))</f>
        <v/>
      </c>
      <c r="DL283" s="245" t="str">
        <f>IF(G283="","",IF(DJ283=-1,"*",IF(DJ283=0,"*","")))</f>
        <v/>
      </c>
      <c r="DM283" s="245">
        <v>2</v>
      </c>
      <c r="DN283" s="245" t="str">
        <f t="shared" ref="DN283:DN286" si="694">CONCATENATE(DM283,DK283)</f>
        <v>2</v>
      </c>
      <c r="DO283" s="245" t="str">
        <f t="shared" ref="DO283:DO286" si="695">CONCATENATE(DM283,DL283)</f>
        <v>2</v>
      </c>
      <c r="DP283" s="245">
        <f>SUM(DQ282)</f>
        <v>0</v>
      </c>
      <c r="DQ283" s="245">
        <f>SUM(DP282)</f>
        <v>0</v>
      </c>
      <c r="DR283" s="245">
        <f>IF(DK283="*",1,0)</f>
        <v>0</v>
      </c>
      <c r="DS283" s="245">
        <f>IF(DL283="*",1,0)</f>
        <v>0</v>
      </c>
      <c r="DT283" s="245">
        <f>IF(H273="",0,IF(DP283=DR283,1,0))</f>
        <v>0</v>
      </c>
      <c r="DU283" s="245">
        <f>IF(V283="",0,IF(DQ283=DS283,0,1))</f>
        <v>0</v>
      </c>
      <c r="DV283" s="267">
        <f>SUM(DT283)</f>
        <v>0</v>
      </c>
      <c r="DW283" s="267">
        <f>IF(V283="",0,SUM(DU283))</f>
        <v>0</v>
      </c>
      <c r="DX283" s="238">
        <f>IF(AK283="",0,1)</f>
        <v>0</v>
      </c>
      <c r="DY283" s="238">
        <f>IF(DG283=-3,1,0)</f>
        <v>0</v>
      </c>
      <c r="DZ283" s="238">
        <f>SUM(DX283:DY283)</f>
        <v>0</v>
      </c>
      <c r="EA283" s="238">
        <f>IF(AK283="",1,0)</f>
        <v>1</v>
      </c>
      <c r="EB283" s="238">
        <f>IF(DG283=3,1,0)</f>
        <v>0</v>
      </c>
      <c r="EC283" s="238">
        <f>SUM(EA283:EB283)</f>
        <v>1</v>
      </c>
      <c r="ED283" s="267">
        <f>IF(EC283=2,1,0)</f>
        <v>0</v>
      </c>
      <c r="EE283" s="267">
        <f>IF(DZ283=2,1,0)</f>
        <v>0</v>
      </c>
      <c r="EG283" s="166"/>
      <c r="EH283" s="238"/>
      <c r="EI283" s="238"/>
      <c r="EJ283" s="238"/>
      <c r="EK283" s="238"/>
      <c r="EL283" s="238"/>
      <c r="EM283" s="245">
        <f>IF(AK283="",0,1)</f>
        <v>0</v>
      </c>
      <c r="EN283" s="245">
        <f>SUM(AK283)</f>
        <v>0</v>
      </c>
      <c r="EO283" s="268">
        <f>SUM(AJ283)</f>
        <v>0</v>
      </c>
      <c r="EP283" s="268">
        <f>SUM(G283/3)</f>
        <v>0</v>
      </c>
      <c r="EQ283" s="268" t="e">
        <f>SUM(EO283/EP283)</f>
        <v>#DIV/0!</v>
      </c>
      <c r="ER283" s="268">
        <f>ROUNDDOWN(EP283,0)</f>
        <v>0</v>
      </c>
      <c r="ES283" s="268">
        <f>SUM(EO283,-ER283*3)</f>
        <v>0</v>
      </c>
      <c r="ET283" s="269" t="b">
        <f>MOD(EN283/1,2)=0</f>
        <v>1</v>
      </c>
      <c r="EU283" s="245">
        <f>IF(ET283=FALSE,1,0)</f>
        <v>0</v>
      </c>
      <c r="EV283" s="245">
        <f>IF(EN283=50,0,IF(EN283&lt;40,1,0))</f>
        <v>1</v>
      </c>
      <c r="EW283" s="245">
        <f>SUM(EU283:EV283)</f>
        <v>1</v>
      </c>
      <c r="EX283" s="267">
        <f>IF(EN283=1,1,IF(EN283=50,0,IF(ES283=1,IF(EN283&gt;40,1,0),0)))</f>
        <v>0</v>
      </c>
      <c r="EY283" s="267">
        <f>IF(ES283=1,IF(EW283=2,1,0),0)+EX283+FB283+FE283</f>
        <v>0</v>
      </c>
      <c r="EZ283" s="245">
        <f>IF(EN283=109,1,IF(EN283=108,1,IF(EN283=106,1,IF(EN283=105,1,IF(EN283=103,1,IF(EN283=102,1,IF(EN283=99,1,0)))))))</f>
        <v>0</v>
      </c>
      <c r="FA283" s="245">
        <f>IF(EN283&gt;110,1,0)</f>
        <v>0</v>
      </c>
      <c r="FB283" s="267">
        <f>IF(ES283=2,SUM(EZ283:FA283),0)</f>
        <v>0</v>
      </c>
      <c r="FC283" s="245">
        <f>IF(EN283=159,1,IF(EN283=162,1,IF(EN283=163,1,IF(EN283=165,1,IF(EN283=166,1,IF(EN283=168,1,IF(EN283=169,1,0)))))))</f>
        <v>0</v>
      </c>
      <c r="FD283" s="245">
        <f>IF(EN283&gt;170,1,0)</f>
        <v>0</v>
      </c>
      <c r="FE283" s="267">
        <f>IF(ES283=0,SUM(FC283:FD283),0)</f>
        <v>0</v>
      </c>
      <c r="FF283" s="251">
        <f t="shared" ref="FF283:FF286" si="696">IF(AJ283="",0,IF(AI283="",0,IF(EO283/ER283-3=0,0,1)))</f>
        <v>0</v>
      </c>
      <c r="FG283" s="238"/>
      <c r="FH283" s="245">
        <f>IF(AY283="",0,1)</f>
        <v>0</v>
      </c>
      <c r="FI283" s="245">
        <f>SUM(AY283)</f>
        <v>0</v>
      </c>
      <c r="FJ283" s="268">
        <f>SUM(AX283)</f>
        <v>0</v>
      </c>
      <c r="FK283" s="268">
        <f>SUM(V283/3)</f>
        <v>0</v>
      </c>
      <c r="FL283" s="268" t="e">
        <f>SUM(FJ283/FK283)</f>
        <v>#DIV/0!</v>
      </c>
      <c r="FM283" s="268">
        <f>ROUNDDOWN(FK283,0)</f>
        <v>0</v>
      </c>
      <c r="FN283" s="268">
        <f>SUM(FJ283,-FM283*3)</f>
        <v>0</v>
      </c>
      <c r="FO283" s="269" t="b">
        <f>MOD(FI283/1,2)=0</f>
        <v>1</v>
      </c>
      <c r="FP283" s="245">
        <f>IF(FO283=FALSE,1,0)</f>
        <v>0</v>
      </c>
      <c r="FQ283" s="245">
        <f>IF(FI283=50,0,IF(FI283&lt;40,1,0))</f>
        <v>1</v>
      </c>
      <c r="FR283" s="245">
        <f>SUM(FP283:FQ283)</f>
        <v>1</v>
      </c>
      <c r="FS283" s="267">
        <f>IF(FI283=1,1,IF(FI283=50,0,IF(FN283=1,IF(FI283&gt;40,1,0),0)))</f>
        <v>0</v>
      </c>
      <c r="FT283" s="267">
        <f>IF(FN283=1,IF(FR283=2,1,0),0)+FS283+FW283+FZ283</f>
        <v>0</v>
      </c>
      <c r="FU283" s="245">
        <f>IF(FI283=109,1,IF(FI283=108,1,IF(FI283=106,1,IF(FI283=105,1,IF(FI283=103,1,IF(FI283=102,1,IF(FI283=99,1,0)))))))</f>
        <v>0</v>
      </c>
      <c r="FV283" s="245">
        <f>IF(FI283&gt;110,1,0)</f>
        <v>0</v>
      </c>
      <c r="FW283" s="267">
        <f>IF(FN283=2,SUM(FU283:FV283),0)</f>
        <v>0</v>
      </c>
      <c r="FX283" s="245">
        <f>IF(FI283=159,1,IF(FI283=162,1,IF(FI283=163,1,IF(FI283=165,1,IF(FI283=166,1,IF(FI283=168,1,IF(FI283=169,1,0)))))))</f>
        <v>0</v>
      </c>
      <c r="FY283" s="245">
        <f>IF(FI283&gt;170,1,0)</f>
        <v>0</v>
      </c>
      <c r="FZ283" s="267">
        <f>IF(FN283=0,SUM(FX283:FY283),0)</f>
        <v>0</v>
      </c>
      <c r="GA283" s="251">
        <f t="shared" ref="GA283:GA286" si="697">IF(AX283="",0,IF(AW283="",0,IF(FJ283/FM283-3=0,0,1)))</f>
        <v>0</v>
      </c>
      <c r="GC283" s="238" t="str">
        <f>VLOOKUP(AH279,Chema!BL:BR,2,FALSE)</f>
        <v>HS 2.8</v>
      </c>
      <c r="GD283" s="341">
        <f>IF(E289="FORFAIT",1,0)</f>
        <v>0</v>
      </c>
      <c r="GE283" s="343" t="str">
        <f>IF(C289="","",SUM(C289))</f>
        <v/>
      </c>
      <c r="GF283" s="344">
        <f>SUM(AH282)</f>
        <v>0</v>
      </c>
      <c r="GG283" s="344">
        <f>SUM(AJ282)</f>
        <v>0</v>
      </c>
      <c r="GH283" s="344">
        <f t="shared" ref="GH283" si="698">SUM(AK282)</f>
        <v>0</v>
      </c>
      <c r="GI283" s="344">
        <f t="shared" ref="GI283" si="699">SUM(AL282)</f>
        <v>0</v>
      </c>
      <c r="GJ283" s="344">
        <f>SUM(AH283)</f>
        <v>0</v>
      </c>
      <c r="GK283" s="344">
        <f>SUM(AJ283)</f>
        <v>0</v>
      </c>
      <c r="GL283" s="344">
        <f>SUM(AK283)</f>
        <v>0</v>
      </c>
      <c r="GM283" s="344">
        <f>SUM(AL283)</f>
        <v>0</v>
      </c>
      <c r="GN283" s="344">
        <f>SUM(AH284)</f>
        <v>0</v>
      </c>
      <c r="GO283" s="344">
        <f>SUM(AJ284)</f>
        <v>0</v>
      </c>
      <c r="GP283" s="344">
        <f>SUM(AK284)</f>
        <v>0</v>
      </c>
      <c r="GQ283" s="344">
        <f>SUM(AL284)</f>
        <v>0</v>
      </c>
      <c r="GR283" s="344">
        <f>SUM(AH285)</f>
        <v>0</v>
      </c>
      <c r="GS283" s="344">
        <f>SUM(AJ285)</f>
        <v>0</v>
      </c>
      <c r="GT283" s="344">
        <f>SUM(AK285)</f>
        <v>0</v>
      </c>
      <c r="GU283" s="344">
        <f>SUM(AL285)</f>
        <v>0</v>
      </c>
      <c r="GV283" s="344">
        <f>SUM(AH286)</f>
        <v>0</v>
      </c>
      <c r="GW283" s="344">
        <f>SUM(AJ286)</f>
        <v>0</v>
      </c>
      <c r="GX283" s="344">
        <f>SUM(AK286)</f>
        <v>0</v>
      </c>
      <c r="GY283" s="344">
        <f>SUM(AL286)</f>
        <v>0</v>
      </c>
      <c r="GZ283" s="344">
        <f>SUM(GF283,GJ283,GN283,GR283,GV283)</f>
        <v>0</v>
      </c>
      <c r="HA283" s="344">
        <f t="shared" ref="HA283" si="700">SUM(GG283,GK283,GO283,GS283,GW283)</f>
        <v>0</v>
      </c>
      <c r="HB283" s="344">
        <f>IF(GD282=1,L289,MAX(GH283,GL283,GP283,GT283,GX283))</f>
        <v>0</v>
      </c>
      <c r="HC283" s="344">
        <f>IF(GD282=1,I289,SUM(GI283,GM283,GQ283,GU283,GY283))</f>
        <v>0</v>
      </c>
      <c r="HD283" s="345">
        <f>IF(GD282=1,0,SUM(GF283,GJ283,GN283,GR283,GV283))</f>
        <v>0</v>
      </c>
      <c r="HE283" s="345">
        <f>IF(GD282=1,0,SUM(GG283,GK283,GO283,GS283,GW283))</f>
        <v>0</v>
      </c>
      <c r="HF283" s="341">
        <f>IF(GD282=1,0,MIN(HI283,HJ283,HK283,HL283,HM283))</f>
        <v>0</v>
      </c>
      <c r="HG283" s="341">
        <f>IF(HF283=0,0,COUNTIF(HI283:HM283,HF283))</f>
        <v>0</v>
      </c>
      <c r="HH283" s="341">
        <f>SUM(GH284,GL284,GP284,GT284,GX284)</f>
        <v>0</v>
      </c>
      <c r="HI283" s="343" t="str">
        <f>IF(GH284=1,GG283,"")</f>
        <v/>
      </c>
      <c r="HJ283" s="343" t="str">
        <f>IF(GL284=1,GK283,"")</f>
        <v/>
      </c>
      <c r="HK283" s="343" t="str">
        <f>IF(GP284=1,GO283,"")</f>
        <v/>
      </c>
      <c r="HL283" s="343" t="str">
        <f>IF(GT284=1,GS283,"")</f>
        <v/>
      </c>
      <c r="HM283" s="343" t="str">
        <f>IF(GX284=1,GW283,"")</f>
        <v/>
      </c>
      <c r="HN283" s="341"/>
      <c r="HO283" s="341" t="s">
        <v>928</v>
      </c>
      <c r="HP283" s="341" t="s">
        <v>982</v>
      </c>
      <c r="HQ283" s="341" t="s">
        <v>983</v>
      </c>
      <c r="HR283" s="341" t="s">
        <v>984</v>
      </c>
      <c r="HS283" s="238" t="s">
        <v>932</v>
      </c>
      <c r="HT283" s="238" t="s">
        <v>933</v>
      </c>
      <c r="HU283" s="238" t="s">
        <v>985</v>
      </c>
      <c r="HV283" s="238" t="s">
        <v>986</v>
      </c>
      <c r="HW283" s="238" t="str">
        <f>IFERROR(IF(GD282=0,SUM(HZ284:IA284),""),"")</f>
        <v/>
      </c>
      <c r="HY283" s="238"/>
      <c r="HZ283" s="238" t="s">
        <v>1132</v>
      </c>
      <c r="IA283" s="238" t="s">
        <v>1133</v>
      </c>
      <c r="IB283" s="238" t="s">
        <v>1132</v>
      </c>
      <c r="IC283" s="238" t="s">
        <v>1133</v>
      </c>
      <c r="ID283" s="238"/>
    </row>
    <row r="284" spans="1:238" s="234" customFormat="1" ht="20.100000000000001" customHeight="1">
      <c r="A284" s="235"/>
      <c r="B284" s="231">
        <f>COUNT(AJ285,AJ284)</f>
        <v>0</v>
      </c>
      <c r="C284" s="235"/>
      <c r="D284" s="271" t="str">
        <f>REPT(DN284,1)</f>
        <v>3</v>
      </c>
      <c r="E284" s="254" t="str">
        <f>REPT(AH284,1)</f>
        <v/>
      </c>
      <c r="F284" s="168"/>
      <c r="G284" s="168"/>
      <c r="H284" s="168"/>
      <c r="I284" s="169"/>
      <c r="J284" s="270" t="str">
        <f t="shared" ref="J284:J285" si="701">REPT(AM284,1)</f>
        <v/>
      </c>
      <c r="L284" s="312">
        <f>SUM(L282*3)</f>
        <v>0</v>
      </c>
      <c r="M284" s="307"/>
      <c r="N284" s="270" t="str">
        <f>REPT(AP284,1)</f>
        <v/>
      </c>
      <c r="P284" s="312">
        <f>SUM(P282*3)</f>
        <v>0</v>
      </c>
      <c r="Q284" s="310"/>
      <c r="R284" s="235"/>
      <c r="S284" s="271" t="str">
        <f>REPT(DO284,1)</f>
        <v>3</v>
      </c>
      <c r="T284" s="254" t="str">
        <f>REPT(AV284,1)</f>
        <v/>
      </c>
      <c r="U284" s="168"/>
      <c r="V284" s="168"/>
      <c r="W284" s="168"/>
      <c r="X284" s="169"/>
      <c r="Y284" s="270" t="str">
        <f t="shared" si="684"/>
        <v/>
      </c>
      <c r="Z284" s="308"/>
      <c r="AB284" s="234">
        <f>IF(AY284="",0,IF(AY284&lt;2,1,""))</f>
        <v>0</v>
      </c>
      <c r="AC284" s="238">
        <f t="shared" si="685"/>
        <v>0</v>
      </c>
      <c r="AD284" s="256">
        <f t="shared" si="686"/>
        <v>0</v>
      </c>
      <c r="AE284" s="256">
        <f t="shared" si="680"/>
        <v>0</v>
      </c>
      <c r="AF284" s="256">
        <f t="shared" si="681"/>
        <v>0</v>
      </c>
      <c r="AG284" s="256">
        <f t="shared" si="687"/>
        <v>0</v>
      </c>
      <c r="AH284" s="257" t="str">
        <f>IF(AK284="",IF(AI284="","",IF(AI284="",501,501-AI284)),501)</f>
        <v/>
      </c>
      <c r="AI284" s="256" t="str">
        <f>IF(F284&gt;1,F284,IF(F284=0,"",IF(F284="","","")))</f>
        <v/>
      </c>
      <c r="AJ284" s="256" t="str">
        <f>IF(G284&gt;8,G284,IF(G284="","",""))</f>
        <v/>
      </c>
      <c r="AK284" s="256" t="str">
        <f>IF(H284&gt;1,H284,IF(H284="","",""))</f>
        <v/>
      </c>
      <c r="AL284" s="256" t="str">
        <f>IF(I284&gt;0,I284,IF(I284="","",""))</f>
        <v/>
      </c>
      <c r="AM284" s="258" t="str">
        <f>IF(BK284=0,"","X")</f>
        <v/>
      </c>
      <c r="AN284" s="237"/>
      <c r="AO284" s="237"/>
      <c r="AP284" s="258" t="str">
        <f>IF(BM284=0,"","X")</f>
        <v/>
      </c>
      <c r="AQ284" s="236">
        <f t="shared" si="688"/>
        <v>0</v>
      </c>
      <c r="AR284" s="256">
        <f t="shared" si="689"/>
        <v>0</v>
      </c>
      <c r="AS284" s="256">
        <f t="shared" si="682"/>
        <v>0</v>
      </c>
      <c r="AT284" s="256">
        <f t="shared" si="683"/>
        <v>0</v>
      </c>
      <c r="AU284" s="256">
        <f t="shared" si="690"/>
        <v>0</v>
      </c>
      <c r="AV284" s="257" t="str">
        <f>IF(AY284="",IF(AW284="","",IF(AW284="",501,501-AW284)),501)</f>
        <v/>
      </c>
      <c r="AW284" s="256" t="str">
        <f>IF(U284&gt;1,U284,IF(U284=0,"",IF(U284="","","")))</f>
        <v/>
      </c>
      <c r="AX284" s="256" t="str">
        <f>IF(V284&gt;8,V284,IF(V284="","",""))</f>
        <v/>
      </c>
      <c r="AY284" s="256" t="str">
        <f>IF(W284&gt;1,W284,IF(W284="","",""))</f>
        <v/>
      </c>
      <c r="AZ284" s="256" t="str">
        <f>IF(X284&gt;0,X284,IF(X284="","",""))</f>
        <v/>
      </c>
      <c r="BA284" s="258" t="str">
        <f>IF(BL284=0,"","X")</f>
        <v/>
      </c>
      <c r="BK284" s="251">
        <f>SUM(DD284,DV284,EY284,ED284,FF284,BQ284,BS284,AC284,BK291)</f>
        <v>0</v>
      </c>
      <c r="BL284" s="251">
        <f>SUM(DE284,DW284,EE284,FT284,GA284,BR284,BT284,AQ284,BL291,CZ284)</f>
        <v>0</v>
      </c>
      <c r="BM284" s="259">
        <f t="shared" si="691"/>
        <v>0</v>
      </c>
      <c r="BN284" s="239">
        <f>COUNT(AK284)</f>
        <v>0</v>
      </c>
      <c r="BO284" s="239">
        <f>COUNT(AY284)</f>
        <v>0</v>
      </c>
      <c r="BP284" s="239">
        <f>IF(BN286=0,0,1)</f>
        <v>0</v>
      </c>
      <c r="BQ284" s="260">
        <f>IF(AL284="",0,IF(AL284&gt;2,1,0))</f>
        <v>0</v>
      </c>
      <c r="BR284" s="261">
        <f>IF(AZ284="",0,IF(AZ284&gt;2,1,0))</f>
        <v>0</v>
      </c>
      <c r="BS284" s="262">
        <f>IF(AJ284=9,IF(AK284&lt;141,1,0),0)</f>
        <v>0</v>
      </c>
      <c r="BT284" s="263">
        <f>IF(AX284=9,IF(AY284&lt;141,1,0),0)</f>
        <v>0</v>
      </c>
      <c r="BU284" s="242">
        <f>IF(H284,G284,0)</f>
        <v>0</v>
      </c>
      <c r="BV284" s="238">
        <f>IF(BU284&gt;0,AJ284/3,0)</f>
        <v>0</v>
      </c>
      <c r="BW284" s="238">
        <f>ROUNDUP(BV284,0)</f>
        <v>0</v>
      </c>
      <c r="BX284" s="244">
        <f>IF(MOD(BW284,2)=0,BW284,BW284+1)</f>
        <v>0</v>
      </c>
      <c r="BY284" s="238">
        <f>IF(AJ284&lt;9,"",SUM(BX284-BW284))</f>
        <v>0</v>
      </c>
      <c r="BZ284" s="238">
        <f>IF(BY284=1,AK284,0)</f>
        <v>0</v>
      </c>
      <c r="CA284" s="243" t="str">
        <f>IF(BY284=0,AK284,0)</f>
        <v/>
      </c>
      <c r="CB284" s="238"/>
      <c r="CC284" s="238"/>
      <c r="CD284" s="242">
        <f>IF(W284,V284,0)</f>
        <v>0</v>
      </c>
      <c r="CE284" s="238">
        <f>IF(CD284&gt;0,AX284/3,0)</f>
        <v>0</v>
      </c>
      <c r="CF284" s="238">
        <f>ROUNDUP(CE284,0)</f>
        <v>0</v>
      </c>
      <c r="CG284" s="244">
        <f>IF(MOD(CF284,2)=0,CF284,CF284+1)</f>
        <v>0</v>
      </c>
      <c r="CH284" s="238">
        <f>IF(AX284&lt;9,"",SUM(CG284-CF284))</f>
        <v>0</v>
      </c>
      <c r="CI284" s="238">
        <f>IF(CH284=1,AY284,0)</f>
        <v>0</v>
      </c>
      <c r="CJ284" s="243" t="str">
        <f>IF(CH284=0,AY284,0)</f>
        <v/>
      </c>
      <c r="CK284" s="238"/>
      <c r="CL284" s="245">
        <f>IF(COUNT(F284,H284)=1,0,1)</f>
        <v>1</v>
      </c>
      <c r="CM284" s="245">
        <f>IF(COUNT(F284,U284)=1,0,1)</f>
        <v>1</v>
      </c>
      <c r="CN284" s="245">
        <f>IF(COUNT(H284,W284)=1,0,1)</f>
        <v>1</v>
      </c>
      <c r="CO284" s="245">
        <f>IF(COUNT(G284,V284)=2,0,1)</f>
        <v>1</v>
      </c>
      <c r="CP284" s="245">
        <f>IF(COUNT(U284,W284)=1,0,1)</f>
        <v>1</v>
      </c>
      <c r="CQ284" s="245">
        <f>IF(SUM(G284-V284)&gt;3,1,0)</f>
        <v>0</v>
      </c>
      <c r="CR284" s="245">
        <f>IF(SUM(G284-V284)&lt;-3,1,0)</f>
        <v>0</v>
      </c>
      <c r="CS284" s="264">
        <f>IF(AJ284=9,IF(AH284&lt;141,1,0),IF(AH284="",0,IF(AH284&gt;1,0,1)))</f>
        <v>0</v>
      </c>
      <c r="CT284" s="264">
        <f>IF(AX284=9,IF(AV284&lt;141,1,0),IF(AV284="",0,IF(AV284&gt;1,0,1)))</f>
        <v>0</v>
      </c>
      <c r="CU284" s="264">
        <f>IF(AI284="",0,IF(AI284&lt;502,0,1))</f>
        <v>0</v>
      </c>
      <c r="CV284" s="264">
        <f>IF(AW284="",0,IF(AW284&lt;502,0,1))</f>
        <v>0</v>
      </c>
      <c r="CW284" s="264">
        <f>IF(AI284="",IF(AJ284&lt;9,1,0),IF(AJ284&lt;9,1,0))</f>
        <v>0</v>
      </c>
      <c r="CX284" s="264">
        <f>IF(AW284="",IF(AX284&lt;9,1,0),IF(AX284&lt;9,1,0))</f>
        <v>0</v>
      </c>
      <c r="CY284" s="374">
        <f>COUNT(U282,U283,U284)</f>
        <v>0</v>
      </c>
      <c r="CZ284" s="375">
        <f>IF(AL279=3,IF(CY284&gt;2,1,0),0)</f>
        <v>0</v>
      </c>
      <c r="DA284" s="374"/>
      <c r="DB284" s="374"/>
      <c r="DC284" s="265">
        <f>IF(AJ284="",0,SUM(CL284:CX284))</f>
        <v>0</v>
      </c>
      <c r="DD284" s="265">
        <f>IF(AJ284="",0,SUM(CL284,CS284,CU284,CW284))</f>
        <v>0</v>
      </c>
      <c r="DE284" s="265">
        <f>IF(AJ284="",0,SUM(CP284,CT284,CV284,CX284))</f>
        <v>0</v>
      </c>
      <c r="DF284" s="238"/>
      <c r="DG284" s="248">
        <f>SUM(G284-V284)</f>
        <v>0</v>
      </c>
      <c r="DH284" s="245">
        <f>IF(F284="",0,1)</f>
        <v>0</v>
      </c>
      <c r="DI284" s="245">
        <f t="shared" si="692"/>
        <v>0</v>
      </c>
      <c r="DJ284" s="245">
        <f t="shared" si="693"/>
        <v>0</v>
      </c>
      <c r="DK284" s="245" t="str">
        <f>IF(G284="","",IF(DJ284=1,"*",""))</f>
        <v/>
      </c>
      <c r="DL284" s="245" t="str">
        <f>IF(G284="","",IF(DJ284=-1,"*",IF(DJ284=0,"*","")))</f>
        <v/>
      </c>
      <c r="DM284" s="245">
        <v>3</v>
      </c>
      <c r="DN284" s="245" t="str">
        <f t="shared" si="694"/>
        <v>3</v>
      </c>
      <c r="DO284" s="245" t="str">
        <f t="shared" si="695"/>
        <v>3</v>
      </c>
      <c r="DP284" s="245">
        <f>SUM(DP282)</f>
        <v>0</v>
      </c>
      <c r="DQ284" s="245">
        <f>SUM(DQ282)</f>
        <v>0</v>
      </c>
      <c r="DR284" s="245">
        <f t="shared" ref="DR284:DR286" si="702">IF(DK284="*",1,0)</f>
        <v>0</v>
      </c>
      <c r="DS284" s="245">
        <f t="shared" ref="DS284:DS286" si="703">IF(DL284="*",1,0)</f>
        <v>0</v>
      </c>
      <c r="DT284" s="245">
        <f t="shared" ref="DT284:DT286" si="704">IF(H274="",0,IF(DP284=DR284,1,0))</f>
        <v>0</v>
      </c>
      <c r="DU284" s="245">
        <f>IF(V284="",0,IF(DQ284=DS284,0,1))</f>
        <v>0</v>
      </c>
      <c r="DV284" s="267">
        <f t="shared" ref="DV284:DV286" si="705">SUM(DT284)</f>
        <v>0</v>
      </c>
      <c r="DW284" s="267">
        <f>IF(V284="",0,SUM(DU284))</f>
        <v>0</v>
      </c>
      <c r="DX284" s="238">
        <f>IF(AK284="",0,1)</f>
        <v>0</v>
      </c>
      <c r="DY284" s="238">
        <f>IF(DG284=-3,1,0)</f>
        <v>0</v>
      </c>
      <c r="DZ284" s="238">
        <f>SUM(DX284:DY284)</f>
        <v>0</v>
      </c>
      <c r="EA284" s="238">
        <f>IF(AK284="",1,0)</f>
        <v>1</v>
      </c>
      <c r="EB284" s="238">
        <f>IF(DG284=3,1,0)</f>
        <v>0</v>
      </c>
      <c r="EC284" s="238">
        <f>SUM(EA284:EB284)</f>
        <v>1</v>
      </c>
      <c r="ED284" s="267">
        <f>IF(EC284=2,1,0)</f>
        <v>0</v>
      </c>
      <c r="EE284" s="267">
        <f>IF(DZ284=2,1,0)</f>
        <v>0</v>
      </c>
      <c r="EG284" s="166"/>
      <c r="EH284" s="238"/>
      <c r="EI284" s="238"/>
      <c r="EJ284" s="238"/>
      <c r="EK284" s="238"/>
      <c r="EL284" s="238"/>
      <c r="EM284" s="245">
        <f>IF(AK284="",0,1)</f>
        <v>0</v>
      </c>
      <c r="EN284" s="245">
        <f>SUM(AK284)</f>
        <v>0</v>
      </c>
      <c r="EO284" s="268">
        <f>SUM(AJ284)</f>
        <v>0</v>
      </c>
      <c r="EP284" s="268">
        <f>SUM(G284/3)</f>
        <v>0</v>
      </c>
      <c r="EQ284" s="268" t="e">
        <f>SUM(EO284/EP284)</f>
        <v>#DIV/0!</v>
      </c>
      <c r="ER284" s="268">
        <f>ROUNDDOWN(EP284,0)</f>
        <v>0</v>
      </c>
      <c r="ES284" s="268">
        <f>SUM(EO284,-ER284*3)</f>
        <v>0</v>
      </c>
      <c r="ET284" s="269" t="b">
        <f>MOD(EN284/1,2)=0</f>
        <v>1</v>
      </c>
      <c r="EU284" s="245">
        <f>IF(ET284=FALSE,1,0)</f>
        <v>0</v>
      </c>
      <c r="EV284" s="245">
        <f>IF(EN284=50,0,IF(EN284&lt;40,1,0))</f>
        <v>1</v>
      </c>
      <c r="EW284" s="245">
        <f>SUM(EU284:EV284)</f>
        <v>1</v>
      </c>
      <c r="EX284" s="267">
        <f>IF(EN284=1,1,IF(EN284=50,0,IF(ES284=1,IF(EN284&gt;40,1,0),0)))</f>
        <v>0</v>
      </c>
      <c r="EY284" s="267">
        <f>IF(ES284=1,IF(EW284=2,1,0),0)+EX284+FB284+FE284</f>
        <v>0</v>
      </c>
      <c r="EZ284" s="245">
        <f>IF(EN284=109,1,IF(EN284=108,1,IF(EN284=106,1,IF(EN284=105,1,IF(EN284=103,1,IF(EN284=102,1,IF(EN284=99,1,0)))))))</f>
        <v>0</v>
      </c>
      <c r="FA284" s="245">
        <f>IF(EN284&gt;110,1,0)</f>
        <v>0</v>
      </c>
      <c r="FB284" s="267">
        <f>IF(ES284=2,SUM(EZ284:FA284),0)</f>
        <v>0</v>
      </c>
      <c r="FC284" s="245">
        <f>IF(EN284=159,1,IF(EN284=162,1,IF(EN284=163,1,IF(EN284=165,1,IF(EN284=166,1,IF(EN284=168,1,IF(EN284=169,1,0)))))))</f>
        <v>0</v>
      </c>
      <c r="FD284" s="245">
        <f>IF(EN284&gt;170,1,0)</f>
        <v>0</v>
      </c>
      <c r="FE284" s="267">
        <f>IF(ES284=0,SUM(FC284:FD284),0)</f>
        <v>0</v>
      </c>
      <c r="FF284" s="251">
        <f t="shared" si="696"/>
        <v>0</v>
      </c>
      <c r="FG284" s="238"/>
      <c r="FH284" s="245">
        <f>IF(AY284="",0,1)</f>
        <v>0</v>
      </c>
      <c r="FI284" s="245">
        <f>SUM(AY284)</f>
        <v>0</v>
      </c>
      <c r="FJ284" s="268">
        <f>SUM(AX284)</f>
        <v>0</v>
      </c>
      <c r="FK284" s="268">
        <f>SUM(V284/3)</f>
        <v>0</v>
      </c>
      <c r="FL284" s="268" t="e">
        <f>SUM(FJ284/FK284)</f>
        <v>#DIV/0!</v>
      </c>
      <c r="FM284" s="268">
        <f>ROUNDDOWN(FK284,0)</f>
        <v>0</v>
      </c>
      <c r="FN284" s="268">
        <f>SUM(FJ284,-FM284*3)</f>
        <v>0</v>
      </c>
      <c r="FO284" s="269" t="b">
        <f>MOD(FI284/1,2)=0</f>
        <v>1</v>
      </c>
      <c r="FP284" s="245">
        <f>IF(FO284=FALSE,1,0)</f>
        <v>0</v>
      </c>
      <c r="FQ284" s="245">
        <f>IF(FI284=50,0,IF(FI284&lt;40,1,0))</f>
        <v>1</v>
      </c>
      <c r="FR284" s="245">
        <f>SUM(FP284:FQ284)</f>
        <v>1</v>
      </c>
      <c r="FS284" s="267">
        <f>IF(FI284=1,1,IF(FI284=50,0,IF(FN284=1,IF(FI284&gt;40,1,0),0)))</f>
        <v>0</v>
      </c>
      <c r="FT284" s="267">
        <f>IF(FN284=1,IF(FR284=2,1,0),0)+FS284+FW284+FZ284</f>
        <v>0</v>
      </c>
      <c r="FU284" s="245">
        <f>IF(FI284=109,1,IF(FI284=108,1,IF(FI284=106,1,IF(FI284=105,1,IF(FI284=103,1,IF(FI284=102,1,IF(FI284=99,1,0)))))))</f>
        <v>0</v>
      </c>
      <c r="FV284" s="245">
        <f>IF(FI284&gt;110,1,0)</f>
        <v>0</v>
      </c>
      <c r="FW284" s="267">
        <f>IF(FN284=2,SUM(FU284:FV284),0)</f>
        <v>0</v>
      </c>
      <c r="FX284" s="245">
        <f>IF(FI284=159,1,IF(FI284=162,1,IF(FI284=163,1,IF(FI284=165,1,IF(FI284=166,1,IF(FI284=168,1,IF(FI284=169,1,0)))))))</f>
        <v>0</v>
      </c>
      <c r="FY284" s="245">
        <f>IF(FI284&gt;170,1,0)</f>
        <v>0</v>
      </c>
      <c r="FZ284" s="267">
        <f>IF(FN284=0,SUM(FX284:FY284),0)</f>
        <v>0</v>
      </c>
      <c r="GA284" s="251">
        <f t="shared" si="697"/>
        <v>0</v>
      </c>
      <c r="GC284" s="238" t="str">
        <f>VLOOKUP(AH279,Chema!BL:BR,3,FALSE)</f>
        <v/>
      </c>
      <c r="GD284" s="341"/>
      <c r="GE284" s="343" t="str">
        <f>IF(C290="","",SUM(C290))</f>
        <v/>
      </c>
      <c r="GF284" s="346"/>
      <c r="GG284" s="340"/>
      <c r="GH284" s="343">
        <f>IF(GH283&gt;0,1,0)</f>
        <v>0</v>
      </c>
      <c r="GI284" s="346"/>
      <c r="GJ284" s="343"/>
      <c r="GK284" s="340"/>
      <c r="GL284" s="343">
        <f>IF(GL283&gt;0,1,0)</f>
        <v>0</v>
      </c>
      <c r="GM284" s="343"/>
      <c r="GN284" s="343"/>
      <c r="GO284" s="340"/>
      <c r="GP284" s="343">
        <f>IF(GP283&gt;0,1,0)</f>
        <v>0</v>
      </c>
      <c r="GQ284" s="343"/>
      <c r="GR284" s="343"/>
      <c r="GS284" s="340"/>
      <c r="GT284" s="343">
        <f>IF(GT283&gt;0,1,0)</f>
        <v>0</v>
      </c>
      <c r="GU284" s="343"/>
      <c r="GV284" s="343"/>
      <c r="GW284" s="340"/>
      <c r="GX284" s="343">
        <f>IF(GX283&gt;0,1,0)</f>
        <v>0</v>
      </c>
      <c r="GY284" s="343"/>
      <c r="GZ284" s="343"/>
      <c r="HA284" s="343"/>
      <c r="HB284" s="343" t="str">
        <f>IF(GD282=1,L290,"")</f>
        <v/>
      </c>
      <c r="HC284" s="343" t="str">
        <f>IF(GD282=1,I290,"")</f>
        <v/>
      </c>
      <c r="HD284" s="345"/>
      <c r="HE284" s="340"/>
      <c r="HF284" s="340"/>
      <c r="HG284" s="347">
        <f>IF(GE283="",0,IF(AL279=3,2,IF(AL279=5,3,0)))</f>
        <v>0</v>
      </c>
      <c r="HH284" s="347">
        <f>IF(HK284=0,0,IF(HG286=0,0,1))</f>
        <v>0</v>
      </c>
      <c r="HI284" s="340"/>
      <c r="HJ284" s="340"/>
      <c r="HK284" s="340">
        <f>SUM(HM282,HM286)</f>
        <v>0</v>
      </c>
      <c r="HL284" s="340">
        <f>IF(HK284=0,0,IF(HM282=HG284,1,0))</f>
        <v>0</v>
      </c>
      <c r="HM284" s="340">
        <f>IF(HK284=0,0,IF(HM286=HG284,1,0))</f>
        <v>0</v>
      </c>
      <c r="HN284" s="341" t="str">
        <f>REPT(N279,1)</f>
        <v>Spiel 20</v>
      </c>
      <c r="HO284" s="348" t="str">
        <f>IF(HK284=0,"",IF(HH284=0,SUM(HH283),""))</f>
        <v/>
      </c>
      <c r="HP284" s="348" t="str">
        <f>IF(HK284=0,"",IF(HH284=0,SUM(HH285),""))</f>
        <v/>
      </c>
      <c r="HQ284" s="348" t="e">
        <f>IF(HH284=0,SUM(GZ283/HA283),"")</f>
        <v>#DIV/0!</v>
      </c>
      <c r="HR284" s="348" t="e">
        <f>IF(HH284=0,SUM(GZ285/HA285),"")</f>
        <v>#DIV/0!</v>
      </c>
      <c r="HS284" s="238" t="str">
        <f>REPT(DK282,1)</f>
        <v/>
      </c>
      <c r="HT284" s="238" t="str">
        <f>REPT(DL282,1)</f>
        <v/>
      </c>
      <c r="HU284" s="238">
        <f>IF(HH284=0,HL284,"")</f>
        <v>0</v>
      </c>
      <c r="HV284" s="238">
        <f>IF(HH284=0,HM284,"")</f>
        <v>0</v>
      </c>
      <c r="HW284" s="238" t="s">
        <v>1131</v>
      </c>
      <c r="HY284" s="238"/>
      <c r="HZ284" s="238" t="e">
        <f>IF(AL279=5,IF(HU284=1,SUM(HO284*2-HP284),HO284+HP284-2),"")</f>
        <v>#VALUE!</v>
      </c>
      <c r="IA284" s="238" t="str">
        <f>IF(AL279=3,IF(HU284=1,SUM(HO284-HP284+3),HO284+HP284-1),"")</f>
        <v/>
      </c>
      <c r="IB284" s="238" t="e">
        <f>IF(AL279=5,IF(HV284=1,SUM(HP284*2-HO284),HO284+HP284-2),"")</f>
        <v>#VALUE!</v>
      </c>
      <c r="IC284" s="238" t="str">
        <f>IF(AL279=3,IF(HV284=1,SUM(HP284-HO284+3),HO284+HP284-1),"")</f>
        <v/>
      </c>
      <c r="ID284" s="238">
        <f>SUM(BM288)</f>
        <v>0</v>
      </c>
    </row>
    <row r="285" spans="1:238" s="234" customFormat="1" ht="20.100000000000001" customHeight="1">
      <c r="A285" s="235"/>
      <c r="B285" s="231">
        <f>COUNT(AJ286,AJ285)</f>
        <v>0</v>
      </c>
      <c r="C285" s="235"/>
      <c r="D285" s="328" t="str">
        <f>REPT(DN285,1)</f>
        <v>4</v>
      </c>
      <c r="E285" s="329" t="str">
        <f>REPT(AH285,1)</f>
        <v/>
      </c>
      <c r="F285" s="330"/>
      <c r="G285" s="330"/>
      <c r="H285" s="330"/>
      <c r="I285" s="331"/>
      <c r="J285" s="270" t="str">
        <f t="shared" si="701"/>
        <v/>
      </c>
      <c r="M285" s="311"/>
      <c r="N285" s="270" t="str">
        <f>REPT(AP285,1)</f>
        <v/>
      </c>
      <c r="Q285" s="310"/>
      <c r="R285" s="235"/>
      <c r="S285" s="328" t="str">
        <f>REPT(DO285,1)</f>
        <v>4</v>
      </c>
      <c r="T285" s="329" t="str">
        <f>REPT(AV285,1)</f>
        <v/>
      </c>
      <c r="U285" s="330"/>
      <c r="V285" s="330"/>
      <c r="W285" s="330"/>
      <c r="X285" s="331"/>
      <c r="Y285" s="270" t="str">
        <f t="shared" si="684"/>
        <v/>
      </c>
      <c r="Z285" s="308"/>
      <c r="AA285" s="238">
        <f>SUM(AL279)</f>
        <v>5</v>
      </c>
      <c r="AB285" s="234">
        <f>IF(AY285="",0,IF(AY285&lt;2,1,""))</f>
        <v>0</v>
      </c>
      <c r="AC285" s="238">
        <f>IF(AL279=3,0,IF(AD285=1,1,IF(AD285=3,1,IF(AD285=2,0,IF(AD285=0,0,0)))))</f>
        <v>0</v>
      </c>
      <c r="AD285" s="256">
        <f t="shared" si="686"/>
        <v>0</v>
      </c>
      <c r="AE285" s="256">
        <f t="shared" si="680"/>
        <v>0</v>
      </c>
      <c r="AF285" s="256">
        <f t="shared" si="681"/>
        <v>0</v>
      </c>
      <c r="AG285" s="256">
        <f t="shared" si="687"/>
        <v>0</v>
      </c>
      <c r="AH285" s="257" t="str">
        <f>IF(AL279=3,"",IF(AK285="",IF(AI285="","",IF(AI285="",501,501-AI285)),501))</f>
        <v/>
      </c>
      <c r="AI285" s="256" t="str">
        <f>IF(AL279=3,"",IF(F285&gt;1,F285,IF(F285=0,"",IF(F285="","",""))))</f>
        <v/>
      </c>
      <c r="AJ285" s="256" t="str">
        <f>IF(AL279=3,"",IF(G285&gt;8,G285,IF(G285="","","")))</f>
        <v/>
      </c>
      <c r="AK285" s="256" t="str">
        <f>IF(AL279=3,"",IF(H285&gt;1,H285,IF(H285="","","")))</f>
        <v/>
      </c>
      <c r="AL285" s="256" t="str">
        <f>IF(AL279=3,"",IF(I285&gt;0,I285,IF(I285="","","")))</f>
        <v/>
      </c>
      <c r="AM285" s="258" t="str">
        <f>IF(BK285=0,"","X")</f>
        <v/>
      </c>
      <c r="AN285" s="237"/>
      <c r="AO285" s="237"/>
      <c r="AP285" s="258" t="str">
        <f>IF(BM285=0,"","X")</f>
        <v/>
      </c>
      <c r="AQ285" s="236">
        <f>IF(AL279=3,0,IF(AR285=1,1,IF(AR285=3,1,IF(AR285=2,0,IF(AR285=0,0,0)))))</f>
        <v>0</v>
      </c>
      <c r="AR285" s="256">
        <f t="shared" si="689"/>
        <v>0</v>
      </c>
      <c r="AS285" s="256">
        <f t="shared" si="682"/>
        <v>0</v>
      </c>
      <c r="AT285" s="256">
        <f t="shared" si="683"/>
        <v>0</v>
      </c>
      <c r="AU285" s="256">
        <f t="shared" si="690"/>
        <v>0</v>
      </c>
      <c r="AV285" s="257" t="str">
        <f>IF(AY285="",IF(AW285="","",IF(AW285="",501,501-AW285)),501)</f>
        <v/>
      </c>
      <c r="AW285" s="256" t="str">
        <f>IF(AL279=3,"",IF(U285&gt;1,U285,IF(U285=0,"",IF(U285="","",""))))</f>
        <v/>
      </c>
      <c r="AX285" s="256" t="str">
        <f>IF(AL279=3,"",IF(V285&gt;8,V285,IF(V285="","","")))</f>
        <v/>
      </c>
      <c r="AY285" s="256" t="str">
        <f>IF(AL279=3,"",IF(W285&gt;1,W285,IF(W285="","","")))</f>
        <v/>
      </c>
      <c r="AZ285" s="256" t="str">
        <f>IF(AL279=3,"",IF(X285&gt;0,X285,IF(X285="","","")))</f>
        <v/>
      </c>
      <c r="BA285" s="258" t="str">
        <f>IF(BL285=0,"","X")</f>
        <v/>
      </c>
      <c r="BK285" s="251">
        <f>IF(AL279=3,0,SUM(DD285,DV285,EY285,ED285,FF285,BQ285,BS285,AC285))</f>
        <v>0</v>
      </c>
      <c r="BL285" s="251">
        <f>IF(AL279=3,0,SUM(DE285,DW285,EE285,FT285,GA285,BR285,BT285,AQ285))</f>
        <v>0</v>
      </c>
      <c r="BM285" s="259">
        <f>IF(AL279=3,0,SUM(DC285,BK285:BL285,AC285,AQ285))</f>
        <v>0</v>
      </c>
      <c r="BN285" s="239">
        <f>COUNT(AK285)</f>
        <v>0</v>
      </c>
      <c r="BO285" s="239">
        <f>COUNT(AY285)</f>
        <v>0</v>
      </c>
      <c r="BP285" s="239">
        <f>IF(BZ287=0,0,1)</f>
        <v>0</v>
      </c>
      <c r="BQ285" s="260">
        <f>IF(AL285="",0,IF(AL285&gt;2,1,0))</f>
        <v>0</v>
      </c>
      <c r="BR285" s="261">
        <f>IF(AZ285="",0,IF(AZ285&gt;2,1,0))</f>
        <v>0</v>
      </c>
      <c r="BS285" s="262">
        <f>IF(AJ285=9,IF(AK285&lt;141,1,0),0)</f>
        <v>0</v>
      </c>
      <c r="BT285" s="263">
        <f>IF(AX285=9,IF(AY285&lt;141,1,0),0)</f>
        <v>0</v>
      </c>
      <c r="BU285" s="242">
        <f>IF(AL279=3,0,IF(H285,G285,0))</f>
        <v>0</v>
      </c>
      <c r="BV285" s="238">
        <f>IF(BU285&gt;0,AJ285/3,0)</f>
        <v>0</v>
      </c>
      <c r="BW285" s="238">
        <f>ROUNDUP(BV285,0)</f>
        <v>0</v>
      </c>
      <c r="BX285" s="244">
        <f>IF(MOD(BW285,2)=0,BW285,BW285+1)</f>
        <v>0</v>
      </c>
      <c r="BY285" s="238">
        <f>IF(AJ285&lt;9,"",SUM(BX285-BW285))</f>
        <v>0</v>
      </c>
      <c r="BZ285" s="238">
        <f>IF(BY285=1,AK285,0)</f>
        <v>0</v>
      </c>
      <c r="CA285" s="243" t="str">
        <f>IF(BY285=0,AK285,0)</f>
        <v/>
      </c>
      <c r="CB285" s="238"/>
      <c r="CC285" s="238"/>
      <c r="CD285" s="242">
        <f>IF(AL279=3,0,IF(W285,V285,0))</f>
        <v>0</v>
      </c>
      <c r="CE285" s="238">
        <f>IF(CD285&gt;0,AX285/3,0)</f>
        <v>0</v>
      </c>
      <c r="CF285" s="238">
        <f>ROUNDUP(CE285,0)</f>
        <v>0</v>
      </c>
      <c r="CG285" s="244">
        <f>IF(MOD(CF285,2)=0,CF285,CF285+1)</f>
        <v>0</v>
      </c>
      <c r="CH285" s="238">
        <f>IF(AX285&lt;9,"",SUM(CG285-CF285))</f>
        <v>0</v>
      </c>
      <c r="CI285" s="238">
        <f>IF(CH285=1,AY285,0)</f>
        <v>0</v>
      </c>
      <c r="CJ285" s="243" t="str">
        <f>IF(CH285=0,AY285,0)</f>
        <v/>
      </c>
      <c r="CK285" s="238"/>
      <c r="CL285" s="245">
        <f>IF(COUNT(F285,H285)=1,0,1)</f>
        <v>1</v>
      </c>
      <c r="CM285" s="245">
        <f>IF(COUNT(F285,U285)=1,0,1)</f>
        <v>1</v>
      </c>
      <c r="CN285" s="245">
        <f>IF(COUNT(H285,W285)=1,0,1)</f>
        <v>1</v>
      </c>
      <c r="CO285" s="245">
        <f>IF(COUNT(G285,V285)=2,0,1)</f>
        <v>1</v>
      </c>
      <c r="CP285" s="245">
        <f>IF(COUNT(U285,W285)=1,0,1)</f>
        <v>1</v>
      </c>
      <c r="CQ285" s="245">
        <f>IF(SUM(G285-V285)&gt;3,1,0)</f>
        <v>0</v>
      </c>
      <c r="CR285" s="245">
        <f>IF(SUM(G285-V285)&lt;-3,1,0)</f>
        <v>0</v>
      </c>
      <c r="CS285" s="264">
        <f>IF(AJ285=9,IF(AH285&lt;141,1,0),IF(AH285="",0,IF(AH285&gt;1,0,1)))</f>
        <v>0</v>
      </c>
      <c r="CT285" s="264">
        <f>IF(AX285=9,IF(AV285&lt;141,1,0),IF(AV285="",0,IF(AV285&gt;1,0,1)))</f>
        <v>0</v>
      </c>
      <c r="CU285" s="264">
        <f>IF(AI285="",0,IF(AI285&lt;502,0,1))</f>
        <v>0</v>
      </c>
      <c r="CV285" s="264">
        <f>IF(AW285="",0,IF(AW285&lt;502,0,1))</f>
        <v>0</v>
      </c>
      <c r="CW285" s="264">
        <f>IF(AI285="",IF(AJ285&lt;9,1,0),IF(AJ285&lt;9,1,0))</f>
        <v>0</v>
      </c>
      <c r="CX285" s="264">
        <f>IF(AW285="",IF(AX285&lt;9,1,0),IF(AX285&lt;9,1,0))</f>
        <v>0</v>
      </c>
      <c r="CY285" s="374"/>
      <c r="CZ285" s="374"/>
      <c r="DA285" s="374"/>
      <c r="DB285" s="374"/>
      <c r="DC285" s="265">
        <f>IF(AJ285="",0,SUM(CL285:CX285))</f>
        <v>0</v>
      </c>
      <c r="DD285" s="265">
        <f>IF(AJ285="",0,SUM(CL285,CS285,CU285,CW285))</f>
        <v>0</v>
      </c>
      <c r="DE285" s="265">
        <f>IF(AJ285="",0,SUM(CP285,CT285,CV285,CX285))</f>
        <v>0</v>
      </c>
      <c r="DF285" s="238"/>
      <c r="DG285" s="248">
        <f>IF(AL279=3,0,SUM(G285-V285))</f>
        <v>0</v>
      </c>
      <c r="DH285" s="245">
        <f>IF(F285="",0,1)</f>
        <v>0</v>
      </c>
      <c r="DI285" s="245">
        <f t="shared" si="692"/>
        <v>0</v>
      </c>
      <c r="DJ285" s="245">
        <f t="shared" si="693"/>
        <v>0</v>
      </c>
      <c r="DK285" s="245" t="str">
        <f>IF(G285="","",IF(DJ285=1,"*",""))</f>
        <v/>
      </c>
      <c r="DL285" s="245" t="str">
        <f>IF(AL279=3,"",IF(G285="","",IF(DJ285=-1,"*",IF(DJ285=0,"*",""))))</f>
        <v/>
      </c>
      <c r="DM285" s="245">
        <v>4</v>
      </c>
      <c r="DN285" s="245" t="str">
        <f t="shared" si="694"/>
        <v>4</v>
      </c>
      <c r="DO285" s="245" t="str">
        <f t="shared" si="695"/>
        <v>4</v>
      </c>
      <c r="DP285" s="245">
        <f>SUM(DQ282)</f>
        <v>0</v>
      </c>
      <c r="DQ285" s="245">
        <f>SUM(DP282)</f>
        <v>0</v>
      </c>
      <c r="DR285" s="245">
        <f t="shared" si="702"/>
        <v>0</v>
      </c>
      <c r="DS285" s="245">
        <f t="shared" si="703"/>
        <v>0</v>
      </c>
      <c r="DT285" s="245">
        <f t="shared" si="704"/>
        <v>0</v>
      </c>
      <c r="DU285" s="245">
        <f>IF(V285="",0,IF(DQ285=DS285,0,1))</f>
        <v>0</v>
      </c>
      <c r="DV285" s="267">
        <f t="shared" si="705"/>
        <v>0</v>
      </c>
      <c r="DW285" s="267">
        <f>IF(V285="",0,SUM(DU285))</f>
        <v>0</v>
      </c>
      <c r="DX285" s="238">
        <f>IF(AK285="",0,1)</f>
        <v>0</v>
      </c>
      <c r="DY285" s="238">
        <f>IF(DG285=-3,1,0)</f>
        <v>0</v>
      </c>
      <c r="DZ285" s="238">
        <f>SUM(DX285:DY285)</f>
        <v>0</v>
      </c>
      <c r="EA285" s="238">
        <f>IF(AK285="",1,0)</f>
        <v>1</v>
      </c>
      <c r="EB285" s="238">
        <f>IF(DG285=3,1,0)</f>
        <v>0</v>
      </c>
      <c r="EC285" s="238">
        <f>SUM(EA285:EB285)</f>
        <v>1</v>
      </c>
      <c r="ED285" s="267">
        <f>IF(EC285=2,1,0)</f>
        <v>0</v>
      </c>
      <c r="EE285" s="267">
        <f>IF(DZ285=2,1,0)</f>
        <v>0</v>
      </c>
      <c r="EG285" s="166"/>
      <c r="EH285" s="238"/>
      <c r="EI285" s="238"/>
      <c r="EJ285" s="238"/>
      <c r="EK285" s="238"/>
      <c r="EL285" s="238"/>
      <c r="EM285" s="245">
        <f>IF(AK285="",0,1)</f>
        <v>0</v>
      </c>
      <c r="EN285" s="245">
        <f>SUM(AK285)</f>
        <v>0</v>
      </c>
      <c r="EO285" s="268">
        <f>SUM(AJ285)</f>
        <v>0</v>
      </c>
      <c r="EP285" s="268">
        <f>SUM(G285/3)</f>
        <v>0</v>
      </c>
      <c r="EQ285" s="268" t="e">
        <f>SUM(EO285/EP285)</f>
        <v>#DIV/0!</v>
      </c>
      <c r="ER285" s="268">
        <f>ROUNDDOWN(EP285,0)</f>
        <v>0</v>
      </c>
      <c r="ES285" s="268">
        <f>SUM(EO285,-ER285*3)</f>
        <v>0</v>
      </c>
      <c r="ET285" s="269" t="b">
        <f>MOD(EN285/1,2)=0</f>
        <v>1</v>
      </c>
      <c r="EU285" s="245">
        <f>IF(ET285=FALSE,1,0)</f>
        <v>0</v>
      </c>
      <c r="EV285" s="245">
        <f>IF(EN285=50,0,IF(EN285&lt;40,1,0))</f>
        <v>1</v>
      </c>
      <c r="EW285" s="245">
        <f>SUM(EU285:EV285)</f>
        <v>1</v>
      </c>
      <c r="EX285" s="267">
        <f>IF(EN285=1,1,IF(EN285=50,0,IF(ES285=1,IF(EN285&gt;40,1,0),0)))</f>
        <v>0</v>
      </c>
      <c r="EY285" s="267">
        <f>IF(ES285=1,IF(EW285=2,1,0),0)+EX285+FB285+FE285</f>
        <v>0</v>
      </c>
      <c r="EZ285" s="245">
        <f>IF(EN285=109,1,IF(EN285=108,1,IF(EN285=106,1,IF(EN285=105,1,IF(EN285=103,1,IF(EN285=102,1,IF(EN285=99,1,0)))))))</f>
        <v>0</v>
      </c>
      <c r="FA285" s="245">
        <f>IF(EN285&gt;110,1,0)</f>
        <v>0</v>
      </c>
      <c r="FB285" s="267">
        <f>IF(ES285=2,SUM(EZ285:FA285),0)</f>
        <v>0</v>
      </c>
      <c r="FC285" s="245">
        <f>IF(EN285=159,1,IF(EN285=162,1,IF(EN285=163,1,IF(EN285=165,1,IF(EN285=166,1,IF(EN285=168,1,IF(EN285=169,1,0)))))))</f>
        <v>0</v>
      </c>
      <c r="FD285" s="245">
        <f>IF(EN285&gt;170,1,0)</f>
        <v>0</v>
      </c>
      <c r="FE285" s="267">
        <f>IF(ES285=0,SUM(FC285:FD285),0)</f>
        <v>0</v>
      </c>
      <c r="FF285" s="251">
        <f t="shared" si="696"/>
        <v>0</v>
      </c>
      <c r="FG285" s="238"/>
      <c r="FH285" s="245">
        <f>IF(AY285="",0,1)</f>
        <v>0</v>
      </c>
      <c r="FI285" s="245">
        <f>SUM(AY285)</f>
        <v>0</v>
      </c>
      <c r="FJ285" s="268">
        <f>SUM(AX285)</f>
        <v>0</v>
      </c>
      <c r="FK285" s="268">
        <f>SUM(V285/3)</f>
        <v>0</v>
      </c>
      <c r="FL285" s="268" t="e">
        <f>SUM(FJ285/FK285)</f>
        <v>#DIV/0!</v>
      </c>
      <c r="FM285" s="268">
        <f>ROUNDDOWN(FK285,0)</f>
        <v>0</v>
      </c>
      <c r="FN285" s="268">
        <f>SUM(FJ285,-FM285*3)</f>
        <v>0</v>
      </c>
      <c r="FO285" s="269" t="b">
        <f>MOD(FI285/1,2)=0</f>
        <v>1</v>
      </c>
      <c r="FP285" s="245">
        <f>IF(FO285=FALSE,1,0)</f>
        <v>0</v>
      </c>
      <c r="FQ285" s="245">
        <f>IF(FI285=50,0,IF(FI285&lt;40,1,0))</f>
        <v>1</v>
      </c>
      <c r="FR285" s="245">
        <f>SUM(FP285:FQ285)</f>
        <v>1</v>
      </c>
      <c r="FS285" s="267">
        <f>IF(FI285=1,1,IF(FI285=50,0,IF(FN285=1,IF(FI285&gt;40,1,0),0)))</f>
        <v>0</v>
      </c>
      <c r="FT285" s="267">
        <f>IF(FN285=1,IF(FR285=2,1,0),0)+FS285+FW285+FZ285</f>
        <v>0</v>
      </c>
      <c r="FU285" s="245">
        <f>IF(FI285=109,1,IF(FI285=108,1,IF(FI285=106,1,IF(FI285=105,1,IF(FI285=103,1,IF(FI285=102,1,IF(FI285=99,1,0)))))))</f>
        <v>0</v>
      </c>
      <c r="FV285" s="245">
        <f>IF(FI285&gt;110,1,0)</f>
        <v>0</v>
      </c>
      <c r="FW285" s="267">
        <f>IF(FN285=2,SUM(FU285:FV285),0)</f>
        <v>0</v>
      </c>
      <c r="FX285" s="245">
        <f>IF(FI285=159,1,IF(FI285=162,1,IF(FI285=163,1,IF(FI285=165,1,IF(FI285=166,1,IF(FI285=168,1,IF(FI285=169,1,0)))))))</f>
        <v>0</v>
      </c>
      <c r="FY285" s="245">
        <f>IF(FI285&gt;170,1,0)</f>
        <v>0</v>
      </c>
      <c r="FZ285" s="267">
        <f>IF(FN285=0,SUM(FX285:FY285),0)</f>
        <v>0</v>
      </c>
      <c r="GA285" s="251">
        <f t="shared" si="697"/>
        <v>0</v>
      </c>
      <c r="GC285" s="238" t="str">
        <f>VLOOKUP(AH279,Chema!BL:BR,4,FALSE)</f>
        <v>GS 2.8</v>
      </c>
      <c r="GD285" s="341">
        <f>IF(T289="FORFAIT",1,0)</f>
        <v>0</v>
      </c>
      <c r="GE285" s="343" t="str">
        <f>IF(R289="","",SUM(R289))</f>
        <v/>
      </c>
      <c r="GF285" s="344">
        <f>SUM(AV282)</f>
        <v>0</v>
      </c>
      <c r="GG285" s="344">
        <f>SUM(AX282)</f>
        <v>0</v>
      </c>
      <c r="GH285" s="344">
        <f t="shared" ref="GH285" si="706">SUM(AY282)</f>
        <v>0</v>
      </c>
      <c r="GI285" s="344">
        <f t="shared" ref="GI285" si="707">SUM(AZ282)</f>
        <v>0</v>
      </c>
      <c r="GJ285" s="344">
        <f>SUM(AV283)</f>
        <v>0</v>
      </c>
      <c r="GK285" s="344">
        <f>SUM(AX283)</f>
        <v>0</v>
      </c>
      <c r="GL285" s="344">
        <f>SUM(AY283)</f>
        <v>0</v>
      </c>
      <c r="GM285" s="344">
        <f>SUM(AZ283)</f>
        <v>0</v>
      </c>
      <c r="GN285" s="344">
        <f>SUM(AV284)</f>
        <v>0</v>
      </c>
      <c r="GO285" s="344">
        <f>SUM(AX284)</f>
        <v>0</v>
      </c>
      <c r="GP285" s="344">
        <f>SUM(AY284)</f>
        <v>0</v>
      </c>
      <c r="GQ285" s="344">
        <f>SUM(AZ284)</f>
        <v>0</v>
      </c>
      <c r="GR285" s="344">
        <f>SUM(AV285)</f>
        <v>0</v>
      </c>
      <c r="GS285" s="344">
        <f>SUM(AX285)</f>
        <v>0</v>
      </c>
      <c r="GT285" s="344">
        <f>SUM(AY285)</f>
        <v>0</v>
      </c>
      <c r="GU285" s="344">
        <f>SUM(AZ285)</f>
        <v>0</v>
      </c>
      <c r="GV285" s="344">
        <f>SUM(AV286)</f>
        <v>0</v>
      </c>
      <c r="GW285" s="344">
        <f>SUM(AX286)</f>
        <v>0</v>
      </c>
      <c r="GX285" s="344">
        <f>SUM(AY286)</f>
        <v>0</v>
      </c>
      <c r="GY285" s="344">
        <f>SUM(AZ286)</f>
        <v>0</v>
      </c>
      <c r="GZ285" s="344">
        <f>SUM(GF285,GJ285,GN285,GR285,GV285)</f>
        <v>0</v>
      </c>
      <c r="HA285" s="344">
        <f t="shared" ref="HA285" si="708">SUM(GG285,GK285,GO285,GS285,GW285)</f>
        <v>0</v>
      </c>
      <c r="HB285" s="344">
        <f>IF(GD282=1,P289,MAX(GH285,GL285,GP285,GT285,GX285))</f>
        <v>0</v>
      </c>
      <c r="HC285" s="344">
        <f>IF(GD282=1,X289,SUM(GI285,GM285,GQ285,GU285,GY285))</f>
        <v>0</v>
      </c>
      <c r="HD285" s="345">
        <f>IF(GD282=1,0,SUM(GF285,GJ285,GN285,GR285,GV285))</f>
        <v>0</v>
      </c>
      <c r="HE285" s="345">
        <f>IF(GD282=1,0,SUM(GG285,GK285,GO285,GS285,GW285))</f>
        <v>0</v>
      </c>
      <c r="HF285" s="341">
        <f>IF(GD282=1,0,MIN(HI285,HJ285,HK285,HL285,HM285))</f>
        <v>0</v>
      </c>
      <c r="HG285" s="341">
        <f>IF(HF285=0,0,COUNTIF(HI285:HM285,HF285))</f>
        <v>0</v>
      </c>
      <c r="HH285" s="341">
        <f>SUM(GH286,GL286,GP286,GT286,GX286)</f>
        <v>0</v>
      </c>
      <c r="HI285" s="343" t="str">
        <f>IF(GH286=1,GG285,"")</f>
        <v/>
      </c>
      <c r="HJ285" s="343" t="str">
        <f>IF(GL286=1,GK285,"")</f>
        <v/>
      </c>
      <c r="HK285" s="343" t="str">
        <f>IF(GP286=1,GO285,"")</f>
        <v/>
      </c>
      <c r="HL285" s="343" t="str">
        <f>IF(GT286=1,GS285,"")</f>
        <v/>
      </c>
      <c r="HM285" s="343" t="str">
        <f>IF(GX286=1,GW285,"")</f>
        <v/>
      </c>
      <c r="HN285" s="341"/>
      <c r="HO285" s="341"/>
      <c r="HP285" s="341"/>
      <c r="HQ285" s="341"/>
      <c r="HR285" s="341"/>
      <c r="HS285" s="238"/>
      <c r="HT285" s="238"/>
      <c r="HU285" s="238"/>
      <c r="HV285" s="238"/>
      <c r="HW285" s="238" t="str">
        <f>IFERROR(IF(GD282=0,SUM(IB284:IC284),""),"")</f>
        <v/>
      </c>
      <c r="HY285" s="238"/>
      <c r="ID285" s="238"/>
    </row>
    <row r="286" spans="1:238" s="234" customFormat="1" ht="20.100000000000001" customHeight="1">
      <c r="A286" s="235"/>
      <c r="B286" s="231">
        <f>COUNT(AJ287,AJ286)</f>
        <v>1</v>
      </c>
      <c r="C286" s="235"/>
      <c r="D286" s="271" t="str">
        <f>REPT(DN286,1)</f>
        <v>5</v>
      </c>
      <c r="E286" s="254" t="str">
        <f>REPT(AH286,1)</f>
        <v/>
      </c>
      <c r="F286" s="168"/>
      <c r="G286" s="168"/>
      <c r="H286" s="168"/>
      <c r="I286" s="169"/>
      <c r="J286" s="272" t="str">
        <f>REPT(AM286,1)</f>
        <v/>
      </c>
      <c r="L286" s="310"/>
      <c r="M286" s="310"/>
      <c r="N286" s="272" t="str">
        <f>REPT(AP286,1)</f>
        <v/>
      </c>
      <c r="O286" s="118"/>
      <c r="Q286" s="310"/>
      <c r="R286" s="235"/>
      <c r="S286" s="271" t="str">
        <f>REPT(DO286,1)</f>
        <v>5</v>
      </c>
      <c r="T286" s="254" t="str">
        <f>REPT(AV286,1)</f>
        <v/>
      </c>
      <c r="U286" s="168"/>
      <c r="V286" s="168"/>
      <c r="W286" s="168"/>
      <c r="X286" s="169"/>
      <c r="Y286" s="272" t="str">
        <f>REPT(BA286,1)</f>
        <v/>
      </c>
      <c r="Z286" s="308"/>
      <c r="AA286" s="238">
        <f>SUM(AL279)</f>
        <v>5</v>
      </c>
      <c r="AB286" s="234">
        <f>IF(AY286="",0,IF(AY286&lt;2,1,""))</f>
        <v>0</v>
      </c>
      <c r="AC286" s="238">
        <f>IF(AL279=3,0,IF(AD286=1,1,IF(AD286=3,1,IF(AD286=2,0,IF(AD286=0,0,0)))))</f>
        <v>0</v>
      </c>
      <c r="AD286" s="256">
        <f t="shared" si="686"/>
        <v>0</v>
      </c>
      <c r="AE286" s="256">
        <f t="shared" si="680"/>
        <v>0</v>
      </c>
      <c r="AF286" s="256">
        <f t="shared" si="681"/>
        <v>0</v>
      </c>
      <c r="AG286" s="256">
        <f t="shared" si="687"/>
        <v>0</v>
      </c>
      <c r="AH286" s="257" t="str">
        <f>IF(AL279=3,"",IF(AK286="",IF(AI286="","",IF(AI286="",501,501-AI286)),501))</f>
        <v/>
      </c>
      <c r="AI286" s="256" t="str">
        <f>IF(AL279=3,"",IF(F286&gt;1,F286,IF(F286=0,"",IF(F286="","",""))))</f>
        <v/>
      </c>
      <c r="AJ286" s="256" t="str">
        <f>IF(AL279=3,"",IF(G286&gt;8,G286,IF(G286="","","")))</f>
        <v/>
      </c>
      <c r="AK286" s="256" t="str">
        <f>IF(AL279=3,"",IF(H286&gt;1,H286,IF(H286="","","")))</f>
        <v/>
      </c>
      <c r="AL286" s="256" t="str">
        <f>IF(AL279=3,"",IF(I286&gt;0,I286,IF(I286="","","")))</f>
        <v/>
      </c>
      <c r="AM286" s="258" t="str">
        <f>IF(BK286=0,"","X")</f>
        <v/>
      </c>
      <c r="AN286" s="237"/>
      <c r="AO286" s="237"/>
      <c r="AP286" s="258" t="str">
        <f>IF(BM286=0,"","X")</f>
        <v/>
      </c>
      <c r="AQ286" s="236">
        <f>IF(AL279=3,0,IF(AR286=1,1,IF(AR286=3,1,IF(AR286=2,0,IF(AR286=0,0,0)))))</f>
        <v>0</v>
      </c>
      <c r="AR286" s="256">
        <f t="shared" si="689"/>
        <v>0</v>
      </c>
      <c r="AS286" s="256">
        <f t="shared" si="682"/>
        <v>0</v>
      </c>
      <c r="AT286" s="256">
        <f t="shared" si="683"/>
        <v>0</v>
      </c>
      <c r="AU286" s="256">
        <f t="shared" si="690"/>
        <v>0</v>
      </c>
      <c r="AV286" s="257" t="str">
        <f>IF(AY286="",IF(AW286="","",IF(AW286="",501,501-AW286)),501)</f>
        <v/>
      </c>
      <c r="AW286" s="256" t="str">
        <f>IF(AL279=3,"",IF(U286&gt;1,U286,IF(U286=0,"",IF(U286="","",""))))</f>
        <v/>
      </c>
      <c r="AX286" s="256" t="str">
        <f>IF(AL279=3,"",IF(V286&gt;8,V286,IF(V286="","","")))</f>
        <v/>
      </c>
      <c r="AY286" s="256" t="str">
        <f>IF(AL279=3,"",IF(W286&gt;1,W286,IF(W286="","","")))</f>
        <v/>
      </c>
      <c r="AZ286" s="256" t="str">
        <f>IF(AL279=3,"",IF(X286&gt;0,X286,IF(X286="","","")))</f>
        <v/>
      </c>
      <c r="BA286" s="258" t="str">
        <f>IF(BL286=0,"","X")</f>
        <v/>
      </c>
      <c r="BK286" s="251">
        <f>IF(AL279=3,0,SUM(DD286,DV286,EY286,ED286,FF286,BQ286,BS286,AC286))</f>
        <v>0</v>
      </c>
      <c r="BL286" s="251">
        <f>SUM(DE286,DW286,EE286,FT286,GA286,BR286,BT286,AQ286)</f>
        <v>0</v>
      </c>
      <c r="BM286" s="259">
        <f>IF(AL279=3,0,SUM(DC286,BK286:BL286,AC286,AQ286))</f>
        <v>0</v>
      </c>
      <c r="BN286" s="239">
        <f>COUNT(AK286)</f>
        <v>0</v>
      </c>
      <c r="BO286" s="239">
        <f>COUNT(AY286)</f>
        <v>0</v>
      </c>
      <c r="BP286" s="239">
        <f>IF(BN288=0,0,1)</f>
        <v>0</v>
      </c>
      <c r="BQ286" s="260">
        <f>IF(AL286="",0,IF(AL286&gt;2,1,0))</f>
        <v>0</v>
      </c>
      <c r="BR286" s="261">
        <f>IF(AZ286="",0,IF(AZ286&gt;2,1,0))</f>
        <v>0</v>
      </c>
      <c r="BS286" s="262">
        <f>IF(AJ286=9,IF(AK286&lt;141,1,0),0)</f>
        <v>0</v>
      </c>
      <c r="BT286" s="263">
        <f>IF(AX286=9,IF(AY286&lt;141,1,0),0)</f>
        <v>0</v>
      </c>
      <c r="BU286" s="242">
        <f>IF(AL279=3,0,IF(H286,G286,0))</f>
        <v>0</v>
      </c>
      <c r="BV286" s="238">
        <f>IF(BU286&gt;0,AJ286/3,0)</f>
        <v>0</v>
      </c>
      <c r="BW286" s="238">
        <f>ROUNDUP(BV286,0)</f>
        <v>0</v>
      </c>
      <c r="BX286" s="244">
        <f>IF(MOD(BW286,2)=0,BW286,BW286+1)</f>
        <v>0</v>
      </c>
      <c r="BY286" s="238">
        <f>IF(AJ286&lt;9,"",SUM(BX286-BW286))</f>
        <v>0</v>
      </c>
      <c r="BZ286" s="238">
        <f>IF(BY286=1,AK286,0)</f>
        <v>0</v>
      </c>
      <c r="CA286" s="243" t="str">
        <f>IF(BY286=0,AK286,0)</f>
        <v/>
      </c>
      <c r="CB286" s="238"/>
      <c r="CC286" s="238"/>
      <c r="CD286" s="242">
        <f>IF(AL279=3,0,IF(W286,V286,0))</f>
        <v>0</v>
      </c>
      <c r="CE286" s="238">
        <f>IF(CD286&gt;0,AX286/3,0)</f>
        <v>0</v>
      </c>
      <c r="CF286" s="238">
        <f>ROUNDUP(CE286,0)</f>
        <v>0</v>
      </c>
      <c r="CG286" s="244">
        <f>IF(MOD(CF286,2)=0,CF286,CF286+1)</f>
        <v>0</v>
      </c>
      <c r="CH286" s="238">
        <f>IF(AX286&lt;9,"",SUM(CG286-CF286))</f>
        <v>0</v>
      </c>
      <c r="CI286" s="238">
        <f>IF(CH286=1,AY286,0)</f>
        <v>0</v>
      </c>
      <c r="CJ286" s="243" t="str">
        <f>IF(CH286=0,AY286,0)</f>
        <v/>
      </c>
      <c r="CK286" s="238"/>
      <c r="CL286" s="245">
        <f>IF(COUNT(F286,H286)=1,0,1)</f>
        <v>1</v>
      </c>
      <c r="CM286" s="245">
        <f>IF(COUNT(F286,U286)=1,0,1)</f>
        <v>1</v>
      </c>
      <c r="CN286" s="245">
        <f>IF(COUNT(H286,W286)=1,0,1)</f>
        <v>1</v>
      </c>
      <c r="CO286" s="245">
        <f>IF(COUNT(G286,V286)=2,0,1)</f>
        <v>1</v>
      </c>
      <c r="CP286" s="245">
        <f>IF(COUNT(U286,W286)=1,0,1)</f>
        <v>1</v>
      </c>
      <c r="CQ286" s="245">
        <f>IF(SUM(G286-V286)&gt;3,1,0)</f>
        <v>0</v>
      </c>
      <c r="CR286" s="245">
        <f>IF(SUM(G286-V286)&lt;-3,1,0)</f>
        <v>0</v>
      </c>
      <c r="CS286" s="264">
        <f>IF(AJ286=9,IF(AH286&lt;141,1,0),IF(AH286="",0,IF(AH286&gt;1,0,1)))</f>
        <v>0</v>
      </c>
      <c r="CT286" s="264">
        <f>IF(AX286=9,IF(AV286&lt;141,1,0),IF(AV286="",0,IF(AV286&gt;1,0,1)))</f>
        <v>0</v>
      </c>
      <c r="CU286" s="264">
        <f>IF(AI286="",0,IF(AI286&lt;502,0,1))</f>
        <v>0</v>
      </c>
      <c r="CV286" s="264">
        <f>IF(AW286="",0,IF(AW286&lt;502,0,1))</f>
        <v>0</v>
      </c>
      <c r="CW286" s="264">
        <f>IF(AI286="",IF(AJ286&lt;9,1,0),IF(AJ286&lt;9,1,0))</f>
        <v>0</v>
      </c>
      <c r="CX286" s="264">
        <f>IF(AW286="",IF(AX286&lt;9,1,0),IF(AX286&lt;9,1,0))</f>
        <v>0</v>
      </c>
      <c r="CY286" s="374"/>
      <c r="CZ286" s="374"/>
      <c r="DA286" s="374"/>
      <c r="DB286" s="374"/>
      <c r="DC286" s="265">
        <f>IF(AJ286="",0,SUM(CL286:CX286))</f>
        <v>0</v>
      </c>
      <c r="DD286" s="265">
        <f>IF(AJ286="",0,SUM(CL286,CS286,CU286,CW286))</f>
        <v>0</v>
      </c>
      <c r="DE286" s="265">
        <f>IF(AJ286="",0,SUM(CP286,CT286,CV286,CX286))</f>
        <v>0</v>
      </c>
      <c r="DF286" s="238"/>
      <c r="DG286" s="248">
        <f>IF(AL279=3,0,SUM(G286-V286))</f>
        <v>0</v>
      </c>
      <c r="DH286" s="245">
        <f>IF(F286="",0,1)</f>
        <v>0</v>
      </c>
      <c r="DI286" s="245">
        <f t="shared" si="692"/>
        <v>0</v>
      </c>
      <c r="DJ286" s="245">
        <f t="shared" si="693"/>
        <v>0</v>
      </c>
      <c r="DK286" s="245" t="str">
        <f>IF(G286="","",IF(DJ286=1,"*",""))</f>
        <v/>
      </c>
      <c r="DL286" s="245" t="str">
        <f>IF(AL279=3,"",IF(G286="","",IF(DJ286=-1,"*",IF(DJ286=0,"*",""))))</f>
        <v/>
      </c>
      <c r="DM286" s="245">
        <v>5</v>
      </c>
      <c r="DN286" s="245" t="str">
        <f t="shared" si="694"/>
        <v>5</v>
      </c>
      <c r="DO286" s="245" t="str">
        <f t="shared" si="695"/>
        <v>5</v>
      </c>
      <c r="DP286" s="245">
        <f>SUM(DP282)</f>
        <v>0</v>
      </c>
      <c r="DQ286" s="245">
        <f>SUM(DQ282)</f>
        <v>0</v>
      </c>
      <c r="DR286" s="245">
        <f t="shared" si="702"/>
        <v>0</v>
      </c>
      <c r="DS286" s="245">
        <f t="shared" si="703"/>
        <v>0</v>
      </c>
      <c r="DT286" s="245">
        <f t="shared" si="704"/>
        <v>0</v>
      </c>
      <c r="DU286" s="245">
        <f>IF(V286="",0,IF(DQ286=DS286,0,1))</f>
        <v>0</v>
      </c>
      <c r="DV286" s="267">
        <f t="shared" si="705"/>
        <v>0</v>
      </c>
      <c r="DW286" s="267">
        <f>IF(V286="",0,SUM(DU286))</f>
        <v>0</v>
      </c>
      <c r="DX286" s="238">
        <f>IF(AK286="",0,1)</f>
        <v>0</v>
      </c>
      <c r="DY286" s="238">
        <f>IF(DG286=-3,1,0)</f>
        <v>0</v>
      </c>
      <c r="DZ286" s="238">
        <f>SUM(DX286:DY286)</f>
        <v>0</v>
      </c>
      <c r="EA286" s="238">
        <f>IF(AK286="",1,0)</f>
        <v>1</v>
      </c>
      <c r="EB286" s="238">
        <f>IF(DG286=3,1,0)</f>
        <v>0</v>
      </c>
      <c r="EC286" s="238">
        <f>SUM(EA286:EB286)</f>
        <v>1</v>
      </c>
      <c r="ED286" s="267">
        <f>IF(EC286=2,1,0)</f>
        <v>0</v>
      </c>
      <c r="EE286" s="267">
        <f>IF(DZ286=2,1,0)</f>
        <v>0</v>
      </c>
      <c r="EG286" s="166"/>
      <c r="EH286" s="238"/>
      <c r="EI286" s="238"/>
      <c r="EJ286" s="238"/>
      <c r="EK286" s="238"/>
      <c r="EL286" s="238"/>
      <c r="EM286" s="245">
        <f>IF(AK286="",0,1)</f>
        <v>0</v>
      </c>
      <c r="EN286" s="245">
        <f>SUM(AK286)</f>
        <v>0</v>
      </c>
      <c r="EO286" s="268">
        <f>SUM(AJ286)</f>
        <v>0</v>
      </c>
      <c r="EP286" s="268">
        <f>SUM(G286/3)</f>
        <v>0</v>
      </c>
      <c r="EQ286" s="268" t="e">
        <f>SUM(EO286/EP286)</f>
        <v>#DIV/0!</v>
      </c>
      <c r="ER286" s="268">
        <f>ROUNDDOWN(EP286,0)</f>
        <v>0</v>
      </c>
      <c r="ES286" s="268">
        <f>SUM(EO286,-ER286*3)</f>
        <v>0</v>
      </c>
      <c r="ET286" s="269" t="b">
        <f>MOD(EN286/1,2)=0</f>
        <v>1</v>
      </c>
      <c r="EU286" s="245">
        <f>IF(ET286=FALSE,1,0)</f>
        <v>0</v>
      </c>
      <c r="EV286" s="245">
        <f>IF(EN286=50,0,IF(EN286&lt;40,1,0))</f>
        <v>1</v>
      </c>
      <c r="EW286" s="245">
        <f>SUM(EU286:EV286)</f>
        <v>1</v>
      </c>
      <c r="EX286" s="267">
        <f>IF(EN286=1,1,IF(EN286=50,0,IF(ES286=1,IF(EN286&gt;40,1,0),0)))</f>
        <v>0</v>
      </c>
      <c r="EY286" s="267">
        <f>IF(ES286=1,IF(EW286=2,1,0),0)+EX286+FB286+FE286</f>
        <v>0</v>
      </c>
      <c r="EZ286" s="245">
        <f>IF(EN286=109,1,IF(EN286=108,1,IF(EN286=106,1,IF(EN286=105,1,IF(EN286=103,1,IF(EN286=102,1,IF(EN286=99,1,0)))))))</f>
        <v>0</v>
      </c>
      <c r="FA286" s="245">
        <f>IF(EN286&gt;110,1,0)</f>
        <v>0</v>
      </c>
      <c r="FB286" s="267">
        <f>IF(ES286=2,SUM(EZ286:FA286),0)</f>
        <v>0</v>
      </c>
      <c r="FC286" s="245">
        <f>IF(EN286=159,1,IF(EN286=162,1,IF(EN286=163,1,IF(EN286=165,1,IF(EN286=166,1,IF(EN286=168,1,IF(EN286=169,1,0)))))))</f>
        <v>0</v>
      </c>
      <c r="FD286" s="245">
        <f>IF(EN286&gt;170,1,0)</f>
        <v>0</v>
      </c>
      <c r="FE286" s="267">
        <f>IF(ES286=0,SUM(FC286:FD286),0)</f>
        <v>0</v>
      </c>
      <c r="FF286" s="251">
        <f t="shared" si="696"/>
        <v>0</v>
      </c>
      <c r="FG286" s="238"/>
      <c r="FH286" s="245">
        <f>IF(AY286="",0,1)</f>
        <v>0</v>
      </c>
      <c r="FI286" s="245">
        <f>SUM(AY286)</f>
        <v>0</v>
      </c>
      <c r="FJ286" s="268">
        <f>SUM(AX286)</f>
        <v>0</v>
      </c>
      <c r="FK286" s="268">
        <f>SUM(V286/3)</f>
        <v>0</v>
      </c>
      <c r="FL286" s="268" t="e">
        <f>SUM(FJ286/FK286)</f>
        <v>#DIV/0!</v>
      </c>
      <c r="FM286" s="268">
        <f>ROUNDDOWN(FK286,0)</f>
        <v>0</v>
      </c>
      <c r="FN286" s="268">
        <f>SUM(FJ286,-FM286*3)</f>
        <v>0</v>
      </c>
      <c r="FO286" s="269" t="b">
        <f>MOD(FI286/1,2)=0</f>
        <v>1</v>
      </c>
      <c r="FP286" s="245">
        <f>IF(FO286=FALSE,1,0)</f>
        <v>0</v>
      </c>
      <c r="FQ286" s="245">
        <f>IF(FI286=50,0,IF(FI286&lt;40,1,0))</f>
        <v>1</v>
      </c>
      <c r="FR286" s="245">
        <f>SUM(FP286:FQ286)</f>
        <v>1</v>
      </c>
      <c r="FS286" s="267">
        <f>IF(FI286=1,1,IF(FI286=50,0,IF(FN286=1,IF(FI286&gt;40,1,0),0)))</f>
        <v>0</v>
      </c>
      <c r="FT286" s="267">
        <f>IF(FN286=1,IF(FR286=2,1,0),0)+FS286+FW286+FZ286</f>
        <v>0</v>
      </c>
      <c r="FU286" s="245">
        <f>IF(FI286=109,1,IF(FI286=108,1,IF(FI286=106,1,IF(FI286=105,1,IF(FI286=103,1,IF(FI286=102,1,IF(FI286=99,1,0)))))))</f>
        <v>0</v>
      </c>
      <c r="FV286" s="245">
        <f>IF(FI286&gt;110,1,0)</f>
        <v>0</v>
      </c>
      <c r="FW286" s="267">
        <f>IF(FN286=2,SUM(FU286:FV286),0)</f>
        <v>0</v>
      </c>
      <c r="FX286" s="245">
        <f>IF(FI286=159,1,IF(FI286=162,1,IF(FI286=163,1,IF(FI286=165,1,IF(FI286=166,1,IF(FI286=168,1,IF(FI286=169,1,0)))))))</f>
        <v>0</v>
      </c>
      <c r="FY286" s="245">
        <f>IF(FI286&gt;170,1,0)</f>
        <v>0</v>
      </c>
      <c r="FZ286" s="267">
        <f>IF(FN286=0,SUM(FX286:FY286),0)</f>
        <v>0</v>
      </c>
      <c r="GA286" s="251">
        <f t="shared" si="697"/>
        <v>0</v>
      </c>
      <c r="GC286" s="238" t="str">
        <f>VLOOKUP(AH279,Chema!BL:BR,5,FALSE)</f>
        <v/>
      </c>
      <c r="GD286" s="341"/>
      <c r="GE286" s="343" t="str">
        <f>IF(R290="","",SUM(R290))</f>
        <v/>
      </c>
      <c r="GF286" s="340"/>
      <c r="GG286" s="346"/>
      <c r="GH286" s="343">
        <f>IF(GH285&gt;0,1,0)</f>
        <v>0</v>
      </c>
      <c r="GI286" s="346"/>
      <c r="GJ286" s="343"/>
      <c r="GK286" s="346"/>
      <c r="GL286" s="343">
        <f>IF(GL285&gt;0,1,0)</f>
        <v>0</v>
      </c>
      <c r="GM286" s="343"/>
      <c r="GN286" s="343"/>
      <c r="GO286" s="346"/>
      <c r="GP286" s="343">
        <f>IF(GP285&gt;0,1,0)</f>
        <v>0</v>
      </c>
      <c r="GQ286" s="343"/>
      <c r="GR286" s="343"/>
      <c r="GS286" s="346"/>
      <c r="GT286" s="343">
        <f>IF(GT285&gt;0,1,0)</f>
        <v>0</v>
      </c>
      <c r="GU286" s="343"/>
      <c r="GV286" s="343"/>
      <c r="GW286" s="346"/>
      <c r="GX286" s="343">
        <f>IF(GX285&gt;0,1,0)</f>
        <v>0</v>
      </c>
      <c r="GY286" s="340"/>
      <c r="GZ286" s="343"/>
      <c r="HA286" s="343"/>
      <c r="HB286" s="343" t="str">
        <f>IF(GD282=1,P290,"")</f>
        <v/>
      </c>
      <c r="HC286" s="343" t="str">
        <f>IF(GD282=1,X290,"")</f>
        <v/>
      </c>
      <c r="HD286" s="340"/>
      <c r="HE286" s="340"/>
      <c r="HF286" s="340"/>
      <c r="HG286" s="340">
        <f>IF(HG284=HM282,0,IF(HG284=HM286,0,1))</f>
        <v>0</v>
      </c>
      <c r="HH286" s="340">
        <f>IF(HH283=HH285,1,0)</f>
        <v>1</v>
      </c>
      <c r="HI286" s="340"/>
      <c r="HJ286" s="340"/>
      <c r="HK286" s="340"/>
      <c r="HL286" s="340"/>
      <c r="HM286" s="341">
        <f>COUNT(HI285,HJ285,HK285,HL285,HM285)</f>
        <v>0</v>
      </c>
      <c r="HN286" s="341"/>
      <c r="HO286" s="341"/>
      <c r="HP286" s="341"/>
      <c r="HQ286" s="341"/>
      <c r="HR286" s="341"/>
      <c r="HS286" s="238"/>
      <c r="HT286" s="238"/>
      <c r="HU286" s="238"/>
      <c r="HV286" s="238"/>
      <c r="HX286" s="238"/>
      <c r="HY286" s="238"/>
      <c r="ID286" s="238"/>
    </row>
    <row r="287" spans="1:238" s="234" customFormat="1" ht="6.6" customHeight="1">
      <c r="A287" s="235"/>
      <c r="B287" s="231"/>
      <c r="C287" s="310"/>
      <c r="D287" s="310"/>
      <c r="E287" s="310"/>
      <c r="F287" s="310"/>
      <c r="G287" s="313"/>
      <c r="H287" s="310"/>
      <c r="I287" s="310"/>
      <c r="J287" s="273"/>
      <c r="K287" s="313"/>
      <c r="O287" s="118"/>
      <c r="R287" s="310"/>
      <c r="S287" s="310"/>
      <c r="T287" s="310"/>
      <c r="U287" s="310"/>
      <c r="V287" s="313"/>
      <c r="W287" s="310"/>
      <c r="X287" s="310"/>
      <c r="Y287" s="273"/>
      <c r="Z287" s="308"/>
      <c r="AA287" s="274"/>
      <c r="AD287" s="235"/>
      <c r="AE287" s="237">
        <f>IF(AF287=0,0,1)</f>
        <v>0</v>
      </c>
      <c r="AF287" s="237">
        <f>IF(AL287=0,0,SUM(AL289:AL290,-AL288))</f>
        <v>0</v>
      </c>
      <c r="AG287" s="237"/>
      <c r="AH287" s="275">
        <f>SUM(AH282,AH283,AH284,AH285,AH286)</f>
        <v>0</v>
      </c>
      <c r="AI287" s="275">
        <f t="shared" ref="AI287" si="709">SUM(AI282,AI283,AI284,AI285,AI286)</f>
        <v>0</v>
      </c>
      <c r="AJ287" s="275">
        <f t="shared" ref="AJ287" si="710">SUM(AJ282,AJ283,AJ284,AJ285,AJ286)</f>
        <v>0</v>
      </c>
      <c r="AK287" s="275">
        <f>MAX(AK282,AK283,AK284,AK285,AK286)</f>
        <v>0</v>
      </c>
      <c r="AL287" s="275">
        <f t="shared" ref="AL287" si="711">SUM(AL282,AL283,AL284,AL285,AL286)</f>
        <v>0</v>
      </c>
      <c r="AM287" s="275">
        <f>IF(AK279="D",SUM(AL282,AL283,AL284,AL285,AL286,-AL289,-AL290),0)</f>
        <v>0</v>
      </c>
      <c r="AN287" s="235"/>
      <c r="AO287" s="235"/>
      <c r="AP287" s="235"/>
      <c r="AQ287" s="235"/>
      <c r="AR287" s="235"/>
      <c r="AS287" s="237">
        <f>IF(AT287=0,0,1)</f>
        <v>0</v>
      </c>
      <c r="AT287" s="237">
        <f>IF(AZ287=0,0,SUM(AZ289:AZ290,-AZ288))</f>
        <v>0</v>
      </c>
      <c r="AU287" s="237"/>
      <c r="AV287" s="275">
        <f>SUM(AV282,AV283,AV284,AV285,AV286)</f>
        <v>0</v>
      </c>
      <c r="AW287" s="275">
        <f t="shared" ref="AW287" si="712">SUM(AW282,AW283,AW284,AW285,AW286)</f>
        <v>0</v>
      </c>
      <c r="AX287" s="275">
        <f t="shared" ref="AX287" si="713">SUM(AX282,AX283,AX284,AX285,AX286)</f>
        <v>0</v>
      </c>
      <c r="AY287" s="275">
        <f>MAX(AY282,AY283,AY284,AY285,AY286)</f>
        <v>0</v>
      </c>
      <c r="AZ287" s="275">
        <f t="shared" ref="AZ287" si="714">SUM(AZ282,AZ283,AZ284,AZ285,AZ286)</f>
        <v>0</v>
      </c>
      <c r="BA287" s="275">
        <f>IF(AK279="D",SUM(AZ282,AZ283,AZ284,AZ285,AZ286,-AZ289,-AZ290),0)</f>
        <v>0</v>
      </c>
      <c r="BJ287" s="236"/>
      <c r="BK287" s="238"/>
      <c r="BL287" s="238"/>
      <c r="BM287" s="238"/>
      <c r="BP287" s="238"/>
      <c r="BQ287" s="238"/>
      <c r="BR287" s="238"/>
      <c r="BS287" s="238"/>
      <c r="BT287" s="238"/>
      <c r="BU287" s="238"/>
      <c r="BY287" s="238"/>
      <c r="BZ287" s="238">
        <f>MAX(BZ282,BZ283,BZ284,BZ285,BZ286)</f>
        <v>0</v>
      </c>
      <c r="CA287" s="238">
        <f>MAX(CA282,CA283,CA284,CA285,CA286)</f>
        <v>0</v>
      </c>
      <c r="CB287" s="238"/>
      <c r="CC287" s="238"/>
      <c r="CD287" s="238"/>
      <c r="CG287" s="244"/>
      <c r="CH287" s="238"/>
      <c r="CI287" s="238">
        <f>MAX(CI282,CI283,CI284,CI285,CI286)</f>
        <v>0</v>
      </c>
      <c r="CJ287" s="238">
        <f>MAX(CJ282,CJ283,CJ284,CJ285,CJ286)</f>
        <v>0</v>
      </c>
      <c r="CK287" s="238"/>
      <c r="CL287" s="238"/>
      <c r="CM287" s="238"/>
      <c r="CN287" s="238"/>
      <c r="CO287" s="238"/>
      <c r="CP287" s="238"/>
      <c r="CQ287" s="238"/>
      <c r="CR287" s="238"/>
      <c r="CS287" s="238"/>
      <c r="CT287" s="238"/>
      <c r="CU287" s="238"/>
      <c r="CV287" s="238"/>
      <c r="CW287" s="238"/>
      <c r="CX287" s="238"/>
      <c r="CY287" s="238"/>
      <c r="CZ287" s="238"/>
      <c r="DA287" s="238"/>
      <c r="DB287" s="238"/>
      <c r="DC287" s="238"/>
      <c r="DD287" s="238"/>
      <c r="DE287" s="238"/>
      <c r="DF287" s="238"/>
      <c r="DG287" s="238"/>
      <c r="DH287" s="238"/>
      <c r="DI287" s="238"/>
      <c r="DJ287" s="238"/>
      <c r="DK287" s="238"/>
      <c r="DL287" s="238"/>
      <c r="DM287" s="238"/>
      <c r="DN287" s="238"/>
      <c r="DO287" s="238"/>
      <c r="DP287" s="238"/>
      <c r="DQ287" s="238"/>
      <c r="DR287" s="238"/>
      <c r="DS287" s="238"/>
      <c r="DT287" s="238"/>
      <c r="DU287" s="238"/>
      <c r="DV287" s="238"/>
      <c r="DW287" s="238"/>
      <c r="DX287" s="238"/>
      <c r="DY287" s="238"/>
      <c r="DZ287" s="238"/>
      <c r="EA287" s="238"/>
      <c r="EB287" s="238"/>
      <c r="EC287" s="238"/>
      <c r="ED287" s="238"/>
      <c r="EE287" s="238"/>
      <c r="EF287" s="238"/>
      <c r="EG287" s="238"/>
      <c r="EH287" s="238"/>
      <c r="EI287" s="238"/>
      <c r="EJ287" s="238"/>
      <c r="EK287" s="238"/>
      <c r="EL287" s="238"/>
      <c r="EM287" s="166"/>
      <c r="EN287" s="166"/>
      <c r="EO287" s="166"/>
      <c r="EP287" s="238">
        <f>SUM(EN287-EO287)</f>
        <v>0</v>
      </c>
      <c r="EQ287" s="238"/>
      <c r="ER287" s="238"/>
      <c r="ES287" s="238"/>
      <c r="ET287" s="244"/>
      <c r="EU287" s="238"/>
      <c r="EV287" s="238"/>
      <c r="EW287" s="238"/>
      <c r="EX287" s="238"/>
      <c r="EY287" s="238"/>
      <c r="EZ287" s="238"/>
      <c r="FA287" s="238"/>
      <c r="FB287" s="238"/>
      <c r="FC287" s="238"/>
      <c r="FD287" s="238"/>
      <c r="FE287" s="238"/>
      <c r="FF287" s="238"/>
      <c r="FG287" s="238"/>
      <c r="FH287" s="238"/>
      <c r="FI287" s="238"/>
      <c r="FJ287" s="238"/>
      <c r="FK287" s="238"/>
      <c r="FL287" s="238"/>
      <c r="FM287" s="238"/>
      <c r="FN287" s="238"/>
      <c r="FO287" s="244"/>
      <c r="FP287" s="238"/>
      <c r="FQ287" s="238"/>
      <c r="FR287" s="238"/>
      <c r="FS287" s="238"/>
      <c r="FT287" s="238"/>
      <c r="FU287" s="238"/>
      <c r="FV287" s="238"/>
      <c r="FW287" s="238"/>
      <c r="FX287" s="238"/>
      <c r="FY287" s="238"/>
      <c r="FZ287" s="238"/>
      <c r="GA287" s="238"/>
      <c r="GB287" s="238"/>
      <c r="GC287" s="238"/>
      <c r="GD287" s="341"/>
      <c r="GE287" s="340"/>
      <c r="GF287" s="340"/>
      <c r="GG287" s="340"/>
      <c r="GH287" s="340"/>
      <c r="GI287" s="340"/>
      <c r="GJ287" s="340"/>
      <c r="GK287" s="340"/>
      <c r="GL287" s="340"/>
      <c r="GM287" s="340"/>
      <c r="GN287" s="340"/>
      <c r="GO287" s="340"/>
      <c r="GP287" s="340"/>
      <c r="GQ287" s="340"/>
      <c r="GR287" s="340"/>
      <c r="GS287" s="340"/>
      <c r="GT287" s="340"/>
      <c r="GU287" s="340"/>
      <c r="GV287" s="340"/>
      <c r="GW287" s="340"/>
      <c r="GX287" s="340"/>
      <c r="GY287" s="340"/>
      <c r="GZ287" s="340"/>
      <c r="HA287" s="340"/>
      <c r="HB287" s="340"/>
      <c r="HC287" s="340"/>
      <c r="HD287" s="341"/>
      <c r="HE287" s="341"/>
      <c r="HF287" s="341"/>
      <c r="HG287" s="341"/>
      <c r="HH287" s="341"/>
      <c r="HI287" s="341"/>
      <c r="HJ287" s="341"/>
      <c r="HK287" s="341"/>
      <c r="HL287" s="341"/>
      <c r="HM287" s="341"/>
      <c r="HN287" s="341"/>
      <c r="HO287" s="341"/>
      <c r="HP287" s="341"/>
      <c r="HQ287" s="341"/>
      <c r="HR287" s="341"/>
      <c r="HS287" s="238"/>
      <c r="HT287" s="238"/>
      <c r="HU287" s="238"/>
      <c r="HV287" s="238"/>
      <c r="HX287" s="238"/>
      <c r="HY287" s="238"/>
      <c r="ID287" s="238"/>
    </row>
    <row r="288" spans="1:238" s="234" customFormat="1" ht="20.100000000000001" customHeight="1">
      <c r="A288" s="235"/>
      <c r="B288" s="231"/>
      <c r="C288" s="314" t="s">
        <v>771</v>
      </c>
      <c r="D288" s="276" t="str">
        <f>REPT(Sprache!$K$58,1)</f>
        <v>Spieler</v>
      </c>
      <c r="E288" s="277" t="str">
        <f>REPT(Sprache!$K$33,1)</f>
        <v>Name / Vorname</v>
      </c>
      <c r="F288" s="278"/>
      <c r="G288" s="278"/>
      <c r="H288" s="279"/>
      <c r="I288" s="280"/>
      <c r="J288" s="281" t="str">
        <f>REPT(AM288,1)</f>
        <v/>
      </c>
      <c r="L288" s="306" t="s">
        <v>848</v>
      </c>
      <c r="M288" s="238"/>
      <c r="P288" s="306" t="s">
        <v>848</v>
      </c>
      <c r="R288" s="314" t="s">
        <v>771</v>
      </c>
      <c r="S288" s="276" t="str">
        <f>REPT(Sprache!$K$58,1)</f>
        <v>Spieler</v>
      </c>
      <c r="T288" s="277" t="str">
        <f>REPT(Sprache!$K$33,1)</f>
        <v>Name / Vorname</v>
      </c>
      <c r="U288" s="278"/>
      <c r="V288" s="278"/>
      <c r="W288" s="279"/>
      <c r="X288" s="280"/>
      <c r="Y288" s="281" t="str">
        <f>REPT(BA288,1)</f>
        <v/>
      </c>
      <c r="Z288" s="308"/>
      <c r="AD288" s="235"/>
      <c r="AE288" s="235"/>
      <c r="AF288" s="237" t="s">
        <v>771</v>
      </c>
      <c r="AG288" s="282" t="s">
        <v>877</v>
      </c>
      <c r="AH288" s="283" t="str">
        <f>IF(AH287=0,"",AH287)</f>
        <v/>
      </c>
      <c r="AI288" s="283" t="str">
        <f>IF(AI287=0,"",AI287)</f>
        <v/>
      </c>
      <c r="AJ288" s="283" t="str">
        <f>IF(AJ287=0,"",AJ287)</f>
        <v/>
      </c>
      <c r="AK288" s="283" t="str">
        <f>IF(AK287=0,"",AK287)</f>
        <v/>
      </c>
      <c r="AL288" s="283" t="str">
        <f>IF(AL287=0,"",AL287)</f>
        <v/>
      </c>
      <c r="AM288" s="258" t="str">
        <f>IF(AK279="D",IF(AF287=0,"","X"),"")</f>
        <v/>
      </c>
      <c r="AN288" s="235"/>
      <c r="AO288" s="235"/>
      <c r="AP288" s="284"/>
      <c r="AQ288" s="235"/>
      <c r="AR288" s="235"/>
      <c r="AS288" s="235"/>
      <c r="AT288" s="237" t="s">
        <v>771</v>
      </c>
      <c r="AU288" s="282" t="s">
        <v>877</v>
      </c>
      <c r="AV288" s="283" t="str">
        <f>IF(AV287=0,"",AV287)</f>
        <v/>
      </c>
      <c r="AW288" s="283" t="str">
        <f>IF(AW287=0,"",AW287)</f>
        <v/>
      </c>
      <c r="AX288" s="283" t="str">
        <f>IF(AX287=0,"",AX287)</f>
        <v/>
      </c>
      <c r="AY288" s="283" t="str">
        <f>IF(AY287=0,"",AY287)</f>
        <v/>
      </c>
      <c r="AZ288" s="421" t="str">
        <f>IF(AZ287=0,"",AZ287)</f>
        <v/>
      </c>
      <c r="BA288" s="258" t="str">
        <f>IF(AK279="D",IF(AT287=0,"","X"),"")</f>
        <v/>
      </c>
      <c r="BJ288" s="236"/>
      <c r="BK288" s="238"/>
      <c r="BL288" s="244">
        <f>IF(BM288=0,0,1)</f>
        <v>0</v>
      </c>
      <c r="BM288" s="244">
        <f>SUM(BM282,BM283,BM284,BM285,BM286,HH284,AN289,AN290,BB289,BB290)</f>
        <v>0</v>
      </c>
      <c r="BN288" s="166">
        <f t="shared" ref="BN288:BO288" si="715">SUM(BN282,BN283,BN284,BN285,BN286)</f>
        <v>0</v>
      </c>
      <c r="BO288" s="166">
        <f t="shared" si="715"/>
        <v>0</v>
      </c>
      <c r="BP288" s="244"/>
      <c r="BQ288" s="238"/>
      <c r="BR288" s="238"/>
      <c r="BS288" s="238"/>
      <c r="BT288" s="238"/>
      <c r="BU288" s="238"/>
      <c r="BV288" s="238"/>
      <c r="BW288" s="238"/>
      <c r="BX288" s="236"/>
      <c r="BY288" s="238"/>
      <c r="BZ288" s="238"/>
      <c r="CA288" s="238"/>
      <c r="CB288" s="238"/>
      <c r="CC288" s="238"/>
      <c r="CD288" s="238"/>
      <c r="CE288" s="238"/>
      <c r="CF288" s="238"/>
      <c r="CG288" s="244"/>
      <c r="CH288" s="238"/>
      <c r="CI288" s="238"/>
      <c r="CJ288" s="238"/>
      <c r="CK288" s="238"/>
      <c r="CL288" s="238"/>
      <c r="CM288" s="238"/>
      <c r="CN288" s="238"/>
      <c r="CO288" s="238"/>
      <c r="CP288" s="238"/>
      <c r="CQ288" s="238"/>
      <c r="CR288" s="238"/>
      <c r="CS288" s="238"/>
      <c r="CT288" s="238"/>
      <c r="CU288" s="238"/>
      <c r="CV288" s="238"/>
      <c r="CW288" s="238"/>
      <c r="CX288" s="238"/>
      <c r="CY288" s="238"/>
      <c r="CZ288" s="238"/>
      <c r="DA288" s="238"/>
      <c r="DB288" s="238"/>
      <c r="DC288" s="238"/>
      <c r="DD288" s="238"/>
      <c r="DE288" s="238"/>
      <c r="DF288" s="238"/>
      <c r="DG288" s="238"/>
      <c r="DH288" s="238"/>
      <c r="DI288" s="238"/>
      <c r="DJ288" s="238"/>
      <c r="DK288" s="238"/>
      <c r="DL288" s="238"/>
      <c r="DM288" s="238"/>
      <c r="DN288" s="238"/>
      <c r="DO288" s="238"/>
      <c r="DP288" s="238"/>
      <c r="DQ288" s="238"/>
      <c r="DR288" s="238"/>
      <c r="DS288" s="238"/>
      <c r="DT288" s="238"/>
      <c r="DU288" s="238"/>
      <c r="DV288" s="238"/>
      <c r="DW288" s="238"/>
      <c r="DX288" s="238"/>
      <c r="DY288" s="238"/>
      <c r="DZ288" s="238"/>
      <c r="EA288" s="238"/>
      <c r="EB288" s="238"/>
      <c r="EC288" s="238"/>
      <c r="ED288" s="238"/>
      <c r="EE288" s="238"/>
      <c r="EF288" s="238"/>
      <c r="EG288" s="238"/>
      <c r="EH288" s="238"/>
      <c r="EI288" s="238"/>
      <c r="EJ288" s="238"/>
      <c r="EK288" s="238"/>
      <c r="EL288" s="238"/>
      <c r="EM288" s="238"/>
      <c r="EN288" s="238"/>
      <c r="EO288" s="238"/>
      <c r="EP288" s="238"/>
      <c r="EQ288" s="238"/>
      <c r="ER288" s="238"/>
      <c r="ES288" s="238"/>
      <c r="ET288" s="244"/>
      <c r="EU288" s="238"/>
      <c r="EV288" s="238"/>
      <c r="EW288" s="238"/>
      <c r="EX288" s="238"/>
      <c r="EY288" s="238"/>
      <c r="EZ288" s="238"/>
      <c r="FA288" s="238"/>
      <c r="FB288" s="238"/>
      <c r="FC288" s="238"/>
      <c r="FD288" s="238"/>
      <c r="FE288" s="238"/>
      <c r="FF288" s="238"/>
      <c r="FG288" s="238"/>
      <c r="FH288" s="238"/>
      <c r="FI288" s="238"/>
      <c r="FJ288" s="238"/>
      <c r="FK288" s="238"/>
      <c r="FL288" s="238"/>
      <c r="FM288" s="238"/>
      <c r="FN288" s="238"/>
      <c r="FO288" s="244"/>
      <c r="FP288" s="238"/>
      <c r="FQ288" s="238"/>
      <c r="FR288" s="238"/>
      <c r="FS288" s="238"/>
      <c r="FT288" s="238"/>
      <c r="FU288" s="238"/>
      <c r="FV288" s="238"/>
      <c r="FW288" s="238"/>
      <c r="FX288" s="238"/>
      <c r="FY288" s="238"/>
      <c r="FZ288" s="238"/>
      <c r="GA288" s="238"/>
      <c r="GB288" s="238"/>
      <c r="GC288" s="238"/>
      <c r="GD288" s="341"/>
      <c r="GE288" s="340"/>
      <c r="GF288" s="340"/>
      <c r="GG288" s="340"/>
      <c r="GH288" s="340"/>
      <c r="GI288" s="340"/>
      <c r="GJ288" s="340"/>
      <c r="GK288" s="340"/>
      <c r="GL288" s="340"/>
      <c r="GM288" s="340"/>
      <c r="GN288" s="340"/>
      <c r="GO288" s="340"/>
      <c r="GP288" s="340"/>
      <c r="GQ288" s="340"/>
      <c r="GR288" s="340"/>
      <c r="GS288" s="340"/>
      <c r="GT288" s="340"/>
      <c r="GU288" s="340"/>
      <c r="GV288" s="340"/>
      <c r="GW288" s="340"/>
      <c r="GX288" s="340"/>
      <c r="GY288" s="340"/>
      <c r="GZ288" s="340"/>
      <c r="HA288" s="340"/>
      <c r="HB288" s="340"/>
      <c r="HC288" s="340"/>
      <c r="HD288" s="341"/>
      <c r="HE288" s="341"/>
      <c r="HF288" s="341"/>
      <c r="HG288" s="341"/>
      <c r="HH288" s="341"/>
      <c r="HI288" s="341"/>
      <c r="HJ288" s="341"/>
      <c r="HK288" s="341"/>
      <c r="HL288" s="341"/>
      <c r="HM288" s="341"/>
      <c r="HN288" s="341"/>
      <c r="HO288" s="341"/>
      <c r="HP288" s="341"/>
      <c r="HQ288" s="341"/>
      <c r="HR288" s="341"/>
      <c r="HS288" s="238"/>
      <c r="HT288" s="238"/>
      <c r="HU288" s="238"/>
      <c r="HV288" s="238"/>
      <c r="HX288" s="238"/>
      <c r="HY288" s="238"/>
      <c r="ID288" s="238"/>
    </row>
    <row r="289" spans="1:238" s="234" customFormat="1" ht="20.100000000000001" customHeight="1">
      <c r="A289" s="235"/>
      <c r="B289" s="231"/>
      <c r="C289" s="285" t="str">
        <f>IF(AF289="","",SUM(AF289))</f>
        <v/>
      </c>
      <c r="D289" s="286" t="str">
        <f>IF(AK279="D",1,"")</f>
        <v/>
      </c>
      <c r="E289" s="287" t="str">
        <f>IF(C289="","",VLOOKUP(C289,Licenses!B:C,2,FALSE))</f>
        <v/>
      </c>
      <c r="F289" s="288"/>
      <c r="G289" s="288"/>
      <c r="H289" s="289"/>
      <c r="I289" s="169"/>
      <c r="J289" s="270" t="str">
        <f>REPT(AM289,1)</f>
        <v/>
      </c>
      <c r="L289" s="290" t="str">
        <f>IF(AK279="D",AK289,IF(AK288="","",AK288))</f>
        <v/>
      </c>
      <c r="M289" s="311"/>
      <c r="P289" s="290" t="str">
        <f>IF(AK279="D",AY289,IF(AY288="","",AY288))</f>
        <v/>
      </c>
      <c r="R289" s="291" t="str">
        <f>IF(AT289="","",SUM(AT289))</f>
        <v/>
      </c>
      <c r="S289" s="286" t="str">
        <f>IF(AK279="D",1,"")</f>
        <v/>
      </c>
      <c r="T289" s="292" t="str">
        <f>IF(R289="","",VLOOKUP(R289,Licenses!B:C,2,FALSE))</f>
        <v/>
      </c>
      <c r="U289" s="293"/>
      <c r="V289" s="293"/>
      <c r="W289" s="294"/>
      <c r="X289" s="169"/>
      <c r="Y289" s="270" t="str">
        <f>REPT(BA289,1)</f>
        <v/>
      </c>
      <c r="Z289" s="308"/>
      <c r="AD289" s="235"/>
      <c r="AE289" s="235"/>
      <c r="AF289" s="256" t="str">
        <f>IF(AM279="","",SUM(AM279))</f>
        <v/>
      </c>
      <c r="AG289" s="237"/>
      <c r="AH289" s="256"/>
      <c r="AI289" s="256"/>
      <c r="AJ289" s="256"/>
      <c r="AK289" s="256" t="str">
        <f>IF(BZ287&gt;1,BZ287,"")</f>
        <v/>
      </c>
      <c r="AL289" s="257">
        <f>IF(AK279="D",SUM(I289),0)</f>
        <v>0</v>
      </c>
      <c r="AM289" s="258" t="str">
        <f>IF(AM287=0,IF(AL289&lt;6,"","X"),"X")</f>
        <v/>
      </c>
      <c r="AN289" s="347" t="str">
        <f>IF(AM287=0,IF(AL289&lt;6,"",1),1)</f>
        <v/>
      </c>
      <c r="AO289" s="235"/>
      <c r="AP289" s="236"/>
      <c r="AQ289" s="235"/>
      <c r="AR289" s="235"/>
      <c r="AS289" s="235"/>
      <c r="AT289" s="256" t="str">
        <f>IF(BA279="","",SUM(BA279))</f>
        <v/>
      </c>
      <c r="AU289" s="237"/>
      <c r="AV289" s="256"/>
      <c r="AW289" s="256"/>
      <c r="AX289" s="256"/>
      <c r="AY289" s="256" t="str">
        <f>IF(CI287&gt;1,CI287,"")</f>
        <v/>
      </c>
      <c r="AZ289" s="257">
        <f>IF(AK279="D",SUM(X289),0)</f>
        <v>0</v>
      </c>
      <c r="BA289" s="258" t="str">
        <f>IF(BA287=0,IF(AZ289&lt;6,"","X"),"X")</f>
        <v/>
      </c>
      <c r="BB289" s="347" t="str">
        <f>IF(BA287=0,IF(AZ289&lt;6,"",1),1)</f>
        <v/>
      </c>
      <c r="BC289" s="236"/>
      <c r="BD289" s="236"/>
      <c r="BE289" s="236"/>
      <c r="BF289" s="236"/>
      <c r="BG289" s="236"/>
      <c r="BH289" s="236"/>
      <c r="BI289" s="236"/>
      <c r="BJ289" s="236"/>
      <c r="BK289" s="238"/>
      <c r="BL289" s="238"/>
      <c r="BM289" s="295"/>
      <c r="BN289" s="295"/>
      <c r="BO289" s="295"/>
      <c r="BP289" s="295"/>
      <c r="BQ289" s="295"/>
      <c r="BR289" s="295"/>
      <c r="BS289" s="295"/>
      <c r="BT289" s="295"/>
      <c r="BU289" s="295"/>
      <c r="BV289" s="295"/>
      <c r="BW289" s="295"/>
      <c r="BX289" s="236"/>
      <c r="BY289" s="295"/>
      <c r="BZ289" s="295"/>
      <c r="CA289" s="295"/>
      <c r="CB289" s="295"/>
      <c r="CC289" s="295"/>
      <c r="CD289" s="295"/>
      <c r="CE289" s="295"/>
      <c r="CF289" s="295"/>
      <c r="CG289" s="296"/>
      <c r="CH289" s="295"/>
      <c r="CI289" s="295"/>
      <c r="CJ289" s="295"/>
      <c r="CK289" s="238"/>
      <c r="CL289" s="238"/>
      <c r="CM289" s="238"/>
      <c r="CN289" s="238"/>
      <c r="CO289" s="238"/>
      <c r="CP289" s="238"/>
      <c r="CQ289" s="238"/>
      <c r="CR289" s="238"/>
      <c r="CS289" s="238"/>
      <c r="CT289" s="238"/>
      <c r="CU289" s="238"/>
      <c r="CV289" s="238"/>
      <c r="CW289" s="238"/>
      <c r="CX289" s="238"/>
      <c r="CY289" s="238"/>
      <c r="CZ289" s="238"/>
      <c r="DA289" s="238"/>
      <c r="DB289" s="238"/>
      <c r="DC289" s="238"/>
      <c r="DD289" s="238"/>
      <c r="DE289" s="238"/>
      <c r="DF289" s="238"/>
      <c r="DG289" s="238"/>
      <c r="DH289" s="238"/>
      <c r="DI289" s="238"/>
      <c r="DJ289" s="238"/>
      <c r="DK289" s="238"/>
      <c r="DL289" s="238"/>
      <c r="DM289" s="238"/>
      <c r="DN289" s="238"/>
      <c r="DO289" s="238"/>
      <c r="DP289" s="238"/>
      <c r="DQ289" s="238"/>
      <c r="DR289" s="238"/>
      <c r="DS289" s="238"/>
      <c r="DT289" s="238"/>
      <c r="DU289" s="238"/>
      <c r="DV289" s="238"/>
      <c r="DW289" s="238"/>
      <c r="DX289" s="238"/>
      <c r="DY289" s="238"/>
      <c r="DZ289" s="238"/>
      <c r="EA289" s="238"/>
      <c r="EB289" s="238"/>
      <c r="EC289" s="238"/>
      <c r="ED289" s="238"/>
      <c r="EE289" s="238"/>
      <c r="EF289" s="238"/>
      <c r="EG289" s="238"/>
      <c r="EH289" s="238"/>
      <c r="EI289" s="238"/>
      <c r="EJ289" s="238"/>
      <c r="EK289" s="238"/>
      <c r="EL289" s="238"/>
      <c r="EM289" s="238"/>
      <c r="EN289" s="238"/>
      <c r="EO289" s="238"/>
      <c r="EP289" s="238"/>
      <c r="EQ289" s="238"/>
      <c r="ER289" s="238"/>
      <c r="ES289" s="238"/>
      <c r="ET289" s="244"/>
      <c r="EU289" s="238"/>
      <c r="EV289" s="238"/>
      <c r="EW289" s="238"/>
      <c r="EX289" s="238"/>
      <c r="EY289" s="238"/>
      <c r="EZ289" s="238"/>
      <c r="FA289" s="238"/>
      <c r="FB289" s="238"/>
      <c r="FC289" s="238"/>
      <c r="FD289" s="238"/>
      <c r="FE289" s="238"/>
      <c r="FF289" s="238"/>
      <c r="FG289" s="238"/>
      <c r="FH289" s="238"/>
      <c r="FI289" s="238"/>
      <c r="FJ289" s="238"/>
      <c r="FK289" s="238"/>
      <c r="FL289" s="238"/>
      <c r="FM289" s="238"/>
      <c r="FN289" s="238"/>
      <c r="FO289" s="244"/>
      <c r="FP289" s="238"/>
      <c r="FQ289" s="238"/>
      <c r="FR289" s="238"/>
      <c r="FS289" s="238"/>
      <c r="FT289" s="238"/>
      <c r="FU289" s="238"/>
      <c r="FV289" s="238"/>
      <c r="FW289" s="238"/>
      <c r="FX289" s="238"/>
      <c r="FY289" s="238"/>
      <c r="FZ289" s="238"/>
      <c r="GA289" s="238"/>
      <c r="GB289" s="238"/>
      <c r="GC289" s="238"/>
      <c r="GD289" s="341"/>
      <c r="GE289" s="340"/>
      <c r="GF289" s="340"/>
      <c r="GG289" s="340"/>
      <c r="GH289" s="340"/>
      <c r="GI289" s="340"/>
      <c r="GJ289" s="340"/>
      <c r="GK289" s="340"/>
      <c r="GL289" s="340"/>
      <c r="GM289" s="340"/>
      <c r="GN289" s="340"/>
      <c r="GO289" s="340"/>
      <c r="GP289" s="340"/>
      <c r="GQ289" s="340"/>
      <c r="GR289" s="340"/>
      <c r="GS289" s="340"/>
      <c r="GT289" s="340"/>
      <c r="GU289" s="340"/>
      <c r="GV289" s="340"/>
      <c r="GW289" s="340"/>
      <c r="GX289" s="340"/>
      <c r="GY289" s="340"/>
      <c r="GZ289" s="340"/>
      <c r="HA289" s="340"/>
      <c r="HB289" s="340"/>
      <c r="HC289" s="340"/>
      <c r="HD289" s="341"/>
      <c r="HE289" s="341"/>
      <c r="HF289" s="341"/>
      <c r="HG289" s="341"/>
      <c r="HH289" s="341"/>
      <c r="HI289" s="341"/>
      <c r="HJ289" s="341"/>
      <c r="HK289" s="341"/>
      <c r="HL289" s="341"/>
      <c r="HM289" s="341"/>
      <c r="HN289" s="341"/>
      <c r="HO289" s="341"/>
      <c r="HP289" s="341"/>
      <c r="HQ289" s="341"/>
      <c r="HR289" s="341"/>
      <c r="HS289" s="238"/>
      <c r="HT289" s="238"/>
      <c r="HU289" s="238"/>
      <c r="HV289" s="238"/>
      <c r="HX289" s="238"/>
      <c r="HY289" s="238"/>
      <c r="ID289" s="238"/>
    </row>
    <row r="290" spans="1:238" s="234" customFormat="1" ht="20.100000000000001" customHeight="1">
      <c r="A290" s="235"/>
      <c r="B290" s="231"/>
      <c r="C290" s="336" t="str">
        <f>IF(AF290="","",SUM(AF290))</f>
        <v/>
      </c>
      <c r="D290" s="333" t="str">
        <f>IF(AK279="D",2,"")</f>
        <v/>
      </c>
      <c r="E290" s="337" t="str">
        <f>IF(C290="","",VLOOKUP(C290,Licenses!B:C,2,FALSE))</f>
        <v/>
      </c>
      <c r="F290" s="290"/>
      <c r="G290" s="290"/>
      <c r="H290" s="338"/>
      <c r="I290" s="331"/>
      <c r="J290" s="272" t="str">
        <f>REPT(AM290,1)</f>
        <v/>
      </c>
      <c r="L290" s="315" t="str">
        <f>IF(AK279="D",AK290,"")</f>
        <v/>
      </c>
      <c r="M290" s="311"/>
      <c r="P290" s="315" t="str">
        <f>IF(AK279="D",AY290,"")</f>
        <v/>
      </c>
      <c r="R290" s="332" t="str">
        <f>IF(AT290="","",SUM(AT290))</f>
        <v/>
      </c>
      <c r="S290" s="333" t="str">
        <f>IF(AK279="D",2,"")</f>
        <v/>
      </c>
      <c r="T290" s="334" t="str">
        <f>IF(R290="","",VLOOKUP(R290,Licenses!B:C,2,FALSE))</f>
        <v/>
      </c>
      <c r="U290" s="297"/>
      <c r="V290" s="297"/>
      <c r="W290" s="335"/>
      <c r="X290" s="331"/>
      <c r="Y290" s="272" t="str">
        <f>REPT(BA290,1)</f>
        <v/>
      </c>
      <c r="Z290" s="308"/>
      <c r="AA290" s="238">
        <f>IF(AK279="D",0,1)</f>
        <v>1</v>
      </c>
      <c r="AD290" s="235"/>
      <c r="AE290" s="235"/>
      <c r="AF290" s="256" t="str">
        <f>IF(AM280="","",SUM(AM280))</f>
        <v/>
      </c>
      <c r="AG290" s="237"/>
      <c r="AH290" s="256"/>
      <c r="AI290" s="256"/>
      <c r="AJ290" s="256"/>
      <c r="AK290" s="256" t="str">
        <f>IF(CA287&gt;1,CA287,"")</f>
        <v/>
      </c>
      <c r="AL290" s="257">
        <f>IF(AK279="D",SUM(I290),0)</f>
        <v>0</v>
      </c>
      <c r="AM290" s="258" t="str">
        <f>IF(AM287=0,IF(AL290&lt;6,"","X"),"X")</f>
        <v/>
      </c>
      <c r="AN290" s="347" t="str">
        <f>IF(AM287=0,IF(AL290&lt;6,"",1),1)</f>
        <v/>
      </c>
      <c r="AO290" s="235"/>
      <c r="AP290" s="236"/>
      <c r="AQ290" s="235"/>
      <c r="AR290" s="235"/>
      <c r="AS290" s="235"/>
      <c r="AT290" s="256" t="str">
        <f>IF(BA280="","",SUM(BA280))</f>
        <v/>
      </c>
      <c r="AU290" s="237"/>
      <c r="AV290" s="256"/>
      <c r="AW290" s="256"/>
      <c r="AX290" s="256"/>
      <c r="AY290" s="256" t="str">
        <f>IF(CJ287&gt;1,CJ287,"")</f>
        <v/>
      </c>
      <c r="AZ290" s="257">
        <f>IF(AK279="D",SUM(X290),0)</f>
        <v>0</v>
      </c>
      <c r="BA290" s="258" t="str">
        <f>IF(BA287=0,IF(AZ290&lt;6,"","X"),"X")</f>
        <v/>
      </c>
      <c r="BB290" s="347" t="str">
        <f>IF(BA287=0,IF(AZ290&lt;6,"",1),1)</f>
        <v/>
      </c>
      <c r="BC290" s="236"/>
      <c r="BD290" s="236"/>
      <c r="BE290" s="236"/>
      <c r="BF290" s="236"/>
      <c r="BG290" s="236"/>
      <c r="BH290" s="236"/>
      <c r="BI290" s="236"/>
      <c r="BJ290" s="236"/>
      <c r="BK290" s="238"/>
      <c r="BM290" s="238"/>
      <c r="BN290" s="238"/>
      <c r="BO290" s="238"/>
      <c r="BP290" s="238"/>
      <c r="BQ290" s="238" t="s">
        <v>899</v>
      </c>
      <c r="BR290" s="238"/>
      <c r="BS290" s="238"/>
      <c r="BT290" s="238"/>
      <c r="BU290" s="238"/>
      <c r="BV290" s="238"/>
      <c r="BW290" s="238"/>
      <c r="BX290" s="236"/>
      <c r="BY290" s="238"/>
      <c r="BZ290" s="238"/>
      <c r="CA290" s="238"/>
      <c r="CB290" s="238"/>
      <c r="CC290" s="238"/>
      <c r="CD290" s="238" t="s">
        <v>899</v>
      </c>
      <c r="CE290" s="238"/>
      <c r="CF290" s="238"/>
      <c r="CG290" s="244"/>
      <c r="CH290" s="238"/>
      <c r="CI290" s="238"/>
      <c r="CJ290" s="238"/>
      <c r="CK290" s="238"/>
      <c r="CL290" s="238"/>
      <c r="CM290" s="238"/>
      <c r="CN290" s="238"/>
      <c r="CO290" s="238"/>
      <c r="CP290" s="238"/>
      <c r="CQ290" s="238"/>
      <c r="CR290" s="238"/>
      <c r="CS290" s="238"/>
      <c r="CT290" s="238"/>
      <c r="CU290" s="238"/>
      <c r="CV290" s="238"/>
      <c r="CW290" s="238"/>
      <c r="CX290" s="238"/>
      <c r="CY290" s="238"/>
      <c r="CZ290" s="238"/>
      <c r="DA290" s="238"/>
      <c r="DB290" s="238"/>
      <c r="DC290" s="238"/>
      <c r="DD290" s="238"/>
      <c r="DE290" s="238"/>
      <c r="DF290" s="238"/>
      <c r="DG290" s="238"/>
      <c r="DH290" s="238"/>
      <c r="DI290" s="238"/>
      <c r="DJ290" s="238"/>
      <c r="DK290" s="238"/>
      <c r="DL290" s="238"/>
      <c r="DM290" s="238"/>
      <c r="DN290" s="238"/>
      <c r="DO290" s="238"/>
      <c r="DP290" s="238"/>
      <c r="DQ290" s="238"/>
      <c r="DR290" s="238"/>
      <c r="DS290" s="238"/>
      <c r="DT290" s="238"/>
      <c r="DU290" s="238"/>
      <c r="DV290" s="238"/>
      <c r="DW290" s="238"/>
      <c r="DX290" s="238"/>
      <c r="DY290" s="238"/>
      <c r="DZ290" s="238"/>
      <c r="EA290" s="238"/>
      <c r="EB290" s="238"/>
      <c r="EC290" s="238"/>
      <c r="ED290" s="238"/>
      <c r="EE290" s="238"/>
      <c r="EF290" s="238"/>
      <c r="EG290" s="238"/>
      <c r="EH290" s="238"/>
      <c r="EI290" s="238"/>
      <c r="EJ290" s="238"/>
      <c r="EK290" s="238"/>
      <c r="EL290" s="238"/>
      <c r="EM290" s="238"/>
      <c r="EN290" s="238"/>
      <c r="EO290" s="238"/>
      <c r="EP290" s="238"/>
      <c r="EQ290" s="238"/>
      <c r="ER290" s="238"/>
      <c r="ES290" s="238"/>
      <c r="ET290" s="244"/>
      <c r="EU290" s="238"/>
      <c r="EV290" s="238"/>
      <c r="EW290" s="238"/>
      <c r="EX290" s="238"/>
      <c r="EY290" s="238"/>
      <c r="EZ290" s="238"/>
      <c r="FA290" s="238"/>
      <c r="FB290" s="238"/>
      <c r="FC290" s="238"/>
      <c r="FD290" s="238"/>
      <c r="FE290" s="238"/>
      <c r="FF290" s="238"/>
      <c r="FG290" s="238"/>
      <c r="FH290" s="238"/>
      <c r="FI290" s="238"/>
      <c r="FJ290" s="238"/>
      <c r="FK290" s="238"/>
      <c r="FL290" s="238"/>
      <c r="FM290" s="238"/>
      <c r="FN290" s="238"/>
      <c r="FO290" s="244"/>
      <c r="FP290" s="238"/>
      <c r="FQ290" s="238"/>
      <c r="FR290" s="238"/>
      <c r="FS290" s="238"/>
      <c r="FT290" s="238"/>
      <c r="FU290" s="238"/>
      <c r="FV290" s="238"/>
      <c r="FW290" s="238"/>
      <c r="FX290" s="238"/>
      <c r="FY290" s="238"/>
      <c r="FZ290" s="238"/>
      <c r="GA290" s="238"/>
      <c r="GB290" s="238"/>
      <c r="GC290" s="238"/>
      <c r="GD290" s="341"/>
      <c r="GE290" s="340"/>
      <c r="GF290" s="340"/>
      <c r="GG290" s="340"/>
      <c r="GH290" s="340"/>
      <c r="GI290" s="340"/>
      <c r="GJ290" s="340"/>
      <c r="GK290" s="340"/>
      <c r="GL290" s="340"/>
      <c r="GM290" s="340"/>
      <c r="GN290" s="340"/>
      <c r="GO290" s="340"/>
      <c r="GP290" s="340"/>
      <c r="GQ290" s="340"/>
      <c r="GR290" s="340"/>
      <c r="GS290" s="340"/>
      <c r="GT290" s="340"/>
      <c r="GU290" s="340"/>
      <c r="GV290" s="340"/>
      <c r="GW290" s="340"/>
      <c r="GX290" s="340"/>
      <c r="GY290" s="340"/>
      <c r="GZ290" s="340"/>
      <c r="HA290" s="340"/>
      <c r="HB290" s="340"/>
      <c r="HC290" s="340"/>
      <c r="HD290" s="341"/>
      <c r="HE290" s="341"/>
      <c r="HF290" s="341"/>
      <c r="HG290" s="341"/>
      <c r="HH290" s="341"/>
      <c r="HI290" s="341"/>
      <c r="HJ290" s="341"/>
      <c r="HK290" s="341"/>
      <c r="HL290" s="341"/>
      <c r="HM290" s="341"/>
      <c r="HN290" s="341"/>
      <c r="HO290" s="341"/>
      <c r="HP290" s="341"/>
      <c r="HQ290" s="341"/>
      <c r="HR290" s="341"/>
      <c r="HS290" s="238"/>
      <c r="HT290" s="238"/>
      <c r="HU290" s="238"/>
      <c r="HV290" s="238"/>
      <c r="HX290" s="238"/>
      <c r="HY290" s="238"/>
      <c r="ID290" s="238"/>
    </row>
    <row r="291" spans="1:238" s="234" customFormat="1" ht="20.100000000000001" customHeight="1">
      <c r="A291" s="235"/>
      <c r="B291" s="316"/>
      <c r="C291" s="317"/>
      <c r="D291" s="317"/>
      <c r="E291" s="318"/>
      <c r="F291" s="318"/>
      <c r="G291" s="318"/>
      <c r="H291" s="318"/>
      <c r="I291" s="318"/>
      <c r="J291" s="318"/>
      <c r="K291" s="319"/>
      <c r="L291" s="319"/>
      <c r="M291" s="319"/>
      <c r="N291" s="319"/>
      <c r="O291" s="319"/>
      <c r="P291" s="320"/>
      <c r="Q291" s="319"/>
      <c r="R291" s="317"/>
      <c r="S291" s="318"/>
      <c r="T291" s="318"/>
      <c r="U291" s="318"/>
      <c r="V291" s="318"/>
      <c r="W291" s="318"/>
      <c r="X291" s="318"/>
      <c r="Y291" s="318"/>
      <c r="Z291" s="321"/>
      <c r="AD291" s="235"/>
      <c r="AE291" s="237"/>
      <c r="AF291" s="237"/>
      <c r="AG291" s="237"/>
      <c r="AH291" s="237" t="s">
        <v>921</v>
      </c>
      <c r="AI291" s="237" t="s">
        <v>922</v>
      </c>
      <c r="AJ291" s="298" t="str">
        <f>IF(BS291="","",SUM(AM291)*3)</f>
        <v/>
      </c>
      <c r="AK291" s="299" t="s">
        <v>923</v>
      </c>
      <c r="AL291" s="256"/>
      <c r="AM291" s="256" t="str">
        <f>IF(BS291="","",SUM(BS291))</f>
        <v/>
      </c>
      <c r="AN291" s="235"/>
      <c r="AO291" s="235"/>
      <c r="AP291" s="236"/>
      <c r="AQ291" s="235"/>
      <c r="AR291" s="235"/>
      <c r="AS291" s="237"/>
      <c r="AT291" s="237"/>
      <c r="AU291" s="237"/>
      <c r="AV291" s="237" t="s">
        <v>921</v>
      </c>
      <c r="AW291" s="237" t="s">
        <v>922</v>
      </c>
      <c r="AX291" s="298" t="str">
        <f>IF(BS291="","",SUM(BA291)*3)</f>
        <v/>
      </c>
      <c r="AY291" s="299" t="s">
        <v>923</v>
      </c>
      <c r="AZ291" s="256"/>
      <c r="BA291" s="256" t="str">
        <f>IF(BS291="","",SUM(CF291))</f>
        <v/>
      </c>
      <c r="BB291" s="236"/>
      <c r="BC291" s="236"/>
      <c r="BD291" s="236"/>
      <c r="BE291" s="236"/>
      <c r="BF291" s="236"/>
      <c r="BG291" s="236"/>
      <c r="BH291" s="236"/>
      <c r="BI291" s="236"/>
      <c r="BJ291" s="236"/>
      <c r="BK291" s="373">
        <f>IF(AL279=BQ291,1,0)</f>
        <v>0</v>
      </c>
      <c r="BL291" s="373">
        <f>IF(AL279=CD291,1,0)</f>
        <v>0</v>
      </c>
      <c r="BM291" s="256">
        <f>IF(BN291&gt;2,1,0)</f>
        <v>0</v>
      </c>
      <c r="BN291" s="256">
        <f>COUNT(AH282,AH283,AH284)</f>
        <v>0</v>
      </c>
      <c r="BO291" s="256" t="str">
        <f>IF(AH288="","",SUM(AH288/AJ288))</f>
        <v/>
      </c>
      <c r="BP291" s="256"/>
      <c r="BQ291" s="300">
        <f>COUNT(AK282,AK283,AK284,AK285,AK286)</f>
        <v>0</v>
      </c>
      <c r="BR291" s="256"/>
      <c r="BS291" s="256" t="str">
        <f>IF(BL288=0,IF(AJ283="","",BO291),"")</f>
        <v/>
      </c>
      <c r="BT291" s="236"/>
      <c r="BU291" s="236"/>
      <c r="BV291" s="236"/>
      <c r="BW291" s="236"/>
      <c r="BX291" s="236"/>
      <c r="BY291" s="256">
        <f>IF(CD291&gt;2,1,0)</f>
        <v>0</v>
      </c>
      <c r="BZ291" s="256">
        <f>IF(CA291&gt;2,1,0)</f>
        <v>0</v>
      </c>
      <c r="CA291" s="256">
        <f>COUNT(AV282,AV283,AV284)</f>
        <v>0</v>
      </c>
      <c r="CB291" s="256" t="str">
        <f>IF(AV288="","",SUM(AV288/AX288))</f>
        <v/>
      </c>
      <c r="CC291" s="256"/>
      <c r="CD291" s="300">
        <f>COUNT(AY282,AY283,AY284,AY285,AY286)</f>
        <v>0</v>
      </c>
      <c r="CE291" s="256"/>
      <c r="CF291" s="256" t="str">
        <f>IF(BL288=0,IF(AX283="","",CB291),"")</f>
        <v/>
      </c>
      <c r="CG291" s="236"/>
      <c r="CH291" s="188"/>
      <c r="CI291" s="188"/>
      <c r="CJ291" s="196"/>
      <c r="CK291" s="196"/>
      <c r="CL291" s="196"/>
      <c r="CM291" s="196"/>
      <c r="CN291" s="196"/>
      <c r="CO291" s="196"/>
      <c r="CP291" s="196"/>
      <c r="CQ291" s="196"/>
      <c r="CR291" s="196"/>
      <c r="CS291" s="196"/>
      <c r="CT291" s="196"/>
      <c r="CU291" s="196"/>
      <c r="CV291" s="196"/>
      <c r="CW291" s="196"/>
      <c r="CX291" s="196"/>
      <c r="CY291" s="196"/>
      <c r="CZ291" s="196"/>
      <c r="DA291" s="196"/>
      <c r="DB291" s="196"/>
      <c r="DC291" s="196"/>
      <c r="DD291" s="196"/>
      <c r="DE291" s="196"/>
      <c r="DF291" s="196"/>
      <c r="DG291" s="196"/>
      <c r="DH291" s="196"/>
      <c r="DI291" s="196"/>
      <c r="DJ291" s="196"/>
      <c r="DK291" s="196"/>
      <c r="DL291" s="196"/>
      <c r="DM291" s="196"/>
      <c r="DN291" s="196"/>
      <c r="DO291" s="196"/>
      <c r="DP291" s="196"/>
      <c r="DQ291" s="196"/>
      <c r="DR291" s="196"/>
      <c r="DS291" s="196"/>
      <c r="DT291" s="196"/>
      <c r="DU291" s="196"/>
      <c r="DV291" s="196"/>
      <c r="DW291" s="196"/>
      <c r="DX291" s="196"/>
      <c r="DY291" s="196"/>
      <c r="DZ291" s="196"/>
      <c r="EA291" s="196"/>
      <c r="EB291" s="196"/>
      <c r="EC291" s="196"/>
      <c r="ED291" s="196"/>
      <c r="EE291" s="196"/>
      <c r="EF291" s="196"/>
      <c r="EG291" s="196"/>
      <c r="EH291" s="196"/>
      <c r="EI291" s="196"/>
      <c r="EJ291" s="196"/>
      <c r="EK291" s="196"/>
      <c r="EL291" s="196"/>
      <c r="EM291" s="196"/>
      <c r="EN291" s="196"/>
      <c r="EO291" s="196"/>
      <c r="EP291" s="196"/>
      <c r="EQ291" s="196"/>
      <c r="ER291" s="196"/>
      <c r="ES291" s="196"/>
      <c r="ET291" s="301"/>
      <c r="EU291" s="196"/>
      <c r="EV291" s="196"/>
      <c r="EW291" s="196"/>
      <c r="EX291" s="196"/>
      <c r="EY291" s="196"/>
      <c r="EZ291" s="196"/>
      <c r="FA291" s="196"/>
      <c r="FB291" s="196"/>
      <c r="FC291" s="196"/>
      <c r="FD291" s="196"/>
      <c r="FE291" s="196"/>
      <c r="FF291" s="196"/>
      <c r="FG291" s="196"/>
      <c r="FH291" s="196"/>
      <c r="FI291" s="196"/>
      <c r="FJ291" s="196"/>
      <c r="FK291" s="196"/>
      <c r="FL291" s="196"/>
      <c r="FM291" s="196"/>
      <c r="FN291" s="196"/>
      <c r="FO291" s="301"/>
      <c r="FP291" s="196"/>
      <c r="FQ291" s="196"/>
      <c r="FR291" s="196"/>
      <c r="FS291" s="196"/>
      <c r="FT291" s="196"/>
      <c r="FU291" s="196"/>
      <c r="FV291" s="196"/>
      <c r="FW291" s="196"/>
      <c r="FX291" s="196"/>
      <c r="FY291" s="196"/>
      <c r="FZ291" s="196"/>
      <c r="GA291" s="196"/>
      <c r="GB291" s="238"/>
      <c r="GC291" s="238"/>
      <c r="GD291" s="341"/>
      <c r="GE291" s="341"/>
      <c r="GF291" s="341"/>
      <c r="GG291" s="341"/>
      <c r="GH291" s="341"/>
      <c r="GI291" s="341"/>
      <c r="GJ291" s="341"/>
      <c r="GK291" s="341"/>
      <c r="GL291" s="341"/>
      <c r="GM291" s="341"/>
      <c r="GN291" s="341"/>
      <c r="GO291" s="341"/>
      <c r="GP291" s="341"/>
      <c r="GQ291" s="341"/>
      <c r="GR291" s="341"/>
      <c r="GS291" s="341"/>
      <c r="GT291" s="341"/>
      <c r="GU291" s="341"/>
      <c r="GV291" s="341"/>
      <c r="GW291" s="341"/>
      <c r="GX291" s="341"/>
      <c r="GY291" s="341"/>
      <c r="GZ291" s="341"/>
      <c r="HA291" s="341"/>
      <c r="HB291" s="341"/>
      <c r="HC291" s="341"/>
      <c r="HD291" s="341"/>
      <c r="HE291" s="341"/>
      <c r="HF291" s="341"/>
      <c r="HG291" s="341"/>
      <c r="HH291" s="341"/>
      <c r="HI291" s="341"/>
      <c r="HJ291" s="341"/>
      <c r="HK291" s="341"/>
      <c r="HL291" s="341"/>
      <c r="HM291" s="341"/>
      <c r="HN291" s="341"/>
      <c r="HO291" s="341"/>
      <c r="HP291" s="341"/>
      <c r="HQ291" s="341"/>
      <c r="HR291" s="341"/>
      <c r="HS291" s="238"/>
      <c r="HT291" s="238"/>
      <c r="HU291" s="238"/>
      <c r="HV291" s="238"/>
      <c r="HX291" s="238"/>
      <c r="HY291" s="238"/>
      <c r="ID291" s="238"/>
    </row>
    <row r="292" spans="1:238" ht="14.1" customHeight="1">
      <c r="B292" s="214"/>
      <c r="C292" s="171"/>
      <c r="D292" s="171"/>
      <c r="E292" s="171"/>
      <c r="F292" s="171"/>
      <c r="G292" s="171"/>
      <c r="H292" s="171"/>
      <c r="I292" s="171"/>
      <c r="J292" s="171"/>
      <c r="K292" s="171"/>
      <c r="L292" s="171"/>
      <c r="M292" s="171"/>
      <c r="N292" s="171"/>
      <c r="O292" s="171"/>
      <c r="P292" s="171"/>
      <c r="Q292" s="171"/>
      <c r="R292" s="171"/>
      <c r="S292" s="171"/>
      <c r="T292" s="171"/>
      <c r="U292" s="171"/>
      <c r="V292" s="171"/>
      <c r="W292" s="171"/>
      <c r="X292" s="171"/>
      <c r="Y292" s="171"/>
      <c r="Z292" s="302"/>
      <c r="AA292" s="215"/>
      <c r="AB292" s="215"/>
      <c r="AC292" s="215"/>
      <c r="AD292" s="215"/>
      <c r="AE292" s="215"/>
      <c r="AF292" s="215"/>
      <c r="BB292" s="215"/>
      <c r="BC292" s="215"/>
      <c r="BD292" s="215"/>
      <c r="BE292" s="215"/>
      <c r="BF292" s="215"/>
      <c r="BG292" s="215"/>
      <c r="BH292" s="215"/>
      <c r="GD292" s="339"/>
      <c r="GE292" s="339"/>
      <c r="GF292" s="339"/>
      <c r="GG292" s="339"/>
      <c r="GH292" s="339"/>
      <c r="GI292" s="339"/>
      <c r="GJ292" s="339"/>
      <c r="GK292" s="339"/>
      <c r="GL292" s="339"/>
      <c r="GM292" s="339"/>
      <c r="GN292" s="339"/>
      <c r="GO292" s="339"/>
      <c r="GP292" s="339"/>
      <c r="GQ292" s="339"/>
      <c r="GR292" s="339"/>
      <c r="GS292" s="339"/>
      <c r="GT292" s="339"/>
      <c r="GU292" s="339"/>
      <c r="GV292" s="339"/>
      <c r="GW292" s="339"/>
      <c r="GX292" s="339"/>
      <c r="GY292" s="339"/>
      <c r="GZ292" s="339"/>
      <c r="HA292" s="339"/>
      <c r="HB292" s="339"/>
      <c r="HC292" s="339"/>
      <c r="HD292" s="339"/>
      <c r="HE292" s="339"/>
      <c r="HF292" s="339"/>
      <c r="HG292" s="339"/>
      <c r="HH292" s="339"/>
      <c r="HI292" s="339"/>
      <c r="HJ292" s="339"/>
      <c r="HK292" s="339"/>
      <c r="HL292" s="339"/>
      <c r="HM292" s="339"/>
      <c r="HN292" s="339"/>
      <c r="HO292" s="339"/>
      <c r="HP292" s="339"/>
      <c r="HQ292" s="339"/>
      <c r="HR292" s="339"/>
    </row>
    <row r="293" spans="1:238" ht="24" customHeight="1">
      <c r="B293" s="216"/>
      <c r="C293" s="181"/>
      <c r="D293" s="181"/>
      <c r="E293" s="181"/>
      <c r="F293" s="181"/>
      <c r="G293" s="181"/>
      <c r="H293" s="181"/>
      <c r="I293" s="181"/>
      <c r="J293" s="181"/>
      <c r="K293" s="185"/>
      <c r="L293" s="217"/>
      <c r="M293" s="218"/>
      <c r="N293" s="327" t="str">
        <f>CONCATENATE(AG293," ",AH293)</f>
        <v>Spiel 21</v>
      </c>
      <c r="O293" s="218"/>
      <c r="P293" s="219"/>
      <c r="Q293" s="185"/>
      <c r="R293" s="181"/>
      <c r="S293" s="181"/>
      <c r="T293" s="181"/>
      <c r="U293" s="181"/>
      <c r="V293" s="181"/>
      <c r="W293" s="181"/>
      <c r="X293" s="181"/>
      <c r="Y293" s="181"/>
      <c r="Z293" s="303"/>
      <c r="AA293" s="200"/>
      <c r="AB293" s="200"/>
      <c r="AC293" s="200"/>
      <c r="AD293" s="200"/>
      <c r="AE293" s="200"/>
      <c r="AF293" s="200"/>
      <c r="AG293" s="200" t="s">
        <v>863</v>
      </c>
      <c r="AH293" s="220">
        <v>21</v>
      </c>
      <c r="AI293" s="173">
        <f>VLOOKUP(AH293,Chema!R:T,3,FALSE)</f>
        <v>3.1</v>
      </c>
      <c r="AJ293" s="200" t="str">
        <f>VLOOKUP(AH293,Chema!BL:BQ,6,FALSE)</f>
        <v>3.1*</v>
      </c>
      <c r="AK293" s="200" t="str">
        <f>VLOOKUP(AH293,'Matchblatt  FEUILLE DE MATCH'!AI:AJ,2,FALSE)</f>
        <v>S</v>
      </c>
      <c r="AL293" s="200">
        <f>VLOOKUP(AH293,Chema!R:U,4,FALSE)</f>
        <v>5</v>
      </c>
      <c r="AM293" s="215" t="str">
        <f>VLOOKUP(AH293,'Matchblatt  FEUILLE DE MATCH'!AI:AS,10,FALSE)</f>
        <v/>
      </c>
      <c r="AN293" s="215"/>
      <c r="AO293" s="215"/>
      <c r="AP293" s="215"/>
      <c r="AQ293" s="215"/>
      <c r="AR293" s="215"/>
      <c r="AS293" s="215"/>
      <c r="AT293" s="215"/>
      <c r="AU293" s="215"/>
      <c r="AV293" s="215"/>
      <c r="AW293" s="215"/>
      <c r="AX293" s="215"/>
      <c r="AY293" s="215"/>
      <c r="AZ293" s="215"/>
      <c r="BA293" s="215" t="str">
        <f>VLOOKUP(AH293,'Matchblatt  FEUILLE DE MATCH'!AI:AS,11,FALSE)</f>
        <v/>
      </c>
      <c r="BB293" s="200"/>
      <c r="BC293" s="200"/>
      <c r="BD293" s="200"/>
      <c r="BE293" s="200"/>
      <c r="BF293" s="200"/>
      <c r="BG293" s="200"/>
      <c r="BH293" s="200"/>
      <c r="BK293" s="196"/>
      <c r="BL293" s="196"/>
      <c r="BM293" s="196"/>
      <c r="BN293" s="196"/>
      <c r="BO293" s="196"/>
      <c r="BP293" s="196"/>
      <c r="BQ293" s="221" t="s">
        <v>843</v>
      </c>
      <c r="BR293" s="222"/>
      <c r="BS293" s="222"/>
      <c r="BT293" s="223"/>
      <c r="BU293" s="222" t="s">
        <v>843</v>
      </c>
      <c r="BV293" s="222"/>
      <c r="BW293" s="222"/>
      <c r="BX293" s="224"/>
      <c r="BY293" s="222"/>
      <c r="BZ293" s="222"/>
      <c r="CA293" s="222"/>
      <c r="CB293" s="222"/>
      <c r="CC293" s="222"/>
      <c r="CD293" s="222"/>
      <c r="CE293" s="222"/>
      <c r="CF293" s="222"/>
      <c r="CG293" s="224"/>
      <c r="CH293" s="222"/>
      <c r="CI293" s="222"/>
      <c r="CJ293" s="223"/>
      <c r="CK293" s="196"/>
      <c r="CL293" s="196"/>
      <c r="CM293" s="196"/>
      <c r="CN293" s="196"/>
      <c r="CO293" s="196"/>
      <c r="CP293" s="196"/>
      <c r="CQ293" s="196"/>
      <c r="CR293" s="196"/>
      <c r="CS293" s="196"/>
      <c r="CT293" s="196"/>
      <c r="CU293" s="196"/>
      <c r="CV293" s="196"/>
      <c r="CW293" s="196"/>
      <c r="CX293" s="196"/>
      <c r="CY293" s="196"/>
      <c r="CZ293" s="196"/>
      <c r="DA293" s="196"/>
      <c r="DB293" s="196"/>
      <c r="DC293" s="196"/>
      <c r="DD293" s="196"/>
      <c r="DE293" s="196"/>
      <c r="DF293" s="196"/>
      <c r="DG293" s="196"/>
      <c r="DH293" s="196"/>
      <c r="DI293" s="196"/>
      <c r="DJ293" s="196"/>
      <c r="DK293" s="196"/>
      <c r="DL293" s="196"/>
      <c r="DM293" s="196"/>
      <c r="DN293" s="196"/>
      <c r="DO293" s="196"/>
      <c r="DP293" s="196"/>
      <c r="DQ293" s="196"/>
      <c r="DR293" s="196"/>
      <c r="DS293" s="196"/>
      <c r="DT293" s="196"/>
      <c r="DU293" s="196"/>
      <c r="DV293" s="196"/>
      <c r="DW293" s="196"/>
      <c r="DX293" s="196"/>
      <c r="DY293" s="196"/>
      <c r="DZ293" s="196"/>
      <c r="EA293" s="196"/>
      <c r="EB293" s="196"/>
      <c r="EC293" s="196"/>
      <c r="ED293" s="196"/>
      <c r="EE293" s="196"/>
      <c r="EF293" s="196"/>
      <c r="EG293" s="196"/>
      <c r="EH293" s="196"/>
      <c r="EI293" s="196"/>
      <c r="EJ293" s="196"/>
      <c r="EK293" s="196"/>
      <c r="EL293" s="196"/>
      <c r="EM293" s="221" t="s">
        <v>7</v>
      </c>
      <c r="EN293" s="222"/>
      <c r="EO293" s="222"/>
      <c r="EP293" s="222"/>
      <c r="EQ293" s="222"/>
      <c r="ER293" s="222"/>
      <c r="ES293" s="222"/>
      <c r="ET293" s="224"/>
      <c r="EU293" s="222"/>
      <c r="EV293" s="222"/>
      <c r="EW293" s="222"/>
      <c r="EX293" s="222"/>
      <c r="EY293" s="222"/>
      <c r="EZ293" s="222"/>
      <c r="FA293" s="222"/>
      <c r="FB293" s="222"/>
      <c r="FC293" s="222"/>
      <c r="FD293" s="222"/>
      <c r="FE293" s="223"/>
      <c r="FF293" s="196"/>
      <c r="FG293" s="196"/>
      <c r="FH293" s="221" t="s">
        <v>12</v>
      </c>
      <c r="FI293" s="222"/>
      <c r="FJ293" s="222"/>
      <c r="FK293" s="222"/>
      <c r="FL293" s="222"/>
      <c r="FM293" s="222"/>
      <c r="FN293" s="222"/>
      <c r="FO293" s="224"/>
      <c r="FP293" s="222"/>
      <c r="FQ293" s="222"/>
      <c r="FR293" s="222"/>
      <c r="FS293" s="222"/>
      <c r="FT293" s="222"/>
      <c r="FU293" s="222"/>
      <c r="FV293" s="222"/>
      <c r="FW293" s="222"/>
      <c r="FX293" s="222"/>
      <c r="FY293" s="222"/>
      <c r="FZ293" s="223"/>
      <c r="GA293" s="196"/>
      <c r="GD293" s="339"/>
      <c r="GE293" s="339"/>
      <c r="GF293" s="339"/>
      <c r="GG293" s="339"/>
      <c r="GH293" s="339"/>
      <c r="GI293" s="339"/>
      <c r="GJ293" s="339"/>
      <c r="GK293" s="339"/>
      <c r="GL293" s="339"/>
      <c r="GM293" s="339"/>
      <c r="GN293" s="339"/>
      <c r="GO293" s="339"/>
      <c r="GP293" s="339"/>
      <c r="GQ293" s="339"/>
      <c r="GR293" s="339"/>
      <c r="GS293" s="339"/>
      <c r="GT293" s="339"/>
      <c r="GU293" s="339"/>
      <c r="GV293" s="339"/>
      <c r="GW293" s="339"/>
      <c r="GX293" s="339"/>
      <c r="GY293" s="339"/>
      <c r="GZ293" s="339"/>
      <c r="HA293" s="339"/>
      <c r="HB293" s="339"/>
      <c r="HC293" s="339"/>
      <c r="HD293" s="339"/>
      <c r="HE293" s="339"/>
      <c r="HF293" s="339"/>
      <c r="HG293" s="339"/>
      <c r="HH293" s="339"/>
      <c r="HI293" s="339"/>
      <c r="HJ293" s="339"/>
      <c r="HK293" s="339"/>
      <c r="HL293" s="339"/>
      <c r="HM293" s="339"/>
      <c r="HN293" s="339"/>
      <c r="HO293" s="339"/>
      <c r="HP293" s="339"/>
      <c r="HQ293" s="339"/>
      <c r="HR293" s="339"/>
    </row>
    <row r="294" spans="1:238" ht="14.1" customHeight="1">
      <c r="B294" s="225"/>
      <c r="C294" s="304"/>
      <c r="D294" s="304"/>
      <c r="E294" s="304"/>
      <c r="F294" s="304"/>
      <c r="G294" s="304"/>
      <c r="H294" s="304"/>
      <c r="I294" s="304"/>
      <c r="J294" s="304"/>
      <c r="K294" s="166"/>
      <c r="L294" s="166"/>
      <c r="M294" s="166"/>
      <c r="N294" s="304"/>
      <c r="O294" s="304"/>
      <c r="P294" s="166"/>
      <c r="Q294" s="166"/>
      <c r="R294" s="304"/>
      <c r="S294" s="304"/>
      <c r="T294" s="304"/>
      <c r="U294" s="304"/>
      <c r="V294" s="304"/>
      <c r="W294" s="304"/>
      <c r="X294" s="166"/>
      <c r="Y294" s="166"/>
      <c r="Z294" s="305"/>
      <c r="AA294" s="63"/>
      <c r="AB294" s="63"/>
      <c r="AC294" s="63"/>
      <c r="AD294" s="63"/>
      <c r="AE294" s="63"/>
      <c r="AF294" s="63"/>
      <c r="AJ294" s="173" t="str">
        <f>IF(AK293="D",CONCATENATE(AI293,".",2),"")</f>
        <v/>
      </c>
      <c r="AL294" s="200"/>
      <c r="AM294" s="200" t="str">
        <f>IF(AK293="D",VLOOKUP(AJ294,'Matchblatt  FEUILLE DE MATCH'!AK:AS,8,FALSE),"")</f>
        <v/>
      </c>
      <c r="AN294" s="200"/>
      <c r="AO294" s="200"/>
      <c r="AP294" s="200"/>
      <c r="AQ294" s="200"/>
      <c r="AR294" s="200"/>
      <c r="AS294" s="200"/>
      <c r="AT294" s="200"/>
      <c r="AU294" s="200"/>
      <c r="AV294" s="200"/>
      <c r="AW294" s="200"/>
      <c r="AX294" s="200"/>
      <c r="AY294" s="200"/>
      <c r="AZ294" s="200"/>
      <c r="BA294" s="200" t="str">
        <f>IF(AK293="D",VLOOKUP(AJ294,'Matchblatt  FEUILLE DE MATCH'!AK:AS,9,FALSE),"")</f>
        <v/>
      </c>
      <c r="BB294" s="63"/>
      <c r="BC294" s="63"/>
      <c r="BD294" s="63"/>
      <c r="BE294" s="63"/>
      <c r="BF294" s="63"/>
      <c r="BG294" s="63"/>
      <c r="BH294" s="63"/>
      <c r="BK294" s="166" t="s">
        <v>7</v>
      </c>
      <c r="BL294" s="166" t="s">
        <v>12</v>
      </c>
      <c r="BM294" s="166"/>
      <c r="BN294" s="166" t="s">
        <v>7</v>
      </c>
      <c r="BO294" s="166" t="s">
        <v>12</v>
      </c>
      <c r="BP294" s="166"/>
      <c r="BQ294" s="226" t="s">
        <v>894</v>
      </c>
      <c r="BR294" s="227" t="s">
        <v>895</v>
      </c>
      <c r="BS294" s="228" t="s">
        <v>896</v>
      </c>
      <c r="BT294" s="229"/>
      <c r="BU294" s="226" t="s">
        <v>7</v>
      </c>
      <c r="BV294" s="166"/>
      <c r="BW294" s="166"/>
      <c r="BX294" s="230"/>
      <c r="BY294" s="166"/>
      <c r="BZ294" s="166"/>
      <c r="CA294" s="227"/>
      <c r="CB294" s="166"/>
      <c r="CC294" s="166"/>
      <c r="CD294" s="226" t="s">
        <v>12</v>
      </c>
      <c r="CE294" s="166"/>
      <c r="CF294" s="166"/>
      <c r="CG294" s="230"/>
      <c r="CH294" s="166"/>
      <c r="CI294" s="166"/>
      <c r="CJ294" s="227"/>
      <c r="CK294" s="166"/>
      <c r="CL294" s="166" t="s">
        <v>897</v>
      </c>
      <c r="CM294" s="166"/>
      <c r="CN294" s="166"/>
      <c r="CO294" s="166"/>
      <c r="CP294" s="166"/>
      <c r="CQ294" s="166"/>
      <c r="CR294" s="166"/>
      <c r="CS294" s="166"/>
      <c r="CT294" s="166"/>
      <c r="CU294" s="166" t="s">
        <v>843</v>
      </c>
      <c r="CV294" s="166"/>
      <c r="CW294" s="166" t="s">
        <v>843</v>
      </c>
      <c r="CX294" s="166"/>
      <c r="CY294" s="166"/>
      <c r="CZ294" s="166"/>
      <c r="DA294" s="166"/>
      <c r="DB294" s="166"/>
      <c r="DC294" s="166"/>
      <c r="DD294" s="166" t="s">
        <v>894</v>
      </c>
      <c r="DE294" s="166" t="s">
        <v>895</v>
      </c>
      <c r="DF294" s="166"/>
      <c r="DG294" s="166" t="s">
        <v>927</v>
      </c>
      <c r="DH294" s="166"/>
      <c r="DI294" s="166"/>
      <c r="DJ294" s="166"/>
      <c r="DK294" s="166"/>
      <c r="DL294" s="166"/>
      <c r="DM294" s="166"/>
      <c r="DN294" s="166" t="s">
        <v>928</v>
      </c>
      <c r="DO294" s="166" t="s">
        <v>929</v>
      </c>
      <c r="DP294" s="166"/>
      <c r="DQ294" s="166"/>
      <c r="DR294" s="166"/>
      <c r="DS294" s="166"/>
      <c r="DT294" s="166"/>
      <c r="DU294" s="166"/>
      <c r="DV294" s="166" t="s">
        <v>894</v>
      </c>
      <c r="DW294" s="166" t="s">
        <v>895</v>
      </c>
      <c r="DX294" s="166"/>
      <c r="DY294" s="166"/>
      <c r="DZ294" s="166"/>
      <c r="EA294" s="166"/>
      <c r="EB294" s="166"/>
      <c r="EC294" s="166"/>
      <c r="ED294" s="166" t="s">
        <v>894</v>
      </c>
      <c r="EE294" s="166" t="s">
        <v>895</v>
      </c>
      <c r="EF294" s="166"/>
      <c r="EG294" s="166"/>
      <c r="EH294" s="166"/>
      <c r="EI294" s="166"/>
      <c r="EJ294" s="166"/>
      <c r="EK294" s="166"/>
      <c r="EL294" s="166"/>
      <c r="EM294" s="166"/>
      <c r="EN294" s="166"/>
      <c r="EO294" s="166"/>
      <c r="EP294" s="166"/>
      <c r="EQ294" s="166"/>
      <c r="ER294" s="166"/>
      <c r="ES294" s="166"/>
      <c r="ET294" s="230"/>
      <c r="EU294" s="166"/>
      <c r="EV294" s="166"/>
      <c r="EW294" s="166"/>
      <c r="EX294" s="166"/>
      <c r="EY294" s="166"/>
      <c r="EZ294" s="166"/>
      <c r="FA294" s="166"/>
      <c r="FB294" s="166"/>
      <c r="FC294" s="166"/>
      <c r="FD294" s="166"/>
      <c r="FE294" s="166"/>
      <c r="FF294" s="166"/>
      <c r="FG294" s="166"/>
      <c r="FH294" s="166"/>
      <c r="FI294" s="166"/>
      <c r="FJ294" s="166"/>
      <c r="FK294" s="166"/>
      <c r="FL294" s="166"/>
      <c r="FM294" s="166"/>
      <c r="FN294" s="166"/>
      <c r="FO294" s="230"/>
      <c r="FP294" s="166"/>
      <c r="FQ294" s="166"/>
      <c r="FR294" s="166"/>
      <c r="FS294" s="166"/>
      <c r="FT294" s="166"/>
      <c r="FU294" s="166"/>
      <c r="FV294" s="166"/>
      <c r="FW294" s="166"/>
      <c r="FX294" s="166"/>
      <c r="FY294" s="166"/>
      <c r="FZ294" s="166"/>
      <c r="GA294" s="166"/>
      <c r="GD294" s="339"/>
      <c r="GE294" s="339"/>
      <c r="GF294" s="339"/>
      <c r="GG294" s="339"/>
      <c r="GH294" s="339"/>
      <c r="GI294" s="339"/>
      <c r="GJ294" s="339"/>
      <c r="GK294" s="339"/>
      <c r="GL294" s="339"/>
      <c r="GM294" s="339"/>
      <c r="GN294" s="339"/>
      <c r="GO294" s="339"/>
      <c r="GP294" s="339"/>
      <c r="GQ294" s="339"/>
      <c r="GR294" s="339"/>
      <c r="GS294" s="339"/>
      <c r="GT294" s="339"/>
      <c r="GU294" s="339"/>
      <c r="GV294" s="339"/>
      <c r="GW294" s="339"/>
      <c r="GX294" s="339"/>
      <c r="GY294" s="339"/>
      <c r="GZ294" s="339"/>
      <c r="HA294" s="339"/>
      <c r="HB294" s="339"/>
      <c r="HC294" s="339"/>
      <c r="HD294" s="339"/>
      <c r="HE294" s="339"/>
      <c r="HF294" s="339"/>
      <c r="HG294" s="339"/>
      <c r="HH294" s="339"/>
      <c r="HI294" s="339"/>
      <c r="HJ294" s="339"/>
      <c r="HK294" s="339"/>
      <c r="HL294" s="339"/>
      <c r="HM294" s="339"/>
      <c r="HN294" s="339"/>
      <c r="HO294" s="339"/>
      <c r="HP294" s="339"/>
      <c r="HQ294" s="339"/>
      <c r="HR294" s="339"/>
    </row>
    <row r="295" spans="1:238" s="234" customFormat="1" ht="20.100000000000001" customHeight="1">
      <c r="A295" s="235"/>
      <c r="B295" s="231"/>
      <c r="C295" s="232" t="str">
        <f>REPT(Sprache!$K$12,1)</f>
        <v>SPIEL</v>
      </c>
      <c r="D295" s="233" t="s">
        <v>869</v>
      </c>
      <c r="E295" s="233" t="str">
        <f>REPT(Sprache!$K$62,1)</f>
        <v>Punkte</v>
      </c>
      <c r="F295" s="233" t="str">
        <f>REPT(Sprache!$K$61,1)</f>
        <v>Rest</v>
      </c>
      <c r="G295" s="233" t="s">
        <v>898</v>
      </c>
      <c r="H295" s="233" t="s">
        <v>848</v>
      </c>
      <c r="I295" s="233">
        <v>180</v>
      </c>
      <c r="J295" s="233" t="str">
        <f>REPT(Sprache!$K$63,1)</f>
        <v>Fehler</v>
      </c>
      <c r="L295" s="306" t="s">
        <v>923</v>
      </c>
      <c r="M295" s="307"/>
      <c r="P295" s="306" t="s">
        <v>923</v>
      </c>
      <c r="R295" s="232" t="str">
        <f>REPT(Sprache!$K$12,1)</f>
        <v>SPIEL</v>
      </c>
      <c r="S295" s="233" t="s">
        <v>869</v>
      </c>
      <c r="T295" s="233" t="str">
        <f>REPT(Sprache!$K$62,1)</f>
        <v>Punkte</v>
      </c>
      <c r="U295" s="233" t="str">
        <f>REPT(Sprache!$K$61,1)</f>
        <v>Rest</v>
      </c>
      <c r="V295" s="233" t="s">
        <v>898</v>
      </c>
      <c r="W295" s="233" t="s">
        <v>848</v>
      </c>
      <c r="X295" s="233">
        <v>180</v>
      </c>
      <c r="Y295" s="233" t="str">
        <f>REPT(Sprache!$K$63,1)</f>
        <v>Fehler</v>
      </c>
      <c r="Z295" s="308"/>
      <c r="AD295" s="235"/>
      <c r="AE295" s="236" t="s">
        <v>966</v>
      </c>
      <c r="AF295" s="236" t="s">
        <v>967</v>
      </c>
      <c r="AG295" s="236" t="s">
        <v>965</v>
      </c>
      <c r="AH295" s="237" t="str">
        <f>LEFT($BM$6,10)</f>
        <v/>
      </c>
      <c r="AI295" s="237" t="str">
        <f>LEFT($BN$6,10)</f>
        <v/>
      </c>
      <c r="AJ295" s="237" t="s">
        <v>898</v>
      </c>
      <c r="AK295" s="237" t="s">
        <v>848</v>
      </c>
      <c r="AL295" s="237">
        <v>180</v>
      </c>
      <c r="AM295" s="237" t="str">
        <f>LEFT($BL$6,50)</f>
        <v/>
      </c>
      <c r="AN295" s="235"/>
      <c r="AO295" s="235"/>
      <c r="AP295" s="235"/>
      <c r="AQ295" s="235"/>
      <c r="AR295" s="235"/>
      <c r="AS295" s="235"/>
      <c r="AT295" s="235"/>
      <c r="AU295" s="235"/>
      <c r="AV295" s="237" t="str">
        <f>LEFT($BM$6,10)</f>
        <v/>
      </c>
      <c r="AW295" s="237" t="str">
        <f>LEFT($BN$6,10)</f>
        <v/>
      </c>
      <c r="AX295" s="237" t="s">
        <v>898</v>
      </c>
      <c r="AY295" s="237" t="s">
        <v>848</v>
      </c>
      <c r="AZ295" s="237">
        <v>180</v>
      </c>
      <c r="BA295" s="237" t="str">
        <f>LEFT($BL$6,50)</f>
        <v/>
      </c>
      <c r="BI295" s="238"/>
      <c r="BJ295" s="238"/>
      <c r="BK295" s="238" t="s">
        <v>165</v>
      </c>
      <c r="BL295" s="238" t="s">
        <v>165</v>
      </c>
      <c r="BM295" s="239" t="s">
        <v>165</v>
      </c>
      <c r="BN295" s="239" t="s">
        <v>899</v>
      </c>
      <c r="BO295" s="239" t="s">
        <v>899</v>
      </c>
      <c r="BP295" s="239" t="s">
        <v>900</v>
      </c>
      <c r="BQ295" s="240" t="s">
        <v>901</v>
      </c>
      <c r="BR295" s="241"/>
      <c r="BS295" s="242" t="s">
        <v>926</v>
      </c>
      <c r="BT295" s="243"/>
      <c r="BU295" s="242" t="s">
        <v>902</v>
      </c>
      <c r="BV295" s="238"/>
      <c r="BW295" s="238"/>
      <c r="BX295" s="244"/>
      <c r="BY295" s="238"/>
      <c r="BZ295" s="238" t="s">
        <v>903</v>
      </c>
      <c r="CA295" s="243" t="s">
        <v>904</v>
      </c>
      <c r="CB295" s="238"/>
      <c r="CC295" s="238"/>
      <c r="CD295" s="242" t="s">
        <v>902</v>
      </c>
      <c r="CE295" s="238"/>
      <c r="CF295" s="238"/>
      <c r="CG295" s="244"/>
      <c r="CH295" s="238"/>
      <c r="CI295" s="238" t="s">
        <v>903</v>
      </c>
      <c r="CJ295" s="243" t="s">
        <v>904</v>
      </c>
      <c r="CK295" s="238"/>
      <c r="CL295" s="245" t="s">
        <v>905</v>
      </c>
      <c r="CM295" s="245" t="s">
        <v>906</v>
      </c>
      <c r="CN295" s="245" t="s">
        <v>907</v>
      </c>
      <c r="CO295" s="245" t="s">
        <v>908</v>
      </c>
      <c r="CP295" s="245" t="s">
        <v>909</v>
      </c>
      <c r="CQ295" s="246" t="s">
        <v>910</v>
      </c>
      <c r="CR295" s="247"/>
      <c r="CS295" s="246" t="s">
        <v>911</v>
      </c>
      <c r="CT295" s="248"/>
      <c r="CU295" s="246" t="s">
        <v>912</v>
      </c>
      <c r="CV295" s="248"/>
      <c r="CW295" s="246" t="s">
        <v>913</v>
      </c>
      <c r="CX295" s="248"/>
      <c r="CY295" s="238"/>
      <c r="CZ295" s="238"/>
      <c r="DA295" s="238"/>
      <c r="DB295" s="238"/>
      <c r="DC295" s="249" t="s">
        <v>165</v>
      </c>
      <c r="DD295" s="249" t="s">
        <v>165</v>
      </c>
      <c r="DE295" s="249" t="s">
        <v>165</v>
      </c>
      <c r="DF295" s="238"/>
      <c r="DG295" s="238" t="s">
        <v>914</v>
      </c>
      <c r="DH295" s="238" t="s">
        <v>930</v>
      </c>
      <c r="DI295" s="238" t="s">
        <v>931</v>
      </c>
      <c r="DK295" s="238" t="s">
        <v>932</v>
      </c>
      <c r="DL295" s="238" t="s">
        <v>933</v>
      </c>
      <c r="DM295" s="238" t="s">
        <v>869</v>
      </c>
      <c r="DN295" s="230" t="s">
        <v>915</v>
      </c>
      <c r="DO295" s="250" t="s">
        <v>915</v>
      </c>
      <c r="DP295" s="322" t="s">
        <v>934</v>
      </c>
      <c r="DQ295" s="238"/>
      <c r="DR295" s="166" t="s">
        <v>894</v>
      </c>
      <c r="DS295" s="166" t="s">
        <v>895</v>
      </c>
      <c r="DT295" s="166" t="s">
        <v>935</v>
      </c>
      <c r="DU295" s="166" t="s">
        <v>936</v>
      </c>
      <c r="DV295" s="251" t="s">
        <v>165</v>
      </c>
      <c r="DW295" s="251" t="s">
        <v>165</v>
      </c>
      <c r="DX295" s="238" t="s">
        <v>916</v>
      </c>
      <c r="DY295" s="238"/>
      <c r="DZ295" s="238"/>
      <c r="EA295" s="238"/>
      <c r="EB295" s="238"/>
      <c r="EC295" s="238"/>
      <c r="ED295" s="251" t="s">
        <v>165</v>
      </c>
      <c r="EE295" s="251" t="s">
        <v>165</v>
      </c>
      <c r="EF295" s="166"/>
      <c r="EG295" s="238"/>
      <c r="EH295" s="238"/>
      <c r="EI295" s="238"/>
      <c r="EJ295" s="238"/>
      <c r="EK295" s="238"/>
      <c r="EL295" s="238"/>
      <c r="EM295" s="238"/>
      <c r="EN295" s="238"/>
      <c r="EO295" s="246" t="s">
        <v>917</v>
      </c>
      <c r="EP295" s="247"/>
      <c r="EQ295" s="247"/>
      <c r="ER295" s="247"/>
      <c r="ES295" s="247"/>
      <c r="ET295" s="252"/>
      <c r="EU295" s="248"/>
      <c r="EV295" s="246" t="s">
        <v>918</v>
      </c>
      <c r="EW295" s="247"/>
      <c r="EX295" s="248"/>
      <c r="EY295" s="251" t="s">
        <v>165</v>
      </c>
      <c r="EZ295" s="246" t="s">
        <v>919</v>
      </c>
      <c r="FA295" s="247"/>
      <c r="FB295" s="248"/>
      <c r="FC295" s="246" t="s">
        <v>920</v>
      </c>
      <c r="FD295" s="247"/>
      <c r="FE295" s="248"/>
      <c r="FF295" s="238"/>
      <c r="FG295" s="238"/>
      <c r="FH295" s="238"/>
      <c r="FI295" s="238"/>
      <c r="FJ295" s="246" t="s">
        <v>917</v>
      </c>
      <c r="FK295" s="247"/>
      <c r="FL295" s="247"/>
      <c r="FM295" s="247"/>
      <c r="FN295" s="247"/>
      <c r="FO295" s="252"/>
      <c r="FP295" s="248"/>
      <c r="FQ295" s="246" t="s">
        <v>918</v>
      </c>
      <c r="FR295" s="247"/>
      <c r="FS295" s="248"/>
      <c r="FT295" s="251" t="s">
        <v>165</v>
      </c>
      <c r="FU295" s="246" t="s">
        <v>919</v>
      </c>
      <c r="FV295" s="247"/>
      <c r="FW295" s="248"/>
      <c r="FX295" s="246" t="s">
        <v>920</v>
      </c>
      <c r="FY295" s="247"/>
      <c r="FZ295" s="248"/>
      <c r="GD295" s="340"/>
      <c r="GE295" s="340"/>
      <c r="GF295" s="341" t="s">
        <v>968</v>
      </c>
      <c r="GG295" s="340"/>
      <c r="GH295" s="340"/>
      <c r="GI295" s="340"/>
      <c r="GJ295" s="341" t="s">
        <v>972</v>
      </c>
      <c r="GK295" s="340"/>
      <c r="GL295" s="340"/>
      <c r="GM295" s="340"/>
      <c r="GN295" s="341" t="s">
        <v>971</v>
      </c>
      <c r="GO295" s="340"/>
      <c r="GP295" s="340"/>
      <c r="GQ295" s="340"/>
      <c r="GR295" s="341" t="s">
        <v>970</v>
      </c>
      <c r="GS295" s="340"/>
      <c r="GT295" s="340"/>
      <c r="GU295" s="340"/>
      <c r="GV295" s="341" t="s">
        <v>969</v>
      </c>
      <c r="GW295" s="340"/>
      <c r="GX295" s="340"/>
      <c r="GY295" s="340"/>
      <c r="GZ295" s="342" t="s">
        <v>973</v>
      </c>
      <c r="HA295" s="340"/>
      <c r="HB295" s="340"/>
      <c r="HC295" s="340"/>
      <c r="HD295" s="342" t="s">
        <v>974</v>
      </c>
      <c r="HE295" s="340"/>
      <c r="HF295" s="340"/>
      <c r="HG295" s="340"/>
      <c r="HH295" s="340"/>
      <c r="HI295" s="340"/>
      <c r="HJ295" s="340"/>
      <c r="HK295" s="340"/>
      <c r="HL295" s="340"/>
      <c r="HM295" s="341"/>
      <c r="HN295" s="341"/>
      <c r="HO295" s="341"/>
      <c r="HP295" s="341"/>
      <c r="HQ295" s="341"/>
      <c r="HR295" s="341"/>
      <c r="HS295" s="238"/>
      <c r="HT295" s="238"/>
      <c r="HU295" s="238"/>
      <c r="HV295" s="238"/>
      <c r="HX295" s="238"/>
      <c r="HY295" s="238"/>
      <c r="HZ295" s="238"/>
      <c r="ID295" s="238"/>
    </row>
    <row r="296" spans="1:238" s="234" customFormat="1" ht="20.100000000000001" customHeight="1">
      <c r="A296" s="235"/>
      <c r="B296" s="231">
        <f>COUNT(AJ297,AJ296)</f>
        <v>0</v>
      </c>
      <c r="C296" s="325" t="str">
        <f>CONCATENATE(BG296,BE296)</f>
        <v>HS</v>
      </c>
      <c r="D296" s="253" t="str">
        <f>REPT(DN296,1)</f>
        <v>1</v>
      </c>
      <c r="E296" s="254" t="str">
        <f>REPT(AH296,1)</f>
        <v/>
      </c>
      <c r="F296" s="168"/>
      <c r="G296" s="168"/>
      <c r="H296" s="168"/>
      <c r="I296" s="169"/>
      <c r="J296" s="255" t="str">
        <f>REPT(AM296,1)</f>
        <v/>
      </c>
      <c r="L296" s="309">
        <f>SUM(BS305)</f>
        <v>0</v>
      </c>
      <c r="M296" s="238"/>
      <c r="N296" s="255" t="str">
        <f>REPT(AP296,1)</f>
        <v/>
      </c>
      <c r="P296" s="309">
        <f>SUM(CF305)</f>
        <v>0</v>
      </c>
      <c r="Q296" s="310"/>
      <c r="R296" s="323" t="str">
        <f>CONCATENATE(BH296,BE296)</f>
        <v>GS</v>
      </c>
      <c r="S296" s="253" t="str">
        <f>REPT(DO296,1)</f>
        <v>1</v>
      </c>
      <c r="T296" s="254" t="str">
        <f>REPT(AV296,1)</f>
        <v/>
      </c>
      <c r="U296" s="168"/>
      <c r="V296" s="168"/>
      <c r="W296" s="168"/>
      <c r="X296" s="169"/>
      <c r="Y296" s="255" t="str">
        <f>REPT(BA296,1)</f>
        <v/>
      </c>
      <c r="Z296" s="308"/>
      <c r="AB296" s="234">
        <f>IF(AY296="",0,IF(AY296&lt;2,1,""))</f>
        <v>0</v>
      </c>
      <c r="AC296" s="238">
        <f>IF(AD296=1,1,IF(AD296=3,1,IF(AD296=2,0,IF(AD296=0,0,0))))</f>
        <v>0</v>
      </c>
      <c r="AD296" s="256">
        <f>SUM(AE296:AG296)</f>
        <v>0</v>
      </c>
      <c r="AE296" s="256">
        <f t="shared" ref="AE296:AE300" si="716">IF(F296="",0,1)</f>
        <v>0</v>
      </c>
      <c r="AF296" s="256">
        <f t="shared" ref="AF296:AF300" si="717">IF(G296="",0,1)</f>
        <v>0</v>
      </c>
      <c r="AG296" s="256">
        <f>IF(H296="",0,1)</f>
        <v>0</v>
      </c>
      <c r="AH296" s="257" t="str">
        <f>IF(AK296="",IF(AI296="","",IF(AI296="",501,501-AI296)),501)</f>
        <v/>
      </c>
      <c r="AI296" s="256" t="str">
        <f>IF(F296&gt;1,F296,IF(F296=0,"",IF(F296="","","")))</f>
        <v/>
      </c>
      <c r="AJ296" s="256" t="str">
        <f>IF(G296&gt;8,G296,IF(G296="","",""))</f>
        <v/>
      </c>
      <c r="AK296" s="256" t="str">
        <f>IF(H296&gt;1,H296,IF(H296="","",""))</f>
        <v/>
      </c>
      <c r="AL296" s="256" t="str">
        <f>IF(I296&gt;0,I296,IF(I296="","",""))</f>
        <v/>
      </c>
      <c r="AM296" s="258" t="str">
        <f>IF(BK296=0,"","X")</f>
        <v/>
      </c>
      <c r="AN296" s="237"/>
      <c r="AO296" s="237"/>
      <c r="AP296" s="258" t="str">
        <f>IF(BM296=0,"","X")</f>
        <v/>
      </c>
      <c r="AQ296" s="236">
        <f>IF(AR296=1,1,IF(AR296=3,1,IF(AR296=2,0,IF(AR296=0,0,0))))</f>
        <v>0</v>
      </c>
      <c r="AR296" s="256">
        <f>SUM(AS296:AU296)</f>
        <v>0</v>
      </c>
      <c r="AS296" s="256">
        <f t="shared" ref="AS296:AS300" si="718">IF(U296="",0,1)</f>
        <v>0</v>
      </c>
      <c r="AT296" s="256">
        <f t="shared" ref="AT296:AT300" si="719">IF(V296="",0,1)</f>
        <v>0</v>
      </c>
      <c r="AU296" s="256">
        <f>IF(W296="",0,1)</f>
        <v>0</v>
      </c>
      <c r="AV296" s="257" t="str">
        <f>IF(AY296="",IF(AW296="","",IF(AW296="",501,501-AW296)),501)</f>
        <v/>
      </c>
      <c r="AW296" s="256" t="str">
        <f>IF(U296&gt;1,U296,IF(U296=0,"",IF(U296="","","")))</f>
        <v/>
      </c>
      <c r="AX296" s="256" t="str">
        <f>IF(V296&gt;8,V296,IF(V296="","",""))</f>
        <v/>
      </c>
      <c r="AY296" s="256" t="str">
        <f>IF(W296&gt;1,W296,IF(W296="","",""))</f>
        <v/>
      </c>
      <c r="AZ296" s="256" t="str">
        <f>IF(X296&gt;0,X296,IF(X296="","",""))</f>
        <v/>
      </c>
      <c r="BA296" s="258" t="str">
        <f>IF(BL296=0,"","X")</f>
        <v/>
      </c>
      <c r="BF296" s="238" t="s">
        <v>894</v>
      </c>
      <c r="BG296" s="238" t="str">
        <f>CONCATENATE(BF296,AK293)</f>
        <v>HS</v>
      </c>
      <c r="BH296" s="238" t="str">
        <f>CONCATENATE(BI296,AK293)</f>
        <v>GS</v>
      </c>
      <c r="BI296" s="238" t="s">
        <v>895</v>
      </c>
      <c r="BJ296" s="238"/>
      <c r="BK296" s="251">
        <f>SUM(DD296,DV296,EY296,ED296,FF296,BQ296,BS296,AC296)</f>
        <v>0</v>
      </c>
      <c r="BL296" s="251">
        <f>SUM(DE296,DW296,EE296,FT296,GA296,BR296,BT296,AQ296)</f>
        <v>0</v>
      </c>
      <c r="BM296" s="259">
        <f>SUM(DC296,BK296:BL296,AC296,AQ296)</f>
        <v>0</v>
      </c>
      <c r="BN296" s="239">
        <f>COUNT(AK296)</f>
        <v>0</v>
      </c>
      <c r="BO296" s="239">
        <f>COUNT(AY296)</f>
        <v>0</v>
      </c>
      <c r="BP296" s="239">
        <f>IF(BN298=0,0,1)</f>
        <v>0</v>
      </c>
      <c r="BQ296" s="260">
        <f>IF(AL296="",0,IF(AL296&gt;2,1,0))</f>
        <v>0</v>
      </c>
      <c r="BR296" s="261">
        <f>IF(AZ296="",0,IF(AZ296&gt;2,1,0))</f>
        <v>0</v>
      </c>
      <c r="BS296" s="262">
        <f>IF(AJ296=9,IF(AK296&lt;141,1,0),0)</f>
        <v>0</v>
      </c>
      <c r="BT296" s="263">
        <f>IF(AX296=9,IF(AY296&lt;141,1,0),0)</f>
        <v>0</v>
      </c>
      <c r="BU296" s="242">
        <f>IF(H296,G296,0)</f>
        <v>0</v>
      </c>
      <c r="BV296" s="238">
        <f>IF(BU296&gt;0,AJ296/3,0)</f>
        <v>0</v>
      </c>
      <c r="BW296" s="238">
        <f>ROUNDUP(BV296,0)</f>
        <v>0</v>
      </c>
      <c r="BX296" s="244">
        <f>IF(MOD(BW296,2)=0,BW296,BW296+1)</f>
        <v>0</v>
      </c>
      <c r="BY296" s="238">
        <f>IF(AJ296&lt;9,"",SUM(BX296-BW296))</f>
        <v>0</v>
      </c>
      <c r="BZ296" s="238">
        <f>IF(BY296=1,AK296,0)</f>
        <v>0</v>
      </c>
      <c r="CA296" s="243" t="str">
        <f>IF(BY296=0,AK296,0)</f>
        <v/>
      </c>
      <c r="CB296" s="238"/>
      <c r="CC296" s="238"/>
      <c r="CD296" s="242">
        <f>IF(W296,V296,0)</f>
        <v>0</v>
      </c>
      <c r="CE296" s="238">
        <f>IF(CD296&gt;0,AX296/3,0)</f>
        <v>0</v>
      </c>
      <c r="CF296" s="238">
        <f>ROUNDUP(CE296,0)</f>
        <v>0</v>
      </c>
      <c r="CG296" s="244">
        <f>IF(MOD(CF296,2)=0,CF296,CF296+1)</f>
        <v>0</v>
      </c>
      <c r="CH296" s="238">
        <f>IF(AX296&lt;9,"",SUM(CG296-CF296))</f>
        <v>0</v>
      </c>
      <c r="CI296" s="238">
        <f>IF(CH296=1,AY296,0)</f>
        <v>0</v>
      </c>
      <c r="CJ296" s="243" t="str">
        <f>IF(CH296=0,AY296,0)</f>
        <v/>
      </c>
      <c r="CK296" s="238"/>
      <c r="CL296" s="245">
        <f>IF(COUNT(F296,H296)=1,0,1)</f>
        <v>1</v>
      </c>
      <c r="CM296" s="245">
        <f>IF(COUNT(F296,U296)=1,0,1)</f>
        <v>1</v>
      </c>
      <c r="CN296" s="245">
        <f>IF(COUNT(H296,W296)=1,0,1)</f>
        <v>1</v>
      </c>
      <c r="CO296" s="245">
        <f>IF(COUNT(G296,V296)=2,0,1)</f>
        <v>1</v>
      </c>
      <c r="CP296" s="245">
        <f>IF(COUNT(U296,W296)=1,0,1)</f>
        <v>1</v>
      </c>
      <c r="CQ296" s="245">
        <f>IF(SUM(G296-V296)&gt;3,1,0)</f>
        <v>0</v>
      </c>
      <c r="CR296" s="245">
        <f>IF(SUM(G296-V296)&lt;-3,1,0)</f>
        <v>0</v>
      </c>
      <c r="CS296" s="264">
        <f>IF(AJ296=9,IF(AH296&lt;141,1,0),IF(AH296="",0,IF(AH296&gt;1,0,1)))</f>
        <v>0</v>
      </c>
      <c r="CT296" s="264">
        <f>IF(AX296=9,IF(AV296&lt;141,1,0),IF(AV296="",0,IF(AV296&gt;1,0,1)))</f>
        <v>0</v>
      </c>
      <c r="CU296" s="264">
        <f>IF(AI296="",0,IF(AI296&lt;502,0,1))</f>
        <v>0</v>
      </c>
      <c r="CV296" s="264">
        <f>IF(AW296="",0,IF(AW296&lt;502,0,1))</f>
        <v>0</v>
      </c>
      <c r="CW296" s="264">
        <f>IF(AI296="",IF(AJ296&lt;9,1,0),IF(AJ296&lt;9,1,0))</f>
        <v>0</v>
      </c>
      <c r="CX296" s="264">
        <f>IF(AW296="",IF(AX296&lt;9,1,0),IF(AX296&lt;9,1,0))</f>
        <v>0</v>
      </c>
      <c r="CY296" s="374"/>
      <c r="CZ296" s="374"/>
      <c r="DA296" s="374"/>
      <c r="DB296" s="374"/>
      <c r="DC296" s="265">
        <f>IF(AJ296="",0,SUM(CL296:CX296))</f>
        <v>0</v>
      </c>
      <c r="DD296" s="265">
        <f>IF(AJ296="",0,SUM(CL296,CS296,CU296,CW296))</f>
        <v>0</v>
      </c>
      <c r="DE296" s="265">
        <f>IF(AJ296="",0,SUM(CP296,CT296,CV296,CX296))</f>
        <v>0</v>
      </c>
      <c r="DF296" s="238"/>
      <c r="DG296" s="248" t="str">
        <f>IF(G296="","",SUM(G296-V296))</f>
        <v/>
      </c>
      <c r="DH296" s="245">
        <f>IF(F296="",0,1)</f>
        <v>0</v>
      </c>
      <c r="DI296" s="245" t="str">
        <f>IF(DG296=0,DH296,DG296)</f>
        <v/>
      </c>
      <c r="DJ296" s="245" t="e">
        <f>SIGN(DI296)</f>
        <v>#VALUE!</v>
      </c>
      <c r="DK296" s="245" t="str">
        <f>IF(G296="","",IF(DJ296=1,"*",""))</f>
        <v/>
      </c>
      <c r="DL296" s="245" t="str">
        <f>IF(G296="","",IF(DJ296=-1,"*",IF(DJ296=0,"*","")))</f>
        <v/>
      </c>
      <c r="DM296" s="245">
        <v>1</v>
      </c>
      <c r="DN296" s="245" t="str">
        <f>CONCATENATE(DM296,DK296)</f>
        <v>1</v>
      </c>
      <c r="DO296" s="245" t="str">
        <f>CONCATENATE(DM296,DL296)</f>
        <v>1</v>
      </c>
      <c r="DP296" s="245">
        <f>IF(DK296="*",1,0)</f>
        <v>0</v>
      </c>
      <c r="DQ296" s="245">
        <f>IF(DL296="*",1,0)</f>
        <v>0</v>
      </c>
      <c r="DR296" s="245"/>
      <c r="DS296" s="245"/>
      <c r="DT296" s="245"/>
      <c r="DU296" s="245"/>
      <c r="DV296" s="266"/>
      <c r="DW296" s="266"/>
      <c r="DX296" s="238">
        <f>IF(AK296="",0,1)</f>
        <v>0</v>
      </c>
      <c r="DY296" s="238">
        <f>IF(DG296=-3,1,0)</f>
        <v>0</v>
      </c>
      <c r="DZ296" s="238">
        <f>SUM(DX296:DY296)</f>
        <v>0</v>
      </c>
      <c r="EA296" s="238">
        <f>IF(AK296="",1,0)</f>
        <v>1</v>
      </c>
      <c r="EB296" s="238">
        <f>IF(DG296=3,1,0)</f>
        <v>0</v>
      </c>
      <c r="EC296" s="238">
        <f>SUM(EA296:EB296)</f>
        <v>1</v>
      </c>
      <c r="ED296" s="267">
        <f>IF(EC296=2,1,0)</f>
        <v>0</v>
      </c>
      <c r="EE296" s="267">
        <f>IF(DZ296=2,1,0)</f>
        <v>0</v>
      </c>
      <c r="EG296" s="166"/>
      <c r="EH296" s="238"/>
      <c r="EI296" s="238"/>
      <c r="EJ296" s="238"/>
      <c r="EK296" s="238"/>
      <c r="EL296" s="238"/>
      <c r="EM296" s="245">
        <f>IF(AK296="",0,1)</f>
        <v>0</v>
      </c>
      <c r="EN296" s="245">
        <f>SUM(AK296)</f>
        <v>0</v>
      </c>
      <c r="EO296" s="268">
        <f>SUM(AJ296)</f>
        <v>0</v>
      </c>
      <c r="EP296" s="268">
        <f>SUM(G296/3)</f>
        <v>0</v>
      </c>
      <c r="EQ296" s="268" t="e">
        <f>SUM(EO296/EP296)</f>
        <v>#DIV/0!</v>
      </c>
      <c r="ER296" s="268">
        <f>ROUNDDOWN(EP296,0)</f>
        <v>0</v>
      </c>
      <c r="ES296" s="268">
        <f>SUM(EO296,-ER296*3)</f>
        <v>0</v>
      </c>
      <c r="ET296" s="269" t="b">
        <f>MOD(EN296/1,2)=0</f>
        <v>1</v>
      </c>
      <c r="EU296" s="245">
        <f>IF(ET296=FALSE,1,0)</f>
        <v>0</v>
      </c>
      <c r="EV296" s="245">
        <f>IF(EN296=50,0,IF(EN296&lt;40,1,0))</f>
        <v>1</v>
      </c>
      <c r="EW296" s="245">
        <f>SUM(EU296:EV296)</f>
        <v>1</v>
      </c>
      <c r="EX296" s="267">
        <f>IF(EN296=1,1,IF(EN296=50,0,IF(ES296=1,IF(EN296&gt;40,1,0),0)))</f>
        <v>0</v>
      </c>
      <c r="EY296" s="267">
        <f>IF(ES296=1,IF(EW296=2,1,0),0)+EX296+FB296+FE296</f>
        <v>0</v>
      </c>
      <c r="EZ296" s="245">
        <f>IF(EN296=109,1,IF(EN296=108,1,IF(EN296=106,1,IF(EN296=105,1,IF(EN296=103,1,IF(EN296=102,1,IF(EN296=99,1,0)))))))</f>
        <v>0</v>
      </c>
      <c r="FA296" s="245">
        <f>IF(EN296&gt;110,1,0)</f>
        <v>0</v>
      </c>
      <c r="FB296" s="267">
        <f>IF(ES296=2,SUM(EZ296:FA296),0)</f>
        <v>0</v>
      </c>
      <c r="FC296" s="245">
        <f>IF(EN296=159,1,IF(EN296=162,1,IF(EN296=163,1,IF(EN296=165,1,IF(EN296=166,1,IF(EN296=168,1,IF(EN296=169,1,0)))))))</f>
        <v>0</v>
      </c>
      <c r="FD296" s="245">
        <f>IF(EN296&gt;170,1,0)</f>
        <v>0</v>
      </c>
      <c r="FE296" s="267">
        <f>IF(ES296=0,SUM(FC296:FD296),0)</f>
        <v>0</v>
      </c>
      <c r="FF296" s="251">
        <f>IF(AJ296="",0,IF(AI296="",0,IF(EO296/ER296-3=0,0,1)))</f>
        <v>0</v>
      </c>
      <c r="FG296" s="238"/>
      <c r="FH296" s="245">
        <f>IF(AY296="",0,1)</f>
        <v>0</v>
      </c>
      <c r="FI296" s="245">
        <f>SUM(AY296)</f>
        <v>0</v>
      </c>
      <c r="FJ296" s="268">
        <f>SUM(AX296)</f>
        <v>0</v>
      </c>
      <c r="FK296" s="268">
        <f>SUM(V296/3)</f>
        <v>0</v>
      </c>
      <c r="FL296" s="268" t="e">
        <f>SUM(FJ296/FK296)</f>
        <v>#DIV/0!</v>
      </c>
      <c r="FM296" s="268">
        <f>ROUNDDOWN(FK296,0)</f>
        <v>0</v>
      </c>
      <c r="FN296" s="268">
        <f>SUM(FJ296,-FM296*3)</f>
        <v>0</v>
      </c>
      <c r="FO296" s="269" t="b">
        <f>MOD(FI296/1,2)=0</f>
        <v>1</v>
      </c>
      <c r="FP296" s="245">
        <f>IF(FO296=FALSE,1,0)</f>
        <v>0</v>
      </c>
      <c r="FQ296" s="245">
        <f>IF(FI296=50,0,IF(FI296&lt;40,1,0))</f>
        <v>1</v>
      </c>
      <c r="FR296" s="245">
        <f>SUM(FP296:FQ296)</f>
        <v>1</v>
      </c>
      <c r="FS296" s="267">
        <f>IF(FI296=1,1,IF(FI296=50,0,IF(FN296=1,IF(FI296&gt;40,1,0),0)))</f>
        <v>0</v>
      </c>
      <c r="FT296" s="267">
        <f>IF(FN296=1,IF(FR296=2,1,0),0)+FS296+FW296+FZ296</f>
        <v>0</v>
      </c>
      <c r="FU296" s="245">
        <f>IF(FI296=109,1,IF(FI296=108,1,IF(FI296=106,1,IF(FI296=105,1,IF(FI296=103,1,IF(FI296=102,1,IF(FI296=99,1,0)))))))</f>
        <v>0</v>
      </c>
      <c r="FV296" s="245">
        <f>IF(FI296&gt;110,1,0)</f>
        <v>0</v>
      </c>
      <c r="FW296" s="267">
        <f>IF(FN296=2,SUM(FU296:FV296),0)</f>
        <v>0</v>
      </c>
      <c r="FX296" s="245">
        <f>IF(FI296=159,1,IF(FI296=162,1,IF(FI296=163,1,IF(FI296=165,1,IF(FI296=166,1,IF(FI296=168,1,IF(FI296=169,1,0)))))))</f>
        <v>0</v>
      </c>
      <c r="FY296" s="245">
        <f>IF(FI296&gt;170,1,0)</f>
        <v>0</v>
      </c>
      <c r="FZ296" s="267">
        <f>IF(FN296=0,SUM(FX296:FY296),0)</f>
        <v>0</v>
      </c>
      <c r="GA296" s="251">
        <f>IF(AX296="",0,IF(AW296="",0,IF(FJ296/FM296-3=0,0,1)))</f>
        <v>0</v>
      </c>
      <c r="GD296" s="341">
        <f>IF(AK293="D",1,0)</f>
        <v>0</v>
      </c>
      <c r="GE296" s="343"/>
      <c r="GF296" s="343" t="s">
        <v>866</v>
      </c>
      <c r="GG296" s="343" t="s">
        <v>868</v>
      </c>
      <c r="GH296" s="343" t="s">
        <v>848</v>
      </c>
      <c r="GI296" s="343">
        <v>180</v>
      </c>
      <c r="GJ296" s="343" t="s">
        <v>866</v>
      </c>
      <c r="GK296" s="343" t="s">
        <v>868</v>
      </c>
      <c r="GL296" s="343" t="s">
        <v>848</v>
      </c>
      <c r="GM296" s="343">
        <v>180</v>
      </c>
      <c r="GN296" s="343" t="s">
        <v>866</v>
      </c>
      <c r="GO296" s="343" t="s">
        <v>868</v>
      </c>
      <c r="GP296" s="343" t="s">
        <v>848</v>
      </c>
      <c r="GQ296" s="343">
        <v>180</v>
      </c>
      <c r="GR296" s="343" t="s">
        <v>866</v>
      </c>
      <c r="GS296" s="343" t="s">
        <v>868</v>
      </c>
      <c r="GT296" s="343" t="s">
        <v>848</v>
      </c>
      <c r="GU296" s="343">
        <v>180</v>
      </c>
      <c r="GV296" s="343" t="s">
        <v>866</v>
      </c>
      <c r="GW296" s="343" t="s">
        <v>868</v>
      </c>
      <c r="GX296" s="343" t="s">
        <v>848</v>
      </c>
      <c r="GY296" s="343">
        <v>180</v>
      </c>
      <c r="GZ296" s="343" t="s">
        <v>866</v>
      </c>
      <c r="HA296" s="343" t="s">
        <v>868</v>
      </c>
      <c r="HB296" s="343" t="s">
        <v>848</v>
      </c>
      <c r="HC296" s="343">
        <v>180</v>
      </c>
      <c r="HD296" s="343" t="s">
        <v>866</v>
      </c>
      <c r="HE296" s="343" t="s">
        <v>868</v>
      </c>
      <c r="HF296" s="341" t="s">
        <v>975</v>
      </c>
      <c r="HG296" s="341" t="s">
        <v>976</v>
      </c>
      <c r="HH296" s="341" t="s">
        <v>899</v>
      </c>
      <c r="HJ296" s="238"/>
      <c r="HK296" s="238"/>
      <c r="HL296" s="238"/>
      <c r="HM296" s="238">
        <f>COUNT(HI297,HJ297,HK297,HL297,HM297)</f>
        <v>0</v>
      </c>
      <c r="HN296" s="341"/>
      <c r="HO296" s="341"/>
      <c r="HP296" s="341"/>
      <c r="HQ296" s="341"/>
      <c r="HR296" s="341"/>
      <c r="HS296" s="238"/>
      <c r="HT296" s="238"/>
      <c r="HU296" s="238"/>
      <c r="HV296" s="238"/>
      <c r="HX296" s="238"/>
      <c r="HY296" s="238"/>
      <c r="ID296" s="238"/>
    </row>
    <row r="297" spans="1:238" s="234" customFormat="1" ht="20.100000000000001" customHeight="1">
      <c r="A297" s="235"/>
      <c r="B297" s="231">
        <f>COUNT(AJ298,AJ297)</f>
        <v>0</v>
      </c>
      <c r="C297" s="326">
        <f>IF(DK296="*",AJ293,AI293)</f>
        <v>3.1</v>
      </c>
      <c r="D297" s="253" t="str">
        <f>REPT(DN297,1)</f>
        <v>2</v>
      </c>
      <c r="E297" s="254" t="str">
        <f>REPT(AH297,1)</f>
        <v/>
      </c>
      <c r="F297" s="168"/>
      <c r="G297" s="168"/>
      <c r="H297" s="168"/>
      <c r="I297" s="169"/>
      <c r="J297" s="270" t="str">
        <f>REPT(AM297,1)</f>
        <v/>
      </c>
      <c r="L297" s="306" t="s">
        <v>922</v>
      </c>
      <c r="M297" s="311"/>
      <c r="N297" s="270" t="str">
        <f>REPT(AP297,1)</f>
        <v/>
      </c>
      <c r="P297" s="306" t="s">
        <v>922</v>
      </c>
      <c r="Q297" s="310"/>
      <c r="R297" s="324">
        <f>IF(DL296="*",AJ293,AI293)</f>
        <v>3.1</v>
      </c>
      <c r="S297" s="253" t="str">
        <f>REPT(DO297,1)</f>
        <v>2</v>
      </c>
      <c r="T297" s="254" t="str">
        <f>REPT(AV297,1)</f>
        <v/>
      </c>
      <c r="U297" s="168"/>
      <c r="V297" s="168"/>
      <c r="W297" s="168"/>
      <c r="X297" s="169"/>
      <c r="Y297" s="270" t="str">
        <f t="shared" ref="Y297:Y299" si="720">REPT(BA297,1)</f>
        <v/>
      </c>
      <c r="Z297" s="308"/>
      <c r="AB297" s="234">
        <f>IF(AY297="",0,IF(AY297&lt;2,1,""))</f>
        <v>0</v>
      </c>
      <c r="AC297" s="238">
        <f t="shared" ref="AC297:AC298" si="721">IF(AD297=1,1,IF(AD297=3,1,IF(AD297=2,0,IF(AD297=0,0,0))))</f>
        <v>0</v>
      </c>
      <c r="AD297" s="256">
        <f t="shared" ref="AD297:AD300" si="722">SUM(AE297:AG297)</f>
        <v>0</v>
      </c>
      <c r="AE297" s="256">
        <f t="shared" si="716"/>
        <v>0</v>
      </c>
      <c r="AF297" s="256">
        <f t="shared" si="717"/>
        <v>0</v>
      </c>
      <c r="AG297" s="256">
        <f t="shared" ref="AG297:AG300" si="723">IF(H297="",0,1)</f>
        <v>0</v>
      </c>
      <c r="AH297" s="257" t="str">
        <f>IF(AK297="",IF(AI297="","",IF(AI297="",501,501-AI297)),501)</f>
        <v/>
      </c>
      <c r="AI297" s="256" t="str">
        <f>IF(F297&gt;1,F297,IF(F297=0,"",IF(F297="","","")))</f>
        <v/>
      </c>
      <c r="AJ297" s="256" t="str">
        <f>IF(G297&gt;8,G297,IF(G297="","",""))</f>
        <v/>
      </c>
      <c r="AK297" s="256" t="str">
        <f>IF(H297&gt;1,H297,IF(H297="","",""))</f>
        <v/>
      </c>
      <c r="AL297" s="256" t="str">
        <f>IF(I297&gt;0,I297,IF(I297="","",""))</f>
        <v/>
      </c>
      <c r="AM297" s="258" t="str">
        <f>IF(BK297=0,"","X")</f>
        <v/>
      </c>
      <c r="AN297" s="237"/>
      <c r="AO297" s="237"/>
      <c r="AP297" s="258" t="str">
        <f>IF(BM297=0,"","X")</f>
        <v/>
      </c>
      <c r="AQ297" s="236">
        <f t="shared" ref="AQ297:AQ298" si="724">IF(AR297=1,1,IF(AR297=3,1,IF(AR297=2,0,IF(AR297=0,0,0))))</f>
        <v>0</v>
      </c>
      <c r="AR297" s="256">
        <f t="shared" ref="AR297:AR300" si="725">SUM(AS297:AU297)</f>
        <v>0</v>
      </c>
      <c r="AS297" s="256">
        <f t="shared" si="718"/>
        <v>0</v>
      </c>
      <c r="AT297" s="256">
        <f t="shared" si="719"/>
        <v>0</v>
      </c>
      <c r="AU297" s="256">
        <f t="shared" ref="AU297:AU300" si="726">IF(W297="",0,1)</f>
        <v>0</v>
      </c>
      <c r="AV297" s="257" t="str">
        <f>IF(AY297="",IF(AW297="","",IF(AW297="",501,501-AW297)),501)</f>
        <v/>
      </c>
      <c r="AW297" s="256" t="str">
        <f>IF(U297&gt;1,U297,IF(U297=0,"",IF(U297="","","")))</f>
        <v/>
      </c>
      <c r="AX297" s="256" t="str">
        <f>IF(V297&gt;8,V297,IF(V297="","",""))</f>
        <v/>
      </c>
      <c r="AY297" s="256" t="str">
        <f>IF(W297&gt;1,W297,IF(W297="","",""))</f>
        <v/>
      </c>
      <c r="AZ297" s="256" t="str">
        <f>IF(X297&gt;0,X297,IF(X297="","",""))</f>
        <v/>
      </c>
      <c r="BA297" s="258" t="str">
        <f>IF(BL297=0,"","X")</f>
        <v/>
      </c>
      <c r="BK297" s="251">
        <f>SUM(DD297,DV297,EY297,ED297,FF297,BQ297,BS297,AC297)</f>
        <v>0</v>
      </c>
      <c r="BL297" s="251">
        <f>SUM(DE297,DW297,EE297,FT297,GA297,BR297,BT297,AQ297)</f>
        <v>0</v>
      </c>
      <c r="BM297" s="259">
        <f t="shared" ref="BM297:BM298" si="727">SUM(DC297,BK297:BL297,AC297,AQ297)</f>
        <v>0</v>
      </c>
      <c r="BN297" s="239">
        <f>COUNT(AK297)</f>
        <v>0</v>
      </c>
      <c r="BO297" s="239">
        <f>COUNT(AY297)</f>
        <v>0</v>
      </c>
      <c r="BP297" s="239">
        <f>IF(BN299=0,0,1)</f>
        <v>0</v>
      </c>
      <c r="BQ297" s="260">
        <f>IF(AL297="",0,IF(AL297&gt;2,1,0))</f>
        <v>0</v>
      </c>
      <c r="BR297" s="261">
        <f>IF(AZ297="",0,IF(AZ297&gt;2,1,0))</f>
        <v>0</v>
      </c>
      <c r="BS297" s="262">
        <f>IF(AJ297=9,IF(AK297&lt;141,1,0),0)</f>
        <v>0</v>
      </c>
      <c r="BT297" s="263">
        <f>IF(AX297=9,IF(AY297&lt;141,1,0),0)</f>
        <v>0</v>
      </c>
      <c r="BU297" s="242">
        <f>IF(H297,G297,0)</f>
        <v>0</v>
      </c>
      <c r="BV297" s="238">
        <f>IF(BU297&gt;0,AJ297/3,0)</f>
        <v>0</v>
      </c>
      <c r="BW297" s="238">
        <f>ROUNDUP(BV297,0)</f>
        <v>0</v>
      </c>
      <c r="BX297" s="244">
        <f>IF(MOD(BW297,2)=0,BW297,BW297+1)</f>
        <v>0</v>
      </c>
      <c r="BY297" s="238">
        <f>IF(AJ297&lt;9,"",SUM(BX297-BW297))</f>
        <v>0</v>
      </c>
      <c r="BZ297" s="238">
        <f>IF(BY297=1,AK297,0)</f>
        <v>0</v>
      </c>
      <c r="CA297" s="243" t="str">
        <f>IF(BY297=0,AK297,0)</f>
        <v/>
      </c>
      <c r="CB297" s="238"/>
      <c r="CC297" s="238"/>
      <c r="CD297" s="242">
        <f>IF(W297,V297,0)</f>
        <v>0</v>
      </c>
      <c r="CE297" s="238">
        <f>IF(CD297&gt;0,AX297/3,0)</f>
        <v>0</v>
      </c>
      <c r="CF297" s="238">
        <f>ROUNDUP(CE297,0)</f>
        <v>0</v>
      </c>
      <c r="CG297" s="244">
        <f>IF(MOD(CF297,2)=0,CF297,CF297+1)</f>
        <v>0</v>
      </c>
      <c r="CH297" s="238">
        <f>IF(AX297&lt;9,"",SUM(CG297-CF297))</f>
        <v>0</v>
      </c>
      <c r="CI297" s="238">
        <f>IF(CH297=1,AY297,0)</f>
        <v>0</v>
      </c>
      <c r="CJ297" s="243" t="str">
        <f>IF(CH297=0,AY297,0)</f>
        <v/>
      </c>
      <c r="CK297" s="238"/>
      <c r="CL297" s="245">
        <f>IF(COUNT(F297,H297)=1,0,1)</f>
        <v>1</v>
      </c>
      <c r="CM297" s="245">
        <f>IF(COUNT(F297,U297)=1,0,1)</f>
        <v>1</v>
      </c>
      <c r="CN297" s="245">
        <f>IF(COUNT(H297,W297)=1,0,1)</f>
        <v>1</v>
      </c>
      <c r="CO297" s="245">
        <f>IF(COUNT(G297,V297)=2,0,1)</f>
        <v>1</v>
      </c>
      <c r="CP297" s="245">
        <f>IF(COUNT(U297,W297)=1,0,1)</f>
        <v>1</v>
      </c>
      <c r="CQ297" s="245">
        <f>IF(SUM(G297-V297)&gt;3,1,0)</f>
        <v>0</v>
      </c>
      <c r="CR297" s="245">
        <f>IF(SUM(G297-V297)&lt;-3,1,0)</f>
        <v>0</v>
      </c>
      <c r="CS297" s="264">
        <f>IF(AJ297=9,IF(AH297&lt;141,1,0),IF(AH297="",0,IF(AH297&gt;1,0,1)))</f>
        <v>0</v>
      </c>
      <c r="CT297" s="264">
        <f>IF(AX297=9,IF(AV297&lt;141,1,0),IF(AV297="",0,IF(AV297&gt;1,0,1)))</f>
        <v>0</v>
      </c>
      <c r="CU297" s="264">
        <f>IF(AI297="",0,IF(AI297&lt;502,0,1))</f>
        <v>0</v>
      </c>
      <c r="CV297" s="264">
        <f>IF(AW297="",0,IF(AW297&lt;502,0,1))</f>
        <v>0</v>
      </c>
      <c r="CW297" s="264">
        <f>IF(AI297="",IF(AJ297&lt;9,1,0),IF(AJ297&lt;9,1,0))</f>
        <v>0</v>
      </c>
      <c r="CX297" s="264">
        <f>IF(AW297="",IF(AX297&lt;9,1,0),IF(AX297&lt;9,1,0))</f>
        <v>0</v>
      </c>
      <c r="CY297" s="374"/>
      <c r="CZ297" s="374"/>
      <c r="DA297" s="374"/>
      <c r="DB297" s="374"/>
      <c r="DC297" s="265">
        <f>IF(AJ297="",0,SUM(CL297:CX297))</f>
        <v>0</v>
      </c>
      <c r="DD297" s="265">
        <f>IF(AJ297="",0,SUM(CL297,CS297,CU297,CW297))</f>
        <v>0</v>
      </c>
      <c r="DE297" s="265">
        <f>IF(AJ297="",0,SUM(CP297,CT297,CV297,CX297))</f>
        <v>0</v>
      </c>
      <c r="DF297" s="238"/>
      <c r="DG297" s="248">
        <f>SUM(G297-V297)</f>
        <v>0</v>
      </c>
      <c r="DH297" s="245">
        <f>IF(F297="",0,1)</f>
        <v>0</v>
      </c>
      <c r="DI297" s="245">
        <f t="shared" ref="DI297:DI300" si="728">IF(DG297=0,DH297,DG297)</f>
        <v>0</v>
      </c>
      <c r="DJ297" s="245">
        <f t="shared" ref="DJ297:DJ300" si="729">SIGN(DI297)</f>
        <v>0</v>
      </c>
      <c r="DK297" s="245" t="str">
        <f>IF(G297="","",IF(DJ297=1,"*",""))</f>
        <v/>
      </c>
      <c r="DL297" s="245" t="str">
        <f>IF(G297="","",IF(DJ297=-1,"*",IF(DJ297=0,"*","")))</f>
        <v/>
      </c>
      <c r="DM297" s="245">
        <v>2</v>
      </c>
      <c r="DN297" s="245" t="str">
        <f t="shared" ref="DN297:DN300" si="730">CONCATENATE(DM297,DK297)</f>
        <v>2</v>
      </c>
      <c r="DO297" s="245" t="str">
        <f t="shared" ref="DO297:DO300" si="731">CONCATENATE(DM297,DL297)</f>
        <v>2</v>
      </c>
      <c r="DP297" s="245">
        <f>SUM(DQ296)</f>
        <v>0</v>
      </c>
      <c r="DQ297" s="245">
        <f>SUM(DP296)</f>
        <v>0</v>
      </c>
      <c r="DR297" s="245">
        <f>IF(DK297="*",1,0)</f>
        <v>0</v>
      </c>
      <c r="DS297" s="245">
        <f>IF(DL297="*",1,0)</f>
        <v>0</v>
      </c>
      <c r="DT297" s="245">
        <f>IF(H287="",0,IF(DP297=DR297,1,0))</f>
        <v>0</v>
      </c>
      <c r="DU297" s="245">
        <f>IF(V297="",0,IF(DQ297=DS297,0,1))</f>
        <v>0</v>
      </c>
      <c r="DV297" s="267">
        <f>SUM(DT297)</f>
        <v>0</v>
      </c>
      <c r="DW297" s="267">
        <f>IF(V297="",0,SUM(DU297))</f>
        <v>0</v>
      </c>
      <c r="DX297" s="238">
        <f>IF(AK297="",0,1)</f>
        <v>0</v>
      </c>
      <c r="DY297" s="238">
        <f>IF(DG297=-3,1,0)</f>
        <v>0</v>
      </c>
      <c r="DZ297" s="238">
        <f>SUM(DX297:DY297)</f>
        <v>0</v>
      </c>
      <c r="EA297" s="238">
        <f>IF(AK297="",1,0)</f>
        <v>1</v>
      </c>
      <c r="EB297" s="238">
        <f>IF(DG297=3,1,0)</f>
        <v>0</v>
      </c>
      <c r="EC297" s="238">
        <f>SUM(EA297:EB297)</f>
        <v>1</v>
      </c>
      <c r="ED297" s="267">
        <f>IF(EC297=2,1,0)</f>
        <v>0</v>
      </c>
      <c r="EE297" s="267">
        <f>IF(DZ297=2,1,0)</f>
        <v>0</v>
      </c>
      <c r="EG297" s="166"/>
      <c r="EH297" s="238"/>
      <c r="EI297" s="238"/>
      <c r="EJ297" s="238"/>
      <c r="EK297" s="238"/>
      <c r="EL297" s="238"/>
      <c r="EM297" s="245">
        <f>IF(AK297="",0,1)</f>
        <v>0</v>
      </c>
      <c r="EN297" s="245">
        <f>SUM(AK297)</f>
        <v>0</v>
      </c>
      <c r="EO297" s="268">
        <f>SUM(AJ297)</f>
        <v>0</v>
      </c>
      <c r="EP297" s="268">
        <f>SUM(G297/3)</f>
        <v>0</v>
      </c>
      <c r="EQ297" s="268" t="e">
        <f>SUM(EO297/EP297)</f>
        <v>#DIV/0!</v>
      </c>
      <c r="ER297" s="268">
        <f>ROUNDDOWN(EP297,0)</f>
        <v>0</v>
      </c>
      <c r="ES297" s="268">
        <f>SUM(EO297,-ER297*3)</f>
        <v>0</v>
      </c>
      <c r="ET297" s="269" t="b">
        <f>MOD(EN297/1,2)=0</f>
        <v>1</v>
      </c>
      <c r="EU297" s="245">
        <f>IF(ET297=FALSE,1,0)</f>
        <v>0</v>
      </c>
      <c r="EV297" s="245">
        <f>IF(EN297=50,0,IF(EN297&lt;40,1,0))</f>
        <v>1</v>
      </c>
      <c r="EW297" s="245">
        <f>SUM(EU297:EV297)</f>
        <v>1</v>
      </c>
      <c r="EX297" s="267">
        <f>IF(EN297=1,1,IF(EN297=50,0,IF(ES297=1,IF(EN297&gt;40,1,0),0)))</f>
        <v>0</v>
      </c>
      <c r="EY297" s="267">
        <f>IF(ES297=1,IF(EW297=2,1,0),0)+EX297+FB297+FE297</f>
        <v>0</v>
      </c>
      <c r="EZ297" s="245">
        <f>IF(EN297=109,1,IF(EN297=108,1,IF(EN297=106,1,IF(EN297=105,1,IF(EN297=103,1,IF(EN297=102,1,IF(EN297=99,1,0)))))))</f>
        <v>0</v>
      </c>
      <c r="FA297" s="245">
        <f>IF(EN297&gt;110,1,0)</f>
        <v>0</v>
      </c>
      <c r="FB297" s="267">
        <f>IF(ES297=2,SUM(EZ297:FA297),0)</f>
        <v>0</v>
      </c>
      <c r="FC297" s="245">
        <f>IF(EN297=159,1,IF(EN297=162,1,IF(EN297=163,1,IF(EN297=165,1,IF(EN297=166,1,IF(EN297=168,1,IF(EN297=169,1,0)))))))</f>
        <v>0</v>
      </c>
      <c r="FD297" s="245">
        <f>IF(EN297&gt;170,1,0)</f>
        <v>0</v>
      </c>
      <c r="FE297" s="267">
        <f>IF(ES297=0,SUM(FC297:FD297),0)</f>
        <v>0</v>
      </c>
      <c r="FF297" s="251">
        <f t="shared" ref="FF297:FF300" si="732">IF(AJ297="",0,IF(AI297="",0,IF(EO297/ER297-3=0,0,1)))</f>
        <v>0</v>
      </c>
      <c r="FG297" s="238"/>
      <c r="FH297" s="245">
        <f>IF(AY297="",0,1)</f>
        <v>0</v>
      </c>
      <c r="FI297" s="245">
        <f>SUM(AY297)</f>
        <v>0</v>
      </c>
      <c r="FJ297" s="268">
        <f>SUM(AX297)</f>
        <v>0</v>
      </c>
      <c r="FK297" s="268">
        <f>SUM(V297/3)</f>
        <v>0</v>
      </c>
      <c r="FL297" s="268" t="e">
        <f>SUM(FJ297/FK297)</f>
        <v>#DIV/0!</v>
      </c>
      <c r="FM297" s="268">
        <f>ROUNDDOWN(FK297,0)</f>
        <v>0</v>
      </c>
      <c r="FN297" s="268">
        <f>SUM(FJ297,-FM297*3)</f>
        <v>0</v>
      </c>
      <c r="FO297" s="269" t="b">
        <f>MOD(FI297/1,2)=0</f>
        <v>1</v>
      </c>
      <c r="FP297" s="245">
        <f>IF(FO297=FALSE,1,0)</f>
        <v>0</v>
      </c>
      <c r="FQ297" s="245">
        <f>IF(FI297=50,0,IF(FI297&lt;40,1,0))</f>
        <v>1</v>
      </c>
      <c r="FR297" s="245">
        <f>SUM(FP297:FQ297)</f>
        <v>1</v>
      </c>
      <c r="FS297" s="267">
        <f>IF(FI297=1,1,IF(FI297=50,0,IF(FN297=1,IF(FI297&gt;40,1,0),0)))</f>
        <v>0</v>
      </c>
      <c r="FT297" s="267">
        <f>IF(FN297=1,IF(FR297=2,1,0),0)+FS297+FW297+FZ297</f>
        <v>0</v>
      </c>
      <c r="FU297" s="245">
        <f>IF(FI297=109,1,IF(FI297=108,1,IF(FI297=106,1,IF(FI297=105,1,IF(FI297=103,1,IF(FI297=102,1,IF(FI297=99,1,0)))))))</f>
        <v>0</v>
      </c>
      <c r="FV297" s="245">
        <f>IF(FI297&gt;110,1,0)</f>
        <v>0</v>
      </c>
      <c r="FW297" s="267">
        <f>IF(FN297=2,SUM(FU297:FV297),0)</f>
        <v>0</v>
      </c>
      <c r="FX297" s="245">
        <f>IF(FI297=159,1,IF(FI297=162,1,IF(FI297=163,1,IF(FI297=165,1,IF(FI297=166,1,IF(FI297=168,1,IF(FI297=169,1,0)))))))</f>
        <v>0</v>
      </c>
      <c r="FY297" s="245">
        <f>IF(FI297&gt;170,1,0)</f>
        <v>0</v>
      </c>
      <c r="FZ297" s="267">
        <f>IF(FN297=0,SUM(FX297:FY297),0)</f>
        <v>0</v>
      </c>
      <c r="GA297" s="251">
        <f t="shared" ref="GA297:GA300" si="733">IF(AX297="",0,IF(AW297="",0,IF(FJ297/FM297-3=0,0,1)))</f>
        <v>0</v>
      </c>
      <c r="GC297" s="238" t="str">
        <f>VLOOKUP(AH293,Chema!BL:BR,2,FALSE)</f>
        <v>HS 3.1</v>
      </c>
      <c r="GD297" s="341">
        <f>IF(E303="FORFAIT",1,0)</f>
        <v>0</v>
      </c>
      <c r="GE297" s="343" t="str">
        <f>IF(C303="","",SUM(C303))</f>
        <v/>
      </c>
      <c r="GF297" s="344">
        <f>SUM(AH296)</f>
        <v>0</v>
      </c>
      <c r="GG297" s="344">
        <f>SUM(AJ296)</f>
        <v>0</v>
      </c>
      <c r="GH297" s="344">
        <f t="shared" ref="GH297" si="734">SUM(AK296)</f>
        <v>0</v>
      </c>
      <c r="GI297" s="344">
        <f t="shared" ref="GI297" si="735">SUM(AL296)</f>
        <v>0</v>
      </c>
      <c r="GJ297" s="344">
        <f>SUM(AH297)</f>
        <v>0</v>
      </c>
      <c r="GK297" s="344">
        <f>SUM(AJ297)</f>
        <v>0</v>
      </c>
      <c r="GL297" s="344">
        <f>SUM(AK297)</f>
        <v>0</v>
      </c>
      <c r="GM297" s="344">
        <f>SUM(AL297)</f>
        <v>0</v>
      </c>
      <c r="GN297" s="344">
        <f>SUM(AH298)</f>
        <v>0</v>
      </c>
      <c r="GO297" s="344">
        <f>SUM(AJ298)</f>
        <v>0</v>
      </c>
      <c r="GP297" s="344">
        <f>SUM(AK298)</f>
        <v>0</v>
      </c>
      <c r="GQ297" s="344">
        <f>SUM(AL298)</f>
        <v>0</v>
      </c>
      <c r="GR297" s="344">
        <f>SUM(AH299)</f>
        <v>0</v>
      </c>
      <c r="GS297" s="344">
        <f>SUM(AJ299)</f>
        <v>0</v>
      </c>
      <c r="GT297" s="344">
        <f>SUM(AK299)</f>
        <v>0</v>
      </c>
      <c r="GU297" s="344">
        <f>SUM(AL299)</f>
        <v>0</v>
      </c>
      <c r="GV297" s="344">
        <f>SUM(AH300)</f>
        <v>0</v>
      </c>
      <c r="GW297" s="344">
        <f>SUM(AJ300)</f>
        <v>0</v>
      </c>
      <c r="GX297" s="344">
        <f>SUM(AK300)</f>
        <v>0</v>
      </c>
      <c r="GY297" s="344">
        <f>SUM(AL300)</f>
        <v>0</v>
      </c>
      <c r="GZ297" s="344">
        <f>SUM(GF297,GJ297,GN297,GR297,GV297)</f>
        <v>0</v>
      </c>
      <c r="HA297" s="344">
        <f t="shared" ref="HA297" si="736">SUM(GG297,GK297,GO297,GS297,GW297)</f>
        <v>0</v>
      </c>
      <c r="HB297" s="344">
        <f>IF(GD296=1,L303,MAX(GH297,GL297,GP297,GT297,GX297))</f>
        <v>0</v>
      </c>
      <c r="HC297" s="344">
        <f>IF(GD296=1,I303,SUM(GI297,GM297,GQ297,GU297,GY297))</f>
        <v>0</v>
      </c>
      <c r="HD297" s="345">
        <f>IF(GD296=1,0,SUM(GF297,GJ297,GN297,GR297,GV297))</f>
        <v>0</v>
      </c>
      <c r="HE297" s="345">
        <f>IF(GD296=1,0,SUM(GG297,GK297,GO297,GS297,GW297))</f>
        <v>0</v>
      </c>
      <c r="HF297" s="341">
        <f>IF(GD296=1,0,MIN(HI297,HJ297,HK297,HL297,HM297))</f>
        <v>0</v>
      </c>
      <c r="HG297" s="341">
        <f>IF(HF297=0,0,COUNTIF(HI297:HM297,HF297))</f>
        <v>0</v>
      </c>
      <c r="HH297" s="341">
        <f>SUM(GH298,GL298,GP298,GT298,GX298)</f>
        <v>0</v>
      </c>
      <c r="HI297" s="343" t="str">
        <f>IF(GH298=1,GG297,"")</f>
        <v/>
      </c>
      <c r="HJ297" s="343" t="str">
        <f>IF(GL298=1,GK297,"")</f>
        <v/>
      </c>
      <c r="HK297" s="343" t="str">
        <f>IF(GP298=1,GO297,"")</f>
        <v/>
      </c>
      <c r="HL297" s="343" t="str">
        <f>IF(GT298=1,GS297,"")</f>
        <v/>
      </c>
      <c r="HM297" s="343" t="str">
        <f>IF(GX298=1,GW297,"")</f>
        <v/>
      </c>
      <c r="HN297" s="341"/>
      <c r="HO297" s="341" t="s">
        <v>928</v>
      </c>
      <c r="HP297" s="341" t="s">
        <v>982</v>
      </c>
      <c r="HQ297" s="341" t="s">
        <v>983</v>
      </c>
      <c r="HR297" s="341" t="s">
        <v>984</v>
      </c>
      <c r="HS297" s="238" t="s">
        <v>932</v>
      </c>
      <c r="HT297" s="238" t="s">
        <v>933</v>
      </c>
      <c r="HU297" s="238" t="s">
        <v>985</v>
      </c>
      <c r="HV297" s="238" t="s">
        <v>986</v>
      </c>
      <c r="HW297" s="238" t="str">
        <f>IFERROR(IF(GD296=0,SUM(HZ298:IA298),""),"")</f>
        <v/>
      </c>
      <c r="HY297" s="238"/>
      <c r="HZ297" s="238" t="s">
        <v>1132</v>
      </c>
      <c r="IA297" s="238" t="s">
        <v>1133</v>
      </c>
      <c r="IB297" s="238" t="s">
        <v>1132</v>
      </c>
      <c r="IC297" s="238" t="s">
        <v>1133</v>
      </c>
      <c r="ID297" s="238"/>
    </row>
    <row r="298" spans="1:238" s="234" customFormat="1" ht="20.100000000000001" customHeight="1">
      <c r="A298" s="235"/>
      <c r="B298" s="231">
        <f>COUNT(AJ299,AJ298)</f>
        <v>0</v>
      </c>
      <c r="C298" s="235"/>
      <c r="D298" s="271" t="str">
        <f>REPT(DN298,1)</f>
        <v>3</v>
      </c>
      <c r="E298" s="254" t="str">
        <f>REPT(AH298,1)</f>
        <v/>
      </c>
      <c r="F298" s="168"/>
      <c r="G298" s="168"/>
      <c r="H298" s="168"/>
      <c r="I298" s="169"/>
      <c r="J298" s="270" t="str">
        <f t="shared" ref="J298:J299" si="737">REPT(AM298,1)</f>
        <v/>
      </c>
      <c r="L298" s="312">
        <f>SUM(L296*3)</f>
        <v>0</v>
      </c>
      <c r="M298" s="307"/>
      <c r="N298" s="270" t="str">
        <f>REPT(AP298,1)</f>
        <v/>
      </c>
      <c r="P298" s="312">
        <f>SUM(P296*3)</f>
        <v>0</v>
      </c>
      <c r="Q298" s="310"/>
      <c r="R298" s="235"/>
      <c r="S298" s="271" t="str">
        <f>REPT(DO298,1)</f>
        <v>3</v>
      </c>
      <c r="T298" s="254" t="str">
        <f>REPT(AV298,1)</f>
        <v/>
      </c>
      <c r="U298" s="168"/>
      <c r="V298" s="168"/>
      <c r="W298" s="168"/>
      <c r="X298" s="169"/>
      <c r="Y298" s="270" t="str">
        <f t="shared" si="720"/>
        <v/>
      </c>
      <c r="Z298" s="308"/>
      <c r="AB298" s="234">
        <f>IF(AY298="",0,IF(AY298&lt;2,1,""))</f>
        <v>0</v>
      </c>
      <c r="AC298" s="238">
        <f t="shared" si="721"/>
        <v>0</v>
      </c>
      <c r="AD298" s="256">
        <f t="shared" si="722"/>
        <v>0</v>
      </c>
      <c r="AE298" s="256">
        <f t="shared" si="716"/>
        <v>0</v>
      </c>
      <c r="AF298" s="256">
        <f t="shared" si="717"/>
        <v>0</v>
      </c>
      <c r="AG298" s="256">
        <f t="shared" si="723"/>
        <v>0</v>
      </c>
      <c r="AH298" s="257" t="str">
        <f>IF(AK298="",IF(AI298="","",IF(AI298="",501,501-AI298)),501)</f>
        <v/>
      </c>
      <c r="AI298" s="256" t="str">
        <f>IF(F298&gt;1,F298,IF(F298=0,"",IF(F298="","","")))</f>
        <v/>
      </c>
      <c r="AJ298" s="256" t="str">
        <f>IF(G298&gt;8,G298,IF(G298="","",""))</f>
        <v/>
      </c>
      <c r="AK298" s="256" t="str">
        <f>IF(H298&gt;1,H298,IF(H298="","",""))</f>
        <v/>
      </c>
      <c r="AL298" s="256" t="str">
        <f>IF(I298&gt;0,I298,IF(I298="","",""))</f>
        <v/>
      </c>
      <c r="AM298" s="258" t="str">
        <f>IF(BK298=0,"","X")</f>
        <v/>
      </c>
      <c r="AN298" s="237"/>
      <c r="AO298" s="237"/>
      <c r="AP298" s="258" t="str">
        <f>IF(BM298=0,"","X")</f>
        <v/>
      </c>
      <c r="AQ298" s="236">
        <f t="shared" si="724"/>
        <v>0</v>
      </c>
      <c r="AR298" s="256">
        <f t="shared" si="725"/>
        <v>0</v>
      </c>
      <c r="AS298" s="256">
        <f t="shared" si="718"/>
        <v>0</v>
      </c>
      <c r="AT298" s="256">
        <f t="shared" si="719"/>
        <v>0</v>
      </c>
      <c r="AU298" s="256">
        <f t="shared" si="726"/>
        <v>0</v>
      </c>
      <c r="AV298" s="257" t="str">
        <f>IF(AY298="",IF(AW298="","",IF(AW298="",501,501-AW298)),501)</f>
        <v/>
      </c>
      <c r="AW298" s="256" t="str">
        <f>IF(U298&gt;1,U298,IF(U298=0,"",IF(U298="","","")))</f>
        <v/>
      </c>
      <c r="AX298" s="256" t="str">
        <f>IF(V298&gt;8,V298,IF(V298="","",""))</f>
        <v/>
      </c>
      <c r="AY298" s="256" t="str">
        <f>IF(W298&gt;1,W298,IF(W298="","",""))</f>
        <v/>
      </c>
      <c r="AZ298" s="256" t="str">
        <f>IF(X298&gt;0,X298,IF(X298="","",""))</f>
        <v/>
      </c>
      <c r="BA298" s="258" t="str">
        <f>IF(BL298=0,"","X")</f>
        <v/>
      </c>
      <c r="BK298" s="251">
        <f>SUM(DD298,DV298,EY298,ED298,FF298,BQ298,BS298,AC298,BK305)</f>
        <v>0</v>
      </c>
      <c r="BL298" s="251">
        <f>SUM(DE298,DW298,EE298,FT298,GA298,BR298,BT298,AQ298,BL305,CZ298)</f>
        <v>0</v>
      </c>
      <c r="BM298" s="259">
        <f t="shared" si="727"/>
        <v>0</v>
      </c>
      <c r="BN298" s="239">
        <f>COUNT(AK298)</f>
        <v>0</v>
      </c>
      <c r="BO298" s="239">
        <f>COUNT(AY298)</f>
        <v>0</v>
      </c>
      <c r="BP298" s="239">
        <f>IF(BN300=0,0,1)</f>
        <v>0</v>
      </c>
      <c r="BQ298" s="260">
        <f>IF(AL298="",0,IF(AL298&gt;2,1,0))</f>
        <v>0</v>
      </c>
      <c r="BR298" s="261">
        <f>IF(AZ298="",0,IF(AZ298&gt;2,1,0))</f>
        <v>0</v>
      </c>
      <c r="BS298" s="262">
        <f>IF(AJ298=9,IF(AK298&lt;141,1,0),0)</f>
        <v>0</v>
      </c>
      <c r="BT298" s="263">
        <f>IF(AX298=9,IF(AY298&lt;141,1,0),0)</f>
        <v>0</v>
      </c>
      <c r="BU298" s="242">
        <f>IF(H298,G298,0)</f>
        <v>0</v>
      </c>
      <c r="BV298" s="238">
        <f>IF(BU298&gt;0,AJ298/3,0)</f>
        <v>0</v>
      </c>
      <c r="BW298" s="238">
        <f>ROUNDUP(BV298,0)</f>
        <v>0</v>
      </c>
      <c r="BX298" s="244">
        <f>IF(MOD(BW298,2)=0,BW298,BW298+1)</f>
        <v>0</v>
      </c>
      <c r="BY298" s="238">
        <f>IF(AJ298&lt;9,"",SUM(BX298-BW298))</f>
        <v>0</v>
      </c>
      <c r="BZ298" s="238">
        <f>IF(BY298=1,AK298,0)</f>
        <v>0</v>
      </c>
      <c r="CA298" s="243" t="str">
        <f>IF(BY298=0,AK298,0)</f>
        <v/>
      </c>
      <c r="CB298" s="238"/>
      <c r="CC298" s="238"/>
      <c r="CD298" s="242">
        <f>IF(W298,V298,0)</f>
        <v>0</v>
      </c>
      <c r="CE298" s="238">
        <f>IF(CD298&gt;0,AX298/3,0)</f>
        <v>0</v>
      </c>
      <c r="CF298" s="238">
        <f>ROUNDUP(CE298,0)</f>
        <v>0</v>
      </c>
      <c r="CG298" s="244">
        <f>IF(MOD(CF298,2)=0,CF298,CF298+1)</f>
        <v>0</v>
      </c>
      <c r="CH298" s="238">
        <f>IF(AX298&lt;9,"",SUM(CG298-CF298))</f>
        <v>0</v>
      </c>
      <c r="CI298" s="238">
        <f>IF(CH298=1,AY298,0)</f>
        <v>0</v>
      </c>
      <c r="CJ298" s="243" t="str">
        <f>IF(CH298=0,AY298,0)</f>
        <v/>
      </c>
      <c r="CK298" s="238"/>
      <c r="CL298" s="245">
        <f>IF(COUNT(F298,H298)=1,0,1)</f>
        <v>1</v>
      </c>
      <c r="CM298" s="245">
        <f>IF(COUNT(F298,U298)=1,0,1)</f>
        <v>1</v>
      </c>
      <c r="CN298" s="245">
        <f>IF(COUNT(H298,W298)=1,0,1)</f>
        <v>1</v>
      </c>
      <c r="CO298" s="245">
        <f>IF(COUNT(G298,V298)=2,0,1)</f>
        <v>1</v>
      </c>
      <c r="CP298" s="245">
        <f>IF(COUNT(U298,W298)=1,0,1)</f>
        <v>1</v>
      </c>
      <c r="CQ298" s="245">
        <f>IF(SUM(G298-V298)&gt;3,1,0)</f>
        <v>0</v>
      </c>
      <c r="CR298" s="245">
        <f>IF(SUM(G298-V298)&lt;-3,1,0)</f>
        <v>0</v>
      </c>
      <c r="CS298" s="264">
        <f>IF(AJ298=9,IF(AH298&lt;141,1,0),IF(AH298="",0,IF(AH298&gt;1,0,1)))</f>
        <v>0</v>
      </c>
      <c r="CT298" s="264">
        <f>IF(AX298=9,IF(AV298&lt;141,1,0),IF(AV298="",0,IF(AV298&gt;1,0,1)))</f>
        <v>0</v>
      </c>
      <c r="CU298" s="264">
        <f>IF(AI298="",0,IF(AI298&lt;502,0,1))</f>
        <v>0</v>
      </c>
      <c r="CV298" s="264">
        <f>IF(AW298="",0,IF(AW298&lt;502,0,1))</f>
        <v>0</v>
      </c>
      <c r="CW298" s="264">
        <f>IF(AI298="",IF(AJ298&lt;9,1,0),IF(AJ298&lt;9,1,0))</f>
        <v>0</v>
      </c>
      <c r="CX298" s="264">
        <f>IF(AW298="",IF(AX298&lt;9,1,0),IF(AX298&lt;9,1,0))</f>
        <v>0</v>
      </c>
      <c r="CY298" s="374">
        <f>COUNT(U296,U297,U298)</f>
        <v>0</v>
      </c>
      <c r="CZ298" s="375">
        <f>IF(AL293=3,IF(CY298&gt;2,1,0),0)</f>
        <v>0</v>
      </c>
      <c r="DA298" s="374"/>
      <c r="DB298" s="374"/>
      <c r="DC298" s="265">
        <f>IF(AJ298="",0,SUM(CL298:CX298))</f>
        <v>0</v>
      </c>
      <c r="DD298" s="265">
        <f>IF(AJ298="",0,SUM(CL298,CS298,CU298,CW298))</f>
        <v>0</v>
      </c>
      <c r="DE298" s="265">
        <f>IF(AJ298="",0,SUM(CP298,CT298,CV298,CX298))</f>
        <v>0</v>
      </c>
      <c r="DF298" s="238"/>
      <c r="DG298" s="248">
        <f>SUM(G298-V298)</f>
        <v>0</v>
      </c>
      <c r="DH298" s="245">
        <f>IF(F298="",0,1)</f>
        <v>0</v>
      </c>
      <c r="DI298" s="245">
        <f t="shared" si="728"/>
        <v>0</v>
      </c>
      <c r="DJ298" s="245">
        <f t="shared" si="729"/>
        <v>0</v>
      </c>
      <c r="DK298" s="245" t="str">
        <f>IF(G298="","",IF(DJ298=1,"*",""))</f>
        <v/>
      </c>
      <c r="DL298" s="245" t="str">
        <f>IF(G298="","",IF(DJ298=-1,"*",IF(DJ298=0,"*","")))</f>
        <v/>
      </c>
      <c r="DM298" s="245">
        <v>3</v>
      </c>
      <c r="DN298" s="245" t="str">
        <f t="shared" si="730"/>
        <v>3</v>
      </c>
      <c r="DO298" s="245" t="str">
        <f t="shared" si="731"/>
        <v>3</v>
      </c>
      <c r="DP298" s="245">
        <f>SUM(DP296)</f>
        <v>0</v>
      </c>
      <c r="DQ298" s="245">
        <f>SUM(DQ296)</f>
        <v>0</v>
      </c>
      <c r="DR298" s="245">
        <f t="shared" ref="DR298:DR300" si="738">IF(DK298="*",1,0)</f>
        <v>0</v>
      </c>
      <c r="DS298" s="245">
        <f t="shared" ref="DS298:DS300" si="739">IF(DL298="*",1,0)</f>
        <v>0</v>
      </c>
      <c r="DT298" s="245">
        <f t="shared" ref="DT298:DT300" si="740">IF(H288="",0,IF(DP298=DR298,1,0))</f>
        <v>0</v>
      </c>
      <c r="DU298" s="245">
        <f>IF(V298="",0,IF(DQ298=DS298,0,1))</f>
        <v>0</v>
      </c>
      <c r="DV298" s="267">
        <f t="shared" ref="DV298:DV300" si="741">SUM(DT298)</f>
        <v>0</v>
      </c>
      <c r="DW298" s="267">
        <f>IF(V298="",0,SUM(DU298))</f>
        <v>0</v>
      </c>
      <c r="DX298" s="238">
        <f>IF(AK298="",0,1)</f>
        <v>0</v>
      </c>
      <c r="DY298" s="238">
        <f>IF(DG298=-3,1,0)</f>
        <v>0</v>
      </c>
      <c r="DZ298" s="238">
        <f>SUM(DX298:DY298)</f>
        <v>0</v>
      </c>
      <c r="EA298" s="238">
        <f>IF(AK298="",1,0)</f>
        <v>1</v>
      </c>
      <c r="EB298" s="238">
        <f>IF(DG298=3,1,0)</f>
        <v>0</v>
      </c>
      <c r="EC298" s="238">
        <f>SUM(EA298:EB298)</f>
        <v>1</v>
      </c>
      <c r="ED298" s="267">
        <f>IF(EC298=2,1,0)</f>
        <v>0</v>
      </c>
      <c r="EE298" s="267">
        <f>IF(DZ298=2,1,0)</f>
        <v>0</v>
      </c>
      <c r="EG298" s="166"/>
      <c r="EH298" s="238"/>
      <c r="EI298" s="238"/>
      <c r="EJ298" s="238"/>
      <c r="EK298" s="238"/>
      <c r="EL298" s="238"/>
      <c r="EM298" s="245">
        <f>IF(AK298="",0,1)</f>
        <v>0</v>
      </c>
      <c r="EN298" s="245">
        <f>SUM(AK298)</f>
        <v>0</v>
      </c>
      <c r="EO298" s="268">
        <f>SUM(AJ298)</f>
        <v>0</v>
      </c>
      <c r="EP298" s="268">
        <f>SUM(G298/3)</f>
        <v>0</v>
      </c>
      <c r="EQ298" s="268" t="e">
        <f>SUM(EO298/EP298)</f>
        <v>#DIV/0!</v>
      </c>
      <c r="ER298" s="268">
        <f>ROUNDDOWN(EP298,0)</f>
        <v>0</v>
      </c>
      <c r="ES298" s="268">
        <f>SUM(EO298,-ER298*3)</f>
        <v>0</v>
      </c>
      <c r="ET298" s="269" t="b">
        <f>MOD(EN298/1,2)=0</f>
        <v>1</v>
      </c>
      <c r="EU298" s="245">
        <f>IF(ET298=FALSE,1,0)</f>
        <v>0</v>
      </c>
      <c r="EV298" s="245">
        <f>IF(EN298=50,0,IF(EN298&lt;40,1,0))</f>
        <v>1</v>
      </c>
      <c r="EW298" s="245">
        <f>SUM(EU298:EV298)</f>
        <v>1</v>
      </c>
      <c r="EX298" s="267">
        <f>IF(EN298=1,1,IF(EN298=50,0,IF(ES298=1,IF(EN298&gt;40,1,0),0)))</f>
        <v>0</v>
      </c>
      <c r="EY298" s="267">
        <f>IF(ES298=1,IF(EW298=2,1,0),0)+EX298+FB298+FE298</f>
        <v>0</v>
      </c>
      <c r="EZ298" s="245">
        <f>IF(EN298=109,1,IF(EN298=108,1,IF(EN298=106,1,IF(EN298=105,1,IF(EN298=103,1,IF(EN298=102,1,IF(EN298=99,1,0)))))))</f>
        <v>0</v>
      </c>
      <c r="FA298" s="245">
        <f>IF(EN298&gt;110,1,0)</f>
        <v>0</v>
      </c>
      <c r="FB298" s="267">
        <f>IF(ES298=2,SUM(EZ298:FA298),0)</f>
        <v>0</v>
      </c>
      <c r="FC298" s="245">
        <f>IF(EN298=159,1,IF(EN298=162,1,IF(EN298=163,1,IF(EN298=165,1,IF(EN298=166,1,IF(EN298=168,1,IF(EN298=169,1,0)))))))</f>
        <v>0</v>
      </c>
      <c r="FD298" s="245">
        <f>IF(EN298&gt;170,1,0)</f>
        <v>0</v>
      </c>
      <c r="FE298" s="267">
        <f>IF(ES298=0,SUM(FC298:FD298),0)</f>
        <v>0</v>
      </c>
      <c r="FF298" s="251">
        <f t="shared" si="732"/>
        <v>0</v>
      </c>
      <c r="FG298" s="238"/>
      <c r="FH298" s="245">
        <f>IF(AY298="",0,1)</f>
        <v>0</v>
      </c>
      <c r="FI298" s="245">
        <f>SUM(AY298)</f>
        <v>0</v>
      </c>
      <c r="FJ298" s="268">
        <f>SUM(AX298)</f>
        <v>0</v>
      </c>
      <c r="FK298" s="268">
        <f>SUM(V298/3)</f>
        <v>0</v>
      </c>
      <c r="FL298" s="268" t="e">
        <f>SUM(FJ298/FK298)</f>
        <v>#DIV/0!</v>
      </c>
      <c r="FM298" s="268">
        <f>ROUNDDOWN(FK298,0)</f>
        <v>0</v>
      </c>
      <c r="FN298" s="268">
        <f>SUM(FJ298,-FM298*3)</f>
        <v>0</v>
      </c>
      <c r="FO298" s="269" t="b">
        <f>MOD(FI298/1,2)=0</f>
        <v>1</v>
      </c>
      <c r="FP298" s="245">
        <f>IF(FO298=FALSE,1,0)</f>
        <v>0</v>
      </c>
      <c r="FQ298" s="245">
        <f>IF(FI298=50,0,IF(FI298&lt;40,1,0))</f>
        <v>1</v>
      </c>
      <c r="FR298" s="245">
        <f>SUM(FP298:FQ298)</f>
        <v>1</v>
      </c>
      <c r="FS298" s="267">
        <f>IF(FI298=1,1,IF(FI298=50,0,IF(FN298=1,IF(FI298&gt;40,1,0),0)))</f>
        <v>0</v>
      </c>
      <c r="FT298" s="267">
        <f>IF(FN298=1,IF(FR298=2,1,0),0)+FS298+FW298+FZ298</f>
        <v>0</v>
      </c>
      <c r="FU298" s="245">
        <f>IF(FI298=109,1,IF(FI298=108,1,IF(FI298=106,1,IF(FI298=105,1,IF(FI298=103,1,IF(FI298=102,1,IF(FI298=99,1,0)))))))</f>
        <v>0</v>
      </c>
      <c r="FV298" s="245">
        <f>IF(FI298&gt;110,1,0)</f>
        <v>0</v>
      </c>
      <c r="FW298" s="267">
        <f>IF(FN298=2,SUM(FU298:FV298),0)</f>
        <v>0</v>
      </c>
      <c r="FX298" s="245">
        <f>IF(FI298=159,1,IF(FI298=162,1,IF(FI298=163,1,IF(FI298=165,1,IF(FI298=166,1,IF(FI298=168,1,IF(FI298=169,1,0)))))))</f>
        <v>0</v>
      </c>
      <c r="FY298" s="245">
        <f>IF(FI298&gt;170,1,0)</f>
        <v>0</v>
      </c>
      <c r="FZ298" s="267">
        <f>IF(FN298=0,SUM(FX298:FY298),0)</f>
        <v>0</v>
      </c>
      <c r="GA298" s="251">
        <f t="shared" si="733"/>
        <v>0</v>
      </c>
      <c r="GC298" s="238" t="str">
        <f>VLOOKUP(AH293,Chema!BL:BR,3,FALSE)</f>
        <v/>
      </c>
      <c r="GD298" s="341"/>
      <c r="GE298" s="343" t="str">
        <f>IF(C304="","",SUM(C304))</f>
        <v/>
      </c>
      <c r="GF298" s="346"/>
      <c r="GG298" s="340"/>
      <c r="GH298" s="343">
        <f>IF(GH297&gt;0,1,0)</f>
        <v>0</v>
      </c>
      <c r="GI298" s="346"/>
      <c r="GJ298" s="343"/>
      <c r="GK298" s="340"/>
      <c r="GL298" s="343">
        <f>IF(GL297&gt;0,1,0)</f>
        <v>0</v>
      </c>
      <c r="GM298" s="343"/>
      <c r="GN298" s="343"/>
      <c r="GO298" s="340"/>
      <c r="GP298" s="343">
        <f>IF(GP297&gt;0,1,0)</f>
        <v>0</v>
      </c>
      <c r="GQ298" s="343"/>
      <c r="GR298" s="343"/>
      <c r="GS298" s="340"/>
      <c r="GT298" s="343">
        <f>IF(GT297&gt;0,1,0)</f>
        <v>0</v>
      </c>
      <c r="GU298" s="343"/>
      <c r="GV298" s="343"/>
      <c r="GW298" s="340"/>
      <c r="GX298" s="343">
        <f>IF(GX297&gt;0,1,0)</f>
        <v>0</v>
      </c>
      <c r="GY298" s="343"/>
      <c r="GZ298" s="343"/>
      <c r="HA298" s="343"/>
      <c r="HB298" s="343" t="str">
        <f>IF(GD296=1,L304,"")</f>
        <v/>
      </c>
      <c r="HC298" s="343" t="str">
        <f>IF(GD296=1,I304,"")</f>
        <v/>
      </c>
      <c r="HD298" s="345"/>
      <c r="HE298" s="340"/>
      <c r="HF298" s="340"/>
      <c r="HG298" s="347">
        <f>IF(GE297="",0,IF(AL293=3,2,IF(AL293=5,3,0)))</f>
        <v>0</v>
      </c>
      <c r="HH298" s="347">
        <f>IF(HK298=0,0,IF(HG300=0,0,1))</f>
        <v>0</v>
      </c>
      <c r="HI298" s="340"/>
      <c r="HJ298" s="340"/>
      <c r="HK298" s="340">
        <f>SUM(HM296,HM300)</f>
        <v>0</v>
      </c>
      <c r="HL298" s="340">
        <f>IF(HK298=0,0,IF(HM296=HG298,1,0))</f>
        <v>0</v>
      </c>
      <c r="HM298" s="340">
        <f>IF(HK298=0,0,IF(HM300=HG298,1,0))</f>
        <v>0</v>
      </c>
      <c r="HN298" s="341" t="str">
        <f>REPT(N293,1)</f>
        <v>Spiel 21</v>
      </c>
      <c r="HO298" s="348" t="str">
        <f>IF(HK298=0,"",IF(HH298=0,SUM(HH297),""))</f>
        <v/>
      </c>
      <c r="HP298" s="348" t="str">
        <f>IF(HK298=0,"",IF(HH298=0,SUM(HH299),""))</f>
        <v/>
      </c>
      <c r="HQ298" s="348" t="e">
        <f>IF(HH298=0,SUM(GZ297/HA297),"")</f>
        <v>#DIV/0!</v>
      </c>
      <c r="HR298" s="348" t="e">
        <f>IF(HH298=0,SUM(GZ299/HA299),"")</f>
        <v>#DIV/0!</v>
      </c>
      <c r="HS298" s="238" t="str">
        <f>REPT(DK296,1)</f>
        <v/>
      </c>
      <c r="HT298" s="238" t="str">
        <f>REPT(DL296,1)</f>
        <v/>
      </c>
      <c r="HU298" s="238">
        <f>IF(HH298=0,HL298,"")</f>
        <v>0</v>
      </c>
      <c r="HV298" s="238">
        <f>IF(HH298=0,HM298,"")</f>
        <v>0</v>
      </c>
      <c r="HW298" s="238" t="s">
        <v>1131</v>
      </c>
      <c r="HY298" s="238"/>
      <c r="HZ298" s="238" t="e">
        <f>IF(AL293=5,IF(HU298=1,SUM(HO298*2-HP298),HO298+HP298-2),"")</f>
        <v>#VALUE!</v>
      </c>
      <c r="IA298" s="238" t="str">
        <f>IF(AL293=3,IF(HU298=1,SUM(HO298-HP298+3),HO298+HP298-1),"")</f>
        <v/>
      </c>
      <c r="IB298" s="238" t="e">
        <f>IF(AL293=5,IF(HV298=1,SUM(HP298*2-HO298),HO298+HP298-2),"")</f>
        <v>#VALUE!</v>
      </c>
      <c r="IC298" s="238" t="str">
        <f>IF(AL293=3,IF(HV298=1,SUM(HP298-HO298+3),HO298+HP298-1),"")</f>
        <v/>
      </c>
      <c r="ID298" s="238">
        <f>SUM(BM302)</f>
        <v>0</v>
      </c>
    </row>
    <row r="299" spans="1:238" s="234" customFormat="1" ht="20.100000000000001" customHeight="1">
      <c r="A299" s="235"/>
      <c r="B299" s="231">
        <f>COUNT(AJ300,AJ299)</f>
        <v>0</v>
      </c>
      <c r="C299" s="235"/>
      <c r="D299" s="328" t="str">
        <f>REPT(DN299,1)</f>
        <v>4</v>
      </c>
      <c r="E299" s="329" t="str">
        <f>REPT(AH299,1)</f>
        <v/>
      </c>
      <c r="F299" s="330"/>
      <c r="G299" s="330"/>
      <c r="H299" s="330"/>
      <c r="I299" s="331"/>
      <c r="J299" s="270" t="str">
        <f t="shared" si="737"/>
        <v/>
      </c>
      <c r="M299" s="311"/>
      <c r="N299" s="270" t="str">
        <f>REPT(AP299,1)</f>
        <v/>
      </c>
      <c r="Q299" s="310"/>
      <c r="R299" s="235"/>
      <c r="S299" s="328" t="str">
        <f>REPT(DO299,1)</f>
        <v>4</v>
      </c>
      <c r="T299" s="329" t="str">
        <f>REPT(AV299,1)</f>
        <v/>
      </c>
      <c r="U299" s="330"/>
      <c r="V299" s="330"/>
      <c r="W299" s="330"/>
      <c r="X299" s="331"/>
      <c r="Y299" s="270" t="str">
        <f t="shared" si="720"/>
        <v/>
      </c>
      <c r="Z299" s="308"/>
      <c r="AA299" s="238">
        <f>SUM(AL293)</f>
        <v>5</v>
      </c>
      <c r="AB299" s="234">
        <f>IF(AY299="",0,IF(AY299&lt;2,1,""))</f>
        <v>0</v>
      </c>
      <c r="AC299" s="238">
        <f>IF(AL293=3,0,IF(AD299=1,1,IF(AD299=3,1,IF(AD299=2,0,IF(AD299=0,0,0)))))</f>
        <v>0</v>
      </c>
      <c r="AD299" s="256">
        <f t="shared" si="722"/>
        <v>0</v>
      </c>
      <c r="AE299" s="256">
        <f t="shared" si="716"/>
        <v>0</v>
      </c>
      <c r="AF299" s="256">
        <f t="shared" si="717"/>
        <v>0</v>
      </c>
      <c r="AG299" s="256">
        <f t="shared" si="723"/>
        <v>0</v>
      </c>
      <c r="AH299" s="257" t="str">
        <f>IF(AL293=3,"",IF(AK299="",IF(AI299="","",IF(AI299="",501,501-AI299)),501))</f>
        <v/>
      </c>
      <c r="AI299" s="256" t="str">
        <f>IF(AL293=3,"",IF(F299&gt;1,F299,IF(F299=0,"",IF(F299="","",""))))</f>
        <v/>
      </c>
      <c r="AJ299" s="256" t="str">
        <f>IF(AL293=3,"",IF(G299&gt;8,G299,IF(G299="","","")))</f>
        <v/>
      </c>
      <c r="AK299" s="256" t="str">
        <f>IF(AL293=3,"",IF(H299&gt;1,H299,IF(H299="","","")))</f>
        <v/>
      </c>
      <c r="AL299" s="256" t="str">
        <f>IF(AL293=3,"",IF(I299&gt;0,I299,IF(I299="","","")))</f>
        <v/>
      </c>
      <c r="AM299" s="258" t="str">
        <f>IF(BK299=0,"","X")</f>
        <v/>
      </c>
      <c r="AN299" s="237"/>
      <c r="AO299" s="237"/>
      <c r="AP299" s="258" t="str">
        <f>IF(BM299=0,"","X")</f>
        <v/>
      </c>
      <c r="AQ299" s="236">
        <f>IF(AL293=3,0,IF(AR299=1,1,IF(AR299=3,1,IF(AR299=2,0,IF(AR299=0,0,0)))))</f>
        <v>0</v>
      </c>
      <c r="AR299" s="256">
        <f t="shared" si="725"/>
        <v>0</v>
      </c>
      <c r="AS299" s="256">
        <f t="shared" si="718"/>
        <v>0</v>
      </c>
      <c r="AT299" s="256">
        <f t="shared" si="719"/>
        <v>0</v>
      </c>
      <c r="AU299" s="256">
        <f t="shared" si="726"/>
        <v>0</v>
      </c>
      <c r="AV299" s="257" t="str">
        <f>IF(AY299="",IF(AW299="","",IF(AW299="",501,501-AW299)),501)</f>
        <v/>
      </c>
      <c r="AW299" s="256" t="str">
        <f>IF(AL293=3,"",IF(U299&gt;1,U299,IF(U299=0,"",IF(U299="","",""))))</f>
        <v/>
      </c>
      <c r="AX299" s="256" t="str">
        <f>IF(AL293=3,"",IF(V299&gt;8,V299,IF(V299="","","")))</f>
        <v/>
      </c>
      <c r="AY299" s="256" t="str">
        <f>IF(AL293=3,"",IF(W299&gt;1,W299,IF(W299="","","")))</f>
        <v/>
      </c>
      <c r="AZ299" s="256" t="str">
        <f>IF(AL293=3,"",IF(X299&gt;0,X299,IF(X299="","","")))</f>
        <v/>
      </c>
      <c r="BA299" s="258" t="str">
        <f>IF(BL299=0,"","X")</f>
        <v/>
      </c>
      <c r="BK299" s="251">
        <f>IF(AL293=3,0,SUM(DD299,DV299,EY299,ED299,FF299,BQ299,BS299,AC299))</f>
        <v>0</v>
      </c>
      <c r="BL299" s="251">
        <f>IF(AL293=3,0,SUM(DE299,DW299,EE299,FT299,GA299,BR299,BT299,AQ299))</f>
        <v>0</v>
      </c>
      <c r="BM299" s="259">
        <f>IF(AL293=3,0,SUM(DC299,BK299:BL299,AC299,AQ299))</f>
        <v>0</v>
      </c>
      <c r="BN299" s="239">
        <f>COUNT(AK299)</f>
        <v>0</v>
      </c>
      <c r="BO299" s="239">
        <f>COUNT(AY299)</f>
        <v>0</v>
      </c>
      <c r="BP299" s="239">
        <f>IF(BZ301=0,0,1)</f>
        <v>0</v>
      </c>
      <c r="BQ299" s="260">
        <f>IF(AL299="",0,IF(AL299&gt;2,1,0))</f>
        <v>0</v>
      </c>
      <c r="BR299" s="261">
        <f>IF(AZ299="",0,IF(AZ299&gt;2,1,0))</f>
        <v>0</v>
      </c>
      <c r="BS299" s="262">
        <f>IF(AJ299=9,IF(AK299&lt;141,1,0),0)</f>
        <v>0</v>
      </c>
      <c r="BT299" s="263">
        <f>IF(AX299=9,IF(AY299&lt;141,1,0),0)</f>
        <v>0</v>
      </c>
      <c r="BU299" s="242">
        <f>IF(AL293=3,0,IF(H299,G299,0))</f>
        <v>0</v>
      </c>
      <c r="BV299" s="238">
        <f>IF(BU299&gt;0,AJ299/3,0)</f>
        <v>0</v>
      </c>
      <c r="BW299" s="238">
        <f>ROUNDUP(BV299,0)</f>
        <v>0</v>
      </c>
      <c r="BX299" s="244">
        <f>IF(MOD(BW299,2)=0,BW299,BW299+1)</f>
        <v>0</v>
      </c>
      <c r="BY299" s="238">
        <f>IF(AJ299&lt;9,"",SUM(BX299-BW299))</f>
        <v>0</v>
      </c>
      <c r="BZ299" s="238">
        <f>IF(BY299=1,AK299,0)</f>
        <v>0</v>
      </c>
      <c r="CA299" s="243" t="str">
        <f>IF(BY299=0,AK299,0)</f>
        <v/>
      </c>
      <c r="CB299" s="238"/>
      <c r="CC299" s="238"/>
      <c r="CD299" s="242">
        <f>IF(AL293=3,0,IF(W299,V299,0))</f>
        <v>0</v>
      </c>
      <c r="CE299" s="238">
        <f>IF(CD299&gt;0,AX299/3,0)</f>
        <v>0</v>
      </c>
      <c r="CF299" s="238">
        <f>ROUNDUP(CE299,0)</f>
        <v>0</v>
      </c>
      <c r="CG299" s="244">
        <f>IF(MOD(CF299,2)=0,CF299,CF299+1)</f>
        <v>0</v>
      </c>
      <c r="CH299" s="238">
        <f>IF(AX299&lt;9,"",SUM(CG299-CF299))</f>
        <v>0</v>
      </c>
      <c r="CI299" s="238">
        <f>IF(CH299=1,AY299,0)</f>
        <v>0</v>
      </c>
      <c r="CJ299" s="243" t="str">
        <f>IF(CH299=0,AY299,0)</f>
        <v/>
      </c>
      <c r="CK299" s="238"/>
      <c r="CL299" s="245">
        <f>IF(COUNT(F299,H299)=1,0,1)</f>
        <v>1</v>
      </c>
      <c r="CM299" s="245">
        <f>IF(COUNT(F299,U299)=1,0,1)</f>
        <v>1</v>
      </c>
      <c r="CN299" s="245">
        <f>IF(COUNT(H299,W299)=1,0,1)</f>
        <v>1</v>
      </c>
      <c r="CO299" s="245">
        <f>IF(COUNT(G299,V299)=2,0,1)</f>
        <v>1</v>
      </c>
      <c r="CP299" s="245">
        <f>IF(COUNT(U299,W299)=1,0,1)</f>
        <v>1</v>
      </c>
      <c r="CQ299" s="245">
        <f>IF(SUM(G299-V299)&gt;3,1,0)</f>
        <v>0</v>
      </c>
      <c r="CR299" s="245">
        <f>IF(SUM(G299-V299)&lt;-3,1,0)</f>
        <v>0</v>
      </c>
      <c r="CS299" s="264">
        <f>IF(AJ299=9,IF(AH299&lt;141,1,0),IF(AH299="",0,IF(AH299&gt;1,0,1)))</f>
        <v>0</v>
      </c>
      <c r="CT299" s="264">
        <f>IF(AX299=9,IF(AV299&lt;141,1,0),IF(AV299="",0,IF(AV299&gt;1,0,1)))</f>
        <v>0</v>
      </c>
      <c r="CU299" s="264">
        <f>IF(AI299="",0,IF(AI299&lt;502,0,1))</f>
        <v>0</v>
      </c>
      <c r="CV299" s="264">
        <f>IF(AW299="",0,IF(AW299&lt;502,0,1))</f>
        <v>0</v>
      </c>
      <c r="CW299" s="264">
        <f>IF(AI299="",IF(AJ299&lt;9,1,0),IF(AJ299&lt;9,1,0))</f>
        <v>0</v>
      </c>
      <c r="CX299" s="264">
        <f>IF(AW299="",IF(AX299&lt;9,1,0),IF(AX299&lt;9,1,0))</f>
        <v>0</v>
      </c>
      <c r="CY299" s="374"/>
      <c r="CZ299" s="374"/>
      <c r="DA299" s="374"/>
      <c r="DB299" s="374"/>
      <c r="DC299" s="265">
        <f>IF(AJ299="",0,SUM(CL299:CX299))</f>
        <v>0</v>
      </c>
      <c r="DD299" s="265">
        <f>IF(AJ299="",0,SUM(CL299,CS299,CU299,CW299))</f>
        <v>0</v>
      </c>
      <c r="DE299" s="265">
        <f>IF(AJ299="",0,SUM(CP299,CT299,CV299,CX299))</f>
        <v>0</v>
      </c>
      <c r="DF299" s="238"/>
      <c r="DG299" s="248">
        <f>IF(AL293=3,0,SUM(G299-V299))</f>
        <v>0</v>
      </c>
      <c r="DH299" s="245">
        <f>IF(F299="",0,1)</f>
        <v>0</v>
      </c>
      <c r="DI299" s="245">
        <f t="shared" si="728"/>
        <v>0</v>
      </c>
      <c r="DJ299" s="245">
        <f t="shared" si="729"/>
        <v>0</v>
      </c>
      <c r="DK299" s="245" t="str">
        <f>IF(G299="","",IF(DJ299=1,"*",""))</f>
        <v/>
      </c>
      <c r="DL299" s="245" t="str">
        <f>IF(AL293=3,"",IF(G299="","",IF(DJ299=-1,"*",IF(DJ299=0,"*",""))))</f>
        <v/>
      </c>
      <c r="DM299" s="245">
        <v>4</v>
      </c>
      <c r="DN299" s="245" t="str">
        <f t="shared" si="730"/>
        <v>4</v>
      </c>
      <c r="DO299" s="245" t="str">
        <f t="shared" si="731"/>
        <v>4</v>
      </c>
      <c r="DP299" s="245">
        <f>SUM(DQ296)</f>
        <v>0</v>
      </c>
      <c r="DQ299" s="245">
        <f>SUM(DP296)</f>
        <v>0</v>
      </c>
      <c r="DR299" s="245">
        <f t="shared" si="738"/>
        <v>0</v>
      </c>
      <c r="DS299" s="245">
        <f t="shared" si="739"/>
        <v>0</v>
      </c>
      <c r="DT299" s="245">
        <f t="shared" si="740"/>
        <v>0</v>
      </c>
      <c r="DU299" s="245">
        <f>IF(V299="",0,IF(DQ299=DS299,0,1))</f>
        <v>0</v>
      </c>
      <c r="DV299" s="267">
        <f t="shared" si="741"/>
        <v>0</v>
      </c>
      <c r="DW299" s="267">
        <f>IF(V299="",0,SUM(DU299))</f>
        <v>0</v>
      </c>
      <c r="DX299" s="238">
        <f>IF(AK299="",0,1)</f>
        <v>0</v>
      </c>
      <c r="DY299" s="238">
        <f>IF(DG299=-3,1,0)</f>
        <v>0</v>
      </c>
      <c r="DZ299" s="238">
        <f>SUM(DX299:DY299)</f>
        <v>0</v>
      </c>
      <c r="EA299" s="238">
        <f>IF(AK299="",1,0)</f>
        <v>1</v>
      </c>
      <c r="EB299" s="238">
        <f>IF(DG299=3,1,0)</f>
        <v>0</v>
      </c>
      <c r="EC299" s="238">
        <f>SUM(EA299:EB299)</f>
        <v>1</v>
      </c>
      <c r="ED299" s="267">
        <f>IF(EC299=2,1,0)</f>
        <v>0</v>
      </c>
      <c r="EE299" s="267">
        <f>IF(DZ299=2,1,0)</f>
        <v>0</v>
      </c>
      <c r="EG299" s="166"/>
      <c r="EH299" s="238"/>
      <c r="EI299" s="238"/>
      <c r="EJ299" s="238"/>
      <c r="EK299" s="238"/>
      <c r="EL299" s="238"/>
      <c r="EM299" s="245">
        <f>IF(AK299="",0,1)</f>
        <v>0</v>
      </c>
      <c r="EN299" s="245">
        <f>SUM(AK299)</f>
        <v>0</v>
      </c>
      <c r="EO299" s="268">
        <f>SUM(AJ299)</f>
        <v>0</v>
      </c>
      <c r="EP299" s="268">
        <f>SUM(G299/3)</f>
        <v>0</v>
      </c>
      <c r="EQ299" s="268" t="e">
        <f>SUM(EO299/EP299)</f>
        <v>#DIV/0!</v>
      </c>
      <c r="ER299" s="268">
        <f>ROUNDDOWN(EP299,0)</f>
        <v>0</v>
      </c>
      <c r="ES299" s="268">
        <f>SUM(EO299,-ER299*3)</f>
        <v>0</v>
      </c>
      <c r="ET299" s="269" t="b">
        <f>MOD(EN299/1,2)=0</f>
        <v>1</v>
      </c>
      <c r="EU299" s="245">
        <f>IF(ET299=FALSE,1,0)</f>
        <v>0</v>
      </c>
      <c r="EV299" s="245">
        <f>IF(EN299=50,0,IF(EN299&lt;40,1,0))</f>
        <v>1</v>
      </c>
      <c r="EW299" s="245">
        <f>SUM(EU299:EV299)</f>
        <v>1</v>
      </c>
      <c r="EX299" s="267">
        <f>IF(EN299=1,1,IF(EN299=50,0,IF(ES299=1,IF(EN299&gt;40,1,0),0)))</f>
        <v>0</v>
      </c>
      <c r="EY299" s="267">
        <f>IF(ES299=1,IF(EW299=2,1,0),0)+EX299+FB299+FE299</f>
        <v>0</v>
      </c>
      <c r="EZ299" s="245">
        <f>IF(EN299=109,1,IF(EN299=108,1,IF(EN299=106,1,IF(EN299=105,1,IF(EN299=103,1,IF(EN299=102,1,IF(EN299=99,1,0)))))))</f>
        <v>0</v>
      </c>
      <c r="FA299" s="245">
        <f>IF(EN299&gt;110,1,0)</f>
        <v>0</v>
      </c>
      <c r="FB299" s="267">
        <f>IF(ES299=2,SUM(EZ299:FA299),0)</f>
        <v>0</v>
      </c>
      <c r="FC299" s="245">
        <f>IF(EN299=159,1,IF(EN299=162,1,IF(EN299=163,1,IF(EN299=165,1,IF(EN299=166,1,IF(EN299=168,1,IF(EN299=169,1,0)))))))</f>
        <v>0</v>
      </c>
      <c r="FD299" s="245">
        <f>IF(EN299&gt;170,1,0)</f>
        <v>0</v>
      </c>
      <c r="FE299" s="267">
        <f>IF(ES299=0,SUM(FC299:FD299),0)</f>
        <v>0</v>
      </c>
      <c r="FF299" s="251">
        <f t="shared" si="732"/>
        <v>0</v>
      </c>
      <c r="FG299" s="238"/>
      <c r="FH299" s="245">
        <f>IF(AY299="",0,1)</f>
        <v>0</v>
      </c>
      <c r="FI299" s="245">
        <f>SUM(AY299)</f>
        <v>0</v>
      </c>
      <c r="FJ299" s="268">
        <f>SUM(AX299)</f>
        <v>0</v>
      </c>
      <c r="FK299" s="268">
        <f>SUM(V299/3)</f>
        <v>0</v>
      </c>
      <c r="FL299" s="268" t="e">
        <f>SUM(FJ299/FK299)</f>
        <v>#DIV/0!</v>
      </c>
      <c r="FM299" s="268">
        <f>ROUNDDOWN(FK299,0)</f>
        <v>0</v>
      </c>
      <c r="FN299" s="268">
        <f>SUM(FJ299,-FM299*3)</f>
        <v>0</v>
      </c>
      <c r="FO299" s="269" t="b">
        <f>MOD(FI299/1,2)=0</f>
        <v>1</v>
      </c>
      <c r="FP299" s="245">
        <f>IF(FO299=FALSE,1,0)</f>
        <v>0</v>
      </c>
      <c r="FQ299" s="245">
        <f>IF(FI299=50,0,IF(FI299&lt;40,1,0))</f>
        <v>1</v>
      </c>
      <c r="FR299" s="245">
        <f>SUM(FP299:FQ299)</f>
        <v>1</v>
      </c>
      <c r="FS299" s="267">
        <f>IF(FI299=1,1,IF(FI299=50,0,IF(FN299=1,IF(FI299&gt;40,1,0),0)))</f>
        <v>0</v>
      </c>
      <c r="FT299" s="267">
        <f>IF(FN299=1,IF(FR299=2,1,0),0)+FS299+FW299+FZ299</f>
        <v>0</v>
      </c>
      <c r="FU299" s="245">
        <f>IF(FI299=109,1,IF(FI299=108,1,IF(FI299=106,1,IF(FI299=105,1,IF(FI299=103,1,IF(FI299=102,1,IF(FI299=99,1,0)))))))</f>
        <v>0</v>
      </c>
      <c r="FV299" s="245">
        <f>IF(FI299&gt;110,1,0)</f>
        <v>0</v>
      </c>
      <c r="FW299" s="267">
        <f>IF(FN299=2,SUM(FU299:FV299),0)</f>
        <v>0</v>
      </c>
      <c r="FX299" s="245">
        <f>IF(FI299=159,1,IF(FI299=162,1,IF(FI299=163,1,IF(FI299=165,1,IF(FI299=166,1,IF(FI299=168,1,IF(FI299=169,1,0)))))))</f>
        <v>0</v>
      </c>
      <c r="FY299" s="245">
        <f>IF(FI299&gt;170,1,0)</f>
        <v>0</v>
      </c>
      <c r="FZ299" s="267">
        <f>IF(FN299=0,SUM(FX299:FY299),0)</f>
        <v>0</v>
      </c>
      <c r="GA299" s="251">
        <f t="shared" si="733"/>
        <v>0</v>
      </c>
      <c r="GC299" s="238" t="str">
        <f>VLOOKUP(AH293,Chema!BL:BR,4,FALSE)</f>
        <v>GS 3.1</v>
      </c>
      <c r="GD299" s="341">
        <f>IF(T303="FORFAIT",1,0)</f>
        <v>0</v>
      </c>
      <c r="GE299" s="343" t="str">
        <f>IF(R303="","",SUM(R303))</f>
        <v/>
      </c>
      <c r="GF299" s="344">
        <f>SUM(AV296)</f>
        <v>0</v>
      </c>
      <c r="GG299" s="344">
        <f>SUM(AX296)</f>
        <v>0</v>
      </c>
      <c r="GH299" s="344">
        <f t="shared" ref="GH299" si="742">SUM(AY296)</f>
        <v>0</v>
      </c>
      <c r="GI299" s="344">
        <f t="shared" ref="GI299" si="743">SUM(AZ296)</f>
        <v>0</v>
      </c>
      <c r="GJ299" s="344">
        <f>SUM(AV297)</f>
        <v>0</v>
      </c>
      <c r="GK299" s="344">
        <f>SUM(AX297)</f>
        <v>0</v>
      </c>
      <c r="GL299" s="344">
        <f>SUM(AY297)</f>
        <v>0</v>
      </c>
      <c r="GM299" s="344">
        <f>SUM(AZ297)</f>
        <v>0</v>
      </c>
      <c r="GN299" s="344">
        <f>SUM(AV298)</f>
        <v>0</v>
      </c>
      <c r="GO299" s="344">
        <f>SUM(AX298)</f>
        <v>0</v>
      </c>
      <c r="GP299" s="344">
        <f>SUM(AY298)</f>
        <v>0</v>
      </c>
      <c r="GQ299" s="344">
        <f>SUM(AZ298)</f>
        <v>0</v>
      </c>
      <c r="GR299" s="344">
        <f>SUM(AV299)</f>
        <v>0</v>
      </c>
      <c r="GS299" s="344">
        <f>SUM(AX299)</f>
        <v>0</v>
      </c>
      <c r="GT299" s="344">
        <f>SUM(AY299)</f>
        <v>0</v>
      </c>
      <c r="GU299" s="344">
        <f>SUM(AZ299)</f>
        <v>0</v>
      </c>
      <c r="GV299" s="344">
        <f>SUM(AV300)</f>
        <v>0</v>
      </c>
      <c r="GW299" s="344">
        <f>SUM(AX300)</f>
        <v>0</v>
      </c>
      <c r="GX299" s="344">
        <f>SUM(AY300)</f>
        <v>0</v>
      </c>
      <c r="GY299" s="344">
        <f>SUM(AZ300)</f>
        <v>0</v>
      </c>
      <c r="GZ299" s="344">
        <f>SUM(GF299,GJ299,GN299,GR299,GV299)</f>
        <v>0</v>
      </c>
      <c r="HA299" s="344">
        <f t="shared" ref="HA299" si="744">SUM(GG299,GK299,GO299,GS299,GW299)</f>
        <v>0</v>
      </c>
      <c r="HB299" s="344">
        <f>IF(GD296=1,P303,MAX(GH299,GL299,GP299,GT299,GX299))</f>
        <v>0</v>
      </c>
      <c r="HC299" s="344">
        <f>IF(GD296=1,X303,SUM(GI299,GM299,GQ299,GU299,GY299))</f>
        <v>0</v>
      </c>
      <c r="HD299" s="345">
        <f>IF(GD296=1,0,SUM(GF299,GJ299,GN299,GR299,GV299))</f>
        <v>0</v>
      </c>
      <c r="HE299" s="345">
        <f>IF(GD296=1,0,SUM(GG299,GK299,GO299,GS299,GW299))</f>
        <v>0</v>
      </c>
      <c r="HF299" s="341">
        <f>IF(GD296=1,0,MIN(HI299,HJ299,HK299,HL299,HM299))</f>
        <v>0</v>
      </c>
      <c r="HG299" s="341">
        <f>IF(HF299=0,0,COUNTIF(HI299:HM299,HF299))</f>
        <v>0</v>
      </c>
      <c r="HH299" s="341">
        <f>SUM(GH300,GL300,GP300,GT300,GX300)</f>
        <v>0</v>
      </c>
      <c r="HI299" s="343" t="str">
        <f>IF(GH300=1,GG299,"")</f>
        <v/>
      </c>
      <c r="HJ299" s="343" t="str">
        <f>IF(GL300=1,GK299,"")</f>
        <v/>
      </c>
      <c r="HK299" s="343" t="str">
        <f>IF(GP300=1,GO299,"")</f>
        <v/>
      </c>
      <c r="HL299" s="343" t="str">
        <f>IF(GT300=1,GS299,"")</f>
        <v/>
      </c>
      <c r="HM299" s="343" t="str">
        <f>IF(GX300=1,GW299,"")</f>
        <v/>
      </c>
      <c r="HN299" s="341"/>
      <c r="HO299" s="341"/>
      <c r="HP299" s="341"/>
      <c r="HQ299" s="341"/>
      <c r="HR299" s="341"/>
      <c r="HS299" s="238"/>
      <c r="HT299" s="238"/>
      <c r="HU299" s="238"/>
      <c r="HV299" s="238"/>
      <c r="HW299" s="238" t="str">
        <f>IFERROR(IF(GD296=0,SUM(IB298:IC298),""),"")</f>
        <v/>
      </c>
      <c r="HY299" s="238"/>
      <c r="ID299" s="238"/>
    </row>
    <row r="300" spans="1:238" s="234" customFormat="1" ht="20.100000000000001" customHeight="1">
      <c r="A300" s="235"/>
      <c r="B300" s="231">
        <f>COUNT(AJ301,AJ300)</f>
        <v>1</v>
      </c>
      <c r="C300" s="235"/>
      <c r="D300" s="271" t="str">
        <f>REPT(DN300,1)</f>
        <v>5</v>
      </c>
      <c r="E300" s="254" t="str">
        <f>REPT(AH300,1)</f>
        <v/>
      </c>
      <c r="F300" s="168"/>
      <c r="G300" s="168"/>
      <c r="H300" s="168"/>
      <c r="I300" s="169"/>
      <c r="J300" s="272" t="str">
        <f>REPT(AM300,1)</f>
        <v/>
      </c>
      <c r="L300" s="310"/>
      <c r="M300" s="310"/>
      <c r="N300" s="272" t="str">
        <f>REPT(AP300,1)</f>
        <v/>
      </c>
      <c r="O300" s="118"/>
      <c r="Q300" s="310"/>
      <c r="R300" s="235"/>
      <c r="S300" s="271" t="str">
        <f>REPT(DO300,1)</f>
        <v>5</v>
      </c>
      <c r="T300" s="254" t="str">
        <f>REPT(AV300,1)</f>
        <v/>
      </c>
      <c r="U300" s="168"/>
      <c r="V300" s="168"/>
      <c r="W300" s="168"/>
      <c r="X300" s="169"/>
      <c r="Y300" s="272" t="str">
        <f>REPT(BA300,1)</f>
        <v/>
      </c>
      <c r="Z300" s="308"/>
      <c r="AA300" s="238">
        <f>SUM(AL293)</f>
        <v>5</v>
      </c>
      <c r="AB300" s="234">
        <f>IF(AY300="",0,IF(AY300&lt;2,1,""))</f>
        <v>0</v>
      </c>
      <c r="AC300" s="238">
        <f>IF(AL293=3,0,IF(AD300=1,1,IF(AD300=3,1,IF(AD300=2,0,IF(AD300=0,0,0)))))</f>
        <v>0</v>
      </c>
      <c r="AD300" s="256">
        <f t="shared" si="722"/>
        <v>0</v>
      </c>
      <c r="AE300" s="256">
        <f t="shared" si="716"/>
        <v>0</v>
      </c>
      <c r="AF300" s="256">
        <f t="shared" si="717"/>
        <v>0</v>
      </c>
      <c r="AG300" s="256">
        <f t="shared" si="723"/>
        <v>0</v>
      </c>
      <c r="AH300" s="257" t="str">
        <f>IF(AL293=3,"",IF(AK300="",IF(AI300="","",IF(AI300="",501,501-AI300)),501))</f>
        <v/>
      </c>
      <c r="AI300" s="256" t="str">
        <f>IF(AL293=3,"",IF(F300&gt;1,F300,IF(F300=0,"",IF(F300="","",""))))</f>
        <v/>
      </c>
      <c r="AJ300" s="256" t="str">
        <f>IF(AL293=3,"",IF(G300&gt;8,G300,IF(G300="","","")))</f>
        <v/>
      </c>
      <c r="AK300" s="256" t="str">
        <f>IF(AL293=3,"",IF(H300&gt;1,H300,IF(H300="","","")))</f>
        <v/>
      </c>
      <c r="AL300" s="256" t="str">
        <f>IF(AL293=3,"",IF(I300&gt;0,I300,IF(I300="","","")))</f>
        <v/>
      </c>
      <c r="AM300" s="258" t="str">
        <f>IF(BK300=0,"","X")</f>
        <v/>
      </c>
      <c r="AN300" s="237"/>
      <c r="AO300" s="237"/>
      <c r="AP300" s="258" t="str">
        <f>IF(BM300=0,"","X")</f>
        <v/>
      </c>
      <c r="AQ300" s="236">
        <f>IF(AL293=3,0,IF(AR300=1,1,IF(AR300=3,1,IF(AR300=2,0,IF(AR300=0,0,0)))))</f>
        <v>0</v>
      </c>
      <c r="AR300" s="256">
        <f t="shared" si="725"/>
        <v>0</v>
      </c>
      <c r="AS300" s="256">
        <f t="shared" si="718"/>
        <v>0</v>
      </c>
      <c r="AT300" s="256">
        <f t="shared" si="719"/>
        <v>0</v>
      </c>
      <c r="AU300" s="256">
        <f t="shared" si="726"/>
        <v>0</v>
      </c>
      <c r="AV300" s="257" t="str">
        <f>IF(AY300="",IF(AW300="","",IF(AW300="",501,501-AW300)),501)</f>
        <v/>
      </c>
      <c r="AW300" s="256" t="str">
        <f>IF(AL293=3,"",IF(U300&gt;1,U300,IF(U300=0,"",IF(U300="","",""))))</f>
        <v/>
      </c>
      <c r="AX300" s="256" t="str">
        <f>IF(AL293=3,"",IF(V300&gt;8,V300,IF(V300="","","")))</f>
        <v/>
      </c>
      <c r="AY300" s="256" t="str">
        <f>IF(AL293=3,"",IF(W300&gt;1,W300,IF(W300="","","")))</f>
        <v/>
      </c>
      <c r="AZ300" s="256" t="str">
        <f>IF(AL293=3,"",IF(X300&gt;0,X300,IF(X300="","","")))</f>
        <v/>
      </c>
      <c r="BA300" s="258" t="str">
        <f>IF(BL300=0,"","X")</f>
        <v/>
      </c>
      <c r="BK300" s="251">
        <f>IF(AL293=3,0,SUM(DD300,DV300,EY300,ED300,FF300,BQ300,BS300,AC300))</f>
        <v>0</v>
      </c>
      <c r="BL300" s="251">
        <f>SUM(DE300,DW300,EE300,FT300,GA300,BR300,BT300,AQ300)</f>
        <v>0</v>
      </c>
      <c r="BM300" s="259">
        <f>IF(AL293=3,0,SUM(DC300,BK300:BL300,AC300,AQ300))</f>
        <v>0</v>
      </c>
      <c r="BN300" s="239">
        <f>COUNT(AK300)</f>
        <v>0</v>
      </c>
      <c r="BO300" s="239">
        <f>COUNT(AY300)</f>
        <v>0</v>
      </c>
      <c r="BP300" s="239">
        <f>IF(BN302=0,0,1)</f>
        <v>0</v>
      </c>
      <c r="BQ300" s="260">
        <f>IF(AL300="",0,IF(AL300&gt;2,1,0))</f>
        <v>0</v>
      </c>
      <c r="BR300" s="261">
        <f>IF(AZ300="",0,IF(AZ300&gt;2,1,0))</f>
        <v>0</v>
      </c>
      <c r="BS300" s="262">
        <f>IF(AJ300=9,IF(AK300&lt;141,1,0),0)</f>
        <v>0</v>
      </c>
      <c r="BT300" s="263">
        <f>IF(AX300=9,IF(AY300&lt;141,1,0),0)</f>
        <v>0</v>
      </c>
      <c r="BU300" s="242">
        <f>IF(AL293=3,0,IF(H300,G300,0))</f>
        <v>0</v>
      </c>
      <c r="BV300" s="238">
        <f>IF(BU300&gt;0,AJ300/3,0)</f>
        <v>0</v>
      </c>
      <c r="BW300" s="238">
        <f>ROUNDUP(BV300,0)</f>
        <v>0</v>
      </c>
      <c r="BX300" s="244">
        <f>IF(MOD(BW300,2)=0,BW300,BW300+1)</f>
        <v>0</v>
      </c>
      <c r="BY300" s="238">
        <f>IF(AJ300&lt;9,"",SUM(BX300-BW300))</f>
        <v>0</v>
      </c>
      <c r="BZ300" s="238">
        <f>IF(BY300=1,AK300,0)</f>
        <v>0</v>
      </c>
      <c r="CA300" s="243" t="str">
        <f>IF(BY300=0,AK300,0)</f>
        <v/>
      </c>
      <c r="CB300" s="238"/>
      <c r="CC300" s="238"/>
      <c r="CD300" s="242">
        <f>IF(AL293=3,0,IF(W300,V300,0))</f>
        <v>0</v>
      </c>
      <c r="CE300" s="238">
        <f>IF(CD300&gt;0,AX300/3,0)</f>
        <v>0</v>
      </c>
      <c r="CF300" s="238">
        <f>ROUNDUP(CE300,0)</f>
        <v>0</v>
      </c>
      <c r="CG300" s="244">
        <f>IF(MOD(CF300,2)=0,CF300,CF300+1)</f>
        <v>0</v>
      </c>
      <c r="CH300" s="238">
        <f>IF(AX300&lt;9,"",SUM(CG300-CF300))</f>
        <v>0</v>
      </c>
      <c r="CI300" s="238">
        <f>IF(CH300=1,AY300,0)</f>
        <v>0</v>
      </c>
      <c r="CJ300" s="243" t="str">
        <f>IF(CH300=0,AY300,0)</f>
        <v/>
      </c>
      <c r="CK300" s="238"/>
      <c r="CL300" s="245">
        <f>IF(COUNT(F300,H300)=1,0,1)</f>
        <v>1</v>
      </c>
      <c r="CM300" s="245">
        <f>IF(COUNT(F300,U300)=1,0,1)</f>
        <v>1</v>
      </c>
      <c r="CN300" s="245">
        <f>IF(COUNT(H300,W300)=1,0,1)</f>
        <v>1</v>
      </c>
      <c r="CO300" s="245">
        <f>IF(COUNT(G300,V300)=2,0,1)</f>
        <v>1</v>
      </c>
      <c r="CP300" s="245">
        <f>IF(COUNT(U300,W300)=1,0,1)</f>
        <v>1</v>
      </c>
      <c r="CQ300" s="245">
        <f>IF(SUM(G300-V300)&gt;3,1,0)</f>
        <v>0</v>
      </c>
      <c r="CR300" s="245">
        <f>IF(SUM(G300-V300)&lt;-3,1,0)</f>
        <v>0</v>
      </c>
      <c r="CS300" s="264">
        <f>IF(AJ300=9,IF(AH300&lt;141,1,0),IF(AH300="",0,IF(AH300&gt;1,0,1)))</f>
        <v>0</v>
      </c>
      <c r="CT300" s="264">
        <f>IF(AX300=9,IF(AV300&lt;141,1,0),IF(AV300="",0,IF(AV300&gt;1,0,1)))</f>
        <v>0</v>
      </c>
      <c r="CU300" s="264">
        <f>IF(AI300="",0,IF(AI300&lt;502,0,1))</f>
        <v>0</v>
      </c>
      <c r="CV300" s="264">
        <f>IF(AW300="",0,IF(AW300&lt;502,0,1))</f>
        <v>0</v>
      </c>
      <c r="CW300" s="264">
        <f>IF(AI300="",IF(AJ300&lt;9,1,0),IF(AJ300&lt;9,1,0))</f>
        <v>0</v>
      </c>
      <c r="CX300" s="264">
        <f>IF(AW300="",IF(AX300&lt;9,1,0),IF(AX300&lt;9,1,0))</f>
        <v>0</v>
      </c>
      <c r="CY300" s="374"/>
      <c r="CZ300" s="374"/>
      <c r="DA300" s="374"/>
      <c r="DB300" s="374"/>
      <c r="DC300" s="265">
        <f>IF(AJ300="",0,SUM(CL300:CX300))</f>
        <v>0</v>
      </c>
      <c r="DD300" s="265">
        <f>IF(AJ300="",0,SUM(CL300,CS300,CU300,CW300))</f>
        <v>0</v>
      </c>
      <c r="DE300" s="265">
        <f>IF(AJ300="",0,SUM(CP300,CT300,CV300,CX300))</f>
        <v>0</v>
      </c>
      <c r="DF300" s="238"/>
      <c r="DG300" s="248">
        <f>IF(AL293=3,0,SUM(G300-V300))</f>
        <v>0</v>
      </c>
      <c r="DH300" s="245">
        <f>IF(F300="",0,1)</f>
        <v>0</v>
      </c>
      <c r="DI300" s="245">
        <f t="shared" si="728"/>
        <v>0</v>
      </c>
      <c r="DJ300" s="245">
        <f t="shared" si="729"/>
        <v>0</v>
      </c>
      <c r="DK300" s="245" t="str">
        <f>IF(G300="","",IF(DJ300=1,"*",""))</f>
        <v/>
      </c>
      <c r="DL300" s="245" t="str">
        <f>IF(AL293=3,"",IF(G300="","",IF(DJ300=-1,"*",IF(DJ300=0,"*",""))))</f>
        <v/>
      </c>
      <c r="DM300" s="245">
        <v>5</v>
      </c>
      <c r="DN300" s="245" t="str">
        <f t="shared" si="730"/>
        <v>5</v>
      </c>
      <c r="DO300" s="245" t="str">
        <f t="shared" si="731"/>
        <v>5</v>
      </c>
      <c r="DP300" s="245">
        <f>SUM(DP296)</f>
        <v>0</v>
      </c>
      <c r="DQ300" s="245">
        <f>SUM(DQ296)</f>
        <v>0</v>
      </c>
      <c r="DR300" s="245">
        <f t="shared" si="738"/>
        <v>0</v>
      </c>
      <c r="DS300" s="245">
        <f t="shared" si="739"/>
        <v>0</v>
      </c>
      <c r="DT300" s="245">
        <f t="shared" si="740"/>
        <v>0</v>
      </c>
      <c r="DU300" s="245">
        <f>IF(V300="",0,IF(DQ300=DS300,0,1))</f>
        <v>0</v>
      </c>
      <c r="DV300" s="267">
        <f t="shared" si="741"/>
        <v>0</v>
      </c>
      <c r="DW300" s="267">
        <f>IF(V300="",0,SUM(DU300))</f>
        <v>0</v>
      </c>
      <c r="DX300" s="238">
        <f>IF(AK300="",0,1)</f>
        <v>0</v>
      </c>
      <c r="DY300" s="238">
        <f>IF(DG300=-3,1,0)</f>
        <v>0</v>
      </c>
      <c r="DZ300" s="238">
        <f>SUM(DX300:DY300)</f>
        <v>0</v>
      </c>
      <c r="EA300" s="238">
        <f>IF(AK300="",1,0)</f>
        <v>1</v>
      </c>
      <c r="EB300" s="238">
        <f>IF(DG300=3,1,0)</f>
        <v>0</v>
      </c>
      <c r="EC300" s="238">
        <f>SUM(EA300:EB300)</f>
        <v>1</v>
      </c>
      <c r="ED300" s="267">
        <f>IF(EC300=2,1,0)</f>
        <v>0</v>
      </c>
      <c r="EE300" s="267">
        <f>IF(DZ300=2,1,0)</f>
        <v>0</v>
      </c>
      <c r="EG300" s="166"/>
      <c r="EH300" s="238"/>
      <c r="EI300" s="238"/>
      <c r="EJ300" s="238"/>
      <c r="EK300" s="238"/>
      <c r="EL300" s="238"/>
      <c r="EM300" s="245">
        <f>IF(AK300="",0,1)</f>
        <v>0</v>
      </c>
      <c r="EN300" s="245">
        <f>SUM(AK300)</f>
        <v>0</v>
      </c>
      <c r="EO300" s="268">
        <f>SUM(AJ300)</f>
        <v>0</v>
      </c>
      <c r="EP300" s="268">
        <f>SUM(G300/3)</f>
        <v>0</v>
      </c>
      <c r="EQ300" s="268" t="e">
        <f>SUM(EO300/EP300)</f>
        <v>#DIV/0!</v>
      </c>
      <c r="ER300" s="268">
        <f>ROUNDDOWN(EP300,0)</f>
        <v>0</v>
      </c>
      <c r="ES300" s="268">
        <f>SUM(EO300,-ER300*3)</f>
        <v>0</v>
      </c>
      <c r="ET300" s="269" t="b">
        <f>MOD(EN300/1,2)=0</f>
        <v>1</v>
      </c>
      <c r="EU300" s="245">
        <f>IF(ET300=FALSE,1,0)</f>
        <v>0</v>
      </c>
      <c r="EV300" s="245">
        <f>IF(EN300=50,0,IF(EN300&lt;40,1,0))</f>
        <v>1</v>
      </c>
      <c r="EW300" s="245">
        <f>SUM(EU300:EV300)</f>
        <v>1</v>
      </c>
      <c r="EX300" s="267">
        <f>IF(EN300=1,1,IF(EN300=50,0,IF(ES300=1,IF(EN300&gt;40,1,0),0)))</f>
        <v>0</v>
      </c>
      <c r="EY300" s="267">
        <f>IF(ES300=1,IF(EW300=2,1,0),0)+EX300+FB300+FE300</f>
        <v>0</v>
      </c>
      <c r="EZ300" s="245">
        <f>IF(EN300=109,1,IF(EN300=108,1,IF(EN300=106,1,IF(EN300=105,1,IF(EN300=103,1,IF(EN300=102,1,IF(EN300=99,1,0)))))))</f>
        <v>0</v>
      </c>
      <c r="FA300" s="245">
        <f>IF(EN300&gt;110,1,0)</f>
        <v>0</v>
      </c>
      <c r="FB300" s="267">
        <f>IF(ES300=2,SUM(EZ300:FA300),0)</f>
        <v>0</v>
      </c>
      <c r="FC300" s="245">
        <f>IF(EN300=159,1,IF(EN300=162,1,IF(EN300=163,1,IF(EN300=165,1,IF(EN300=166,1,IF(EN300=168,1,IF(EN300=169,1,0)))))))</f>
        <v>0</v>
      </c>
      <c r="FD300" s="245">
        <f>IF(EN300&gt;170,1,0)</f>
        <v>0</v>
      </c>
      <c r="FE300" s="267">
        <f>IF(ES300=0,SUM(FC300:FD300),0)</f>
        <v>0</v>
      </c>
      <c r="FF300" s="251">
        <f t="shared" si="732"/>
        <v>0</v>
      </c>
      <c r="FG300" s="238"/>
      <c r="FH300" s="245">
        <f>IF(AY300="",0,1)</f>
        <v>0</v>
      </c>
      <c r="FI300" s="245">
        <f>SUM(AY300)</f>
        <v>0</v>
      </c>
      <c r="FJ300" s="268">
        <f>SUM(AX300)</f>
        <v>0</v>
      </c>
      <c r="FK300" s="268">
        <f>SUM(V300/3)</f>
        <v>0</v>
      </c>
      <c r="FL300" s="268" t="e">
        <f>SUM(FJ300/FK300)</f>
        <v>#DIV/0!</v>
      </c>
      <c r="FM300" s="268">
        <f>ROUNDDOWN(FK300,0)</f>
        <v>0</v>
      </c>
      <c r="FN300" s="268">
        <f>SUM(FJ300,-FM300*3)</f>
        <v>0</v>
      </c>
      <c r="FO300" s="269" t="b">
        <f>MOD(FI300/1,2)=0</f>
        <v>1</v>
      </c>
      <c r="FP300" s="245">
        <f>IF(FO300=FALSE,1,0)</f>
        <v>0</v>
      </c>
      <c r="FQ300" s="245">
        <f>IF(FI300=50,0,IF(FI300&lt;40,1,0))</f>
        <v>1</v>
      </c>
      <c r="FR300" s="245">
        <f>SUM(FP300:FQ300)</f>
        <v>1</v>
      </c>
      <c r="FS300" s="267">
        <f>IF(FI300=1,1,IF(FI300=50,0,IF(FN300=1,IF(FI300&gt;40,1,0),0)))</f>
        <v>0</v>
      </c>
      <c r="FT300" s="267">
        <f>IF(FN300=1,IF(FR300=2,1,0),0)+FS300+FW300+FZ300</f>
        <v>0</v>
      </c>
      <c r="FU300" s="245">
        <f>IF(FI300=109,1,IF(FI300=108,1,IF(FI300=106,1,IF(FI300=105,1,IF(FI300=103,1,IF(FI300=102,1,IF(FI300=99,1,0)))))))</f>
        <v>0</v>
      </c>
      <c r="FV300" s="245">
        <f>IF(FI300&gt;110,1,0)</f>
        <v>0</v>
      </c>
      <c r="FW300" s="267">
        <f>IF(FN300=2,SUM(FU300:FV300),0)</f>
        <v>0</v>
      </c>
      <c r="FX300" s="245">
        <f>IF(FI300=159,1,IF(FI300=162,1,IF(FI300=163,1,IF(FI300=165,1,IF(FI300=166,1,IF(FI300=168,1,IF(FI300=169,1,0)))))))</f>
        <v>0</v>
      </c>
      <c r="FY300" s="245">
        <f>IF(FI300&gt;170,1,0)</f>
        <v>0</v>
      </c>
      <c r="FZ300" s="267">
        <f>IF(FN300=0,SUM(FX300:FY300),0)</f>
        <v>0</v>
      </c>
      <c r="GA300" s="251">
        <f t="shared" si="733"/>
        <v>0</v>
      </c>
      <c r="GC300" s="238" t="str">
        <f>VLOOKUP(AH293,Chema!BL:BR,5,FALSE)</f>
        <v/>
      </c>
      <c r="GD300" s="341"/>
      <c r="GE300" s="343" t="str">
        <f>IF(R304="","",SUM(R304))</f>
        <v/>
      </c>
      <c r="GF300" s="340"/>
      <c r="GG300" s="346"/>
      <c r="GH300" s="343">
        <f>IF(GH299&gt;0,1,0)</f>
        <v>0</v>
      </c>
      <c r="GI300" s="346"/>
      <c r="GJ300" s="343"/>
      <c r="GK300" s="346"/>
      <c r="GL300" s="343">
        <f>IF(GL299&gt;0,1,0)</f>
        <v>0</v>
      </c>
      <c r="GM300" s="343"/>
      <c r="GN300" s="343"/>
      <c r="GO300" s="346"/>
      <c r="GP300" s="343">
        <f>IF(GP299&gt;0,1,0)</f>
        <v>0</v>
      </c>
      <c r="GQ300" s="343"/>
      <c r="GR300" s="343"/>
      <c r="GS300" s="346"/>
      <c r="GT300" s="343">
        <f>IF(GT299&gt;0,1,0)</f>
        <v>0</v>
      </c>
      <c r="GU300" s="343"/>
      <c r="GV300" s="343"/>
      <c r="GW300" s="346"/>
      <c r="GX300" s="343">
        <f>IF(GX299&gt;0,1,0)</f>
        <v>0</v>
      </c>
      <c r="GY300" s="340"/>
      <c r="GZ300" s="343"/>
      <c r="HA300" s="343"/>
      <c r="HB300" s="343" t="str">
        <f>IF(GD296=1,P304,"")</f>
        <v/>
      </c>
      <c r="HC300" s="343" t="str">
        <f>IF(GD296=1,X304,"")</f>
        <v/>
      </c>
      <c r="HD300" s="340"/>
      <c r="HE300" s="340"/>
      <c r="HF300" s="340"/>
      <c r="HG300" s="340">
        <f>IF(HG298=HM296,0,IF(HG298=HM300,0,1))</f>
        <v>0</v>
      </c>
      <c r="HH300" s="340">
        <f>IF(HH297=HH299,1,0)</f>
        <v>1</v>
      </c>
      <c r="HI300" s="340"/>
      <c r="HJ300" s="340"/>
      <c r="HK300" s="340"/>
      <c r="HL300" s="340"/>
      <c r="HM300" s="341">
        <f>COUNT(HI299,HJ299,HK299,HL299,HM299)</f>
        <v>0</v>
      </c>
      <c r="HN300" s="341"/>
      <c r="HO300" s="341"/>
      <c r="HP300" s="341"/>
      <c r="HQ300" s="341"/>
      <c r="HR300" s="341"/>
      <c r="HS300" s="238"/>
      <c r="HT300" s="238"/>
      <c r="HU300" s="238"/>
      <c r="HV300" s="238"/>
      <c r="HX300" s="238"/>
      <c r="HY300" s="238"/>
      <c r="ID300" s="238"/>
    </row>
    <row r="301" spans="1:238" s="234" customFormat="1" ht="6.6" customHeight="1">
      <c r="A301" s="235"/>
      <c r="B301" s="231"/>
      <c r="C301" s="310"/>
      <c r="D301" s="310"/>
      <c r="E301" s="310"/>
      <c r="F301" s="310"/>
      <c r="G301" s="313"/>
      <c r="H301" s="310"/>
      <c r="I301" s="310"/>
      <c r="J301" s="273"/>
      <c r="K301" s="313"/>
      <c r="O301" s="118"/>
      <c r="R301" s="310"/>
      <c r="S301" s="310"/>
      <c r="T301" s="310"/>
      <c r="U301" s="310"/>
      <c r="V301" s="313"/>
      <c r="W301" s="310"/>
      <c r="X301" s="310"/>
      <c r="Y301" s="273"/>
      <c r="Z301" s="308"/>
      <c r="AA301" s="274"/>
      <c r="AD301" s="235"/>
      <c r="AE301" s="237">
        <f>IF(AF301=0,0,1)</f>
        <v>0</v>
      </c>
      <c r="AF301" s="237">
        <f>IF(AL301=0,0,SUM(AL303:AL304,-AL302))</f>
        <v>0</v>
      </c>
      <c r="AG301" s="237"/>
      <c r="AH301" s="275">
        <f>SUM(AH296,AH297,AH298,AH299,AH300)</f>
        <v>0</v>
      </c>
      <c r="AI301" s="275">
        <f t="shared" ref="AI301" si="745">SUM(AI296,AI297,AI298,AI299,AI300)</f>
        <v>0</v>
      </c>
      <c r="AJ301" s="275">
        <f t="shared" ref="AJ301" si="746">SUM(AJ296,AJ297,AJ298,AJ299,AJ300)</f>
        <v>0</v>
      </c>
      <c r="AK301" s="275">
        <f>MAX(AK296,AK297,AK298,AK299,AK300)</f>
        <v>0</v>
      </c>
      <c r="AL301" s="275">
        <f t="shared" ref="AL301" si="747">SUM(AL296,AL297,AL298,AL299,AL300)</f>
        <v>0</v>
      </c>
      <c r="AM301" s="275">
        <f>IF(AK293="D",SUM(AL296,AL297,AL298,AL299,AL300,-AL303,-AL304),0)</f>
        <v>0</v>
      </c>
      <c r="AN301" s="235"/>
      <c r="AO301" s="235"/>
      <c r="AP301" s="235"/>
      <c r="AQ301" s="235"/>
      <c r="AR301" s="235"/>
      <c r="AS301" s="237">
        <f>IF(AT301=0,0,1)</f>
        <v>0</v>
      </c>
      <c r="AT301" s="237">
        <f>IF(AZ301=0,0,SUM(AZ303:AZ304,-AZ302))</f>
        <v>0</v>
      </c>
      <c r="AU301" s="237"/>
      <c r="AV301" s="275">
        <f>SUM(AV296,AV297,AV298,AV299,AV300)</f>
        <v>0</v>
      </c>
      <c r="AW301" s="275">
        <f t="shared" ref="AW301" si="748">SUM(AW296,AW297,AW298,AW299,AW300)</f>
        <v>0</v>
      </c>
      <c r="AX301" s="275">
        <f t="shared" ref="AX301" si="749">SUM(AX296,AX297,AX298,AX299,AX300)</f>
        <v>0</v>
      </c>
      <c r="AY301" s="275">
        <f>MAX(AY296,AY297,AY298,AY299,AY300)</f>
        <v>0</v>
      </c>
      <c r="AZ301" s="275">
        <f t="shared" ref="AZ301" si="750">SUM(AZ296,AZ297,AZ298,AZ299,AZ300)</f>
        <v>0</v>
      </c>
      <c r="BA301" s="275">
        <f>IF(AK293="D",SUM(AZ296,AZ297,AZ298,AZ299,AZ300,-AZ303,-AZ304),0)</f>
        <v>0</v>
      </c>
      <c r="BJ301" s="236"/>
      <c r="BK301" s="238"/>
      <c r="BL301" s="238"/>
      <c r="BM301" s="238"/>
      <c r="BP301" s="238"/>
      <c r="BQ301" s="238"/>
      <c r="BR301" s="238"/>
      <c r="BS301" s="238"/>
      <c r="BT301" s="238"/>
      <c r="BU301" s="238"/>
      <c r="BY301" s="238"/>
      <c r="BZ301" s="238">
        <f>MAX(BZ296,BZ297,BZ298,BZ299,BZ300)</f>
        <v>0</v>
      </c>
      <c r="CA301" s="238">
        <f>MAX(CA296,CA297,CA298,CA299,CA300)</f>
        <v>0</v>
      </c>
      <c r="CB301" s="238"/>
      <c r="CC301" s="238"/>
      <c r="CD301" s="238"/>
      <c r="CG301" s="244"/>
      <c r="CH301" s="238"/>
      <c r="CI301" s="238">
        <f>MAX(CI296,CI297,CI298,CI299,CI300)</f>
        <v>0</v>
      </c>
      <c r="CJ301" s="238">
        <f>MAX(CJ296,CJ297,CJ298,CJ299,CJ300)</f>
        <v>0</v>
      </c>
      <c r="CK301" s="238"/>
      <c r="CL301" s="238"/>
      <c r="CM301" s="238"/>
      <c r="CN301" s="238"/>
      <c r="CO301" s="238"/>
      <c r="CP301" s="238"/>
      <c r="CQ301" s="238"/>
      <c r="CR301" s="238"/>
      <c r="CS301" s="238"/>
      <c r="CT301" s="238"/>
      <c r="CU301" s="238"/>
      <c r="CV301" s="238"/>
      <c r="CW301" s="238"/>
      <c r="CX301" s="238"/>
      <c r="CY301" s="238"/>
      <c r="CZ301" s="238"/>
      <c r="DA301" s="238"/>
      <c r="DB301" s="238"/>
      <c r="DC301" s="238"/>
      <c r="DD301" s="238"/>
      <c r="DE301" s="238"/>
      <c r="DF301" s="238"/>
      <c r="DG301" s="238"/>
      <c r="DH301" s="238"/>
      <c r="DI301" s="238"/>
      <c r="DJ301" s="238"/>
      <c r="DK301" s="238"/>
      <c r="DL301" s="238"/>
      <c r="DM301" s="238"/>
      <c r="DN301" s="238"/>
      <c r="DO301" s="238"/>
      <c r="DP301" s="238"/>
      <c r="DQ301" s="238"/>
      <c r="DR301" s="238"/>
      <c r="DS301" s="238"/>
      <c r="DT301" s="238"/>
      <c r="DU301" s="238"/>
      <c r="DV301" s="238"/>
      <c r="DW301" s="238"/>
      <c r="DX301" s="238"/>
      <c r="DY301" s="238"/>
      <c r="DZ301" s="238"/>
      <c r="EA301" s="238"/>
      <c r="EB301" s="238"/>
      <c r="EC301" s="238"/>
      <c r="ED301" s="238"/>
      <c r="EE301" s="238"/>
      <c r="EF301" s="238"/>
      <c r="EG301" s="238"/>
      <c r="EH301" s="238"/>
      <c r="EI301" s="238"/>
      <c r="EJ301" s="238"/>
      <c r="EK301" s="238"/>
      <c r="EL301" s="238"/>
      <c r="EM301" s="166"/>
      <c r="EN301" s="166"/>
      <c r="EO301" s="166"/>
      <c r="EP301" s="238">
        <f>SUM(EN301-EO301)</f>
        <v>0</v>
      </c>
      <c r="EQ301" s="238"/>
      <c r="ER301" s="238"/>
      <c r="ES301" s="238"/>
      <c r="ET301" s="244"/>
      <c r="EU301" s="238"/>
      <c r="EV301" s="238"/>
      <c r="EW301" s="238"/>
      <c r="EX301" s="238"/>
      <c r="EY301" s="238"/>
      <c r="EZ301" s="238"/>
      <c r="FA301" s="238"/>
      <c r="FB301" s="238"/>
      <c r="FC301" s="238"/>
      <c r="FD301" s="238"/>
      <c r="FE301" s="238"/>
      <c r="FF301" s="238"/>
      <c r="FG301" s="238"/>
      <c r="FH301" s="238"/>
      <c r="FI301" s="238"/>
      <c r="FJ301" s="238"/>
      <c r="FK301" s="238"/>
      <c r="FL301" s="238"/>
      <c r="FM301" s="238"/>
      <c r="FN301" s="238"/>
      <c r="FO301" s="244"/>
      <c r="FP301" s="238"/>
      <c r="FQ301" s="238"/>
      <c r="FR301" s="238"/>
      <c r="FS301" s="238"/>
      <c r="FT301" s="238"/>
      <c r="FU301" s="238"/>
      <c r="FV301" s="238"/>
      <c r="FW301" s="238"/>
      <c r="FX301" s="238"/>
      <c r="FY301" s="238"/>
      <c r="FZ301" s="238"/>
      <c r="GA301" s="238"/>
      <c r="GB301" s="238"/>
      <c r="GC301" s="238"/>
      <c r="GD301" s="341"/>
      <c r="GE301" s="340"/>
      <c r="GF301" s="340"/>
      <c r="GG301" s="340"/>
      <c r="GH301" s="340"/>
      <c r="GI301" s="340"/>
      <c r="GJ301" s="340"/>
      <c r="GK301" s="340"/>
      <c r="GL301" s="340"/>
      <c r="GM301" s="340"/>
      <c r="GN301" s="340"/>
      <c r="GO301" s="340"/>
      <c r="GP301" s="340"/>
      <c r="GQ301" s="340"/>
      <c r="GR301" s="340"/>
      <c r="GS301" s="340"/>
      <c r="GT301" s="340"/>
      <c r="GU301" s="340"/>
      <c r="GV301" s="340"/>
      <c r="GW301" s="340"/>
      <c r="GX301" s="340"/>
      <c r="GY301" s="340"/>
      <c r="GZ301" s="340"/>
      <c r="HA301" s="340"/>
      <c r="HB301" s="340"/>
      <c r="HC301" s="340"/>
      <c r="HD301" s="341"/>
      <c r="HE301" s="341"/>
      <c r="HF301" s="341"/>
      <c r="HG301" s="341"/>
      <c r="HH301" s="341"/>
      <c r="HI301" s="341"/>
      <c r="HJ301" s="341"/>
      <c r="HK301" s="341"/>
      <c r="HL301" s="341"/>
      <c r="HM301" s="341"/>
      <c r="HN301" s="341"/>
      <c r="HO301" s="341"/>
      <c r="HP301" s="341"/>
      <c r="HQ301" s="341"/>
      <c r="HR301" s="341"/>
      <c r="HS301" s="238"/>
      <c r="HT301" s="238"/>
      <c r="HU301" s="238"/>
      <c r="HV301" s="238"/>
      <c r="HX301" s="238"/>
      <c r="HY301" s="238"/>
      <c r="ID301" s="238"/>
    </row>
    <row r="302" spans="1:238" s="234" customFormat="1" ht="20.100000000000001" customHeight="1">
      <c r="A302" s="235"/>
      <c r="B302" s="231"/>
      <c r="C302" s="314" t="s">
        <v>771</v>
      </c>
      <c r="D302" s="276" t="str">
        <f>REPT(Sprache!$K$58,1)</f>
        <v>Spieler</v>
      </c>
      <c r="E302" s="277" t="str">
        <f>REPT(Sprache!$K$33,1)</f>
        <v>Name / Vorname</v>
      </c>
      <c r="F302" s="278"/>
      <c r="G302" s="278"/>
      <c r="H302" s="279"/>
      <c r="I302" s="280"/>
      <c r="J302" s="281" t="str">
        <f>REPT(AM302,1)</f>
        <v/>
      </c>
      <c r="L302" s="306" t="s">
        <v>848</v>
      </c>
      <c r="M302" s="238"/>
      <c r="P302" s="306" t="s">
        <v>848</v>
      </c>
      <c r="R302" s="314" t="s">
        <v>771</v>
      </c>
      <c r="S302" s="276" t="str">
        <f>REPT(Sprache!$K$58,1)</f>
        <v>Spieler</v>
      </c>
      <c r="T302" s="277" t="str">
        <f>REPT(Sprache!$K$33,1)</f>
        <v>Name / Vorname</v>
      </c>
      <c r="U302" s="278"/>
      <c r="V302" s="278"/>
      <c r="W302" s="279"/>
      <c r="X302" s="280"/>
      <c r="Y302" s="281" t="str">
        <f>REPT(BA302,1)</f>
        <v/>
      </c>
      <c r="Z302" s="308"/>
      <c r="AD302" s="235"/>
      <c r="AE302" s="235"/>
      <c r="AF302" s="237" t="s">
        <v>771</v>
      </c>
      <c r="AG302" s="282" t="s">
        <v>877</v>
      </c>
      <c r="AH302" s="283" t="str">
        <f>IF(AH301=0,"",AH301)</f>
        <v/>
      </c>
      <c r="AI302" s="283" t="str">
        <f>IF(AI301=0,"",AI301)</f>
        <v/>
      </c>
      <c r="AJ302" s="283" t="str">
        <f>IF(AJ301=0,"",AJ301)</f>
        <v/>
      </c>
      <c r="AK302" s="283" t="str">
        <f>IF(AK301=0,"",AK301)</f>
        <v/>
      </c>
      <c r="AL302" s="283" t="str">
        <f>IF(AL301=0,"",AL301)</f>
        <v/>
      </c>
      <c r="AM302" s="258" t="str">
        <f>IF(AK293="D",IF(AF301=0,"","X"),"")</f>
        <v/>
      </c>
      <c r="AN302" s="235"/>
      <c r="AO302" s="235"/>
      <c r="AP302" s="284"/>
      <c r="AQ302" s="235"/>
      <c r="AR302" s="235"/>
      <c r="AS302" s="235"/>
      <c r="AT302" s="237" t="s">
        <v>771</v>
      </c>
      <c r="AU302" s="282" t="s">
        <v>877</v>
      </c>
      <c r="AV302" s="283" t="str">
        <f>IF(AV301=0,"",AV301)</f>
        <v/>
      </c>
      <c r="AW302" s="283" t="str">
        <f>IF(AW301=0,"",AW301)</f>
        <v/>
      </c>
      <c r="AX302" s="283" t="str">
        <f>IF(AX301=0,"",AX301)</f>
        <v/>
      </c>
      <c r="AY302" s="283" t="str">
        <f>IF(AY301=0,"",AY301)</f>
        <v/>
      </c>
      <c r="AZ302" s="421" t="str">
        <f>IF(AZ301=0,"",AZ301)</f>
        <v/>
      </c>
      <c r="BA302" s="258" t="str">
        <f>IF(AK293="D",IF(AT301=0,"","X"),"")</f>
        <v/>
      </c>
      <c r="BJ302" s="236"/>
      <c r="BK302" s="238"/>
      <c r="BL302" s="244">
        <f>IF(BM302=0,0,1)</f>
        <v>0</v>
      </c>
      <c r="BM302" s="244">
        <f>SUM(BM296,BM297,BM298,BM299,BM300,HH298,AN303,AN304,BB303,BB304)</f>
        <v>0</v>
      </c>
      <c r="BN302" s="166">
        <f t="shared" ref="BN302:BO302" si="751">SUM(BN296,BN297,BN298,BN299,BN300)</f>
        <v>0</v>
      </c>
      <c r="BO302" s="166">
        <f t="shared" si="751"/>
        <v>0</v>
      </c>
      <c r="BP302" s="244"/>
      <c r="BQ302" s="238"/>
      <c r="BR302" s="238"/>
      <c r="BS302" s="238"/>
      <c r="BT302" s="238"/>
      <c r="BU302" s="238"/>
      <c r="BV302" s="238"/>
      <c r="BW302" s="238"/>
      <c r="BX302" s="236"/>
      <c r="BY302" s="238"/>
      <c r="BZ302" s="238"/>
      <c r="CA302" s="238"/>
      <c r="CB302" s="238"/>
      <c r="CC302" s="238"/>
      <c r="CD302" s="238"/>
      <c r="CE302" s="238"/>
      <c r="CF302" s="238"/>
      <c r="CG302" s="244"/>
      <c r="CH302" s="238"/>
      <c r="CI302" s="238"/>
      <c r="CJ302" s="238"/>
      <c r="CK302" s="238"/>
      <c r="CL302" s="238"/>
      <c r="CM302" s="238"/>
      <c r="CN302" s="238"/>
      <c r="CO302" s="238"/>
      <c r="CP302" s="238"/>
      <c r="CQ302" s="238"/>
      <c r="CR302" s="238"/>
      <c r="CS302" s="238"/>
      <c r="CT302" s="238"/>
      <c r="CU302" s="238"/>
      <c r="CV302" s="238"/>
      <c r="CW302" s="238"/>
      <c r="CX302" s="238"/>
      <c r="CY302" s="238"/>
      <c r="CZ302" s="238"/>
      <c r="DA302" s="238"/>
      <c r="DB302" s="238"/>
      <c r="DC302" s="238"/>
      <c r="DD302" s="238"/>
      <c r="DE302" s="238"/>
      <c r="DF302" s="238"/>
      <c r="DG302" s="238"/>
      <c r="DH302" s="238"/>
      <c r="DI302" s="238"/>
      <c r="DJ302" s="238"/>
      <c r="DK302" s="238"/>
      <c r="DL302" s="238"/>
      <c r="DM302" s="238"/>
      <c r="DN302" s="238"/>
      <c r="DO302" s="238"/>
      <c r="DP302" s="238"/>
      <c r="DQ302" s="238"/>
      <c r="DR302" s="238"/>
      <c r="DS302" s="238"/>
      <c r="DT302" s="238"/>
      <c r="DU302" s="238"/>
      <c r="DV302" s="238"/>
      <c r="DW302" s="238"/>
      <c r="DX302" s="238"/>
      <c r="DY302" s="238"/>
      <c r="DZ302" s="238"/>
      <c r="EA302" s="238"/>
      <c r="EB302" s="238"/>
      <c r="EC302" s="238"/>
      <c r="ED302" s="238"/>
      <c r="EE302" s="238"/>
      <c r="EF302" s="238"/>
      <c r="EG302" s="238"/>
      <c r="EH302" s="238"/>
      <c r="EI302" s="238"/>
      <c r="EJ302" s="238"/>
      <c r="EK302" s="238"/>
      <c r="EL302" s="238"/>
      <c r="EM302" s="238"/>
      <c r="EN302" s="238"/>
      <c r="EO302" s="238"/>
      <c r="EP302" s="238"/>
      <c r="EQ302" s="238"/>
      <c r="ER302" s="238"/>
      <c r="ES302" s="238"/>
      <c r="ET302" s="244"/>
      <c r="EU302" s="238"/>
      <c r="EV302" s="238"/>
      <c r="EW302" s="238"/>
      <c r="EX302" s="238"/>
      <c r="EY302" s="238"/>
      <c r="EZ302" s="238"/>
      <c r="FA302" s="238"/>
      <c r="FB302" s="238"/>
      <c r="FC302" s="238"/>
      <c r="FD302" s="238"/>
      <c r="FE302" s="238"/>
      <c r="FF302" s="238"/>
      <c r="FG302" s="238"/>
      <c r="FH302" s="238"/>
      <c r="FI302" s="238"/>
      <c r="FJ302" s="238"/>
      <c r="FK302" s="238"/>
      <c r="FL302" s="238"/>
      <c r="FM302" s="238"/>
      <c r="FN302" s="238"/>
      <c r="FO302" s="244"/>
      <c r="FP302" s="238"/>
      <c r="FQ302" s="238"/>
      <c r="FR302" s="238"/>
      <c r="FS302" s="238"/>
      <c r="FT302" s="238"/>
      <c r="FU302" s="238"/>
      <c r="FV302" s="238"/>
      <c r="FW302" s="238"/>
      <c r="FX302" s="238"/>
      <c r="FY302" s="238"/>
      <c r="FZ302" s="238"/>
      <c r="GA302" s="238"/>
      <c r="GB302" s="238"/>
      <c r="GC302" s="238"/>
      <c r="GD302" s="341"/>
      <c r="GE302" s="340"/>
      <c r="GF302" s="340"/>
      <c r="GG302" s="340"/>
      <c r="GH302" s="340"/>
      <c r="GI302" s="340"/>
      <c r="GJ302" s="340"/>
      <c r="GK302" s="340"/>
      <c r="GL302" s="340"/>
      <c r="GM302" s="340"/>
      <c r="GN302" s="340"/>
      <c r="GO302" s="340"/>
      <c r="GP302" s="340"/>
      <c r="GQ302" s="340"/>
      <c r="GR302" s="340"/>
      <c r="GS302" s="340"/>
      <c r="GT302" s="340"/>
      <c r="GU302" s="340"/>
      <c r="GV302" s="340"/>
      <c r="GW302" s="340"/>
      <c r="GX302" s="340"/>
      <c r="GY302" s="340"/>
      <c r="GZ302" s="340"/>
      <c r="HA302" s="340"/>
      <c r="HB302" s="340"/>
      <c r="HC302" s="340"/>
      <c r="HD302" s="341"/>
      <c r="HE302" s="341"/>
      <c r="HF302" s="341"/>
      <c r="HG302" s="341"/>
      <c r="HH302" s="341"/>
      <c r="HI302" s="341"/>
      <c r="HJ302" s="341"/>
      <c r="HK302" s="341"/>
      <c r="HL302" s="341"/>
      <c r="HM302" s="341"/>
      <c r="HN302" s="341"/>
      <c r="HO302" s="341"/>
      <c r="HP302" s="341"/>
      <c r="HQ302" s="341"/>
      <c r="HR302" s="341"/>
      <c r="HS302" s="238"/>
      <c r="HT302" s="238"/>
      <c r="HU302" s="238"/>
      <c r="HV302" s="238"/>
      <c r="HX302" s="238"/>
      <c r="HY302" s="238"/>
      <c r="ID302" s="238"/>
    </row>
    <row r="303" spans="1:238" s="234" customFormat="1" ht="20.100000000000001" customHeight="1">
      <c r="A303" s="235"/>
      <c r="B303" s="231"/>
      <c r="C303" s="285" t="str">
        <f>IF(AF303="","",SUM(AF303))</f>
        <v/>
      </c>
      <c r="D303" s="286" t="str">
        <f>IF(AK293="D",1,"")</f>
        <v/>
      </c>
      <c r="E303" s="287" t="str">
        <f>IF(C303="","",VLOOKUP(C303,Licenses!B:C,2,FALSE))</f>
        <v/>
      </c>
      <c r="F303" s="288"/>
      <c r="G303" s="288"/>
      <c r="H303" s="289"/>
      <c r="I303" s="169"/>
      <c r="J303" s="270" t="str">
        <f>REPT(AM303,1)</f>
        <v/>
      </c>
      <c r="L303" s="290" t="str">
        <f>IF(AK293="D",AK303,IF(AK302="","",AK302))</f>
        <v/>
      </c>
      <c r="M303" s="311"/>
      <c r="P303" s="290" t="str">
        <f>IF(AK293="D",AY303,IF(AY302="","",AY302))</f>
        <v/>
      </c>
      <c r="R303" s="291" t="str">
        <f>IF(AT303="","",SUM(AT303))</f>
        <v/>
      </c>
      <c r="S303" s="286" t="str">
        <f>IF(AK293="D",1,"")</f>
        <v/>
      </c>
      <c r="T303" s="292" t="str">
        <f>IF(R303="","",VLOOKUP(R303,Licenses!B:C,2,FALSE))</f>
        <v/>
      </c>
      <c r="U303" s="293"/>
      <c r="V303" s="293"/>
      <c r="W303" s="294"/>
      <c r="X303" s="169"/>
      <c r="Y303" s="270" t="str">
        <f>REPT(BA303,1)</f>
        <v/>
      </c>
      <c r="Z303" s="308"/>
      <c r="AD303" s="235"/>
      <c r="AE303" s="235"/>
      <c r="AF303" s="256" t="str">
        <f>IF(AM293="","",SUM(AM293))</f>
        <v/>
      </c>
      <c r="AG303" s="237"/>
      <c r="AH303" s="256"/>
      <c r="AI303" s="256"/>
      <c r="AJ303" s="256"/>
      <c r="AK303" s="256" t="str">
        <f>IF(BZ301&gt;1,BZ301,"")</f>
        <v/>
      </c>
      <c r="AL303" s="257">
        <f>IF(AK293="D",SUM(I303),0)</f>
        <v>0</v>
      </c>
      <c r="AM303" s="258" t="str">
        <f>IF(AM301=0,IF(AL303&lt;6,"","X"),"X")</f>
        <v/>
      </c>
      <c r="AN303" s="347" t="str">
        <f>IF(AM301=0,IF(AL303&lt;6,"",1),1)</f>
        <v/>
      </c>
      <c r="AO303" s="235"/>
      <c r="AP303" s="236"/>
      <c r="AQ303" s="235"/>
      <c r="AR303" s="235"/>
      <c r="AS303" s="235"/>
      <c r="AT303" s="256" t="str">
        <f>IF(BA293="","",SUM(BA293))</f>
        <v/>
      </c>
      <c r="AU303" s="237"/>
      <c r="AV303" s="256"/>
      <c r="AW303" s="256"/>
      <c r="AX303" s="256"/>
      <c r="AY303" s="256" t="str">
        <f>IF(CI301&gt;1,CI301,"")</f>
        <v/>
      </c>
      <c r="AZ303" s="257">
        <f>IF(AK293="D",SUM(X303),0)</f>
        <v>0</v>
      </c>
      <c r="BA303" s="258" t="str">
        <f>IF(BA301=0,IF(AZ303&lt;6,"","X"),"X")</f>
        <v/>
      </c>
      <c r="BB303" s="347" t="str">
        <f>IF(BA301=0,IF(AZ303&lt;6,"",1),1)</f>
        <v/>
      </c>
      <c r="BC303" s="236"/>
      <c r="BD303" s="236"/>
      <c r="BE303" s="236"/>
      <c r="BF303" s="236"/>
      <c r="BG303" s="236"/>
      <c r="BH303" s="236"/>
      <c r="BI303" s="236"/>
      <c r="BJ303" s="236"/>
      <c r="BK303" s="238"/>
      <c r="BL303" s="238"/>
      <c r="BM303" s="295"/>
      <c r="BN303" s="295"/>
      <c r="BO303" s="295"/>
      <c r="BP303" s="295"/>
      <c r="BQ303" s="295"/>
      <c r="BR303" s="295"/>
      <c r="BS303" s="295"/>
      <c r="BT303" s="295"/>
      <c r="BU303" s="295"/>
      <c r="BV303" s="295"/>
      <c r="BW303" s="295"/>
      <c r="BX303" s="236"/>
      <c r="BY303" s="295"/>
      <c r="BZ303" s="295"/>
      <c r="CA303" s="295"/>
      <c r="CB303" s="295"/>
      <c r="CC303" s="295"/>
      <c r="CD303" s="295"/>
      <c r="CE303" s="295"/>
      <c r="CF303" s="295"/>
      <c r="CG303" s="296"/>
      <c r="CH303" s="295"/>
      <c r="CI303" s="295"/>
      <c r="CJ303" s="295"/>
      <c r="CK303" s="238"/>
      <c r="CL303" s="238"/>
      <c r="CM303" s="238"/>
      <c r="CN303" s="238"/>
      <c r="CO303" s="238"/>
      <c r="CP303" s="238"/>
      <c r="CQ303" s="238"/>
      <c r="CR303" s="238"/>
      <c r="CS303" s="238"/>
      <c r="CT303" s="238"/>
      <c r="CU303" s="238"/>
      <c r="CV303" s="238"/>
      <c r="CW303" s="238"/>
      <c r="CX303" s="238"/>
      <c r="CY303" s="238"/>
      <c r="CZ303" s="238"/>
      <c r="DA303" s="238"/>
      <c r="DB303" s="238"/>
      <c r="DC303" s="238"/>
      <c r="DD303" s="238"/>
      <c r="DE303" s="238"/>
      <c r="DF303" s="238"/>
      <c r="DG303" s="238"/>
      <c r="DH303" s="238"/>
      <c r="DI303" s="238"/>
      <c r="DJ303" s="238"/>
      <c r="DK303" s="238"/>
      <c r="DL303" s="238"/>
      <c r="DM303" s="238"/>
      <c r="DN303" s="238"/>
      <c r="DO303" s="238"/>
      <c r="DP303" s="238"/>
      <c r="DQ303" s="238"/>
      <c r="DR303" s="238"/>
      <c r="DS303" s="238"/>
      <c r="DT303" s="238"/>
      <c r="DU303" s="238"/>
      <c r="DV303" s="238"/>
      <c r="DW303" s="238"/>
      <c r="DX303" s="238"/>
      <c r="DY303" s="238"/>
      <c r="DZ303" s="238"/>
      <c r="EA303" s="238"/>
      <c r="EB303" s="238"/>
      <c r="EC303" s="238"/>
      <c r="ED303" s="238"/>
      <c r="EE303" s="238"/>
      <c r="EF303" s="238"/>
      <c r="EG303" s="238"/>
      <c r="EH303" s="238"/>
      <c r="EI303" s="238"/>
      <c r="EJ303" s="238"/>
      <c r="EK303" s="238"/>
      <c r="EL303" s="238"/>
      <c r="EM303" s="238"/>
      <c r="EN303" s="238"/>
      <c r="EO303" s="238"/>
      <c r="EP303" s="238"/>
      <c r="EQ303" s="238"/>
      <c r="ER303" s="238"/>
      <c r="ES303" s="238"/>
      <c r="ET303" s="244"/>
      <c r="EU303" s="238"/>
      <c r="EV303" s="238"/>
      <c r="EW303" s="238"/>
      <c r="EX303" s="238"/>
      <c r="EY303" s="238"/>
      <c r="EZ303" s="238"/>
      <c r="FA303" s="238"/>
      <c r="FB303" s="238"/>
      <c r="FC303" s="238"/>
      <c r="FD303" s="238"/>
      <c r="FE303" s="238"/>
      <c r="FF303" s="238"/>
      <c r="FG303" s="238"/>
      <c r="FH303" s="238"/>
      <c r="FI303" s="238"/>
      <c r="FJ303" s="238"/>
      <c r="FK303" s="238"/>
      <c r="FL303" s="238"/>
      <c r="FM303" s="238"/>
      <c r="FN303" s="238"/>
      <c r="FO303" s="244"/>
      <c r="FP303" s="238"/>
      <c r="FQ303" s="238"/>
      <c r="FR303" s="238"/>
      <c r="FS303" s="238"/>
      <c r="FT303" s="238"/>
      <c r="FU303" s="238"/>
      <c r="FV303" s="238"/>
      <c r="FW303" s="238"/>
      <c r="FX303" s="238"/>
      <c r="FY303" s="238"/>
      <c r="FZ303" s="238"/>
      <c r="GA303" s="238"/>
      <c r="GB303" s="238"/>
      <c r="GC303" s="238"/>
      <c r="GD303" s="341"/>
      <c r="GE303" s="340"/>
      <c r="GF303" s="340"/>
      <c r="GG303" s="340"/>
      <c r="GH303" s="340"/>
      <c r="GI303" s="340"/>
      <c r="GJ303" s="340"/>
      <c r="GK303" s="340"/>
      <c r="GL303" s="340"/>
      <c r="GM303" s="340"/>
      <c r="GN303" s="340"/>
      <c r="GO303" s="340"/>
      <c r="GP303" s="340"/>
      <c r="GQ303" s="340"/>
      <c r="GR303" s="340"/>
      <c r="GS303" s="340"/>
      <c r="GT303" s="340"/>
      <c r="GU303" s="340"/>
      <c r="GV303" s="340"/>
      <c r="GW303" s="340"/>
      <c r="GX303" s="340"/>
      <c r="GY303" s="340"/>
      <c r="GZ303" s="340"/>
      <c r="HA303" s="340"/>
      <c r="HB303" s="340"/>
      <c r="HC303" s="340"/>
      <c r="HD303" s="341"/>
      <c r="HE303" s="341"/>
      <c r="HF303" s="341"/>
      <c r="HG303" s="341"/>
      <c r="HH303" s="341"/>
      <c r="HI303" s="341"/>
      <c r="HJ303" s="341"/>
      <c r="HK303" s="341"/>
      <c r="HL303" s="341"/>
      <c r="HM303" s="341"/>
      <c r="HN303" s="341"/>
      <c r="HO303" s="341"/>
      <c r="HP303" s="341"/>
      <c r="HQ303" s="341"/>
      <c r="HR303" s="341"/>
      <c r="HS303" s="238"/>
      <c r="HT303" s="238"/>
      <c r="HU303" s="238"/>
      <c r="HV303" s="238"/>
      <c r="HX303" s="238"/>
      <c r="HY303" s="238"/>
      <c r="ID303" s="238"/>
    </row>
    <row r="304" spans="1:238" s="234" customFormat="1" ht="20.100000000000001" customHeight="1">
      <c r="A304" s="235"/>
      <c r="B304" s="231"/>
      <c r="C304" s="336" t="str">
        <f>IF(AF304="","",SUM(AF304))</f>
        <v/>
      </c>
      <c r="D304" s="333" t="str">
        <f>IF(AK293="D",2,"")</f>
        <v/>
      </c>
      <c r="E304" s="337" t="str">
        <f>IF(C304="","",VLOOKUP(C304,Licenses!B:C,2,FALSE))</f>
        <v/>
      </c>
      <c r="F304" s="290"/>
      <c r="G304" s="290"/>
      <c r="H304" s="338"/>
      <c r="I304" s="331"/>
      <c r="J304" s="272" t="str">
        <f>REPT(AM304,1)</f>
        <v/>
      </c>
      <c r="L304" s="315" t="str">
        <f>IF(AK293="D",AK304,"")</f>
        <v/>
      </c>
      <c r="M304" s="311"/>
      <c r="P304" s="315" t="str">
        <f>IF(AK293="D",AY304,"")</f>
        <v/>
      </c>
      <c r="R304" s="332" t="str">
        <f>IF(AT304="","",SUM(AT304))</f>
        <v/>
      </c>
      <c r="S304" s="333" t="str">
        <f>IF(AK293="D",2,"")</f>
        <v/>
      </c>
      <c r="T304" s="334" t="str">
        <f>IF(R304="","",VLOOKUP(R304,Licenses!B:C,2,FALSE))</f>
        <v/>
      </c>
      <c r="U304" s="297"/>
      <c r="V304" s="297"/>
      <c r="W304" s="335"/>
      <c r="X304" s="331"/>
      <c r="Y304" s="272" t="str">
        <f>REPT(BA304,1)</f>
        <v/>
      </c>
      <c r="Z304" s="308"/>
      <c r="AA304" s="238">
        <f>IF(AK293="D",0,1)</f>
        <v>1</v>
      </c>
      <c r="AD304" s="235"/>
      <c r="AE304" s="235"/>
      <c r="AF304" s="256" t="str">
        <f>IF(AM294="","",SUM(AM294))</f>
        <v/>
      </c>
      <c r="AG304" s="237"/>
      <c r="AH304" s="256"/>
      <c r="AI304" s="256"/>
      <c r="AJ304" s="256"/>
      <c r="AK304" s="256" t="str">
        <f>IF(CA301&gt;1,CA301,"")</f>
        <v/>
      </c>
      <c r="AL304" s="257">
        <f>IF(AK293="D",SUM(I304),0)</f>
        <v>0</v>
      </c>
      <c r="AM304" s="258" t="str">
        <f>IF(AM301=0,IF(AL304&lt;6,"","X"),"X")</f>
        <v/>
      </c>
      <c r="AN304" s="347" t="str">
        <f>IF(AM301=0,IF(AL304&lt;6,"",1),1)</f>
        <v/>
      </c>
      <c r="AO304" s="235"/>
      <c r="AP304" s="236"/>
      <c r="AQ304" s="235"/>
      <c r="AR304" s="235"/>
      <c r="AS304" s="235"/>
      <c r="AT304" s="256" t="str">
        <f>IF(BA294="","",SUM(BA294))</f>
        <v/>
      </c>
      <c r="AU304" s="237"/>
      <c r="AV304" s="256"/>
      <c r="AW304" s="256"/>
      <c r="AX304" s="256"/>
      <c r="AY304" s="256" t="str">
        <f>IF(CJ301&gt;1,CJ301,"")</f>
        <v/>
      </c>
      <c r="AZ304" s="257">
        <f>IF(AK293="D",SUM(X304),0)</f>
        <v>0</v>
      </c>
      <c r="BA304" s="258" t="str">
        <f>IF(BA301=0,IF(AZ304&lt;6,"","X"),"X")</f>
        <v/>
      </c>
      <c r="BB304" s="347" t="str">
        <f>IF(BA301=0,IF(AZ304&lt;6,"",1),1)</f>
        <v/>
      </c>
      <c r="BC304" s="236"/>
      <c r="BD304" s="236"/>
      <c r="BE304" s="236"/>
      <c r="BF304" s="236"/>
      <c r="BG304" s="236"/>
      <c r="BH304" s="236"/>
      <c r="BI304" s="236"/>
      <c r="BJ304" s="236"/>
      <c r="BK304" s="238"/>
      <c r="BM304" s="238"/>
      <c r="BN304" s="238"/>
      <c r="BO304" s="238"/>
      <c r="BP304" s="238"/>
      <c r="BQ304" s="238" t="s">
        <v>899</v>
      </c>
      <c r="BR304" s="238"/>
      <c r="BS304" s="238"/>
      <c r="BT304" s="238"/>
      <c r="BU304" s="238"/>
      <c r="BV304" s="238"/>
      <c r="BW304" s="238"/>
      <c r="BX304" s="236"/>
      <c r="BY304" s="238"/>
      <c r="BZ304" s="238"/>
      <c r="CA304" s="238"/>
      <c r="CB304" s="238"/>
      <c r="CC304" s="238"/>
      <c r="CD304" s="238" t="s">
        <v>899</v>
      </c>
      <c r="CE304" s="238"/>
      <c r="CF304" s="238"/>
      <c r="CG304" s="244"/>
      <c r="CH304" s="238"/>
      <c r="CI304" s="238"/>
      <c r="CJ304" s="238"/>
      <c r="CK304" s="238"/>
      <c r="CL304" s="238"/>
      <c r="CM304" s="238"/>
      <c r="CN304" s="238"/>
      <c r="CO304" s="238"/>
      <c r="CP304" s="238"/>
      <c r="CQ304" s="238"/>
      <c r="CR304" s="238"/>
      <c r="CS304" s="238"/>
      <c r="CT304" s="238"/>
      <c r="CU304" s="238"/>
      <c r="CV304" s="238"/>
      <c r="CW304" s="238"/>
      <c r="CX304" s="238"/>
      <c r="CY304" s="238"/>
      <c r="CZ304" s="238"/>
      <c r="DA304" s="238"/>
      <c r="DB304" s="238"/>
      <c r="DC304" s="238"/>
      <c r="DD304" s="238"/>
      <c r="DE304" s="238"/>
      <c r="DF304" s="238"/>
      <c r="DG304" s="238"/>
      <c r="DH304" s="238"/>
      <c r="DI304" s="238"/>
      <c r="DJ304" s="238"/>
      <c r="DK304" s="238"/>
      <c r="DL304" s="238"/>
      <c r="DM304" s="238"/>
      <c r="DN304" s="238"/>
      <c r="DO304" s="238"/>
      <c r="DP304" s="238"/>
      <c r="DQ304" s="238"/>
      <c r="DR304" s="238"/>
      <c r="DS304" s="238"/>
      <c r="DT304" s="238"/>
      <c r="DU304" s="238"/>
      <c r="DV304" s="238"/>
      <c r="DW304" s="238"/>
      <c r="DX304" s="238"/>
      <c r="DY304" s="238"/>
      <c r="DZ304" s="238"/>
      <c r="EA304" s="238"/>
      <c r="EB304" s="238"/>
      <c r="EC304" s="238"/>
      <c r="ED304" s="238"/>
      <c r="EE304" s="238"/>
      <c r="EF304" s="238"/>
      <c r="EG304" s="238"/>
      <c r="EH304" s="238"/>
      <c r="EI304" s="238"/>
      <c r="EJ304" s="238"/>
      <c r="EK304" s="238"/>
      <c r="EL304" s="238"/>
      <c r="EM304" s="238"/>
      <c r="EN304" s="238"/>
      <c r="EO304" s="238"/>
      <c r="EP304" s="238"/>
      <c r="EQ304" s="238"/>
      <c r="ER304" s="238"/>
      <c r="ES304" s="238"/>
      <c r="ET304" s="244"/>
      <c r="EU304" s="238"/>
      <c r="EV304" s="238"/>
      <c r="EW304" s="238"/>
      <c r="EX304" s="238"/>
      <c r="EY304" s="238"/>
      <c r="EZ304" s="238"/>
      <c r="FA304" s="238"/>
      <c r="FB304" s="238"/>
      <c r="FC304" s="238"/>
      <c r="FD304" s="238"/>
      <c r="FE304" s="238"/>
      <c r="FF304" s="238"/>
      <c r="FG304" s="238"/>
      <c r="FH304" s="238"/>
      <c r="FI304" s="238"/>
      <c r="FJ304" s="238"/>
      <c r="FK304" s="238"/>
      <c r="FL304" s="238"/>
      <c r="FM304" s="238"/>
      <c r="FN304" s="238"/>
      <c r="FO304" s="244"/>
      <c r="FP304" s="238"/>
      <c r="FQ304" s="238"/>
      <c r="FR304" s="238"/>
      <c r="FS304" s="238"/>
      <c r="FT304" s="238"/>
      <c r="FU304" s="238"/>
      <c r="FV304" s="238"/>
      <c r="FW304" s="238"/>
      <c r="FX304" s="238"/>
      <c r="FY304" s="238"/>
      <c r="FZ304" s="238"/>
      <c r="GA304" s="238"/>
      <c r="GB304" s="238"/>
      <c r="GC304" s="238"/>
      <c r="GD304" s="341"/>
      <c r="GE304" s="340"/>
      <c r="GF304" s="340"/>
      <c r="GG304" s="340"/>
      <c r="GH304" s="340"/>
      <c r="GI304" s="340"/>
      <c r="GJ304" s="340"/>
      <c r="GK304" s="340"/>
      <c r="GL304" s="340"/>
      <c r="GM304" s="340"/>
      <c r="GN304" s="340"/>
      <c r="GO304" s="340"/>
      <c r="GP304" s="340"/>
      <c r="GQ304" s="340"/>
      <c r="GR304" s="340"/>
      <c r="GS304" s="340"/>
      <c r="GT304" s="340"/>
      <c r="GU304" s="340"/>
      <c r="GV304" s="340"/>
      <c r="GW304" s="340"/>
      <c r="GX304" s="340"/>
      <c r="GY304" s="340"/>
      <c r="GZ304" s="340"/>
      <c r="HA304" s="340"/>
      <c r="HB304" s="340"/>
      <c r="HC304" s="340"/>
      <c r="HD304" s="341"/>
      <c r="HE304" s="341"/>
      <c r="HF304" s="341"/>
      <c r="HG304" s="341"/>
      <c r="HH304" s="341"/>
      <c r="HI304" s="341"/>
      <c r="HJ304" s="341"/>
      <c r="HK304" s="341"/>
      <c r="HL304" s="341"/>
      <c r="HM304" s="341"/>
      <c r="HN304" s="341"/>
      <c r="HO304" s="341"/>
      <c r="HP304" s="341"/>
      <c r="HQ304" s="341"/>
      <c r="HR304" s="341"/>
      <c r="HS304" s="238"/>
      <c r="HT304" s="238"/>
      <c r="HU304" s="238"/>
      <c r="HV304" s="238"/>
      <c r="HX304" s="238"/>
      <c r="HY304" s="238"/>
      <c r="ID304" s="238"/>
    </row>
    <row r="305" spans="1:238" s="234" customFormat="1" ht="20.100000000000001" customHeight="1">
      <c r="A305" s="235"/>
      <c r="B305" s="316"/>
      <c r="C305" s="317"/>
      <c r="D305" s="317"/>
      <c r="E305" s="318"/>
      <c r="F305" s="318"/>
      <c r="G305" s="318"/>
      <c r="H305" s="318"/>
      <c r="I305" s="318"/>
      <c r="J305" s="318"/>
      <c r="K305" s="319"/>
      <c r="L305" s="319"/>
      <c r="M305" s="319"/>
      <c r="N305" s="319"/>
      <c r="O305" s="319"/>
      <c r="P305" s="320"/>
      <c r="Q305" s="319"/>
      <c r="R305" s="317"/>
      <c r="S305" s="318"/>
      <c r="T305" s="318"/>
      <c r="U305" s="318"/>
      <c r="V305" s="318"/>
      <c r="W305" s="318"/>
      <c r="X305" s="318"/>
      <c r="Y305" s="318"/>
      <c r="Z305" s="321"/>
      <c r="AD305" s="235"/>
      <c r="AE305" s="237"/>
      <c r="AF305" s="237"/>
      <c r="AG305" s="237"/>
      <c r="AH305" s="237" t="s">
        <v>921</v>
      </c>
      <c r="AI305" s="237" t="s">
        <v>922</v>
      </c>
      <c r="AJ305" s="298" t="str">
        <f>IF(BS305="","",SUM(AM305)*3)</f>
        <v/>
      </c>
      <c r="AK305" s="299" t="s">
        <v>923</v>
      </c>
      <c r="AL305" s="256"/>
      <c r="AM305" s="256" t="str">
        <f>IF(BS305="","",SUM(BS305))</f>
        <v/>
      </c>
      <c r="AN305" s="235"/>
      <c r="AO305" s="235"/>
      <c r="AP305" s="236"/>
      <c r="AQ305" s="235"/>
      <c r="AR305" s="235"/>
      <c r="AS305" s="237"/>
      <c r="AT305" s="237"/>
      <c r="AU305" s="237"/>
      <c r="AV305" s="237" t="s">
        <v>921</v>
      </c>
      <c r="AW305" s="237" t="s">
        <v>922</v>
      </c>
      <c r="AX305" s="298" t="str">
        <f>IF(BS305="","",SUM(BA305)*3)</f>
        <v/>
      </c>
      <c r="AY305" s="299" t="s">
        <v>923</v>
      </c>
      <c r="AZ305" s="256"/>
      <c r="BA305" s="256" t="str">
        <f>IF(BS305="","",SUM(CF305))</f>
        <v/>
      </c>
      <c r="BB305" s="236"/>
      <c r="BC305" s="236"/>
      <c r="BD305" s="236"/>
      <c r="BE305" s="236"/>
      <c r="BF305" s="236"/>
      <c r="BG305" s="236"/>
      <c r="BH305" s="236"/>
      <c r="BI305" s="236"/>
      <c r="BJ305" s="236"/>
      <c r="BK305" s="373">
        <f>IF(AL293=BQ305,1,0)</f>
        <v>0</v>
      </c>
      <c r="BL305" s="373">
        <f>IF(AL293=CD305,1,0)</f>
        <v>0</v>
      </c>
      <c r="BM305" s="256">
        <f>IF(BN305&gt;2,1,0)</f>
        <v>0</v>
      </c>
      <c r="BN305" s="256">
        <f>COUNT(AH296,AH297,AH298)</f>
        <v>0</v>
      </c>
      <c r="BO305" s="256" t="str">
        <f>IF(AH302="","",SUM(AH302/AJ302))</f>
        <v/>
      </c>
      <c r="BP305" s="256"/>
      <c r="BQ305" s="300">
        <f>COUNT(AK296,AK297,AK298,AK299,AK300)</f>
        <v>0</v>
      </c>
      <c r="BR305" s="256"/>
      <c r="BS305" s="256" t="str">
        <f>IF(BL302=0,IF(AJ297="","",BO305),"")</f>
        <v/>
      </c>
      <c r="BT305" s="236"/>
      <c r="BU305" s="236"/>
      <c r="BV305" s="236"/>
      <c r="BW305" s="236"/>
      <c r="BX305" s="236"/>
      <c r="BY305" s="256">
        <f>IF(CD305&gt;2,1,0)</f>
        <v>0</v>
      </c>
      <c r="BZ305" s="256">
        <f>IF(CA305&gt;2,1,0)</f>
        <v>0</v>
      </c>
      <c r="CA305" s="256">
        <f>COUNT(AV296,AV297,AV298)</f>
        <v>0</v>
      </c>
      <c r="CB305" s="256" t="str">
        <f>IF(AV302="","",SUM(AV302/AX302))</f>
        <v/>
      </c>
      <c r="CC305" s="256"/>
      <c r="CD305" s="300">
        <f>COUNT(AY296,AY297,AY298,AY299,AY300)</f>
        <v>0</v>
      </c>
      <c r="CE305" s="256"/>
      <c r="CF305" s="256" t="str">
        <f>IF(BL302=0,IF(AX297="","",CB305),"")</f>
        <v/>
      </c>
      <c r="CG305" s="236"/>
      <c r="CH305" s="188"/>
      <c r="CI305" s="188"/>
      <c r="CJ305" s="196"/>
      <c r="CK305" s="196"/>
      <c r="CL305" s="196"/>
      <c r="CM305" s="196"/>
      <c r="CN305" s="196"/>
      <c r="CO305" s="196"/>
      <c r="CP305" s="196"/>
      <c r="CQ305" s="196"/>
      <c r="CR305" s="196"/>
      <c r="CS305" s="196"/>
      <c r="CT305" s="196"/>
      <c r="CU305" s="196"/>
      <c r="CV305" s="196"/>
      <c r="CW305" s="196"/>
      <c r="CX305" s="196"/>
      <c r="CY305" s="196"/>
      <c r="CZ305" s="196"/>
      <c r="DA305" s="196"/>
      <c r="DB305" s="196"/>
      <c r="DC305" s="196"/>
      <c r="DD305" s="196"/>
      <c r="DE305" s="196"/>
      <c r="DF305" s="196"/>
      <c r="DG305" s="196"/>
      <c r="DH305" s="196"/>
      <c r="DI305" s="196"/>
      <c r="DJ305" s="196"/>
      <c r="DK305" s="196"/>
      <c r="DL305" s="196"/>
      <c r="DM305" s="196"/>
      <c r="DN305" s="196"/>
      <c r="DO305" s="196"/>
      <c r="DP305" s="196"/>
      <c r="DQ305" s="196"/>
      <c r="DR305" s="196"/>
      <c r="DS305" s="196"/>
      <c r="DT305" s="196"/>
      <c r="DU305" s="196"/>
      <c r="DV305" s="196"/>
      <c r="DW305" s="196"/>
      <c r="DX305" s="196"/>
      <c r="DY305" s="196"/>
      <c r="DZ305" s="196"/>
      <c r="EA305" s="196"/>
      <c r="EB305" s="196"/>
      <c r="EC305" s="196"/>
      <c r="ED305" s="196"/>
      <c r="EE305" s="196"/>
      <c r="EF305" s="196"/>
      <c r="EG305" s="196"/>
      <c r="EH305" s="196"/>
      <c r="EI305" s="196"/>
      <c r="EJ305" s="196"/>
      <c r="EK305" s="196"/>
      <c r="EL305" s="196"/>
      <c r="EM305" s="196"/>
      <c r="EN305" s="196"/>
      <c r="EO305" s="196"/>
      <c r="EP305" s="196"/>
      <c r="EQ305" s="196"/>
      <c r="ER305" s="196"/>
      <c r="ES305" s="196"/>
      <c r="ET305" s="301"/>
      <c r="EU305" s="196"/>
      <c r="EV305" s="196"/>
      <c r="EW305" s="196"/>
      <c r="EX305" s="196"/>
      <c r="EY305" s="196"/>
      <c r="EZ305" s="196"/>
      <c r="FA305" s="196"/>
      <c r="FB305" s="196"/>
      <c r="FC305" s="196"/>
      <c r="FD305" s="196"/>
      <c r="FE305" s="196"/>
      <c r="FF305" s="196"/>
      <c r="FG305" s="196"/>
      <c r="FH305" s="196"/>
      <c r="FI305" s="196"/>
      <c r="FJ305" s="196"/>
      <c r="FK305" s="196"/>
      <c r="FL305" s="196"/>
      <c r="FM305" s="196"/>
      <c r="FN305" s="196"/>
      <c r="FO305" s="301"/>
      <c r="FP305" s="196"/>
      <c r="FQ305" s="196"/>
      <c r="FR305" s="196"/>
      <c r="FS305" s="196"/>
      <c r="FT305" s="196"/>
      <c r="FU305" s="196"/>
      <c r="FV305" s="196"/>
      <c r="FW305" s="196"/>
      <c r="FX305" s="196"/>
      <c r="FY305" s="196"/>
      <c r="FZ305" s="196"/>
      <c r="GA305" s="196"/>
      <c r="GB305" s="238"/>
      <c r="GC305" s="238"/>
      <c r="GD305" s="341"/>
      <c r="GE305" s="341"/>
      <c r="GF305" s="341"/>
      <c r="GG305" s="341"/>
      <c r="GH305" s="341"/>
      <c r="GI305" s="341"/>
      <c r="GJ305" s="341"/>
      <c r="GK305" s="341"/>
      <c r="GL305" s="341"/>
      <c r="GM305" s="341"/>
      <c r="GN305" s="341"/>
      <c r="GO305" s="341"/>
      <c r="GP305" s="341"/>
      <c r="GQ305" s="341"/>
      <c r="GR305" s="341"/>
      <c r="GS305" s="341"/>
      <c r="GT305" s="341"/>
      <c r="GU305" s="341"/>
      <c r="GV305" s="341"/>
      <c r="GW305" s="341"/>
      <c r="GX305" s="341"/>
      <c r="GY305" s="341"/>
      <c r="GZ305" s="341"/>
      <c r="HA305" s="341"/>
      <c r="HB305" s="341"/>
      <c r="HC305" s="341"/>
      <c r="HD305" s="341"/>
      <c r="HE305" s="341"/>
      <c r="HF305" s="341"/>
      <c r="HG305" s="341"/>
      <c r="HH305" s="341"/>
      <c r="HI305" s="341"/>
      <c r="HJ305" s="341"/>
      <c r="HK305" s="341"/>
      <c r="HL305" s="341"/>
      <c r="HM305" s="341"/>
      <c r="HN305" s="341"/>
      <c r="HO305" s="341"/>
      <c r="HP305" s="341"/>
      <c r="HQ305" s="341"/>
      <c r="HR305" s="341"/>
      <c r="HS305" s="238"/>
      <c r="HT305" s="238"/>
      <c r="HU305" s="238"/>
      <c r="HV305" s="238"/>
      <c r="HX305" s="238"/>
      <c r="HY305" s="238"/>
      <c r="ID305" s="238"/>
    </row>
    <row r="306" spans="1:238" ht="14.1" customHeight="1">
      <c r="B306" s="214"/>
      <c r="C306" s="171"/>
      <c r="D306" s="171"/>
      <c r="E306" s="171"/>
      <c r="F306" s="171"/>
      <c r="G306" s="171"/>
      <c r="H306" s="171"/>
      <c r="I306" s="171"/>
      <c r="J306" s="171"/>
      <c r="K306" s="171"/>
      <c r="L306" s="171"/>
      <c r="M306" s="171"/>
      <c r="N306" s="171"/>
      <c r="O306" s="171"/>
      <c r="P306" s="171"/>
      <c r="Q306" s="171"/>
      <c r="R306" s="171"/>
      <c r="S306" s="171"/>
      <c r="T306" s="171"/>
      <c r="U306" s="171"/>
      <c r="V306" s="171"/>
      <c r="W306" s="171"/>
      <c r="X306" s="171"/>
      <c r="Y306" s="171"/>
      <c r="Z306" s="302"/>
      <c r="AA306" s="215"/>
      <c r="AB306" s="215"/>
      <c r="AC306" s="215"/>
      <c r="AD306" s="215"/>
      <c r="AE306" s="215"/>
      <c r="AF306" s="215"/>
      <c r="BB306" s="215"/>
      <c r="BC306" s="215"/>
      <c r="BD306" s="215"/>
      <c r="BE306" s="215"/>
      <c r="BF306" s="215"/>
      <c r="BG306" s="215"/>
      <c r="BH306" s="215"/>
      <c r="GD306" s="339"/>
      <c r="GE306" s="339"/>
      <c r="GF306" s="339"/>
      <c r="GG306" s="339"/>
      <c r="GH306" s="339"/>
      <c r="GI306" s="339"/>
      <c r="GJ306" s="339"/>
      <c r="GK306" s="339"/>
      <c r="GL306" s="339"/>
      <c r="GM306" s="339"/>
      <c r="GN306" s="339"/>
      <c r="GO306" s="339"/>
      <c r="GP306" s="339"/>
      <c r="GQ306" s="339"/>
      <c r="GR306" s="339"/>
      <c r="GS306" s="339"/>
      <c r="GT306" s="339"/>
      <c r="GU306" s="339"/>
      <c r="GV306" s="339"/>
      <c r="GW306" s="339"/>
      <c r="GX306" s="339"/>
      <c r="GY306" s="339"/>
      <c r="GZ306" s="339"/>
      <c r="HA306" s="339"/>
      <c r="HB306" s="339"/>
      <c r="HC306" s="339"/>
      <c r="HD306" s="339"/>
      <c r="HE306" s="339"/>
      <c r="HF306" s="339"/>
      <c r="HG306" s="339"/>
      <c r="HH306" s="339"/>
      <c r="HI306" s="339"/>
      <c r="HJ306" s="339"/>
      <c r="HK306" s="339"/>
      <c r="HL306" s="339"/>
      <c r="HM306" s="339"/>
      <c r="HN306" s="339"/>
      <c r="HO306" s="339"/>
      <c r="HP306" s="339"/>
      <c r="HQ306" s="339"/>
      <c r="HR306" s="339"/>
    </row>
    <row r="307" spans="1:238" ht="24" customHeight="1">
      <c r="B307" s="216"/>
      <c r="C307" s="181"/>
      <c r="D307" s="181"/>
      <c r="E307" s="181"/>
      <c r="F307" s="181"/>
      <c r="G307" s="181"/>
      <c r="H307" s="181"/>
      <c r="I307" s="181"/>
      <c r="J307" s="181"/>
      <c r="K307" s="185"/>
      <c r="L307" s="217"/>
      <c r="M307" s="218"/>
      <c r="N307" s="327" t="str">
        <f>CONCATENATE(AG307," ",AH307)</f>
        <v>Spiel 22</v>
      </c>
      <c r="O307" s="218"/>
      <c r="P307" s="219"/>
      <c r="Q307" s="185"/>
      <c r="R307" s="181"/>
      <c r="S307" s="181"/>
      <c r="T307" s="181"/>
      <c r="U307" s="181"/>
      <c r="V307" s="181"/>
      <c r="W307" s="181"/>
      <c r="X307" s="181"/>
      <c r="Y307" s="181"/>
      <c r="Z307" s="303"/>
      <c r="AA307" s="200"/>
      <c r="AB307" s="200"/>
      <c r="AC307" s="200"/>
      <c r="AD307" s="200"/>
      <c r="AE307" s="200"/>
      <c r="AF307" s="200"/>
      <c r="AG307" s="200" t="s">
        <v>863</v>
      </c>
      <c r="AH307" s="220">
        <v>22</v>
      </c>
      <c r="AI307" s="173">
        <f>VLOOKUP(AH307,Chema!R:T,3,FALSE)</f>
        <v>3.2</v>
      </c>
      <c r="AJ307" s="200" t="str">
        <f>VLOOKUP(AH307,Chema!BL:BQ,6,FALSE)</f>
        <v>3.2*</v>
      </c>
      <c r="AK307" s="200" t="str">
        <f>VLOOKUP(AH307,'Matchblatt  FEUILLE DE MATCH'!AI:AJ,2,FALSE)</f>
        <v>S</v>
      </c>
      <c r="AL307" s="200">
        <f>VLOOKUP(AH307,Chema!R:U,4,FALSE)</f>
        <v>5</v>
      </c>
      <c r="AM307" s="215" t="str">
        <f>VLOOKUP(AH307,'Matchblatt  FEUILLE DE MATCH'!AI:AS,10,FALSE)</f>
        <v/>
      </c>
      <c r="AN307" s="215"/>
      <c r="AO307" s="215"/>
      <c r="AP307" s="215"/>
      <c r="AQ307" s="215"/>
      <c r="AR307" s="215"/>
      <c r="AS307" s="215"/>
      <c r="AT307" s="215"/>
      <c r="AU307" s="215"/>
      <c r="AV307" s="215"/>
      <c r="AW307" s="215"/>
      <c r="AX307" s="215"/>
      <c r="AY307" s="215"/>
      <c r="AZ307" s="215"/>
      <c r="BA307" s="215" t="str">
        <f>VLOOKUP(AH307,'Matchblatt  FEUILLE DE MATCH'!AI:AS,11,FALSE)</f>
        <v/>
      </c>
      <c r="BB307" s="200"/>
      <c r="BC307" s="200"/>
      <c r="BD307" s="200"/>
      <c r="BE307" s="200"/>
      <c r="BF307" s="200"/>
      <c r="BG307" s="200"/>
      <c r="BH307" s="200"/>
      <c r="BK307" s="196"/>
      <c r="BL307" s="196"/>
      <c r="BM307" s="196"/>
      <c r="BN307" s="196"/>
      <c r="BO307" s="196"/>
      <c r="BP307" s="196"/>
      <c r="BQ307" s="221" t="s">
        <v>843</v>
      </c>
      <c r="BR307" s="222"/>
      <c r="BS307" s="222"/>
      <c r="BT307" s="223"/>
      <c r="BU307" s="222" t="s">
        <v>843</v>
      </c>
      <c r="BV307" s="222"/>
      <c r="BW307" s="222"/>
      <c r="BX307" s="224"/>
      <c r="BY307" s="222"/>
      <c r="BZ307" s="222"/>
      <c r="CA307" s="222"/>
      <c r="CB307" s="222"/>
      <c r="CC307" s="222"/>
      <c r="CD307" s="222"/>
      <c r="CE307" s="222"/>
      <c r="CF307" s="222"/>
      <c r="CG307" s="224"/>
      <c r="CH307" s="222"/>
      <c r="CI307" s="222"/>
      <c r="CJ307" s="223"/>
      <c r="CK307" s="196"/>
      <c r="CL307" s="196"/>
      <c r="CM307" s="196"/>
      <c r="CN307" s="196"/>
      <c r="CO307" s="196"/>
      <c r="CP307" s="196"/>
      <c r="CQ307" s="196"/>
      <c r="CR307" s="196"/>
      <c r="CS307" s="196"/>
      <c r="CT307" s="196"/>
      <c r="CU307" s="196"/>
      <c r="CV307" s="196"/>
      <c r="CW307" s="196"/>
      <c r="CX307" s="196"/>
      <c r="CY307" s="196"/>
      <c r="CZ307" s="196"/>
      <c r="DA307" s="196"/>
      <c r="DB307" s="196"/>
      <c r="DC307" s="196"/>
      <c r="DD307" s="196"/>
      <c r="DE307" s="196"/>
      <c r="DF307" s="196"/>
      <c r="DG307" s="196"/>
      <c r="DH307" s="196"/>
      <c r="DI307" s="196"/>
      <c r="DJ307" s="196"/>
      <c r="DK307" s="196"/>
      <c r="DL307" s="196"/>
      <c r="DM307" s="196"/>
      <c r="DN307" s="196"/>
      <c r="DO307" s="196"/>
      <c r="DP307" s="196"/>
      <c r="DQ307" s="196"/>
      <c r="DR307" s="196"/>
      <c r="DS307" s="196"/>
      <c r="DT307" s="196"/>
      <c r="DU307" s="196"/>
      <c r="DV307" s="196"/>
      <c r="DW307" s="196"/>
      <c r="DX307" s="196"/>
      <c r="DY307" s="196"/>
      <c r="DZ307" s="196"/>
      <c r="EA307" s="196"/>
      <c r="EB307" s="196"/>
      <c r="EC307" s="196"/>
      <c r="ED307" s="196"/>
      <c r="EE307" s="196"/>
      <c r="EF307" s="196"/>
      <c r="EG307" s="196"/>
      <c r="EH307" s="196"/>
      <c r="EI307" s="196"/>
      <c r="EJ307" s="196"/>
      <c r="EK307" s="196"/>
      <c r="EL307" s="196"/>
      <c r="EM307" s="221" t="s">
        <v>7</v>
      </c>
      <c r="EN307" s="222"/>
      <c r="EO307" s="222"/>
      <c r="EP307" s="222"/>
      <c r="EQ307" s="222"/>
      <c r="ER307" s="222"/>
      <c r="ES307" s="222"/>
      <c r="ET307" s="224"/>
      <c r="EU307" s="222"/>
      <c r="EV307" s="222"/>
      <c r="EW307" s="222"/>
      <c r="EX307" s="222"/>
      <c r="EY307" s="222"/>
      <c r="EZ307" s="222"/>
      <c r="FA307" s="222"/>
      <c r="FB307" s="222"/>
      <c r="FC307" s="222"/>
      <c r="FD307" s="222"/>
      <c r="FE307" s="223"/>
      <c r="FF307" s="196"/>
      <c r="FG307" s="196"/>
      <c r="FH307" s="221" t="s">
        <v>12</v>
      </c>
      <c r="FI307" s="222"/>
      <c r="FJ307" s="222"/>
      <c r="FK307" s="222"/>
      <c r="FL307" s="222"/>
      <c r="FM307" s="222"/>
      <c r="FN307" s="222"/>
      <c r="FO307" s="224"/>
      <c r="FP307" s="222"/>
      <c r="FQ307" s="222"/>
      <c r="FR307" s="222"/>
      <c r="FS307" s="222"/>
      <c r="FT307" s="222"/>
      <c r="FU307" s="222"/>
      <c r="FV307" s="222"/>
      <c r="FW307" s="222"/>
      <c r="FX307" s="222"/>
      <c r="FY307" s="222"/>
      <c r="FZ307" s="223"/>
      <c r="GA307" s="196"/>
      <c r="GD307" s="339"/>
      <c r="GE307" s="339"/>
      <c r="GF307" s="339"/>
      <c r="GG307" s="339"/>
      <c r="GH307" s="339"/>
      <c r="GI307" s="339"/>
      <c r="GJ307" s="339"/>
      <c r="GK307" s="339"/>
      <c r="GL307" s="339"/>
      <c r="GM307" s="339"/>
      <c r="GN307" s="339"/>
      <c r="GO307" s="339"/>
      <c r="GP307" s="339"/>
      <c r="GQ307" s="339"/>
      <c r="GR307" s="339"/>
      <c r="GS307" s="339"/>
      <c r="GT307" s="339"/>
      <c r="GU307" s="339"/>
      <c r="GV307" s="339"/>
      <c r="GW307" s="339"/>
      <c r="GX307" s="339"/>
      <c r="GY307" s="339"/>
      <c r="GZ307" s="339"/>
      <c r="HA307" s="339"/>
      <c r="HB307" s="339"/>
      <c r="HC307" s="339"/>
      <c r="HD307" s="339"/>
      <c r="HE307" s="339"/>
      <c r="HF307" s="339"/>
      <c r="HG307" s="339"/>
      <c r="HH307" s="339"/>
      <c r="HI307" s="339"/>
      <c r="HJ307" s="339"/>
      <c r="HK307" s="339"/>
      <c r="HL307" s="339"/>
      <c r="HM307" s="339"/>
      <c r="HN307" s="339"/>
      <c r="HO307" s="339"/>
      <c r="HP307" s="339"/>
      <c r="HQ307" s="339"/>
      <c r="HR307" s="339"/>
    </row>
    <row r="308" spans="1:238" ht="14.1" customHeight="1">
      <c r="B308" s="225"/>
      <c r="C308" s="304"/>
      <c r="D308" s="304"/>
      <c r="E308" s="304"/>
      <c r="F308" s="304"/>
      <c r="G308" s="304"/>
      <c r="H308" s="304"/>
      <c r="I308" s="304"/>
      <c r="J308" s="304"/>
      <c r="K308" s="166"/>
      <c r="L308" s="166"/>
      <c r="M308" s="166"/>
      <c r="N308" s="304"/>
      <c r="O308" s="304"/>
      <c r="P308" s="166"/>
      <c r="Q308" s="166"/>
      <c r="R308" s="304"/>
      <c r="S308" s="304"/>
      <c r="T308" s="304"/>
      <c r="U308" s="304"/>
      <c r="V308" s="304"/>
      <c r="W308" s="304"/>
      <c r="X308" s="166"/>
      <c r="Y308" s="166"/>
      <c r="Z308" s="305"/>
      <c r="AA308" s="63"/>
      <c r="AB308" s="63"/>
      <c r="AC308" s="63"/>
      <c r="AD308" s="63"/>
      <c r="AE308" s="63"/>
      <c r="AF308" s="63"/>
      <c r="AJ308" s="173" t="str">
        <f>IF(AK307="D",CONCATENATE(AI307,".",2),"")</f>
        <v/>
      </c>
      <c r="AL308" s="200"/>
      <c r="AM308" s="200" t="str">
        <f>IF(AK307="D",VLOOKUP(AJ308,'Matchblatt  FEUILLE DE MATCH'!AK:AS,8,FALSE),"")</f>
        <v/>
      </c>
      <c r="AN308" s="200"/>
      <c r="AO308" s="200"/>
      <c r="AP308" s="200"/>
      <c r="AQ308" s="200"/>
      <c r="AR308" s="200"/>
      <c r="AS308" s="200"/>
      <c r="AT308" s="200"/>
      <c r="AU308" s="200"/>
      <c r="AV308" s="200"/>
      <c r="AW308" s="200"/>
      <c r="AX308" s="200"/>
      <c r="AY308" s="200"/>
      <c r="AZ308" s="200"/>
      <c r="BA308" s="200" t="str">
        <f>IF(AK307="D",VLOOKUP(AJ308,'Matchblatt  FEUILLE DE MATCH'!AK:AS,9,FALSE),"")</f>
        <v/>
      </c>
      <c r="BB308" s="63"/>
      <c r="BC308" s="63"/>
      <c r="BD308" s="63"/>
      <c r="BE308" s="63"/>
      <c r="BF308" s="63"/>
      <c r="BG308" s="63"/>
      <c r="BH308" s="63"/>
      <c r="BK308" s="166" t="s">
        <v>7</v>
      </c>
      <c r="BL308" s="166" t="s">
        <v>12</v>
      </c>
      <c r="BM308" s="166"/>
      <c r="BN308" s="166" t="s">
        <v>7</v>
      </c>
      <c r="BO308" s="166" t="s">
        <v>12</v>
      </c>
      <c r="BP308" s="166"/>
      <c r="BQ308" s="226" t="s">
        <v>894</v>
      </c>
      <c r="BR308" s="227" t="s">
        <v>895</v>
      </c>
      <c r="BS308" s="228" t="s">
        <v>896</v>
      </c>
      <c r="BT308" s="229"/>
      <c r="BU308" s="226" t="s">
        <v>7</v>
      </c>
      <c r="BV308" s="166"/>
      <c r="BW308" s="166"/>
      <c r="BX308" s="230"/>
      <c r="BY308" s="166"/>
      <c r="BZ308" s="166"/>
      <c r="CA308" s="227"/>
      <c r="CB308" s="166"/>
      <c r="CC308" s="166"/>
      <c r="CD308" s="226" t="s">
        <v>12</v>
      </c>
      <c r="CE308" s="166"/>
      <c r="CF308" s="166"/>
      <c r="CG308" s="230"/>
      <c r="CH308" s="166"/>
      <c r="CI308" s="166"/>
      <c r="CJ308" s="227"/>
      <c r="CK308" s="166"/>
      <c r="CL308" s="166" t="s">
        <v>897</v>
      </c>
      <c r="CM308" s="166"/>
      <c r="CN308" s="166"/>
      <c r="CO308" s="166"/>
      <c r="CP308" s="166"/>
      <c r="CQ308" s="166"/>
      <c r="CR308" s="166"/>
      <c r="CS308" s="166"/>
      <c r="CT308" s="166"/>
      <c r="CU308" s="166" t="s">
        <v>843</v>
      </c>
      <c r="CV308" s="166"/>
      <c r="CW308" s="166" t="s">
        <v>843</v>
      </c>
      <c r="CX308" s="166"/>
      <c r="CY308" s="166"/>
      <c r="CZ308" s="166"/>
      <c r="DA308" s="166"/>
      <c r="DB308" s="166"/>
      <c r="DC308" s="166"/>
      <c r="DD308" s="166" t="s">
        <v>894</v>
      </c>
      <c r="DE308" s="166" t="s">
        <v>895</v>
      </c>
      <c r="DF308" s="166"/>
      <c r="DG308" s="166" t="s">
        <v>927</v>
      </c>
      <c r="DH308" s="166"/>
      <c r="DI308" s="166"/>
      <c r="DJ308" s="166"/>
      <c r="DK308" s="166"/>
      <c r="DL308" s="166"/>
      <c r="DM308" s="166"/>
      <c r="DN308" s="166" t="s">
        <v>928</v>
      </c>
      <c r="DO308" s="166" t="s">
        <v>929</v>
      </c>
      <c r="DP308" s="166"/>
      <c r="DQ308" s="166"/>
      <c r="DR308" s="166"/>
      <c r="DS308" s="166"/>
      <c r="DT308" s="166"/>
      <c r="DU308" s="166"/>
      <c r="DV308" s="166" t="s">
        <v>894</v>
      </c>
      <c r="DW308" s="166" t="s">
        <v>895</v>
      </c>
      <c r="DX308" s="166"/>
      <c r="DY308" s="166"/>
      <c r="DZ308" s="166"/>
      <c r="EA308" s="166"/>
      <c r="EB308" s="166"/>
      <c r="EC308" s="166"/>
      <c r="ED308" s="166" t="s">
        <v>894</v>
      </c>
      <c r="EE308" s="166" t="s">
        <v>895</v>
      </c>
      <c r="EF308" s="166"/>
      <c r="EG308" s="166"/>
      <c r="EH308" s="166"/>
      <c r="EI308" s="166"/>
      <c r="EJ308" s="166"/>
      <c r="EK308" s="166"/>
      <c r="EL308" s="166"/>
      <c r="EM308" s="166"/>
      <c r="EN308" s="166"/>
      <c r="EO308" s="166"/>
      <c r="EP308" s="166"/>
      <c r="EQ308" s="166"/>
      <c r="ER308" s="166"/>
      <c r="ES308" s="166"/>
      <c r="ET308" s="230"/>
      <c r="EU308" s="166"/>
      <c r="EV308" s="166"/>
      <c r="EW308" s="166"/>
      <c r="EX308" s="166"/>
      <c r="EY308" s="166"/>
      <c r="EZ308" s="166"/>
      <c r="FA308" s="166"/>
      <c r="FB308" s="166"/>
      <c r="FC308" s="166"/>
      <c r="FD308" s="166"/>
      <c r="FE308" s="166"/>
      <c r="FF308" s="166"/>
      <c r="FG308" s="166"/>
      <c r="FH308" s="166"/>
      <c r="FI308" s="166"/>
      <c r="FJ308" s="166"/>
      <c r="FK308" s="166"/>
      <c r="FL308" s="166"/>
      <c r="FM308" s="166"/>
      <c r="FN308" s="166"/>
      <c r="FO308" s="230"/>
      <c r="FP308" s="166"/>
      <c r="FQ308" s="166"/>
      <c r="FR308" s="166"/>
      <c r="FS308" s="166"/>
      <c r="FT308" s="166"/>
      <c r="FU308" s="166"/>
      <c r="FV308" s="166"/>
      <c r="FW308" s="166"/>
      <c r="FX308" s="166"/>
      <c r="FY308" s="166"/>
      <c r="FZ308" s="166"/>
      <c r="GA308" s="166"/>
      <c r="GD308" s="339"/>
      <c r="GE308" s="339"/>
      <c r="GF308" s="339"/>
      <c r="GG308" s="339"/>
      <c r="GH308" s="339"/>
      <c r="GI308" s="339"/>
      <c r="GJ308" s="339"/>
      <c r="GK308" s="339"/>
      <c r="GL308" s="339"/>
      <c r="GM308" s="339"/>
      <c r="GN308" s="339"/>
      <c r="GO308" s="339"/>
      <c r="GP308" s="339"/>
      <c r="GQ308" s="339"/>
      <c r="GR308" s="339"/>
      <c r="GS308" s="339"/>
      <c r="GT308" s="339"/>
      <c r="GU308" s="339"/>
      <c r="GV308" s="339"/>
      <c r="GW308" s="339"/>
      <c r="GX308" s="339"/>
      <c r="GY308" s="339"/>
      <c r="GZ308" s="339"/>
      <c r="HA308" s="339"/>
      <c r="HB308" s="339"/>
      <c r="HC308" s="339"/>
      <c r="HD308" s="339"/>
      <c r="HE308" s="339"/>
      <c r="HF308" s="339"/>
      <c r="HG308" s="339"/>
      <c r="HH308" s="339"/>
      <c r="HI308" s="339"/>
      <c r="HJ308" s="339"/>
      <c r="HK308" s="339"/>
      <c r="HL308" s="339"/>
      <c r="HM308" s="339"/>
      <c r="HN308" s="339"/>
      <c r="HO308" s="339"/>
      <c r="HP308" s="339"/>
      <c r="HQ308" s="339"/>
      <c r="HR308" s="339"/>
    </row>
    <row r="309" spans="1:238" s="234" customFormat="1" ht="20.100000000000001" customHeight="1">
      <c r="A309" s="235"/>
      <c r="B309" s="231"/>
      <c r="C309" s="232" t="str">
        <f>REPT(Sprache!$K$12,1)</f>
        <v>SPIEL</v>
      </c>
      <c r="D309" s="233" t="s">
        <v>869</v>
      </c>
      <c r="E309" s="233" t="str">
        <f>REPT(Sprache!$K$62,1)</f>
        <v>Punkte</v>
      </c>
      <c r="F309" s="233" t="str">
        <f>REPT(Sprache!$K$61,1)</f>
        <v>Rest</v>
      </c>
      <c r="G309" s="233" t="s">
        <v>898</v>
      </c>
      <c r="H309" s="233" t="s">
        <v>848</v>
      </c>
      <c r="I309" s="233">
        <v>180</v>
      </c>
      <c r="J309" s="233" t="str">
        <f>REPT(Sprache!$K$63,1)</f>
        <v>Fehler</v>
      </c>
      <c r="L309" s="306" t="s">
        <v>923</v>
      </c>
      <c r="M309" s="307"/>
      <c r="P309" s="306" t="s">
        <v>923</v>
      </c>
      <c r="R309" s="232" t="str">
        <f>REPT(Sprache!$K$12,1)</f>
        <v>SPIEL</v>
      </c>
      <c r="S309" s="233" t="s">
        <v>869</v>
      </c>
      <c r="T309" s="233" t="str">
        <f>REPT(Sprache!$K$62,1)</f>
        <v>Punkte</v>
      </c>
      <c r="U309" s="233" t="str">
        <f>REPT(Sprache!$K$61,1)</f>
        <v>Rest</v>
      </c>
      <c r="V309" s="233" t="s">
        <v>898</v>
      </c>
      <c r="W309" s="233" t="s">
        <v>848</v>
      </c>
      <c r="X309" s="233">
        <v>180</v>
      </c>
      <c r="Y309" s="233" t="str">
        <f>REPT(Sprache!$K$63,1)</f>
        <v>Fehler</v>
      </c>
      <c r="Z309" s="308"/>
      <c r="AD309" s="235"/>
      <c r="AE309" s="236" t="s">
        <v>966</v>
      </c>
      <c r="AF309" s="236" t="s">
        <v>967</v>
      </c>
      <c r="AG309" s="236" t="s">
        <v>965</v>
      </c>
      <c r="AH309" s="237" t="str">
        <f>LEFT($BM$6,10)</f>
        <v/>
      </c>
      <c r="AI309" s="237" t="str">
        <f>LEFT($BN$6,10)</f>
        <v/>
      </c>
      <c r="AJ309" s="237" t="s">
        <v>898</v>
      </c>
      <c r="AK309" s="237" t="s">
        <v>848</v>
      </c>
      <c r="AL309" s="237">
        <v>180</v>
      </c>
      <c r="AM309" s="237" t="str">
        <f>LEFT($BL$6,50)</f>
        <v/>
      </c>
      <c r="AN309" s="235"/>
      <c r="AO309" s="235"/>
      <c r="AP309" s="235"/>
      <c r="AQ309" s="235"/>
      <c r="AR309" s="235"/>
      <c r="AS309" s="235"/>
      <c r="AT309" s="235"/>
      <c r="AU309" s="235"/>
      <c r="AV309" s="237" t="str">
        <f>LEFT($BM$6,10)</f>
        <v/>
      </c>
      <c r="AW309" s="237" t="str">
        <f>LEFT($BN$6,10)</f>
        <v/>
      </c>
      <c r="AX309" s="237" t="s">
        <v>898</v>
      </c>
      <c r="AY309" s="237" t="s">
        <v>848</v>
      </c>
      <c r="AZ309" s="237">
        <v>180</v>
      </c>
      <c r="BA309" s="237" t="str">
        <f>LEFT($BL$6,50)</f>
        <v/>
      </c>
      <c r="BI309" s="238"/>
      <c r="BJ309" s="238"/>
      <c r="BK309" s="238" t="s">
        <v>165</v>
      </c>
      <c r="BL309" s="238" t="s">
        <v>165</v>
      </c>
      <c r="BM309" s="239" t="s">
        <v>165</v>
      </c>
      <c r="BN309" s="239" t="s">
        <v>899</v>
      </c>
      <c r="BO309" s="239" t="s">
        <v>899</v>
      </c>
      <c r="BP309" s="239" t="s">
        <v>900</v>
      </c>
      <c r="BQ309" s="240" t="s">
        <v>901</v>
      </c>
      <c r="BR309" s="241"/>
      <c r="BS309" s="242" t="s">
        <v>926</v>
      </c>
      <c r="BT309" s="243"/>
      <c r="BU309" s="242" t="s">
        <v>902</v>
      </c>
      <c r="BV309" s="238"/>
      <c r="BW309" s="238"/>
      <c r="BX309" s="244"/>
      <c r="BY309" s="238"/>
      <c r="BZ309" s="238" t="s">
        <v>903</v>
      </c>
      <c r="CA309" s="243" t="s">
        <v>904</v>
      </c>
      <c r="CB309" s="238"/>
      <c r="CC309" s="238"/>
      <c r="CD309" s="242" t="s">
        <v>902</v>
      </c>
      <c r="CE309" s="238"/>
      <c r="CF309" s="238"/>
      <c r="CG309" s="244"/>
      <c r="CH309" s="238"/>
      <c r="CI309" s="238" t="s">
        <v>903</v>
      </c>
      <c r="CJ309" s="243" t="s">
        <v>904</v>
      </c>
      <c r="CK309" s="238"/>
      <c r="CL309" s="245" t="s">
        <v>905</v>
      </c>
      <c r="CM309" s="245" t="s">
        <v>906</v>
      </c>
      <c r="CN309" s="245" t="s">
        <v>907</v>
      </c>
      <c r="CO309" s="245" t="s">
        <v>908</v>
      </c>
      <c r="CP309" s="245" t="s">
        <v>909</v>
      </c>
      <c r="CQ309" s="246" t="s">
        <v>910</v>
      </c>
      <c r="CR309" s="247"/>
      <c r="CS309" s="246" t="s">
        <v>911</v>
      </c>
      <c r="CT309" s="248"/>
      <c r="CU309" s="246" t="s">
        <v>912</v>
      </c>
      <c r="CV309" s="248"/>
      <c r="CW309" s="246" t="s">
        <v>913</v>
      </c>
      <c r="CX309" s="248"/>
      <c r="CY309" s="238"/>
      <c r="CZ309" s="238"/>
      <c r="DA309" s="238"/>
      <c r="DB309" s="238"/>
      <c r="DC309" s="249" t="s">
        <v>165</v>
      </c>
      <c r="DD309" s="249" t="s">
        <v>165</v>
      </c>
      <c r="DE309" s="249" t="s">
        <v>165</v>
      </c>
      <c r="DF309" s="238"/>
      <c r="DG309" s="238" t="s">
        <v>914</v>
      </c>
      <c r="DH309" s="238" t="s">
        <v>930</v>
      </c>
      <c r="DI309" s="238" t="s">
        <v>931</v>
      </c>
      <c r="DK309" s="238" t="s">
        <v>932</v>
      </c>
      <c r="DL309" s="238" t="s">
        <v>933</v>
      </c>
      <c r="DM309" s="238" t="s">
        <v>869</v>
      </c>
      <c r="DN309" s="230" t="s">
        <v>915</v>
      </c>
      <c r="DO309" s="250" t="s">
        <v>915</v>
      </c>
      <c r="DP309" s="322" t="s">
        <v>934</v>
      </c>
      <c r="DQ309" s="238"/>
      <c r="DR309" s="166" t="s">
        <v>894</v>
      </c>
      <c r="DS309" s="166" t="s">
        <v>895</v>
      </c>
      <c r="DT309" s="166" t="s">
        <v>935</v>
      </c>
      <c r="DU309" s="166" t="s">
        <v>936</v>
      </c>
      <c r="DV309" s="251" t="s">
        <v>165</v>
      </c>
      <c r="DW309" s="251" t="s">
        <v>165</v>
      </c>
      <c r="DX309" s="238" t="s">
        <v>916</v>
      </c>
      <c r="DY309" s="238"/>
      <c r="DZ309" s="238"/>
      <c r="EA309" s="238"/>
      <c r="EB309" s="238"/>
      <c r="EC309" s="238"/>
      <c r="ED309" s="251" t="s">
        <v>165</v>
      </c>
      <c r="EE309" s="251" t="s">
        <v>165</v>
      </c>
      <c r="EF309" s="166"/>
      <c r="EG309" s="238"/>
      <c r="EH309" s="238"/>
      <c r="EI309" s="238"/>
      <c r="EJ309" s="238"/>
      <c r="EK309" s="238"/>
      <c r="EL309" s="238"/>
      <c r="EM309" s="238"/>
      <c r="EN309" s="238"/>
      <c r="EO309" s="246" t="s">
        <v>917</v>
      </c>
      <c r="EP309" s="247"/>
      <c r="EQ309" s="247"/>
      <c r="ER309" s="247"/>
      <c r="ES309" s="247"/>
      <c r="ET309" s="252"/>
      <c r="EU309" s="248"/>
      <c r="EV309" s="246" t="s">
        <v>918</v>
      </c>
      <c r="EW309" s="247"/>
      <c r="EX309" s="248"/>
      <c r="EY309" s="251" t="s">
        <v>165</v>
      </c>
      <c r="EZ309" s="246" t="s">
        <v>919</v>
      </c>
      <c r="FA309" s="247"/>
      <c r="FB309" s="248"/>
      <c r="FC309" s="246" t="s">
        <v>920</v>
      </c>
      <c r="FD309" s="247"/>
      <c r="FE309" s="248"/>
      <c r="FF309" s="238"/>
      <c r="FG309" s="238"/>
      <c r="FH309" s="238"/>
      <c r="FI309" s="238"/>
      <c r="FJ309" s="246" t="s">
        <v>917</v>
      </c>
      <c r="FK309" s="247"/>
      <c r="FL309" s="247"/>
      <c r="FM309" s="247"/>
      <c r="FN309" s="247"/>
      <c r="FO309" s="252"/>
      <c r="FP309" s="248"/>
      <c r="FQ309" s="246" t="s">
        <v>918</v>
      </c>
      <c r="FR309" s="247"/>
      <c r="FS309" s="248"/>
      <c r="FT309" s="251" t="s">
        <v>165</v>
      </c>
      <c r="FU309" s="246" t="s">
        <v>919</v>
      </c>
      <c r="FV309" s="247"/>
      <c r="FW309" s="248"/>
      <c r="FX309" s="246" t="s">
        <v>920</v>
      </c>
      <c r="FY309" s="247"/>
      <c r="FZ309" s="248"/>
      <c r="GD309" s="340"/>
      <c r="GE309" s="340"/>
      <c r="GF309" s="341" t="s">
        <v>968</v>
      </c>
      <c r="GG309" s="340"/>
      <c r="GH309" s="340"/>
      <c r="GI309" s="340"/>
      <c r="GJ309" s="341" t="s">
        <v>972</v>
      </c>
      <c r="GK309" s="340"/>
      <c r="GL309" s="340"/>
      <c r="GM309" s="340"/>
      <c r="GN309" s="341" t="s">
        <v>971</v>
      </c>
      <c r="GO309" s="340"/>
      <c r="GP309" s="340"/>
      <c r="GQ309" s="340"/>
      <c r="GR309" s="341" t="s">
        <v>970</v>
      </c>
      <c r="GS309" s="340"/>
      <c r="GT309" s="340"/>
      <c r="GU309" s="340"/>
      <c r="GV309" s="341" t="s">
        <v>969</v>
      </c>
      <c r="GW309" s="340"/>
      <c r="GX309" s="340"/>
      <c r="GY309" s="340"/>
      <c r="GZ309" s="342" t="s">
        <v>973</v>
      </c>
      <c r="HA309" s="340"/>
      <c r="HB309" s="340"/>
      <c r="HC309" s="340"/>
      <c r="HD309" s="342" t="s">
        <v>974</v>
      </c>
      <c r="HE309" s="340"/>
      <c r="HF309" s="340"/>
      <c r="HG309" s="340"/>
      <c r="HH309" s="340"/>
      <c r="HI309" s="340"/>
      <c r="HJ309" s="340"/>
      <c r="HK309" s="340"/>
      <c r="HL309" s="340"/>
      <c r="HM309" s="341"/>
      <c r="HN309" s="341"/>
      <c r="HO309" s="341"/>
      <c r="HP309" s="341"/>
      <c r="HQ309" s="341"/>
      <c r="HR309" s="341"/>
      <c r="HS309" s="238"/>
      <c r="HT309" s="238"/>
      <c r="HU309" s="238"/>
      <c r="HV309" s="238"/>
      <c r="HX309" s="238"/>
      <c r="HY309" s="238"/>
      <c r="HZ309" s="238"/>
      <c r="ID309" s="238"/>
    </row>
    <row r="310" spans="1:238" s="234" customFormat="1" ht="20.100000000000001" customHeight="1">
      <c r="A310" s="235"/>
      <c r="B310" s="231">
        <f>COUNT(AJ311,AJ310)</f>
        <v>0</v>
      </c>
      <c r="C310" s="325" t="str">
        <f>CONCATENATE(BG310,BE310)</f>
        <v>HS</v>
      </c>
      <c r="D310" s="253" t="str">
        <f>REPT(DN310,1)</f>
        <v>1</v>
      </c>
      <c r="E310" s="254" t="str">
        <f>REPT(AH310,1)</f>
        <v/>
      </c>
      <c r="F310" s="168"/>
      <c r="G310" s="168"/>
      <c r="H310" s="168"/>
      <c r="I310" s="169"/>
      <c r="J310" s="255" t="str">
        <f>REPT(AM310,1)</f>
        <v/>
      </c>
      <c r="L310" s="309">
        <f>SUM(BS319)</f>
        <v>0</v>
      </c>
      <c r="M310" s="238"/>
      <c r="N310" s="255" t="str">
        <f>REPT(AP310,1)</f>
        <v/>
      </c>
      <c r="P310" s="309">
        <f>SUM(CF319)</f>
        <v>0</v>
      </c>
      <c r="Q310" s="310"/>
      <c r="R310" s="323" t="str">
        <f>CONCATENATE(BH310,BE310)</f>
        <v>GS</v>
      </c>
      <c r="S310" s="253" t="str">
        <f>REPT(DO310,1)</f>
        <v>1</v>
      </c>
      <c r="T310" s="254" t="str">
        <f>REPT(AV310,1)</f>
        <v/>
      </c>
      <c r="U310" s="168"/>
      <c r="V310" s="168"/>
      <c r="W310" s="168"/>
      <c r="X310" s="169"/>
      <c r="Y310" s="255" t="str">
        <f>REPT(BA310,1)</f>
        <v/>
      </c>
      <c r="Z310" s="308"/>
      <c r="AB310" s="234">
        <f>IF(AY310="",0,IF(AY310&lt;2,1,""))</f>
        <v>0</v>
      </c>
      <c r="AC310" s="238">
        <f>IF(AD310=1,1,IF(AD310=3,1,IF(AD310=2,0,IF(AD310=0,0,0))))</f>
        <v>0</v>
      </c>
      <c r="AD310" s="256">
        <f>SUM(AE310:AG310)</f>
        <v>0</v>
      </c>
      <c r="AE310" s="256">
        <f t="shared" ref="AE310:AE314" si="752">IF(F310="",0,1)</f>
        <v>0</v>
      </c>
      <c r="AF310" s="256">
        <f t="shared" ref="AF310:AF314" si="753">IF(G310="",0,1)</f>
        <v>0</v>
      </c>
      <c r="AG310" s="256">
        <f>IF(H310="",0,1)</f>
        <v>0</v>
      </c>
      <c r="AH310" s="257" t="str">
        <f>IF(AK310="",IF(AI310="","",IF(AI310="",501,501-AI310)),501)</f>
        <v/>
      </c>
      <c r="AI310" s="256" t="str">
        <f>IF(F310&gt;1,F310,IF(F310=0,"",IF(F310="","","")))</f>
        <v/>
      </c>
      <c r="AJ310" s="256" t="str">
        <f>IF(G310&gt;8,G310,IF(G310="","",""))</f>
        <v/>
      </c>
      <c r="AK310" s="256" t="str">
        <f>IF(H310&gt;1,H310,IF(H310="","",""))</f>
        <v/>
      </c>
      <c r="AL310" s="256" t="str">
        <f>IF(I310&gt;0,I310,IF(I310="","",""))</f>
        <v/>
      </c>
      <c r="AM310" s="258" t="str">
        <f>IF(BK310=0,"","X")</f>
        <v/>
      </c>
      <c r="AN310" s="237"/>
      <c r="AO310" s="237"/>
      <c r="AP310" s="258" t="str">
        <f>IF(BM310=0,"","X")</f>
        <v/>
      </c>
      <c r="AQ310" s="236">
        <f>IF(AR310=1,1,IF(AR310=3,1,IF(AR310=2,0,IF(AR310=0,0,0))))</f>
        <v>0</v>
      </c>
      <c r="AR310" s="256">
        <f>SUM(AS310:AU310)</f>
        <v>0</v>
      </c>
      <c r="AS310" s="256">
        <f t="shared" ref="AS310:AS314" si="754">IF(U310="",0,1)</f>
        <v>0</v>
      </c>
      <c r="AT310" s="256">
        <f t="shared" ref="AT310:AT314" si="755">IF(V310="",0,1)</f>
        <v>0</v>
      </c>
      <c r="AU310" s="256">
        <f>IF(W310="",0,1)</f>
        <v>0</v>
      </c>
      <c r="AV310" s="257" t="str">
        <f>IF(AY310="",IF(AW310="","",IF(AW310="",501,501-AW310)),501)</f>
        <v/>
      </c>
      <c r="AW310" s="256" t="str">
        <f>IF(U310&gt;1,U310,IF(U310=0,"",IF(U310="","","")))</f>
        <v/>
      </c>
      <c r="AX310" s="256" t="str">
        <f>IF(V310&gt;8,V310,IF(V310="","",""))</f>
        <v/>
      </c>
      <c r="AY310" s="256" t="str">
        <f>IF(W310&gt;1,W310,IF(W310="","",""))</f>
        <v/>
      </c>
      <c r="AZ310" s="256" t="str">
        <f>IF(X310&gt;0,X310,IF(X310="","",""))</f>
        <v/>
      </c>
      <c r="BA310" s="258" t="str">
        <f>IF(BL310=0,"","X")</f>
        <v/>
      </c>
      <c r="BF310" s="238" t="s">
        <v>894</v>
      </c>
      <c r="BG310" s="238" t="str">
        <f>CONCATENATE(BF310,AK307)</f>
        <v>HS</v>
      </c>
      <c r="BH310" s="238" t="str">
        <f>CONCATENATE(BI310,AK307)</f>
        <v>GS</v>
      </c>
      <c r="BI310" s="238" t="s">
        <v>895</v>
      </c>
      <c r="BJ310" s="238"/>
      <c r="BK310" s="251">
        <f>SUM(DD310,DV310,EY310,ED310,FF310,BQ310,BS310,AC310)</f>
        <v>0</v>
      </c>
      <c r="BL310" s="251">
        <f>SUM(DE310,DW310,EE310,FT310,GA310,BR310,BT310,AQ310)</f>
        <v>0</v>
      </c>
      <c r="BM310" s="259">
        <f>SUM(DC310,BK310:BL310,AC310,AQ310)</f>
        <v>0</v>
      </c>
      <c r="BN310" s="239">
        <f>COUNT(AK310)</f>
        <v>0</v>
      </c>
      <c r="BO310" s="239">
        <f>COUNT(AY310)</f>
        <v>0</v>
      </c>
      <c r="BP310" s="239">
        <f>IF(BN312=0,0,1)</f>
        <v>0</v>
      </c>
      <c r="BQ310" s="260">
        <f>IF(AL310="",0,IF(AL310&gt;2,1,0))</f>
        <v>0</v>
      </c>
      <c r="BR310" s="261">
        <f>IF(AZ310="",0,IF(AZ310&gt;2,1,0))</f>
        <v>0</v>
      </c>
      <c r="BS310" s="262">
        <f>IF(AJ310=9,IF(AK310&lt;141,1,0),0)</f>
        <v>0</v>
      </c>
      <c r="BT310" s="263">
        <f>IF(AX310=9,IF(AY310&lt;141,1,0),0)</f>
        <v>0</v>
      </c>
      <c r="BU310" s="242">
        <f>IF(H310,G310,0)</f>
        <v>0</v>
      </c>
      <c r="BV310" s="238">
        <f>IF(BU310&gt;0,AJ310/3,0)</f>
        <v>0</v>
      </c>
      <c r="BW310" s="238">
        <f>ROUNDUP(BV310,0)</f>
        <v>0</v>
      </c>
      <c r="BX310" s="244">
        <f>IF(MOD(BW310,2)=0,BW310,BW310+1)</f>
        <v>0</v>
      </c>
      <c r="BY310" s="238">
        <f>IF(AJ310&lt;9,"",SUM(BX310-BW310))</f>
        <v>0</v>
      </c>
      <c r="BZ310" s="238">
        <f>IF(BY310=1,AK310,0)</f>
        <v>0</v>
      </c>
      <c r="CA310" s="243" t="str">
        <f>IF(BY310=0,AK310,0)</f>
        <v/>
      </c>
      <c r="CB310" s="238"/>
      <c r="CC310" s="238"/>
      <c r="CD310" s="242">
        <f>IF(W310,V310,0)</f>
        <v>0</v>
      </c>
      <c r="CE310" s="238">
        <f>IF(CD310&gt;0,AX310/3,0)</f>
        <v>0</v>
      </c>
      <c r="CF310" s="238">
        <f>ROUNDUP(CE310,0)</f>
        <v>0</v>
      </c>
      <c r="CG310" s="244">
        <f>IF(MOD(CF310,2)=0,CF310,CF310+1)</f>
        <v>0</v>
      </c>
      <c r="CH310" s="238">
        <f>IF(AX310&lt;9,"",SUM(CG310-CF310))</f>
        <v>0</v>
      </c>
      <c r="CI310" s="238">
        <f>IF(CH310=1,AY310,0)</f>
        <v>0</v>
      </c>
      <c r="CJ310" s="243" t="str">
        <f>IF(CH310=0,AY310,0)</f>
        <v/>
      </c>
      <c r="CK310" s="238"/>
      <c r="CL310" s="245">
        <f>IF(COUNT(F310,H310)=1,0,1)</f>
        <v>1</v>
      </c>
      <c r="CM310" s="245">
        <f>IF(COUNT(F310,U310)=1,0,1)</f>
        <v>1</v>
      </c>
      <c r="CN310" s="245">
        <f>IF(COUNT(H310,W310)=1,0,1)</f>
        <v>1</v>
      </c>
      <c r="CO310" s="245">
        <f>IF(COUNT(G310,V310)=2,0,1)</f>
        <v>1</v>
      </c>
      <c r="CP310" s="245">
        <f>IF(COUNT(U310,W310)=1,0,1)</f>
        <v>1</v>
      </c>
      <c r="CQ310" s="245">
        <f>IF(SUM(G310-V310)&gt;3,1,0)</f>
        <v>0</v>
      </c>
      <c r="CR310" s="245">
        <f>IF(SUM(G310-V310)&lt;-3,1,0)</f>
        <v>0</v>
      </c>
      <c r="CS310" s="264">
        <f>IF(AJ310=9,IF(AH310&lt;141,1,0),IF(AH310="",0,IF(AH310&gt;1,0,1)))</f>
        <v>0</v>
      </c>
      <c r="CT310" s="264">
        <f>IF(AX310=9,IF(AV310&lt;141,1,0),IF(AV310="",0,IF(AV310&gt;1,0,1)))</f>
        <v>0</v>
      </c>
      <c r="CU310" s="264">
        <f>IF(AI310="",0,IF(AI310&lt;502,0,1))</f>
        <v>0</v>
      </c>
      <c r="CV310" s="264">
        <f>IF(AW310="",0,IF(AW310&lt;502,0,1))</f>
        <v>0</v>
      </c>
      <c r="CW310" s="264">
        <f>IF(AI310="",IF(AJ310&lt;9,1,0),IF(AJ310&lt;9,1,0))</f>
        <v>0</v>
      </c>
      <c r="CX310" s="264">
        <f>IF(AW310="",IF(AX310&lt;9,1,0),IF(AX310&lt;9,1,0))</f>
        <v>0</v>
      </c>
      <c r="CY310" s="374"/>
      <c r="CZ310" s="374"/>
      <c r="DA310" s="374"/>
      <c r="DB310" s="374"/>
      <c r="DC310" s="265">
        <f>IF(AJ310="",0,SUM(CL310:CX310))</f>
        <v>0</v>
      </c>
      <c r="DD310" s="265">
        <f>IF(AJ310="",0,SUM(CL310,CS310,CU310,CW310))</f>
        <v>0</v>
      </c>
      <c r="DE310" s="265">
        <f>IF(AJ310="",0,SUM(CP310,CT310,CV310,CX310))</f>
        <v>0</v>
      </c>
      <c r="DF310" s="238"/>
      <c r="DG310" s="248" t="str">
        <f>IF(G310="","",SUM(G310-V310))</f>
        <v/>
      </c>
      <c r="DH310" s="245">
        <f>IF(F310="",0,1)</f>
        <v>0</v>
      </c>
      <c r="DI310" s="245" t="str">
        <f>IF(DG310=0,DH310,DG310)</f>
        <v/>
      </c>
      <c r="DJ310" s="245" t="e">
        <f>SIGN(DI310)</f>
        <v>#VALUE!</v>
      </c>
      <c r="DK310" s="245" t="str">
        <f>IF(G310="","",IF(DJ310=1,"*",""))</f>
        <v/>
      </c>
      <c r="DL310" s="245" t="str">
        <f>IF(G310="","",IF(DJ310=-1,"*",IF(DJ310=0,"*","")))</f>
        <v/>
      </c>
      <c r="DM310" s="245">
        <v>1</v>
      </c>
      <c r="DN310" s="245" t="str">
        <f>CONCATENATE(DM310,DK310)</f>
        <v>1</v>
      </c>
      <c r="DO310" s="245" t="str">
        <f>CONCATENATE(DM310,DL310)</f>
        <v>1</v>
      </c>
      <c r="DP310" s="245">
        <f>IF(DK310="*",1,0)</f>
        <v>0</v>
      </c>
      <c r="DQ310" s="245">
        <f>IF(DL310="*",1,0)</f>
        <v>0</v>
      </c>
      <c r="DR310" s="245"/>
      <c r="DS310" s="245"/>
      <c r="DT310" s="245"/>
      <c r="DU310" s="245"/>
      <c r="DV310" s="266"/>
      <c r="DW310" s="266"/>
      <c r="DX310" s="238">
        <f>IF(AK310="",0,1)</f>
        <v>0</v>
      </c>
      <c r="DY310" s="238">
        <f>IF(DG310=-3,1,0)</f>
        <v>0</v>
      </c>
      <c r="DZ310" s="238">
        <f>SUM(DX310:DY310)</f>
        <v>0</v>
      </c>
      <c r="EA310" s="238">
        <f>IF(AK310="",1,0)</f>
        <v>1</v>
      </c>
      <c r="EB310" s="238">
        <f>IF(DG310=3,1,0)</f>
        <v>0</v>
      </c>
      <c r="EC310" s="238">
        <f>SUM(EA310:EB310)</f>
        <v>1</v>
      </c>
      <c r="ED310" s="267">
        <f>IF(EC310=2,1,0)</f>
        <v>0</v>
      </c>
      <c r="EE310" s="267">
        <f>IF(DZ310=2,1,0)</f>
        <v>0</v>
      </c>
      <c r="EG310" s="166"/>
      <c r="EH310" s="238"/>
      <c r="EI310" s="238"/>
      <c r="EJ310" s="238"/>
      <c r="EK310" s="238"/>
      <c r="EL310" s="238"/>
      <c r="EM310" s="245">
        <f>IF(AK310="",0,1)</f>
        <v>0</v>
      </c>
      <c r="EN310" s="245">
        <f>SUM(AK310)</f>
        <v>0</v>
      </c>
      <c r="EO310" s="268">
        <f>SUM(AJ310)</f>
        <v>0</v>
      </c>
      <c r="EP310" s="268">
        <f>SUM(G310/3)</f>
        <v>0</v>
      </c>
      <c r="EQ310" s="268" t="e">
        <f>SUM(EO310/EP310)</f>
        <v>#DIV/0!</v>
      </c>
      <c r="ER310" s="268">
        <f>ROUNDDOWN(EP310,0)</f>
        <v>0</v>
      </c>
      <c r="ES310" s="268">
        <f>SUM(EO310,-ER310*3)</f>
        <v>0</v>
      </c>
      <c r="ET310" s="269" t="b">
        <f>MOD(EN310/1,2)=0</f>
        <v>1</v>
      </c>
      <c r="EU310" s="245">
        <f>IF(ET310=FALSE,1,0)</f>
        <v>0</v>
      </c>
      <c r="EV310" s="245">
        <f>IF(EN310=50,0,IF(EN310&lt;40,1,0))</f>
        <v>1</v>
      </c>
      <c r="EW310" s="245">
        <f>SUM(EU310:EV310)</f>
        <v>1</v>
      </c>
      <c r="EX310" s="267">
        <f>IF(EN310=1,1,IF(EN310=50,0,IF(ES310=1,IF(EN310&gt;40,1,0),0)))</f>
        <v>0</v>
      </c>
      <c r="EY310" s="267">
        <f>IF(ES310=1,IF(EW310=2,1,0),0)+EX310+FB310+FE310</f>
        <v>0</v>
      </c>
      <c r="EZ310" s="245">
        <f>IF(EN310=109,1,IF(EN310=108,1,IF(EN310=106,1,IF(EN310=105,1,IF(EN310=103,1,IF(EN310=102,1,IF(EN310=99,1,0)))))))</f>
        <v>0</v>
      </c>
      <c r="FA310" s="245">
        <f>IF(EN310&gt;110,1,0)</f>
        <v>0</v>
      </c>
      <c r="FB310" s="267">
        <f>IF(ES310=2,SUM(EZ310:FA310),0)</f>
        <v>0</v>
      </c>
      <c r="FC310" s="245">
        <f>IF(EN310=159,1,IF(EN310=162,1,IF(EN310=163,1,IF(EN310=165,1,IF(EN310=166,1,IF(EN310=168,1,IF(EN310=169,1,0)))))))</f>
        <v>0</v>
      </c>
      <c r="FD310" s="245">
        <f>IF(EN310&gt;170,1,0)</f>
        <v>0</v>
      </c>
      <c r="FE310" s="267">
        <f>IF(ES310=0,SUM(FC310:FD310),0)</f>
        <v>0</v>
      </c>
      <c r="FF310" s="251">
        <f>IF(AJ310="",0,IF(AI310="",0,IF(EO310/ER310-3=0,0,1)))</f>
        <v>0</v>
      </c>
      <c r="FG310" s="238"/>
      <c r="FH310" s="245">
        <f>IF(AY310="",0,1)</f>
        <v>0</v>
      </c>
      <c r="FI310" s="245">
        <f>SUM(AY310)</f>
        <v>0</v>
      </c>
      <c r="FJ310" s="268">
        <f>SUM(AX310)</f>
        <v>0</v>
      </c>
      <c r="FK310" s="268">
        <f>SUM(V310/3)</f>
        <v>0</v>
      </c>
      <c r="FL310" s="268" t="e">
        <f>SUM(FJ310/FK310)</f>
        <v>#DIV/0!</v>
      </c>
      <c r="FM310" s="268">
        <f>ROUNDDOWN(FK310,0)</f>
        <v>0</v>
      </c>
      <c r="FN310" s="268">
        <f>SUM(FJ310,-FM310*3)</f>
        <v>0</v>
      </c>
      <c r="FO310" s="269" t="b">
        <f>MOD(FI310/1,2)=0</f>
        <v>1</v>
      </c>
      <c r="FP310" s="245">
        <f>IF(FO310=FALSE,1,0)</f>
        <v>0</v>
      </c>
      <c r="FQ310" s="245">
        <f>IF(FI310=50,0,IF(FI310&lt;40,1,0))</f>
        <v>1</v>
      </c>
      <c r="FR310" s="245">
        <f>SUM(FP310:FQ310)</f>
        <v>1</v>
      </c>
      <c r="FS310" s="267">
        <f>IF(FI310=1,1,IF(FI310=50,0,IF(FN310=1,IF(FI310&gt;40,1,0),0)))</f>
        <v>0</v>
      </c>
      <c r="FT310" s="267">
        <f>IF(FN310=1,IF(FR310=2,1,0),0)+FS310+FW310+FZ310</f>
        <v>0</v>
      </c>
      <c r="FU310" s="245">
        <f>IF(FI310=109,1,IF(FI310=108,1,IF(FI310=106,1,IF(FI310=105,1,IF(FI310=103,1,IF(FI310=102,1,IF(FI310=99,1,0)))))))</f>
        <v>0</v>
      </c>
      <c r="FV310" s="245">
        <f>IF(FI310&gt;110,1,0)</f>
        <v>0</v>
      </c>
      <c r="FW310" s="267">
        <f>IF(FN310=2,SUM(FU310:FV310),0)</f>
        <v>0</v>
      </c>
      <c r="FX310" s="245">
        <f>IF(FI310=159,1,IF(FI310=162,1,IF(FI310=163,1,IF(FI310=165,1,IF(FI310=166,1,IF(FI310=168,1,IF(FI310=169,1,0)))))))</f>
        <v>0</v>
      </c>
      <c r="FY310" s="245">
        <f>IF(FI310&gt;170,1,0)</f>
        <v>0</v>
      </c>
      <c r="FZ310" s="267">
        <f>IF(FN310=0,SUM(FX310:FY310),0)</f>
        <v>0</v>
      </c>
      <c r="GA310" s="251">
        <f>IF(AX310="",0,IF(AW310="",0,IF(FJ310/FM310-3=0,0,1)))</f>
        <v>0</v>
      </c>
      <c r="GD310" s="341">
        <f>IF(AK307="D",1,0)</f>
        <v>0</v>
      </c>
      <c r="GE310" s="343"/>
      <c r="GF310" s="343" t="s">
        <v>866</v>
      </c>
      <c r="GG310" s="343" t="s">
        <v>868</v>
      </c>
      <c r="GH310" s="343" t="s">
        <v>848</v>
      </c>
      <c r="GI310" s="343">
        <v>180</v>
      </c>
      <c r="GJ310" s="343" t="s">
        <v>866</v>
      </c>
      <c r="GK310" s="343" t="s">
        <v>868</v>
      </c>
      <c r="GL310" s="343" t="s">
        <v>848</v>
      </c>
      <c r="GM310" s="343">
        <v>180</v>
      </c>
      <c r="GN310" s="343" t="s">
        <v>866</v>
      </c>
      <c r="GO310" s="343" t="s">
        <v>868</v>
      </c>
      <c r="GP310" s="343" t="s">
        <v>848</v>
      </c>
      <c r="GQ310" s="343">
        <v>180</v>
      </c>
      <c r="GR310" s="343" t="s">
        <v>866</v>
      </c>
      <c r="GS310" s="343" t="s">
        <v>868</v>
      </c>
      <c r="GT310" s="343" t="s">
        <v>848</v>
      </c>
      <c r="GU310" s="343">
        <v>180</v>
      </c>
      <c r="GV310" s="343" t="s">
        <v>866</v>
      </c>
      <c r="GW310" s="343" t="s">
        <v>868</v>
      </c>
      <c r="GX310" s="343" t="s">
        <v>848</v>
      </c>
      <c r="GY310" s="343">
        <v>180</v>
      </c>
      <c r="GZ310" s="343" t="s">
        <v>866</v>
      </c>
      <c r="HA310" s="343" t="s">
        <v>868</v>
      </c>
      <c r="HB310" s="343" t="s">
        <v>848</v>
      </c>
      <c r="HC310" s="343">
        <v>180</v>
      </c>
      <c r="HD310" s="343" t="s">
        <v>866</v>
      </c>
      <c r="HE310" s="343" t="s">
        <v>868</v>
      </c>
      <c r="HF310" s="341" t="s">
        <v>975</v>
      </c>
      <c r="HG310" s="341" t="s">
        <v>976</v>
      </c>
      <c r="HH310" s="341" t="s">
        <v>899</v>
      </c>
      <c r="HJ310" s="238"/>
      <c r="HK310" s="238"/>
      <c r="HL310" s="238"/>
      <c r="HM310" s="238">
        <f>COUNT(HI311,HJ311,HK311,HL311,HM311)</f>
        <v>0</v>
      </c>
      <c r="HN310" s="341"/>
      <c r="HO310" s="341"/>
      <c r="HP310" s="341"/>
      <c r="HQ310" s="341"/>
      <c r="HR310" s="341"/>
      <c r="HS310" s="238"/>
      <c r="HT310" s="238"/>
      <c r="HU310" s="238"/>
      <c r="HV310" s="238"/>
      <c r="HX310" s="238"/>
      <c r="HY310" s="238"/>
      <c r="ID310" s="238"/>
    </row>
    <row r="311" spans="1:238" s="234" customFormat="1" ht="20.100000000000001" customHeight="1">
      <c r="A311" s="235"/>
      <c r="B311" s="231">
        <f>COUNT(AJ312,AJ311)</f>
        <v>0</v>
      </c>
      <c r="C311" s="326">
        <f>IF(DK310="*",AJ307,AI307)</f>
        <v>3.2</v>
      </c>
      <c r="D311" s="253" t="str">
        <f>REPT(DN311,1)</f>
        <v>2</v>
      </c>
      <c r="E311" s="254" t="str">
        <f>REPT(AH311,1)</f>
        <v/>
      </c>
      <c r="F311" s="168"/>
      <c r="G311" s="168"/>
      <c r="H311" s="168"/>
      <c r="I311" s="169"/>
      <c r="J311" s="270" t="str">
        <f>REPT(AM311,1)</f>
        <v/>
      </c>
      <c r="L311" s="306" t="s">
        <v>922</v>
      </c>
      <c r="M311" s="311"/>
      <c r="N311" s="270" t="str">
        <f>REPT(AP311,1)</f>
        <v/>
      </c>
      <c r="P311" s="306" t="s">
        <v>922</v>
      </c>
      <c r="Q311" s="310"/>
      <c r="R311" s="324">
        <f>IF(DL310="*",AJ307,AI307)</f>
        <v>3.2</v>
      </c>
      <c r="S311" s="253" t="str">
        <f>REPT(DO311,1)</f>
        <v>2</v>
      </c>
      <c r="T311" s="254" t="str">
        <f>REPT(AV311,1)</f>
        <v/>
      </c>
      <c r="U311" s="168"/>
      <c r="V311" s="168"/>
      <c r="W311" s="168"/>
      <c r="X311" s="169"/>
      <c r="Y311" s="270" t="str">
        <f t="shared" ref="Y311:Y313" si="756">REPT(BA311,1)</f>
        <v/>
      </c>
      <c r="Z311" s="308"/>
      <c r="AB311" s="234">
        <f>IF(AY311="",0,IF(AY311&lt;2,1,""))</f>
        <v>0</v>
      </c>
      <c r="AC311" s="238">
        <f t="shared" ref="AC311:AC312" si="757">IF(AD311=1,1,IF(AD311=3,1,IF(AD311=2,0,IF(AD311=0,0,0))))</f>
        <v>0</v>
      </c>
      <c r="AD311" s="256">
        <f t="shared" ref="AD311:AD314" si="758">SUM(AE311:AG311)</f>
        <v>0</v>
      </c>
      <c r="AE311" s="256">
        <f t="shared" si="752"/>
        <v>0</v>
      </c>
      <c r="AF311" s="256">
        <f t="shared" si="753"/>
        <v>0</v>
      </c>
      <c r="AG311" s="256">
        <f t="shared" ref="AG311:AG314" si="759">IF(H311="",0,1)</f>
        <v>0</v>
      </c>
      <c r="AH311" s="257" t="str">
        <f>IF(AK311="",IF(AI311="","",IF(AI311="",501,501-AI311)),501)</f>
        <v/>
      </c>
      <c r="AI311" s="256" t="str">
        <f>IF(F311&gt;1,F311,IF(F311=0,"",IF(F311="","","")))</f>
        <v/>
      </c>
      <c r="AJ311" s="256" t="str">
        <f>IF(G311&gt;8,G311,IF(G311="","",""))</f>
        <v/>
      </c>
      <c r="AK311" s="256" t="str">
        <f>IF(H311&gt;1,H311,IF(H311="","",""))</f>
        <v/>
      </c>
      <c r="AL311" s="256" t="str">
        <f>IF(I311&gt;0,I311,IF(I311="","",""))</f>
        <v/>
      </c>
      <c r="AM311" s="258" t="str">
        <f>IF(BK311=0,"","X")</f>
        <v/>
      </c>
      <c r="AN311" s="237"/>
      <c r="AO311" s="237"/>
      <c r="AP311" s="258" t="str">
        <f>IF(BM311=0,"","X")</f>
        <v/>
      </c>
      <c r="AQ311" s="236">
        <f t="shared" ref="AQ311:AQ312" si="760">IF(AR311=1,1,IF(AR311=3,1,IF(AR311=2,0,IF(AR311=0,0,0))))</f>
        <v>0</v>
      </c>
      <c r="AR311" s="256">
        <f t="shared" ref="AR311:AR314" si="761">SUM(AS311:AU311)</f>
        <v>0</v>
      </c>
      <c r="AS311" s="256">
        <f t="shared" si="754"/>
        <v>0</v>
      </c>
      <c r="AT311" s="256">
        <f t="shared" si="755"/>
        <v>0</v>
      </c>
      <c r="AU311" s="256">
        <f t="shared" ref="AU311:AU314" si="762">IF(W311="",0,1)</f>
        <v>0</v>
      </c>
      <c r="AV311" s="257" t="str">
        <f>IF(AY311="",IF(AW311="","",IF(AW311="",501,501-AW311)),501)</f>
        <v/>
      </c>
      <c r="AW311" s="256" t="str">
        <f>IF(U311&gt;1,U311,IF(U311=0,"",IF(U311="","","")))</f>
        <v/>
      </c>
      <c r="AX311" s="256" t="str">
        <f>IF(V311&gt;8,V311,IF(V311="","",""))</f>
        <v/>
      </c>
      <c r="AY311" s="256" t="str">
        <f>IF(W311&gt;1,W311,IF(W311="","",""))</f>
        <v/>
      </c>
      <c r="AZ311" s="256" t="str">
        <f>IF(X311&gt;0,X311,IF(X311="","",""))</f>
        <v/>
      </c>
      <c r="BA311" s="258" t="str">
        <f>IF(BL311=0,"","X")</f>
        <v/>
      </c>
      <c r="BK311" s="251">
        <f>SUM(DD311,DV311,EY311,ED311,FF311,BQ311,BS311,AC311)</f>
        <v>0</v>
      </c>
      <c r="BL311" s="251">
        <f>SUM(DE311,DW311,EE311,FT311,GA311,BR311,BT311,AQ311)</f>
        <v>0</v>
      </c>
      <c r="BM311" s="259">
        <f t="shared" ref="BM311:BM312" si="763">SUM(DC311,BK311:BL311,AC311,AQ311)</f>
        <v>0</v>
      </c>
      <c r="BN311" s="239">
        <f>COUNT(AK311)</f>
        <v>0</v>
      </c>
      <c r="BO311" s="239">
        <f>COUNT(AY311)</f>
        <v>0</v>
      </c>
      <c r="BP311" s="239">
        <f>IF(BN313=0,0,1)</f>
        <v>0</v>
      </c>
      <c r="BQ311" s="260">
        <f>IF(AL311="",0,IF(AL311&gt;2,1,0))</f>
        <v>0</v>
      </c>
      <c r="BR311" s="261">
        <f>IF(AZ311="",0,IF(AZ311&gt;2,1,0))</f>
        <v>0</v>
      </c>
      <c r="BS311" s="262">
        <f>IF(AJ311=9,IF(AK311&lt;141,1,0),0)</f>
        <v>0</v>
      </c>
      <c r="BT311" s="263">
        <f>IF(AX311=9,IF(AY311&lt;141,1,0),0)</f>
        <v>0</v>
      </c>
      <c r="BU311" s="242">
        <f>IF(H311,G311,0)</f>
        <v>0</v>
      </c>
      <c r="BV311" s="238">
        <f>IF(BU311&gt;0,AJ311/3,0)</f>
        <v>0</v>
      </c>
      <c r="BW311" s="238">
        <f>ROUNDUP(BV311,0)</f>
        <v>0</v>
      </c>
      <c r="BX311" s="244">
        <f>IF(MOD(BW311,2)=0,BW311,BW311+1)</f>
        <v>0</v>
      </c>
      <c r="BY311" s="238">
        <f>IF(AJ311&lt;9,"",SUM(BX311-BW311))</f>
        <v>0</v>
      </c>
      <c r="BZ311" s="238">
        <f>IF(BY311=1,AK311,0)</f>
        <v>0</v>
      </c>
      <c r="CA311" s="243" t="str">
        <f>IF(BY311=0,AK311,0)</f>
        <v/>
      </c>
      <c r="CB311" s="238"/>
      <c r="CC311" s="238"/>
      <c r="CD311" s="242">
        <f>IF(W311,V311,0)</f>
        <v>0</v>
      </c>
      <c r="CE311" s="238">
        <f>IF(CD311&gt;0,AX311/3,0)</f>
        <v>0</v>
      </c>
      <c r="CF311" s="238">
        <f>ROUNDUP(CE311,0)</f>
        <v>0</v>
      </c>
      <c r="CG311" s="244">
        <f>IF(MOD(CF311,2)=0,CF311,CF311+1)</f>
        <v>0</v>
      </c>
      <c r="CH311" s="238">
        <f>IF(AX311&lt;9,"",SUM(CG311-CF311))</f>
        <v>0</v>
      </c>
      <c r="CI311" s="238">
        <f>IF(CH311=1,AY311,0)</f>
        <v>0</v>
      </c>
      <c r="CJ311" s="243" t="str">
        <f>IF(CH311=0,AY311,0)</f>
        <v/>
      </c>
      <c r="CK311" s="238"/>
      <c r="CL311" s="245">
        <f>IF(COUNT(F311,H311)=1,0,1)</f>
        <v>1</v>
      </c>
      <c r="CM311" s="245">
        <f>IF(COUNT(F311,U311)=1,0,1)</f>
        <v>1</v>
      </c>
      <c r="CN311" s="245">
        <f>IF(COUNT(H311,W311)=1,0,1)</f>
        <v>1</v>
      </c>
      <c r="CO311" s="245">
        <f>IF(COUNT(G311,V311)=2,0,1)</f>
        <v>1</v>
      </c>
      <c r="CP311" s="245">
        <f>IF(COUNT(U311,W311)=1,0,1)</f>
        <v>1</v>
      </c>
      <c r="CQ311" s="245">
        <f>IF(SUM(G311-V311)&gt;3,1,0)</f>
        <v>0</v>
      </c>
      <c r="CR311" s="245">
        <f>IF(SUM(G311-V311)&lt;-3,1,0)</f>
        <v>0</v>
      </c>
      <c r="CS311" s="264">
        <f>IF(AJ311=9,IF(AH311&lt;141,1,0),IF(AH311="",0,IF(AH311&gt;1,0,1)))</f>
        <v>0</v>
      </c>
      <c r="CT311" s="264">
        <f>IF(AX311=9,IF(AV311&lt;141,1,0),IF(AV311="",0,IF(AV311&gt;1,0,1)))</f>
        <v>0</v>
      </c>
      <c r="CU311" s="264">
        <f>IF(AI311="",0,IF(AI311&lt;502,0,1))</f>
        <v>0</v>
      </c>
      <c r="CV311" s="264">
        <f>IF(AW311="",0,IF(AW311&lt;502,0,1))</f>
        <v>0</v>
      </c>
      <c r="CW311" s="264">
        <f>IF(AI311="",IF(AJ311&lt;9,1,0),IF(AJ311&lt;9,1,0))</f>
        <v>0</v>
      </c>
      <c r="CX311" s="264">
        <f>IF(AW311="",IF(AX311&lt;9,1,0),IF(AX311&lt;9,1,0))</f>
        <v>0</v>
      </c>
      <c r="CY311" s="374"/>
      <c r="CZ311" s="374"/>
      <c r="DA311" s="374"/>
      <c r="DB311" s="374"/>
      <c r="DC311" s="265">
        <f>IF(AJ311="",0,SUM(CL311:CX311))</f>
        <v>0</v>
      </c>
      <c r="DD311" s="265">
        <f>IF(AJ311="",0,SUM(CL311,CS311,CU311,CW311))</f>
        <v>0</v>
      </c>
      <c r="DE311" s="265">
        <f>IF(AJ311="",0,SUM(CP311,CT311,CV311,CX311))</f>
        <v>0</v>
      </c>
      <c r="DF311" s="238"/>
      <c r="DG311" s="248">
        <f>SUM(G311-V311)</f>
        <v>0</v>
      </c>
      <c r="DH311" s="245">
        <f>IF(F311="",0,1)</f>
        <v>0</v>
      </c>
      <c r="DI311" s="245">
        <f t="shared" ref="DI311:DI314" si="764">IF(DG311=0,DH311,DG311)</f>
        <v>0</v>
      </c>
      <c r="DJ311" s="245">
        <f t="shared" ref="DJ311:DJ314" si="765">SIGN(DI311)</f>
        <v>0</v>
      </c>
      <c r="DK311" s="245" t="str">
        <f>IF(G311="","",IF(DJ311=1,"*",""))</f>
        <v/>
      </c>
      <c r="DL311" s="245" t="str">
        <f>IF(G311="","",IF(DJ311=-1,"*",IF(DJ311=0,"*","")))</f>
        <v/>
      </c>
      <c r="DM311" s="245">
        <v>2</v>
      </c>
      <c r="DN311" s="245" t="str">
        <f t="shared" ref="DN311:DN314" si="766">CONCATENATE(DM311,DK311)</f>
        <v>2</v>
      </c>
      <c r="DO311" s="245" t="str">
        <f t="shared" ref="DO311:DO314" si="767">CONCATENATE(DM311,DL311)</f>
        <v>2</v>
      </c>
      <c r="DP311" s="245">
        <f>SUM(DQ310)</f>
        <v>0</v>
      </c>
      <c r="DQ311" s="245">
        <f>SUM(DP310)</f>
        <v>0</v>
      </c>
      <c r="DR311" s="245">
        <f>IF(DK311="*",1,0)</f>
        <v>0</v>
      </c>
      <c r="DS311" s="245">
        <f>IF(DL311="*",1,0)</f>
        <v>0</v>
      </c>
      <c r="DT311" s="245">
        <f>IF(H301="",0,IF(DP311=DR311,1,0))</f>
        <v>0</v>
      </c>
      <c r="DU311" s="245">
        <f>IF(V311="",0,IF(DQ311=DS311,0,1))</f>
        <v>0</v>
      </c>
      <c r="DV311" s="267">
        <f>SUM(DT311)</f>
        <v>0</v>
      </c>
      <c r="DW311" s="267">
        <f>IF(V311="",0,SUM(DU311))</f>
        <v>0</v>
      </c>
      <c r="DX311" s="238">
        <f>IF(AK311="",0,1)</f>
        <v>0</v>
      </c>
      <c r="DY311" s="238">
        <f>IF(DG311=-3,1,0)</f>
        <v>0</v>
      </c>
      <c r="DZ311" s="238">
        <f>SUM(DX311:DY311)</f>
        <v>0</v>
      </c>
      <c r="EA311" s="238">
        <f>IF(AK311="",1,0)</f>
        <v>1</v>
      </c>
      <c r="EB311" s="238">
        <f>IF(DG311=3,1,0)</f>
        <v>0</v>
      </c>
      <c r="EC311" s="238">
        <f>SUM(EA311:EB311)</f>
        <v>1</v>
      </c>
      <c r="ED311" s="267">
        <f>IF(EC311=2,1,0)</f>
        <v>0</v>
      </c>
      <c r="EE311" s="267">
        <f>IF(DZ311=2,1,0)</f>
        <v>0</v>
      </c>
      <c r="EG311" s="166"/>
      <c r="EH311" s="238"/>
      <c r="EI311" s="238"/>
      <c r="EJ311" s="238"/>
      <c r="EK311" s="238"/>
      <c r="EL311" s="238"/>
      <c r="EM311" s="245">
        <f>IF(AK311="",0,1)</f>
        <v>0</v>
      </c>
      <c r="EN311" s="245">
        <f>SUM(AK311)</f>
        <v>0</v>
      </c>
      <c r="EO311" s="268">
        <f>SUM(AJ311)</f>
        <v>0</v>
      </c>
      <c r="EP311" s="268">
        <f>SUM(G311/3)</f>
        <v>0</v>
      </c>
      <c r="EQ311" s="268" t="e">
        <f>SUM(EO311/EP311)</f>
        <v>#DIV/0!</v>
      </c>
      <c r="ER311" s="268">
        <f>ROUNDDOWN(EP311,0)</f>
        <v>0</v>
      </c>
      <c r="ES311" s="268">
        <f>SUM(EO311,-ER311*3)</f>
        <v>0</v>
      </c>
      <c r="ET311" s="269" t="b">
        <f>MOD(EN311/1,2)=0</f>
        <v>1</v>
      </c>
      <c r="EU311" s="245">
        <f>IF(ET311=FALSE,1,0)</f>
        <v>0</v>
      </c>
      <c r="EV311" s="245">
        <f>IF(EN311=50,0,IF(EN311&lt;40,1,0))</f>
        <v>1</v>
      </c>
      <c r="EW311" s="245">
        <f>SUM(EU311:EV311)</f>
        <v>1</v>
      </c>
      <c r="EX311" s="267">
        <f>IF(EN311=1,1,IF(EN311=50,0,IF(ES311=1,IF(EN311&gt;40,1,0),0)))</f>
        <v>0</v>
      </c>
      <c r="EY311" s="267">
        <f>IF(ES311=1,IF(EW311=2,1,0),0)+EX311+FB311+FE311</f>
        <v>0</v>
      </c>
      <c r="EZ311" s="245">
        <f>IF(EN311=109,1,IF(EN311=108,1,IF(EN311=106,1,IF(EN311=105,1,IF(EN311=103,1,IF(EN311=102,1,IF(EN311=99,1,0)))))))</f>
        <v>0</v>
      </c>
      <c r="FA311" s="245">
        <f>IF(EN311&gt;110,1,0)</f>
        <v>0</v>
      </c>
      <c r="FB311" s="267">
        <f>IF(ES311=2,SUM(EZ311:FA311),0)</f>
        <v>0</v>
      </c>
      <c r="FC311" s="245">
        <f>IF(EN311=159,1,IF(EN311=162,1,IF(EN311=163,1,IF(EN311=165,1,IF(EN311=166,1,IF(EN311=168,1,IF(EN311=169,1,0)))))))</f>
        <v>0</v>
      </c>
      <c r="FD311" s="245">
        <f>IF(EN311&gt;170,1,0)</f>
        <v>0</v>
      </c>
      <c r="FE311" s="267">
        <f>IF(ES311=0,SUM(FC311:FD311),0)</f>
        <v>0</v>
      </c>
      <c r="FF311" s="251">
        <f t="shared" ref="FF311:FF314" si="768">IF(AJ311="",0,IF(AI311="",0,IF(EO311/ER311-3=0,0,1)))</f>
        <v>0</v>
      </c>
      <c r="FG311" s="238"/>
      <c r="FH311" s="245">
        <f>IF(AY311="",0,1)</f>
        <v>0</v>
      </c>
      <c r="FI311" s="245">
        <f>SUM(AY311)</f>
        <v>0</v>
      </c>
      <c r="FJ311" s="268">
        <f>SUM(AX311)</f>
        <v>0</v>
      </c>
      <c r="FK311" s="268">
        <f>SUM(V311/3)</f>
        <v>0</v>
      </c>
      <c r="FL311" s="268" t="e">
        <f>SUM(FJ311/FK311)</f>
        <v>#DIV/0!</v>
      </c>
      <c r="FM311" s="268">
        <f>ROUNDDOWN(FK311,0)</f>
        <v>0</v>
      </c>
      <c r="FN311" s="268">
        <f>SUM(FJ311,-FM311*3)</f>
        <v>0</v>
      </c>
      <c r="FO311" s="269" t="b">
        <f>MOD(FI311/1,2)=0</f>
        <v>1</v>
      </c>
      <c r="FP311" s="245">
        <f>IF(FO311=FALSE,1,0)</f>
        <v>0</v>
      </c>
      <c r="FQ311" s="245">
        <f>IF(FI311=50,0,IF(FI311&lt;40,1,0))</f>
        <v>1</v>
      </c>
      <c r="FR311" s="245">
        <f>SUM(FP311:FQ311)</f>
        <v>1</v>
      </c>
      <c r="FS311" s="267">
        <f>IF(FI311=1,1,IF(FI311=50,0,IF(FN311=1,IF(FI311&gt;40,1,0),0)))</f>
        <v>0</v>
      </c>
      <c r="FT311" s="267">
        <f>IF(FN311=1,IF(FR311=2,1,0),0)+FS311+FW311+FZ311</f>
        <v>0</v>
      </c>
      <c r="FU311" s="245">
        <f>IF(FI311=109,1,IF(FI311=108,1,IF(FI311=106,1,IF(FI311=105,1,IF(FI311=103,1,IF(FI311=102,1,IF(FI311=99,1,0)))))))</f>
        <v>0</v>
      </c>
      <c r="FV311" s="245">
        <f>IF(FI311&gt;110,1,0)</f>
        <v>0</v>
      </c>
      <c r="FW311" s="267">
        <f>IF(FN311=2,SUM(FU311:FV311),0)</f>
        <v>0</v>
      </c>
      <c r="FX311" s="245">
        <f>IF(FI311=159,1,IF(FI311=162,1,IF(FI311=163,1,IF(FI311=165,1,IF(FI311=166,1,IF(FI311=168,1,IF(FI311=169,1,0)))))))</f>
        <v>0</v>
      </c>
      <c r="FY311" s="245">
        <f>IF(FI311&gt;170,1,0)</f>
        <v>0</v>
      </c>
      <c r="FZ311" s="267">
        <f>IF(FN311=0,SUM(FX311:FY311),0)</f>
        <v>0</v>
      </c>
      <c r="GA311" s="251">
        <f t="shared" ref="GA311:GA314" si="769">IF(AX311="",0,IF(AW311="",0,IF(FJ311/FM311-3=0,0,1)))</f>
        <v>0</v>
      </c>
      <c r="GC311" s="238" t="str">
        <f>VLOOKUP(AH307,Chema!BL:BR,2,FALSE)</f>
        <v>HS 3.2</v>
      </c>
      <c r="GD311" s="341">
        <f>IF(E317="FORFAIT",1,0)</f>
        <v>0</v>
      </c>
      <c r="GE311" s="343" t="str">
        <f>IF(C317="","",SUM(C317))</f>
        <v/>
      </c>
      <c r="GF311" s="344">
        <f>SUM(AH310)</f>
        <v>0</v>
      </c>
      <c r="GG311" s="344">
        <f>SUM(AJ310)</f>
        <v>0</v>
      </c>
      <c r="GH311" s="344">
        <f t="shared" ref="GH311" si="770">SUM(AK310)</f>
        <v>0</v>
      </c>
      <c r="GI311" s="344">
        <f t="shared" ref="GI311" si="771">SUM(AL310)</f>
        <v>0</v>
      </c>
      <c r="GJ311" s="344">
        <f>SUM(AH311)</f>
        <v>0</v>
      </c>
      <c r="GK311" s="344">
        <f>SUM(AJ311)</f>
        <v>0</v>
      </c>
      <c r="GL311" s="344">
        <f>SUM(AK311)</f>
        <v>0</v>
      </c>
      <c r="GM311" s="344">
        <f>SUM(AL311)</f>
        <v>0</v>
      </c>
      <c r="GN311" s="344">
        <f>SUM(AH312)</f>
        <v>0</v>
      </c>
      <c r="GO311" s="344">
        <f>SUM(AJ312)</f>
        <v>0</v>
      </c>
      <c r="GP311" s="344">
        <f>SUM(AK312)</f>
        <v>0</v>
      </c>
      <c r="GQ311" s="344">
        <f>SUM(AL312)</f>
        <v>0</v>
      </c>
      <c r="GR311" s="344">
        <f>SUM(AH313)</f>
        <v>0</v>
      </c>
      <c r="GS311" s="344">
        <f>SUM(AJ313)</f>
        <v>0</v>
      </c>
      <c r="GT311" s="344">
        <f>SUM(AK313)</f>
        <v>0</v>
      </c>
      <c r="GU311" s="344">
        <f>SUM(AL313)</f>
        <v>0</v>
      </c>
      <c r="GV311" s="344">
        <f>SUM(AH314)</f>
        <v>0</v>
      </c>
      <c r="GW311" s="344">
        <f>SUM(AJ314)</f>
        <v>0</v>
      </c>
      <c r="GX311" s="344">
        <f>SUM(AK314)</f>
        <v>0</v>
      </c>
      <c r="GY311" s="344">
        <f>SUM(AL314)</f>
        <v>0</v>
      </c>
      <c r="GZ311" s="344">
        <f>SUM(GF311,GJ311,GN311,GR311,GV311)</f>
        <v>0</v>
      </c>
      <c r="HA311" s="344">
        <f t="shared" ref="HA311" si="772">SUM(GG311,GK311,GO311,GS311,GW311)</f>
        <v>0</v>
      </c>
      <c r="HB311" s="344">
        <f>IF(GD310=1,L317,MAX(GH311,GL311,GP311,GT311,GX311))</f>
        <v>0</v>
      </c>
      <c r="HC311" s="344">
        <f>IF(GD310=1,I317,SUM(GI311,GM311,GQ311,GU311,GY311))</f>
        <v>0</v>
      </c>
      <c r="HD311" s="345">
        <f>IF(GD310=1,0,SUM(GF311,GJ311,GN311,GR311,GV311))</f>
        <v>0</v>
      </c>
      <c r="HE311" s="345">
        <f>IF(GD310=1,0,SUM(GG311,GK311,GO311,GS311,GW311))</f>
        <v>0</v>
      </c>
      <c r="HF311" s="341">
        <f>IF(GD310=1,0,MIN(HI311,HJ311,HK311,HL311,HM311))</f>
        <v>0</v>
      </c>
      <c r="HG311" s="341">
        <f>IF(HF311=0,0,COUNTIF(HI311:HM311,HF311))</f>
        <v>0</v>
      </c>
      <c r="HH311" s="341">
        <f>SUM(GH312,GL312,GP312,GT312,GX312)</f>
        <v>0</v>
      </c>
      <c r="HI311" s="343" t="str">
        <f>IF(GH312=1,GG311,"")</f>
        <v/>
      </c>
      <c r="HJ311" s="343" t="str">
        <f>IF(GL312=1,GK311,"")</f>
        <v/>
      </c>
      <c r="HK311" s="343" t="str">
        <f>IF(GP312=1,GO311,"")</f>
        <v/>
      </c>
      <c r="HL311" s="343" t="str">
        <f>IF(GT312=1,GS311,"")</f>
        <v/>
      </c>
      <c r="HM311" s="343" t="str">
        <f>IF(GX312=1,GW311,"")</f>
        <v/>
      </c>
      <c r="HN311" s="341"/>
      <c r="HO311" s="341" t="s">
        <v>928</v>
      </c>
      <c r="HP311" s="341" t="s">
        <v>982</v>
      </c>
      <c r="HQ311" s="341" t="s">
        <v>983</v>
      </c>
      <c r="HR311" s="341" t="s">
        <v>984</v>
      </c>
      <c r="HS311" s="238" t="s">
        <v>932</v>
      </c>
      <c r="HT311" s="238" t="s">
        <v>933</v>
      </c>
      <c r="HU311" s="238" t="s">
        <v>985</v>
      </c>
      <c r="HV311" s="238" t="s">
        <v>986</v>
      </c>
      <c r="HW311" s="238" t="str">
        <f>IFERROR(IF(GD310=0,SUM(HZ312:IA312),""),"")</f>
        <v/>
      </c>
      <c r="HY311" s="238"/>
      <c r="HZ311" s="238" t="s">
        <v>1132</v>
      </c>
      <c r="IA311" s="238" t="s">
        <v>1133</v>
      </c>
      <c r="IB311" s="238" t="s">
        <v>1132</v>
      </c>
      <c r="IC311" s="238" t="s">
        <v>1133</v>
      </c>
      <c r="ID311" s="238"/>
    </row>
    <row r="312" spans="1:238" s="234" customFormat="1" ht="20.100000000000001" customHeight="1">
      <c r="A312" s="235"/>
      <c r="B312" s="231">
        <f>COUNT(AJ313,AJ312)</f>
        <v>0</v>
      </c>
      <c r="C312" s="235"/>
      <c r="D312" s="271" t="str">
        <f>REPT(DN312,1)</f>
        <v>3</v>
      </c>
      <c r="E312" s="254" t="str">
        <f>REPT(AH312,1)</f>
        <v/>
      </c>
      <c r="F312" s="168"/>
      <c r="G312" s="168"/>
      <c r="H312" s="168"/>
      <c r="I312" s="169"/>
      <c r="J312" s="270" t="str">
        <f t="shared" ref="J312:J313" si="773">REPT(AM312,1)</f>
        <v/>
      </c>
      <c r="L312" s="312">
        <f>SUM(L310*3)</f>
        <v>0</v>
      </c>
      <c r="M312" s="307"/>
      <c r="N312" s="270" t="str">
        <f>REPT(AP312,1)</f>
        <v/>
      </c>
      <c r="P312" s="312">
        <f>SUM(P310*3)</f>
        <v>0</v>
      </c>
      <c r="Q312" s="310"/>
      <c r="R312" s="235"/>
      <c r="S312" s="271" t="str">
        <f>REPT(DO312,1)</f>
        <v>3</v>
      </c>
      <c r="T312" s="254" t="str">
        <f>REPT(AV312,1)</f>
        <v/>
      </c>
      <c r="U312" s="168"/>
      <c r="V312" s="168"/>
      <c r="W312" s="168"/>
      <c r="X312" s="169"/>
      <c r="Y312" s="270" t="str">
        <f t="shared" si="756"/>
        <v/>
      </c>
      <c r="Z312" s="308"/>
      <c r="AB312" s="234">
        <f>IF(AY312="",0,IF(AY312&lt;2,1,""))</f>
        <v>0</v>
      </c>
      <c r="AC312" s="238">
        <f t="shared" si="757"/>
        <v>0</v>
      </c>
      <c r="AD312" s="256">
        <f t="shared" si="758"/>
        <v>0</v>
      </c>
      <c r="AE312" s="256">
        <f t="shared" si="752"/>
        <v>0</v>
      </c>
      <c r="AF312" s="256">
        <f t="shared" si="753"/>
        <v>0</v>
      </c>
      <c r="AG312" s="256">
        <f t="shared" si="759"/>
        <v>0</v>
      </c>
      <c r="AH312" s="257" t="str">
        <f>IF(AK312="",IF(AI312="","",IF(AI312="",501,501-AI312)),501)</f>
        <v/>
      </c>
      <c r="AI312" s="256" t="str">
        <f>IF(F312&gt;1,F312,IF(F312=0,"",IF(F312="","","")))</f>
        <v/>
      </c>
      <c r="AJ312" s="256" t="str">
        <f>IF(G312&gt;8,G312,IF(G312="","",""))</f>
        <v/>
      </c>
      <c r="AK312" s="256" t="str">
        <f>IF(H312&gt;1,H312,IF(H312="","",""))</f>
        <v/>
      </c>
      <c r="AL312" s="256" t="str">
        <f>IF(I312&gt;0,I312,IF(I312="","",""))</f>
        <v/>
      </c>
      <c r="AM312" s="258" t="str">
        <f>IF(BK312=0,"","X")</f>
        <v/>
      </c>
      <c r="AN312" s="237"/>
      <c r="AO312" s="237"/>
      <c r="AP312" s="258" t="str">
        <f>IF(BM312=0,"","X")</f>
        <v/>
      </c>
      <c r="AQ312" s="236">
        <f t="shared" si="760"/>
        <v>0</v>
      </c>
      <c r="AR312" s="256">
        <f t="shared" si="761"/>
        <v>0</v>
      </c>
      <c r="AS312" s="256">
        <f t="shared" si="754"/>
        <v>0</v>
      </c>
      <c r="AT312" s="256">
        <f t="shared" si="755"/>
        <v>0</v>
      </c>
      <c r="AU312" s="256">
        <f t="shared" si="762"/>
        <v>0</v>
      </c>
      <c r="AV312" s="257" t="str">
        <f>IF(AY312="",IF(AW312="","",IF(AW312="",501,501-AW312)),501)</f>
        <v/>
      </c>
      <c r="AW312" s="256" t="str">
        <f>IF(U312&gt;1,U312,IF(U312=0,"",IF(U312="","","")))</f>
        <v/>
      </c>
      <c r="AX312" s="256" t="str">
        <f>IF(V312&gt;8,V312,IF(V312="","",""))</f>
        <v/>
      </c>
      <c r="AY312" s="256" t="str">
        <f>IF(W312&gt;1,W312,IF(W312="","",""))</f>
        <v/>
      </c>
      <c r="AZ312" s="256" t="str">
        <f>IF(X312&gt;0,X312,IF(X312="","",""))</f>
        <v/>
      </c>
      <c r="BA312" s="258" t="str">
        <f>IF(BL312=0,"","X")</f>
        <v/>
      </c>
      <c r="BK312" s="251">
        <f>SUM(DD312,DV312,EY312,ED312,FF312,BQ312,BS312,AC312,BK319)</f>
        <v>0</v>
      </c>
      <c r="BL312" s="251">
        <f>SUM(DE312,DW312,EE312,FT312,GA312,BR312,BT312,AQ312,BL319,CZ312)</f>
        <v>0</v>
      </c>
      <c r="BM312" s="259">
        <f t="shared" si="763"/>
        <v>0</v>
      </c>
      <c r="BN312" s="239">
        <f>COUNT(AK312)</f>
        <v>0</v>
      </c>
      <c r="BO312" s="239">
        <f>COUNT(AY312)</f>
        <v>0</v>
      </c>
      <c r="BP312" s="239">
        <f>IF(BN314=0,0,1)</f>
        <v>0</v>
      </c>
      <c r="BQ312" s="260">
        <f>IF(AL312="",0,IF(AL312&gt;2,1,0))</f>
        <v>0</v>
      </c>
      <c r="BR312" s="261">
        <f>IF(AZ312="",0,IF(AZ312&gt;2,1,0))</f>
        <v>0</v>
      </c>
      <c r="BS312" s="262">
        <f>IF(AJ312=9,IF(AK312&lt;141,1,0),0)</f>
        <v>0</v>
      </c>
      <c r="BT312" s="263">
        <f>IF(AX312=9,IF(AY312&lt;141,1,0),0)</f>
        <v>0</v>
      </c>
      <c r="BU312" s="242">
        <f>IF(H312,G312,0)</f>
        <v>0</v>
      </c>
      <c r="BV312" s="238">
        <f>IF(BU312&gt;0,AJ312/3,0)</f>
        <v>0</v>
      </c>
      <c r="BW312" s="238">
        <f>ROUNDUP(BV312,0)</f>
        <v>0</v>
      </c>
      <c r="BX312" s="244">
        <f>IF(MOD(BW312,2)=0,BW312,BW312+1)</f>
        <v>0</v>
      </c>
      <c r="BY312" s="238">
        <f>IF(AJ312&lt;9,"",SUM(BX312-BW312))</f>
        <v>0</v>
      </c>
      <c r="BZ312" s="238">
        <f>IF(BY312=1,AK312,0)</f>
        <v>0</v>
      </c>
      <c r="CA312" s="243" t="str">
        <f>IF(BY312=0,AK312,0)</f>
        <v/>
      </c>
      <c r="CB312" s="238"/>
      <c r="CC312" s="238"/>
      <c r="CD312" s="242">
        <f>IF(W312,V312,0)</f>
        <v>0</v>
      </c>
      <c r="CE312" s="238">
        <f>IF(CD312&gt;0,AX312/3,0)</f>
        <v>0</v>
      </c>
      <c r="CF312" s="238">
        <f>ROUNDUP(CE312,0)</f>
        <v>0</v>
      </c>
      <c r="CG312" s="244">
        <f>IF(MOD(CF312,2)=0,CF312,CF312+1)</f>
        <v>0</v>
      </c>
      <c r="CH312" s="238">
        <f>IF(AX312&lt;9,"",SUM(CG312-CF312))</f>
        <v>0</v>
      </c>
      <c r="CI312" s="238">
        <f>IF(CH312=1,AY312,0)</f>
        <v>0</v>
      </c>
      <c r="CJ312" s="243" t="str">
        <f>IF(CH312=0,AY312,0)</f>
        <v/>
      </c>
      <c r="CK312" s="238"/>
      <c r="CL312" s="245">
        <f>IF(COUNT(F312,H312)=1,0,1)</f>
        <v>1</v>
      </c>
      <c r="CM312" s="245">
        <f>IF(COUNT(F312,U312)=1,0,1)</f>
        <v>1</v>
      </c>
      <c r="CN312" s="245">
        <f>IF(COUNT(H312,W312)=1,0,1)</f>
        <v>1</v>
      </c>
      <c r="CO312" s="245">
        <f>IF(COUNT(G312,V312)=2,0,1)</f>
        <v>1</v>
      </c>
      <c r="CP312" s="245">
        <f>IF(COUNT(U312,W312)=1,0,1)</f>
        <v>1</v>
      </c>
      <c r="CQ312" s="245">
        <f>IF(SUM(G312-V312)&gt;3,1,0)</f>
        <v>0</v>
      </c>
      <c r="CR312" s="245">
        <f>IF(SUM(G312-V312)&lt;-3,1,0)</f>
        <v>0</v>
      </c>
      <c r="CS312" s="264">
        <f>IF(AJ312=9,IF(AH312&lt;141,1,0),IF(AH312="",0,IF(AH312&gt;1,0,1)))</f>
        <v>0</v>
      </c>
      <c r="CT312" s="264">
        <f>IF(AX312=9,IF(AV312&lt;141,1,0),IF(AV312="",0,IF(AV312&gt;1,0,1)))</f>
        <v>0</v>
      </c>
      <c r="CU312" s="264">
        <f>IF(AI312="",0,IF(AI312&lt;502,0,1))</f>
        <v>0</v>
      </c>
      <c r="CV312" s="264">
        <f>IF(AW312="",0,IF(AW312&lt;502,0,1))</f>
        <v>0</v>
      </c>
      <c r="CW312" s="264">
        <f>IF(AI312="",IF(AJ312&lt;9,1,0),IF(AJ312&lt;9,1,0))</f>
        <v>0</v>
      </c>
      <c r="CX312" s="264">
        <f>IF(AW312="",IF(AX312&lt;9,1,0),IF(AX312&lt;9,1,0))</f>
        <v>0</v>
      </c>
      <c r="CY312" s="374">
        <f>COUNT(U310,U311,U312)</f>
        <v>0</v>
      </c>
      <c r="CZ312" s="375">
        <f>IF(AL307=3,IF(CY312&gt;2,1,0),0)</f>
        <v>0</v>
      </c>
      <c r="DA312" s="374"/>
      <c r="DB312" s="374"/>
      <c r="DC312" s="265">
        <f>IF(AJ312="",0,SUM(CL312:CX312))</f>
        <v>0</v>
      </c>
      <c r="DD312" s="265">
        <f>IF(AJ312="",0,SUM(CL312,CS312,CU312,CW312))</f>
        <v>0</v>
      </c>
      <c r="DE312" s="265">
        <f>IF(AJ312="",0,SUM(CP312,CT312,CV312,CX312))</f>
        <v>0</v>
      </c>
      <c r="DF312" s="238"/>
      <c r="DG312" s="248">
        <f>SUM(G312-V312)</f>
        <v>0</v>
      </c>
      <c r="DH312" s="245">
        <f>IF(F312="",0,1)</f>
        <v>0</v>
      </c>
      <c r="DI312" s="245">
        <f t="shared" si="764"/>
        <v>0</v>
      </c>
      <c r="DJ312" s="245">
        <f t="shared" si="765"/>
        <v>0</v>
      </c>
      <c r="DK312" s="245" t="str">
        <f>IF(G312="","",IF(DJ312=1,"*",""))</f>
        <v/>
      </c>
      <c r="DL312" s="245" t="str">
        <f>IF(G312="","",IF(DJ312=-1,"*",IF(DJ312=0,"*","")))</f>
        <v/>
      </c>
      <c r="DM312" s="245">
        <v>3</v>
      </c>
      <c r="DN312" s="245" t="str">
        <f t="shared" si="766"/>
        <v>3</v>
      </c>
      <c r="DO312" s="245" t="str">
        <f t="shared" si="767"/>
        <v>3</v>
      </c>
      <c r="DP312" s="245">
        <f>SUM(DP310)</f>
        <v>0</v>
      </c>
      <c r="DQ312" s="245">
        <f>SUM(DQ310)</f>
        <v>0</v>
      </c>
      <c r="DR312" s="245">
        <f t="shared" ref="DR312:DR314" si="774">IF(DK312="*",1,0)</f>
        <v>0</v>
      </c>
      <c r="DS312" s="245">
        <f t="shared" ref="DS312:DS314" si="775">IF(DL312="*",1,0)</f>
        <v>0</v>
      </c>
      <c r="DT312" s="245">
        <f t="shared" ref="DT312:DT314" si="776">IF(H302="",0,IF(DP312=DR312,1,0))</f>
        <v>0</v>
      </c>
      <c r="DU312" s="245">
        <f>IF(V312="",0,IF(DQ312=DS312,0,1))</f>
        <v>0</v>
      </c>
      <c r="DV312" s="267">
        <f t="shared" ref="DV312:DV314" si="777">SUM(DT312)</f>
        <v>0</v>
      </c>
      <c r="DW312" s="267">
        <f>IF(V312="",0,SUM(DU312))</f>
        <v>0</v>
      </c>
      <c r="DX312" s="238">
        <f>IF(AK312="",0,1)</f>
        <v>0</v>
      </c>
      <c r="DY312" s="238">
        <f>IF(DG312=-3,1,0)</f>
        <v>0</v>
      </c>
      <c r="DZ312" s="238">
        <f>SUM(DX312:DY312)</f>
        <v>0</v>
      </c>
      <c r="EA312" s="238">
        <f>IF(AK312="",1,0)</f>
        <v>1</v>
      </c>
      <c r="EB312" s="238">
        <f>IF(DG312=3,1,0)</f>
        <v>0</v>
      </c>
      <c r="EC312" s="238">
        <f>SUM(EA312:EB312)</f>
        <v>1</v>
      </c>
      <c r="ED312" s="267">
        <f>IF(EC312=2,1,0)</f>
        <v>0</v>
      </c>
      <c r="EE312" s="267">
        <f>IF(DZ312=2,1,0)</f>
        <v>0</v>
      </c>
      <c r="EG312" s="166"/>
      <c r="EH312" s="238"/>
      <c r="EI312" s="238"/>
      <c r="EJ312" s="238"/>
      <c r="EK312" s="238"/>
      <c r="EL312" s="238"/>
      <c r="EM312" s="245">
        <f>IF(AK312="",0,1)</f>
        <v>0</v>
      </c>
      <c r="EN312" s="245">
        <f>SUM(AK312)</f>
        <v>0</v>
      </c>
      <c r="EO312" s="268">
        <f>SUM(AJ312)</f>
        <v>0</v>
      </c>
      <c r="EP312" s="268">
        <f>SUM(G312/3)</f>
        <v>0</v>
      </c>
      <c r="EQ312" s="268" t="e">
        <f>SUM(EO312/EP312)</f>
        <v>#DIV/0!</v>
      </c>
      <c r="ER312" s="268">
        <f>ROUNDDOWN(EP312,0)</f>
        <v>0</v>
      </c>
      <c r="ES312" s="268">
        <f>SUM(EO312,-ER312*3)</f>
        <v>0</v>
      </c>
      <c r="ET312" s="269" t="b">
        <f>MOD(EN312/1,2)=0</f>
        <v>1</v>
      </c>
      <c r="EU312" s="245">
        <f>IF(ET312=FALSE,1,0)</f>
        <v>0</v>
      </c>
      <c r="EV312" s="245">
        <f>IF(EN312=50,0,IF(EN312&lt;40,1,0))</f>
        <v>1</v>
      </c>
      <c r="EW312" s="245">
        <f>SUM(EU312:EV312)</f>
        <v>1</v>
      </c>
      <c r="EX312" s="267">
        <f>IF(EN312=1,1,IF(EN312=50,0,IF(ES312=1,IF(EN312&gt;40,1,0),0)))</f>
        <v>0</v>
      </c>
      <c r="EY312" s="267">
        <f>IF(ES312=1,IF(EW312=2,1,0),0)+EX312+FB312+FE312</f>
        <v>0</v>
      </c>
      <c r="EZ312" s="245">
        <f>IF(EN312=109,1,IF(EN312=108,1,IF(EN312=106,1,IF(EN312=105,1,IF(EN312=103,1,IF(EN312=102,1,IF(EN312=99,1,0)))))))</f>
        <v>0</v>
      </c>
      <c r="FA312" s="245">
        <f>IF(EN312&gt;110,1,0)</f>
        <v>0</v>
      </c>
      <c r="FB312" s="267">
        <f>IF(ES312=2,SUM(EZ312:FA312),0)</f>
        <v>0</v>
      </c>
      <c r="FC312" s="245">
        <f>IF(EN312=159,1,IF(EN312=162,1,IF(EN312=163,1,IF(EN312=165,1,IF(EN312=166,1,IF(EN312=168,1,IF(EN312=169,1,0)))))))</f>
        <v>0</v>
      </c>
      <c r="FD312" s="245">
        <f>IF(EN312&gt;170,1,0)</f>
        <v>0</v>
      </c>
      <c r="FE312" s="267">
        <f>IF(ES312=0,SUM(FC312:FD312),0)</f>
        <v>0</v>
      </c>
      <c r="FF312" s="251">
        <f t="shared" si="768"/>
        <v>0</v>
      </c>
      <c r="FG312" s="238"/>
      <c r="FH312" s="245">
        <f>IF(AY312="",0,1)</f>
        <v>0</v>
      </c>
      <c r="FI312" s="245">
        <f>SUM(AY312)</f>
        <v>0</v>
      </c>
      <c r="FJ312" s="268">
        <f>SUM(AX312)</f>
        <v>0</v>
      </c>
      <c r="FK312" s="268">
        <f>SUM(V312/3)</f>
        <v>0</v>
      </c>
      <c r="FL312" s="268" t="e">
        <f>SUM(FJ312/FK312)</f>
        <v>#DIV/0!</v>
      </c>
      <c r="FM312" s="268">
        <f>ROUNDDOWN(FK312,0)</f>
        <v>0</v>
      </c>
      <c r="FN312" s="268">
        <f>SUM(FJ312,-FM312*3)</f>
        <v>0</v>
      </c>
      <c r="FO312" s="269" t="b">
        <f>MOD(FI312/1,2)=0</f>
        <v>1</v>
      </c>
      <c r="FP312" s="245">
        <f>IF(FO312=FALSE,1,0)</f>
        <v>0</v>
      </c>
      <c r="FQ312" s="245">
        <f>IF(FI312=50,0,IF(FI312&lt;40,1,0))</f>
        <v>1</v>
      </c>
      <c r="FR312" s="245">
        <f>SUM(FP312:FQ312)</f>
        <v>1</v>
      </c>
      <c r="FS312" s="267">
        <f>IF(FI312=1,1,IF(FI312=50,0,IF(FN312=1,IF(FI312&gt;40,1,0),0)))</f>
        <v>0</v>
      </c>
      <c r="FT312" s="267">
        <f>IF(FN312=1,IF(FR312=2,1,0),0)+FS312+FW312+FZ312</f>
        <v>0</v>
      </c>
      <c r="FU312" s="245">
        <f>IF(FI312=109,1,IF(FI312=108,1,IF(FI312=106,1,IF(FI312=105,1,IF(FI312=103,1,IF(FI312=102,1,IF(FI312=99,1,0)))))))</f>
        <v>0</v>
      </c>
      <c r="FV312" s="245">
        <f>IF(FI312&gt;110,1,0)</f>
        <v>0</v>
      </c>
      <c r="FW312" s="267">
        <f>IF(FN312=2,SUM(FU312:FV312),0)</f>
        <v>0</v>
      </c>
      <c r="FX312" s="245">
        <f>IF(FI312=159,1,IF(FI312=162,1,IF(FI312=163,1,IF(FI312=165,1,IF(FI312=166,1,IF(FI312=168,1,IF(FI312=169,1,0)))))))</f>
        <v>0</v>
      </c>
      <c r="FY312" s="245">
        <f>IF(FI312&gt;170,1,0)</f>
        <v>0</v>
      </c>
      <c r="FZ312" s="267">
        <f>IF(FN312=0,SUM(FX312:FY312),0)</f>
        <v>0</v>
      </c>
      <c r="GA312" s="251">
        <f t="shared" si="769"/>
        <v>0</v>
      </c>
      <c r="GC312" s="238" t="str">
        <f>VLOOKUP(AH307,Chema!BL:BR,3,FALSE)</f>
        <v/>
      </c>
      <c r="GD312" s="341"/>
      <c r="GE312" s="343" t="str">
        <f>IF(C318="","",SUM(C318))</f>
        <v/>
      </c>
      <c r="GF312" s="346"/>
      <c r="GG312" s="340"/>
      <c r="GH312" s="343">
        <f>IF(GH311&gt;0,1,0)</f>
        <v>0</v>
      </c>
      <c r="GI312" s="346"/>
      <c r="GJ312" s="343"/>
      <c r="GK312" s="340"/>
      <c r="GL312" s="343">
        <f>IF(GL311&gt;0,1,0)</f>
        <v>0</v>
      </c>
      <c r="GM312" s="343"/>
      <c r="GN312" s="343"/>
      <c r="GO312" s="340"/>
      <c r="GP312" s="343">
        <f>IF(GP311&gt;0,1,0)</f>
        <v>0</v>
      </c>
      <c r="GQ312" s="343"/>
      <c r="GR312" s="343"/>
      <c r="GS312" s="340"/>
      <c r="GT312" s="343">
        <f>IF(GT311&gt;0,1,0)</f>
        <v>0</v>
      </c>
      <c r="GU312" s="343"/>
      <c r="GV312" s="343"/>
      <c r="GW312" s="340"/>
      <c r="GX312" s="343">
        <f>IF(GX311&gt;0,1,0)</f>
        <v>0</v>
      </c>
      <c r="GY312" s="343"/>
      <c r="GZ312" s="343"/>
      <c r="HA312" s="343"/>
      <c r="HB312" s="343" t="str">
        <f>IF(GD310=1,L318,"")</f>
        <v/>
      </c>
      <c r="HC312" s="343" t="str">
        <f>IF(GD310=1,I318,"")</f>
        <v/>
      </c>
      <c r="HD312" s="345"/>
      <c r="HE312" s="340"/>
      <c r="HF312" s="340"/>
      <c r="HG312" s="347">
        <f>IF(GE311="",0,IF(AL307=3,2,IF(AL307=5,3,0)))</f>
        <v>0</v>
      </c>
      <c r="HH312" s="347">
        <f>IF(HK312=0,0,IF(HG314=0,0,1))</f>
        <v>0</v>
      </c>
      <c r="HI312" s="340"/>
      <c r="HJ312" s="340"/>
      <c r="HK312" s="340">
        <f>SUM(HM310,HM314)</f>
        <v>0</v>
      </c>
      <c r="HL312" s="340">
        <f>IF(HK312=0,0,IF(HM310=HG312,1,0))</f>
        <v>0</v>
      </c>
      <c r="HM312" s="340">
        <f>IF(HK312=0,0,IF(HM314=HG312,1,0))</f>
        <v>0</v>
      </c>
      <c r="HN312" s="341" t="str">
        <f>REPT(N307,1)</f>
        <v>Spiel 22</v>
      </c>
      <c r="HO312" s="348" t="str">
        <f>IF(HK312=0,"",IF(HH312=0,SUM(HH311),""))</f>
        <v/>
      </c>
      <c r="HP312" s="348" t="str">
        <f>IF(HK312=0,"",IF(HH312=0,SUM(HH313),""))</f>
        <v/>
      </c>
      <c r="HQ312" s="348" t="e">
        <f>IF(HH312=0,SUM(GZ311/HA311),"")</f>
        <v>#DIV/0!</v>
      </c>
      <c r="HR312" s="348" t="e">
        <f>IF(HH312=0,SUM(GZ313/HA313),"")</f>
        <v>#DIV/0!</v>
      </c>
      <c r="HS312" s="238" t="str">
        <f>REPT(DK310,1)</f>
        <v/>
      </c>
      <c r="HT312" s="238" t="str">
        <f>REPT(DL310,1)</f>
        <v/>
      </c>
      <c r="HU312" s="238">
        <f>IF(HH312=0,HL312,"")</f>
        <v>0</v>
      </c>
      <c r="HV312" s="238">
        <f>IF(HH312=0,HM312,"")</f>
        <v>0</v>
      </c>
      <c r="HW312" s="238" t="s">
        <v>1131</v>
      </c>
      <c r="HY312" s="238"/>
      <c r="HZ312" s="238" t="e">
        <f>IF(AL307=5,IF(HU312=1,SUM(HO312*2-HP312),HO312+HP312-2),"")</f>
        <v>#VALUE!</v>
      </c>
      <c r="IA312" s="238" t="str">
        <f>IF(AL307=3,IF(HU312=1,SUM(HO312-HP312+3),HO312+HP312-1),"")</f>
        <v/>
      </c>
      <c r="IB312" s="238" t="e">
        <f>IF(AL307=5,IF(HV312=1,SUM(HP312*2-HO312),HO312+HP312-2),"")</f>
        <v>#VALUE!</v>
      </c>
      <c r="IC312" s="238" t="str">
        <f>IF(AL307=3,IF(HV312=1,SUM(HP312-HO312+3),HO312+HP312-1),"")</f>
        <v/>
      </c>
      <c r="ID312" s="238">
        <f>SUM(BM316)</f>
        <v>0</v>
      </c>
    </row>
    <row r="313" spans="1:238" s="234" customFormat="1" ht="20.100000000000001" customHeight="1">
      <c r="A313" s="235"/>
      <c r="B313" s="231">
        <f>COUNT(AJ314,AJ313)</f>
        <v>0</v>
      </c>
      <c r="C313" s="235"/>
      <c r="D313" s="328" t="str">
        <f>REPT(DN313,1)</f>
        <v>4</v>
      </c>
      <c r="E313" s="329" t="str">
        <f>REPT(AH313,1)</f>
        <v/>
      </c>
      <c r="F313" s="330"/>
      <c r="G313" s="330"/>
      <c r="H313" s="330"/>
      <c r="I313" s="331"/>
      <c r="J313" s="270" t="str">
        <f t="shared" si="773"/>
        <v/>
      </c>
      <c r="M313" s="311"/>
      <c r="N313" s="270" t="str">
        <f>REPT(AP313,1)</f>
        <v/>
      </c>
      <c r="Q313" s="310"/>
      <c r="R313" s="235"/>
      <c r="S313" s="328" t="str">
        <f>REPT(DO313,1)</f>
        <v>4</v>
      </c>
      <c r="T313" s="329" t="str">
        <f>REPT(AV313,1)</f>
        <v/>
      </c>
      <c r="U313" s="330"/>
      <c r="V313" s="330"/>
      <c r="W313" s="330"/>
      <c r="X313" s="331"/>
      <c r="Y313" s="270" t="str">
        <f t="shared" si="756"/>
        <v/>
      </c>
      <c r="Z313" s="308"/>
      <c r="AA313" s="238">
        <f>SUM(AL307)</f>
        <v>5</v>
      </c>
      <c r="AB313" s="234">
        <f>IF(AY313="",0,IF(AY313&lt;2,1,""))</f>
        <v>0</v>
      </c>
      <c r="AC313" s="238">
        <f>IF(AL307=3,0,IF(AD313=1,1,IF(AD313=3,1,IF(AD313=2,0,IF(AD313=0,0,0)))))</f>
        <v>0</v>
      </c>
      <c r="AD313" s="256">
        <f t="shared" si="758"/>
        <v>0</v>
      </c>
      <c r="AE313" s="256">
        <f t="shared" si="752"/>
        <v>0</v>
      </c>
      <c r="AF313" s="256">
        <f t="shared" si="753"/>
        <v>0</v>
      </c>
      <c r="AG313" s="256">
        <f t="shared" si="759"/>
        <v>0</v>
      </c>
      <c r="AH313" s="257" t="str">
        <f>IF(AL307=3,"",IF(AK313="",IF(AI313="","",IF(AI313="",501,501-AI313)),501))</f>
        <v/>
      </c>
      <c r="AI313" s="256" t="str">
        <f>IF(AL307=3,"",IF(F313&gt;1,F313,IF(F313=0,"",IF(F313="","",""))))</f>
        <v/>
      </c>
      <c r="AJ313" s="256" t="str">
        <f>IF(AL307=3,"",IF(G313&gt;8,G313,IF(G313="","","")))</f>
        <v/>
      </c>
      <c r="AK313" s="256" t="str">
        <f>IF(AL307=3,"",IF(H313&gt;1,H313,IF(H313="","","")))</f>
        <v/>
      </c>
      <c r="AL313" s="256" t="str">
        <f>IF(AL307=3,"",IF(I313&gt;0,I313,IF(I313="","","")))</f>
        <v/>
      </c>
      <c r="AM313" s="258" t="str">
        <f>IF(BK313=0,"","X")</f>
        <v/>
      </c>
      <c r="AN313" s="237"/>
      <c r="AO313" s="237"/>
      <c r="AP313" s="258" t="str">
        <f>IF(BM313=0,"","X")</f>
        <v/>
      </c>
      <c r="AQ313" s="236">
        <f>IF(AL307=3,0,IF(AR313=1,1,IF(AR313=3,1,IF(AR313=2,0,IF(AR313=0,0,0)))))</f>
        <v>0</v>
      </c>
      <c r="AR313" s="256">
        <f t="shared" si="761"/>
        <v>0</v>
      </c>
      <c r="AS313" s="256">
        <f t="shared" si="754"/>
        <v>0</v>
      </c>
      <c r="AT313" s="256">
        <f t="shared" si="755"/>
        <v>0</v>
      </c>
      <c r="AU313" s="256">
        <f t="shared" si="762"/>
        <v>0</v>
      </c>
      <c r="AV313" s="257" t="str">
        <f>IF(AY313="",IF(AW313="","",IF(AW313="",501,501-AW313)),501)</f>
        <v/>
      </c>
      <c r="AW313" s="256" t="str">
        <f>IF(AL307=3,"",IF(U313&gt;1,U313,IF(U313=0,"",IF(U313="","",""))))</f>
        <v/>
      </c>
      <c r="AX313" s="256" t="str">
        <f>IF(AL307=3,"",IF(V313&gt;8,V313,IF(V313="","","")))</f>
        <v/>
      </c>
      <c r="AY313" s="256" t="str">
        <f>IF(AL307=3,"",IF(W313&gt;1,W313,IF(W313="","","")))</f>
        <v/>
      </c>
      <c r="AZ313" s="256" t="str">
        <f>IF(AL307=3,"",IF(X313&gt;0,X313,IF(X313="","","")))</f>
        <v/>
      </c>
      <c r="BA313" s="258" t="str">
        <f>IF(BL313=0,"","X")</f>
        <v/>
      </c>
      <c r="BK313" s="251">
        <f>IF(AL307=3,0,SUM(DD313,DV313,EY313,ED313,FF313,BQ313,BS313,AC313))</f>
        <v>0</v>
      </c>
      <c r="BL313" s="251">
        <f>IF(AL307=3,0,SUM(DE313,DW313,EE313,FT313,GA313,BR313,BT313,AQ313))</f>
        <v>0</v>
      </c>
      <c r="BM313" s="259">
        <f>IF(AL307=3,0,SUM(DC313,BK313:BL313,AC313,AQ313))</f>
        <v>0</v>
      </c>
      <c r="BN313" s="239">
        <f>COUNT(AK313)</f>
        <v>0</v>
      </c>
      <c r="BO313" s="239">
        <f>COUNT(AY313)</f>
        <v>0</v>
      </c>
      <c r="BP313" s="239">
        <f>IF(BZ315=0,0,1)</f>
        <v>0</v>
      </c>
      <c r="BQ313" s="260">
        <f>IF(AL313="",0,IF(AL313&gt;2,1,0))</f>
        <v>0</v>
      </c>
      <c r="BR313" s="261">
        <f>IF(AZ313="",0,IF(AZ313&gt;2,1,0))</f>
        <v>0</v>
      </c>
      <c r="BS313" s="262">
        <f>IF(AJ313=9,IF(AK313&lt;141,1,0),0)</f>
        <v>0</v>
      </c>
      <c r="BT313" s="263">
        <f>IF(AX313=9,IF(AY313&lt;141,1,0),0)</f>
        <v>0</v>
      </c>
      <c r="BU313" s="242">
        <f>IF(AL307=3,0,IF(H313,G313,0))</f>
        <v>0</v>
      </c>
      <c r="BV313" s="238">
        <f>IF(BU313&gt;0,AJ313/3,0)</f>
        <v>0</v>
      </c>
      <c r="BW313" s="238">
        <f>ROUNDUP(BV313,0)</f>
        <v>0</v>
      </c>
      <c r="BX313" s="244">
        <f>IF(MOD(BW313,2)=0,BW313,BW313+1)</f>
        <v>0</v>
      </c>
      <c r="BY313" s="238">
        <f>IF(AJ313&lt;9,"",SUM(BX313-BW313))</f>
        <v>0</v>
      </c>
      <c r="BZ313" s="238">
        <f>IF(BY313=1,AK313,0)</f>
        <v>0</v>
      </c>
      <c r="CA313" s="243" t="str">
        <f>IF(BY313=0,AK313,0)</f>
        <v/>
      </c>
      <c r="CB313" s="238"/>
      <c r="CC313" s="238"/>
      <c r="CD313" s="242">
        <f>IF(AL307=3,0,IF(W313,V313,0))</f>
        <v>0</v>
      </c>
      <c r="CE313" s="238">
        <f>IF(CD313&gt;0,AX313/3,0)</f>
        <v>0</v>
      </c>
      <c r="CF313" s="238">
        <f>ROUNDUP(CE313,0)</f>
        <v>0</v>
      </c>
      <c r="CG313" s="244">
        <f>IF(MOD(CF313,2)=0,CF313,CF313+1)</f>
        <v>0</v>
      </c>
      <c r="CH313" s="238">
        <f>IF(AX313&lt;9,"",SUM(CG313-CF313))</f>
        <v>0</v>
      </c>
      <c r="CI313" s="238">
        <f>IF(CH313=1,AY313,0)</f>
        <v>0</v>
      </c>
      <c r="CJ313" s="243" t="str">
        <f>IF(CH313=0,AY313,0)</f>
        <v/>
      </c>
      <c r="CK313" s="238"/>
      <c r="CL313" s="245">
        <f>IF(COUNT(F313,H313)=1,0,1)</f>
        <v>1</v>
      </c>
      <c r="CM313" s="245">
        <f>IF(COUNT(F313,U313)=1,0,1)</f>
        <v>1</v>
      </c>
      <c r="CN313" s="245">
        <f>IF(COUNT(H313,W313)=1,0,1)</f>
        <v>1</v>
      </c>
      <c r="CO313" s="245">
        <f>IF(COUNT(G313,V313)=2,0,1)</f>
        <v>1</v>
      </c>
      <c r="CP313" s="245">
        <f>IF(COUNT(U313,W313)=1,0,1)</f>
        <v>1</v>
      </c>
      <c r="CQ313" s="245">
        <f>IF(SUM(G313-V313)&gt;3,1,0)</f>
        <v>0</v>
      </c>
      <c r="CR313" s="245">
        <f>IF(SUM(G313-V313)&lt;-3,1,0)</f>
        <v>0</v>
      </c>
      <c r="CS313" s="264">
        <f>IF(AJ313=9,IF(AH313&lt;141,1,0),IF(AH313="",0,IF(AH313&gt;1,0,1)))</f>
        <v>0</v>
      </c>
      <c r="CT313" s="264">
        <f>IF(AX313=9,IF(AV313&lt;141,1,0),IF(AV313="",0,IF(AV313&gt;1,0,1)))</f>
        <v>0</v>
      </c>
      <c r="CU313" s="264">
        <f>IF(AI313="",0,IF(AI313&lt;502,0,1))</f>
        <v>0</v>
      </c>
      <c r="CV313" s="264">
        <f>IF(AW313="",0,IF(AW313&lt;502,0,1))</f>
        <v>0</v>
      </c>
      <c r="CW313" s="264">
        <f>IF(AI313="",IF(AJ313&lt;9,1,0),IF(AJ313&lt;9,1,0))</f>
        <v>0</v>
      </c>
      <c r="CX313" s="264">
        <f>IF(AW313="",IF(AX313&lt;9,1,0),IF(AX313&lt;9,1,0))</f>
        <v>0</v>
      </c>
      <c r="CY313" s="374"/>
      <c r="CZ313" s="374"/>
      <c r="DA313" s="374"/>
      <c r="DB313" s="374"/>
      <c r="DC313" s="265">
        <f>IF(AJ313="",0,SUM(CL313:CX313))</f>
        <v>0</v>
      </c>
      <c r="DD313" s="265">
        <f>IF(AJ313="",0,SUM(CL313,CS313,CU313,CW313))</f>
        <v>0</v>
      </c>
      <c r="DE313" s="265">
        <f>IF(AJ313="",0,SUM(CP313,CT313,CV313,CX313))</f>
        <v>0</v>
      </c>
      <c r="DF313" s="238"/>
      <c r="DG313" s="248">
        <f>IF(AL307=3,0,SUM(G313-V313))</f>
        <v>0</v>
      </c>
      <c r="DH313" s="245">
        <f>IF(F313="",0,1)</f>
        <v>0</v>
      </c>
      <c r="DI313" s="245">
        <f t="shared" si="764"/>
        <v>0</v>
      </c>
      <c r="DJ313" s="245">
        <f t="shared" si="765"/>
        <v>0</v>
      </c>
      <c r="DK313" s="245" t="str">
        <f>IF(G313="","",IF(DJ313=1,"*",""))</f>
        <v/>
      </c>
      <c r="DL313" s="245" t="str">
        <f>IF(AL307=3,"",IF(G313="","",IF(DJ313=-1,"*",IF(DJ313=0,"*",""))))</f>
        <v/>
      </c>
      <c r="DM313" s="245">
        <v>4</v>
      </c>
      <c r="DN313" s="245" t="str">
        <f t="shared" si="766"/>
        <v>4</v>
      </c>
      <c r="DO313" s="245" t="str">
        <f t="shared" si="767"/>
        <v>4</v>
      </c>
      <c r="DP313" s="245">
        <f>SUM(DQ310)</f>
        <v>0</v>
      </c>
      <c r="DQ313" s="245">
        <f>SUM(DP310)</f>
        <v>0</v>
      </c>
      <c r="DR313" s="245">
        <f t="shared" si="774"/>
        <v>0</v>
      </c>
      <c r="DS313" s="245">
        <f t="shared" si="775"/>
        <v>0</v>
      </c>
      <c r="DT313" s="245">
        <f t="shared" si="776"/>
        <v>0</v>
      </c>
      <c r="DU313" s="245">
        <f>IF(V313="",0,IF(DQ313=DS313,0,1))</f>
        <v>0</v>
      </c>
      <c r="DV313" s="267">
        <f t="shared" si="777"/>
        <v>0</v>
      </c>
      <c r="DW313" s="267">
        <f>IF(V313="",0,SUM(DU313))</f>
        <v>0</v>
      </c>
      <c r="DX313" s="238">
        <f>IF(AK313="",0,1)</f>
        <v>0</v>
      </c>
      <c r="DY313" s="238">
        <f>IF(DG313=-3,1,0)</f>
        <v>0</v>
      </c>
      <c r="DZ313" s="238">
        <f>SUM(DX313:DY313)</f>
        <v>0</v>
      </c>
      <c r="EA313" s="238">
        <f>IF(AK313="",1,0)</f>
        <v>1</v>
      </c>
      <c r="EB313" s="238">
        <f>IF(DG313=3,1,0)</f>
        <v>0</v>
      </c>
      <c r="EC313" s="238">
        <f>SUM(EA313:EB313)</f>
        <v>1</v>
      </c>
      <c r="ED313" s="267">
        <f>IF(EC313=2,1,0)</f>
        <v>0</v>
      </c>
      <c r="EE313" s="267">
        <f>IF(DZ313=2,1,0)</f>
        <v>0</v>
      </c>
      <c r="EG313" s="166"/>
      <c r="EH313" s="238"/>
      <c r="EI313" s="238"/>
      <c r="EJ313" s="238"/>
      <c r="EK313" s="238"/>
      <c r="EL313" s="238"/>
      <c r="EM313" s="245">
        <f>IF(AK313="",0,1)</f>
        <v>0</v>
      </c>
      <c r="EN313" s="245">
        <f>SUM(AK313)</f>
        <v>0</v>
      </c>
      <c r="EO313" s="268">
        <f>SUM(AJ313)</f>
        <v>0</v>
      </c>
      <c r="EP313" s="268">
        <f>SUM(G313/3)</f>
        <v>0</v>
      </c>
      <c r="EQ313" s="268" t="e">
        <f>SUM(EO313/EP313)</f>
        <v>#DIV/0!</v>
      </c>
      <c r="ER313" s="268">
        <f>ROUNDDOWN(EP313,0)</f>
        <v>0</v>
      </c>
      <c r="ES313" s="268">
        <f>SUM(EO313,-ER313*3)</f>
        <v>0</v>
      </c>
      <c r="ET313" s="269" t="b">
        <f>MOD(EN313/1,2)=0</f>
        <v>1</v>
      </c>
      <c r="EU313" s="245">
        <f>IF(ET313=FALSE,1,0)</f>
        <v>0</v>
      </c>
      <c r="EV313" s="245">
        <f>IF(EN313=50,0,IF(EN313&lt;40,1,0))</f>
        <v>1</v>
      </c>
      <c r="EW313" s="245">
        <f>SUM(EU313:EV313)</f>
        <v>1</v>
      </c>
      <c r="EX313" s="267">
        <f>IF(EN313=1,1,IF(EN313=50,0,IF(ES313=1,IF(EN313&gt;40,1,0),0)))</f>
        <v>0</v>
      </c>
      <c r="EY313" s="267">
        <f>IF(ES313=1,IF(EW313=2,1,0),0)+EX313+FB313+FE313</f>
        <v>0</v>
      </c>
      <c r="EZ313" s="245">
        <f>IF(EN313=109,1,IF(EN313=108,1,IF(EN313=106,1,IF(EN313=105,1,IF(EN313=103,1,IF(EN313=102,1,IF(EN313=99,1,0)))))))</f>
        <v>0</v>
      </c>
      <c r="FA313" s="245">
        <f>IF(EN313&gt;110,1,0)</f>
        <v>0</v>
      </c>
      <c r="FB313" s="267">
        <f>IF(ES313=2,SUM(EZ313:FA313),0)</f>
        <v>0</v>
      </c>
      <c r="FC313" s="245">
        <f>IF(EN313=159,1,IF(EN313=162,1,IF(EN313=163,1,IF(EN313=165,1,IF(EN313=166,1,IF(EN313=168,1,IF(EN313=169,1,0)))))))</f>
        <v>0</v>
      </c>
      <c r="FD313" s="245">
        <f>IF(EN313&gt;170,1,0)</f>
        <v>0</v>
      </c>
      <c r="FE313" s="267">
        <f>IF(ES313=0,SUM(FC313:FD313),0)</f>
        <v>0</v>
      </c>
      <c r="FF313" s="251">
        <f t="shared" si="768"/>
        <v>0</v>
      </c>
      <c r="FG313" s="238"/>
      <c r="FH313" s="245">
        <f>IF(AY313="",0,1)</f>
        <v>0</v>
      </c>
      <c r="FI313" s="245">
        <f>SUM(AY313)</f>
        <v>0</v>
      </c>
      <c r="FJ313" s="268">
        <f>SUM(AX313)</f>
        <v>0</v>
      </c>
      <c r="FK313" s="268">
        <f>SUM(V313/3)</f>
        <v>0</v>
      </c>
      <c r="FL313" s="268" t="e">
        <f>SUM(FJ313/FK313)</f>
        <v>#DIV/0!</v>
      </c>
      <c r="FM313" s="268">
        <f>ROUNDDOWN(FK313,0)</f>
        <v>0</v>
      </c>
      <c r="FN313" s="268">
        <f>SUM(FJ313,-FM313*3)</f>
        <v>0</v>
      </c>
      <c r="FO313" s="269" t="b">
        <f>MOD(FI313/1,2)=0</f>
        <v>1</v>
      </c>
      <c r="FP313" s="245">
        <f>IF(FO313=FALSE,1,0)</f>
        <v>0</v>
      </c>
      <c r="FQ313" s="245">
        <f>IF(FI313=50,0,IF(FI313&lt;40,1,0))</f>
        <v>1</v>
      </c>
      <c r="FR313" s="245">
        <f>SUM(FP313:FQ313)</f>
        <v>1</v>
      </c>
      <c r="FS313" s="267">
        <f>IF(FI313=1,1,IF(FI313=50,0,IF(FN313=1,IF(FI313&gt;40,1,0),0)))</f>
        <v>0</v>
      </c>
      <c r="FT313" s="267">
        <f>IF(FN313=1,IF(FR313=2,1,0),0)+FS313+FW313+FZ313</f>
        <v>0</v>
      </c>
      <c r="FU313" s="245">
        <f>IF(FI313=109,1,IF(FI313=108,1,IF(FI313=106,1,IF(FI313=105,1,IF(FI313=103,1,IF(FI313=102,1,IF(FI313=99,1,0)))))))</f>
        <v>0</v>
      </c>
      <c r="FV313" s="245">
        <f>IF(FI313&gt;110,1,0)</f>
        <v>0</v>
      </c>
      <c r="FW313" s="267">
        <f>IF(FN313=2,SUM(FU313:FV313),0)</f>
        <v>0</v>
      </c>
      <c r="FX313" s="245">
        <f>IF(FI313=159,1,IF(FI313=162,1,IF(FI313=163,1,IF(FI313=165,1,IF(FI313=166,1,IF(FI313=168,1,IF(FI313=169,1,0)))))))</f>
        <v>0</v>
      </c>
      <c r="FY313" s="245">
        <f>IF(FI313&gt;170,1,0)</f>
        <v>0</v>
      </c>
      <c r="FZ313" s="267">
        <f>IF(FN313=0,SUM(FX313:FY313),0)</f>
        <v>0</v>
      </c>
      <c r="GA313" s="251">
        <f t="shared" si="769"/>
        <v>0</v>
      </c>
      <c r="GC313" s="238" t="str">
        <f>VLOOKUP(AH307,Chema!BL:BR,4,FALSE)</f>
        <v>GS 3.2</v>
      </c>
      <c r="GD313" s="341">
        <f>IF(T317="FORFAIT",1,0)</f>
        <v>0</v>
      </c>
      <c r="GE313" s="343" t="str">
        <f>IF(R317="","",SUM(R317))</f>
        <v/>
      </c>
      <c r="GF313" s="344">
        <f>SUM(AV310)</f>
        <v>0</v>
      </c>
      <c r="GG313" s="344">
        <f>SUM(AX310)</f>
        <v>0</v>
      </c>
      <c r="GH313" s="344">
        <f t="shared" ref="GH313" si="778">SUM(AY310)</f>
        <v>0</v>
      </c>
      <c r="GI313" s="344">
        <f t="shared" ref="GI313" si="779">SUM(AZ310)</f>
        <v>0</v>
      </c>
      <c r="GJ313" s="344">
        <f>SUM(AV311)</f>
        <v>0</v>
      </c>
      <c r="GK313" s="344">
        <f>SUM(AX311)</f>
        <v>0</v>
      </c>
      <c r="GL313" s="344">
        <f>SUM(AY311)</f>
        <v>0</v>
      </c>
      <c r="GM313" s="344">
        <f>SUM(AZ311)</f>
        <v>0</v>
      </c>
      <c r="GN313" s="344">
        <f>SUM(AV312)</f>
        <v>0</v>
      </c>
      <c r="GO313" s="344">
        <f>SUM(AX312)</f>
        <v>0</v>
      </c>
      <c r="GP313" s="344">
        <f>SUM(AY312)</f>
        <v>0</v>
      </c>
      <c r="GQ313" s="344">
        <f>SUM(AZ312)</f>
        <v>0</v>
      </c>
      <c r="GR313" s="344">
        <f>SUM(AV313)</f>
        <v>0</v>
      </c>
      <c r="GS313" s="344">
        <f>SUM(AX313)</f>
        <v>0</v>
      </c>
      <c r="GT313" s="344">
        <f>SUM(AY313)</f>
        <v>0</v>
      </c>
      <c r="GU313" s="344">
        <f>SUM(AZ313)</f>
        <v>0</v>
      </c>
      <c r="GV313" s="344">
        <f>SUM(AV314)</f>
        <v>0</v>
      </c>
      <c r="GW313" s="344">
        <f>SUM(AX314)</f>
        <v>0</v>
      </c>
      <c r="GX313" s="344">
        <f>SUM(AY314)</f>
        <v>0</v>
      </c>
      <c r="GY313" s="344">
        <f>SUM(AZ314)</f>
        <v>0</v>
      </c>
      <c r="GZ313" s="344">
        <f>SUM(GF313,GJ313,GN313,GR313,GV313)</f>
        <v>0</v>
      </c>
      <c r="HA313" s="344">
        <f t="shared" ref="HA313" si="780">SUM(GG313,GK313,GO313,GS313,GW313)</f>
        <v>0</v>
      </c>
      <c r="HB313" s="344">
        <f>IF(GD310=1,P317,MAX(GH313,GL313,GP313,GT313,GX313))</f>
        <v>0</v>
      </c>
      <c r="HC313" s="344">
        <f>IF(GD310=1,X317,SUM(GI313,GM313,GQ313,GU313,GY313))</f>
        <v>0</v>
      </c>
      <c r="HD313" s="345">
        <f>IF(GD310=1,0,SUM(GF313,GJ313,GN313,GR313,GV313))</f>
        <v>0</v>
      </c>
      <c r="HE313" s="345">
        <f>IF(GD310=1,0,SUM(GG313,GK313,GO313,GS313,GW313))</f>
        <v>0</v>
      </c>
      <c r="HF313" s="341">
        <f>IF(GD310=1,0,MIN(HI313,HJ313,HK313,HL313,HM313))</f>
        <v>0</v>
      </c>
      <c r="HG313" s="341">
        <f>IF(HF313=0,0,COUNTIF(HI313:HM313,HF313))</f>
        <v>0</v>
      </c>
      <c r="HH313" s="341">
        <f>SUM(GH314,GL314,GP314,GT314,GX314)</f>
        <v>0</v>
      </c>
      <c r="HI313" s="343" t="str">
        <f>IF(GH314=1,GG313,"")</f>
        <v/>
      </c>
      <c r="HJ313" s="343" t="str">
        <f>IF(GL314=1,GK313,"")</f>
        <v/>
      </c>
      <c r="HK313" s="343" t="str">
        <f>IF(GP314=1,GO313,"")</f>
        <v/>
      </c>
      <c r="HL313" s="343" t="str">
        <f>IF(GT314=1,GS313,"")</f>
        <v/>
      </c>
      <c r="HM313" s="343" t="str">
        <f>IF(GX314=1,GW313,"")</f>
        <v/>
      </c>
      <c r="HN313" s="341"/>
      <c r="HO313" s="341"/>
      <c r="HP313" s="341"/>
      <c r="HQ313" s="341"/>
      <c r="HR313" s="341"/>
      <c r="HS313" s="238"/>
      <c r="HT313" s="238"/>
      <c r="HU313" s="238"/>
      <c r="HV313" s="238"/>
      <c r="HW313" s="238" t="str">
        <f>IFERROR(IF(GD310=0,SUM(IB312:IC312),""),"")</f>
        <v/>
      </c>
      <c r="HY313" s="238"/>
      <c r="ID313" s="238"/>
    </row>
    <row r="314" spans="1:238" s="234" customFormat="1" ht="20.100000000000001" customHeight="1">
      <c r="A314" s="235"/>
      <c r="B314" s="231">
        <f>COUNT(AJ315,AJ314)</f>
        <v>1</v>
      </c>
      <c r="C314" s="235"/>
      <c r="D314" s="271" t="str">
        <f>REPT(DN314,1)</f>
        <v>5</v>
      </c>
      <c r="E314" s="254" t="str">
        <f>REPT(AH314,1)</f>
        <v/>
      </c>
      <c r="F314" s="168"/>
      <c r="G314" s="168"/>
      <c r="H314" s="168"/>
      <c r="I314" s="169"/>
      <c r="J314" s="272" t="str">
        <f>REPT(AM314,1)</f>
        <v/>
      </c>
      <c r="L314" s="310"/>
      <c r="M314" s="310"/>
      <c r="N314" s="272" t="str">
        <f>REPT(AP314,1)</f>
        <v/>
      </c>
      <c r="O314" s="118"/>
      <c r="Q314" s="310"/>
      <c r="R314" s="235"/>
      <c r="S314" s="271" t="str">
        <f>REPT(DO314,1)</f>
        <v>5</v>
      </c>
      <c r="T314" s="254" t="str">
        <f>REPT(AV314,1)</f>
        <v/>
      </c>
      <c r="U314" s="168"/>
      <c r="V314" s="168"/>
      <c r="W314" s="168"/>
      <c r="X314" s="169"/>
      <c r="Y314" s="272" t="str">
        <f>REPT(BA314,1)</f>
        <v/>
      </c>
      <c r="Z314" s="308"/>
      <c r="AA314" s="238">
        <f>SUM(AL307)</f>
        <v>5</v>
      </c>
      <c r="AB314" s="234">
        <f>IF(AY314="",0,IF(AY314&lt;2,1,""))</f>
        <v>0</v>
      </c>
      <c r="AC314" s="238">
        <f>IF(AL307=3,0,IF(AD314=1,1,IF(AD314=3,1,IF(AD314=2,0,IF(AD314=0,0,0)))))</f>
        <v>0</v>
      </c>
      <c r="AD314" s="256">
        <f t="shared" si="758"/>
        <v>0</v>
      </c>
      <c r="AE314" s="256">
        <f t="shared" si="752"/>
        <v>0</v>
      </c>
      <c r="AF314" s="256">
        <f t="shared" si="753"/>
        <v>0</v>
      </c>
      <c r="AG314" s="256">
        <f t="shared" si="759"/>
        <v>0</v>
      </c>
      <c r="AH314" s="257" t="str">
        <f>IF(AL307=3,"",IF(AK314="",IF(AI314="","",IF(AI314="",501,501-AI314)),501))</f>
        <v/>
      </c>
      <c r="AI314" s="256" t="str">
        <f>IF(AL307=3,"",IF(F314&gt;1,F314,IF(F314=0,"",IF(F314="","",""))))</f>
        <v/>
      </c>
      <c r="AJ314" s="256" t="str">
        <f>IF(AL307=3,"",IF(G314&gt;8,G314,IF(G314="","","")))</f>
        <v/>
      </c>
      <c r="AK314" s="256" t="str">
        <f>IF(AL307=3,"",IF(H314&gt;1,H314,IF(H314="","","")))</f>
        <v/>
      </c>
      <c r="AL314" s="256" t="str">
        <f>IF(AL307=3,"",IF(I314&gt;0,I314,IF(I314="","","")))</f>
        <v/>
      </c>
      <c r="AM314" s="258" t="str">
        <f>IF(BK314=0,"","X")</f>
        <v/>
      </c>
      <c r="AN314" s="237"/>
      <c r="AO314" s="237"/>
      <c r="AP314" s="258" t="str">
        <f>IF(BM314=0,"","X")</f>
        <v/>
      </c>
      <c r="AQ314" s="236">
        <f>IF(AL307=3,0,IF(AR314=1,1,IF(AR314=3,1,IF(AR314=2,0,IF(AR314=0,0,0)))))</f>
        <v>0</v>
      </c>
      <c r="AR314" s="256">
        <f t="shared" si="761"/>
        <v>0</v>
      </c>
      <c r="AS314" s="256">
        <f t="shared" si="754"/>
        <v>0</v>
      </c>
      <c r="AT314" s="256">
        <f t="shared" si="755"/>
        <v>0</v>
      </c>
      <c r="AU314" s="256">
        <f t="shared" si="762"/>
        <v>0</v>
      </c>
      <c r="AV314" s="257" t="str">
        <f>IF(AY314="",IF(AW314="","",IF(AW314="",501,501-AW314)),501)</f>
        <v/>
      </c>
      <c r="AW314" s="256" t="str">
        <f>IF(AL307=3,"",IF(U314&gt;1,U314,IF(U314=0,"",IF(U314="","",""))))</f>
        <v/>
      </c>
      <c r="AX314" s="256" t="str">
        <f>IF(AL307=3,"",IF(V314&gt;8,V314,IF(V314="","","")))</f>
        <v/>
      </c>
      <c r="AY314" s="256" t="str">
        <f>IF(AL307=3,"",IF(W314&gt;1,W314,IF(W314="","","")))</f>
        <v/>
      </c>
      <c r="AZ314" s="256" t="str">
        <f>IF(AL307=3,"",IF(X314&gt;0,X314,IF(X314="","","")))</f>
        <v/>
      </c>
      <c r="BA314" s="258" t="str">
        <f>IF(BL314=0,"","X")</f>
        <v/>
      </c>
      <c r="BK314" s="251">
        <f>IF(AL307=3,0,SUM(DD314,DV314,EY314,ED314,FF314,BQ314,BS314,AC314))</f>
        <v>0</v>
      </c>
      <c r="BL314" s="251">
        <f>SUM(DE314,DW314,EE314,FT314,GA314,BR314,BT314,AQ314)</f>
        <v>0</v>
      </c>
      <c r="BM314" s="259">
        <f>IF(AL307=3,0,SUM(DC314,BK314:BL314,AC314,AQ314))</f>
        <v>0</v>
      </c>
      <c r="BN314" s="239">
        <f>COUNT(AK314)</f>
        <v>0</v>
      </c>
      <c r="BO314" s="239">
        <f>COUNT(AY314)</f>
        <v>0</v>
      </c>
      <c r="BP314" s="239">
        <f>IF(BN316=0,0,1)</f>
        <v>0</v>
      </c>
      <c r="BQ314" s="260">
        <f>IF(AL314="",0,IF(AL314&gt;2,1,0))</f>
        <v>0</v>
      </c>
      <c r="BR314" s="261">
        <f>IF(AZ314="",0,IF(AZ314&gt;2,1,0))</f>
        <v>0</v>
      </c>
      <c r="BS314" s="262">
        <f>IF(AJ314=9,IF(AK314&lt;141,1,0),0)</f>
        <v>0</v>
      </c>
      <c r="BT314" s="263">
        <f>IF(AX314=9,IF(AY314&lt;141,1,0),0)</f>
        <v>0</v>
      </c>
      <c r="BU314" s="242">
        <f>IF(AL307=3,0,IF(H314,G314,0))</f>
        <v>0</v>
      </c>
      <c r="BV314" s="238">
        <f>IF(BU314&gt;0,AJ314/3,0)</f>
        <v>0</v>
      </c>
      <c r="BW314" s="238">
        <f>ROUNDUP(BV314,0)</f>
        <v>0</v>
      </c>
      <c r="BX314" s="244">
        <f>IF(MOD(BW314,2)=0,BW314,BW314+1)</f>
        <v>0</v>
      </c>
      <c r="BY314" s="238">
        <f>IF(AJ314&lt;9,"",SUM(BX314-BW314))</f>
        <v>0</v>
      </c>
      <c r="BZ314" s="238">
        <f>IF(BY314=1,AK314,0)</f>
        <v>0</v>
      </c>
      <c r="CA314" s="243" t="str">
        <f>IF(BY314=0,AK314,0)</f>
        <v/>
      </c>
      <c r="CB314" s="238"/>
      <c r="CC314" s="238"/>
      <c r="CD314" s="242">
        <f>IF(AL307=3,0,IF(W314,V314,0))</f>
        <v>0</v>
      </c>
      <c r="CE314" s="238">
        <f>IF(CD314&gt;0,AX314/3,0)</f>
        <v>0</v>
      </c>
      <c r="CF314" s="238">
        <f>ROUNDUP(CE314,0)</f>
        <v>0</v>
      </c>
      <c r="CG314" s="244">
        <f>IF(MOD(CF314,2)=0,CF314,CF314+1)</f>
        <v>0</v>
      </c>
      <c r="CH314" s="238">
        <f>IF(AX314&lt;9,"",SUM(CG314-CF314))</f>
        <v>0</v>
      </c>
      <c r="CI314" s="238">
        <f>IF(CH314=1,AY314,0)</f>
        <v>0</v>
      </c>
      <c r="CJ314" s="243" t="str">
        <f>IF(CH314=0,AY314,0)</f>
        <v/>
      </c>
      <c r="CK314" s="238"/>
      <c r="CL314" s="245">
        <f>IF(COUNT(F314,H314)=1,0,1)</f>
        <v>1</v>
      </c>
      <c r="CM314" s="245">
        <f>IF(COUNT(F314,U314)=1,0,1)</f>
        <v>1</v>
      </c>
      <c r="CN314" s="245">
        <f>IF(COUNT(H314,W314)=1,0,1)</f>
        <v>1</v>
      </c>
      <c r="CO314" s="245">
        <f>IF(COUNT(G314,V314)=2,0,1)</f>
        <v>1</v>
      </c>
      <c r="CP314" s="245">
        <f>IF(COUNT(U314,W314)=1,0,1)</f>
        <v>1</v>
      </c>
      <c r="CQ314" s="245">
        <f>IF(SUM(G314-V314)&gt;3,1,0)</f>
        <v>0</v>
      </c>
      <c r="CR314" s="245">
        <f>IF(SUM(G314-V314)&lt;-3,1,0)</f>
        <v>0</v>
      </c>
      <c r="CS314" s="264">
        <f>IF(AJ314=9,IF(AH314&lt;141,1,0),IF(AH314="",0,IF(AH314&gt;1,0,1)))</f>
        <v>0</v>
      </c>
      <c r="CT314" s="264">
        <f>IF(AX314=9,IF(AV314&lt;141,1,0),IF(AV314="",0,IF(AV314&gt;1,0,1)))</f>
        <v>0</v>
      </c>
      <c r="CU314" s="264">
        <f>IF(AI314="",0,IF(AI314&lt;502,0,1))</f>
        <v>0</v>
      </c>
      <c r="CV314" s="264">
        <f>IF(AW314="",0,IF(AW314&lt;502,0,1))</f>
        <v>0</v>
      </c>
      <c r="CW314" s="264">
        <f>IF(AI314="",IF(AJ314&lt;9,1,0),IF(AJ314&lt;9,1,0))</f>
        <v>0</v>
      </c>
      <c r="CX314" s="264">
        <f>IF(AW314="",IF(AX314&lt;9,1,0),IF(AX314&lt;9,1,0))</f>
        <v>0</v>
      </c>
      <c r="CY314" s="374"/>
      <c r="CZ314" s="374"/>
      <c r="DA314" s="374"/>
      <c r="DB314" s="374"/>
      <c r="DC314" s="265">
        <f>IF(AJ314="",0,SUM(CL314:CX314))</f>
        <v>0</v>
      </c>
      <c r="DD314" s="265">
        <f>IF(AJ314="",0,SUM(CL314,CS314,CU314,CW314))</f>
        <v>0</v>
      </c>
      <c r="DE314" s="265">
        <f>IF(AJ314="",0,SUM(CP314,CT314,CV314,CX314))</f>
        <v>0</v>
      </c>
      <c r="DF314" s="238"/>
      <c r="DG314" s="248">
        <f>IF(AL307=3,0,SUM(G314-V314))</f>
        <v>0</v>
      </c>
      <c r="DH314" s="245">
        <f>IF(F314="",0,1)</f>
        <v>0</v>
      </c>
      <c r="DI314" s="245">
        <f t="shared" si="764"/>
        <v>0</v>
      </c>
      <c r="DJ314" s="245">
        <f t="shared" si="765"/>
        <v>0</v>
      </c>
      <c r="DK314" s="245" t="str">
        <f>IF(G314="","",IF(DJ314=1,"*",""))</f>
        <v/>
      </c>
      <c r="DL314" s="245" t="str">
        <f>IF(AL307=3,"",IF(G314="","",IF(DJ314=-1,"*",IF(DJ314=0,"*",""))))</f>
        <v/>
      </c>
      <c r="DM314" s="245">
        <v>5</v>
      </c>
      <c r="DN314" s="245" t="str">
        <f t="shared" si="766"/>
        <v>5</v>
      </c>
      <c r="DO314" s="245" t="str">
        <f t="shared" si="767"/>
        <v>5</v>
      </c>
      <c r="DP314" s="245">
        <f>SUM(DP310)</f>
        <v>0</v>
      </c>
      <c r="DQ314" s="245">
        <f>SUM(DQ310)</f>
        <v>0</v>
      </c>
      <c r="DR314" s="245">
        <f t="shared" si="774"/>
        <v>0</v>
      </c>
      <c r="DS314" s="245">
        <f t="shared" si="775"/>
        <v>0</v>
      </c>
      <c r="DT314" s="245">
        <f t="shared" si="776"/>
        <v>0</v>
      </c>
      <c r="DU314" s="245">
        <f>IF(V314="",0,IF(DQ314=DS314,0,1))</f>
        <v>0</v>
      </c>
      <c r="DV314" s="267">
        <f t="shared" si="777"/>
        <v>0</v>
      </c>
      <c r="DW314" s="267">
        <f>IF(V314="",0,SUM(DU314))</f>
        <v>0</v>
      </c>
      <c r="DX314" s="238">
        <f>IF(AK314="",0,1)</f>
        <v>0</v>
      </c>
      <c r="DY314" s="238">
        <f>IF(DG314=-3,1,0)</f>
        <v>0</v>
      </c>
      <c r="DZ314" s="238">
        <f>SUM(DX314:DY314)</f>
        <v>0</v>
      </c>
      <c r="EA314" s="238">
        <f>IF(AK314="",1,0)</f>
        <v>1</v>
      </c>
      <c r="EB314" s="238">
        <f>IF(DG314=3,1,0)</f>
        <v>0</v>
      </c>
      <c r="EC314" s="238">
        <f>SUM(EA314:EB314)</f>
        <v>1</v>
      </c>
      <c r="ED314" s="267">
        <f>IF(EC314=2,1,0)</f>
        <v>0</v>
      </c>
      <c r="EE314" s="267">
        <f>IF(DZ314=2,1,0)</f>
        <v>0</v>
      </c>
      <c r="EG314" s="166"/>
      <c r="EH314" s="238"/>
      <c r="EI314" s="238"/>
      <c r="EJ314" s="238"/>
      <c r="EK314" s="238"/>
      <c r="EL314" s="238"/>
      <c r="EM314" s="245">
        <f>IF(AK314="",0,1)</f>
        <v>0</v>
      </c>
      <c r="EN314" s="245">
        <f>SUM(AK314)</f>
        <v>0</v>
      </c>
      <c r="EO314" s="268">
        <f>SUM(AJ314)</f>
        <v>0</v>
      </c>
      <c r="EP314" s="268">
        <f>SUM(G314/3)</f>
        <v>0</v>
      </c>
      <c r="EQ314" s="268" t="e">
        <f>SUM(EO314/EP314)</f>
        <v>#DIV/0!</v>
      </c>
      <c r="ER314" s="268">
        <f>ROUNDDOWN(EP314,0)</f>
        <v>0</v>
      </c>
      <c r="ES314" s="268">
        <f>SUM(EO314,-ER314*3)</f>
        <v>0</v>
      </c>
      <c r="ET314" s="269" t="b">
        <f>MOD(EN314/1,2)=0</f>
        <v>1</v>
      </c>
      <c r="EU314" s="245">
        <f>IF(ET314=FALSE,1,0)</f>
        <v>0</v>
      </c>
      <c r="EV314" s="245">
        <f>IF(EN314=50,0,IF(EN314&lt;40,1,0))</f>
        <v>1</v>
      </c>
      <c r="EW314" s="245">
        <f>SUM(EU314:EV314)</f>
        <v>1</v>
      </c>
      <c r="EX314" s="267">
        <f>IF(EN314=1,1,IF(EN314=50,0,IF(ES314=1,IF(EN314&gt;40,1,0),0)))</f>
        <v>0</v>
      </c>
      <c r="EY314" s="267">
        <f>IF(ES314=1,IF(EW314=2,1,0),0)+EX314+FB314+FE314</f>
        <v>0</v>
      </c>
      <c r="EZ314" s="245">
        <f>IF(EN314=109,1,IF(EN314=108,1,IF(EN314=106,1,IF(EN314=105,1,IF(EN314=103,1,IF(EN314=102,1,IF(EN314=99,1,0)))))))</f>
        <v>0</v>
      </c>
      <c r="FA314" s="245">
        <f>IF(EN314&gt;110,1,0)</f>
        <v>0</v>
      </c>
      <c r="FB314" s="267">
        <f>IF(ES314=2,SUM(EZ314:FA314),0)</f>
        <v>0</v>
      </c>
      <c r="FC314" s="245">
        <f>IF(EN314=159,1,IF(EN314=162,1,IF(EN314=163,1,IF(EN314=165,1,IF(EN314=166,1,IF(EN314=168,1,IF(EN314=169,1,0)))))))</f>
        <v>0</v>
      </c>
      <c r="FD314" s="245">
        <f>IF(EN314&gt;170,1,0)</f>
        <v>0</v>
      </c>
      <c r="FE314" s="267">
        <f>IF(ES314=0,SUM(FC314:FD314),0)</f>
        <v>0</v>
      </c>
      <c r="FF314" s="251">
        <f t="shared" si="768"/>
        <v>0</v>
      </c>
      <c r="FG314" s="238"/>
      <c r="FH314" s="245">
        <f>IF(AY314="",0,1)</f>
        <v>0</v>
      </c>
      <c r="FI314" s="245">
        <f>SUM(AY314)</f>
        <v>0</v>
      </c>
      <c r="FJ314" s="268">
        <f>SUM(AX314)</f>
        <v>0</v>
      </c>
      <c r="FK314" s="268">
        <f>SUM(V314/3)</f>
        <v>0</v>
      </c>
      <c r="FL314" s="268" t="e">
        <f>SUM(FJ314/FK314)</f>
        <v>#DIV/0!</v>
      </c>
      <c r="FM314" s="268">
        <f>ROUNDDOWN(FK314,0)</f>
        <v>0</v>
      </c>
      <c r="FN314" s="268">
        <f>SUM(FJ314,-FM314*3)</f>
        <v>0</v>
      </c>
      <c r="FO314" s="269" t="b">
        <f>MOD(FI314/1,2)=0</f>
        <v>1</v>
      </c>
      <c r="FP314" s="245">
        <f>IF(FO314=FALSE,1,0)</f>
        <v>0</v>
      </c>
      <c r="FQ314" s="245">
        <f>IF(FI314=50,0,IF(FI314&lt;40,1,0))</f>
        <v>1</v>
      </c>
      <c r="FR314" s="245">
        <f>SUM(FP314:FQ314)</f>
        <v>1</v>
      </c>
      <c r="FS314" s="267">
        <f>IF(FI314=1,1,IF(FI314=50,0,IF(FN314=1,IF(FI314&gt;40,1,0),0)))</f>
        <v>0</v>
      </c>
      <c r="FT314" s="267">
        <f>IF(FN314=1,IF(FR314=2,1,0),0)+FS314+FW314+FZ314</f>
        <v>0</v>
      </c>
      <c r="FU314" s="245">
        <f>IF(FI314=109,1,IF(FI314=108,1,IF(FI314=106,1,IF(FI314=105,1,IF(FI314=103,1,IF(FI314=102,1,IF(FI314=99,1,0)))))))</f>
        <v>0</v>
      </c>
      <c r="FV314" s="245">
        <f>IF(FI314&gt;110,1,0)</f>
        <v>0</v>
      </c>
      <c r="FW314" s="267">
        <f>IF(FN314=2,SUM(FU314:FV314),0)</f>
        <v>0</v>
      </c>
      <c r="FX314" s="245">
        <f>IF(FI314=159,1,IF(FI314=162,1,IF(FI314=163,1,IF(FI314=165,1,IF(FI314=166,1,IF(FI314=168,1,IF(FI314=169,1,0)))))))</f>
        <v>0</v>
      </c>
      <c r="FY314" s="245">
        <f>IF(FI314&gt;170,1,0)</f>
        <v>0</v>
      </c>
      <c r="FZ314" s="267">
        <f>IF(FN314=0,SUM(FX314:FY314),0)</f>
        <v>0</v>
      </c>
      <c r="GA314" s="251">
        <f t="shared" si="769"/>
        <v>0</v>
      </c>
      <c r="GC314" s="238" t="str">
        <f>VLOOKUP(AH307,Chema!BL:BR,5,FALSE)</f>
        <v/>
      </c>
      <c r="GD314" s="341"/>
      <c r="GE314" s="343" t="str">
        <f>IF(R318="","",SUM(R318))</f>
        <v/>
      </c>
      <c r="GF314" s="340"/>
      <c r="GG314" s="346"/>
      <c r="GH314" s="343">
        <f>IF(GH313&gt;0,1,0)</f>
        <v>0</v>
      </c>
      <c r="GI314" s="346"/>
      <c r="GJ314" s="343"/>
      <c r="GK314" s="346"/>
      <c r="GL314" s="343">
        <f>IF(GL313&gt;0,1,0)</f>
        <v>0</v>
      </c>
      <c r="GM314" s="343"/>
      <c r="GN314" s="343"/>
      <c r="GO314" s="346"/>
      <c r="GP314" s="343">
        <f>IF(GP313&gt;0,1,0)</f>
        <v>0</v>
      </c>
      <c r="GQ314" s="343"/>
      <c r="GR314" s="343"/>
      <c r="GS314" s="346"/>
      <c r="GT314" s="343">
        <f>IF(GT313&gt;0,1,0)</f>
        <v>0</v>
      </c>
      <c r="GU314" s="343"/>
      <c r="GV314" s="343"/>
      <c r="GW314" s="346"/>
      <c r="GX314" s="343">
        <f>IF(GX313&gt;0,1,0)</f>
        <v>0</v>
      </c>
      <c r="GY314" s="340"/>
      <c r="GZ314" s="343"/>
      <c r="HA314" s="343"/>
      <c r="HB314" s="343" t="str">
        <f>IF(GD310=1,P318,"")</f>
        <v/>
      </c>
      <c r="HC314" s="343" t="str">
        <f>IF(GD310=1,X318,"")</f>
        <v/>
      </c>
      <c r="HD314" s="340"/>
      <c r="HE314" s="340"/>
      <c r="HF314" s="340"/>
      <c r="HG314" s="340">
        <f>IF(HG312=HM310,0,IF(HG312=HM314,0,1))</f>
        <v>0</v>
      </c>
      <c r="HH314" s="340">
        <f>IF(HH311=HH313,1,0)</f>
        <v>1</v>
      </c>
      <c r="HI314" s="340"/>
      <c r="HJ314" s="340"/>
      <c r="HK314" s="340"/>
      <c r="HL314" s="340"/>
      <c r="HM314" s="341">
        <f>COUNT(HI313,HJ313,HK313,HL313,HM313)</f>
        <v>0</v>
      </c>
      <c r="HN314" s="341"/>
      <c r="HO314" s="341"/>
      <c r="HP314" s="341"/>
      <c r="HQ314" s="341"/>
      <c r="HR314" s="341"/>
      <c r="HS314" s="238"/>
      <c r="HT314" s="238"/>
      <c r="HU314" s="238"/>
      <c r="HV314" s="238"/>
      <c r="HX314" s="238"/>
      <c r="HY314" s="238"/>
      <c r="ID314" s="238"/>
    </row>
    <row r="315" spans="1:238" s="234" customFormat="1" ht="6.6" customHeight="1">
      <c r="A315" s="235"/>
      <c r="B315" s="231"/>
      <c r="C315" s="310"/>
      <c r="D315" s="310"/>
      <c r="E315" s="310"/>
      <c r="F315" s="310"/>
      <c r="G315" s="313"/>
      <c r="H315" s="310"/>
      <c r="I315" s="310"/>
      <c r="J315" s="273"/>
      <c r="K315" s="313"/>
      <c r="O315" s="118"/>
      <c r="R315" s="310"/>
      <c r="S315" s="310"/>
      <c r="T315" s="310"/>
      <c r="U315" s="310"/>
      <c r="V315" s="313"/>
      <c r="W315" s="310"/>
      <c r="X315" s="310"/>
      <c r="Y315" s="273"/>
      <c r="Z315" s="308"/>
      <c r="AA315" s="274"/>
      <c r="AD315" s="235"/>
      <c r="AE315" s="237">
        <f>IF(AF315=0,0,1)</f>
        <v>0</v>
      </c>
      <c r="AF315" s="237">
        <f>IF(AL315=0,0,SUM(AL317:AL318,-AL316))</f>
        <v>0</v>
      </c>
      <c r="AG315" s="237"/>
      <c r="AH315" s="275">
        <f>SUM(AH310,AH311,AH312,AH313,AH314)</f>
        <v>0</v>
      </c>
      <c r="AI315" s="275">
        <f t="shared" ref="AI315" si="781">SUM(AI310,AI311,AI312,AI313,AI314)</f>
        <v>0</v>
      </c>
      <c r="AJ315" s="275">
        <f t="shared" ref="AJ315" si="782">SUM(AJ310,AJ311,AJ312,AJ313,AJ314)</f>
        <v>0</v>
      </c>
      <c r="AK315" s="275">
        <f>MAX(AK310,AK311,AK312,AK313,AK314)</f>
        <v>0</v>
      </c>
      <c r="AL315" s="275">
        <f t="shared" ref="AL315" si="783">SUM(AL310,AL311,AL312,AL313,AL314)</f>
        <v>0</v>
      </c>
      <c r="AM315" s="275">
        <f>IF(AK307="D",SUM(AL310,AL311,AL312,AL313,AL314,-AL317,-AL318),0)</f>
        <v>0</v>
      </c>
      <c r="AN315" s="235"/>
      <c r="AO315" s="235"/>
      <c r="AP315" s="235"/>
      <c r="AQ315" s="235"/>
      <c r="AR315" s="235"/>
      <c r="AS315" s="237">
        <f>IF(AT315=0,0,1)</f>
        <v>0</v>
      </c>
      <c r="AT315" s="237">
        <f>IF(AZ315=0,0,SUM(AZ317:AZ318,-AZ316))</f>
        <v>0</v>
      </c>
      <c r="AU315" s="237"/>
      <c r="AV315" s="275">
        <f>SUM(AV310,AV311,AV312,AV313,AV314)</f>
        <v>0</v>
      </c>
      <c r="AW315" s="275">
        <f t="shared" ref="AW315" si="784">SUM(AW310,AW311,AW312,AW313,AW314)</f>
        <v>0</v>
      </c>
      <c r="AX315" s="275">
        <f t="shared" ref="AX315" si="785">SUM(AX310,AX311,AX312,AX313,AX314)</f>
        <v>0</v>
      </c>
      <c r="AY315" s="275">
        <f>MAX(AY310,AY311,AY312,AY313,AY314)</f>
        <v>0</v>
      </c>
      <c r="AZ315" s="275">
        <f t="shared" ref="AZ315" si="786">SUM(AZ310,AZ311,AZ312,AZ313,AZ314)</f>
        <v>0</v>
      </c>
      <c r="BA315" s="275">
        <f>IF(AK307="D",SUM(AZ310,AZ311,AZ312,AZ313,AZ314,-AZ317,-AZ318),0)</f>
        <v>0</v>
      </c>
      <c r="BJ315" s="236"/>
      <c r="BK315" s="238"/>
      <c r="BL315" s="238"/>
      <c r="BM315" s="238"/>
      <c r="BP315" s="238"/>
      <c r="BQ315" s="238"/>
      <c r="BR315" s="238"/>
      <c r="BS315" s="238"/>
      <c r="BT315" s="238"/>
      <c r="BU315" s="238"/>
      <c r="BY315" s="238"/>
      <c r="BZ315" s="238">
        <f>MAX(BZ310,BZ311,BZ312,BZ313,BZ314)</f>
        <v>0</v>
      </c>
      <c r="CA315" s="238">
        <f>MAX(CA310,CA311,CA312,CA313,CA314)</f>
        <v>0</v>
      </c>
      <c r="CB315" s="238"/>
      <c r="CC315" s="238"/>
      <c r="CD315" s="238"/>
      <c r="CG315" s="244"/>
      <c r="CH315" s="238"/>
      <c r="CI315" s="238">
        <f>MAX(CI310,CI311,CI312,CI313,CI314)</f>
        <v>0</v>
      </c>
      <c r="CJ315" s="238">
        <f>MAX(CJ310,CJ311,CJ312,CJ313,CJ314)</f>
        <v>0</v>
      </c>
      <c r="CK315" s="238"/>
      <c r="CL315" s="238"/>
      <c r="CM315" s="238"/>
      <c r="CN315" s="238"/>
      <c r="CO315" s="238"/>
      <c r="CP315" s="238"/>
      <c r="CQ315" s="238"/>
      <c r="CR315" s="238"/>
      <c r="CS315" s="238"/>
      <c r="CT315" s="238"/>
      <c r="CU315" s="238"/>
      <c r="CV315" s="238"/>
      <c r="CW315" s="238"/>
      <c r="CX315" s="238"/>
      <c r="CY315" s="238"/>
      <c r="CZ315" s="238"/>
      <c r="DA315" s="238"/>
      <c r="DB315" s="238"/>
      <c r="DC315" s="238"/>
      <c r="DD315" s="238"/>
      <c r="DE315" s="238"/>
      <c r="DF315" s="238"/>
      <c r="DG315" s="238"/>
      <c r="DH315" s="238"/>
      <c r="DI315" s="238"/>
      <c r="DJ315" s="238"/>
      <c r="DK315" s="238"/>
      <c r="DL315" s="238"/>
      <c r="DM315" s="238"/>
      <c r="DN315" s="238"/>
      <c r="DO315" s="238"/>
      <c r="DP315" s="238"/>
      <c r="DQ315" s="238"/>
      <c r="DR315" s="238"/>
      <c r="DS315" s="238"/>
      <c r="DT315" s="238"/>
      <c r="DU315" s="238"/>
      <c r="DV315" s="238"/>
      <c r="DW315" s="238"/>
      <c r="DX315" s="238"/>
      <c r="DY315" s="238"/>
      <c r="DZ315" s="238"/>
      <c r="EA315" s="238"/>
      <c r="EB315" s="238"/>
      <c r="EC315" s="238"/>
      <c r="ED315" s="238"/>
      <c r="EE315" s="238"/>
      <c r="EF315" s="238"/>
      <c r="EG315" s="238"/>
      <c r="EH315" s="238"/>
      <c r="EI315" s="238"/>
      <c r="EJ315" s="238"/>
      <c r="EK315" s="238"/>
      <c r="EL315" s="238"/>
      <c r="EM315" s="166"/>
      <c r="EN315" s="166"/>
      <c r="EO315" s="166"/>
      <c r="EP315" s="238">
        <f>SUM(EN315-EO315)</f>
        <v>0</v>
      </c>
      <c r="EQ315" s="238"/>
      <c r="ER315" s="238"/>
      <c r="ES315" s="238"/>
      <c r="ET315" s="244"/>
      <c r="EU315" s="238"/>
      <c r="EV315" s="238"/>
      <c r="EW315" s="238"/>
      <c r="EX315" s="238"/>
      <c r="EY315" s="238"/>
      <c r="EZ315" s="238"/>
      <c r="FA315" s="238"/>
      <c r="FB315" s="238"/>
      <c r="FC315" s="238"/>
      <c r="FD315" s="238"/>
      <c r="FE315" s="238"/>
      <c r="FF315" s="238"/>
      <c r="FG315" s="238"/>
      <c r="FH315" s="238"/>
      <c r="FI315" s="238"/>
      <c r="FJ315" s="238"/>
      <c r="FK315" s="238"/>
      <c r="FL315" s="238"/>
      <c r="FM315" s="238"/>
      <c r="FN315" s="238"/>
      <c r="FO315" s="244"/>
      <c r="FP315" s="238"/>
      <c r="FQ315" s="238"/>
      <c r="FR315" s="238"/>
      <c r="FS315" s="238"/>
      <c r="FT315" s="238"/>
      <c r="FU315" s="238"/>
      <c r="FV315" s="238"/>
      <c r="FW315" s="238"/>
      <c r="FX315" s="238"/>
      <c r="FY315" s="238"/>
      <c r="FZ315" s="238"/>
      <c r="GA315" s="238"/>
      <c r="GB315" s="238"/>
      <c r="GC315" s="238"/>
      <c r="GD315" s="341"/>
      <c r="GE315" s="340"/>
      <c r="GF315" s="340"/>
      <c r="GG315" s="340"/>
      <c r="GH315" s="340"/>
      <c r="GI315" s="340"/>
      <c r="GJ315" s="340"/>
      <c r="GK315" s="340"/>
      <c r="GL315" s="340"/>
      <c r="GM315" s="340"/>
      <c r="GN315" s="340"/>
      <c r="GO315" s="340"/>
      <c r="GP315" s="340"/>
      <c r="GQ315" s="340"/>
      <c r="GR315" s="340"/>
      <c r="GS315" s="340"/>
      <c r="GT315" s="340"/>
      <c r="GU315" s="340"/>
      <c r="GV315" s="340"/>
      <c r="GW315" s="340"/>
      <c r="GX315" s="340"/>
      <c r="GY315" s="340"/>
      <c r="GZ315" s="340"/>
      <c r="HA315" s="340"/>
      <c r="HB315" s="340"/>
      <c r="HC315" s="340"/>
      <c r="HD315" s="341"/>
      <c r="HE315" s="341"/>
      <c r="HF315" s="341"/>
      <c r="HG315" s="341"/>
      <c r="HH315" s="341"/>
      <c r="HI315" s="341"/>
      <c r="HJ315" s="341"/>
      <c r="HK315" s="341"/>
      <c r="HL315" s="341"/>
      <c r="HM315" s="341"/>
      <c r="HN315" s="341"/>
      <c r="HO315" s="341"/>
      <c r="HP315" s="341"/>
      <c r="HQ315" s="341"/>
      <c r="HR315" s="341"/>
      <c r="HS315" s="238"/>
      <c r="HT315" s="238"/>
      <c r="HU315" s="238"/>
      <c r="HV315" s="238"/>
      <c r="HX315" s="238"/>
      <c r="HY315" s="238"/>
      <c r="ID315" s="238"/>
    </row>
    <row r="316" spans="1:238" s="234" customFormat="1" ht="20.100000000000001" customHeight="1">
      <c r="A316" s="235"/>
      <c r="B316" s="231"/>
      <c r="C316" s="314" t="s">
        <v>771</v>
      </c>
      <c r="D316" s="276" t="str">
        <f>REPT(Sprache!$K$58,1)</f>
        <v>Spieler</v>
      </c>
      <c r="E316" s="277" t="str">
        <f>REPT(Sprache!$K$33,1)</f>
        <v>Name / Vorname</v>
      </c>
      <c r="F316" s="278"/>
      <c r="G316" s="278"/>
      <c r="H316" s="279"/>
      <c r="I316" s="280"/>
      <c r="J316" s="281" t="str">
        <f>REPT(AM316,1)</f>
        <v/>
      </c>
      <c r="L316" s="306" t="s">
        <v>848</v>
      </c>
      <c r="M316" s="238"/>
      <c r="P316" s="306" t="s">
        <v>848</v>
      </c>
      <c r="R316" s="314" t="s">
        <v>771</v>
      </c>
      <c r="S316" s="276" t="str">
        <f>REPT(Sprache!$K$58,1)</f>
        <v>Spieler</v>
      </c>
      <c r="T316" s="277" t="str">
        <f>REPT(Sprache!$K$33,1)</f>
        <v>Name / Vorname</v>
      </c>
      <c r="U316" s="278"/>
      <c r="V316" s="278"/>
      <c r="W316" s="279"/>
      <c r="X316" s="280"/>
      <c r="Y316" s="281" t="str">
        <f>REPT(BA316,1)</f>
        <v/>
      </c>
      <c r="Z316" s="308"/>
      <c r="AD316" s="235"/>
      <c r="AE316" s="235"/>
      <c r="AF316" s="237" t="s">
        <v>771</v>
      </c>
      <c r="AG316" s="282" t="s">
        <v>877</v>
      </c>
      <c r="AH316" s="283" t="str">
        <f>IF(AH315=0,"",AH315)</f>
        <v/>
      </c>
      <c r="AI316" s="283" t="str">
        <f>IF(AI315=0,"",AI315)</f>
        <v/>
      </c>
      <c r="AJ316" s="283" t="str">
        <f>IF(AJ315=0,"",AJ315)</f>
        <v/>
      </c>
      <c r="AK316" s="283" t="str">
        <f>IF(AK315=0,"",AK315)</f>
        <v/>
      </c>
      <c r="AL316" s="283" t="str">
        <f>IF(AL315=0,"",AL315)</f>
        <v/>
      </c>
      <c r="AM316" s="258" t="str">
        <f>IF(AK307="D",IF(AF315=0,"","X"),"")</f>
        <v/>
      </c>
      <c r="AN316" s="235"/>
      <c r="AO316" s="235"/>
      <c r="AP316" s="284"/>
      <c r="AQ316" s="235"/>
      <c r="AR316" s="235"/>
      <c r="AS316" s="235"/>
      <c r="AT316" s="237" t="s">
        <v>771</v>
      </c>
      <c r="AU316" s="282" t="s">
        <v>877</v>
      </c>
      <c r="AV316" s="283" t="str">
        <f>IF(AV315=0,"",AV315)</f>
        <v/>
      </c>
      <c r="AW316" s="283" t="str">
        <f>IF(AW315=0,"",AW315)</f>
        <v/>
      </c>
      <c r="AX316" s="283" t="str">
        <f>IF(AX315=0,"",AX315)</f>
        <v/>
      </c>
      <c r="AY316" s="283" t="str">
        <f>IF(AY315=0,"",AY315)</f>
        <v/>
      </c>
      <c r="AZ316" s="421" t="str">
        <f>IF(AZ315=0,"",AZ315)</f>
        <v/>
      </c>
      <c r="BA316" s="258" t="str">
        <f>IF(AK307="D",IF(AT315=0,"","X"),"")</f>
        <v/>
      </c>
      <c r="BJ316" s="236"/>
      <c r="BK316" s="238"/>
      <c r="BL316" s="244">
        <f>IF(BM316=0,0,1)</f>
        <v>0</v>
      </c>
      <c r="BM316" s="244">
        <f>SUM(BM310,BM311,BM312,BM313,BM314,HH312,AN317,AN318,BB317,BB318)</f>
        <v>0</v>
      </c>
      <c r="BN316" s="166">
        <f t="shared" ref="BN316:BO316" si="787">SUM(BN310,BN311,BN312,BN313,BN314)</f>
        <v>0</v>
      </c>
      <c r="BO316" s="166">
        <f t="shared" si="787"/>
        <v>0</v>
      </c>
      <c r="BP316" s="244"/>
      <c r="BQ316" s="238"/>
      <c r="BR316" s="238"/>
      <c r="BS316" s="238"/>
      <c r="BT316" s="238"/>
      <c r="BU316" s="238"/>
      <c r="BV316" s="238"/>
      <c r="BW316" s="238"/>
      <c r="BX316" s="236"/>
      <c r="BY316" s="238"/>
      <c r="BZ316" s="238"/>
      <c r="CA316" s="238"/>
      <c r="CB316" s="238"/>
      <c r="CC316" s="238"/>
      <c r="CD316" s="238"/>
      <c r="CE316" s="238"/>
      <c r="CF316" s="238"/>
      <c r="CG316" s="244"/>
      <c r="CH316" s="238"/>
      <c r="CI316" s="238"/>
      <c r="CJ316" s="238"/>
      <c r="CK316" s="238"/>
      <c r="CL316" s="238"/>
      <c r="CM316" s="238"/>
      <c r="CN316" s="238"/>
      <c r="CO316" s="238"/>
      <c r="CP316" s="238"/>
      <c r="CQ316" s="238"/>
      <c r="CR316" s="238"/>
      <c r="CS316" s="238"/>
      <c r="CT316" s="238"/>
      <c r="CU316" s="238"/>
      <c r="CV316" s="238"/>
      <c r="CW316" s="238"/>
      <c r="CX316" s="238"/>
      <c r="CY316" s="238"/>
      <c r="CZ316" s="238"/>
      <c r="DA316" s="238"/>
      <c r="DB316" s="238"/>
      <c r="DC316" s="238"/>
      <c r="DD316" s="238"/>
      <c r="DE316" s="238"/>
      <c r="DF316" s="238"/>
      <c r="DG316" s="238"/>
      <c r="DH316" s="238"/>
      <c r="DI316" s="238"/>
      <c r="DJ316" s="238"/>
      <c r="DK316" s="238"/>
      <c r="DL316" s="238"/>
      <c r="DM316" s="238"/>
      <c r="DN316" s="238"/>
      <c r="DO316" s="238"/>
      <c r="DP316" s="238"/>
      <c r="DQ316" s="238"/>
      <c r="DR316" s="238"/>
      <c r="DS316" s="238"/>
      <c r="DT316" s="238"/>
      <c r="DU316" s="238"/>
      <c r="DV316" s="238"/>
      <c r="DW316" s="238"/>
      <c r="DX316" s="238"/>
      <c r="DY316" s="238"/>
      <c r="DZ316" s="238"/>
      <c r="EA316" s="238"/>
      <c r="EB316" s="238"/>
      <c r="EC316" s="238"/>
      <c r="ED316" s="238"/>
      <c r="EE316" s="238"/>
      <c r="EF316" s="238"/>
      <c r="EG316" s="238"/>
      <c r="EH316" s="238"/>
      <c r="EI316" s="238"/>
      <c r="EJ316" s="238"/>
      <c r="EK316" s="238"/>
      <c r="EL316" s="238"/>
      <c r="EM316" s="238"/>
      <c r="EN316" s="238"/>
      <c r="EO316" s="238"/>
      <c r="EP316" s="238"/>
      <c r="EQ316" s="238"/>
      <c r="ER316" s="238"/>
      <c r="ES316" s="238"/>
      <c r="ET316" s="244"/>
      <c r="EU316" s="238"/>
      <c r="EV316" s="238"/>
      <c r="EW316" s="238"/>
      <c r="EX316" s="238"/>
      <c r="EY316" s="238"/>
      <c r="EZ316" s="238"/>
      <c r="FA316" s="238"/>
      <c r="FB316" s="238"/>
      <c r="FC316" s="238"/>
      <c r="FD316" s="238"/>
      <c r="FE316" s="238"/>
      <c r="FF316" s="238"/>
      <c r="FG316" s="238"/>
      <c r="FH316" s="238"/>
      <c r="FI316" s="238"/>
      <c r="FJ316" s="238"/>
      <c r="FK316" s="238"/>
      <c r="FL316" s="238"/>
      <c r="FM316" s="238"/>
      <c r="FN316" s="238"/>
      <c r="FO316" s="244"/>
      <c r="FP316" s="238"/>
      <c r="FQ316" s="238"/>
      <c r="FR316" s="238"/>
      <c r="FS316" s="238"/>
      <c r="FT316" s="238"/>
      <c r="FU316" s="238"/>
      <c r="FV316" s="238"/>
      <c r="FW316" s="238"/>
      <c r="FX316" s="238"/>
      <c r="FY316" s="238"/>
      <c r="FZ316" s="238"/>
      <c r="GA316" s="238"/>
      <c r="GB316" s="238"/>
      <c r="GC316" s="238"/>
      <c r="GD316" s="341"/>
      <c r="GE316" s="340"/>
      <c r="GF316" s="340"/>
      <c r="GG316" s="340"/>
      <c r="GH316" s="340"/>
      <c r="GI316" s="340"/>
      <c r="GJ316" s="340"/>
      <c r="GK316" s="340"/>
      <c r="GL316" s="340"/>
      <c r="GM316" s="340"/>
      <c r="GN316" s="340"/>
      <c r="GO316" s="340"/>
      <c r="GP316" s="340"/>
      <c r="GQ316" s="340"/>
      <c r="GR316" s="340"/>
      <c r="GS316" s="340"/>
      <c r="GT316" s="340"/>
      <c r="GU316" s="340"/>
      <c r="GV316" s="340"/>
      <c r="GW316" s="340"/>
      <c r="GX316" s="340"/>
      <c r="GY316" s="340"/>
      <c r="GZ316" s="340"/>
      <c r="HA316" s="340"/>
      <c r="HB316" s="340"/>
      <c r="HC316" s="340"/>
      <c r="HD316" s="341"/>
      <c r="HE316" s="341"/>
      <c r="HF316" s="341"/>
      <c r="HG316" s="341"/>
      <c r="HH316" s="341"/>
      <c r="HI316" s="341"/>
      <c r="HJ316" s="341"/>
      <c r="HK316" s="341"/>
      <c r="HL316" s="341"/>
      <c r="HM316" s="341"/>
      <c r="HN316" s="341"/>
      <c r="HO316" s="341"/>
      <c r="HP316" s="341"/>
      <c r="HQ316" s="341"/>
      <c r="HR316" s="341"/>
      <c r="HS316" s="238"/>
      <c r="HT316" s="238"/>
      <c r="HU316" s="238"/>
      <c r="HV316" s="238"/>
      <c r="HX316" s="238"/>
      <c r="HY316" s="238"/>
      <c r="ID316" s="238"/>
    </row>
    <row r="317" spans="1:238" s="234" customFormat="1" ht="20.100000000000001" customHeight="1">
      <c r="A317" s="235"/>
      <c r="B317" s="231"/>
      <c r="C317" s="285" t="str">
        <f>IF(AF317="","",SUM(AF317))</f>
        <v/>
      </c>
      <c r="D317" s="286" t="str">
        <f>IF(AK307="D",1,"")</f>
        <v/>
      </c>
      <c r="E317" s="287" t="str">
        <f>IF(C317="","",VLOOKUP(C317,Licenses!B:C,2,FALSE))</f>
        <v/>
      </c>
      <c r="F317" s="288"/>
      <c r="G317" s="288"/>
      <c r="H317" s="289"/>
      <c r="I317" s="169"/>
      <c r="J317" s="270" t="str">
        <f>REPT(AM317,1)</f>
        <v/>
      </c>
      <c r="L317" s="290" t="str">
        <f>IF(AK307="D",AK317,IF(AK316="","",AK316))</f>
        <v/>
      </c>
      <c r="M317" s="311"/>
      <c r="P317" s="290" t="str">
        <f>IF(AK307="D",AY317,IF(AY316="","",AY316))</f>
        <v/>
      </c>
      <c r="R317" s="291" t="str">
        <f>IF(AT317="","",SUM(AT317))</f>
        <v/>
      </c>
      <c r="S317" s="286" t="str">
        <f>IF(AK307="D",1,"")</f>
        <v/>
      </c>
      <c r="T317" s="292" t="str">
        <f>IF(R317="","",VLOOKUP(R317,Licenses!B:C,2,FALSE))</f>
        <v/>
      </c>
      <c r="U317" s="293"/>
      <c r="V317" s="293"/>
      <c r="W317" s="294"/>
      <c r="X317" s="169"/>
      <c r="Y317" s="270" t="str">
        <f>REPT(BA317,1)</f>
        <v/>
      </c>
      <c r="Z317" s="308"/>
      <c r="AD317" s="235"/>
      <c r="AE317" s="235"/>
      <c r="AF317" s="256" t="str">
        <f>IF(AM307="","",SUM(AM307))</f>
        <v/>
      </c>
      <c r="AG317" s="237"/>
      <c r="AH317" s="256"/>
      <c r="AI317" s="256"/>
      <c r="AJ317" s="256"/>
      <c r="AK317" s="256" t="str">
        <f>IF(BZ315&gt;1,BZ315,"")</f>
        <v/>
      </c>
      <c r="AL317" s="257">
        <f>IF(AK307="D",SUM(I317),0)</f>
        <v>0</v>
      </c>
      <c r="AM317" s="258" t="str">
        <f>IF(AM315=0,IF(AL317&lt;6,"","X"),"X")</f>
        <v/>
      </c>
      <c r="AN317" s="347" t="str">
        <f>IF(AM315=0,IF(AL317&lt;6,"",1),1)</f>
        <v/>
      </c>
      <c r="AO317" s="235"/>
      <c r="AP317" s="236"/>
      <c r="AQ317" s="235"/>
      <c r="AR317" s="235"/>
      <c r="AS317" s="235"/>
      <c r="AT317" s="256" t="str">
        <f>IF(BA307="","",SUM(BA307))</f>
        <v/>
      </c>
      <c r="AU317" s="237"/>
      <c r="AV317" s="256"/>
      <c r="AW317" s="256"/>
      <c r="AX317" s="256"/>
      <c r="AY317" s="256" t="str">
        <f>IF(CI315&gt;1,CI315,"")</f>
        <v/>
      </c>
      <c r="AZ317" s="257">
        <f>IF(AK307="D",SUM(X317),0)</f>
        <v>0</v>
      </c>
      <c r="BA317" s="258" t="str">
        <f>IF(BA315=0,IF(AZ317&lt;6,"","X"),"X")</f>
        <v/>
      </c>
      <c r="BB317" s="347" t="str">
        <f>IF(BA315=0,IF(AZ317&lt;6,"",1),1)</f>
        <v/>
      </c>
      <c r="BC317" s="236"/>
      <c r="BD317" s="236"/>
      <c r="BE317" s="236"/>
      <c r="BF317" s="236"/>
      <c r="BG317" s="236"/>
      <c r="BH317" s="236"/>
      <c r="BI317" s="236"/>
      <c r="BJ317" s="236"/>
      <c r="BK317" s="238"/>
      <c r="BL317" s="238"/>
      <c r="BM317" s="295"/>
      <c r="BN317" s="295"/>
      <c r="BO317" s="295"/>
      <c r="BP317" s="295"/>
      <c r="BQ317" s="295"/>
      <c r="BR317" s="295"/>
      <c r="BS317" s="295"/>
      <c r="BT317" s="295"/>
      <c r="BU317" s="295"/>
      <c r="BV317" s="295"/>
      <c r="BW317" s="295"/>
      <c r="BX317" s="236"/>
      <c r="BY317" s="295"/>
      <c r="BZ317" s="295"/>
      <c r="CA317" s="295"/>
      <c r="CB317" s="295"/>
      <c r="CC317" s="295"/>
      <c r="CD317" s="295"/>
      <c r="CE317" s="295"/>
      <c r="CF317" s="295"/>
      <c r="CG317" s="296"/>
      <c r="CH317" s="295"/>
      <c r="CI317" s="295"/>
      <c r="CJ317" s="295"/>
      <c r="CK317" s="238"/>
      <c r="CL317" s="238"/>
      <c r="CM317" s="238"/>
      <c r="CN317" s="238"/>
      <c r="CO317" s="238"/>
      <c r="CP317" s="238"/>
      <c r="CQ317" s="238"/>
      <c r="CR317" s="238"/>
      <c r="CS317" s="238"/>
      <c r="CT317" s="238"/>
      <c r="CU317" s="238"/>
      <c r="CV317" s="238"/>
      <c r="CW317" s="238"/>
      <c r="CX317" s="238"/>
      <c r="CY317" s="238"/>
      <c r="CZ317" s="238"/>
      <c r="DA317" s="238"/>
      <c r="DB317" s="238"/>
      <c r="DC317" s="238"/>
      <c r="DD317" s="238"/>
      <c r="DE317" s="238"/>
      <c r="DF317" s="238"/>
      <c r="DG317" s="238"/>
      <c r="DH317" s="238"/>
      <c r="DI317" s="238"/>
      <c r="DJ317" s="238"/>
      <c r="DK317" s="238"/>
      <c r="DL317" s="238"/>
      <c r="DM317" s="238"/>
      <c r="DN317" s="238"/>
      <c r="DO317" s="238"/>
      <c r="DP317" s="238"/>
      <c r="DQ317" s="238"/>
      <c r="DR317" s="238"/>
      <c r="DS317" s="238"/>
      <c r="DT317" s="238"/>
      <c r="DU317" s="238"/>
      <c r="DV317" s="238"/>
      <c r="DW317" s="238"/>
      <c r="DX317" s="238"/>
      <c r="DY317" s="238"/>
      <c r="DZ317" s="238"/>
      <c r="EA317" s="238"/>
      <c r="EB317" s="238"/>
      <c r="EC317" s="238"/>
      <c r="ED317" s="238"/>
      <c r="EE317" s="238"/>
      <c r="EF317" s="238"/>
      <c r="EG317" s="238"/>
      <c r="EH317" s="238"/>
      <c r="EI317" s="238"/>
      <c r="EJ317" s="238"/>
      <c r="EK317" s="238"/>
      <c r="EL317" s="238"/>
      <c r="EM317" s="238"/>
      <c r="EN317" s="238"/>
      <c r="EO317" s="238"/>
      <c r="EP317" s="238"/>
      <c r="EQ317" s="238"/>
      <c r="ER317" s="238"/>
      <c r="ES317" s="238"/>
      <c r="ET317" s="244"/>
      <c r="EU317" s="238"/>
      <c r="EV317" s="238"/>
      <c r="EW317" s="238"/>
      <c r="EX317" s="238"/>
      <c r="EY317" s="238"/>
      <c r="EZ317" s="238"/>
      <c r="FA317" s="238"/>
      <c r="FB317" s="238"/>
      <c r="FC317" s="238"/>
      <c r="FD317" s="238"/>
      <c r="FE317" s="238"/>
      <c r="FF317" s="238"/>
      <c r="FG317" s="238"/>
      <c r="FH317" s="238"/>
      <c r="FI317" s="238"/>
      <c r="FJ317" s="238"/>
      <c r="FK317" s="238"/>
      <c r="FL317" s="238"/>
      <c r="FM317" s="238"/>
      <c r="FN317" s="238"/>
      <c r="FO317" s="244"/>
      <c r="FP317" s="238"/>
      <c r="FQ317" s="238"/>
      <c r="FR317" s="238"/>
      <c r="FS317" s="238"/>
      <c r="FT317" s="238"/>
      <c r="FU317" s="238"/>
      <c r="FV317" s="238"/>
      <c r="FW317" s="238"/>
      <c r="FX317" s="238"/>
      <c r="FY317" s="238"/>
      <c r="FZ317" s="238"/>
      <c r="GA317" s="238"/>
      <c r="GB317" s="238"/>
      <c r="GC317" s="238"/>
      <c r="GD317" s="341"/>
      <c r="GE317" s="340"/>
      <c r="GF317" s="340"/>
      <c r="GG317" s="340"/>
      <c r="GH317" s="340"/>
      <c r="GI317" s="340"/>
      <c r="GJ317" s="340"/>
      <c r="GK317" s="340"/>
      <c r="GL317" s="340"/>
      <c r="GM317" s="340"/>
      <c r="GN317" s="340"/>
      <c r="GO317" s="340"/>
      <c r="GP317" s="340"/>
      <c r="GQ317" s="340"/>
      <c r="GR317" s="340"/>
      <c r="GS317" s="340"/>
      <c r="GT317" s="340"/>
      <c r="GU317" s="340"/>
      <c r="GV317" s="340"/>
      <c r="GW317" s="340"/>
      <c r="GX317" s="340"/>
      <c r="GY317" s="340"/>
      <c r="GZ317" s="340"/>
      <c r="HA317" s="340"/>
      <c r="HB317" s="340"/>
      <c r="HC317" s="340"/>
      <c r="HD317" s="341"/>
      <c r="HE317" s="341"/>
      <c r="HF317" s="341"/>
      <c r="HG317" s="341"/>
      <c r="HH317" s="341"/>
      <c r="HI317" s="341"/>
      <c r="HJ317" s="341"/>
      <c r="HK317" s="341"/>
      <c r="HL317" s="341"/>
      <c r="HM317" s="341"/>
      <c r="HN317" s="341"/>
      <c r="HO317" s="341"/>
      <c r="HP317" s="341"/>
      <c r="HQ317" s="341"/>
      <c r="HR317" s="341"/>
      <c r="HS317" s="238"/>
      <c r="HT317" s="238"/>
      <c r="HU317" s="238"/>
      <c r="HV317" s="238"/>
      <c r="HX317" s="238"/>
      <c r="HY317" s="238"/>
      <c r="ID317" s="238"/>
    </row>
    <row r="318" spans="1:238" s="234" customFormat="1" ht="20.100000000000001" customHeight="1">
      <c r="A318" s="235"/>
      <c r="B318" s="231"/>
      <c r="C318" s="336" t="str">
        <f>IF(AF318="","",SUM(AF318))</f>
        <v/>
      </c>
      <c r="D318" s="333" t="str">
        <f>IF(AK307="D",2,"")</f>
        <v/>
      </c>
      <c r="E318" s="337" t="str">
        <f>IF(C318="","",VLOOKUP(C318,Licenses!B:C,2,FALSE))</f>
        <v/>
      </c>
      <c r="F318" s="290"/>
      <c r="G318" s="290"/>
      <c r="H318" s="338"/>
      <c r="I318" s="331"/>
      <c r="J318" s="272" t="str">
        <f>REPT(AM318,1)</f>
        <v/>
      </c>
      <c r="L318" s="315" t="str">
        <f>IF(AK307="D",AK318,"")</f>
        <v/>
      </c>
      <c r="M318" s="311"/>
      <c r="P318" s="315" t="str">
        <f>IF(AK307="D",AY318,"")</f>
        <v/>
      </c>
      <c r="R318" s="332" t="str">
        <f>IF(AT318="","",SUM(AT318))</f>
        <v/>
      </c>
      <c r="S318" s="333" t="str">
        <f>IF(AK307="D",2,"")</f>
        <v/>
      </c>
      <c r="T318" s="334" t="str">
        <f>IF(R318="","",VLOOKUP(R318,Licenses!B:C,2,FALSE))</f>
        <v/>
      </c>
      <c r="U318" s="297"/>
      <c r="V318" s="297"/>
      <c r="W318" s="335"/>
      <c r="X318" s="331"/>
      <c r="Y318" s="272" t="str">
        <f>REPT(BA318,1)</f>
        <v/>
      </c>
      <c r="Z318" s="308"/>
      <c r="AA318" s="238">
        <f>IF(AK307="D",0,1)</f>
        <v>1</v>
      </c>
      <c r="AD318" s="235"/>
      <c r="AE318" s="235"/>
      <c r="AF318" s="256" t="str">
        <f>IF(AM308="","",SUM(AM308))</f>
        <v/>
      </c>
      <c r="AG318" s="237"/>
      <c r="AH318" s="256"/>
      <c r="AI318" s="256"/>
      <c r="AJ318" s="256"/>
      <c r="AK318" s="256" t="str">
        <f>IF(CA315&gt;1,CA315,"")</f>
        <v/>
      </c>
      <c r="AL318" s="257">
        <f>IF(AK307="D",SUM(I318),0)</f>
        <v>0</v>
      </c>
      <c r="AM318" s="258" t="str">
        <f>IF(AM315=0,IF(AL318&lt;6,"","X"),"X")</f>
        <v/>
      </c>
      <c r="AN318" s="347" t="str">
        <f>IF(AM315=0,IF(AL318&lt;6,"",1),1)</f>
        <v/>
      </c>
      <c r="AO318" s="235"/>
      <c r="AP318" s="236"/>
      <c r="AQ318" s="235"/>
      <c r="AR318" s="235"/>
      <c r="AS318" s="235"/>
      <c r="AT318" s="256" t="str">
        <f>IF(BA308="","",SUM(BA308))</f>
        <v/>
      </c>
      <c r="AU318" s="237"/>
      <c r="AV318" s="256"/>
      <c r="AW318" s="256"/>
      <c r="AX318" s="256"/>
      <c r="AY318" s="256" t="str">
        <f>IF(CJ315&gt;1,CJ315,"")</f>
        <v/>
      </c>
      <c r="AZ318" s="257">
        <f>IF(AK307="D",SUM(X318),0)</f>
        <v>0</v>
      </c>
      <c r="BA318" s="258" t="str">
        <f>IF(BA315=0,IF(AZ318&lt;6,"","X"),"X")</f>
        <v/>
      </c>
      <c r="BB318" s="347" t="str">
        <f>IF(BA315=0,IF(AZ318&lt;6,"",1),1)</f>
        <v/>
      </c>
      <c r="BC318" s="236"/>
      <c r="BD318" s="236"/>
      <c r="BE318" s="236"/>
      <c r="BF318" s="236"/>
      <c r="BG318" s="236"/>
      <c r="BH318" s="236"/>
      <c r="BI318" s="236"/>
      <c r="BJ318" s="236"/>
      <c r="BK318" s="238"/>
      <c r="BM318" s="238"/>
      <c r="BN318" s="238"/>
      <c r="BO318" s="238"/>
      <c r="BP318" s="238"/>
      <c r="BQ318" s="238" t="s">
        <v>899</v>
      </c>
      <c r="BR318" s="238"/>
      <c r="BS318" s="238"/>
      <c r="BT318" s="238"/>
      <c r="BU318" s="238"/>
      <c r="BV318" s="238"/>
      <c r="BW318" s="238"/>
      <c r="BX318" s="236"/>
      <c r="BY318" s="238"/>
      <c r="BZ318" s="238"/>
      <c r="CA318" s="238"/>
      <c r="CB318" s="238"/>
      <c r="CC318" s="238"/>
      <c r="CD318" s="238" t="s">
        <v>899</v>
      </c>
      <c r="CE318" s="238"/>
      <c r="CF318" s="238"/>
      <c r="CG318" s="244"/>
      <c r="CH318" s="238"/>
      <c r="CI318" s="238"/>
      <c r="CJ318" s="238"/>
      <c r="CK318" s="238"/>
      <c r="CL318" s="238"/>
      <c r="CM318" s="238"/>
      <c r="CN318" s="238"/>
      <c r="CO318" s="238"/>
      <c r="CP318" s="238"/>
      <c r="CQ318" s="238"/>
      <c r="CR318" s="238"/>
      <c r="CS318" s="238"/>
      <c r="CT318" s="238"/>
      <c r="CU318" s="238"/>
      <c r="CV318" s="238"/>
      <c r="CW318" s="238"/>
      <c r="CX318" s="238"/>
      <c r="CY318" s="238"/>
      <c r="CZ318" s="238"/>
      <c r="DA318" s="238"/>
      <c r="DB318" s="238"/>
      <c r="DC318" s="238"/>
      <c r="DD318" s="238"/>
      <c r="DE318" s="238"/>
      <c r="DF318" s="238"/>
      <c r="DG318" s="238"/>
      <c r="DH318" s="238"/>
      <c r="DI318" s="238"/>
      <c r="DJ318" s="238"/>
      <c r="DK318" s="238"/>
      <c r="DL318" s="238"/>
      <c r="DM318" s="238"/>
      <c r="DN318" s="238"/>
      <c r="DO318" s="238"/>
      <c r="DP318" s="238"/>
      <c r="DQ318" s="238"/>
      <c r="DR318" s="238"/>
      <c r="DS318" s="238"/>
      <c r="DT318" s="238"/>
      <c r="DU318" s="238"/>
      <c r="DV318" s="238"/>
      <c r="DW318" s="238"/>
      <c r="DX318" s="238"/>
      <c r="DY318" s="238"/>
      <c r="DZ318" s="238"/>
      <c r="EA318" s="238"/>
      <c r="EB318" s="238"/>
      <c r="EC318" s="238"/>
      <c r="ED318" s="238"/>
      <c r="EE318" s="238"/>
      <c r="EF318" s="238"/>
      <c r="EG318" s="238"/>
      <c r="EH318" s="238"/>
      <c r="EI318" s="238"/>
      <c r="EJ318" s="238"/>
      <c r="EK318" s="238"/>
      <c r="EL318" s="238"/>
      <c r="EM318" s="238"/>
      <c r="EN318" s="238"/>
      <c r="EO318" s="238"/>
      <c r="EP318" s="238"/>
      <c r="EQ318" s="238"/>
      <c r="ER318" s="238"/>
      <c r="ES318" s="238"/>
      <c r="ET318" s="244"/>
      <c r="EU318" s="238"/>
      <c r="EV318" s="238"/>
      <c r="EW318" s="238"/>
      <c r="EX318" s="238"/>
      <c r="EY318" s="238"/>
      <c r="EZ318" s="238"/>
      <c r="FA318" s="238"/>
      <c r="FB318" s="238"/>
      <c r="FC318" s="238"/>
      <c r="FD318" s="238"/>
      <c r="FE318" s="238"/>
      <c r="FF318" s="238"/>
      <c r="FG318" s="238"/>
      <c r="FH318" s="238"/>
      <c r="FI318" s="238"/>
      <c r="FJ318" s="238"/>
      <c r="FK318" s="238"/>
      <c r="FL318" s="238"/>
      <c r="FM318" s="238"/>
      <c r="FN318" s="238"/>
      <c r="FO318" s="244"/>
      <c r="FP318" s="238"/>
      <c r="FQ318" s="238"/>
      <c r="FR318" s="238"/>
      <c r="FS318" s="238"/>
      <c r="FT318" s="238"/>
      <c r="FU318" s="238"/>
      <c r="FV318" s="238"/>
      <c r="FW318" s="238"/>
      <c r="FX318" s="238"/>
      <c r="FY318" s="238"/>
      <c r="FZ318" s="238"/>
      <c r="GA318" s="238"/>
      <c r="GB318" s="238"/>
      <c r="GC318" s="238"/>
      <c r="GD318" s="341"/>
      <c r="GE318" s="340"/>
      <c r="GF318" s="340"/>
      <c r="GG318" s="340"/>
      <c r="GH318" s="340"/>
      <c r="GI318" s="340"/>
      <c r="GJ318" s="340"/>
      <c r="GK318" s="340"/>
      <c r="GL318" s="340"/>
      <c r="GM318" s="340"/>
      <c r="GN318" s="340"/>
      <c r="GO318" s="340"/>
      <c r="GP318" s="340"/>
      <c r="GQ318" s="340"/>
      <c r="GR318" s="340"/>
      <c r="GS318" s="340"/>
      <c r="GT318" s="340"/>
      <c r="GU318" s="340"/>
      <c r="GV318" s="340"/>
      <c r="GW318" s="340"/>
      <c r="GX318" s="340"/>
      <c r="GY318" s="340"/>
      <c r="GZ318" s="340"/>
      <c r="HA318" s="340"/>
      <c r="HB318" s="340"/>
      <c r="HC318" s="340"/>
      <c r="HD318" s="341"/>
      <c r="HE318" s="341"/>
      <c r="HF318" s="341"/>
      <c r="HG318" s="341"/>
      <c r="HH318" s="341"/>
      <c r="HI318" s="341"/>
      <c r="HJ318" s="341"/>
      <c r="HK318" s="341"/>
      <c r="HL318" s="341"/>
      <c r="HM318" s="341"/>
      <c r="HN318" s="341"/>
      <c r="HO318" s="341"/>
      <c r="HP318" s="341"/>
      <c r="HQ318" s="341"/>
      <c r="HR318" s="341"/>
      <c r="HS318" s="238"/>
      <c r="HT318" s="238"/>
      <c r="HU318" s="238"/>
      <c r="HV318" s="238"/>
      <c r="HX318" s="238"/>
      <c r="HY318" s="238"/>
      <c r="ID318" s="238"/>
    </row>
    <row r="319" spans="1:238" s="234" customFormat="1" ht="20.100000000000001" customHeight="1">
      <c r="A319" s="235"/>
      <c r="B319" s="316"/>
      <c r="C319" s="317"/>
      <c r="D319" s="317"/>
      <c r="E319" s="318"/>
      <c r="F319" s="318"/>
      <c r="G319" s="318"/>
      <c r="H319" s="318"/>
      <c r="I319" s="318"/>
      <c r="J319" s="318"/>
      <c r="K319" s="319"/>
      <c r="L319" s="319"/>
      <c r="M319" s="319"/>
      <c r="N319" s="319"/>
      <c r="O319" s="319"/>
      <c r="P319" s="320"/>
      <c r="Q319" s="319"/>
      <c r="R319" s="317"/>
      <c r="S319" s="318"/>
      <c r="T319" s="318"/>
      <c r="U319" s="318"/>
      <c r="V319" s="318"/>
      <c r="W319" s="318"/>
      <c r="X319" s="318"/>
      <c r="Y319" s="318"/>
      <c r="Z319" s="321"/>
      <c r="AD319" s="235"/>
      <c r="AE319" s="237"/>
      <c r="AF319" s="237"/>
      <c r="AG319" s="237"/>
      <c r="AH319" s="237" t="s">
        <v>921</v>
      </c>
      <c r="AI319" s="237" t="s">
        <v>922</v>
      </c>
      <c r="AJ319" s="298" t="str">
        <f>IF(BS319="","",SUM(AM319)*3)</f>
        <v/>
      </c>
      <c r="AK319" s="299" t="s">
        <v>923</v>
      </c>
      <c r="AL319" s="256"/>
      <c r="AM319" s="256" t="str">
        <f>IF(BS319="","",SUM(BS319))</f>
        <v/>
      </c>
      <c r="AN319" s="235"/>
      <c r="AO319" s="235"/>
      <c r="AP319" s="236"/>
      <c r="AQ319" s="235"/>
      <c r="AR319" s="235"/>
      <c r="AS319" s="237"/>
      <c r="AT319" s="237"/>
      <c r="AU319" s="237"/>
      <c r="AV319" s="237" t="s">
        <v>921</v>
      </c>
      <c r="AW319" s="237" t="s">
        <v>922</v>
      </c>
      <c r="AX319" s="298" t="str">
        <f>IF(BS319="","",SUM(BA319)*3)</f>
        <v/>
      </c>
      <c r="AY319" s="299" t="s">
        <v>923</v>
      </c>
      <c r="AZ319" s="256"/>
      <c r="BA319" s="256" t="str">
        <f>IF(BS319="","",SUM(CF319))</f>
        <v/>
      </c>
      <c r="BB319" s="236"/>
      <c r="BC319" s="236"/>
      <c r="BD319" s="236"/>
      <c r="BE319" s="236"/>
      <c r="BF319" s="236"/>
      <c r="BG319" s="236"/>
      <c r="BH319" s="236"/>
      <c r="BI319" s="236"/>
      <c r="BJ319" s="236"/>
      <c r="BK319" s="373">
        <f>IF(AL307=BQ319,1,0)</f>
        <v>0</v>
      </c>
      <c r="BL319" s="373">
        <f>IF(AL307=CD319,1,0)</f>
        <v>0</v>
      </c>
      <c r="BM319" s="256">
        <f>IF(BN319&gt;2,1,0)</f>
        <v>0</v>
      </c>
      <c r="BN319" s="256">
        <f>COUNT(AH310,AH311,AH312)</f>
        <v>0</v>
      </c>
      <c r="BO319" s="256" t="str">
        <f>IF(AH316="","",SUM(AH316/AJ316))</f>
        <v/>
      </c>
      <c r="BP319" s="256"/>
      <c r="BQ319" s="300">
        <f>COUNT(AK310,AK311,AK312,AK313,AK314)</f>
        <v>0</v>
      </c>
      <c r="BR319" s="256"/>
      <c r="BS319" s="256" t="str">
        <f>IF(BL316=0,IF(AJ311="","",BO319),"")</f>
        <v/>
      </c>
      <c r="BT319" s="236"/>
      <c r="BU319" s="236"/>
      <c r="BV319" s="236"/>
      <c r="BW319" s="236"/>
      <c r="BX319" s="236"/>
      <c r="BY319" s="256">
        <f>IF(CD319&gt;2,1,0)</f>
        <v>0</v>
      </c>
      <c r="BZ319" s="256">
        <f>IF(CA319&gt;2,1,0)</f>
        <v>0</v>
      </c>
      <c r="CA319" s="256">
        <f>COUNT(AV310,AV311,AV312)</f>
        <v>0</v>
      </c>
      <c r="CB319" s="256" t="str">
        <f>IF(AV316="","",SUM(AV316/AX316))</f>
        <v/>
      </c>
      <c r="CC319" s="256"/>
      <c r="CD319" s="300">
        <f>COUNT(AY310,AY311,AY312,AY313,AY314)</f>
        <v>0</v>
      </c>
      <c r="CE319" s="256"/>
      <c r="CF319" s="256" t="str">
        <f>IF(BL316=0,IF(AX311="","",CB319),"")</f>
        <v/>
      </c>
      <c r="CG319" s="236"/>
      <c r="CH319" s="188"/>
      <c r="CI319" s="188"/>
      <c r="CJ319" s="196"/>
      <c r="CK319" s="196"/>
      <c r="CL319" s="196"/>
      <c r="CM319" s="196"/>
      <c r="CN319" s="196"/>
      <c r="CO319" s="196"/>
      <c r="CP319" s="196"/>
      <c r="CQ319" s="196"/>
      <c r="CR319" s="196"/>
      <c r="CS319" s="196"/>
      <c r="CT319" s="196"/>
      <c r="CU319" s="196"/>
      <c r="CV319" s="196"/>
      <c r="CW319" s="196"/>
      <c r="CX319" s="196"/>
      <c r="CY319" s="196"/>
      <c r="CZ319" s="196"/>
      <c r="DA319" s="196"/>
      <c r="DB319" s="196"/>
      <c r="DC319" s="196"/>
      <c r="DD319" s="196"/>
      <c r="DE319" s="196"/>
      <c r="DF319" s="196"/>
      <c r="DG319" s="196"/>
      <c r="DH319" s="196"/>
      <c r="DI319" s="196"/>
      <c r="DJ319" s="196"/>
      <c r="DK319" s="196"/>
      <c r="DL319" s="196"/>
      <c r="DM319" s="196"/>
      <c r="DN319" s="196"/>
      <c r="DO319" s="196"/>
      <c r="DP319" s="196"/>
      <c r="DQ319" s="196"/>
      <c r="DR319" s="196"/>
      <c r="DS319" s="196"/>
      <c r="DT319" s="196"/>
      <c r="DU319" s="196"/>
      <c r="DV319" s="196"/>
      <c r="DW319" s="196"/>
      <c r="DX319" s="196"/>
      <c r="DY319" s="196"/>
      <c r="DZ319" s="196"/>
      <c r="EA319" s="196"/>
      <c r="EB319" s="196"/>
      <c r="EC319" s="196"/>
      <c r="ED319" s="196"/>
      <c r="EE319" s="196"/>
      <c r="EF319" s="196"/>
      <c r="EG319" s="196"/>
      <c r="EH319" s="196"/>
      <c r="EI319" s="196"/>
      <c r="EJ319" s="196"/>
      <c r="EK319" s="196"/>
      <c r="EL319" s="196"/>
      <c r="EM319" s="196"/>
      <c r="EN319" s="196"/>
      <c r="EO319" s="196"/>
      <c r="EP319" s="196"/>
      <c r="EQ319" s="196"/>
      <c r="ER319" s="196"/>
      <c r="ES319" s="196"/>
      <c r="ET319" s="301"/>
      <c r="EU319" s="196"/>
      <c r="EV319" s="196"/>
      <c r="EW319" s="196"/>
      <c r="EX319" s="196"/>
      <c r="EY319" s="196"/>
      <c r="EZ319" s="196"/>
      <c r="FA319" s="196"/>
      <c r="FB319" s="196"/>
      <c r="FC319" s="196"/>
      <c r="FD319" s="196"/>
      <c r="FE319" s="196"/>
      <c r="FF319" s="196"/>
      <c r="FG319" s="196"/>
      <c r="FH319" s="196"/>
      <c r="FI319" s="196"/>
      <c r="FJ319" s="196"/>
      <c r="FK319" s="196"/>
      <c r="FL319" s="196"/>
      <c r="FM319" s="196"/>
      <c r="FN319" s="196"/>
      <c r="FO319" s="301"/>
      <c r="FP319" s="196"/>
      <c r="FQ319" s="196"/>
      <c r="FR319" s="196"/>
      <c r="FS319" s="196"/>
      <c r="FT319" s="196"/>
      <c r="FU319" s="196"/>
      <c r="FV319" s="196"/>
      <c r="FW319" s="196"/>
      <c r="FX319" s="196"/>
      <c r="FY319" s="196"/>
      <c r="FZ319" s="196"/>
      <c r="GA319" s="196"/>
      <c r="GB319" s="238"/>
      <c r="GC319" s="238"/>
      <c r="GD319" s="341"/>
      <c r="GE319" s="341"/>
      <c r="GF319" s="341"/>
      <c r="GG319" s="341"/>
      <c r="GH319" s="341"/>
      <c r="GI319" s="341"/>
      <c r="GJ319" s="341"/>
      <c r="GK319" s="341"/>
      <c r="GL319" s="341"/>
      <c r="GM319" s="341"/>
      <c r="GN319" s="341"/>
      <c r="GO319" s="341"/>
      <c r="GP319" s="341"/>
      <c r="GQ319" s="341"/>
      <c r="GR319" s="341"/>
      <c r="GS319" s="341"/>
      <c r="GT319" s="341"/>
      <c r="GU319" s="341"/>
      <c r="GV319" s="341"/>
      <c r="GW319" s="341"/>
      <c r="GX319" s="341"/>
      <c r="GY319" s="341"/>
      <c r="GZ319" s="341"/>
      <c r="HA319" s="341"/>
      <c r="HB319" s="341"/>
      <c r="HC319" s="341"/>
      <c r="HD319" s="341"/>
      <c r="HE319" s="341"/>
      <c r="HF319" s="341"/>
      <c r="HG319" s="341"/>
      <c r="HH319" s="341"/>
      <c r="HI319" s="341"/>
      <c r="HJ319" s="341"/>
      <c r="HK319" s="341"/>
      <c r="HL319" s="341"/>
      <c r="HM319" s="341"/>
      <c r="HN319" s="341"/>
      <c r="HO319" s="341"/>
      <c r="HP319" s="341"/>
      <c r="HQ319" s="341"/>
      <c r="HR319" s="341"/>
      <c r="HS319" s="238"/>
      <c r="HT319" s="238"/>
      <c r="HU319" s="238"/>
      <c r="HV319" s="238"/>
      <c r="HX319" s="238"/>
      <c r="HY319" s="238"/>
      <c r="ID319" s="238"/>
    </row>
    <row r="320" spans="1:238" ht="14.1" customHeight="1">
      <c r="B320" s="214"/>
      <c r="C320" s="171"/>
      <c r="D320" s="171"/>
      <c r="E320" s="171"/>
      <c r="F320" s="171"/>
      <c r="G320" s="171"/>
      <c r="H320" s="171"/>
      <c r="I320" s="171"/>
      <c r="J320" s="171"/>
      <c r="K320" s="171"/>
      <c r="L320" s="171"/>
      <c r="M320" s="171"/>
      <c r="N320" s="171"/>
      <c r="O320" s="171"/>
      <c r="P320" s="171"/>
      <c r="Q320" s="171"/>
      <c r="R320" s="171"/>
      <c r="S320" s="171"/>
      <c r="T320" s="171"/>
      <c r="U320" s="171"/>
      <c r="V320" s="171"/>
      <c r="W320" s="171"/>
      <c r="X320" s="171"/>
      <c r="Y320" s="171"/>
      <c r="Z320" s="302"/>
      <c r="AA320" s="215"/>
      <c r="AB320" s="215"/>
      <c r="AC320" s="215"/>
      <c r="AD320" s="215"/>
      <c r="AE320" s="215"/>
      <c r="AF320" s="215"/>
      <c r="BB320" s="215"/>
      <c r="BC320" s="215"/>
      <c r="BD320" s="215"/>
      <c r="BE320" s="215"/>
      <c r="BF320" s="215"/>
      <c r="BG320" s="215"/>
      <c r="BH320" s="215"/>
      <c r="GD320" s="339"/>
      <c r="GE320" s="339"/>
      <c r="GF320" s="339"/>
      <c r="GG320" s="339"/>
      <c r="GH320" s="339"/>
      <c r="GI320" s="339"/>
      <c r="GJ320" s="339"/>
      <c r="GK320" s="339"/>
      <c r="GL320" s="339"/>
      <c r="GM320" s="339"/>
      <c r="GN320" s="339"/>
      <c r="GO320" s="339"/>
      <c r="GP320" s="339"/>
      <c r="GQ320" s="339"/>
      <c r="GR320" s="339"/>
      <c r="GS320" s="339"/>
      <c r="GT320" s="339"/>
      <c r="GU320" s="339"/>
      <c r="GV320" s="339"/>
      <c r="GW320" s="339"/>
      <c r="GX320" s="339"/>
      <c r="GY320" s="339"/>
      <c r="GZ320" s="339"/>
      <c r="HA320" s="339"/>
      <c r="HB320" s="339"/>
      <c r="HC320" s="339"/>
      <c r="HD320" s="339"/>
      <c r="HE320" s="339"/>
      <c r="HF320" s="339"/>
      <c r="HG320" s="339"/>
      <c r="HH320" s="339"/>
      <c r="HI320" s="339"/>
      <c r="HJ320" s="339"/>
      <c r="HK320" s="339"/>
      <c r="HL320" s="339"/>
      <c r="HM320" s="339"/>
      <c r="HN320" s="339"/>
      <c r="HO320" s="339"/>
      <c r="HP320" s="339"/>
      <c r="HQ320" s="339"/>
      <c r="HR320" s="339"/>
    </row>
    <row r="321" spans="1:238" ht="24" customHeight="1">
      <c r="B321" s="216"/>
      <c r="C321" s="181"/>
      <c r="D321" s="181"/>
      <c r="E321" s="181"/>
      <c r="F321" s="181"/>
      <c r="G321" s="181"/>
      <c r="H321" s="181"/>
      <c r="I321" s="181"/>
      <c r="J321" s="181"/>
      <c r="K321" s="185"/>
      <c r="L321" s="217"/>
      <c r="M321" s="218"/>
      <c r="N321" s="327" t="str">
        <f>CONCATENATE(AG321," ",AH321)</f>
        <v>Spiel 23</v>
      </c>
      <c r="O321" s="218"/>
      <c r="P321" s="219"/>
      <c r="Q321" s="185"/>
      <c r="R321" s="181"/>
      <c r="S321" s="181"/>
      <c r="T321" s="181"/>
      <c r="U321" s="181"/>
      <c r="V321" s="181"/>
      <c r="W321" s="181"/>
      <c r="X321" s="181"/>
      <c r="Y321" s="181"/>
      <c r="Z321" s="303"/>
      <c r="AA321" s="200"/>
      <c r="AB321" s="200"/>
      <c r="AC321" s="200"/>
      <c r="AD321" s="200"/>
      <c r="AE321" s="200"/>
      <c r="AF321" s="200"/>
      <c r="AG321" s="200" t="s">
        <v>863</v>
      </c>
      <c r="AH321" s="220">
        <v>23</v>
      </c>
      <c r="AI321" s="173">
        <f>VLOOKUP(AH321,Chema!R:T,3,FALSE)</f>
        <v>3.3</v>
      </c>
      <c r="AJ321" s="200" t="str">
        <f>VLOOKUP(AH321,Chema!BL:BQ,6,FALSE)</f>
        <v>3.3*</v>
      </c>
      <c r="AK321" s="200" t="str">
        <f>VLOOKUP(AH321,'Matchblatt  FEUILLE DE MATCH'!AI:AJ,2,FALSE)</f>
        <v>S</v>
      </c>
      <c r="AL321" s="200">
        <f>VLOOKUP(AH321,Chema!R:U,4,FALSE)</f>
        <v>5</v>
      </c>
      <c r="AM321" s="215" t="str">
        <f>VLOOKUP(AH321,'Matchblatt  FEUILLE DE MATCH'!AI:AS,10,FALSE)</f>
        <v/>
      </c>
      <c r="AN321" s="215"/>
      <c r="AO321" s="215"/>
      <c r="AP321" s="215"/>
      <c r="AQ321" s="215"/>
      <c r="AR321" s="215"/>
      <c r="AS321" s="215"/>
      <c r="AT321" s="215"/>
      <c r="AU321" s="215"/>
      <c r="AV321" s="215"/>
      <c r="AW321" s="215"/>
      <c r="AX321" s="215"/>
      <c r="AY321" s="215"/>
      <c r="AZ321" s="215"/>
      <c r="BA321" s="215" t="str">
        <f>VLOOKUP(AH321,'Matchblatt  FEUILLE DE MATCH'!AI:AS,11,FALSE)</f>
        <v/>
      </c>
      <c r="BB321" s="200"/>
      <c r="BC321" s="200"/>
      <c r="BD321" s="200"/>
      <c r="BE321" s="200"/>
      <c r="BF321" s="200"/>
      <c r="BG321" s="200"/>
      <c r="BH321" s="200"/>
      <c r="BK321" s="196"/>
      <c r="BL321" s="196"/>
      <c r="BM321" s="196"/>
      <c r="BN321" s="196"/>
      <c r="BO321" s="196"/>
      <c r="BP321" s="196"/>
      <c r="BQ321" s="221" t="s">
        <v>843</v>
      </c>
      <c r="BR321" s="222"/>
      <c r="BS321" s="222"/>
      <c r="BT321" s="223"/>
      <c r="BU321" s="222" t="s">
        <v>843</v>
      </c>
      <c r="BV321" s="222"/>
      <c r="BW321" s="222"/>
      <c r="BX321" s="224"/>
      <c r="BY321" s="222"/>
      <c r="BZ321" s="222"/>
      <c r="CA321" s="222"/>
      <c r="CB321" s="222"/>
      <c r="CC321" s="222"/>
      <c r="CD321" s="222"/>
      <c r="CE321" s="222"/>
      <c r="CF321" s="222"/>
      <c r="CG321" s="224"/>
      <c r="CH321" s="222"/>
      <c r="CI321" s="222"/>
      <c r="CJ321" s="223"/>
      <c r="CK321" s="196"/>
      <c r="CL321" s="196"/>
      <c r="CM321" s="196"/>
      <c r="CN321" s="196"/>
      <c r="CO321" s="196"/>
      <c r="CP321" s="196"/>
      <c r="CQ321" s="196"/>
      <c r="CR321" s="196"/>
      <c r="CS321" s="196"/>
      <c r="CT321" s="196"/>
      <c r="CU321" s="196"/>
      <c r="CV321" s="196"/>
      <c r="CW321" s="196"/>
      <c r="CX321" s="196"/>
      <c r="CY321" s="196"/>
      <c r="CZ321" s="196"/>
      <c r="DA321" s="196"/>
      <c r="DB321" s="196"/>
      <c r="DC321" s="196"/>
      <c r="DD321" s="196"/>
      <c r="DE321" s="196"/>
      <c r="DF321" s="196"/>
      <c r="DG321" s="196"/>
      <c r="DH321" s="196"/>
      <c r="DI321" s="196"/>
      <c r="DJ321" s="196"/>
      <c r="DK321" s="196"/>
      <c r="DL321" s="196"/>
      <c r="DM321" s="196"/>
      <c r="DN321" s="196"/>
      <c r="DO321" s="196"/>
      <c r="DP321" s="196"/>
      <c r="DQ321" s="196"/>
      <c r="DR321" s="196"/>
      <c r="DS321" s="196"/>
      <c r="DT321" s="196"/>
      <c r="DU321" s="196"/>
      <c r="DV321" s="196"/>
      <c r="DW321" s="196"/>
      <c r="DX321" s="196"/>
      <c r="DY321" s="196"/>
      <c r="DZ321" s="196"/>
      <c r="EA321" s="196"/>
      <c r="EB321" s="196"/>
      <c r="EC321" s="196"/>
      <c r="ED321" s="196"/>
      <c r="EE321" s="196"/>
      <c r="EF321" s="196"/>
      <c r="EG321" s="196"/>
      <c r="EH321" s="196"/>
      <c r="EI321" s="196"/>
      <c r="EJ321" s="196"/>
      <c r="EK321" s="196"/>
      <c r="EL321" s="196"/>
      <c r="EM321" s="221" t="s">
        <v>7</v>
      </c>
      <c r="EN321" s="222"/>
      <c r="EO321" s="222"/>
      <c r="EP321" s="222"/>
      <c r="EQ321" s="222"/>
      <c r="ER321" s="222"/>
      <c r="ES321" s="222"/>
      <c r="ET321" s="224"/>
      <c r="EU321" s="222"/>
      <c r="EV321" s="222"/>
      <c r="EW321" s="222"/>
      <c r="EX321" s="222"/>
      <c r="EY321" s="222"/>
      <c r="EZ321" s="222"/>
      <c r="FA321" s="222"/>
      <c r="FB321" s="222"/>
      <c r="FC321" s="222"/>
      <c r="FD321" s="222"/>
      <c r="FE321" s="223"/>
      <c r="FF321" s="196"/>
      <c r="FG321" s="196"/>
      <c r="FH321" s="221" t="s">
        <v>12</v>
      </c>
      <c r="FI321" s="222"/>
      <c r="FJ321" s="222"/>
      <c r="FK321" s="222"/>
      <c r="FL321" s="222"/>
      <c r="FM321" s="222"/>
      <c r="FN321" s="222"/>
      <c r="FO321" s="224"/>
      <c r="FP321" s="222"/>
      <c r="FQ321" s="222"/>
      <c r="FR321" s="222"/>
      <c r="FS321" s="222"/>
      <c r="FT321" s="222"/>
      <c r="FU321" s="222"/>
      <c r="FV321" s="222"/>
      <c r="FW321" s="222"/>
      <c r="FX321" s="222"/>
      <c r="FY321" s="222"/>
      <c r="FZ321" s="223"/>
      <c r="GA321" s="196"/>
      <c r="GD321" s="339"/>
      <c r="GE321" s="339"/>
      <c r="GF321" s="339"/>
      <c r="GG321" s="339"/>
      <c r="GH321" s="339"/>
      <c r="GI321" s="339"/>
      <c r="GJ321" s="339"/>
      <c r="GK321" s="339"/>
      <c r="GL321" s="339"/>
      <c r="GM321" s="339"/>
      <c r="GN321" s="339"/>
      <c r="GO321" s="339"/>
      <c r="GP321" s="339"/>
      <c r="GQ321" s="339"/>
      <c r="GR321" s="339"/>
      <c r="GS321" s="339"/>
      <c r="GT321" s="339"/>
      <c r="GU321" s="339"/>
      <c r="GV321" s="339"/>
      <c r="GW321" s="339"/>
      <c r="GX321" s="339"/>
      <c r="GY321" s="339"/>
      <c r="GZ321" s="339"/>
      <c r="HA321" s="339"/>
      <c r="HB321" s="339"/>
      <c r="HC321" s="339"/>
      <c r="HD321" s="339"/>
      <c r="HE321" s="339"/>
      <c r="HF321" s="339"/>
      <c r="HG321" s="339"/>
      <c r="HH321" s="339"/>
      <c r="HI321" s="339"/>
      <c r="HJ321" s="339"/>
      <c r="HK321" s="339"/>
      <c r="HL321" s="339"/>
      <c r="HM321" s="339"/>
      <c r="HN321" s="339"/>
      <c r="HO321" s="339"/>
      <c r="HP321" s="339"/>
      <c r="HQ321" s="339"/>
      <c r="HR321" s="339"/>
    </row>
    <row r="322" spans="1:238" ht="14.1" customHeight="1">
      <c r="B322" s="225"/>
      <c r="C322" s="304"/>
      <c r="D322" s="304"/>
      <c r="E322" s="304"/>
      <c r="F322" s="304"/>
      <c r="G322" s="304"/>
      <c r="H322" s="304"/>
      <c r="I322" s="304"/>
      <c r="J322" s="304"/>
      <c r="K322" s="166"/>
      <c r="L322" s="166"/>
      <c r="M322" s="166"/>
      <c r="N322" s="304"/>
      <c r="O322" s="304"/>
      <c r="P322" s="166"/>
      <c r="Q322" s="166"/>
      <c r="R322" s="304"/>
      <c r="S322" s="304"/>
      <c r="T322" s="304"/>
      <c r="U322" s="304"/>
      <c r="V322" s="304"/>
      <c r="W322" s="304"/>
      <c r="X322" s="166"/>
      <c r="Y322" s="166"/>
      <c r="Z322" s="305"/>
      <c r="AA322" s="63"/>
      <c r="AB322" s="63"/>
      <c r="AC322" s="63"/>
      <c r="AD322" s="63"/>
      <c r="AE322" s="63"/>
      <c r="AF322" s="63"/>
      <c r="AJ322" s="173" t="str">
        <f>IF(AK321="D",CONCATENATE(AI321,".",2),"")</f>
        <v/>
      </c>
      <c r="AL322" s="200"/>
      <c r="AM322" s="200" t="str">
        <f>IF(AK321="D",VLOOKUP(AJ322,'Matchblatt  FEUILLE DE MATCH'!AK:AS,8,FALSE),"")</f>
        <v/>
      </c>
      <c r="AN322" s="200"/>
      <c r="AO322" s="200"/>
      <c r="AP322" s="200"/>
      <c r="AQ322" s="200"/>
      <c r="AR322" s="200"/>
      <c r="AS322" s="200"/>
      <c r="AT322" s="200"/>
      <c r="AU322" s="200"/>
      <c r="AV322" s="200"/>
      <c r="AW322" s="200"/>
      <c r="AX322" s="200"/>
      <c r="AY322" s="200"/>
      <c r="AZ322" s="200"/>
      <c r="BA322" s="200" t="str">
        <f>IF(AK321="D",VLOOKUP(AJ322,'Matchblatt  FEUILLE DE MATCH'!AK:AS,9,FALSE),"")</f>
        <v/>
      </c>
      <c r="BB322" s="63"/>
      <c r="BC322" s="63"/>
      <c r="BD322" s="63"/>
      <c r="BE322" s="63"/>
      <c r="BF322" s="63"/>
      <c r="BG322" s="63"/>
      <c r="BH322" s="63"/>
      <c r="BK322" s="166" t="s">
        <v>7</v>
      </c>
      <c r="BL322" s="166" t="s">
        <v>12</v>
      </c>
      <c r="BM322" s="166"/>
      <c r="BN322" s="166" t="s">
        <v>7</v>
      </c>
      <c r="BO322" s="166" t="s">
        <v>12</v>
      </c>
      <c r="BP322" s="166"/>
      <c r="BQ322" s="226" t="s">
        <v>894</v>
      </c>
      <c r="BR322" s="227" t="s">
        <v>895</v>
      </c>
      <c r="BS322" s="228" t="s">
        <v>896</v>
      </c>
      <c r="BT322" s="229"/>
      <c r="BU322" s="226" t="s">
        <v>7</v>
      </c>
      <c r="BV322" s="166"/>
      <c r="BW322" s="166"/>
      <c r="BX322" s="230"/>
      <c r="BY322" s="166"/>
      <c r="BZ322" s="166"/>
      <c r="CA322" s="227"/>
      <c r="CB322" s="166"/>
      <c r="CC322" s="166"/>
      <c r="CD322" s="226" t="s">
        <v>12</v>
      </c>
      <c r="CE322" s="166"/>
      <c r="CF322" s="166"/>
      <c r="CG322" s="230"/>
      <c r="CH322" s="166"/>
      <c r="CI322" s="166"/>
      <c r="CJ322" s="227"/>
      <c r="CK322" s="166"/>
      <c r="CL322" s="166" t="s">
        <v>897</v>
      </c>
      <c r="CM322" s="166"/>
      <c r="CN322" s="166"/>
      <c r="CO322" s="166"/>
      <c r="CP322" s="166"/>
      <c r="CQ322" s="166"/>
      <c r="CR322" s="166"/>
      <c r="CS322" s="166"/>
      <c r="CT322" s="166"/>
      <c r="CU322" s="166" t="s">
        <v>843</v>
      </c>
      <c r="CV322" s="166"/>
      <c r="CW322" s="166" t="s">
        <v>843</v>
      </c>
      <c r="CX322" s="166"/>
      <c r="CY322" s="166"/>
      <c r="CZ322" s="166"/>
      <c r="DA322" s="166"/>
      <c r="DB322" s="166"/>
      <c r="DC322" s="166"/>
      <c r="DD322" s="166" t="s">
        <v>894</v>
      </c>
      <c r="DE322" s="166" t="s">
        <v>895</v>
      </c>
      <c r="DF322" s="166"/>
      <c r="DG322" s="166" t="s">
        <v>927</v>
      </c>
      <c r="DH322" s="166"/>
      <c r="DI322" s="166"/>
      <c r="DJ322" s="166"/>
      <c r="DK322" s="166"/>
      <c r="DL322" s="166"/>
      <c r="DM322" s="166"/>
      <c r="DN322" s="166" t="s">
        <v>928</v>
      </c>
      <c r="DO322" s="166" t="s">
        <v>929</v>
      </c>
      <c r="DP322" s="166"/>
      <c r="DQ322" s="166"/>
      <c r="DR322" s="166"/>
      <c r="DS322" s="166"/>
      <c r="DT322" s="166"/>
      <c r="DU322" s="166"/>
      <c r="DV322" s="166" t="s">
        <v>894</v>
      </c>
      <c r="DW322" s="166" t="s">
        <v>895</v>
      </c>
      <c r="DX322" s="166"/>
      <c r="DY322" s="166"/>
      <c r="DZ322" s="166"/>
      <c r="EA322" s="166"/>
      <c r="EB322" s="166"/>
      <c r="EC322" s="166"/>
      <c r="ED322" s="166" t="s">
        <v>894</v>
      </c>
      <c r="EE322" s="166" t="s">
        <v>895</v>
      </c>
      <c r="EF322" s="166"/>
      <c r="EG322" s="166"/>
      <c r="EH322" s="166"/>
      <c r="EI322" s="166"/>
      <c r="EJ322" s="166"/>
      <c r="EK322" s="166"/>
      <c r="EL322" s="166"/>
      <c r="EM322" s="166"/>
      <c r="EN322" s="166"/>
      <c r="EO322" s="166"/>
      <c r="EP322" s="166"/>
      <c r="EQ322" s="166"/>
      <c r="ER322" s="166"/>
      <c r="ES322" s="166"/>
      <c r="ET322" s="230"/>
      <c r="EU322" s="166"/>
      <c r="EV322" s="166"/>
      <c r="EW322" s="166"/>
      <c r="EX322" s="166"/>
      <c r="EY322" s="166"/>
      <c r="EZ322" s="166"/>
      <c r="FA322" s="166"/>
      <c r="FB322" s="166"/>
      <c r="FC322" s="166"/>
      <c r="FD322" s="166"/>
      <c r="FE322" s="166"/>
      <c r="FF322" s="166"/>
      <c r="FG322" s="166"/>
      <c r="FH322" s="166"/>
      <c r="FI322" s="166"/>
      <c r="FJ322" s="166"/>
      <c r="FK322" s="166"/>
      <c r="FL322" s="166"/>
      <c r="FM322" s="166"/>
      <c r="FN322" s="166"/>
      <c r="FO322" s="230"/>
      <c r="FP322" s="166"/>
      <c r="FQ322" s="166"/>
      <c r="FR322" s="166"/>
      <c r="FS322" s="166"/>
      <c r="FT322" s="166"/>
      <c r="FU322" s="166"/>
      <c r="FV322" s="166"/>
      <c r="FW322" s="166"/>
      <c r="FX322" s="166"/>
      <c r="FY322" s="166"/>
      <c r="FZ322" s="166"/>
      <c r="GA322" s="166"/>
      <c r="GD322" s="339"/>
      <c r="GE322" s="339"/>
      <c r="GF322" s="339"/>
      <c r="GG322" s="339"/>
      <c r="GH322" s="339"/>
      <c r="GI322" s="339"/>
      <c r="GJ322" s="339"/>
      <c r="GK322" s="339"/>
      <c r="GL322" s="339"/>
      <c r="GM322" s="339"/>
      <c r="GN322" s="339"/>
      <c r="GO322" s="339"/>
      <c r="GP322" s="339"/>
      <c r="GQ322" s="339"/>
      <c r="GR322" s="339"/>
      <c r="GS322" s="339"/>
      <c r="GT322" s="339"/>
      <c r="GU322" s="339"/>
      <c r="GV322" s="339"/>
      <c r="GW322" s="339"/>
      <c r="GX322" s="339"/>
      <c r="GY322" s="339"/>
      <c r="GZ322" s="339"/>
      <c r="HA322" s="339"/>
      <c r="HB322" s="339"/>
      <c r="HC322" s="339"/>
      <c r="HD322" s="339"/>
      <c r="HE322" s="339"/>
      <c r="HF322" s="339"/>
      <c r="HG322" s="339"/>
      <c r="HH322" s="339"/>
      <c r="HI322" s="339"/>
      <c r="HJ322" s="339"/>
      <c r="HK322" s="339"/>
      <c r="HL322" s="339"/>
      <c r="HM322" s="339"/>
      <c r="HN322" s="339"/>
      <c r="HO322" s="339"/>
      <c r="HP322" s="339"/>
      <c r="HQ322" s="339"/>
      <c r="HR322" s="339"/>
    </row>
    <row r="323" spans="1:238" s="234" customFormat="1" ht="20.100000000000001" customHeight="1">
      <c r="A323" s="235"/>
      <c r="B323" s="231"/>
      <c r="C323" s="232" t="str">
        <f>REPT(Sprache!$K$12,1)</f>
        <v>SPIEL</v>
      </c>
      <c r="D323" s="233" t="s">
        <v>869</v>
      </c>
      <c r="E323" s="233" t="str">
        <f>REPT(Sprache!$K$62,1)</f>
        <v>Punkte</v>
      </c>
      <c r="F323" s="233" t="str">
        <f>REPT(Sprache!$K$61,1)</f>
        <v>Rest</v>
      </c>
      <c r="G323" s="233" t="s">
        <v>898</v>
      </c>
      <c r="H323" s="233" t="s">
        <v>848</v>
      </c>
      <c r="I323" s="233">
        <v>180</v>
      </c>
      <c r="J323" s="233" t="str">
        <f>REPT(Sprache!$K$63,1)</f>
        <v>Fehler</v>
      </c>
      <c r="L323" s="306" t="s">
        <v>923</v>
      </c>
      <c r="M323" s="307"/>
      <c r="P323" s="306" t="s">
        <v>923</v>
      </c>
      <c r="R323" s="232" t="str">
        <f>REPT(Sprache!$K$12,1)</f>
        <v>SPIEL</v>
      </c>
      <c r="S323" s="233" t="s">
        <v>869</v>
      </c>
      <c r="T323" s="233" t="str">
        <f>REPT(Sprache!$K$62,1)</f>
        <v>Punkte</v>
      </c>
      <c r="U323" s="233" t="str">
        <f>REPT(Sprache!$K$61,1)</f>
        <v>Rest</v>
      </c>
      <c r="V323" s="233" t="s">
        <v>898</v>
      </c>
      <c r="W323" s="233" t="s">
        <v>848</v>
      </c>
      <c r="X323" s="233">
        <v>180</v>
      </c>
      <c r="Y323" s="233" t="str">
        <f>REPT(Sprache!$K$63,1)</f>
        <v>Fehler</v>
      </c>
      <c r="Z323" s="308"/>
      <c r="AD323" s="235"/>
      <c r="AE323" s="236" t="s">
        <v>966</v>
      </c>
      <c r="AF323" s="236" t="s">
        <v>967</v>
      </c>
      <c r="AG323" s="236" t="s">
        <v>965</v>
      </c>
      <c r="AH323" s="237" t="str">
        <f>LEFT($BM$6,10)</f>
        <v/>
      </c>
      <c r="AI323" s="237" t="str">
        <f>LEFT($BN$6,10)</f>
        <v/>
      </c>
      <c r="AJ323" s="237" t="s">
        <v>898</v>
      </c>
      <c r="AK323" s="237" t="s">
        <v>848</v>
      </c>
      <c r="AL323" s="237">
        <v>180</v>
      </c>
      <c r="AM323" s="237" t="str">
        <f>LEFT($BL$6,50)</f>
        <v/>
      </c>
      <c r="AN323" s="235"/>
      <c r="AO323" s="235"/>
      <c r="AP323" s="235"/>
      <c r="AQ323" s="235"/>
      <c r="AR323" s="235"/>
      <c r="AS323" s="235"/>
      <c r="AT323" s="235"/>
      <c r="AU323" s="235"/>
      <c r="AV323" s="237" t="str">
        <f>LEFT($BM$6,10)</f>
        <v/>
      </c>
      <c r="AW323" s="237" t="str">
        <f>LEFT($BN$6,10)</f>
        <v/>
      </c>
      <c r="AX323" s="237" t="s">
        <v>898</v>
      </c>
      <c r="AY323" s="237" t="s">
        <v>848</v>
      </c>
      <c r="AZ323" s="237">
        <v>180</v>
      </c>
      <c r="BA323" s="237" t="str">
        <f>LEFT($BL$6,50)</f>
        <v/>
      </c>
      <c r="BI323" s="238"/>
      <c r="BJ323" s="238"/>
      <c r="BK323" s="238" t="s">
        <v>165</v>
      </c>
      <c r="BL323" s="238" t="s">
        <v>165</v>
      </c>
      <c r="BM323" s="239" t="s">
        <v>165</v>
      </c>
      <c r="BN323" s="239" t="s">
        <v>899</v>
      </c>
      <c r="BO323" s="239" t="s">
        <v>899</v>
      </c>
      <c r="BP323" s="239" t="s">
        <v>900</v>
      </c>
      <c r="BQ323" s="240" t="s">
        <v>901</v>
      </c>
      <c r="BR323" s="241"/>
      <c r="BS323" s="242" t="s">
        <v>926</v>
      </c>
      <c r="BT323" s="243"/>
      <c r="BU323" s="242" t="s">
        <v>902</v>
      </c>
      <c r="BV323" s="238"/>
      <c r="BW323" s="238"/>
      <c r="BX323" s="244"/>
      <c r="BY323" s="238"/>
      <c r="BZ323" s="238" t="s">
        <v>903</v>
      </c>
      <c r="CA323" s="243" t="s">
        <v>904</v>
      </c>
      <c r="CB323" s="238"/>
      <c r="CC323" s="238"/>
      <c r="CD323" s="242" t="s">
        <v>902</v>
      </c>
      <c r="CE323" s="238"/>
      <c r="CF323" s="238"/>
      <c r="CG323" s="244"/>
      <c r="CH323" s="238"/>
      <c r="CI323" s="238" t="s">
        <v>903</v>
      </c>
      <c r="CJ323" s="243" t="s">
        <v>904</v>
      </c>
      <c r="CK323" s="238"/>
      <c r="CL323" s="245" t="s">
        <v>905</v>
      </c>
      <c r="CM323" s="245" t="s">
        <v>906</v>
      </c>
      <c r="CN323" s="245" t="s">
        <v>907</v>
      </c>
      <c r="CO323" s="245" t="s">
        <v>908</v>
      </c>
      <c r="CP323" s="245" t="s">
        <v>909</v>
      </c>
      <c r="CQ323" s="246" t="s">
        <v>910</v>
      </c>
      <c r="CR323" s="247"/>
      <c r="CS323" s="246" t="s">
        <v>911</v>
      </c>
      <c r="CT323" s="248"/>
      <c r="CU323" s="246" t="s">
        <v>912</v>
      </c>
      <c r="CV323" s="248"/>
      <c r="CW323" s="246" t="s">
        <v>913</v>
      </c>
      <c r="CX323" s="248"/>
      <c r="CY323" s="238"/>
      <c r="CZ323" s="238"/>
      <c r="DA323" s="238"/>
      <c r="DB323" s="238"/>
      <c r="DC323" s="249" t="s">
        <v>165</v>
      </c>
      <c r="DD323" s="249" t="s">
        <v>165</v>
      </c>
      <c r="DE323" s="249" t="s">
        <v>165</v>
      </c>
      <c r="DF323" s="238"/>
      <c r="DG323" s="238" t="s">
        <v>914</v>
      </c>
      <c r="DH323" s="238" t="s">
        <v>930</v>
      </c>
      <c r="DI323" s="238" t="s">
        <v>931</v>
      </c>
      <c r="DK323" s="238" t="s">
        <v>932</v>
      </c>
      <c r="DL323" s="238" t="s">
        <v>933</v>
      </c>
      <c r="DM323" s="238" t="s">
        <v>869</v>
      </c>
      <c r="DN323" s="230" t="s">
        <v>915</v>
      </c>
      <c r="DO323" s="250" t="s">
        <v>915</v>
      </c>
      <c r="DP323" s="322" t="s">
        <v>934</v>
      </c>
      <c r="DQ323" s="238"/>
      <c r="DR323" s="166" t="s">
        <v>894</v>
      </c>
      <c r="DS323" s="166" t="s">
        <v>895</v>
      </c>
      <c r="DT323" s="166" t="s">
        <v>935</v>
      </c>
      <c r="DU323" s="166" t="s">
        <v>936</v>
      </c>
      <c r="DV323" s="251" t="s">
        <v>165</v>
      </c>
      <c r="DW323" s="251" t="s">
        <v>165</v>
      </c>
      <c r="DX323" s="238" t="s">
        <v>916</v>
      </c>
      <c r="DY323" s="238"/>
      <c r="DZ323" s="238"/>
      <c r="EA323" s="238"/>
      <c r="EB323" s="238"/>
      <c r="EC323" s="238"/>
      <c r="ED323" s="251" t="s">
        <v>165</v>
      </c>
      <c r="EE323" s="251" t="s">
        <v>165</v>
      </c>
      <c r="EF323" s="166"/>
      <c r="EG323" s="238"/>
      <c r="EH323" s="238"/>
      <c r="EI323" s="238"/>
      <c r="EJ323" s="238"/>
      <c r="EK323" s="238"/>
      <c r="EL323" s="238"/>
      <c r="EM323" s="238"/>
      <c r="EN323" s="238"/>
      <c r="EO323" s="246" t="s">
        <v>917</v>
      </c>
      <c r="EP323" s="247"/>
      <c r="EQ323" s="247"/>
      <c r="ER323" s="247"/>
      <c r="ES323" s="247"/>
      <c r="ET323" s="252"/>
      <c r="EU323" s="248"/>
      <c r="EV323" s="246" t="s">
        <v>918</v>
      </c>
      <c r="EW323" s="247"/>
      <c r="EX323" s="248"/>
      <c r="EY323" s="251" t="s">
        <v>165</v>
      </c>
      <c r="EZ323" s="246" t="s">
        <v>919</v>
      </c>
      <c r="FA323" s="247"/>
      <c r="FB323" s="248"/>
      <c r="FC323" s="246" t="s">
        <v>920</v>
      </c>
      <c r="FD323" s="247"/>
      <c r="FE323" s="248"/>
      <c r="FF323" s="238"/>
      <c r="FG323" s="238"/>
      <c r="FH323" s="238"/>
      <c r="FI323" s="238"/>
      <c r="FJ323" s="246" t="s">
        <v>917</v>
      </c>
      <c r="FK323" s="247"/>
      <c r="FL323" s="247"/>
      <c r="FM323" s="247"/>
      <c r="FN323" s="247"/>
      <c r="FO323" s="252"/>
      <c r="FP323" s="248"/>
      <c r="FQ323" s="246" t="s">
        <v>918</v>
      </c>
      <c r="FR323" s="247"/>
      <c r="FS323" s="248"/>
      <c r="FT323" s="251" t="s">
        <v>165</v>
      </c>
      <c r="FU323" s="246" t="s">
        <v>919</v>
      </c>
      <c r="FV323" s="247"/>
      <c r="FW323" s="248"/>
      <c r="FX323" s="246" t="s">
        <v>920</v>
      </c>
      <c r="FY323" s="247"/>
      <c r="FZ323" s="248"/>
      <c r="GD323" s="340"/>
      <c r="GE323" s="340"/>
      <c r="GF323" s="341" t="s">
        <v>968</v>
      </c>
      <c r="GG323" s="340"/>
      <c r="GH323" s="340"/>
      <c r="GI323" s="340"/>
      <c r="GJ323" s="341" t="s">
        <v>972</v>
      </c>
      <c r="GK323" s="340"/>
      <c r="GL323" s="340"/>
      <c r="GM323" s="340"/>
      <c r="GN323" s="341" t="s">
        <v>971</v>
      </c>
      <c r="GO323" s="340"/>
      <c r="GP323" s="340"/>
      <c r="GQ323" s="340"/>
      <c r="GR323" s="341" t="s">
        <v>970</v>
      </c>
      <c r="GS323" s="340"/>
      <c r="GT323" s="340"/>
      <c r="GU323" s="340"/>
      <c r="GV323" s="341" t="s">
        <v>969</v>
      </c>
      <c r="GW323" s="340"/>
      <c r="GX323" s="340"/>
      <c r="GY323" s="340"/>
      <c r="GZ323" s="342" t="s">
        <v>973</v>
      </c>
      <c r="HA323" s="340"/>
      <c r="HB323" s="340"/>
      <c r="HC323" s="340"/>
      <c r="HD323" s="342" t="s">
        <v>974</v>
      </c>
      <c r="HE323" s="340"/>
      <c r="HF323" s="340"/>
      <c r="HG323" s="340"/>
      <c r="HH323" s="340"/>
      <c r="HI323" s="340"/>
      <c r="HJ323" s="340"/>
      <c r="HK323" s="340"/>
      <c r="HL323" s="340"/>
      <c r="HM323" s="341"/>
      <c r="HN323" s="341"/>
      <c r="HO323" s="341"/>
      <c r="HP323" s="341"/>
      <c r="HQ323" s="341"/>
      <c r="HR323" s="341"/>
      <c r="HS323" s="238"/>
      <c r="HT323" s="238"/>
      <c r="HU323" s="238"/>
      <c r="HV323" s="238"/>
      <c r="HX323" s="238"/>
      <c r="HY323" s="238"/>
      <c r="HZ323" s="238"/>
      <c r="ID323" s="238"/>
    </row>
    <row r="324" spans="1:238" s="234" customFormat="1" ht="20.100000000000001" customHeight="1">
      <c r="A324" s="235"/>
      <c r="B324" s="231">
        <f>COUNT(AJ325,AJ324)</f>
        <v>0</v>
      </c>
      <c r="C324" s="325" t="str">
        <f>CONCATENATE(BG324,BE324)</f>
        <v>HS</v>
      </c>
      <c r="D324" s="253" t="str">
        <f>REPT(DN324,1)</f>
        <v>1</v>
      </c>
      <c r="E324" s="254" t="str">
        <f>REPT(AH324,1)</f>
        <v/>
      </c>
      <c r="F324" s="168"/>
      <c r="G324" s="168"/>
      <c r="H324" s="168"/>
      <c r="I324" s="169"/>
      <c r="J324" s="255" t="str">
        <f>REPT(AM324,1)</f>
        <v/>
      </c>
      <c r="L324" s="309">
        <f>SUM(BS333)</f>
        <v>0</v>
      </c>
      <c r="M324" s="238"/>
      <c r="N324" s="255" t="str">
        <f>REPT(AP324,1)</f>
        <v/>
      </c>
      <c r="P324" s="309">
        <f>SUM(CF333)</f>
        <v>0</v>
      </c>
      <c r="Q324" s="310"/>
      <c r="R324" s="323" t="str">
        <f>CONCATENATE(BH324,BE324)</f>
        <v>GS</v>
      </c>
      <c r="S324" s="253" t="str">
        <f>REPT(DO324,1)</f>
        <v>1</v>
      </c>
      <c r="T324" s="254" t="str">
        <f>REPT(AV324,1)</f>
        <v/>
      </c>
      <c r="U324" s="168"/>
      <c r="V324" s="168"/>
      <c r="W324" s="168"/>
      <c r="X324" s="169"/>
      <c r="Y324" s="255" t="str">
        <f>REPT(BA324,1)</f>
        <v/>
      </c>
      <c r="Z324" s="308"/>
      <c r="AB324" s="234">
        <f>IF(AY324="",0,IF(AY324&lt;2,1,""))</f>
        <v>0</v>
      </c>
      <c r="AC324" s="238">
        <f>IF(AD324=1,1,IF(AD324=3,1,IF(AD324=2,0,IF(AD324=0,0,0))))</f>
        <v>0</v>
      </c>
      <c r="AD324" s="256">
        <f>SUM(AE324:AG324)</f>
        <v>0</v>
      </c>
      <c r="AE324" s="256">
        <f t="shared" ref="AE324:AE328" si="788">IF(F324="",0,1)</f>
        <v>0</v>
      </c>
      <c r="AF324" s="256">
        <f t="shared" ref="AF324:AF328" si="789">IF(G324="",0,1)</f>
        <v>0</v>
      </c>
      <c r="AG324" s="256">
        <f>IF(H324="",0,1)</f>
        <v>0</v>
      </c>
      <c r="AH324" s="257" t="str">
        <f>IF(AK324="",IF(AI324="","",IF(AI324="",501,501-AI324)),501)</f>
        <v/>
      </c>
      <c r="AI324" s="256" t="str">
        <f>IF(F324&gt;1,F324,IF(F324=0,"",IF(F324="","","")))</f>
        <v/>
      </c>
      <c r="AJ324" s="256" t="str">
        <f>IF(G324&gt;8,G324,IF(G324="","",""))</f>
        <v/>
      </c>
      <c r="AK324" s="256" t="str">
        <f>IF(H324&gt;1,H324,IF(H324="","",""))</f>
        <v/>
      </c>
      <c r="AL324" s="256" t="str">
        <f>IF(I324&gt;0,I324,IF(I324="","",""))</f>
        <v/>
      </c>
      <c r="AM324" s="258" t="str">
        <f>IF(BK324=0,"","X")</f>
        <v/>
      </c>
      <c r="AN324" s="237"/>
      <c r="AO324" s="237"/>
      <c r="AP324" s="258" t="str">
        <f>IF(BM324=0,"","X")</f>
        <v/>
      </c>
      <c r="AQ324" s="236">
        <f>IF(AR324=1,1,IF(AR324=3,1,IF(AR324=2,0,IF(AR324=0,0,0))))</f>
        <v>0</v>
      </c>
      <c r="AR324" s="256">
        <f>SUM(AS324:AU324)</f>
        <v>0</v>
      </c>
      <c r="AS324" s="256">
        <f t="shared" ref="AS324:AS328" si="790">IF(U324="",0,1)</f>
        <v>0</v>
      </c>
      <c r="AT324" s="256">
        <f t="shared" ref="AT324:AT328" si="791">IF(V324="",0,1)</f>
        <v>0</v>
      </c>
      <c r="AU324" s="256">
        <f>IF(W324="",0,1)</f>
        <v>0</v>
      </c>
      <c r="AV324" s="257" t="str">
        <f>IF(AY324="",IF(AW324="","",IF(AW324="",501,501-AW324)),501)</f>
        <v/>
      </c>
      <c r="AW324" s="256" t="str">
        <f>IF(U324&gt;1,U324,IF(U324=0,"",IF(U324="","","")))</f>
        <v/>
      </c>
      <c r="AX324" s="256" t="str">
        <f>IF(V324&gt;8,V324,IF(V324="","",""))</f>
        <v/>
      </c>
      <c r="AY324" s="256" t="str">
        <f>IF(W324&gt;1,W324,IF(W324="","",""))</f>
        <v/>
      </c>
      <c r="AZ324" s="256" t="str">
        <f>IF(X324&gt;0,X324,IF(X324="","",""))</f>
        <v/>
      </c>
      <c r="BA324" s="258" t="str">
        <f>IF(BL324=0,"","X")</f>
        <v/>
      </c>
      <c r="BF324" s="238" t="s">
        <v>894</v>
      </c>
      <c r="BG324" s="238" t="str">
        <f>CONCATENATE(BF324,AK321)</f>
        <v>HS</v>
      </c>
      <c r="BH324" s="238" t="str">
        <f>CONCATENATE(BI324,AK321)</f>
        <v>GS</v>
      </c>
      <c r="BI324" s="238" t="s">
        <v>895</v>
      </c>
      <c r="BJ324" s="238"/>
      <c r="BK324" s="251">
        <f>SUM(DD324,DV324,EY324,ED324,FF324,BQ324,BS324,AC324)</f>
        <v>0</v>
      </c>
      <c r="BL324" s="251">
        <f>SUM(DE324,DW324,EE324,FT324,GA324,BR324,BT324,AQ324)</f>
        <v>0</v>
      </c>
      <c r="BM324" s="259">
        <f>SUM(DC324,BK324:BL324,AC324,AQ324)</f>
        <v>0</v>
      </c>
      <c r="BN324" s="239">
        <f>COUNT(AK324)</f>
        <v>0</v>
      </c>
      <c r="BO324" s="239">
        <f>COUNT(AY324)</f>
        <v>0</v>
      </c>
      <c r="BP324" s="239">
        <f>IF(BN326=0,0,1)</f>
        <v>0</v>
      </c>
      <c r="BQ324" s="260">
        <f>IF(AL324="",0,IF(AL324&gt;2,1,0))</f>
        <v>0</v>
      </c>
      <c r="BR324" s="261">
        <f>IF(AZ324="",0,IF(AZ324&gt;2,1,0))</f>
        <v>0</v>
      </c>
      <c r="BS324" s="262">
        <f>IF(AJ324=9,IF(AK324&lt;141,1,0),0)</f>
        <v>0</v>
      </c>
      <c r="BT324" s="263">
        <f>IF(AX324=9,IF(AY324&lt;141,1,0),0)</f>
        <v>0</v>
      </c>
      <c r="BU324" s="242">
        <f>IF(H324,G324,0)</f>
        <v>0</v>
      </c>
      <c r="BV324" s="238">
        <f>IF(BU324&gt;0,AJ324/3,0)</f>
        <v>0</v>
      </c>
      <c r="BW324" s="238">
        <f>ROUNDUP(BV324,0)</f>
        <v>0</v>
      </c>
      <c r="BX324" s="244">
        <f>IF(MOD(BW324,2)=0,BW324,BW324+1)</f>
        <v>0</v>
      </c>
      <c r="BY324" s="238">
        <f>IF(AJ324&lt;9,"",SUM(BX324-BW324))</f>
        <v>0</v>
      </c>
      <c r="BZ324" s="238">
        <f>IF(BY324=1,AK324,0)</f>
        <v>0</v>
      </c>
      <c r="CA324" s="243" t="str">
        <f>IF(BY324=0,AK324,0)</f>
        <v/>
      </c>
      <c r="CB324" s="238"/>
      <c r="CC324" s="238"/>
      <c r="CD324" s="242">
        <f>IF(W324,V324,0)</f>
        <v>0</v>
      </c>
      <c r="CE324" s="238">
        <f>IF(CD324&gt;0,AX324/3,0)</f>
        <v>0</v>
      </c>
      <c r="CF324" s="238">
        <f>ROUNDUP(CE324,0)</f>
        <v>0</v>
      </c>
      <c r="CG324" s="244">
        <f>IF(MOD(CF324,2)=0,CF324,CF324+1)</f>
        <v>0</v>
      </c>
      <c r="CH324" s="238">
        <f>IF(AX324&lt;9,"",SUM(CG324-CF324))</f>
        <v>0</v>
      </c>
      <c r="CI324" s="238">
        <f>IF(CH324=1,AY324,0)</f>
        <v>0</v>
      </c>
      <c r="CJ324" s="243" t="str">
        <f>IF(CH324=0,AY324,0)</f>
        <v/>
      </c>
      <c r="CK324" s="238"/>
      <c r="CL324" s="245">
        <f>IF(COUNT(F324,H324)=1,0,1)</f>
        <v>1</v>
      </c>
      <c r="CM324" s="245">
        <f>IF(COUNT(F324,U324)=1,0,1)</f>
        <v>1</v>
      </c>
      <c r="CN324" s="245">
        <f>IF(COUNT(H324,W324)=1,0,1)</f>
        <v>1</v>
      </c>
      <c r="CO324" s="245">
        <f>IF(COUNT(G324,V324)=2,0,1)</f>
        <v>1</v>
      </c>
      <c r="CP324" s="245">
        <f>IF(COUNT(U324,W324)=1,0,1)</f>
        <v>1</v>
      </c>
      <c r="CQ324" s="245">
        <f>IF(SUM(G324-V324)&gt;3,1,0)</f>
        <v>0</v>
      </c>
      <c r="CR324" s="245">
        <f>IF(SUM(G324-V324)&lt;-3,1,0)</f>
        <v>0</v>
      </c>
      <c r="CS324" s="264">
        <f>IF(AJ324=9,IF(AH324&lt;141,1,0),IF(AH324="",0,IF(AH324&gt;1,0,1)))</f>
        <v>0</v>
      </c>
      <c r="CT324" s="264">
        <f>IF(AX324=9,IF(AV324&lt;141,1,0),IF(AV324="",0,IF(AV324&gt;1,0,1)))</f>
        <v>0</v>
      </c>
      <c r="CU324" s="264">
        <f>IF(AI324="",0,IF(AI324&lt;502,0,1))</f>
        <v>0</v>
      </c>
      <c r="CV324" s="264">
        <f>IF(AW324="",0,IF(AW324&lt;502,0,1))</f>
        <v>0</v>
      </c>
      <c r="CW324" s="264">
        <f>IF(AI324="",IF(AJ324&lt;9,1,0),IF(AJ324&lt;9,1,0))</f>
        <v>0</v>
      </c>
      <c r="CX324" s="264">
        <f>IF(AW324="",IF(AX324&lt;9,1,0),IF(AX324&lt;9,1,0))</f>
        <v>0</v>
      </c>
      <c r="CY324" s="374"/>
      <c r="CZ324" s="374"/>
      <c r="DA324" s="374"/>
      <c r="DB324" s="374"/>
      <c r="DC324" s="265">
        <f>IF(AJ324="",0,SUM(CL324:CX324))</f>
        <v>0</v>
      </c>
      <c r="DD324" s="265">
        <f>IF(AJ324="",0,SUM(CL324,CS324,CU324,CW324))</f>
        <v>0</v>
      </c>
      <c r="DE324" s="265">
        <f>IF(AJ324="",0,SUM(CP324,CT324,CV324,CX324))</f>
        <v>0</v>
      </c>
      <c r="DF324" s="238"/>
      <c r="DG324" s="248" t="str">
        <f>IF(G324="","",SUM(G324-V324))</f>
        <v/>
      </c>
      <c r="DH324" s="245">
        <f>IF(F324="",0,1)</f>
        <v>0</v>
      </c>
      <c r="DI324" s="245" t="str">
        <f>IF(DG324=0,DH324,DG324)</f>
        <v/>
      </c>
      <c r="DJ324" s="245" t="e">
        <f>SIGN(DI324)</f>
        <v>#VALUE!</v>
      </c>
      <c r="DK324" s="245" t="str">
        <f>IF(G324="","",IF(DJ324=1,"*",""))</f>
        <v/>
      </c>
      <c r="DL324" s="245" t="str">
        <f>IF(G324="","",IF(DJ324=-1,"*",IF(DJ324=0,"*","")))</f>
        <v/>
      </c>
      <c r="DM324" s="245">
        <v>1</v>
      </c>
      <c r="DN324" s="245" t="str">
        <f>CONCATENATE(DM324,DK324)</f>
        <v>1</v>
      </c>
      <c r="DO324" s="245" t="str">
        <f>CONCATENATE(DM324,DL324)</f>
        <v>1</v>
      </c>
      <c r="DP324" s="245">
        <f>IF(DK324="*",1,0)</f>
        <v>0</v>
      </c>
      <c r="DQ324" s="245">
        <f>IF(DL324="*",1,0)</f>
        <v>0</v>
      </c>
      <c r="DR324" s="245"/>
      <c r="DS324" s="245"/>
      <c r="DT324" s="245"/>
      <c r="DU324" s="245"/>
      <c r="DV324" s="266"/>
      <c r="DW324" s="266"/>
      <c r="DX324" s="238">
        <f>IF(AK324="",0,1)</f>
        <v>0</v>
      </c>
      <c r="DY324" s="238">
        <f>IF(DG324=-3,1,0)</f>
        <v>0</v>
      </c>
      <c r="DZ324" s="238">
        <f>SUM(DX324:DY324)</f>
        <v>0</v>
      </c>
      <c r="EA324" s="238">
        <f>IF(AK324="",1,0)</f>
        <v>1</v>
      </c>
      <c r="EB324" s="238">
        <f>IF(DG324=3,1,0)</f>
        <v>0</v>
      </c>
      <c r="EC324" s="238">
        <f>SUM(EA324:EB324)</f>
        <v>1</v>
      </c>
      <c r="ED324" s="267">
        <f>IF(EC324=2,1,0)</f>
        <v>0</v>
      </c>
      <c r="EE324" s="267">
        <f>IF(DZ324=2,1,0)</f>
        <v>0</v>
      </c>
      <c r="EG324" s="166"/>
      <c r="EH324" s="238"/>
      <c r="EI324" s="238"/>
      <c r="EJ324" s="238"/>
      <c r="EK324" s="238"/>
      <c r="EL324" s="238"/>
      <c r="EM324" s="245">
        <f>IF(AK324="",0,1)</f>
        <v>0</v>
      </c>
      <c r="EN324" s="245">
        <f>SUM(AK324)</f>
        <v>0</v>
      </c>
      <c r="EO324" s="268">
        <f>SUM(AJ324)</f>
        <v>0</v>
      </c>
      <c r="EP324" s="268">
        <f>SUM(G324/3)</f>
        <v>0</v>
      </c>
      <c r="EQ324" s="268" t="e">
        <f>SUM(EO324/EP324)</f>
        <v>#DIV/0!</v>
      </c>
      <c r="ER324" s="268">
        <f>ROUNDDOWN(EP324,0)</f>
        <v>0</v>
      </c>
      <c r="ES324" s="268">
        <f>SUM(EO324,-ER324*3)</f>
        <v>0</v>
      </c>
      <c r="ET324" s="269" t="b">
        <f>MOD(EN324/1,2)=0</f>
        <v>1</v>
      </c>
      <c r="EU324" s="245">
        <f>IF(ET324=FALSE,1,0)</f>
        <v>0</v>
      </c>
      <c r="EV324" s="245">
        <f>IF(EN324=50,0,IF(EN324&lt;40,1,0))</f>
        <v>1</v>
      </c>
      <c r="EW324" s="245">
        <f>SUM(EU324:EV324)</f>
        <v>1</v>
      </c>
      <c r="EX324" s="267">
        <f>IF(EN324=1,1,IF(EN324=50,0,IF(ES324=1,IF(EN324&gt;40,1,0),0)))</f>
        <v>0</v>
      </c>
      <c r="EY324" s="267">
        <f>IF(ES324=1,IF(EW324=2,1,0),0)+EX324+FB324+FE324</f>
        <v>0</v>
      </c>
      <c r="EZ324" s="245">
        <f>IF(EN324=109,1,IF(EN324=108,1,IF(EN324=106,1,IF(EN324=105,1,IF(EN324=103,1,IF(EN324=102,1,IF(EN324=99,1,0)))))))</f>
        <v>0</v>
      </c>
      <c r="FA324" s="245">
        <f>IF(EN324&gt;110,1,0)</f>
        <v>0</v>
      </c>
      <c r="FB324" s="267">
        <f>IF(ES324=2,SUM(EZ324:FA324),0)</f>
        <v>0</v>
      </c>
      <c r="FC324" s="245">
        <f>IF(EN324=159,1,IF(EN324=162,1,IF(EN324=163,1,IF(EN324=165,1,IF(EN324=166,1,IF(EN324=168,1,IF(EN324=169,1,0)))))))</f>
        <v>0</v>
      </c>
      <c r="FD324" s="245">
        <f>IF(EN324&gt;170,1,0)</f>
        <v>0</v>
      </c>
      <c r="FE324" s="267">
        <f>IF(ES324=0,SUM(FC324:FD324),0)</f>
        <v>0</v>
      </c>
      <c r="FF324" s="251">
        <f>IF(AJ324="",0,IF(AI324="",0,IF(EO324/ER324-3=0,0,1)))</f>
        <v>0</v>
      </c>
      <c r="FG324" s="238"/>
      <c r="FH324" s="245">
        <f>IF(AY324="",0,1)</f>
        <v>0</v>
      </c>
      <c r="FI324" s="245">
        <f>SUM(AY324)</f>
        <v>0</v>
      </c>
      <c r="FJ324" s="268">
        <f>SUM(AX324)</f>
        <v>0</v>
      </c>
      <c r="FK324" s="268">
        <f>SUM(V324/3)</f>
        <v>0</v>
      </c>
      <c r="FL324" s="268" t="e">
        <f>SUM(FJ324/FK324)</f>
        <v>#DIV/0!</v>
      </c>
      <c r="FM324" s="268">
        <f>ROUNDDOWN(FK324,0)</f>
        <v>0</v>
      </c>
      <c r="FN324" s="268">
        <f>SUM(FJ324,-FM324*3)</f>
        <v>0</v>
      </c>
      <c r="FO324" s="269" t="b">
        <f>MOD(FI324/1,2)=0</f>
        <v>1</v>
      </c>
      <c r="FP324" s="245">
        <f>IF(FO324=FALSE,1,0)</f>
        <v>0</v>
      </c>
      <c r="FQ324" s="245">
        <f>IF(FI324=50,0,IF(FI324&lt;40,1,0))</f>
        <v>1</v>
      </c>
      <c r="FR324" s="245">
        <f>SUM(FP324:FQ324)</f>
        <v>1</v>
      </c>
      <c r="FS324" s="267">
        <f>IF(FI324=1,1,IF(FI324=50,0,IF(FN324=1,IF(FI324&gt;40,1,0),0)))</f>
        <v>0</v>
      </c>
      <c r="FT324" s="267">
        <f>IF(FN324=1,IF(FR324=2,1,0),0)+FS324+FW324+FZ324</f>
        <v>0</v>
      </c>
      <c r="FU324" s="245">
        <f>IF(FI324=109,1,IF(FI324=108,1,IF(FI324=106,1,IF(FI324=105,1,IF(FI324=103,1,IF(FI324=102,1,IF(FI324=99,1,0)))))))</f>
        <v>0</v>
      </c>
      <c r="FV324" s="245">
        <f>IF(FI324&gt;110,1,0)</f>
        <v>0</v>
      </c>
      <c r="FW324" s="267">
        <f>IF(FN324=2,SUM(FU324:FV324),0)</f>
        <v>0</v>
      </c>
      <c r="FX324" s="245">
        <f>IF(FI324=159,1,IF(FI324=162,1,IF(FI324=163,1,IF(FI324=165,1,IF(FI324=166,1,IF(FI324=168,1,IF(FI324=169,1,0)))))))</f>
        <v>0</v>
      </c>
      <c r="FY324" s="245">
        <f>IF(FI324&gt;170,1,0)</f>
        <v>0</v>
      </c>
      <c r="FZ324" s="267">
        <f>IF(FN324=0,SUM(FX324:FY324),0)</f>
        <v>0</v>
      </c>
      <c r="GA324" s="251">
        <f>IF(AX324="",0,IF(AW324="",0,IF(FJ324/FM324-3=0,0,1)))</f>
        <v>0</v>
      </c>
      <c r="GD324" s="341">
        <f>IF(AK321="D",1,0)</f>
        <v>0</v>
      </c>
      <c r="GE324" s="343"/>
      <c r="GF324" s="343" t="s">
        <v>866</v>
      </c>
      <c r="GG324" s="343" t="s">
        <v>868</v>
      </c>
      <c r="GH324" s="343" t="s">
        <v>848</v>
      </c>
      <c r="GI324" s="343">
        <v>180</v>
      </c>
      <c r="GJ324" s="343" t="s">
        <v>866</v>
      </c>
      <c r="GK324" s="343" t="s">
        <v>868</v>
      </c>
      <c r="GL324" s="343" t="s">
        <v>848</v>
      </c>
      <c r="GM324" s="343">
        <v>180</v>
      </c>
      <c r="GN324" s="343" t="s">
        <v>866</v>
      </c>
      <c r="GO324" s="343" t="s">
        <v>868</v>
      </c>
      <c r="GP324" s="343" t="s">
        <v>848</v>
      </c>
      <c r="GQ324" s="343">
        <v>180</v>
      </c>
      <c r="GR324" s="343" t="s">
        <v>866</v>
      </c>
      <c r="GS324" s="343" t="s">
        <v>868</v>
      </c>
      <c r="GT324" s="343" t="s">
        <v>848</v>
      </c>
      <c r="GU324" s="343">
        <v>180</v>
      </c>
      <c r="GV324" s="343" t="s">
        <v>866</v>
      </c>
      <c r="GW324" s="343" t="s">
        <v>868</v>
      </c>
      <c r="GX324" s="343" t="s">
        <v>848</v>
      </c>
      <c r="GY324" s="343">
        <v>180</v>
      </c>
      <c r="GZ324" s="343" t="s">
        <v>866</v>
      </c>
      <c r="HA324" s="343" t="s">
        <v>868</v>
      </c>
      <c r="HB324" s="343" t="s">
        <v>848</v>
      </c>
      <c r="HC324" s="343">
        <v>180</v>
      </c>
      <c r="HD324" s="343" t="s">
        <v>866</v>
      </c>
      <c r="HE324" s="343" t="s">
        <v>868</v>
      </c>
      <c r="HF324" s="341" t="s">
        <v>975</v>
      </c>
      <c r="HG324" s="341" t="s">
        <v>976</v>
      </c>
      <c r="HH324" s="341" t="s">
        <v>899</v>
      </c>
      <c r="HJ324" s="238"/>
      <c r="HK324" s="238"/>
      <c r="HL324" s="238"/>
      <c r="HM324" s="238">
        <f>COUNT(HI325,HJ325,HK325,HL325,HM325)</f>
        <v>0</v>
      </c>
      <c r="HN324" s="341"/>
      <c r="HO324" s="341"/>
      <c r="HP324" s="341"/>
      <c r="HQ324" s="341"/>
      <c r="HR324" s="341"/>
      <c r="HS324" s="238"/>
      <c r="HT324" s="238"/>
      <c r="HU324" s="238"/>
      <c r="HV324" s="238"/>
      <c r="HX324" s="238"/>
      <c r="HY324" s="238"/>
      <c r="ID324" s="238"/>
    </row>
    <row r="325" spans="1:238" s="234" customFormat="1" ht="20.100000000000001" customHeight="1">
      <c r="A325" s="235"/>
      <c r="B325" s="231">
        <f>COUNT(AJ326,AJ325)</f>
        <v>0</v>
      </c>
      <c r="C325" s="326">
        <f>IF(DK324="*",AJ321,AI321)</f>
        <v>3.3</v>
      </c>
      <c r="D325" s="253" t="str">
        <f>REPT(DN325,1)</f>
        <v>2</v>
      </c>
      <c r="E325" s="254" t="str">
        <f>REPT(AH325,1)</f>
        <v/>
      </c>
      <c r="F325" s="168"/>
      <c r="G325" s="168"/>
      <c r="H325" s="168"/>
      <c r="I325" s="169"/>
      <c r="J325" s="270" t="str">
        <f>REPT(AM325,1)</f>
        <v/>
      </c>
      <c r="L325" s="306" t="s">
        <v>922</v>
      </c>
      <c r="M325" s="311"/>
      <c r="N325" s="270" t="str">
        <f>REPT(AP325,1)</f>
        <v/>
      </c>
      <c r="P325" s="306" t="s">
        <v>922</v>
      </c>
      <c r="Q325" s="310"/>
      <c r="R325" s="324">
        <f>IF(DL324="*",AJ321,AI321)</f>
        <v>3.3</v>
      </c>
      <c r="S325" s="253" t="str">
        <f>REPT(DO325,1)</f>
        <v>2</v>
      </c>
      <c r="T325" s="254" t="str">
        <f>REPT(AV325,1)</f>
        <v/>
      </c>
      <c r="U325" s="168"/>
      <c r="V325" s="168"/>
      <c r="W325" s="168"/>
      <c r="X325" s="169"/>
      <c r="Y325" s="270" t="str">
        <f t="shared" ref="Y325:Y327" si="792">REPT(BA325,1)</f>
        <v/>
      </c>
      <c r="Z325" s="308"/>
      <c r="AB325" s="234">
        <f>IF(AY325="",0,IF(AY325&lt;2,1,""))</f>
        <v>0</v>
      </c>
      <c r="AC325" s="238">
        <f t="shared" ref="AC325:AC326" si="793">IF(AD325=1,1,IF(AD325=3,1,IF(AD325=2,0,IF(AD325=0,0,0))))</f>
        <v>0</v>
      </c>
      <c r="AD325" s="256">
        <f t="shared" ref="AD325:AD328" si="794">SUM(AE325:AG325)</f>
        <v>0</v>
      </c>
      <c r="AE325" s="256">
        <f t="shared" si="788"/>
        <v>0</v>
      </c>
      <c r="AF325" s="256">
        <f t="shared" si="789"/>
        <v>0</v>
      </c>
      <c r="AG325" s="256">
        <f t="shared" ref="AG325:AG328" si="795">IF(H325="",0,1)</f>
        <v>0</v>
      </c>
      <c r="AH325" s="257" t="str">
        <f>IF(AK325="",IF(AI325="","",IF(AI325="",501,501-AI325)),501)</f>
        <v/>
      </c>
      <c r="AI325" s="256" t="str">
        <f>IF(F325&gt;1,F325,IF(F325=0,"",IF(F325="","","")))</f>
        <v/>
      </c>
      <c r="AJ325" s="256" t="str">
        <f>IF(G325&gt;8,G325,IF(G325="","",""))</f>
        <v/>
      </c>
      <c r="AK325" s="256" t="str">
        <f>IF(H325&gt;1,H325,IF(H325="","",""))</f>
        <v/>
      </c>
      <c r="AL325" s="256" t="str">
        <f>IF(I325&gt;0,I325,IF(I325="","",""))</f>
        <v/>
      </c>
      <c r="AM325" s="258" t="str">
        <f>IF(BK325=0,"","X")</f>
        <v/>
      </c>
      <c r="AN325" s="237"/>
      <c r="AO325" s="237"/>
      <c r="AP325" s="258" t="str">
        <f>IF(BM325=0,"","X")</f>
        <v/>
      </c>
      <c r="AQ325" s="236">
        <f t="shared" ref="AQ325:AQ326" si="796">IF(AR325=1,1,IF(AR325=3,1,IF(AR325=2,0,IF(AR325=0,0,0))))</f>
        <v>0</v>
      </c>
      <c r="AR325" s="256">
        <f t="shared" ref="AR325:AR328" si="797">SUM(AS325:AU325)</f>
        <v>0</v>
      </c>
      <c r="AS325" s="256">
        <f t="shared" si="790"/>
        <v>0</v>
      </c>
      <c r="AT325" s="256">
        <f t="shared" si="791"/>
        <v>0</v>
      </c>
      <c r="AU325" s="256">
        <f t="shared" ref="AU325:AU328" si="798">IF(W325="",0,1)</f>
        <v>0</v>
      </c>
      <c r="AV325" s="257" t="str">
        <f>IF(AY325="",IF(AW325="","",IF(AW325="",501,501-AW325)),501)</f>
        <v/>
      </c>
      <c r="AW325" s="256" t="str">
        <f>IF(U325&gt;1,U325,IF(U325=0,"",IF(U325="","","")))</f>
        <v/>
      </c>
      <c r="AX325" s="256" t="str">
        <f>IF(V325&gt;8,V325,IF(V325="","",""))</f>
        <v/>
      </c>
      <c r="AY325" s="256" t="str">
        <f>IF(W325&gt;1,W325,IF(W325="","",""))</f>
        <v/>
      </c>
      <c r="AZ325" s="256" t="str">
        <f>IF(X325&gt;0,X325,IF(X325="","",""))</f>
        <v/>
      </c>
      <c r="BA325" s="258" t="str">
        <f>IF(BL325=0,"","X")</f>
        <v/>
      </c>
      <c r="BK325" s="251">
        <f>SUM(DD325,DV325,EY325,ED325,FF325,BQ325,BS325,AC325)</f>
        <v>0</v>
      </c>
      <c r="BL325" s="251">
        <f>SUM(DE325,DW325,EE325,FT325,GA325,BR325,BT325,AQ325)</f>
        <v>0</v>
      </c>
      <c r="BM325" s="259">
        <f t="shared" ref="BM325:BM326" si="799">SUM(DC325,BK325:BL325,AC325,AQ325)</f>
        <v>0</v>
      </c>
      <c r="BN325" s="239">
        <f>COUNT(AK325)</f>
        <v>0</v>
      </c>
      <c r="BO325" s="239">
        <f>COUNT(AY325)</f>
        <v>0</v>
      </c>
      <c r="BP325" s="239">
        <f>IF(BN327=0,0,1)</f>
        <v>0</v>
      </c>
      <c r="BQ325" s="260">
        <f>IF(AL325="",0,IF(AL325&gt;2,1,0))</f>
        <v>0</v>
      </c>
      <c r="BR325" s="261">
        <f>IF(AZ325="",0,IF(AZ325&gt;2,1,0))</f>
        <v>0</v>
      </c>
      <c r="BS325" s="262">
        <f>IF(AJ325=9,IF(AK325&lt;141,1,0),0)</f>
        <v>0</v>
      </c>
      <c r="BT325" s="263">
        <f>IF(AX325=9,IF(AY325&lt;141,1,0),0)</f>
        <v>0</v>
      </c>
      <c r="BU325" s="242">
        <f>IF(H325,G325,0)</f>
        <v>0</v>
      </c>
      <c r="BV325" s="238">
        <f>IF(BU325&gt;0,AJ325/3,0)</f>
        <v>0</v>
      </c>
      <c r="BW325" s="238">
        <f>ROUNDUP(BV325,0)</f>
        <v>0</v>
      </c>
      <c r="BX325" s="244">
        <f>IF(MOD(BW325,2)=0,BW325,BW325+1)</f>
        <v>0</v>
      </c>
      <c r="BY325" s="238">
        <f>IF(AJ325&lt;9,"",SUM(BX325-BW325))</f>
        <v>0</v>
      </c>
      <c r="BZ325" s="238">
        <f>IF(BY325=1,AK325,0)</f>
        <v>0</v>
      </c>
      <c r="CA325" s="243" t="str">
        <f>IF(BY325=0,AK325,0)</f>
        <v/>
      </c>
      <c r="CB325" s="238"/>
      <c r="CC325" s="238"/>
      <c r="CD325" s="242">
        <f>IF(W325,V325,0)</f>
        <v>0</v>
      </c>
      <c r="CE325" s="238">
        <f>IF(CD325&gt;0,AX325/3,0)</f>
        <v>0</v>
      </c>
      <c r="CF325" s="238">
        <f>ROUNDUP(CE325,0)</f>
        <v>0</v>
      </c>
      <c r="CG325" s="244">
        <f>IF(MOD(CF325,2)=0,CF325,CF325+1)</f>
        <v>0</v>
      </c>
      <c r="CH325" s="238">
        <f>IF(AX325&lt;9,"",SUM(CG325-CF325))</f>
        <v>0</v>
      </c>
      <c r="CI325" s="238">
        <f>IF(CH325=1,AY325,0)</f>
        <v>0</v>
      </c>
      <c r="CJ325" s="243" t="str">
        <f>IF(CH325=0,AY325,0)</f>
        <v/>
      </c>
      <c r="CK325" s="238"/>
      <c r="CL325" s="245">
        <f>IF(COUNT(F325,H325)=1,0,1)</f>
        <v>1</v>
      </c>
      <c r="CM325" s="245">
        <f>IF(COUNT(F325,U325)=1,0,1)</f>
        <v>1</v>
      </c>
      <c r="CN325" s="245">
        <f>IF(COUNT(H325,W325)=1,0,1)</f>
        <v>1</v>
      </c>
      <c r="CO325" s="245">
        <f>IF(COUNT(G325,V325)=2,0,1)</f>
        <v>1</v>
      </c>
      <c r="CP325" s="245">
        <f>IF(COUNT(U325,W325)=1,0,1)</f>
        <v>1</v>
      </c>
      <c r="CQ325" s="245">
        <f>IF(SUM(G325-V325)&gt;3,1,0)</f>
        <v>0</v>
      </c>
      <c r="CR325" s="245">
        <f>IF(SUM(G325-V325)&lt;-3,1,0)</f>
        <v>0</v>
      </c>
      <c r="CS325" s="264">
        <f>IF(AJ325=9,IF(AH325&lt;141,1,0),IF(AH325="",0,IF(AH325&gt;1,0,1)))</f>
        <v>0</v>
      </c>
      <c r="CT325" s="264">
        <f>IF(AX325=9,IF(AV325&lt;141,1,0),IF(AV325="",0,IF(AV325&gt;1,0,1)))</f>
        <v>0</v>
      </c>
      <c r="CU325" s="264">
        <f>IF(AI325="",0,IF(AI325&lt;502,0,1))</f>
        <v>0</v>
      </c>
      <c r="CV325" s="264">
        <f>IF(AW325="",0,IF(AW325&lt;502,0,1))</f>
        <v>0</v>
      </c>
      <c r="CW325" s="264">
        <f>IF(AI325="",IF(AJ325&lt;9,1,0),IF(AJ325&lt;9,1,0))</f>
        <v>0</v>
      </c>
      <c r="CX325" s="264">
        <f>IF(AW325="",IF(AX325&lt;9,1,0),IF(AX325&lt;9,1,0))</f>
        <v>0</v>
      </c>
      <c r="CY325" s="374"/>
      <c r="CZ325" s="374"/>
      <c r="DA325" s="374"/>
      <c r="DB325" s="374"/>
      <c r="DC325" s="265">
        <f>IF(AJ325="",0,SUM(CL325:CX325))</f>
        <v>0</v>
      </c>
      <c r="DD325" s="265">
        <f>IF(AJ325="",0,SUM(CL325,CS325,CU325,CW325))</f>
        <v>0</v>
      </c>
      <c r="DE325" s="265">
        <f>IF(AJ325="",0,SUM(CP325,CT325,CV325,CX325))</f>
        <v>0</v>
      </c>
      <c r="DF325" s="238"/>
      <c r="DG325" s="248">
        <f>SUM(G325-V325)</f>
        <v>0</v>
      </c>
      <c r="DH325" s="245">
        <f>IF(F325="",0,1)</f>
        <v>0</v>
      </c>
      <c r="DI325" s="245">
        <f t="shared" ref="DI325:DI328" si="800">IF(DG325=0,DH325,DG325)</f>
        <v>0</v>
      </c>
      <c r="DJ325" s="245">
        <f t="shared" ref="DJ325:DJ328" si="801">SIGN(DI325)</f>
        <v>0</v>
      </c>
      <c r="DK325" s="245" t="str">
        <f>IF(G325="","",IF(DJ325=1,"*",""))</f>
        <v/>
      </c>
      <c r="DL325" s="245" t="str">
        <f>IF(G325="","",IF(DJ325=-1,"*",IF(DJ325=0,"*","")))</f>
        <v/>
      </c>
      <c r="DM325" s="245">
        <v>2</v>
      </c>
      <c r="DN325" s="245" t="str">
        <f t="shared" ref="DN325:DN328" si="802">CONCATENATE(DM325,DK325)</f>
        <v>2</v>
      </c>
      <c r="DO325" s="245" t="str">
        <f t="shared" ref="DO325:DO328" si="803">CONCATENATE(DM325,DL325)</f>
        <v>2</v>
      </c>
      <c r="DP325" s="245">
        <f>SUM(DQ324)</f>
        <v>0</v>
      </c>
      <c r="DQ325" s="245">
        <f>SUM(DP324)</f>
        <v>0</v>
      </c>
      <c r="DR325" s="245">
        <f>IF(DK325="*",1,0)</f>
        <v>0</v>
      </c>
      <c r="DS325" s="245">
        <f>IF(DL325="*",1,0)</f>
        <v>0</v>
      </c>
      <c r="DT325" s="245">
        <f>IF(H315="",0,IF(DP325=DR325,1,0))</f>
        <v>0</v>
      </c>
      <c r="DU325" s="245">
        <f>IF(V325="",0,IF(DQ325=DS325,0,1))</f>
        <v>0</v>
      </c>
      <c r="DV325" s="267">
        <f>SUM(DT325)</f>
        <v>0</v>
      </c>
      <c r="DW325" s="267">
        <f>IF(V325="",0,SUM(DU325))</f>
        <v>0</v>
      </c>
      <c r="DX325" s="238">
        <f>IF(AK325="",0,1)</f>
        <v>0</v>
      </c>
      <c r="DY325" s="238">
        <f>IF(DG325=-3,1,0)</f>
        <v>0</v>
      </c>
      <c r="DZ325" s="238">
        <f>SUM(DX325:DY325)</f>
        <v>0</v>
      </c>
      <c r="EA325" s="238">
        <f>IF(AK325="",1,0)</f>
        <v>1</v>
      </c>
      <c r="EB325" s="238">
        <f>IF(DG325=3,1,0)</f>
        <v>0</v>
      </c>
      <c r="EC325" s="238">
        <f>SUM(EA325:EB325)</f>
        <v>1</v>
      </c>
      <c r="ED325" s="267">
        <f>IF(EC325=2,1,0)</f>
        <v>0</v>
      </c>
      <c r="EE325" s="267">
        <f>IF(DZ325=2,1,0)</f>
        <v>0</v>
      </c>
      <c r="EG325" s="166"/>
      <c r="EH325" s="238"/>
      <c r="EI325" s="238"/>
      <c r="EJ325" s="238"/>
      <c r="EK325" s="238"/>
      <c r="EL325" s="238"/>
      <c r="EM325" s="245">
        <f>IF(AK325="",0,1)</f>
        <v>0</v>
      </c>
      <c r="EN325" s="245">
        <f>SUM(AK325)</f>
        <v>0</v>
      </c>
      <c r="EO325" s="268">
        <f>SUM(AJ325)</f>
        <v>0</v>
      </c>
      <c r="EP325" s="268">
        <f>SUM(G325/3)</f>
        <v>0</v>
      </c>
      <c r="EQ325" s="268" t="e">
        <f>SUM(EO325/EP325)</f>
        <v>#DIV/0!</v>
      </c>
      <c r="ER325" s="268">
        <f>ROUNDDOWN(EP325,0)</f>
        <v>0</v>
      </c>
      <c r="ES325" s="268">
        <f>SUM(EO325,-ER325*3)</f>
        <v>0</v>
      </c>
      <c r="ET325" s="269" t="b">
        <f>MOD(EN325/1,2)=0</f>
        <v>1</v>
      </c>
      <c r="EU325" s="245">
        <f>IF(ET325=FALSE,1,0)</f>
        <v>0</v>
      </c>
      <c r="EV325" s="245">
        <f>IF(EN325=50,0,IF(EN325&lt;40,1,0))</f>
        <v>1</v>
      </c>
      <c r="EW325" s="245">
        <f>SUM(EU325:EV325)</f>
        <v>1</v>
      </c>
      <c r="EX325" s="267">
        <f>IF(EN325=1,1,IF(EN325=50,0,IF(ES325=1,IF(EN325&gt;40,1,0),0)))</f>
        <v>0</v>
      </c>
      <c r="EY325" s="267">
        <f>IF(ES325=1,IF(EW325=2,1,0),0)+EX325+FB325+FE325</f>
        <v>0</v>
      </c>
      <c r="EZ325" s="245">
        <f>IF(EN325=109,1,IF(EN325=108,1,IF(EN325=106,1,IF(EN325=105,1,IF(EN325=103,1,IF(EN325=102,1,IF(EN325=99,1,0)))))))</f>
        <v>0</v>
      </c>
      <c r="FA325" s="245">
        <f>IF(EN325&gt;110,1,0)</f>
        <v>0</v>
      </c>
      <c r="FB325" s="267">
        <f>IF(ES325=2,SUM(EZ325:FA325),0)</f>
        <v>0</v>
      </c>
      <c r="FC325" s="245">
        <f>IF(EN325=159,1,IF(EN325=162,1,IF(EN325=163,1,IF(EN325=165,1,IF(EN325=166,1,IF(EN325=168,1,IF(EN325=169,1,0)))))))</f>
        <v>0</v>
      </c>
      <c r="FD325" s="245">
        <f>IF(EN325&gt;170,1,0)</f>
        <v>0</v>
      </c>
      <c r="FE325" s="267">
        <f>IF(ES325=0,SUM(FC325:FD325),0)</f>
        <v>0</v>
      </c>
      <c r="FF325" s="251">
        <f t="shared" ref="FF325:FF328" si="804">IF(AJ325="",0,IF(AI325="",0,IF(EO325/ER325-3=0,0,1)))</f>
        <v>0</v>
      </c>
      <c r="FG325" s="238"/>
      <c r="FH325" s="245">
        <f>IF(AY325="",0,1)</f>
        <v>0</v>
      </c>
      <c r="FI325" s="245">
        <f>SUM(AY325)</f>
        <v>0</v>
      </c>
      <c r="FJ325" s="268">
        <f>SUM(AX325)</f>
        <v>0</v>
      </c>
      <c r="FK325" s="268">
        <f>SUM(V325/3)</f>
        <v>0</v>
      </c>
      <c r="FL325" s="268" t="e">
        <f>SUM(FJ325/FK325)</f>
        <v>#DIV/0!</v>
      </c>
      <c r="FM325" s="268">
        <f>ROUNDDOWN(FK325,0)</f>
        <v>0</v>
      </c>
      <c r="FN325" s="268">
        <f>SUM(FJ325,-FM325*3)</f>
        <v>0</v>
      </c>
      <c r="FO325" s="269" t="b">
        <f>MOD(FI325/1,2)=0</f>
        <v>1</v>
      </c>
      <c r="FP325" s="245">
        <f>IF(FO325=FALSE,1,0)</f>
        <v>0</v>
      </c>
      <c r="FQ325" s="245">
        <f>IF(FI325=50,0,IF(FI325&lt;40,1,0))</f>
        <v>1</v>
      </c>
      <c r="FR325" s="245">
        <f>SUM(FP325:FQ325)</f>
        <v>1</v>
      </c>
      <c r="FS325" s="267">
        <f>IF(FI325=1,1,IF(FI325=50,0,IF(FN325=1,IF(FI325&gt;40,1,0),0)))</f>
        <v>0</v>
      </c>
      <c r="FT325" s="267">
        <f>IF(FN325=1,IF(FR325=2,1,0),0)+FS325+FW325+FZ325</f>
        <v>0</v>
      </c>
      <c r="FU325" s="245">
        <f>IF(FI325=109,1,IF(FI325=108,1,IF(FI325=106,1,IF(FI325=105,1,IF(FI325=103,1,IF(FI325=102,1,IF(FI325=99,1,0)))))))</f>
        <v>0</v>
      </c>
      <c r="FV325" s="245">
        <f>IF(FI325&gt;110,1,0)</f>
        <v>0</v>
      </c>
      <c r="FW325" s="267">
        <f>IF(FN325=2,SUM(FU325:FV325),0)</f>
        <v>0</v>
      </c>
      <c r="FX325" s="245">
        <f>IF(FI325=159,1,IF(FI325=162,1,IF(FI325=163,1,IF(FI325=165,1,IF(FI325=166,1,IF(FI325=168,1,IF(FI325=169,1,0)))))))</f>
        <v>0</v>
      </c>
      <c r="FY325" s="245">
        <f>IF(FI325&gt;170,1,0)</f>
        <v>0</v>
      </c>
      <c r="FZ325" s="267">
        <f>IF(FN325=0,SUM(FX325:FY325),0)</f>
        <v>0</v>
      </c>
      <c r="GA325" s="251">
        <f t="shared" ref="GA325:GA328" si="805">IF(AX325="",0,IF(AW325="",0,IF(FJ325/FM325-3=0,0,1)))</f>
        <v>0</v>
      </c>
      <c r="GC325" s="238" t="str">
        <f>VLOOKUP(AH321,Chema!BL:BR,2,FALSE)</f>
        <v>HS 3.3</v>
      </c>
      <c r="GD325" s="341">
        <f>IF(E331="FORFAIT",1,0)</f>
        <v>0</v>
      </c>
      <c r="GE325" s="343" t="str">
        <f>IF(C331="","",SUM(C331))</f>
        <v/>
      </c>
      <c r="GF325" s="344">
        <f>SUM(AH324)</f>
        <v>0</v>
      </c>
      <c r="GG325" s="344">
        <f>SUM(AJ324)</f>
        <v>0</v>
      </c>
      <c r="GH325" s="344">
        <f t="shared" ref="GH325" si="806">SUM(AK324)</f>
        <v>0</v>
      </c>
      <c r="GI325" s="344">
        <f t="shared" ref="GI325" si="807">SUM(AL324)</f>
        <v>0</v>
      </c>
      <c r="GJ325" s="344">
        <f>SUM(AH325)</f>
        <v>0</v>
      </c>
      <c r="GK325" s="344">
        <f>SUM(AJ325)</f>
        <v>0</v>
      </c>
      <c r="GL325" s="344">
        <f>SUM(AK325)</f>
        <v>0</v>
      </c>
      <c r="GM325" s="344">
        <f>SUM(AL325)</f>
        <v>0</v>
      </c>
      <c r="GN325" s="344">
        <f>SUM(AH326)</f>
        <v>0</v>
      </c>
      <c r="GO325" s="344">
        <f>SUM(AJ326)</f>
        <v>0</v>
      </c>
      <c r="GP325" s="344">
        <f>SUM(AK326)</f>
        <v>0</v>
      </c>
      <c r="GQ325" s="344">
        <f>SUM(AL326)</f>
        <v>0</v>
      </c>
      <c r="GR325" s="344">
        <f>SUM(AH327)</f>
        <v>0</v>
      </c>
      <c r="GS325" s="344">
        <f>SUM(AJ327)</f>
        <v>0</v>
      </c>
      <c r="GT325" s="344">
        <f>SUM(AK327)</f>
        <v>0</v>
      </c>
      <c r="GU325" s="344">
        <f>SUM(AL327)</f>
        <v>0</v>
      </c>
      <c r="GV325" s="344">
        <f>SUM(AH328)</f>
        <v>0</v>
      </c>
      <c r="GW325" s="344">
        <f>SUM(AJ328)</f>
        <v>0</v>
      </c>
      <c r="GX325" s="344">
        <f>SUM(AK328)</f>
        <v>0</v>
      </c>
      <c r="GY325" s="344">
        <f>SUM(AL328)</f>
        <v>0</v>
      </c>
      <c r="GZ325" s="344">
        <f>SUM(GF325,GJ325,GN325,GR325,GV325)</f>
        <v>0</v>
      </c>
      <c r="HA325" s="344">
        <f t="shared" ref="HA325" si="808">SUM(GG325,GK325,GO325,GS325,GW325)</f>
        <v>0</v>
      </c>
      <c r="HB325" s="344">
        <f>IF(GD324=1,L331,MAX(GH325,GL325,GP325,GT325,GX325))</f>
        <v>0</v>
      </c>
      <c r="HC325" s="344">
        <f>IF(GD324=1,I331,SUM(GI325,GM325,GQ325,GU325,GY325))</f>
        <v>0</v>
      </c>
      <c r="HD325" s="345">
        <f>IF(GD324=1,0,SUM(GF325,GJ325,GN325,GR325,GV325))</f>
        <v>0</v>
      </c>
      <c r="HE325" s="345">
        <f>IF(GD324=1,0,SUM(GG325,GK325,GO325,GS325,GW325))</f>
        <v>0</v>
      </c>
      <c r="HF325" s="341">
        <f>IF(GD324=1,0,MIN(HI325,HJ325,HK325,HL325,HM325))</f>
        <v>0</v>
      </c>
      <c r="HG325" s="341">
        <f>IF(HF325=0,0,COUNTIF(HI325:HM325,HF325))</f>
        <v>0</v>
      </c>
      <c r="HH325" s="341">
        <f>SUM(GH326,GL326,GP326,GT326,GX326)</f>
        <v>0</v>
      </c>
      <c r="HI325" s="343" t="str">
        <f>IF(GH326=1,GG325,"")</f>
        <v/>
      </c>
      <c r="HJ325" s="343" t="str">
        <f>IF(GL326=1,GK325,"")</f>
        <v/>
      </c>
      <c r="HK325" s="343" t="str">
        <f>IF(GP326=1,GO325,"")</f>
        <v/>
      </c>
      <c r="HL325" s="343" t="str">
        <f>IF(GT326=1,GS325,"")</f>
        <v/>
      </c>
      <c r="HM325" s="343" t="str">
        <f>IF(GX326=1,GW325,"")</f>
        <v/>
      </c>
      <c r="HN325" s="341"/>
      <c r="HO325" s="341" t="s">
        <v>928</v>
      </c>
      <c r="HP325" s="341" t="s">
        <v>982</v>
      </c>
      <c r="HQ325" s="341" t="s">
        <v>983</v>
      </c>
      <c r="HR325" s="341" t="s">
        <v>984</v>
      </c>
      <c r="HS325" s="238" t="s">
        <v>932</v>
      </c>
      <c r="HT325" s="238" t="s">
        <v>933</v>
      </c>
      <c r="HU325" s="238" t="s">
        <v>985</v>
      </c>
      <c r="HV325" s="238" t="s">
        <v>986</v>
      </c>
      <c r="HW325" s="238" t="str">
        <f>IFERROR(IF(GD324=0,SUM(HZ326:IA326),""),"")</f>
        <v/>
      </c>
      <c r="HY325" s="238"/>
      <c r="HZ325" s="238" t="s">
        <v>1132</v>
      </c>
      <c r="IA325" s="238" t="s">
        <v>1133</v>
      </c>
      <c r="IB325" s="238" t="s">
        <v>1132</v>
      </c>
      <c r="IC325" s="238" t="s">
        <v>1133</v>
      </c>
      <c r="ID325" s="238"/>
    </row>
    <row r="326" spans="1:238" s="234" customFormat="1" ht="20.100000000000001" customHeight="1">
      <c r="A326" s="235"/>
      <c r="B326" s="231">
        <f>COUNT(AJ327,AJ326)</f>
        <v>0</v>
      </c>
      <c r="C326" s="235"/>
      <c r="D326" s="271" t="str">
        <f>REPT(DN326,1)</f>
        <v>3</v>
      </c>
      <c r="E326" s="254" t="str">
        <f>REPT(AH326,1)</f>
        <v/>
      </c>
      <c r="F326" s="168"/>
      <c r="G326" s="168"/>
      <c r="H326" s="168"/>
      <c r="I326" s="169"/>
      <c r="J326" s="270" t="str">
        <f t="shared" ref="J326:J327" si="809">REPT(AM326,1)</f>
        <v/>
      </c>
      <c r="L326" s="312">
        <f>SUM(L324*3)</f>
        <v>0</v>
      </c>
      <c r="M326" s="307"/>
      <c r="N326" s="270" t="str">
        <f>REPT(AP326,1)</f>
        <v/>
      </c>
      <c r="P326" s="312">
        <f>SUM(P324*3)</f>
        <v>0</v>
      </c>
      <c r="Q326" s="310"/>
      <c r="R326" s="235"/>
      <c r="S326" s="271" t="str">
        <f>REPT(DO326,1)</f>
        <v>3</v>
      </c>
      <c r="T326" s="254" t="str">
        <f>REPT(AV326,1)</f>
        <v/>
      </c>
      <c r="U326" s="168"/>
      <c r="V326" s="168"/>
      <c r="W326" s="168"/>
      <c r="X326" s="169"/>
      <c r="Y326" s="270" t="str">
        <f t="shared" si="792"/>
        <v/>
      </c>
      <c r="Z326" s="308"/>
      <c r="AB326" s="234">
        <f>IF(AY326="",0,IF(AY326&lt;2,1,""))</f>
        <v>0</v>
      </c>
      <c r="AC326" s="238">
        <f t="shared" si="793"/>
        <v>0</v>
      </c>
      <c r="AD326" s="256">
        <f t="shared" si="794"/>
        <v>0</v>
      </c>
      <c r="AE326" s="256">
        <f t="shared" si="788"/>
        <v>0</v>
      </c>
      <c r="AF326" s="256">
        <f t="shared" si="789"/>
        <v>0</v>
      </c>
      <c r="AG326" s="256">
        <f t="shared" si="795"/>
        <v>0</v>
      </c>
      <c r="AH326" s="257" t="str">
        <f>IF(AK326="",IF(AI326="","",IF(AI326="",501,501-AI326)),501)</f>
        <v/>
      </c>
      <c r="AI326" s="256" t="str">
        <f>IF(F326&gt;1,F326,IF(F326=0,"",IF(F326="","","")))</f>
        <v/>
      </c>
      <c r="AJ326" s="256" t="str">
        <f>IF(G326&gt;8,G326,IF(G326="","",""))</f>
        <v/>
      </c>
      <c r="AK326" s="256" t="str">
        <f>IF(H326&gt;1,H326,IF(H326="","",""))</f>
        <v/>
      </c>
      <c r="AL326" s="256" t="str">
        <f>IF(I326&gt;0,I326,IF(I326="","",""))</f>
        <v/>
      </c>
      <c r="AM326" s="258" t="str">
        <f>IF(BK326=0,"","X")</f>
        <v/>
      </c>
      <c r="AN326" s="237"/>
      <c r="AO326" s="237"/>
      <c r="AP326" s="258" t="str">
        <f>IF(BM326=0,"","X")</f>
        <v/>
      </c>
      <c r="AQ326" s="236">
        <f t="shared" si="796"/>
        <v>0</v>
      </c>
      <c r="AR326" s="256">
        <f t="shared" si="797"/>
        <v>0</v>
      </c>
      <c r="AS326" s="256">
        <f t="shared" si="790"/>
        <v>0</v>
      </c>
      <c r="AT326" s="256">
        <f t="shared" si="791"/>
        <v>0</v>
      </c>
      <c r="AU326" s="256">
        <f t="shared" si="798"/>
        <v>0</v>
      </c>
      <c r="AV326" s="257" t="str">
        <f>IF(AY326="",IF(AW326="","",IF(AW326="",501,501-AW326)),501)</f>
        <v/>
      </c>
      <c r="AW326" s="256" t="str">
        <f>IF(U326&gt;1,U326,IF(U326=0,"",IF(U326="","","")))</f>
        <v/>
      </c>
      <c r="AX326" s="256" t="str">
        <f>IF(V326&gt;8,V326,IF(V326="","",""))</f>
        <v/>
      </c>
      <c r="AY326" s="256" t="str">
        <f>IF(W326&gt;1,W326,IF(W326="","",""))</f>
        <v/>
      </c>
      <c r="AZ326" s="256" t="str">
        <f>IF(X326&gt;0,X326,IF(X326="","",""))</f>
        <v/>
      </c>
      <c r="BA326" s="258" t="str">
        <f>IF(BL326=0,"","X")</f>
        <v/>
      </c>
      <c r="BK326" s="251">
        <f>SUM(DD326,DV326,EY326,ED326,FF326,BQ326,BS326,AC326,BK333)</f>
        <v>0</v>
      </c>
      <c r="BL326" s="251">
        <f>SUM(DE326,DW326,EE326,FT326,GA326,BR326,BT326,AQ326,BL333,CZ326)</f>
        <v>0</v>
      </c>
      <c r="BM326" s="259">
        <f t="shared" si="799"/>
        <v>0</v>
      </c>
      <c r="BN326" s="239">
        <f>COUNT(AK326)</f>
        <v>0</v>
      </c>
      <c r="BO326" s="239">
        <f>COUNT(AY326)</f>
        <v>0</v>
      </c>
      <c r="BP326" s="239">
        <f>IF(BN328=0,0,1)</f>
        <v>0</v>
      </c>
      <c r="BQ326" s="260">
        <f>IF(AL326="",0,IF(AL326&gt;2,1,0))</f>
        <v>0</v>
      </c>
      <c r="BR326" s="261">
        <f>IF(AZ326="",0,IF(AZ326&gt;2,1,0))</f>
        <v>0</v>
      </c>
      <c r="BS326" s="262">
        <f>IF(AJ326=9,IF(AK326&lt;141,1,0),0)</f>
        <v>0</v>
      </c>
      <c r="BT326" s="263">
        <f>IF(AX326=9,IF(AY326&lt;141,1,0),0)</f>
        <v>0</v>
      </c>
      <c r="BU326" s="242">
        <f>IF(H326,G326,0)</f>
        <v>0</v>
      </c>
      <c r="BV326" s="238">
        <f>IF(BU326&gt;0,AJ326/3,0)</f>
        <v>0</v>
      </c>
      <c r="BW326" s="238">
        <f>ROUNDUP(BV326,0)</f>
        <v>0</v>
      </c>
      <c r="BX326" s="244">
        <f>IF(MOD(BW326,2)=0,BW326,BW326+1)</f>
        <v>0</v>
      </c>
      <c r="BY326" s="238">
        <f>IF(AJ326&lt;9,"",SUM(BX326-BW326))</f>
        <v>0</v>
      </c>
      <c r="BZ326" s="238">
        <f>IF(BY326=1,AK326,0)</f>
        <v>0</v>
      </c>
      <c r="CA326" s="243" t="str">
        <f>IF(BY326=0,AK326,0)</f>
        <v/>
      </c>
      <c r="CB326" s="238"/>
      <c r="CC326" s="238"/>
      <c r="CD326" s="242">
        <f>IF(W326,V326,0)</f>
        <v>0</v>
      </c>
      <c r="CE326" s="238">
        <f>IF(CD326&gt;0,AX326/3,0)</f>
        <v>0</v>
      </c>
      <c r="CF326" s="238">
        <f>ROUNDUP(CE326,0)</f>
        <v>0</v>
      </c>
      <c r="CG326" s="244">
        <f>IF(MOD(CF326,2)=0,CF326,CF326+1)</f>
        <v>0</v>
      </c>
      <c r="CH326" s="238">
        <f>IF(AX326&lt;9,"",SUM(CG326-CF326))</f>
        <v>0</v>
      </c>
      <c r="CI326" s="238">
        <f>IF(CH326=1,AY326,0)</f>
        <v>0</v>
      </c>
      <c r="CJ326" s="243" t="str">
        <f>IF(CH326=0,AY326,0)</f>
        <v/>
      </c>
      <c r="CK326" s="238"/>
      <c r="CL326" s="245">
        <f>IF(COUNT(F326,H326)=1,0,1)</f>
        <v>1</v>
      </c>
      <c r="CM326" s="245">
        <f>IF(COUNT(F326,U326)=1,0,1)</f>
        <v>1</v>
      </c>
      <c r="CN326" s="245">
        <f>IF(COUNT(H326,W326)=1,0,1)</f>
        <v>1</v>
      </c>
      <c r="CO326" s="245">
        <f>IF(COUNT(G326,V326)=2,0,1)</f>
        <v>1</v>
      </c>
      <c r="CP326" s="245">
        <f>IF(COUNT(U326,W326)=1,0,1)</f>
        <v>1</v>
      </c>
      <c r="CQ326" s="245">
        <f>IF(SUM(G326-V326)&gt;3,1,0)</f>
        <v>0</v>
      </c>
      <c r="CR326" s="245">
        <f>IF(SUM(G326-V326)&lt;-3,1,0)</f>
        <v>0</v>
      </c>
      <c r="CS326" s="264">
        <f>IF(AJ326=9,IF(AH326&lt;141,1,0),IF(AH326="",0,IF(AH326&gt;1,0,1)))</f>
        <v>0</v>
      </c>
      <c r="CT326" s="264">
        <f>IF(AX326=9,IF(AV326&lt;141,1,0),IF(AV326="",0,IF(AV326&gt;1,0,1)))</f>
        <v>0</v>
      </c>
      <c r="CU326" s="264">
        <f>IF(AI326="",0,IF(AI326&lt;502,0,1))</f>
        <v>0</v>
      </c>
      <c r="CV326" s="264">
        <f>IF(AW326="",0,IF(AW326&lt;502,0,1))</f>
        <v>0</v>
      </c>
      <c r="CW326" s="264">
        <f>IF(AI326="",IF(AJ326&lt;9,1,0),IF(AJ326&lt;9,1,0))</f>
        <v>0</v>
      </c>
      <c r="CX326" s="264">
        <f>IF(AW326="",IF(AX326&lt;9,1,0),IF(AX326&lt;9,1,0))</f>
        <v>0</v>
      </c>
      <c r="CY326" s="374">
        <f>COUNT(U324,U325,U326)</f>
        <v>0</v>
      </c>
      <c r="CZ326" s="375">
        <f>IF(AL321=3,IF(CY326&gt;2,1,0),0)</f>
        <v>0</v>
      </c>
      <c r="DA326" s="374"/>
      <c r="DB326" s="374"/>
      <c r="DC326" s="265">
        <f>IF(AJ326="",0,SUM(CL326:CX326))</f>
        <v>0</v>
      </c>
      <c r="DD326" s="265">
        <f>IF(AJ326="",0,SUM(CL326,CS326,CU326,CW326))</f>
        <v>0</v>
      </c>
      <c r="DE326" s="265">
        <f>IF(AJ326="",0,SUM(CP326,CT326,CV326,CX326))</f>
        <v>0</v>
      </c>
      <c r="DF326" s="238"/>
      <c r="DG326" s="248">
        <f>SUM(G326-V326)</f>
        <v>0</v>
      </c>
      <c r="DH326" s="245">
        <f>IF(F326="",0,1)</f>
        <v>0</v>
      </c>
      <c r="DI326" s="245">
        <f t="shared" si="800"/>
        <v>0</v>
      </c>
      <c r="DJ326" s="245">
        <f t="shared" si="801"/>
        <v>0</v>
      </c>
      <c r="DK326" s="245" t="str">
        <f>IF(G326="","",IF(DJ326=1,"*",""))</f>
        <v/>
      </c>
      <c r="DL326" s="245" t="str">
        <f>IF(G326="","",IF(DJ326=-1,"*",IF(DJ326=0,"*","")))</f>
        <v/>
      </c>
      <c r="DM326" s="245">
        <v>3</v>
      </c>
      <c r="DN326" s="245" t="str">
        <f t="shared" si="802"/>
        <v>3</v>
      </c>
      <c r="DO326" s="245" t="str">
        <f t="shared" si="803"/>
        <v>3</v>
      </c>
      <c r="DP326" s="245">
        <f>SUM(DP324)</f>
        <v>0</v>
      </c>
      <c r="DQ326" s="245">
        <f>SUM(DQ324)</f>
        <v>0</v>
      </c>
      <c r="DR326" s="245">
        <f t="shared" ref="DR326:DR328" si="810">IF(DK326="*",1,0)</f>
        <v>0</v>
      </c>
      <c r="DS326" s="245">
        <f t="shared" ref="DS326:DS328" si="811">IF(DL326="*",1,0)</f>
        <v>0</v>
      </c>
      <c r="DT326" s="245">
        <f t="shared" ref="DT326:DT328" si="812">IF(H316="",0,IF(DP326=DR326,1,0))</f>
        <v>0</v>
      </c>
      <c r="DU326" s="245">
        <f>IF(V326="",0,IF(DQ326=DS326,0,1))</f>
        <v>0</v>
      </c>
      <c r="DV326" s="267">
        <f t="shared" ref="DV326:DV328" si="813">SUM(DT326)</f>
        <v>0</v>
      </c>
      <c r="DW326" s="267">
        <f>IF(V326="",0,SUM(DU326))</f>
        <v>0</v>
      </c>
      <c r="DX326" s="238">
        <f>IF(AK326="",0,1)</f>
        <v>0</v>
      </c>
      <c r="DY326" s="238">
        <f>IF(DG326=-3,1,0)</f>
        <v>0</v>
      </c>
      <c r="DZ326" s="238">
        <f>SUM(DX326:DY326)</f>
        <v>0</v>
      </c>
      <c r="EA326" s="238">
        <f>IF(AK326="",1,0)</f>
        <v>1</v>
      </c>
      <c r="EB326" s="238">
        <f>IF(DG326=3,1,0)</f>
        <v>0</v>
      </c>
      <c r="EC326" s="238">
        <f>SUM(EA326:EB326)</f>
        <v>1</v>
      </c>
      <c r="ED326" s="267">
        <f>IF(EC326=2,1,0)</f>
        <v>0</v>
      </c>
      <c r="EE326" s="267">
        <f>IF(DZ326=2,1,0)</f>
        <v>0</v>
      </c>
      <c r="EG326" s="166"/>
      <c r="EH326" s="238"/>
      <c r="EI326" s="238"/>
      <c r="EJ326" s="238"/>
      <c r="EK326" s="238"/>
      <c r="EL326" s="238"/>
      <c r="EM326" s="245">
        <f>IF(AK326="",0,1)</f>
        <v>0</v>
      </c>
      <c r="EN326" s="245">
        <f>SUM(AK326)</f>
        <v>0</v>
      </c>
      <c r="EO326" s="268">
        <f>SUM(AJ326)</f>
        <v>0</v>
      </c>
      <c r="EP326" s="268">
        <f>SUM(G326/3)</f>
        <v>0</v>
      </c>
      <c r="EQ326" s="268" t="e">
        <f>SUM(EO326/EP326)</f>
        <v>#DIV/0!</v>
      </c>
      <c r="ER326" s="268">
        <f>ROUNDDOWN(EP326,0)</f>
        <v>0</v>
      </c>
      <c r="ES326" s="268">
        <f>SUM(EO326,-ER326*3)</f>
        <v>0</v>
      </c>
      <c r="ET326" s="269" t="b">
        <f>MOD(EN326/1,2)=0</f>
        <v>1</v>
      </c>
      <c r="EU326" s="245">
        <f>IF(ET326=FALSE,1,0)</f>
        <v>0</v>
      </c>
      <c r="EV326" s="245">
        <f>IF(EN326=50,0,IF(EN326&lt;40,1,0))</f>
        <v>1</v>
      </c>
      <c r="EW326" s="245">
        <f>SUM(EU326:EV326)</f>
        <v>1</v>
      </c>
      <c r="EX326" s="267">
        <f>IF(EN326=1,1,IF(EN326=50,0,IF(ES326=1,IF(EN326&gt;40,1,0),0)))</f>
        <v>0</v>
      </c>
      <c r="EY326" s="267">
        <f>IF(ES326=1,IF(EW326=2,1,0),0)+EX326+FB326+FE326</f>
        <v>0</v>
      </c>
      <c r="EZ326" s="245">
        <f>IF(EN326=109,1,IF(EN326=108,1,IF(EN326=106,1,IF(EN326=105,1,IF(EN326=103,1,IF(EN326=102,1,IF(EN326=99,1,0)))))))</f>
        <v>0</v>
      </c>
      <c r="FA326" s="245">
        <f>IF(EN326&gt;110,1,0)</f>
        <v>0</v>
      </c>
      <c r="FB326" s="267">
        <f>IF(ES326=2,SUM(EZ326:FA326),0)</f>
        <v>0</v>
      </c>
      <c r="FC326" s="245">
        <f>IF(EN326=159,1,IF(EN326=162,1,IF(EN326=163,1,IF(EN326=165,1,IF(EN326=166,1,IF(EN326=168,1,IF(EN326=169,1,0)))))))</f>
        <v>0</v>
      </c>
      <c r="FD326" s="245">
        <f>IF(EN326&gt;170,1,0)</f>
        <v>0</v>
      </c>
      <c r="FE326" s="267">
        <f>IF(ES326=0,SUM(FC326:FD326),0)</f>
        <v>0</v>
      </c>
      <c r="FF326" s="251">
        <f t="shared" si="804"/>
        <v>0</v>
      </c>
      <c r="FG326" s="238"/>
      <c r="FH326" s="245">
        <f>IF(AY326="",0,1)</f>
        <v>0</v>
      </c>
      <c r="FI326" s="245">
        <f>SUM(AY326)</f>
        <v>0</v>
      </c>
      <c r="FJ326" s="268">
        <f>SUM(AX326)</f>
        <v>0</v>
      </c>
      <c r="FK326" s="268">
        <f>SUM(V326/3)</f>
        <v>0</v>
      </c>
      <c r="FL326" s="268" t="e">
        <f>SUM(FJ326/FK326)</f>
        <v>#DIV/0!</v>
      </c>
      <c r="FM326" s="268">
        <f>ROUNDDOWN(FK326,0)</f>
        <v>0</v>
      </c>
      <c r="FN326" s="268">
        <f>SUM(FJ326,-FM326*3)</f>
        <v>0</v>
      </c>
      <c r="FO326" s="269" t="b">
        <f>MOD(FI326/1,2)=0</f>
        <v>1</v>
      </c>
      <c r="FP326" s="245">
        <f>IF(FO326=FALSE,1,0)</f>
        <v>0</v>
      </c>
      <c r="FQ326" s="245">
        <f>IF(FI326=50,0,IF(FI326&lt;40,1,0))</f>
        <v>1</v>
      </c>
      <c r="FR326" s="245">
        <f>SUM(FP326:FQ326)</f>
        <v>1</v>
      </c>
      <c r="FS326" s="267">
        <f>IF(FI326=1,1,IF(FI326=50,0,IF(FN326=1,IF(FI326&gt;40,1,0),0)))</f>
        <v>0</v>
      </c>
      <c r="FT326" s="267">
        <f>IF(FN326=1,IF(FR326=2,1,0),0)+FS326+FW326+FZ326</f>
        <v>0</v>
      </c>
      <c r="FU326" s="245">
        <f>IF(FI326=109,1,IF(FI326=108,1,IF(FI326=106,1,IF(FI326=105,1,IF(FI326=103,1,IF(FI326=102,1,IF(FI326=99,1,0)))))))</f>
        <v>0</v>
      </c>
      <c r="FV326" s="245">
        <f>IF(FI326&gt;110,1,0)</f>
        <v>0</v>
      </c>
      <c r="FW326" s="267">
        <f>IF(FN326=2,SUM(FU326:FV326),0)</f>
        <v>0</v>
      </c>
      <c r="FX326" s="245">
        <f>IF(FI326=159,1,IF(FI326=162,1,IF(FI326=163,1,IF(FI326=165,1,IF(FI326=166,1,IF(FI326=168,1,IF(FI326=169,1,0)))))))</f>
        <v>0</v>
      </c>
      <c r="FY326" s="245">
        <f>IF(FI326&gt;170,1,0)</f>
        <v>0</v>
      </c>
      <c r="FZ326" s="267">
        <f>IF(FN326=0,SUM(FX326:FY326),0)</f>
        <v>0</v>
      </c>
      <c r="GA326" s="251">
        <f t="shared" si="805"/>
        <v>0</v>
      </c>
      <c r="GC326" s="238" t="str">
        <f>VLOOKUP(AH321,Chema!BL:BR,3,FALSE)</f>
        <v/>
      </c>
      <c r="GD326" s="341"/>
      <c r="GE326" s="343" t="str">
        <f>IF(C332="","",SUM(C332))</f>
        <v/>
      </c>
      <c r="GF326" s="346"/>
      <c r="GG326" s="340"/>
      <c r="GH326" s="343">
        <f>IF(GH325&gt;0,1,0)</f>
        <v>0</v>
      </c>
      <c r="GI326" s="346"/>
      <c r="GJ326" s="343"/>
      <c r="GK326" s="340"/>
      <c r="GL326" s="343">
        <f>IF(GL325&gt;0,1,0)</f>
        <v>0</v>
      </c>
      <c r="GM326" s="343"/>
      <c r="GN326" s="343"/>
      <c r="GO326" s="340"/>
      <c r="GP326" s="343">
        <f>IF(GP325&gt;0,1,0)</f>
        <v>0</v>
      </c>
      <c r="GQ326" s="343"/>
      <c r="GR326" s="343"/>
      <c r="GS326" s="340"/>
      <c r="GT326" s="343">
        <f>IF(GT325&gt;0,1,0)</f>
        <v>0</v>
      </c>
      <c r="GU326" s="343"/>
      <c r="GV326" s="343"/>
      <c r="GW326" s="340"/>
      <c r="GX326" s="343">
        <f>IF(GX325&gt;0,1,0)</f>
        <v>0</v>
      </c>
      <c r="GY326" s="343"/>
      <c r="GZ326" s="343"/>
      <c r="HA326" s="343"/>
      <c r="HB326" s="343" t="str">
        <f>IF(GD324=1,L332,"")</f>
        <v/>
      </c>
      <c r="HC326" s="343" t="str">
        <f>IF(GD324=1,I332,"")</f>
        <v/>
      </c>
      <c r="HD326" s="345"/>
      <c r="HE326" s="340"/>
      <c r="HF326" s="340"/>
      <c r="HG326" s="347">
        <f>IF(GE325="",0,IF(AL321=3,2,IF(AL321=5,3,0)))</f>
        <v>0</v>
      </c>
      <c r="HH326" s="347">
        <f>IF(HK326=0,0,IF(HG328=0,0,1))</f>
        <v>0</v>
      </c>
      <c r="HI326" s="340"/>
      <c r="HJ326" s="340"/>
      <c r="HK326" s="340">
        <f>SUM(HM324,HM328)</f>
        <v>0</v>
      </c>
      <c r="HL326" s="340">
        <f>IF(HK326=0,0,IF(HM324=HG326,1,0))</f>
        <v>0</v>
      </c>
      <c r="HM326" s="340">
        <f>IF(HK326=0,0,IF(HM328=HG326,1,0))</f>
        <v>0</v>
      </c>
      <c r="HN326" s="341" t="str">
        <f>REPT(N321,1)</f>
        <v>Spiel 23</v>
      </c>
      <c r="HO326" s="348" t="str">
        <f>IF(HK326=0,"",IF(HH326=0,SUM(HH325),""))</f>
        <v/>
      </c>
      <c r="HP326" s="348" t="str">
        <f>IF(HK326=0,"",IF(HH326=0,SUM(HH327),""))</f>
        <v/>
      </c>
      <c r="HQ326" s="348" t="e">
        <f>IF(HH326=0,SUM(GZ325/HA325),"")</f>
        <v>#DIV/0!</v>
      </c>
      <c r="HR326" s="348" t="e">
        <f>IF(HH326=0,SUM(GZ327/HA327),"")</f>
        <v>#DIV/0!</v>
      </c>
      <c r="HS326" s="238" t="str">
        <f>REPT(DK324,1)</f>
        <v/>
      </c>
      <c r="HT326" s="238" t="str">
        <f>REPT(DL324,1)</f>
        <v/>
      </c>
      <c r="HU326" s="238">
        <f>IF(HH326=0,HL326,"")</f>
        <v>0</v>
      </c>
      <c r="HV326" s="238">
        <f>IF(HH326=0,HM326,"")</f>
        <v>0</v>
      </c>
      <c r="HW326" s="238" t="s">
        <v>1131</v>
      </c>
      <c r="HY326" s="238"/>
      <c r="HZ326" s="238" t="e">
        <f>IF(AL321=5,IF(HU326=1,SUM(HO326*2-HP326),HO326+HP326-2),"")</f>
        <v>#VALUE!</v>
      </c>
      <c r="IA326" s="238" t="str">
        <f>IF(AL321=3,IF(HU326=1,SUM(HO326-HP326+3),HO326+HP326-1),"")</f>
        <v/>
      </c>
      <c r="IB326" s="238" t="e">
        <f>IF(AL321=5,IF(HV326=1,SUM(HP326*2-HO326),HO326+HP326-2),"")</f>
        <v>#VALUE!</v>
      </c>
      <c r="IC326" s="238" t="str">
        <f>IF(AL321=3,IF(HV326=1,SUM(HP326-HO326+3),HO326+HP326-1),"")</f>
        <v/>
      </c>
      <c r="ID326" s="238">
        <f>SUM(BM330)</f>
        <v>0</v>
      </c>
    </row>
    <row r="327" spans="1:238" s="234" customFormat="1" ht="20.100000000000001" customHeight="1">
      <c r="A327" s="235"/>
      <c r="B327" s="231">
        <f>COUNT(AJ328,AJ327)</f>
        <v>0</v>
      </c>
      <c r="C327" s="235"/>
      <c r="D327" s="328" t="str">
        <f>REPT(DN327,1)</f>
        <v>4</v>
      </c>
      <c r="E327" s="329" t="str">
        <f>REPT(AH327,1)</f>
        <v/>
      </c>
      <c r="F327" s="330"/>
      <c r="G327" s="330"/>
      <c r="H327" s="330"/>
      <c r="I327" s="331"/>
      <c r="J327" s="270" t="str">
        <f t="shared" si="809"/>
        <v/>
      </c>
      <c r="M327" s="311"/>
      <c r="N327" s="270" t="str">
        <f>REPT(AP327,1)</f>
        <v/>
      </c>
      <c r="Q327" s="310"/>
      <c r="R327" s="235"/>
      <c r="S327" s="328" t="str">
        <f>REPT(DO327,1)</f>
        <v>4</v>
      </c>
      <c r="T327" s="329" t="str">
        <f>REPT(AV327,1)</f>
        <v/>
      </c>
      <c r="U327" s="330"/>
      <c r="V327" s="330"/>
      <c r="W327" s="330"/>
      <c r="X327" s="331"/>
      <c r="Y327" s="270" t="str">
        <f t="shared" si="792"/>
        <v/>
      </c>
      <c r="Z327" s="308"/>
      <c r="AA327" s="238">
        <f>SUM(AL321)</f>
        <v>5</v>
      </c>
      <c r="AB327" s="234">
        <f>IF(AY327="",0,IF(AY327&lt;2,1,""))</f>
        <v>0</v>
      </c>
      <c r="AC327" s="238">
        <f>IF(AL321=3,0,IF(AD327=1,1,IF(AD327=3,1,IF(AD327=2,0,IF(AD327=0,0,0)))))</f>
        <v>0</v>
      </c>
      <c r="AD327" s="256">
        <f t="shared" si="794"/>
        <v>0</v>
      </c>
      <c r="AE327" s="256">
        <f t="shared" si="788"/>
        <v>0</v>
      </c>
      <c r="AF327" s="256">
        <f t="shared" si="789"/>
        <v>0</v>
      </c>
      <c r="AG327" s="256">
        <f t="shared" si="795"/>
        <v>0</v>
      </c>
      <c r="AH327" s="257" t="str">
        <f>IF(AL321=3,"",IF(AK327="",IF(AI327="","",IF(AI327="",501,501-AI327)),501))</f>
        <v/>
      </c>
      <c r="AI327" s="256" t="str">
        <f>IF(AL321=3,"",IF(F327&gt;1,F327,IF(F327=0,"",IF(F327="","",""))))</f>
        <v/>
      </c>
      <c r="AJ327" s="256" t="str">
        <f>IF(AL321=3,"",IF(G327&gt;8,G327,IF(G327="","","")))</f>
        <v/>
      </c>
      <c r="AK327" s="256" t="str">
        <f>IF(AL321=3,"",IF(H327&gt;1,H327,IF(H327="","","")))</f>
        <v/>
      </c>
      <c r="AL327" s="256" t="str">
        <f>IF(AL321=3,"",IF(I327&gt;0,I327,IF(I327="","","")))</f>
        <v/>
      </c>
      <c r="AM327" s="258" t="str">
        <f>IF(BK327=0,"","X")</f>
        <v/>
      </c>
      <c r="AN327" s="237"/>
      <c r="AO327" s="237"/>
      <c r="AP327" s="258" t="str">
        <f>IF(BM327=0,"","X")</f>
        <v/>
      </c>
      <c r="AQ327" s="236">
        <f>IF(AL321=3,0,IF(AR327=1,1,IF(AR327=3,1,IF(AR327=2,0,IF(AR327=0,0,0)))))</f>
        <v>0</v>
      </c>
      <c r="AR327" s="256">
        <f t="shared" si="797"/>
        <v>0</v>
      </c>
      <c r="AS327" s="256">
        <f t="shared" si="790"/>
        <v>0</v>
      </c>
      <c r="AT327" s="256">
        <f t="shared" si="791"/>
        <v>0</v>
      </c>
      <c r="AU327" s="256">
        <f t="shared" si="798"/>
        <v>0</v>
      </c>
      <c r="AV327" s="257" t="str">
        <f>IF(AY327="",IF(AW327="","",IF(AW327="",501,501-AW327)),501)</f>
        <v/>
      </c>
      <c r="AW327" s="256" t="str">
        <f>IF(AL321=3,"",IF(U327&gt;1,U327,IF(U327=0,"",IF(U327="","",""))))</f>
        <v/>
      </c>
      <c r="AX327" s="256" t="str">
        <f>IF(AL321=3,"",IF(V327&gt;8,V327,IF(V327="","","")))</f>
        <v/>
      </c>
      <c r="AY327" s="256" t="str">
        <f>IF(AL321=3,"",IF(W327&gt;1,W327,IF(W327="","","")))</f>
        <v/>
      </c>
      <c r="AZ327" s="256" t="str">
        <f>IF(AL321=3,"",IF(X327&gt;0,X327,IF(X327="","","")))</f>
        <v/>
      </c>
      <c r="BA327" s="258" t="str">
        <f>IF(BL327=0,"","X")</f>
        <v/>
      </c>
      <c r="BK327" s="251">
        <f>IF(AL321=3,0,SUM(DD327,DV327,EY327,ED327,FF327,BQ327,BS327,AC327))</f>
        <v>0</v>
      </c>
      <c r="BL327" s="251">
        <f>IF(AL321=3,0,SUM(DE327,DW327,EE327,FT327,GA327,BR327,BT327,AQ327))</f>
        <v>0</v>
      </c>
      <c r="BM327" s="259">
        <f>IF(AL321=3,0,SUM(DC327,BK327:BL327,AC327,AQ327))</f>
        <v>0</v>
      </c>
      <c r="BN327" s="239">
        <f>COUNT(AK327)</f>
        <v>0</v>
      </c>
      <c r="BO327" s="239">
        <f>COUNT(AY327)</f>
        <v>0</v>
      </c>
      <c r="BP327" s="239">
        <f>IF(BZ329=0,0,1)</f>
        <v>0</v>
      </c>
      <c r="BQ327" s="260">
        <f>IF(AL327="",0,IF(AL327&gt;2,1,0))</f>
        <v>0</v>
      </c>
      <c r="BR327" s="261">
        <f>IF(AZ327="",0,IF(AZ327&gt;2,1,0))</f>
        <v>0</v>
      </c>
      <c r="BS327" s="262">
        <f>IF(AJ327=9,IF(AK327&lt;141,1,0),0)</f>
        <v>0</v>
      </c>
      <c r="BT327" s="263">
        <f>IF(AX327=9,IF(AY327&lt;141,1,0),0)</f>
        <v>0</v>
      </c>
      <c r="BU327" s="242">
        <f>IF(AL321=3,0,IF(H327,G327,0))</f>
        <v>0</v>
      </c>
      <c r="BV327" s="238">
        <f>IF(BU327&gt;0,AJ327/3,0)</f>
        <v>0</v>
      </c>
      <c r="BW327" s="238">
        <f>ROUNDUP(BV327,0)</f>
        <v>0</v>
      </c>
      <c r="BX327" s="244">
        <f>IF(MOD(BW327,2)=0,BW327,BW327+1)</f>
        <v>0</v>
      </c>
      <c r="BY327" s="238">
        <f>IF(AJ327&lt;9,"",SUM(BX327-BW327))</f>
        <v>0</v>
      </c>
      <c r="BZ327" s="238">
        <f>IF(BY327=1,AK327,0)</f>
        <v>0</v>
      </c>
      <c r="CA327" s="243" t="str">
        <f>IF(BY327=0,AK327,0)</f>
        <v/>
      </c>
      <c r="CB327" s="238"/>
      <c r="CC327" s="238"/>
      <c r="CD327" s="242">
        <f>IF(AL321=3,0,IF(W327,V327,0))</f>
        <v>0</v>
      </c>
      <c r="CE327" s="238">
        <f>IF(CD327&gt;0,AX327/3,0)</f>
        <v>0</v>
      </c>
      <c r="CF327" s="238">
        <f>ROUNDUP(CE327,0)</f>
        <v>0</v>
      </c>
      <c r="CG327" s="244">
        <f>IF(MOD(CF327,2)=0,CF327,CF327+1)</f>
        <v>0</v>
      </c>
      <c r="CH327" s="238">
        <f>IF(AX327&lt;9,"",SUM(CG327-CF327))</f>
        <v>0</v>
      </c>
      <c r="CI327" s="238">
        <f>IF(CH327=1,AY327,0)</f>
        <v>0</v>
      </c>
      <c r="CJ327" s="243" t="str">
        <f>IF(CH327=0,AY327,0)</f>
        <v/>
      </c>
      <c r="CK327" s="238"/>
      <c r="CL327" s="245">
        <f>IF(COUNT(F327,H327)=1,0,1)</f>
        <v>1</v>
      </c>
      <c r="CM327" s="245">
        <f>IF(COUNT(F327,U327)=1,0,1)</f>
        <v>1</v>
      </c>
      <c r="CN327" s="245">
        <f>IF(COUNT(H327,W327)=1,0,1)</f>
        <v>1</v>
      </c>
      <c r="CO327" s="245">
        <f>IF(COUNT(G327,V327)=2,0,1)</f>
        <v>1</v>
      </c>
      <c r="CP327" s="245">
        <f>IF(COUNT(U327,W327)=1,0,1)</f>
        <v>1</v>
      </c>
      <c r="CQ327" s="245">
        <f>IF(SUM(G327-V327)&gt;3,1,0)</f>
        <v>0</v>
      </c>
      <c r="CR327" s="245">
        <f>IF(SUM(G327-V327)&lt;-3,1,0)</f>
        <v>0</v>
      </c>
      <c r="CS327" s="264">
        <f>IF(AJ327=9,IF(AH327&lt;141,1,0),IF(AH327="",0,IF(AH327&gt;1,0,1)))</f>
        <v>0</v>
      </c>
      <c r="CT327" s="264">
        <f>IF(AX327=9,IF(AV327&lt;141,1,0),IF(AV327="",0,IF(AV327&gt;1,0,1)))</f>
        <v>0</v>
      </c>
      <c r="CU327" s="264">
        <f>IF(AI327="",0,IF(AI327&lt;502,0,1))</f>
        <v>0</v>
      </c>
      <c r="CV327" s="264">
        <f>IF(AW327="",0,IF(AW327&lt;502,0,1))</f>
        <v>0</v>
      </c>
      <c r="CW327" s="264">
        <f>IF(AI327="",IF(AJ327&lt;9,1,0),IF(AJ327&lt;9,1,0))</f>
        <v>0</v>
      </c>
      <c r="CX327" s="264">
        <f>IF(AW327="",IF(AX327&lt;9,1,0),IF(AX327&lt;9,1,0))</f>
        <v>0</v>
      </c>
      <c r="CY327" s="374"/>
      <c r="CZ327" s="374"/>
      <c r="DA327" s="374"/>
      <c r="DB327" s="374"/>
      <c r="DC327" s="265">
        <f>IF(AJ327="",0,SUM(CL327:CX327))</f>
        <v>0</v>
      </c>
      <c r="DD327" s="265">
        <f>IF(AJ327="",0,SUM(CL327,CS327,CU327,CW327))</f>
        <v>0</v>
      </c>
      <c r="DE327" s="265">
        <f>IF(AJ327="",0,SUM(CP327,CT327,CV327,CX327))</f>
        <v>0</v>
      </c>
      <c r="DF327" s="238"/>
      <c r="DG327" s="248">
        <f>IF(AL321=3,0,SUM(G327-V327))</f>
        <v>0</v>
      </c>
      <c r="DH327" s="245">
        <f>IF(F327="",0,1)</f>
        <v>0</v>
      </c>
      <c r="DI327" s="245">
        <f t="shared" si="800"/>
        <v>0</v>
      </c>
      <c r="DJ327" s="245">
        <f t="shared" si="801"/>
        <v>0</v>
      </c>
      <c r="DK327" s="245" t="str">
        <f>IF(G327="","",IF(DJ327=1,"*",""))</f>
        <v/>
      </c>
      <c r="DL327" s="245" t="str">
        <f>IF(AL321=3,"",IF(G327="","",IF(DJ327=-1,"*",IF(DJ327=0,"*",""))))</f>
        <v/>
      </c>
      <c r="DM327" s="245">
        <v>4</v>
      </c>
      <c r="DN327" s="245" t="str">
        <f t="shared" si="802"/>
        <v>4</v>
      </c>
      <c r="DO327" s="245" t="str">
        <f t="shared" si="803"/>
        <v>4</v>
      </c>
      <c r="DP327" s="245">
        <f>SUM(DQ324)</f>
        <v>0</v>
      </c>
      <c r="DQ327" s="245">
        <f>SUM(DP324)</f>
        <v>0</v>
      </c>
      <c r="DR327" s="245">
        <f t="shared" si="810"/>
        <v>0</v>
      </c>
      <c r="DS327" s="245">
        <f t="shared" si="811"/>
        <v>0</v>
      </c>
      <c r="DT327" s="245">
        <f t="shared" si="812"/>
        <v>0</v>
      </c>
      <c r="DU327" s="245">
        <f>IF(V327="",0,IF(DQ327=DS327,0,1))</f>
        <v>0</v>
      </c>
      <c r="DV327" s="267">
        <f t="shared" si="813"/>
        <v>0</v>
      </c>
      <c r="DW327" s="267">
        <f>IF(V327="",0,SUM(DU327))</f>
        <v>0</v>
      </c>
      <c r="DX327" s="238">
        <f>IF(AK327="",0,1)</f>
        <v>0</v>
      </c>
      <c r="DY327" s="238">
        <f>IF(DG327=-3,1,0)</f>
        <v>0</v>
      </c>
      <c r="DZ327" s="238">
        <f>SUM(DX327:DY327)</f>
        <v>0</v>
      </c>
      <c r="EA327" s="238">
        <f>IF(AK327="",1,0)</f>
        <v>1</v>
      </c>
      <c r="EB327" s="238">
        <f>IF(DG327=3,1,0)</f>
        <v>0</v>
      </c>
      <c r="EC327" s="238">
        <f>SUM(EA327:EB327)</f>
        <v>1</v>
      </c>
      <c r="ED327" s="267">
        <f>IF(EC327=2,1,0)</f>
        <v>0</v>
      </c>
      <c r="EE327" s="267">
        <f>IF(DZ327=2,1,0)</f>
        <v>0</v>
      </c>
      <c r="EG327" s="166"/>
      <c r="EH327" s="238"/>
      <c r="EI327" s="238"/>
      <c r="EJ327" s="238"/>
      <c r="EK327" s="238"/>
      <c r="EL327" s="238"/>
      <c r="EM327" s="245">
        <f>IF(AK327="",0,1)</f>
        <v>0</v>
      </c>
      <c r="EN327" s="245">
        <f>SUM(AK327)</f>
        <v>0</v>
      </c>
      <c r="EO327" s="268">
        <f>SUM(AJ327)</f>
        <v>0</v>
      </c>
      <c r="EP327" s="268">
        <f>SUM(G327/3)</f>
        <v>0</v>
      </c>
      <c r="EQ327" s="268" t="e">
        <f>SUM(EO327/EP327)</f>
        <v>#DIV/0!</v>
      </c>
      <c r="ER327" s="268">
        <f>ROUNDDOWN(EP327,0)</f>
        <v>0</v>
      </c>
      <c r="ES327" s="268">
        <f>SUM(EO327,-ER327*3)</f>
        <v>0</v>
      </c>
      <c r="ET327" s="269" t="b">
        <f>MOD(EN327/1,2)=0</f>
        <v>1</v>
      </c>
      <c r="EU327" s="245">
        <f>IF(ET327=FALSE,1,0)</f>
        <v>0</v>
      </c>
      <c r="EV327" s="245">
        <f>IF(EN327=50,0,IF(EN327&lt;40,1,0))</f>
        <v>1</v>
      </c>
      <c r="EW327" s="245">
        <f>SUM(EU327:EV327)</f>
        <v>1</v>
      </c>
      <c r="EX327" s="267">
        <f>IF(EN327=1,1,IF(EN327=50,0,IF(ES327=1,IF(EN327&gt;40,1,0),0)))</f>
        <v>0</v>
      </c>
      <c r="EY327" s="267">
        <f>IF(ES327=1,IF(EW327=2,1,0),0)+EX327+FB327+FE327</f>
        <v>0</v>
      </c>
      <c r="EZ327" s="245">
        <f>IF(EN327=109,1,IF(EN327=108,1,IF(EN327=106,1,IF(EN327=105,1,IF(EN327=103,1,IF(EN327=102,1,IF(EN327=99,1,0)))))))</f>
        <v>0</v>
      </c>
      <c r="FA327" s="245">
        <f>IF(EN327&gt;110,1,0)</f>
        <v>0</v>
      </c>
      <c r="FB327" s="267">
        <f>IF(ES327=2,SUM(EZ327:FA327),0)</f>
        <v>0</v>
      </c>
      <c r="FC327" s="245">
        <f>IF(EN327=159,1,IF(EN327=162,1,IF(EN327=163,1,IF(EN327=165,1,IF(EN327=166,1,IF(EN327=168,1,IF(EN327=169,1,0)))))))</f>
        <v>0</v>
      </c>
      <c r="FD327" s="245">
        <f>IF(EN327&gt;170,1,0)</f>
        <v>0</v>
      </c>
      <c r="FE327" s="267">
        <f>IF(ES327=0,SUM(FC327:FD327),0)</f>
        <v>0</v>
      </c>
      <c r="FF327" s="251">
        <f t="shared" si="804"/>
        <v>0</v>
      </c>
      <c r="FG327" s="238"/>
      <c r="FH327" s="245">
        <f>IF(AY327="",0,1)</f>
        <v>0</v>
      </c>
      <c r="FI327" s="245">
        <f>SUM(AY327)</f>
        <v>0</v>
      </c>
      <c r="FJ327" s="268">
        <f>SUM(AX327)</f>
        <v>0</v>
      </c>
      <c r="FK327" s="268">
        <f>SUM(V327/3)</f>
        <v>0</v>
      </c>
      <c r="FL327" s="268" t="e">
        <f>SUM(FJ327/FK327)</f>
        <v>#DIV/0!</v>
      </c>
      <c r="FM327" s="268">
        <f>ROUNDDOWN(FK327,0)</f>
        <v>0</v>
      </c>
      <c r="FN327" s="268">
        <f>SUM(FJ327,-FM327*3)</f>
        <v>0</v>
      </c>
      <c r="FO327" s="269" t="b">
        <f>MOD(FI327/1,2)=0</f>
        <v>1</v>
      </c>
      <c r="FP327" s="245">
        <f>IF(FO327=FALSE,1,0)</f>
        <v>0</v>
      </c>
      <c r="FQ327" s="245">
        <f>IF(FI327=50,0,IF(FI327&lt;40,1,0))</f>
        <v>1</v>
      </c>
      <c r="FR327" s="245">
        <f>SUM(FP327:FQ327)</f>
        <v>1</v>
      </c>
      <c r="FS327" s="267">
        <f>IF(FI327=1,1,IF(FI327=50,0,IF(FN327=1,IF(FI327&gt;40,1,0),0)))</f>
        <v>0</v>
      </c>
      <c r="FT327" s="267">
        <f>IF(FN327=1,IF(FR327=2,1,0),0)+FS327+FW327+FZ327</f>
        <v>0</v>
      </c>
      <c r="FU327" s="245">
        <f>IF(FI327=109,1,IF(FI327=108,1,IF(FI327=106,1,IF(FI327=105,1,IF(FI327=103,1,IF(FI327=102,1,IF(FI327=99,1,0)))))))</f>
        <v>0</v>
      </c>
      <c r="FV327" s="245">
        <f>IF(FI327&gt;110,1,0)</f>
        <v>0</v>
      </c>
      <c r="FW327" s="267">
        <f>IF(FN327=2,SUM(FU327:FV327),0)</f>
        <v>0</v>
      </c>
      <c r="FX327" s="245">
        <f>IF(FI327=159,1,IF(FI327=162,1,IF(FI327=163,1,IF(FI327=165,1,IF(FI327=166,1,IF(FI327=168,1,IF(FI327=169,1,0)))))))</f>
        <v>0</v>
      </c>
      <c r="FY327" s="245">
        <f>IF(FI327&gt;170,1,0)</f>
        <v>0</v>
      </c>
      <c r="FZ327" s="267">
        <f>IF(FN327=0,SUM(FX327:FY327),0)</f>
        <v>0</v>
      </c>
      <c r="GA327" s="251">
        <f t="shared" si="805"/>
        <v>0</v>
      </c>
      <c r="GC327" s="238" t="str">
        <f>VLOOKUP(AH321,Chema!BL:BR,4,FALSE)</f>
        <v>GS 3.3</v>
      </c>
      <c r="GD327" s="341">
        <f>IF(T331="FORFAIT",1,0)</f>
        <v>0</v>
      </c>
      <c r="GE327" s="343" t="str">
        <f>IF(R331="","",SUM(R331))</f>
        <v/>
      </c>
      <c r="GF327" s="344">
        <f>SUM(AV324)</f>
        <v>0</v>
      </c>
      <c r="GG327" s="344">
        <f>SUM(AX324)</f>
        <v>0</v>
      </c>
      <c r="GH327" s="344">
        <f t="shared" ref="GH327" si="814">SUM(AY324)</f>
        <v>0</v>
      </c>
      <c r="GI327" s="344">
        <f t="shared" ref="GI327" si="815">SUM(AZ324)</f>
        <v>0</v>
      </c>
      <c r="GJ327" s="344">
        <f>SUM(AV325)</f>
        <v>0</v>
      </c>
      <c r="GK327" s="344">
        <f>SUM(AX325)</f>
        <v>0</v>
      </c>
      <c r="GL327" s="344">
        <f>SUM(AY325)</f>
        <v>0</v>
      </c>
      <c r="GM327" s="344">
        <f>SUM(AZ325)</f>
        <v>0</v>
      </c>
      <c r="GN327" s="344">
        <f>SUM(AV326)</f>
        <v>0</v>
      </c>
      <c r="GO327" s="344">
        <f>SUM(AX326)</f>
        <v>0</v>
      </c>
      <c r="GP327" s="344">
        <f>SUM(AY326)</f>
        <v>0</v>
      </c>
      <c r="GQ327" s="344">
        <f>SUM(AZ326)</f>
        <v>0</v>
      </c>
      <c r="GR327" s="344">
        <f>SUM(AV327)</f>
        <v>0</v>
      </c>
      <c r="GS327" s="344">
        <f>SUM(AX327)</f>
        <v>0</v>
      </c>
      <c r="GT327" s="344">
        <f>SUM(AY327)</f>
        <v>0</v>
      </c>
      <c r="GU327" s="344">
        <f>SUM(AZ327)</f>
        <v>0</v>
      </c>
      <c r="GV327" s="344">
        <f>SUM(AV328)</f>
        <v>0</v>
      </c>
      <c r="GW327" s="344">
        <f>SUM(AX328)</f>
        <v>0</v>
      </c>
      <c r="GX327" s="344">
        <f>SUM(AY328)</f>
        <v>0</v>
      </c>
      <c r="GY327" s="344">
        <f>SUM(AZ328)</f>
        <v>0</v>
      </c>
      <c r="GZ327" s="344">
        <f>SUM(GF327,GJ327,GN327,GR327,GV327)</f>
        <v>0</v>
      </c>
      <c r="HA327" s="344">
        <f t="shared" ref="HA327" si="816">SUM(GG327,GK327,GO327,GS327,GW327)</f>
        <v>0</v>
      </c>
      <c r="HB327" s="344">
        <f>IF(GD324=1,P331,MAX(GH327,GL327,GP327,GT327,GX327))</f>
        <v>0</v>
      </c>
      <c r="HC327" s="344">
        <f>IF(GD324=1,X331,SUM(GI327,GM327,GQ327,GU327,GY327))</f>
        <v>0</v>
      </c>
      <c r="HD327" s="345">
        <f>IF(GD324=1,0,SUM(GF327,GJ327,GN327,GR327,GV327))</f>
        <v>0</v>
      </c>
      <c r="HE327" s="345">
        <f>IF(GD324=1,0,SUM(GG327,GK327,GO327,GS327,GW327))</f>
        <v>0</v>
      </c>
      <c r="HF327" s="341">
        <f>IF(GD324=1,0,MIN(HI327,HJ327,HK327,HL327,HM327))</f>
        <v>0</v>
      </c>
      <c r="HG327" s="341">
        <f>IF(HF327=0,0,COUNTIF(HI327:HM327,HF327))</f>
        <v>0</v>
      </c>
      <c r="HH327" s="341">
        <f>SUM(GH328,GL328,GP328,GT328,GX328)</f>
        <v>0</v>
      </c>
      <c r="HI327" s="343" t="str">
        <f>IF(GH328=1,GG327,"")</f>
        <v/>
      </c>
      <c r="HJ327" s="343" t="str">
        <f>IF(GL328=1,GK327,"")</f>
        <v/>
      </c>
      <c r="HK327" s="343" t="str">
        <f>IF(GP328=1,GO327,"")</f>
        <v/>
      </c>
      <c r="HL327" s="343" t="str">
        <f>IF(GT328=1,GS327,"")</f>
        <v/>
      </c>
      <c r="HM327" s="343" t="str">
        <f>IF(GX328=1,GW327,"")</f>
        <v/>
      </c>
      <c r="HN327" s="341"/>
      <c r="HO327" s="341"/>
      <c r="HP327" s="341"/>
      <c r="HQ327" s="341"/>
      <c r="HR327" s="341"/>
      <c r="HS327" s="238"/>
      <c r="HT327" s="238"/>
      <c r="HU327" s="238"/>
      <c r="HV327" s="238"/>
      <c r="HW327" s="238" t="str">
        <f>IFERROR(IF(GD324=0,SUM(IB326:IC326),""),"")</f>
        <v/>
      </c>
      <c r="HY327" s="238"/>
      <c r="ID327" s="238"/>
    </row>
    <row r="328" spans="1:238" s="234" customFormat="1" ht="20.100000000000001" customHeight="1">
      <c r="A328" s="235"/>
      <c r="B328" s="231">
        <f>COUNT(AJ329,AJ328)</f>
        <v>1</v>
      </c>
      <c r="C328" s="235"/>
      <c r="D328" s="271" t="str">
        <f>REPT(DN328,1)</f>
        <v>5</v>
      </c>
      <c r="E328" s="254" t="str">
        <f>REPT(AH328,1)</f>
        <v/>
      </c>
      <c r="F328" s="168"/>
      <c r="G328" s="168"/>
      <c r="H328" s="168"/>
      <c r="I328" s="169"/>
      <c r="J328" s="272" t="str">
        <f>REPT(AM328,1)</f>
        <v/>
      </c>
      <c r="L328" s="310"/>
      <c r="M328" s="310"/>
      <c r="N328" s="272" t="str">
        <f>REPT(AP328,1)</f>
        <v/>
      </c>
      <c r="O328" s="118"/>
      <c r="Q328" s="310"/>
      <c r="R328" s="235"/>
      <c r="S328" s="271" t="str">
        <f>REPT(DO328,1)</f>
        <v>5</v>
      </c>
      <c r="T328" s="254" t="str">
        <f>REPT(AV328,1)</f>
        <v/>
      </c>
      <c r="U328" s="168"/>
      <c r="V328" s="168"/>
      <c r="W328" s="168"/>
      <c r="X328" s="169"/>
      <c r="Y328" s="272" t="str">
        <f>REPT(BA328,1)</f>
        <v/>
      </c>
      <c r="Z328" s="308"/>
      <c r="AA328" s="238">
        <f>SUM(AL321)</f>
        <v>5</v>
      </c>
      <c r="AB328" s="234">
        <f>IF(AY328="",0,IF(AY328&lt;2,1,""))</f>
        <v>0</v>
      </c>
      <c r="AC328" s="238">
        <f>IF(AL321=3,0,IF(AD328=1,1,IF(AD328=3,1,IF(AD328=2,0,IF(AD328=0,0,0)))))</f>
        <v>0</v>
      </c>
      <c r="AD328" s="256">
        <f t="shared" si="794"/>
        <v>0</v>
      </c>
      <c r="AE328" s="256">
        <f t="shared" si="788"/>
        <v>0</v>
      </c>
      <c r="AF328" s="256">
        <f t="shared" si="789"/>
        <v>0</v>
      </c>
      <c r="AG328" s="256">
        <f t="shared" si="795"/>
        <v>0</v>
      </c>
      <c r="AH328" s="257" t="str">
        <f>IF(AL321=3,"",IF(AK328="",IF(AI328="","",IF(AI328="",501,501-AI328)),501))</f>
        <v/>
      </c>
      <c r="AI328" s="256" t="str">
        <f>IF(AL321=3,"",IF(F328&gt;1,F328,IF(F328=0,"",IF(F328="","",""))))</f>
        <v/>
      </c>
      <c r="AJ328" s="256" t="str">
        <f>IF(AL321=3,"",IF(G328&gt;8,G328,IF(G328="","","")))</f>
        <v/>
      </c>
      <c r="AK328" s="256" t="str">
        <f>IF(AL321=3,"",IF(H328&gt;1,H328,IF(H328="","","")))</f>
        <v/>
      </c>
      <c r="AL328" s="256" t="str">
        <f>IF(AL321=3,"",IF(I328&gt;0,I328,IF(I328="","","")))</f>
        <v/>
      </c>
      <c r="AM328" s="258" t="str">
        <f>IF(BK328=0,"","X")</f>
        <v/>
      </c>
      <c r="AN328" s="237"/>
      <c r="AO328" s="237"/>
      <c r="AP328" s="258" t="str">
        <f>IF(BM328=0,"","X")</f>
        <v/>
      </c>
      <c r="AQ328" s="236">
        <f>IF(AL321=3,0,IF(AR328=1,1,IF(AR328=3,1,IF(AR328=2,0,IF(AR328=0,0,0)))))</f>
        <v>0</v>
      </c>
      <c r="AR328" s="256">
        <f t="shared" si="797"/>
        <v>0</v>
      </c>
      <c r="AS328" s="256">
        <f t="shared" si="790"/>
        <v>0</v>
      </c>
      <c r="AT328" s="256">
        <f t="shared" si="791"/>
        <v>0</v>
      </c>
      <c r="AU328" s="256">
        <f t="shared" si="798"/>
        <v>0</v>
      </c>
      <c r="AV328" s="257" t="str">
        <f>IF(AY328="",IF(AW328="","",IF(AW328="",501,501-AW328)),501)</f>
        <v/>
      </c>
      <c r="AW328" s="256" t="str">
        <f>IF(AL321=3,"",IF(U328&gt;1,U328,IF(U328=0,"",IF(U328="","",""))))</f>
        <v/>
      </c>
      <c r="AX328" s="256" t="str">
        <f>IF(AL321=3,"",IF(V328&gt;8,V328,IF(V328="","","")))</f>
        <v/>
      </c>
      <c r="AY328" s="256" t="str">
        <f>IF(AL321=3,"",IF(W328&gt;1,W328,IF(W328="","","")))</f>
        <v/>
      </c>
      <c r="AZ328" s="256" t="str">
        <f>IF(AL321=3,"",IF(X328&gt;0,X328,IF(X328="","","")))</f>
        <v/>
      </c>
      <c r="BA328" s="258" t="str">
        <f>IF(BL328=0,"","X")</f>
        <v/>
      </c>
      <c r="BK328" s="251">
        <f>IF(AL321=3,0,SUM(DD328,DV328,EY328,ED328,FF328,BQ328,BS328,AC328))</f>
        <v>0</v>
      </c>
      <c r="BL328" s="251">
        <f>SUM(DE328,DW328,EE328,FT328,GA328,BR328,BT328,AQ328)</f>
        <v>0</v>
      </c>
      <c r="BM328" s="259">
        <f>IF(AL321=3,0,SUM(DC328,BK328:BL328,AC328,AQ328))</f>
        <v>0</v>
      </c>
      <c r="BN328" s="239">
        <f>COUNT(AK328)</f>
        <v>0</v>
      </c>
      <c r="BO328" s="239">
        <f>COUNT(AY328)</f>
        <v>0</v>
      </c>
      <c r="BP328" s="239">
        <f>IF(BN330=0,0,1)</f>
        <v>0</v>
      </c>
      <c r="BQ328" s="260">
        <f>IF(AL328="",0,IF(AL328&gt;2,1,0))</f>
        <v>0</v>
      </c>
      <c r="BR328" s="261">
        <f>IF(AZ328="",0,IF(AZ328&gt;2,1,0))</f>
        <v>0</v>
      </c>
      <c r="BS328" s="262">
        <f>IF(AJ328=9,IF(AK328&lt;141,1,0),0)</f>
        <v>0</v>
      </c>
      <c r="BT328" s="263">
        <f>IF(AX328=9,IF(AY328&lt;141,1,0),0)</f>
        <v>0</v>
      </c>
      <c r="BU328" s="242">
        <f>IF(AL321=3,0,IF(H328,G328,0))</f>
        <v>0</v>
      </c>
      <c r="BV328" s="238">
        <f>IF(BU328&gt;0,AJ328/3,0)</f>
        <v>0</v>
      </c>
      <c r="BW328" s="238">
        <f>ROUNDUP(BV328,0)</f>
        <v>0</v>
      </c>
      <c r="BX328" s="244">
        <f>IF(MOD(BW328,2)=0,BW328,BW328+1)</f>
        <v>0</v>
      </c>
      <c r="BY328" s="238">
        <f>IF(AJ328&lt;9,"",SUM(BX328-BW328))</f>
        <v>0</v>
      </c>
      <c r="BZ328" s="238">
        <f>IF(BY328=1,AK328,0)</f>
        <v>0</v>
      </c>
      <c r="CA328" s="243" t="str">
        <f>IF(BY328=0,AK328,0)</f>
        <v/>
      </c>
      <c r="CB328" s="238"/>
      <c r="CC328" s="238"/>
      <c r="CD328" s="242">
        <f>IF(AL321=3,0,IF(W328,V328,0))</f>
        <v>0</v>
      </c>
      <c r="CE328" s="238">
        <f>IF(CD328&gt;0,AX328/3,0)</f>
        <v>0</v>
      </c>
      <c r="CF328" s="238">
        <f>ROUNDUP(CE328,0)</f>
        <v>0</v>
      </c>
      <c r="CG328" s="244">
        <f>IF(MOD(CF328,2)=0,CF328,CF328+1)</f>
        <v>0</v>
      </c>
      <c r="CH328" s="238">
        <f>IF(AX328&lt;9,"",SUM(CG328-CF328))</f>
        <v>0</v>
      </c>
      <c r="CI328" s="238">
        <f>IF(CH328=1,AY328,0)</f>
        <v>0</v>
      </c>
      <c r="CJ328" s="243" t="str">
        <f>IF(CH328=0,AY328,0)</f>
        <v/>
      </c>
      <c r="CK328" s="238"/>
      <c r="CL328" s="245">
        <f>IF(COUNT(F328,H328)=1,0,1)</f>
        <v>1</v>
      </c>
      <c r="CM328" s="245">
        <f>IF(COUNT(F328,U328)=1,0,1)</f>
        <v>1</v>
      </c>
      <c r="CN328" s="245">
        <f>IF(COUNT(H328,W328)=1,0,1)</f>
        <v>1</v>
      </c>
      <c r="CO328" s="245">
        <f>IF(COUNT(G328,V328)=2,0,1)</f>
        <v>1</v>
      </c>
      <c r="CP328" s="245">
        <f>IF(COUNT(U328,W328)=1,0,1)</f>
        <v>1</v>
      </c>
      <c r="CQ328" s="245">
        <f>IF(SUM(G328-V328)&gt;3,1,0)</f>
        <v>0</v>
      </c>
      <c r="CR328" s="245">
        <f>IF(SUM(G328-V328)&lt;-3,1,0)</f>
        <v>0</v>
      </c>
      <c r="CS328" s="264">
        <f>IF(AJ328=9,IF(AH328&lt;141,1,0),IF(AH328="",0,IF(AH328&gt;1,0,1)))</f>
        <v>0</v>
      </c>
      <c r="CT328" s="264">
        <f>IF(AX328=9,IF(AV328&lt;141,1,0),IF(AV328="",0,IF(AV328&gt;1,0,1)))</f>
        <v>0</v>
      </c>
      <c r="CU328" s="264">
        <f>IF(AI328="",0,IF(AI328&lt;502,0,1))</f>
        <v>0</v>
      </c>
      <c r="CV328" s="264">
        <f>IF(AW328="",0,IF(AW328&lt;502,0,1))</f>
        <v>0</v>
      </c>
      <c r="CW328" s="264">
        <f>IF(AI328="",IF(AJ328&lt;9,1,0),IF(AJ328&lt;9,1,0))</f>
        <v>0</v>
      </c>
      <c r="CX328" s="264">
        <f>IF(AW328="",IF(AX328&lt;9,1,0),IF(AX328&lt;9,1,0))</f>
        <v>0</v>
      </c>
      <c r="CY328" s="374"/>
      <c r="CZ328" s="374"/>
      <c r="DA328" s="374"/>
      <c r="DB328" s="374"/>
      <c r="DC328" s="265">
        <f>IF(AJ328="",0,SUM(CL328:CX328))</f>
        <v>0</v>
      </c>
      <c r="DD328" s="265">
        <f>IF(AJ328="",0,SUM(CL328,CS328,CU328,CW328))</f>
        <v>0</v>
      </c>
      <c r="DE328" s="265">
        <f>IF(AJ328="",0,SUM(CP328,CT328,CV328,CX328))</f>
        <v>0</v>
      </c>
      <c r="DF328" s="238"/>
      <c r="DG328" s="248">
        <f>IF(AL321=3,0,SUM(G328-V328))</f>
        <v>0</v>
      </c>
      <c r="DH328" s="245">
        <f>IF(F328="",0,1)</f>
        <v>0</v>
      </c>
      <c r="DI328" s="245">
        <f t="shared" si="800"/>
        <v>0</v>
      </c>
      <c r="DJ328" s="245">
        <f t="shared" si="801"/>
        <v>0</v>
      </c>
      <c r="DK328" s="245" t="str">
        <f>IF(G328="","",IF(DJ328=1,"*",""))</f>
        <v/>
      </c>
      <c r="DL328" s="245" t="str">
        <f>IF(AL321=3,"",IF(G328="","",IF(DJ328=-1,"*",IF(DJ328=0,"*",""))))</f>
        <v/>
      </c>
      <c r="DM328" s="245">
        <v>5</v>
      </c>
      <c r="DN328" s="245" t="str">
        <f t="shared" si="802"/>
        <v>5</v>
      </c>
      <c r="DO328" s="245" t="str">
        <f t="shared" si="803"/>
        <v>5</v>
      </c>
      <c r="DP328" s="245">
        <f>SUM(DP324)</f>
        <v>0</v>
      </c>
      <c r="DQ328" s="245">
        <f>SUM(DQ324)</f>
        <v>0</v>
      </c>
      <c r="DR328" s="245">
        <f t="shared" si="810"/>
        <v>0</v>
      </c>
      <c r="DS328" s="245">
        <f t="shared" si="811"/>
        <v>0</v>
      </c>
      <c r="DT328" s="245">
        <f t="shared" si="812"/>
        <v>0</v>
      </c>
      <c r="DU328" s="245">
        <f>IF(V328="",0,IF(DQ328=DS328,0,1))</f>
        <v>0</v>
      </c>
      <c r="DV328" s="267">
        <f t="shared" si="813"/>
        <v>0</v>
      </c>
      <c r="DW328" s="267">
        <f>IF(V328="",0,SUM(DU328))</f>
        <v>0</v>
      </c>
      <c r="DX328" s="238">
        <f>IF(AK328="",0,1)</f>
        <v>0</v>
      </c>
      <c r="DY328" s="238">
        <f>IF(DG328=-3,1,0)</f>
        <v>0</v>
      </c>
      <c r="DZ328" s="238">
        <f>SUM(DX328:DY328)</f>
        <v>0</v>
      </c>
      <c r="EA328" s="238">
        <f>IF(AK328="",1,0)</f>
        <v>1</v>
      </c>
      <c r="EB328" s="238">
        <f>IF(DG328=3,1,0)</f>
        <v>0</v>
      </c>
      <c r="EC328" s="238">
        <f>SUM(EA328:EB328)</f>
        <v>1</v>
      </c>
      <c r="ED328" s="267">
        <f>IF(EC328=2,1,0)</f>
        <v>0</v>
      </c>
      <c r="EE328" s="267">
        <f>IF(DZ328=2,1,0)</f>
        <v>0</v>
      </c>
      <c r="EG328" s="166"/>
      <c r="EH328" s="238"/>
      <c r="EI328" s="238"/>
      <c r="EJ328" s="238"/>
      <c r="EK328" s="238"/>
      <c r="EL328" s="238"/>
      <c r="EM328" s="245">
        <f>IF(AK328="",0,1)</f>
        <v>0</v>
      </c>
      <c r="EN328" s="245">
        <f>SUM(AK328)</f>
        <v>0</v>
      </c>
      <c r="EO328" s="268">
        <f>SUM(AJ328)</f>
        <v>0</v>
      </c>
      <c r="EP328" s="268">
        <f>SUM(G328/3)</f>
        <v>0</v>
      </c>
      <c r="EQ328" s="268" t="e">
        <f>SUM(EO328/EP328)</f>
        <v>#DIV/0!</v>
      </c>
      <c r="ER328" s="268">
        <f>ROUNDDOWN(EP328,0)</f>
        <v>0</v>
      </c>
      <c r="ES328" s="268">
        <f>SUM(EO328,-ER328*3)</f>
        <v>0</v>
      </c>
      <c r="ET328" s="269" t="b">
        <f>MOD(EN328/1,2)=0</f>
        <v>1</v>
      </c>
      <c r="EU328" s="245">
        <f>IF(ET328=FALSE,1,0)</f>
        <v>0</v>
      </c>
      <c r="EV328" s="245">
        <f>IF(EN328=50,0,IF(EN328&lt;40,1,0))</f>
        <v>1</v>
      </c>
      <c r="EW328" s="245">
        <f>SUM(EU328:EV328)</f>
        <v>1</v>
      </c>
      <c r="EX328" s="267">
        <f>IF(EN328=1,1,IF(EN328=50,0,IF(ES328=1,IF(EN328&gt;40,1,0),0)))</f>
        <v>0</v>
      </c>
      <c r="EY328" s="267">
        <f>IF(ES328=1,IF(EW328=2,1,0),0)+EX328+FB328+FE328</f>
        <v>0</v>
      </c>
      <c r="EZ328" s="245">
        <f>IF(EN328=109,1,IF(EN328=108,1,IF(EN328=106,1,IF(EN328=105,1,IF(EN328=103,1,IF(EN328=102,1,IF(EN328=99,1,0)))))))</f>
        <v>0</v>
      </c>
      <c r="FA328" s="245">
        <f>IF(EN328&gt;110,1,0)</f>
        <v>0</v>
      </c>
      <c r="FB328" s="267">
        <f>IF(ES328=2,SUM(EZ328:FA328),0)</f>
        <v>0</v>
      </c>
      <c r="FC328" s="245">
        <f>IF(EN328=159,1,IF(EN328=162,1,IF(EN328=163,1,IF(EN328=165,1,IF(EN328=166,1,IF(EN328=168,1,IF(EN328=169,1,0)))))))</f>
        <v>0</v>
      </c>
      <c r="FD328" s="245">
        <f>IF(EN328&gt;170,1,0)</f>
        <v>0</v>
      </c>
      <c r="FE328" s="267">
        <f>IF(ES328=0,SUM(FC328:FD328),0)</f>
        <v>0</v>
      </c>
      <c r="FF328" s="251">
        <f t="shared" si="804"/>
        <v>0</v>
      </c>
      <c r="FG328" s="238"/>
      <c r="FH328" s="245">
        <f>IF(AY328="",0,1)</f>
        <v>0</v>
      </c>
      <c r="FI328" s="245">
        <f>SUM(AY328)</f>
        <v>0</v>
      </c>
      <c r="FJ328" s="268">
        <f>SUM(AX328)</f>
        <v>0</v>
      </c>
      <c r="FK328" s="268">
        <f>SUM(V328/3)</f>
        <v>0</v>
      </c>
      <c r="FL328" s="268" t="e">
        <f>SUM(FJ328/FK328)</f>
        <v>#DIV/0!</v>
      </c>
      <c r="FM328" s="268">
        <f>ROUNDDOWN(FK328,0)</f>
        <v>0</v>
      </c>
      <c r="FN328" s="268">
        <f>SUM(FJ328,-FM328*3)</f>
        <v>0</v>
      </c>
      <c r="FO328" s="269" t="b">
        <f>MOD(FI328/1,2)=0</f>
        <v>1</v>
      </c>
      <c r="FP328" s="245">
        <f>IF(FO328=FALSE,1,0)</f>
        <v>0</v>
      </c>
      <c r="FQ328" s="245">
        <f>IF(FI328=50,0,IF(FI328&lt;40,1,0))</f>
        <v>1</v>
      </c>
      <c r="FR328" s="245">
        <f>SUM(FP328:FQ328)</f>
        <v>1</v>
      </c>
      <c r="FS328" s="267">
        <f>IF(FI328=1,1,IF(FI328=50,0,IF(FN328=1,IF(FI328&gt;40,1,0),0)))</f>
        <v>0</v>
      </c>
      <c r="FT328" s="267">
        <f>IF(FN328=1,IF(FR328=2,1,0),0)+FS328+FW328+FZ328</f>
        <v>0</v>
      </c>
      <c r="FU328" s="245">
        <f>IF(FI328=109,1,IF(FI328=108,1,IF(FI328=106,1,IF(FI328=105,1,IF(FI328=103,1,IF(FI328=102,1,IF(FI328=99,1,0)))))))</f>
        <v>0</v>
      </c>
      <c r="FV328" s="245">
        <f>IF(FI328&gt;110,1,0)</f>
        <v>0</v>
      </c>
      <c r="FW328" s="267">
        <f>IF(FN328=2,SUM(FU328:FV328),0)</f>
        <v>0</v>
      </c>
      <c r="FX328" s="245">
        <f>IF(FI328=159,1,IF(FI328=162,1,IF(FI328=163,1,IF(FI328=165,1,IF(FI328=166,1,IF(FI328=168,1,IF(FI328=169,1,0)))))))</f>
        <v>0</v>
      </c>
      <c r="FY328" s="245">
        <f>IF(FI328&gt;170,1,0)</f>
        <v>0</v>
      </c>
      <c r="FZ328" s="267">
        <f>IF(FN328=0,SUM(FX328:FY328),0)</f>
        <v>0</v>
      </c>
      <c r="GA328" s="251">
        <f t="shared" si="805"/>
        <v>0</v>
      </c>
      <c r="GC328" s="238" t="str">
        <f>VLOOKUP(AH321,Chema!BL:BR,5,FALSE)</f>
        <v/>
      </c>
      <c r="GD328" s="341"/>
      <c r="GE328" s="343" t="str">
        <f>IF(R332="","",SUM(R332))</f>
        <v/>
      </c>
      <c r="GF328" s="340"/>
      <c r="GG328" s="346"/>
      <c r="GH328" s="343">
        <f>IF(GH327&gt;0,1,0)</f>
        <v>0</v>
      </c>
      <c r="GI328" s="346"/>
      <c r="GJ328" s="343"/>
      <c r="GK328" s="346"/>
      <c r="GL328" s="343">
        <f>IF(GL327&gt;0,1,0)</f>
        <v>0</v>
      </c>
      <c r="GM328" s="343"/>
      <c r="GN328" s="343"/>
      <c r="GO328" s="346"/>
      <c r="GP328" s="343">
        <f>IF(GP327&gt;0,1,0)</f>
        <v>0</v>
      </c>
      <c r="GQ328" s="343"/>
      <c r="GR328" s="343"/>
      <c r="GS328" s="346"/>
      <c r="GT328" s="343">
        <f>IF(GT327&gt;0,1,0)</f>
        <v>0</v>
      </c>
      <c r="GU328" s="343"/>
      <c r="GV328" s="343"/>
      <c r="GW328" s="346"/>
      <c r="GX328" s="343">
        <f>IF(GX327&gt;0,1,0)</f>
        <v>0</v>
      </c>
      <c r="GY328" s="340"/>
      <c r="GZ328" s="343"/>
      <c r="HA328" s="343"/>
      <c r="HB328" s="343" t="str">
        <f>IF(GD324=1,P332,"")</f>
        <v/>
      </c>
      <c r="HC328" s="343" t="str">
        <f>IF(GD324=1,X332,"")</f>
        <v/>
      </c>
      <c r="HD328" s="340"/>
      <c r="HE328" s="340"/>
      <c r="HF328" s="340"/>
      <c r="HG328" s="340">
        <f>IF(HG326=HM324,0,IF(HG326=HM328,0,1))</f>
        <v>0</v>
      </c>
      <c r="HH328" s="340">
        <f>IF(HH325=HH327,1,0)</f>
        <v>1</v>
      </c>
      <c r="HI328" s="340"/>
      <c r="HJ328" s="340"/>
      <c r="HK328" s="340"/>
      <c r="HL328" s="340"/>
      <c r="HM328" s="341">
        <f>COUNT(HI327,HJ327,HK327,HL327,HM327)</f>
        <v>0</v>
      </c>
      <c r="HN328" s="341"/>
      <c r="HO328" s="341"/>
      <c r="HP328" s="341"/>
      <c r="HQ328" s="341"/>
      <c r="HR328" s="341"/>
      <c r="HS328" s="238"/>
      <c r="HT328" s="238"/>
      <c r="HU328" s="238"/>
      <c r="HV328" s="238"/>
      <c r="HX328" s="238"/>
      <c r="HY328" s="238"/>
      <c r="ID328" s="238"/>
    </row>
    <row r="329" spans="1:238" s="234" customFormat="1" ht="6.6" customHeight="1">
      <c r="A329" s="235"/>
      <c r="B329" s="231"/>
      <c r="C329" s="310"/>
      <c r="D329" s="310"/>
      <c r="E329" s="310"/>
      <c r="F329" s="310"/>
      <c r="G329" s="313"/>
      <c r="H329" s="310"/>
      <c r="I329" s="310"/>
      <c r="J329" s="273"/>
      <c r="K329" s="313"/>
      <c r="O329" s="118"/>
      <c r="R329" s="310"/>
      <c r="S329" s="310"/>
      <c r="T329" s="310"/>
      <c r="U329" s="310"/>
      <c r="V329" s="313"/>
      <c r="W329" s="310"/>
      <c r="X329" s="310"/>
      <c r="Y329" s="273"/>
      <c r="Z329" s="308"/>
      <c r="AA329" s="274"/>
      <c r="AD329" s="235"/>
      <c r="AE329" s="237">
        <f>IF(AF329=0,0,1)</f>
        <v>0</v>
      </c>
      <c r="AF329" s="237">
        <f>IF(AL329=0,0,SUM(AL331:AL332,-AL330))</f>
        <v>0</v>
      </c>
      <c r="AG329" s="237"/>
      <c r="AH329" s="275">
        <f>SUM(AH324,AH325,AH326,AH327,AH328)</f>
        <v>0</v>
      </c>
      <c r="AI329" s="275">
        <f t="shared" ref="AI329" si="817">SUM(AI324,AI325,AI326,AI327,AI328)</f>
        <v>0</v>
      </c>
      <c r="AJ329" s="275">
        <f t="shared" ref="AJ329" si="818">SUM(AJ324,AJ325,AJ326,AJ327,AJ328)</f>
        <v>0</v>
      </c>
      <c r="AK329" s="275">
        <f>MAX(AK324,AK325,AK326,AK327,AK328)</f>
        <v>0</v>
      </c>
      <c r="AL329" s="275">
        <f t="shared" ref="AL329" si="819">SUM(AL324,AL325,AL326,AL327,AL328)</f>
        <v>0</v>
      </c>
      <c r="AM329" s="275">
        <f>IF(AK321="D",SUM(AL324,AL325,AL326,AL327,AL328,-AL331,-AL332),0)</f>
        <v>0</v>
      </c>
      <c r="AN329" s="235"/>
      <c r="AO329" s="235"/>
      <c r="AP329" s="235"/>
      <c r="AQ329" s="235"/>
      <c r="AR329" s="235"/>
      <c r="AS329" s="237">
        <f>IF(AT329=0,0,1)</f>
        <v>0</v>
      </c>
      <c r="AT329" s="237">
        <f>IF(AZ329=0,0,SUM(AZ331:AZ332,-AZ330))</f>
        <v>0</v>
      </c>
      <c r="AU329" s="237"/>
      <c r="AV329" s="275">
        <f>SUM(AV324,AV325,AV326,AV327,AV328)</f>
        <v>0</v>
      </c>
      <c r="AW329" s="275">
        <f t="shared" ref="AW329" si="820">SUM(AW324,AW325,AW326,AW327,AW328)</f>
        <v>0</v>
      </c>
      <c r="AX329" s="275">
        <f t="shared" ref="AX329" si="821">SUM(AX324,AX325,AX326,AX327,AX328)</f>
        <v>0</v>
      </c>
      <c r="AY329" s="275">
        <f>MAX(AY324,AY325,AY326,AY327,AY328)</f>
        <v>0</v>
      </c>
      <c r="AZ329" s="275">
        <f t="shared" ref="AZ329" si="822">SUM(AZ324,AZ325,AZ326,AZ327,AZ328)</f>
        <v>0</v>
      </c>
      <c r="BA329" s="275">
        <f>IF(AK321="D",SUM(AZ324,AZ325,AZ326,AZ327,AZ328,-AZ331,-AZ332),0)</f>
        <v>0</v>
      </c>
      <c r="BJ329" s="236"/>
      <c r="BK329" s="238"/>
      <c r="BL329" s="238"/>
      <c r="BM329" s="238"/>
      <c r="BP329" s="238"/>
      <c r="BQ329" s="238"/>
      <c r="BR329" s="238"/>
      <c r="BS329" s="238"/>
      <c r="BT329" s="238"/>
      <c r="BU329" s="238"/>
      <c r="BY329" s="238"/>
      <c r="BZ329" s="238">
        <f>MAX(BZ324,BZ325,BZ326,BZ327,BZ328)</f>
        <v>0</v>
      </c>
      <c r="CA329" s="238">
        <f>MAX(CA324,CA325,CA326,CA327,CA328)</f>
        <v>0</v>
      </c>
      <c r="CB329" s="238"/>
      <c r="CC329" s="238"/>
      <c r="CD329" s="238"/>
      <c r="CG329" s="244"/>
      <c r="CH329" s="238"/>
      <c r="CI329" s="238">
        <f>MAX(CI324,CI325,CI326,CI327,CI328)</f>
        <v>0</v>
      </c>
      <c r="CJ329" s="238">
        <f>MAX(CJ324,CJ325,CJ326,CJ327,CJ328)</f>
        <v>0</v>
      </c>
      <c r="CK329" s="238"/>
      <c r="CL329" s="238"/>
      <c r="CM329" s="238"/>
      <c r="CN329" s="238"/>
      <c r="CO329" s="238"/>
      <c r="CP329" s="238"/>
      <c r="CQ329" s="238"/>
      <c r="CR329" s="238"/>
      <c r="CS329" s="238"/>
      <c r="CT329" s="238"/>
      <c r="CU329" s="238"/>
      <c r="CV329" s="238"/>
      <c r="CW329" s="238"/>
      <c r="CX329" s="238"/>
      <c r="CY329" s="238"/>
      <c r="CZ329" s="238"/>
      <c r="DA329" s="238"/>
      <c r="DB329" s="238"/>
      <c r="DC329" s="238"/>
      <c r="DD329" s="238"/>
      <c r="DE329" s="238"/>
      <c r="DF329" s="238"/>
      <c r="DG329" s="238"/>
      <c r="DH329" s="238"/>
      <c r="DI329" s="238"/>
      <c r="DJ329" s="238"/>
      <c r="DK329" s="238"/>
      <c r="DL329" s="238"/>
      <c r="DM329" s="238"/>
      <c r="DN329" s="238"/>
      <c r="DO329" s="238"/>
      <c r="DP329" s="238"/>
      <c r="DQ329" s="238"/>
      <c r="DR329" s="238"/>
      <c r="DS329" s="238"/>
      <c r="DT329" s="238"/>
      <c r="DU329" s="238"/>
      <c r="DV329" s="238"/>
      <c r="DW329" s="238"/>
      <c r="DX329" s="238"/>
      <c r="DY329" s="238"/>
      <c r="DZ329" s="238"/>
      <c r="EA329" s="238"/>
      <c r="EB329" s="238"/>
      <c r="EC329" s="238"/>
      <c r="ED329" s="238"/>
      <c r="EE329" s="238"/>
      <c r="EF329" s="238"/>
      <c r="EG329" s="238"/>
      <c r="EH329" s="238"/>
      <c r="EI329" s="238"/>
      <c r="EJ329" s="238"/>
      <c r="EK329" s="238"/>
      <c r="EL329" s="238"/>
      <c r="EM329" s="166"/>
      <c r="EN329" s="166"/>
      <c r="EO329" s="166"/>
      <c r="EP329" s="238">
        <f>SUM(EN329-EO329)</f>
        <v>0</v>
      </c>
      <c r="EQ329" s="238"/>
      <c r="ER329" s="238"/>
      <c r="ES329" s="238"/>
      <c r="ET329" s="244"/>
      <c r="EU329" s="238"/>
      <c r="EV329" s="238"/>
      <c r="EW329" s="238"/>
      <c r="EX329" s="238"/>
      <c r="EY329" s="238"/>
      <c r="EZ329" s="238"/>
      <c r="FA329" s="238"/>
      <c r="FB329" s="238"/>
      <c r="FC329" s="238"/>
      <c r="FD329" s="238"/>
      <c r="FE329" s="238"/>
      <c r="FF329" s="238"/>
      <c r="FG329" s="238"/>
      <c r="FH329" s="238"/>
      <c r="FI329" s="238"/>
      <c r="FJ329" s="238"/>
      <c r="FK329" s="238"/>
      <c r="FL329" s="238"/>
      <c r="FM329" s="238"/>
      <c r="FN329" s="238"/>
      <c r="FO329" s="244"/>
      <c r="FP329" s="238"/>
      <c r="FQ329" s="238"/>
      <c r="FR329" s="238"/>
      <c r="FS329" s="238"/>
      <c r="FT329" s="238"/>
      <c r="FU329" s="238"/>
      <c r="FV329" s="238"/>
      <c r="FW329" s="238"/>
      <c r="FX329" s="238"/>
      <c r="FY329" s="238"/>
      <c r="FZ329" s="238"/>
      <c r="GA329" s="238"/>
      <c r="GB329" s="238"/>
      <c r="GC329" s="238"/>
      <c r="GD329" s="341"/>
      <c r="GE329" s="340"/>
      <c r="GF329" s="340"/>
      <c r="GG329" s="340"/>
      <c r="GH329" s="340"/>
      <c r="GI329" s="340"/>
      <c r="GJ329" s="340"/>
      <c r="GK329" s="340"/>
      <c r="GL329" s="340"/>
      <c r="GM329" s="340"/>
      <c r="GN329" s="340"/>
      <c r="GO329" s="340"/>
      <c r="GP329" s="340"/>
      <c r="GQ329" s="340"/>
      <c r="GR329" s="340"/>
      <c r="GS329" s="340"/>
      <c r="GT329" s="340"/>
      <c r="GU329" s="340"/>
      <c r="GV329" s="340"/>
      <c r="GW329" s="340"/>
      <c r="GX329" s="340"/>
      <c r="GY329" s="340"/>
      <c r="GZ329" s="340"/>
      <c r="HA329" s="340"/>
      <c r="HB329" s="340"/>
      <c r="HC329" s="340"/>
      <c r="HD329" s="341"/>
      <c r="HE329" s="341"/>
      <c r="HF329" s="341"/>
      <c r="HG329" s="341"/>
      <c r="HH329" s="341"/>
      <c r="HI329" s="341"/>
      <c r="HJ329" s="341"/>
      <c r="HK329" s="341"/>
      <c r="HL329" s="341"/>
      <c r="HM329" s="341"/>
      <c r="HN329" s="341"/>
      <c r="HO329" s="341"/>
      <c r="HP329" s="341"/>
      <c r="HQ329" s="341"/>
      <c r="HR329" s="341"/>
      <c r="HS329" s="238"/>
      <c r="HT329" s="238"/>
      <c r="HU329" s="238"/>
      <c r="HV329" s="238"/>
      <c r="HX329" s="238"/>
      <c r="HY329" s="238"/>
      <c r="ID329" s="238"/>
    </row>
    <row r="330" spans="1:238" s="234" customFormat="1" ht="20.100000000000001" customHeight="1">
      <c r="A330" s="235"/>
      <c r="B330" s="231"/>
      <c r="C330" s="314" t="s">
        <v>771</v>
      </c>
      <c r="D330" s="276" t="str">
        <f>REPT(Sprache!$K$58,1)</f>
        <v>Spieler</v>
      </c>
      <c r="E330" s="277" t="str">
        <f>REPT(Sprache!$K$33,1)</f>
        <v>Name / Vorname</v>
      </c>
      <c r="F330" s="278"/>
      <c r="G330" s="278"/>
      <c r="H330" s="279"/>
      <c r="I330" s="280"/>
      <c r="J330" s="281" t="str">
        <f>REPT(AM330,1)</f>
        <v/>
      </c>
      <c r="L330" s="306" t="s">
        <v>848</v>
      </c>
      <c r="M330" s="238"/>
      <c r="P330" s="306" t="s">
        <v>848</v>
      </c>
      <c r="R330" s="314" t="s">
        <v>771</v>
      </c>
      <c r="S330" s="276" t="str">
        <f>REPT(Sprache!$K$58,1)</f>
        <v>Spieler</v>
      </c>
      <c r="T330" s="277" t="str">
        <f>REPT(Sprache!$K$33,1)</f>
        <v>Name / Vorname</v>
      </c>
      <c r="U330" s="278"/>
      <c r="V330" s="278"/>
      <c r="W330" s="279"/>
      <c r="X330" s="280"/>
      <c r="Y330" s="281" t="str">
        <f>REPT(BA330,1)</f>
        <v/>
      </c>
      <c r="Z330" s="308"/>
      <c r="AD330" s="235"/>
      <c r="AE330" s="235"/>
      <c r="AF330" s="237" t="s">
        <v>771</v>
      </c>
      <c r="AG330" s="282" t="s">
        <v>877</v>
      </c>
      <c r="AH330" s="283" t="str">
        <f>IF(AH329=0,"",AH329)</f>
        <v/>
      </c>
      <c r="AI330" s="283" t="str">
        <f>IF(AI329=0,"",AI329)</f>
        <v/>
      </c>
      <c r="AJ330" s="283" t="str">
        <f>IF(AJ329=0,"",AJ329)</f>
        <v/>
      </c>
      <c r="AK330" s="283" t="str">
        <f>IF(AK329=0,"",AK329)</f>
        <v/>
      </c>
      <c r="AL330" s="283" t="str">
        <f>IF(AL329=0,"",AL329)</f>
        <v/>
      </c>
      <c r="AM330" s="258" t="str">
        <f>IF(AK321="D",IF(AF329=0,"","X"),"")</f>
        <v/>
      </c>
      <c r="AN330" s="235"/>
      <c r="AO330" s="235"/>
      <c r="AP330" s="284"/>
      <c r="AQ330" s="235"/>
      <c r="AR330" s="235"/>
      <c r="AS330" s="235"/>
      <c r="AT330" s="237" t="s">
        <v>771</v>
      </c>
      <c r="AU330" s="282" t="s">
        <v>877</v>
      </c>
      <c r="AV330" s="283" t="str">
        <f>IF(AV329=0,"",AV329)</f>
        <v/>
      </c>
      <c r="AW330" s="283" t="str">
        <f>IF(AW329=0,"",AW329)</f>
        <v/>
      </c>
      <c r="AX330" s="283" t="str">
        <f>IF(AX329=0,"",AX329)</f>
        <v/>
      </c>
      <c r="AY330" s="283" t="str">
        <f>IF(AY329=0,"",AY329)</f>
        <v/>
      </c>
      <c r="AZ330" s="421" t="str">
        <f>IF(AZ329=0,"",AZ329)</f>
        <v/>
      </c>
      <c r="BA330" s="258" t="str">
        <f>IF(AK321="D",IF(AT329=0,"","X"),"")</f>
        <v/>
      </c>
      <c r="BJ330" s="236"/>
      <c r="BK330" s="238"/>
      <c r="BL330" s="244">
        <f>IF(BM330=0,0,1)</f>
        <v>0</v>
      </c>
      <c r="BM330" s="244">
        <f>SUM(BM324,BM325,BM326,BM327,BM328,HH326,AN331,AN332,BB331,BB332)</f>
        <v>0</v>
      </c>
      <c r="BN330" s="166">
        <f t="shared" ref="BN330:BO330" si="823">SUM(BN324,BN325,BN326,BN327,BN328)</f>
        <v>0</v>
      </c>
      <c r="BO330" s="166">
        <f t="shared" si="823"/>
        <v>0</v>
      </c>
      <c r="BP330" s="244"/>
      <c r="BQ330" s="238"/>
      <c r="BR330" s="238"/>
      <c r="BS330" s="238"/>
      <c r="BT330" s="238"/>
      <c r="BU330" s="238"/>
      <c r="BV330" s="238"/>
      <c r="BW330" s="238"/>
      <c r="BX330" s="236"/>
      <c r="BY330" s="238"/>
      <c r="BZ330" s="238"/>
      <c r="CA330" s="238"/>
      <c r="CB330" s="238"/>
      <c r="CC330" s="238"/>
      <c r="CD330" s="238"/>
      <c r="CE330" s="238"/>
      <c r="CF330" s="238"/>
      <c r="CG330" s="244"/>
      <c r="CH330" s="238"/>
      <c r="CI330" s="238"/>
      <c r="CJ330" s="238"/>
      <c r="CK330" s="238"/>
      <c r="CL330" s="238"/>
      <c r="CM330" s="238"/>
      <c r="CN330" s="238"/>
      <c r="CO330" s="238"/>
      <c r="CP330" s="238"/>
      <c r="CQ330" s="238"/>
      <c r="CR330" s="238"/>
      <c r="CS330" s="238"/>
      <c r="CT330" s="238"/>
      <c r="CU330" s="238"/>
      <c r="CV330" s="238"/>
      <c r="CW330" s="238"/>
      <c r="CX330" s="238"/>
      <c r="CY330" s="238"/>
      <c r="CZ330" s="238"/>
      <c r="DA330" s="238"/>
      <c r="DB330" s="238"/>
      <c r="DC330" s="238"/>
      <c r="DD330" s="238"/>
      <c r="DE330" s="238"/>
      <c r="DF330" s="238"/>
      <c r="DG330" s="238"/>
      <c r="DH330" s="238"/>
      <c r="DI330" s="238"/>
      <c r="DJ330" s="238"/>
      <c r="DK330" s="238"/>
      <c r="DL330" s="238"/>
      <c r="DM330" s="238"/>
      <c r="DN330" s="238"/>
      <c r="DO330" s="238"/>
      <c r="DP330" s="238"/>
      <c r="DQ330" s="238"/>
      <c r="DR330" s="238"/>
      <c r="DS330" s="238"/>
      <c r="DT330" s="238"/>
      <c r="DU330" s="238"/>
      <c r="DV330" s="238"/>
      <c r="DW330" s="238"/>
      <c r="DX330" s="238"/>
      <c r="DY330" s="238"/>
      <c r="DZ330" s="238"/>
      <c r="EA330" s="238"/>
      <c r="EB330" s="238"/>
      <c r="EC330" s="238"/>
      <c r="ED330" s="238"/>
      <c r="EE330" s="238"/>
      <c r="EF330" s="238"/>
      <c r="EG330" s="238"/>
      <c r="EH330" s="238"/>
      <c r="EI330" s="238"/>
      <c r="EJ330" s="238"/>
      <c r="EK330" s="238"/>
      <c r="EL330" s="238"/>
      <c r="EM330" s="238"/>
      <c r="EN330" s="238"/>
      <c r="EO330" s="238"/>
      <c r="EP330" s="238"/>
      <c r="EQ330" s="238"/>
      <c r="ER330" s="238"/>
      <c r="ES330" s="238"/>
      <c r="ET330" s="244"/>
      <c r="EU330" s="238"/>
      <c r="EV330" s="238"/>
      <c r="EW330" s="238"/>
      <c r="EX330" s="238"/>
      <c r="EY330" s="238"/>
      <c r="EZ330" s="238"/>
      <c r="FA330" s="238"/>
      <c r="FB330" s="238"/>
      <c r="FC330" s="238"/>
      <c r="FD330" s="238"/>
      <c r="FE330" s="238"/>
      <c r="FF330" s="238"/>
      <c r="FG330" s="238"/>
      <c r="FH330" s="238"/>
      <c r="FI330" s="238"/>
      <c r="FJ330" s="238"/>
      <c r="FK330" s="238"/>
      <c r="FL330" s="238"/>
      <c r="FM330" s="238"/>
      <c r="FN330" s="238"/>
      <c r="FO330" s="244"/>
      <c r="FP330" s="238"/>
      <c r="FQ330" s="238"/>
      <c r="FR330" s="238"/>
      <c r="FS330" s="238"/>
      <c r="FT330" s="238"/>
      <c r="FU330" s="238"/>
      <c r="FV330" s="238"/>
      <c r="FW330" s="238"/>
      <c r="FX330" s="238"/>
      <c r="FY330" s="238"/>
      <c r="FZ330" s="238"/>
      <c r="GA330" s="238"/>
      <c r="GB330" s="238"/>
      <c r="GC330" s="238"/>
      <c r="GD330" s="341"/>
      <c r="GE330" s="340"/>
      <c r="GF330" s="340"/>
      <c r="GG330" s="340"/>
      <c r="GH330" s="340"/>
      <c r="GI330" s="340"/>
      <c r="GJ330" s="340"/>
      <c r="GK330" s="340"/>
      <c r="GL330" s="340"/>
      <c r="GM330" s="340"/>
      <c r="GN330" s="340"/>
      <c r="GO330" s="340"/>
      <c r="GP330" s="340"/>
      <c r="GQ330" s="340"/>
      <c r="GR330" s="340"/>
      <c r="GS330" s="340"/>
      <c r="GT330" s="340"/>
      <c r="GU330" s="340"/>
      <c r="GV330" s="340"/>
      <c r="GW330" s="340"/>
      <c r="GX330" s="340"/>
      <c r="GY330" s="340"/>
      <c r="GZ330" s="340"/>
      <c r="HA330" s="340"/>
      <c r="HB330" s="340"/>
      <c r="HC330" s="340"/>
      <c r="HD330" s="341"/>
      <c r="HE330" s="341"/>
      <c r="HF330" s="341"/>
      <c r="HG330" s="341"/>
      <c r="HH330" s="341"/>
      <c r="HI330" s="341"/>
      <c r="HJ330" s="341"/>
      <c r="HK330" s="341"/>
      <c r="HL330" s="341"/>
      <c r="HM330" s="341"/>
      <c r="HN330" s="341"/>
      <c r="HO330" s="341"/>
      <c r="HP330" s="341"/>
      <c r="HQ330" s="341"/>
      <c r="HR330" s="341"/>
      <c r="HS330" s="238"/>
      <c r="HT330" s="238"/>
      <c r="HU330" s="238"/>
      <c r="HV330" s="238"/>
      <c r="HX330" s="238"/>
      <c r="HY330" s="238"/>
      <c r="ID330" s="238"/>
    </row>
    <row r="331" spans="1:238" s="234" customFormat="1" ht="20.100000000000001" customHeight="1">
      <c r="A331" s="235"/>
      <c r="B331" s="231"/>
      <c r="C331" s="285" t="str">
        <f>IF(AF331="","",SUM(AF331))</f>
        <v/>
      </c>
      <c r="D331" s="286" t="str">
        <f>IF(AK321="D",1,"")</f>
        <v/>
      </c>
      <c r="E331" s="287" t="str">
        <f>IF(C331="","",VLOOKUP(C331,Licenses!B:C,2,FALSE))</f>
        <v/>
      </c>
      <c r="F331" s="288"/>
      <c r="G331" s="288"/>
      <c r="H331" s="289"/>
      <c r="I331" s="169"/>
      <c r="J331" s="270" t="str">
        <f>REPT(AM331,1)</f>
        <v/>
      </c>
      <c r="L331" s="290" t="str">
        <f>IF(AK321="D",AK331,IF(AK330="","",AK330))</f>
        <v/>
      </c>
      <c r="M331" s="311"/>
      <c r="P331" s="290" t="str">
        <f>IF(AK321="D",AY331,IF(AY330="","",AY330))</f>
        <v/>
      </c>
      <c r="R331" s="291" t="str">
        <f>IF(AT331="","",SUM(AT331))</f>
        <v/>
      </c>
      <c r="S331" s="286" t="str">
        <f>IF(AK321="D",1,"")</f>
        <v/>
      </c>
      <c r="T331" s="292" t="str">
        <f>IF(R331="","",VLOOKUP(R331,Licenses!B:C,2,FALSE))</f>
        <v/>
      </c>
      <c r="U331" s="293"/>
      <c r="V331" s="293"/>
      <c r="W331" s="294"/>
      <c r="X331" s="169"/>
      <c r="Y331" s="270" t="str">
        <f>REPT(BA331,1)</f>
        <v/>
      </c>
      <c r="Z331" s="308"/>
      <c r="AD331" s="235"/>
      <c r="AE331" s="235"/>
      <c r="AF331" s="256" t="str">
        <f>IF(AM321="","",SUM(AM321))</f>
        <v/>
      </c>
      <c r="AG331" s="237"/>
      <c r="AH331" s="256"/>
      <c r="AI331" s="256"/>
      <c r="AJ331" s="256"/>
      <c r="AK331" s="256" t="str">
        <f>IF(BZ329&gt;1,BZ329,"")</f>
        <v/>
      </c>
      <c r="AL331" s="257">
        <f>IF(AK321="D",SUM(I331),0)</f>
        <v>0</v>
      </c>
      <c r="AM331" s="258" t="str">
        <f>IF(AM329=0,IF(AL331&lt;6,"","X"),"X")</f>
        <v/>
      </c>
      <c r="AN331" s="347" t="str">
        <f>IF(AM329=0,IF(AL331&lt;6,"",1),1)</f>
        <v/>
      </c>
      <c r="AO331" s="235"/>
      <c r="AP331" s="236"/>
      <c r="AQ331" s="235"/>
      <c r="AR331" s="235"/>
      <c r="AS331" s="235"/>
      <c r="AT331" s="256" t="str">
        <f>IF(BA321="","",SUM(BA321))</f>
        <v/>
      </c>
      <c r="AU331" s="237"/>
      <c r="AV331" s="256"/>
      <c r="AW331" s="256"/>
      <c r="AX331" s="256"/>
      <c r="AY331" s="256" t="str">
        <f>IF(CI329&gt;1,CI329,"")</f>
        <v/>
      </c>
      <c r="AZ331" s="257">
        <f>IF(AK321="D",SUM(X331),0)</f>
        <v>0</v>
      </c>
      <c r="BA331" s="258" t="str">
        <f>IF(BA329=0,IF(AZ331&lt;6,"","X"),"X")</f>
        <v/>
      </c>
      <c r="BB331" s="347" t="str">
        <f>IF(BA329=0,IF(AZ331&lt;6,"",1),1)</f>
        <v/>
      </c>
      <c r="BC331" s="236"/>
      <c r="BD331" s="236"/>
      <c r="BE331" s="236"/>
      <c r="BF331" s="236"/>
      <c r="BG331" s="236"/>
      <c r="BH331" s="236"/>
      <c r="BI331" s="236"/>
      <c r="BJ331" s="236"/>
      <c r="BK331" s="238"/>
      <c r="BL331" s="238"/>
      <c r="BM331" s="295"/>
      <c r="BN331" s="295"/>
      <c r="BO331" s="295"/>
      <c r="BP331" s="295"/>
      <c r="BQ331" s="295"/>
      <c r="BR331" s="295"/>
      <c r="BS331" s="295"/>
      <c r="BT331" s="295"/>
      <c r="BU331" s="295"/>
      <c r="BV331" s="295"/>
      <c r="BW331" s="295"/>
      <c r="BX331" s="236"/>
      <c r="BY331" s="295"/>
      <c r="BZ331" s="295"/>
      <c r="CA331" s="295"/>
      <c r="CB331" s="295"/>
      <c r="CC331" s="295"/>
      <c r="CD331" s="295"/>
      <c r="CE331" s="295"/>
      <c r="CF331" s="295"/>
      <c r="CG331" s="296"/>
      <c r="CH331" s="295"/>
      <c r="CI331" s="295"/>
      <c r="CJ331" s="295"/>
      <c r="CK331" s="238"/>
      <c r="CL331" s="238"/>
      <c r="CM331" s="238"/>
      <c r="CN331" s="238"/>
      <c r="CO331" s="238"/>
      <c r="CP331" s="238"/>
      <c r="CQ331" s="238"/>
      <c r="CR331" s="238"/>
      <c r="CS331" s="238"/>
      <c r="CT331" s="238"/>
      <c r="CU331" s="238"/>
      <c r="CV331" s="238"/>
      <c r="CW331" s="238"/>
      <c r="CX331" s="238"/>
      <c r="CY331" s="238"/>
      <c r="CZ331" s="238"/>
      <c r="DA331" s="238"/>
      <c r="DB331" s="238"/>
      <c r="DC331" s="238"/>
      <c r="DD331" s="238"/>
      <c r="DE331" s="238"/>
      <c r="DF331" s="238"/>
      <c r="DG331" s="238"/>
      <c r="DH331" s="238"/>
      <c r="DI331" s="238"/>
      <c r="DJ331" s="238"/>
      <c r="DK331" s="238"/>
      <c r="DL331" s="238"/>
      <c r="DM331" s="238"/>
      <c r="DN331" s="238"/>
      <c r="DO331" s="238"/>
      <c r="DP331" s="238"/>
      <c r="DQ331" s="238"/>
      <c r="DR331" s="238"/>
      <c r="DS331" s="238"/>
      <c r="DT331" s="238"/>
      <c r="DU331" s="238"/>
      <c r="DV331" s="238"/>
      <c r="DW331" s="238"/>
      <c r="DX331" s="238"/>
      <c r="DY331" s="238"/>
      <c r="DZ331" s="238"/>
      <c r="EA331" s="238"/>
      <c r="EB331" s="238"/>
      <c r="EC331" s="238"/>
      <c r="ED331" s="238"/>
      <c r="EE331" s="238"/>
      <c r="EF331" s="238"/>
      <c r="EG331" s="238"/>
      <c r="EH331" s="238"/>
      <c r="EI331" s="238"/>
      <c r="EJ331" s="238"/>
      <c r="EK331" s="238"/>
      <c r="EL331" s="238"/>
      <c r="EM331" s="238"/>
      <c r="EN331" s="238"/>
      <c r="EO331" s="238"/>
      <c r="EP331" s="238"/>
      <c r="EQ331" s="238"/>
      <c r="ER331" s="238"/>
      <c r="ES331" s="238"/>
      <c r="ET331" s="244"/>
      <c r="EU331" s="238"/>
      <c r="EV331" s="238"/>
      <c r="EW331" s="238"/>
      <c r="EX331" s="238"/>
      <c r="EY331" s="238"/>
      <c r="EZ331" s="238"/>
      <c r="FA331" s="238"/>
      <c r="FB331" s="238"/>
      <c r="FC331" s="238"/>
      <c r="FD331" s="238"/>
      <c r="FE331" s="238"/>
      <c r="FF331" s="238"/>
      <c r="FG331" s="238"/>
      <c r="FH331" s="238"/>
      <c r="FI331" s="238"/>
      <c r="FJ331" s="238"/>
      <c r="FK331" s="238"/>
      <c r="FL331" s="238"/>
      <c r="FM331" s="238"/>
      <c r="FN331" s="238"/>
      <c r="FO331" s="244"/>
      <c r="FP331" s="238"/>
      <c r="FQ331" s="238"/>
      <c r="FR331" s="238"/>
      <c r="FS331" s="238"/>
      <c r="FT331" s="238"/>
      <c r="FU331" s="238"/>
      <c r="FV331" s="238"/>
      <c r="FW331" s="238"/>
      <c r="FX331" s="238"/>
      <c r="FY331" s="238"/>
      <c r="FZ331" s="238"/>
      <c r="GA331" s="238"/>
      <c r="GB331" s="238"/>
      <c r="GC331" s="238"/>
      <c r="GD331" s="341"/>
      <c r="GE331" s="340"/>
      <c r="GF331" s="340"/>
      <c r="GG331" s="340"/>
      <c r="GH331" s="340"/>
      <c r="GI331" s="340"/>
      <c r="GJ331" s="340"/>
      <c r="GK331" s="340"/>
      <c r="GL331" s="340"/>
      <c r="GM331" s="340"/>
      <c r="GN331" s="340"/>
      <c r="GO331" s="340"/>
      <c r="GP331" s="340"/>
      <c r="GQ331" s="340"/>
      <c r="GR331" s="340"/>
      <c r="GS331" s="340"/>
      <c r="GT331" s="340"/>
      <c r="GU331" s="340"/>
      <c r="GV331" s="340"/>
      <c r="GW331" s="340"/>
      <c r="GX331" s="340"/>
      <c r="GY331" s="340"/>
      <c r="GZ331" s="340"/>
      <c r="HA331" s="340"/>
      <c r="HB331" s="340"/>
      <c r="HC331" s="340"/>
      <c r="HD331" s="341"/>
      <c r="HE331" s="341"/>
      <c r="HF331" s="341"/>
      <c r="HG331" s="341"/>
      <c r="HH331" s="341"/>
      <c r="HI331" s="341"/>
      <c r="HJ331" s="341"/>
      <c r="HK331" s="341"/>
      <c r="HL331" s="341"/>
      <c r="HM331" s="341"/>
      <c r="HN331" s="341"/>
      <c r="HO331" s="341"/>
      <c r="HP331" s="341"/>
      <c r="HQ331" s="341"/>
      <c r="HR331" s="341"/>
      <c r="HS331" s="238"/>
      <c r="HT331" s="238"/>
      <c r="HU331" s="238"/>
      <c r="HV331" s="238"/>
      <c r="HX331" s="238"/>
      <c r="HY331" s="238"/>
      <c r="ID331" s="238"/>
    </row>
    <row r="332" spans="1:238" s="234" customFormat="1" ht="20.100000000000001" customHeight="1">
      <c r="A332" s="235"/>
      <c r="B332" s="231"/>
      <c r="C332" s="336" t="str">
        <f>IF(AF332="","",SUM(AF332))</f>
        <v/>
      </c>
      <c r="D332" s="333" t="str">
        <f>IF(AK321="D",2,"")</f>
        <v/>
      </c>
      <c r="E332" s="337" t="str">
        <f>IF(C332="","",VLOOKUP(C332,Licenses!B:C,2,FALSE))</f>
        <v/>
      </c>
      <c r="F332" s="290"/>
      <c r="G332" s="290"/>
      <c r="H332" s="338"/>
      <c r="I332" s="331"/>
      <c r="J332" s="272" t="str">
        <f>REPT(AM332,1)</f>
        <v/>
      </c>
      <c r="L332" s="315" t="str">
        <f>IF(AK321="D",AK332,"")</f>
        <v/>
      </c>
      <c r="M332" s="311"/>
      <c r="P332" s="315" t="str">
        <f>IF(AK321="D",AY332,"")</f>
        <v/>
      </c>
      <c r="R332" s="332" t="str">
        <f>IF(AT332="","",SUM(AT332))</f>
        <v/>
      </c>
      <c r="S332" s="333" t="str">
        <f>IF(AK321="D",2,"")</f>
        <v/>
      </c>
      <c r="T332" s="334" t="str">
        <f>IF(R332="","",VLOOKUP(R332,Licenses!B:C,2,FALSE))</f>
        <v/>
      </c>
      <c r="U332" s="297"/>
      <c r="V332" s="297"/>
      <c r="W332" s="335"/>
      <c r="X332" s="331"/>
      <c r="Y332" s="272" t="str">
        <f>REPT(BA332,1)</f>
        <v/>
      </c>
      <c r="Z332" s="308"/>
      <c r="AA332" s="238">
        <f>IF(AK321="D",0,1)</f>
        <v>1</v>
      </c>
      <c r="AD332" s="235"/>
      <c r="AE332" s="235"/>
      <c r="AF332" s="256" t="str">
        <f>IF(AM322="","",SUM(AM322))</f>
        <v/>
      </c>
      <c r="AG332" s="237"/>
      <c r="AH332" s="256"/>
      <c r="AI332" s="256"/>
      <c r="AJ332" s="256"/>
      <c r="AK332" s="256" t="str">
        <f>IF(CA329&gt;1,CA329,"")</f>
        <v/>
      </c>
      <c r="AL332" s="257">
        <f>IF(AK321="D",SUM(I332),0)</f>
        <v>0</v>
      </c>
      <c r="AM332" s="258" t="str">
        <f>IF(AM329=0,IF(AL332&lt;6,"","X"),"X")</f>
        <v/>
      </c>
      <c r="AN332" s="347" t="str">
        <f>IF(AM329=0,IF(AL332&lt;6,"",1),1)</f>
        <v/>
      </c>
      <c r="AO332" s="235"/>
      <c r="AP332" s="236"/>
      <c r="AQ332" s="235"/>
      <c r="AR332" s="235"/>
      <c r="AS332" s="235"/>
      <c r="AT332" s="256" t="str">
        <f>IF(BA322="","",SUM(BA322))</f>
        <v/>
      </c>
      <c r="AU332" s="237"/>
      <c r="AV332" s="256"/>
      <c r="AW332" s="256"/>
      <c r="AX332" s="256"/>
      <c r="AY332" s="256" t="str">
        <f>IF(CJ329&gt;1,CJ329,"")</f>
        <v/>
      </c>
      <c r="AZ332" s="257">
        <f>IF(AK321="D",SUM(X332),0)</f>
        <v>0</v>
      </c>
      <c r="BA332" s="258" t="str">
        <f>IF(BA329=0,IF(AZ332&lt;6,"","X"),"X")</f>
        <v/>
      </c>
      <c r="BB332" s="347" t="str">
        <f>IF(BA329=0,IF(AZ332&lt;6,"",1),1)</f>
        <v/>
      </c>
      <c r="BC332" s="236"/>
      <c r="BD332" s="236"/>
      <c r="BE332" s="236"/>
      <c r="BF332" s="236"/>
      <c r="BG332" s="236"/>
      <c r="BH332" s="236"/>
      <c r="BI332" s="236"/>
      <c r="BJ332" s="236"/>
      <c r="BK332" s="238"/>
      <c r="BM332" s="238"/>
      <c r="BN332" s="238"/>
      <c r="BO332" s="238"/>
      <c r="BP332" s="238"/>
      <c r="BQ332" s="238" t="s">
        <v>899</v>
      </c>
      <c r="BR332" s="238"/>
      <c r="BS332" s="238"/>
      <c r="BT332" s="238"/>
      <c r="BU332" s="238"/>
      <c r="BV332" s="238"/>
      <c r="BW332" s="238"/>
      <c r="BX332" s="236"/>
      <c r="BY332" s="238"/>
      <c r="BZ332" s="238"/>
      <c r="CA332" s="238"/>
      <c r="CB332" s="238"/>
      <c r="CC332" s="238"/>
      <c r="CD332" s="238" t="s">
        <v>899</v>
      </c>
      <c r="CE332" s="238"/>
      <c r="CF332" s="238"/>
      <c r="CG332" s="244"/>
      <c r="CH332" s="238"/>
      <c r="CI332" s="238"/>
      <c r="CJ332" s="238"/>
      <c r="CK332" s="238"/>
      <c r="CL332" s="238"/>
      <c r="CM332" s="238"/>
      <c r="CN332" s="238"/>
      <c r="CO332" s="238"/>
      <c r="CP332" s="238"/>
      <c r="CQ332" s="238"/>
      <c r="CR332" s="238"/>
      <c r="CS332" s="238"/>
      <c r="CT332" s="238"/>
      <c r="CU332" s="238"/>
      <c r="CV332" s="238"/>
      <c r="CW332" s="238"/>
      <c r="CX332" s="238"/>
      <c r="CY332" s="238"/>
      <c r="CZ332" s="238"/>
      <c r="DA332" s="238"/>
      <c r="DB332" s="238"/>
      <c r="DC332" s="238"/>
      <c r="DD332" s="238"/>
      <c r="DE332" s="238"/>
      <c r="DF332" s="238"/>
      <c r="DG332" s="238"/>
      <c r="DH332" s="238"/>
      <c r="DI332" s="238"/>
      <c r="DJ332" s="238"/>
      <c r="DK332" s="238"/>
      <c r="DL332" s="238"/>
      <c r="DM332" s="238"/>
      <c r="DN332" s="238"/>
      <c r="DO332" s="238"/>
      <c r="DP332" s="238"/>
      <c r="DQ332" s="238"/>
      <c r="DR332" s="238"/>
      <c r="DS332" s="238"/>
      <c r="DT332" s="238"/>
      <c r="DU332" s="238"/>
      <c r="DV332" s="238"/>
      <c r="DW332" s="238"/>
      <c r="DX332" s="238"/>
      <c r="DY332" s="238"/>
      <c r="DZ332" s="238"/>
      <c r="EA332" s="238"/>
      <c r="EB332" s="238"/>
      <c r="EC332" s="238"/>
      <c r="ED332" s="238"/>
      <c r="EE332" s="238"/>
      <c r="EF332" s="238"/>
      <c r="EG332" s="238"/>
      <c r="EH332" s="238"/>
      <c r="EI332" s="238"/>
      <c r="EJ332" s="238"/>
      <c r="EK332" s="238"/>
      <c r="EL332" s="238"/>
      <c r="EM332" s="238"/>
      <c r="EN332" s="238"/>
      <c r="EO332" s="238"/>
      <c r="EP332" s="238"/>
      <c r="EQ332" s="238"/>
      <c r="ER332" s="238"/>
      <c r="ES332" s="238"/>
      <c r="ET332" s="244"/>
      <c r="EU332" s="238"/>
      <c r="EV332" s="238"/>
      <c r="EW332" s="238"/>
      <c r="EX332" s="238"/>
      <c r="EY332" s="238"/>
      <c r="EZ332" s="238"/>
      <c r="FA332" s="238"/>
      <c r="FB332" s="238"/>
      <c r="FC332" s="238"/>
      <c r="FD332" s="238"/>
      <c r="FE332" s="238"/>
      <c r="FF332" s="238"/>
      <c r="FG332" s="238"/>
      <c r="FH332" s="238"/>
      <c r="FI332" s="238"/>
      <c r="FJ332" s="238"/>
      <c r="FK332" s="238"/>
      <c r="FL332" s="238"/>
      <c r="FM332" s="238"/>
      <c r="FN332" s="238"/>
      <c r="FO332" s="244"/>
      <c r="FP332" s="238"/>
      <c r="FQ332" s="238"/>
      <c r="FR332" s="238"/>
      <c r="FS332" s="238"/>
      <c r="FT332" s="238"/>
      <c r="FU332" s="238"/>
      <c r="FV332" s="238"/>
      <c r="FW332" s="238"/>
      <c r="FX332" s="238"/>
      <c r="FY332" s="238"/>
      <c r="FZ332" s="238"/>
      <c r="GA332" s="238"/>
      <c r="GB332" s="238"/>
      <c r="GC332" s="238"/>
      <c r="GD332" s="341"/>
      <c r="GE332" s="340"/>
      <c r="GF332" s="340"/>
      <c r="GG332" s="340"/>
      <c r="GH332" s="340"/>
      <c r="GI332" s="340"/>
      <c r="GJ332" s="340"/>
      <c r="GK332" s="340"/>
      <c r="GL332" s="340"/>
      <c r="GM332" s="340"/>
      <c r="GN332" s="340"/>
      <c r="GO332" s="340"/>
      <c r="GP332" s="340"/>
      <c r="GQ332" s="340"/>
      <c r="GR332" s="340"/>
      <c r="GS332" s="340"/>
      <c r="GT332" s="340"/>
      <c r="GU332" s="340"/>
      <c r="GV332" s="340"/>
      <c r="GW332" s="340"/>
      <c r="GX332" s="340"/>
      <c r="GY332" s="340"/>
      <c r="GZ332" s="340"/>
      <c r="HA332" s="340"/>
      <c r="HB332" s="340"/>
      <c r="HC332" s="340"/>
      <c r="HD332" s="341"/>
      <c r="HE332" s="341"/>
      <c r="HF332" s="341"/>
      <c r="HG332" s="341"/>
      <c r="HH332" s="341"/>
      <c r="HI332" s="341"/>
      <c r="HJ332" s="341"/>
      <c r="HK332" s="341"/>
      <c r="HL332" s="341"/>
      <c r="HM332" s="341"/>
      <c r="HN332" s="341"/>
      <c r="HO332" s="341"/>
      <c r="HP332" s="341"/>
      <c r="HQ332" s="341"/>
      <c r="HR332" s="341"/>
      <c r="HS332" s="238"/>
      <c r="HT332" s="238"/>
      <c r="HU332" s="238"/>
      <c r="HV332" s="238"/>
      <c r="HX332" s="238"/>
      <c r="HY332" s="238"/>
      <c r="ID332" s="238"/>
    </row>
    <row r="333" spans="1:238" s="234" customFormat="1" ht="20.100000000000001" customHeight="1">
      <c r="A333" s="235"/>
      <c r="B333" s="316"/>
      <c r="C333" s="317"/>
      <c r="D333" s="317"/>
      <c r="E333" s="318"/>
      <c r="F333" s="318"/>
      <c r="G333" s="318"/>
      <c r="H333" s="318"/>
      <c r="I333" s="318"/>
      <c r="J333" s="318"/>
      <c r="K333" s="319"/>
      <c r="L333" s="319"/>
      <c r="M333" s="319"/>
      <c r="N333" s="319"/>
      <c r="O333" s="319"/>
      <c r="P333" s="320"/>
      <c r="Q333" s="319"/>
      <c r="R333" s="317"/>
      <c r="S333" s="318"/>
      <c r="T333" s="318"/>
      <c r="U333" s="318"/>
      <c r="V333" s="318"/>
      <c r="W333" s="318"/>
      <c r="X333" s="318"/>
      <c r="Y333" s="318"/>
      <c r="Z333" s="321"/>
      <c r="AD333" s="235"/>
      <c r="AE333" s="237"/>
      <c r="AF333" s="237"/>
      <c r="AG333" s="237"/>
      <c r="AH333" s="237" t="s">
        <v>921</v>
      </c>
      <c r="AI333" s="237" t="s">
        <v>922</v>
      </c>
      <c r="AJ333" s="298" t="str">
        <f>IF(BS333="","",SUM(AM333)*3)</f>
        <v/>
      </c>
      <c r="AK333" s="299" t="s">
        <v>923</v>
      </c>
      <c r="AL333" s="256"/>
      <c r="AM333" s="256" t="str">
        <f>IF(BS333="","",SUM(BS333))</f>
        <v/>
      </c>
      <c r="AN333" s="235"/>
      <c r="AO333" s="235"/>
      <c r="AP333" s="236"/>
      <c r="AQ333" s="235"/>
      <c r="AR333" s="235"/>
      <c r="AS333" s="237"/>
      <c r="AT333" s="237"/>
      <c r="AU333" s="237"/>
      <c r="AV333" s="237" t="s">
        <v>921</v>
      </c>
      <c r="AW333" s="237" t="s">
        <v>922</v>
      </c>
      <c r="AX333" s="298" t="str">
        <f>IF(BS333="","",SUM(BA333)*3)</f>
        <v/>
      </c>
      <c r="AY333" s="299" t="s">
        <v>923</v>
      </c>
      <c r="AZ333" s="256"/>
      <c r="BA333" s="256" t="str">
        <f>IF(BS333="","",SUM(CF333))</f>
        <v/>
      </c>
      <c r="BB333" s="236"/>
      <c r="BC333" s="236"/>
      <c r="BD333" s="236"/>
      <c r="BE333" s="236"/>
      <c r="BF333" s="236"/>
      <c r="BG333" s="236"/>
      <c r="BH333" s="236"/>
      <c r="BI333" s="236"/>
      <c r="BJ333" s="236"/>
      <c r="BK333" s="373">
        <f>IF(AL321=BQ333,1,0)</f>
        <v>0</v>
      </c>
      <c r="BL333" s="373">
        <f>IF(AL321=CD333,1,0)</f>
        <v>0</v>
      </c>
      <c r="BM333" s="256">
        <f>IF(BN333&gt;2,1,0)</f>
        <v>0</v>
      </c>
      <c r="BN333" s="256">
        <f>COUNT(AH324,AH325,AH326)</f>
        <v>0</v>
      </c>
      <c r="BO333" s="256" t="str">
        <f>IF(AH330="","",SUM(AH330/AJ330))</f>
        <v/>
      </c>
      <c r="BP333" s="256"/>
      <c r="BQ333" s="300">
        <f>COUNT(AK324,AK325,AK326,AK327,AK328)</f>
        <v>0</v>
      </c>
      <c r="BR333" s="256"/>
      <c r="BS333" s="256" t="str">
        <f>IF(BL330=0,IF(AJ325="","",BO333),"")</f>
        <v/>
      </c>
      <c r="BT333" s="236"/>
      <c r="BU333" s="236"/>
      <c r="BV333" s="236"/>
      <c r="BW333" s="236"/>
      <c r="BX333" s="236"/>
      <c r="BY333" s="256">
        <f>IF(CD333&gt;2,1,0)</f>
        <v>0</v>
      </c>
      <c r="BZ333" s="256">
        <f>IF(CA333&gt;2,1,0)</f>
        <v>0</v>
      </c>
      <c r="CA333" s="256">
        <f>COUNT(AV324,AV325,AV326)</f>
        <v>0</v>
      </c>
      <c r="CB333" s="256" t="str">
        <f>IF(AV330="","",SUM(AV330/AX330))</f>
        <v/>
      </c>
      <c r="CC333" s="256"/>
      <c r="CD333" s="300">
        <f>COUNT(AY324,AY325,AY326,AY327,AY328)</f>
        <v>0</v>
      </c>
      <c r="CE333" s="256"/>
      <c r="CF333" s="256" t="str">
        <f>IF(BL330=0,IF(AX325="","",CB333),"")</f>
        <v/>
      </c>
      <c r="CG333" s="236"/>
      <c r="CH333" s="188"/>
      <c r="CI333" s="188"/>
      <c r="CJ333" s="196"/>
      <c r="CK333" s="196"/>
      <c r="CL333" s="196"/>
      <c r="CM333" s="196"/>
      <c r="CN333" s="196"/>
      <c r="CO333" s="196"/>
      <c r="CP333" s="196"/>
      <c r="CQ333" s="196"/>
      <c r="CR333" s="196"/>
      <c r="CS333" s="196"/>
      <c r="CT333" s="196"/>
      <c r="CU333" s="196"/>
      <c r="CV333" s="196"/>
      <c r="CW333" s="196"/>
      <c r="CX333" s="196"/>
      <c r="CY333" s="196"/>
      <c r="CZ333" s="196"/>
      <c r="DA333" s="196"/>
      <c r="DB333" s="196"/>
      <c r="DC333" s="196"/>
      <c r="DD333" s="196"/>
      <c r="DE333" s="196"/>
      <c r="DF333" s="196"/>
      <c r="DG333" s="196"/>
      <c r="DH333" s="196"/>
      <c r="DI333" s="196"/>
      <c r="DJ333" s="196"/>
      <c r="DK333" s="196"/>
      <c r="DL333" s="196"/>
      <c r="DM333" s="196"/>
      <c r="DN333" s="196"/>
      <c r="DO333" s="196"/>
      <c r="DP333" s="196"/>
      <c r="DQ333" s="196"/>
      <c r="DR333" s="196"/>
      <c r="DS333" s="196"/>
      <c r="DT333" s="196"/>
      <c r="DU333" s="196"/>
      <c r="DV333" s="196"/>
      <c r="DW333" s="196"/>
      <c r="DX333" s="196"/>
      <c r="DY333" s="196"/>
      <c r="DZ333" s="196"/>
      <c r="EA333" s="196"/>
      <c r="EB333" s="196"/>
      <c r="EC333" s="196"/>
      <c r="ED333" s="196"/>
      <c r="EE333" s="196"/>
      <c r="EF333" s="196"/>
      <c r="EG333" s="196"/>
      <c r="EH333" s="196"/>
      <c r="EI333" s="196"/>
      <c r="EJ333" s="196"/>
      <c r="EK333" s="196"/>
      <c r="EL333" s="196"/>
      <c r="EM333" s="196"/>
      <c r="EN333" s="196"/>
      <c r="EO333" s="196"/>
      <c r="EP333" s="196"/>
      <c r="EQ333" s="196"/>
      <c r="ER333" s="196"/>
      <c r="ES333" s="196"/>
      <c r="ET333" s="301"/>
      <c r="EU333" s="196"/>
      <c r="EV333" s="196"/>
      <c r="EW333" s="196"/>
      <c r="EX333" s="196"/>
      <c r="EY333" s="196"/>
      <c r="EZ333" s="196"/>
      <c r="FA333" s="196"/>
      <c r="FB333" s="196"/>
      <c r="FC333" s="196"/>
      <c r="FD333" s="196"/>
      <c r="FE333" s="196"/>
      <c r="FF333" s="196"/>
      <c r="FG333" s="196"/>
      <c r="FH333" s="196"/>
      <c r="FI333" s="196"/>
      <c r="FJ333" s="196"/>
      <c r="FK333" s="196"/>
      <c r="FL333" s="196"/>
      <c r="FM333" s="196"/>
      <c r="FN333" s="196"/>
      <c r="FO333" s="301"/>
      <c r="FP333" s="196"/>
      <c r="FQ333" s="196"/>
      <c r="FR333" s="196"/>
      <c r="FS333" s="196"/>
      <c r="FT333" s="196"/>
      <c r="FU333" s="196"/>
      <c r="FV333" s="196"/>
      <c r="FW333" s="196"/>
      <c r="FX333" s="196"/>
      <c r="FY333" s="196"/>
      <c r="FZ333" s="196"/>
      <c r="GA333" s="196"/>
      <c r="GB333" s="238"/>
      <c r="GC333" s="238"/>
      <c r="GD333" s="341"/>
      <c r="GE333" s="341"/>
      <c r="GF333" s="341"/>
      <c r="GG333" s="341"/>
      <c r="GH333" s="341"/>
      <c r="GI333" s="341"/>
      <c r="GJ333" s="341"/>
      <c r="GK333" s="341"/>
      <c r="GL333" s="341"/>
      <c r="GM333" s="341"/>
      <c r="GN333" s="341"/>
      <c r="GO333" s="341"/>
      <c r="GP333" s="341"/>
      <c r="GQ333" s="341"/>
      <c r="GR333" s="341"/>
      <c r="GS333" s="341"/>
      <c r="GT333" s="341"/>
      <c r="GU333" s="341"/>
      <c r="GV333" s="341"/>
      <c r="GW333" s="341"/>
      <c r="GX333" s="341"/>
      <c r="GY333" s="341"/>
      <c r="GZ333" s="341"/>
      <c r="HA333" s="341"/>
      <c r="HB333" s="341"/>
      <c r="HC333" s="341"/>
      <c r="HD333" s="341"/>
      <c r="HE333" s="341"/>
      <c r="HF333" s="341"/>
      <c r="HG333" s="341"/>
      <c r="HH333" s="341"/>
      <c r="HI333" s="341"/>
      <c r="HJ333" s="341"/>
      <c r="HK333" s="341"/>
      <c r="HL333" s="341"/>
      <c r="HM333" s="341"/>
      <c r="HN333" s="341"/>
      <c r="HO333" s="341"/>
      <c r="HP333" s="341"/>
      <c r="HQ333" s="341"/>
      <c r="HR333" s="341"/>
      <c r="HS333" s="238"/>
      <c r="HT333" s="238"/>
      <c r="HU333" s="238"/>
      <c r="HV333" s="238"/>
      <c r="HX333" s="238"/>
      <c r="HY333" s="238"/>
      <c r="ID333" s="238"/>
    </row>
    <row r="334" spans="1:238" ht="14.1" customHeight="1">
      <c r="B334" s="214"/>
      <c r="C334" s="171"/>
      <c r="D334" s="171"/>
      <c r="E334" s="171"/>
      <c r="F334" s="171"/>
      <c r="G334" s="171"/>
      <c r="H334" s="171"/>
      <c r="I334" s="171"/>
      <c r="J334" s="171"/>
      <c r="K334" s="171"/>
      <c r="L334" s="171"/>
      <c r="M334" s="171"/>
      <c r="N334" s="171"/>
      <c r="O334" s="171"/>
      <c r="P334" s="171"/>
      <c r="Q334" s="171"/>
      <c r="R334" s="171"/>
      <c r="S334" s="171"/>
      <c r="T334" s="171"/>
      <c r="U334" s="171"/>
      <c r="V334" s="171"/>
      <c r="W334" s="171"/>
      <c r="X334" s="171"/>
      <c r="Y334" s="171"/>
      <c r="Z334" s="302"/>
      <c r="AA334" s="215"/>
      <c r="AB334" s="215"/>
      <c r="AC334" s="215"/>
      <c r="AD334" s="215"/>
      <c r="AE334" s="215"/>
      <c r="AF334" s="215"/>
      <c r="BB334" s="215"/>
      <c r="BC334" s="215"/>
      <c r="BD334" s="215"/>
      <c r="BE334" s="215"/>
      <c r="BF334" s="215"/>
      <c r="BG334" s="215"/>
      <c r="BH334" s="215"/>
      <c r="GD334" s="339"/>
      <c r="GE334" s="339"/>
      <c r="GF334" s="339"/>
      <c r="GG334" s="339"/>
      <c r="GH334" s="339"/>
      <c r="GI334" s="339"/>
      <c r="GJ334" s="339"/>
      <c r="GK334" s="339"/>
      <c r="GL334" s="339"/>
      <c r="GM334" s="339"/>
      <c r="GN334" s="339"/>
      <c r="GO334" s="339"/>
      <c r="GP334" s="339"/>
      <c r="GQ334" s="339"/>
      <c r="GR334" s="339"/>
      <c r="GS334" s="339"/>
      <c r="GT334" s="339"/>
      <c r="GU334" s="339"/>
      <c r="GV334" s="339"/>
      <c r="GW334" s="339"/>
      <c r="GX334" s="339"/>
      <c r="GY334" s="339"/>
      <c r="GZ334" s="339"/>
      <c r="HA334" s="339"/>
      <c r="HB334" s="339"/>
      <c r="HC334" s="339"/>
      <c r="HD334" s="339"/>
      <c r="HE334" s="339"/>
      <c r="HF334" s="339"/>
      <c r="HG334" s="339"/>
      <c r="HH334" s="339"/>
      <c r="HI334" s="339"/>
      <c r="HJ334" s="339"/>
      <c r="HK334" s="339"/>
      <c r="HL334" s="339"/>
      <c r="HM334" s="339"/>
      <c r="HN334" s="339"/>
      <c r="HO334" s="339"/>
      <c r="HP334" s="339"/>
      <c r="HQ334" s="339"/>
      <c r="HR334" s="339"/>
    </row>
    <row r="335" spans="1:238" ht="24" customHeight="1">
      <c r="B335" s="216"/>
      <c r="C335" s="181"/>
      <c r="D335" s="181"/>
      <c r="E335" s="181"/>
      <c r="F335" s="181"/>
      <c r="G335" s="181"/>
      <c r="H335" s="181"/>
      <c r="I335" s="181"/>
      <c r="J335" s="181"/>
      <c r="K335" s="185"/>
      <c r="L335" s="217"/>
      <c r="M335" s="218"/>
      <c r="N335" s="327" t="str">
        <f>CONCATENATE(AG335," ",AH335)</f>
        <v>Spiel 24</v>
      </c>
      <c r="O335" s="218"/>
      <c r="P335" s="219"/>
      <c r="Q335" s="185"/>
      <c r="R335" s="181"/>
      <c r="S335" s="181"/>
      <c r="T335" s="181"/>
      <c r="U335" s="181"/>
      <c r="V335" s="181"/>
      <c r="W335" s="181"/>
      <c r="X335" s="181"/>
      <c r="Y335" s="181"/>
      <c r="Z335" s="303"/>
      <c r="AA335" s="200"/>
      <c r="AB335" s="200"/>
      <c r="AC335" s="200"/>
      <c r="AD335" s="200"/>
      <c r="AE335" s="200"/>
      <c r="AF335" s="200"/>
      <c r="AG335" s="200" t="s">
        <v>863</v>
      </c>
      <c r="AH335" s="220">
        <v>24</v>
      </c>
      <c r="AI335" s="173">
        <f>VLOOKUP(AH335,Chema!R:T,3,FALSE)</f>
        <v>3.4</v>
      </c>
      <c r="AJ335" s="200" t="str">
        <f>VLOOKUP(AH335,Chema!BL:BQ,6,FALSE)</f>
        <v>3.4*</v>
      </c>
      <c r="AK335" s="200" t="str">
        <f>VLOOKUP(AH335,'Matchblatt  FEUILLE DE MATCH'!AI:AJ,2,FALSE)</f>
        <v>S</v>
      </c>
      <c r="AL335" s="200">
        <f>VLOOKUP(AH335,Chema!R:U,4,FALSE)</f>
        <v>5</v>
      </c>
      <c r="AM335" s="215" t="str">
        <f>VLOOKUP(AH335,'Matchblatt  FEUILLE DE MATCH'!AI:AS,10,FALSE)</f>
        <v/>
      </c>
      <c r="AN335" s="215"/>
      <c r="AO335" s="215"/>
      <c r="AP335" s="215"/>
      <c r="AQ335" s="215"/>
      <c r="AR335" s="215"/>
      <c r="AS335" s="215"/>
      <c r="AT335" s="215"/>
      <c r="AU335" s="215"/>
      <c r="AV335" s="215"/>
      <c r="AW335" s="215"/>
      <c r="AX335" s="215"/>
      <c r="AY335" s="215"/>
      <c r="AZ335" s="215"/>
      <c r="BA335" s="215" t="str">
        <f>VLOOKUP(AH335,'Matchblatt  FEUILLE DE MATCH'!AI:AS,11,FALSE)</f>
        <v/>
      </c>
      <c r="BB335" s="200"/>
      <c r="BC335" s="200"/>
      <c r="BD335" s="200"/>
      <c r="BE335" s="200"/>
      <c r="BF335" s="200"/>
      <c r="BG335" s="200"/>
      <c r="BH335" s="200"/>
      <c r="BK335" s="196"/>
      <c r="BL335" s="196"/>
      <c r="BM335" s="196"/>
      <c r="BN335" s="196"/>
      <c r="BO335" s="196"/>
      <c r="BP335" s="196"/>
      <c r="BQ335" s="221" t="s">
        <v>843</v>
      </c>
      <c r="BR335" s="222"/>
      <c r="BS335" s="222"/>
      <c r="BT335" s="223"/>
      <c r="BU335" s="222" t="s">
        <v>843</v>
      </c>
      <c r="BV335" s="222"/>
      <c r="BW335" s="222"/>
      <c r="BX335" s="224"/>
      <c r="BY335" s="222"/>
      <c r="BZ335" s="222"/>
      <c r="CA335" s="222"/>
      <c r="CB335" s="222"/>
      <c r="CC335" s="222"/>
      <c r="CD335" s="222"/>
      <c r="CE335" s="222"/>
      <c r="CF335" s="222"/>
      <c r="CG335" s="224"/>
      <c r="CH335" s="222"/>
      <c r="CI335" s="222"/>
      <c r="CJ335" s="223"/>
      <c r="CK335" s="196"/>
      <c r="CL335" s="196"/>
      <c r="CM335" s="196"/>
      <c r="CN335" s="196"/>
      <c r="CO335" s="196"/>
      <c r="CP335" s="196"/>
      <c r="CQ335" s="196"/>
      <c r="CR335" s="196"/>
      <c r="CS335" s="196"/>
      <c r="CT335" s="196"/>
      <c r="CU335" s="196"/>
      <c r="CV335" s="196"/>
      <c r="CW335" s="196"/>
      <c r="CX335" s="196"/>
      <c r="CY335" s="196"/>
      <c r="CZ335" s="196"/>
      <c r="DA335" s="196"/>
      <c r="DB335" s="196"/>
      <c r="DC335" s="196"/>
      <c r="DD335" s="196"/>
      <c r="DE335" s="196"/>
      <c r="DF335" s="196"/>
      <c r="DG335" s="196"/>
      <c r="DH335" s="196"/>
      <c r="DI335" s="196"/>
      <c r="DJ335" s="196"/>
      <c r="DK335" s="196"/>
      <c r="DL335" s="196"/>
      <c r="DM335" s="196"/>
      <c r="DN335" s="196"/>
      <c r="DO335" s="196"/>
      <c r="DP335" s="196"/>
      <c r="DQ335" s="196"/>
      <c r="DR335" s="196"/>
      <c r="DS335" s="196"/>
      <c r="DT335" s="196"/>
      <c r="DU335" s="196"/>
      <c r="DV335" s="196"/>
      <c r="DW335" s="196"/>
      <c r="DX335" s="196"/>
      <c r="DY335" s="196"/>
      <c r="DZ335" s="196"/>
      <c r="EA335" s="196"/>
      <c r="EB335" s="196"/>
      <c r="EC335" s="196"/>
      <c r="ED335" s="196"/>
      <c r="EE335" s="196"/>
      <c r="EF335" s="196"/>
      <c r="EG335" s="196"/>
      <c r="EH335" s="196"/>
      <c r="EI335" s="196"/>
      <c r="EJ335" s="196"/>
      <c r="EK335" s="196"/>
      <c r="EL335" s="196"/>
      <c r="EM335" s="221" t="s">
        <v>7</v>
      </c>
      <c r="EN335" s="222"/>
      <c r="EO335" s="222"/>
      <c r="EP335" s="222"/>
      <c r="EQ335" s="222"/>
      <c r="ER335" s="222"/>
      <c r="ES335" s="222"/>
      <c r="ET335" s="224"/>
      <c r="EU335" s="222"/>
      <c r="EV335" s="222"/>
      <c r="EW335" s="222"/>
      <c r="EX335" s="222"/>
      <c r="EY335" s="222"/>
      <c r="EZ335" s="222"/>
      <c r="FA335" s="222"/>
      <c r="FB335" s="222"/>
      <c r="FC335" s="222"/>
      <c r="FD335" s="222"/>
      <c r="FE335" s="223"/>
      <c r="FF335" s="196"/>
      <c r="FG335" s="196"/>
      <c r="FH335" s="221" t="s">
        <v>12</v>
      </c>
      <c r="FI335" s="222"/>
      <c r="FJ335" s="222"/>
      <c r="FK335" s="222"/>
      <c r="FL335" s="222"/>
      <c r="FM335" s="222"/>
      <c r="FN335" s="222"/>
      <c r="FO335" s="224"/>
      <c r="FP335" s="222"/>
      <c r="FQ335" s="222"/>
      <c r="FR335" s="222"/>
      <c r="FS335" s="222"/>
      <c r="FT335" s="222"/>
      <c r="FU335" s="222"/>
      <c r="FV335" s="222"/>
      <c r="FW335" s="222"/>
      <c r="FX335" s="222"/>
      <c r="FY335" s="222"/>
      <c r="FZ335" s="223"/>
      <c r="GA335" s="196"/>
      <c r="GD335" s="339"/>
      <c r="GE335" s="339"/>
      <c r="GF335" s="339"/>
      <c r="GG335" s="339"/>
      <c r="GH335" s="339"/>
      <c r="GI335" s="339"/>
      <c r="GJ335" s="339"/>
      <c r="GK335" s="339"/>
      <c r="GL335" s="339"/>
      <c r="GM335" s="339"/>
      <c r="GN335" s="339"/>
      <c r="GO335" s="339"/>
      <c r="GP335" s="339"/>
      <c r="GQ335" s="339"/>
      <c r="GR335" s="339"/>
      <c r="GS335" s="339"/>
      <c r="GT335" s="339"/>
      <c r="GU335" s="339"/>
      <c r="GV335" s="339"/>
      <c r="GW335" s="339"/>
      <c r="GX335" s="339"/>
      <c r="GY335" s="339"/>
      <c r="GZ335" s="339"/>
      <c r="HA335" s="339"/>
      <c r="HB335" s="339"/>
      <c r="HC335" s="339"/>
      <c r="HD335" s="339"/>
      <c r="HE335" s="339"/>
      <c r="HF335" s="339"/>
      <c r="HG335" s="339"/>
      <c r="HH335" s="339"/>
      <c r="HI335" s="339"/>
      <c r="HJ335" s="339"/>
      <c r="HK335" s="339"/>
      <c r="HL335" s="339"/>
      <c r="HM335" s="339"/>
      <c r="HN335" s="339"/>
      <c r="HO335" s="339"/>
      <c r="HP335" s="339"/>
      <c r="HQ335" s="339"/>
      <c r="HR335" s="339"/>
    </row>
    <row r="336" spans="1:238" ht="14.1" customHeight="1">
      <c r="B336" s="225"/>
      <c r="C336" s="304"/>
      <c r="D336" s="304"/>
      <c r="E336" s="304"/>
      <c r="F336" s="304"/>
      <c r="G336" s="304"/>
      <c r="H336" s="304"/>
      <c r="I336" s="304"/>
      <c r="J336" s="304"/>
      <c r="K336" s="166"/>
      <c r="L336" s="166"/>
      <c r="M336" s="166"/>
      <c r="N336" s="304"/>
      <c r="O336" s="304"/>
      <c r="P336" s="166"/>
      <c r="Q336" s="166"/>
      <c r="R336" s="304"/>
      <c r="S336" s="304"/>
      <c r="T336" s="304"/>
      <c r="U336" s="304"/>
      <c r="V336" s="304"/>
      <c r="W336" s="304"/>
      <c r="X336" s="166"/>
      <c r="Y336" s="166"/>
      <c r="Z336" s="305"/>
      <c r="AA336" s="63"/>
      <c r="AB336" s="63"/>
      <c r="AC336" s="63"/>
      <c r="AD336" s="63"/>
      <c r="AE336" s="63"/>
      <c r="AF336" s="63"/>
      <c r="AJ336" s="173" t="str">
        <f>IF(AK335="D",CONCATENATE(AI335,".",2),"")</f>
        <v/>
      </c>
      <c r="AL336" s="200"/>
      <c r="AM336" s="200" t="str">
        <f>IF(AK335="D",VLOOKUP(AJ336,'Matchblatt  FEUILLE DE MATCH'!AK:AS,8,FALSE),"")</f>
        <v/>
      </c>
      <c r="AN336" s="200"/>
      <c r="AO336" s="200"/>
      <c r="AP336" s="200"/>
      <c r="AQ336" s="200"/>
      <c r="AR336" s="200"/>
      <c r="AS336" s="200"/>
      <c r="AT336" s="200"/>
      <c r="AU336" s="200"/>
      <c r="AV336" s="200"/>
      <c r="AW336" s="200"/>
      <c r="AX336" s="200"/>
      <c r="AY336" s="200"/>
      <c r="AZ336" s="200"/>
      <c r="BA336" s="200" t="str">
        <f>IF(AK335="D",VLOOKUP(AJ336,'Matchblatt  FEUILLE DE MATCH'!AK:AS,9,FALSE),"")</f>
        <v/>
      </c>
      <c r="BB336" s="63"/>
      <c r="BC336" s="63"/>
      <c r="BD336" s="63"/>
      <c r="BE336" s="63"/>
      <c r="BF336" s="63"/>
      <c r="BG336" s="63"/>
      <c r="BH336" s="63"/>
      <c r="BK336" s="166" t="s">
        <v>7</v>
      </c>
      <c r="BL336" s="166" t="s">
        <v>12</v>
      </c>
      <c r="BM336" s="166"/>
      <c r="BN336" s="166" t="s">
        <v>7</v>
      </c>
      <c r="BO336" s="166" t="s">
        <v>12</v>
      </c>
      <c r="BP336" s="166"/>
      <c r="BQ336" s="226" t="s">
        <v>894</v>
      </c>
      <c r="BR336" s="227" t="s">
        <v>895</v>
      </c>
      <c r="BS336" s="228" t="s">
        <v>896</v>
      </c>
      <c r="BT336" s="229"/>
      <c r="BU336" s="226" t="s">
        <v>7</v>
      </c>
      <c r="BV336" s="166"/>
      <c r="BW336" s="166"/>
      <c r="BX336" s="230"/>
      <c r="BY336" s="166"/>
      <c r="BZ336" s="166"/>
      <c r="CA336" s="227"/>
      <c r="CB336" s="166"/>
      <c r="CC336" s="166"/>
      <c r="CD336" s="226" t="s">
        <v>12</v>
      </c>
      <c r="CE336" s="166"/>
      <c r="CF336" s="166"/>
      <c r="CG336" s="230"/>
      <c r="CH336" s="166"/>
      <c r="CI336" s="166"/>
      <c r="CJ336" s="227"/>
      <c r="CK336" s="166"/>
      <c r="CL336" s="166" t="s">
        <v>897</v>
      </c>
      <c r="CM336" s="166"/>
      <c r="CN336" s="166"/>
      <c r="CO336" s="166"/>
      <c r="CP336" s="166"/>
      <c r="CQ336" s="166"/>
      <c r="CR336" s="166"/>
      <c r="CS336" s="166"/>
      <c r="CT336" s="166"/>
      <c r="CU336" s="166" t="s">
        <v>843</v>
      </c>
      <c r="CV336" s="166"/>
      <c r="CW336" s="166" t="s">
        <v>843</v>
      </c>
      <c r="CX336" s="166"/>
      <c r="CY336" s="166"/>
      <c r="CZ336" s="166"/>
      <c r="DA336" s="166"/>
      <c r="DB336" s="166"/>
      <c r="DC336" s="166"/>
      <c r="DD336" s="166" t="s">
        <v>894</v>
      </c>
      <c r="DE336" s="166" t="s">
        <v>895</v>
      </c>
      <c r="DF336" s="166"/>
      <c r="DG336" s="166" t="s">
        <v>927</v>
      </c>
      <c r="DH336" s="166"/>
      <c r="DI336" s="166"/>
      <c r="DJ336" s="166"/>
      <c r="DK336" s="166"/>
      <c r="DL336" s="166"/>
      <c r="DM336" s="166"/>
      <c r="DN336" s="166" t="s">
        <v>928</v>
      </c>
      <c r="DO336" s="166" t="s">
        <v>929</v>
      </c>
      <c r="DP336" s="166"/>
      <c r="DQ336" s="166"/>
      <c r="DR336" s="166"/>
      <c r="DS336" s="166"/>
      <c r="DT336" s="166"/>
      <c r="DU336" s="166"/>
      <c r="DV336" s="166" t="s">
        <v>894</v>
      </c>
      <c r="DW336" s="166" t="s">
        <v>895</v>
      </c>
      <c r="DX336" s="166"/>
      <c r="DY336" s="166"/>
      <c r="DZ336" s="166"/>
      <c r="EA336" s="166"/>
      <c r="EB336" s="166"/>
      <c r="EC336" s="166"/>
      <c r="ED336" s="166" t="s">
        <v>894</v>
      </c>
      <c r="EE336" s="166" t="s">
        <v>895</v>
      </c>
      <c r="EF336" s="166"/>
      <c r="EG336" s="166"/>
      <c r="EH336" s="166"/>
      <c r="EI336" s="166"/>
      <c r="EJ336" s="166"/>
      <c r="EK336" s="166"/>
      <c r="EL336" s="166"/>
      <c r="EM336" s="166"/>
      <c r="EN336" s="166"/>
      <c r="EO336" s="166"/>
      <c r="EP336" s="166"/>
      <c r="EQ336" s="166"/>
      <c r="ER336" s="166"/>
      <c r="ES336" s="166"/>
      <c r="ET336" s="230"/>
      <c r="EU336" s="166"/>
      <c r="EV336" s="166"/>
      <c r="EW336" s="166"/>
      <c r="EX336" s="166"/>
      <c r="EY336" s="166"/>
      <c r="EZ336" s="166"/>
      <c r="FA336" s="166"/>
      <c r="FB336" s="166"/>
      <c r="FC336" s="166"/>
      <c r="FD336" s="166"/>
      <c r="FE336" s="166"/>
      <c r="FF336" s="166"/>
      <c r="FG336" s="166"/>
      <c r="FH336" s="166"/>
      <c r="FI336" s="166"/>
      <c r="FJ336" s="166"/>
      <c r="FK336" s="166"/>
      <c r="FL336" s="166"/>
      <c r="FM336" s="166"/>
      <c r="FN336" s="166"/>
      <c r="FO336" s="230"/>
      <c r="FP336" s="166"/>
      <c r="FQ336" s="166"/>
      <c r="FR336" s="166"/>
      <c r="FS336" s="166"/>
      <c r="FT336" s="166"/>
      <c r="FU336" s="166"/>
      <c r="FV336" s="166"/>
      <c r="FW336" s="166"/>
      <c r="FX336" s="166"/>
      <c r="FY336" s="166"/>
      <c r="FZ336" s="166"/>
      <c r="GA336" s="166"/>
      <c r="GD336" s="339"/>
      <c r="GE336" s="339"/>
      <c r="GF336" s="339"/>
      <c r="GG336" s="339"/>
      <c r="GH336" s="339"/>
      <c r="GI336" s="339"/>
      <c r="GJ336" s="339"/>
      <c r="GK336" s="339"/>
      <c r="GL336" s="339"/>
      <c r="GM336" s="339"/>
      <c r="GN336" s="339"/>
      <c r="GO336" s="339"/>
      <c r="GP336" s="339"/>
      <c r="GQ336" s="339"/>
      <c r="GR336" s="339"/>
      <c r="GS336" s="339"/>
      <c r="GT336" s="339"/>
      <c r="GU336" s="339"/>
      <c r="GV336" s="339"/>
      <c r="GW336" s="339"/>
      <c r="GX336" s="339"/>
      <c r="GY336" s="339"/>
      <c r="GZ336" s="339"/>
      <c r="HA336" s="339"/>
      <c r="HB336" s="339"/>
      <c r="HC336" s="339"/>
      <c r="HD336" s="339"/>
      <c r="HE336" s="339"/>
      <c r="HF336" s="339"/>
      <c r="HG336" s="339"/>
      <c r="HH336" s="339"/>
      <c r="HI336" s="339"/>
      <c r="HJ336" s="339"/>
      <c r="HK336" s="339"/>
      <c r="HL336" s="339"/>
      <c r="HM336" s="339"/>
      <c r="HN336" s="339"/>
      <c r="HO336" s="339"/>
      <c r="HP336" s="339"/>
      <c r="HQ336" s="339"/>
      <c r="HR336" s="339"/>
    </row>
    <row r="337" spans="1:238" s="234" customFormat="1" ht="20.100000000000001" customHeight="1">
      <c r="A337" s="235"/>
      <c r="B337" s="231"/>
      <c r="C337" s="232" t="str">
        <f>REPT(Sprache!$K$12,1)</f>
        <v>SPIEL</v>
      </c>
      <c r="D337" s="233" t="s">
        <v>869</v>
      </c>
      <c r="E337" s="233" t="str">
        <f>REPT(Sprache!$K$62,1)</f>
        <v>Punkte</v>
      </c>
      <c r="F337" s="233" t="str">
        <f>REPT(Sprache!$K$61,1)</f>
        <v>Rest</v>
      </c>
      <c r="G337" s="233" t="s">
        <v>898</v>
      </c>
      <c r="H337" s="233" t="s">
        <v>848</v>
      </c>
      <c r="I337" s="233">
        <v>180</v>
      </c>
      <c r="J337" s="233" t="str">
        <f>REPT(Sprache!$K$63,1)</f>
        <v>Fehler</v>
      </c>
      <c r="L337" s="306" t="s">
        <v>923</v>
      </c>
      <c r="M337" s="307"/>
      <c r="P337" s="306" t="s">
        <v>923</v>
      </c>
      <c r="R337" s="232" t="str">
        <f>REPT(Sprache!$K$12,1)</f>
        <v>SPIEL</v>
      </c>
      <c r="S337" s="233" t="s">
        <v>869</v>
      </c>
      <c r="T337" s="233" t="str">
        <f>REPT(Sprache!$K$62,1)</f>
        <v>Punkte</v>
      </c>
      <c r="U337" s="233" t="str">
        <f>REPT(Sprache!$K$61,1)</f>
        <v>Rest</v>
      </c>
      <c r="V337" s="233" t="s">
        <v>898</v>
      </c>
      <c r="W337" s="233" t="s">
        <v>848</v>
      </c>
      <c r="X337" s="233">
        <v>180</v>
      </c>
      <c r="Y337" s="233" t="str">
        <f>REPT(Sprache!$K$63,1)</f>
        <v>Fehler</v>
      </c>
      <c r="Z337" s="308"/>
      <c r="AD337" s="235"/>
      <c r="AE337" s="236" t="s">
        <v>966</v>
      </c>
      <c r="AF337" s="236" t="s">
        <v>967</v>
      </c>
      <c r="AG337" s="236" t="s">
        <v>965</v>
      </c>
      <c r="AH337" s="237" t="str">
        <f>LEFT($BM$6,10)</f>
        <v/>
      </c>
      <c r="AI337" s="237" t="str">
        <f>LEFT($BN$6,10)</f>
        <v/>
      </c>
      <c r="AJ337" s="237" t="s">
        <v>898</v>
      </c>
      <c r="AK337" s="237" t="s">
        <v>848</v>
      </c>
      <c r="AL337" s="237">
        <v>180</v>
      </c>
      <c r="AM337" s="237" t="str">
        <f>LEFT($BL$6,50)</f>
        <v/>
      </c>
      <c r="AN337" s="235"/>
      <c r="AO337" s="235"/>
      <c r="AP337" s="235"/>
      <c r="AQ337" s="235"/>
      <c r="AR337" s="235"/>
      <c r="AS337" s="235"/>
      <c r="AT337" s="235"/>
      <c r="AU337" s="235"/>
      <c r="AV337" s="237" t="str">
        <f>LEFT($BM$6,10)</f>
        <v/>
      </c>
      <c r="AW337" s="237" t="str">
        <f>LEFT($BN$6,10)</f>
        <v/>
      </c>
      <c r="AX337" s="237" t="s">
        <v>898</v>
      </c>
      <c r="AY337" s="237" t="s">
        <v>848</v>
      </c>
      <c r="AZ337" s="237">
        <v>180</v>
      </c>
      <c r="BA337" s="237" t="str">
        <f>LEFT($BL$6,50)</f>
        <v/>
      </c>
      <c r="BI337" s="238"/>
      <c r="BJ337" s="238"/>
      <c r="BK337" s="238" t="s">
        <v>165</v>
      </c>
      <c r="BL337" s="238" t="s">
        <v>165</v>
      </c>
      <c r="BM337" s="239" t="s">
        <v>165</v>
      </c>
      <c r="BN337" s="239" t="s">
        <v>899</v>
      </c>
      <c r="BO337" s="239" t="s">
        <v>899</v>
      </c>
      <c r="BP337" s="239" t="s">
        <v>900</v>
      </c>
      <c r="BQ337" s="240" t="s">
        <v>901</v>
      </c>
      <c r="BR337" s="241"/>
      <c r="BS337" s="242" t="s">
        <v>926</v>
      </c>
      <c r="BT337" s="243"/>
      <c r="BU337" s="242" t="s">
        <v>902</v>
      </c>
      <c r="BV337" s="238"/>
      <c r="BW337" s="238"/>
      <c r="BX337" s="244"/>
      <c r="BY337" s="238"/>
      <c r="BZ337" s="238" t="s">
        <v>903</v>
      </c>
      <c r="CA337" s="243" t="s">
        <v>904</v>
      </c>
      <c r="CB337" s="238"/>
      <c r="CC337" s="238"/>
      <c r="CD337" s="242" t="s">
        <v>902</v>
      </c>
      <c r="CE337" s="238"/>
      <c r="CF337" s="238"/>
      <c r="CG337" s="244"/>
      <c r="CH337" s="238"/>
      <c r="CI337" s="238" t="s">
        <v>903</v>
      </c>
      <c r="CJ337" s="243" t="s">
        <v>904</v>
      </c>
      <c r="CK337" s="238"/>
      <c r="CL337" s="245" t="s">
        <v>905</v>
      </c>
      <c r="CM337" s="245" t="s">
        <v>906</v>
      </c>
      <c r="CN337" s="245" t="s">
        <v>907</v>
      </c>
      <c r="CO337" s="245" t="s">
        <v>908</v>
      </c>
      <c r="CP337" s="245" t="s">
        <v>909</v>
      </c>
      <c r="CQ337" s="246" t="s">
        <v>910</v>
      </c>
      <c r="CR337" s="247"/>
      <c r="CS337" s="246" t="s">
        <v>911</v>
      </c>
      <c r="CT337" s="248"/>
      <c r="CU337" s="246" t="s">
        <v>912</v>
      </c>
      <c r="CV337" s="248"/>
      <c r="CW337" s="246" t="s">
        <v>913</v>
      </c>
      <c r="CX337" s="248"/>
      <c r="CY337" s="238"/>
      <c r="CZ337" s="238"/>
      <c r="DA337" s="238"/>
      <c r="DB337" s="238"/>
      <c r="DC337" s="249" t="s">
        <v>165</v>
      </c>
      <c r="DD337" s="249" t="s">
        <v>165</v>
      </c>
      <c r="DE337" s="249" t="s">
        <v>165</v>
      </c>
      <c r="DF337" s="238"/>
      <c r="DG337" s="238" t="s">
        <v>914</v>
      </c>
      <c r="DH337" s="238" t="s">
        <v>930</v>
      </c>
      <c r="DI337" s="238" t="s">
        <v>931</v>
      </c>
      <c r="DK337" s="238" t="s">
        <v>932</v>
      </c>
      <c r="DL337" s="238" t="s">
        <v>933</v>
      </c>
      <c r="DM337" s="238" t="s">
        <v>869</v>
      </c>
      <c r="DN337" s="230" t="s">
        <v>915</v>
      </c>
      <c r="DO337" s="250" t="s">
        <v>915</v>
      </c>
      <c r="DP337" s="322" t="s">
        <v>934</v>
      </c>
      <c r="DQ337" s="238"/>
      <c r="DR337" s="166" t="s">
        <v>894</v>
      </c>
      <c r="DS337" s="166" t="s">
        <v>895</v>
      </c>
      <c r="DT337" s="166" t="s">
        <v>935</v>
      </c>
      <c r="DU337" s="166" t="s">
        <v>936</v>
      </c>
      <c r="DV337" s="251" t="s">
        <v>165</v>
      </c>
      <c r="DW337" s="251" t="s">
        <v>165</v>
      </c>
      <c r="DX337" s="238" t="s">
        <v>916</v>
      </c>
      <c r="DY337" s="238"/>
      <c r="DZ337" s="238"/>
      <c r="EA337" s="238"/>
      <c r="EB337" s="238"/>
      <c r="EC337" s="238"/>
      <c r="ED337" s="251" t="s">
        <v>165</v>
      </c>
      <c r="EE337" s="251" t="s">
        <v>165</v>
      </c>
      <c r="EF337" s="166"/>
      <c r="EG337" s="238"/>
      <c r="EH337" s="238"/>
      <c r="EI337" s="238"/>
      <c r="EJ337" s="238"/>
      <c r="EK337" s="238"/>
      <c r="EL337" s="238"/>
      <c r="EM337" s="238"/>
      <c r="EN337" s="238"/>
      <c r="EO337" s="246" t="s">
        <v>917</v>
      </c>
      <c r="EP337" s="247"/>
      <c r="EQ337" s="247"/>
      <c r="ER337" s="247"/>
      <c r="ES337" s="247"/>
      <c r="ET337" s="252"/>
      <c r="EU337" s="248"/>
      <c r="EV337" s="246" t="s">
        <v>918</v>
      </c>
      <c r="EW337" s="247"/>
      <c r="EX337" s="248"/>
      <c r="EY337" s="251" t="s">
        <v>165</v>
      </c>
      <c r="EZ337" s="246" t="s">
        <v>919</v>
      </c>
      <c r="FA337" s="247"/>
      <c r="FB337" s="248"/>
      <c r="FC337" s="246" t="s">
        <v>920</v>
      </c>
      <c r="FD337" s="247"/>
      <c r="FE337" s="248"/>
      <c r="FF337" s="238"/>
      <c r="FG337" s="238"/>
      <c r="FH337" s="238"/>
      <c r="FI337" s="238"/>
      <c r="FJ337" s="246" t="s">
        <v>917</v>
      </c>
      <c r="FK337" s="247"/>
      <c r="FL337" s="247"/>
      <c r="FM337" s="247"/>
      <c r="FN337" s="247"/>
      <c r="FO337" s="252"/>
      <c r="FP337" s="248"/>
      <c r="FQ337" s="246" t="s">
        <v>918</v>
      </c>
      <c r="FR337" s="247"/>
      <c r="FS337" s="248"/>
      <c r="FT337" s="251" t="s">
        <v>165</v>
      </c>
      <c r="FU337" s="246" t="s">
        <v>919</v>
      </c>
      <c r="FV337" s="247"/>
      <c r="FW337" s="248"/>
      <c r="FX337" s="246" t="s">
        <v>920</v>
      </c>
      <c r="FY337" s="247"/>
      <c r="FZ337" s="248"/>
      <c r="GD337" s="340"/>
      <c r="GE337" s="340"/>
      <c r="GF337" s="341" t="s">
        <v>968</v>
      </c>
      <c r="GG337" s="340"/>
      <c r="GH337" s="340"/>
      <c r="GI337" s="340"/>
      <c r="GJ337" s="341" t="s">
        <v>972</v>
      </c>
      <c r="GK337" s="340"/>
      <c r="GL337" s="340"/>
      <c r="GM337" s="340"/>
      <c r="GN337" s="341" t="s">
        <v>971</v>
      </c>
      <c r="GO337" s="340"/>
      <c r="GP337" s="340"/>
      <c r="GQ337" s="340"/>
      <c r="GR337" s="341" t="s">
        <v>970</v>
      </c>
      <c r="GS337" s="340"/>
      <c r="GT337" s="340"/>
      <c r="GU337" s="340"/>
      <c r="GV337" s="341" t="s">
        <v>969</v>
      </c>
      <c r="GW337" s="340"/>
      <c r="GX337" s="340"/>
      <c r="GY337" s="340"/>
      <c r="GZ337" s="342" t="s">
        <v>973</v>
      </c>
      <c r="HA337" s="340"/>
      <c r="HB337" s="340"/>
      <c r="HC337" s="340"/>
      <c r="HD337" s="342" t="s">
        <v>974</v>
      </c>
      <c r="HE337" s="340"/>
      <c r="HF337" s="340"/>
      <c r="HG337" s="340"/>
      <c r="HH337" s="340"/>
      <c r="HI337" s="340"/>
      <c r="HJ337" s="340"/>
      <c r="HK337" s="340"/>
      <c r="HL337" s="340"/>
      <c r="HM337" s="341"/>
      <c r="HN337" s="341"/>
      <c r="HO337" s="341"/>
      <c r="HP337" s="341"/>
      <c r="HQ337" s="341"/>
      <c r="HR337" s="341"/>
      <c r="HS337" s="238"/>
      <c r="HT337" s="238"/>
      <c r="HU337" s="238"/>
      <c r="HV337" s="238"/>
      <c r="HX337" s="238"/>
      <c r="HY337" s="238"/>
      <c r="HZ337" s="238"/>
      <c r="ID337" s="238"/>
    </row>
    <row r="338" spans="1:238" s="234" customFormat="1" ht="20.100000000000001" customHeight="1">
      <c r="A338" s="235"/>
      <c r="B338" s="231">
        <f>COUNT(AJ339,AJ338)</f>
        <v>0</v>
      </c>
      <c r="C338" s="325" t="str">
        <f>CONCATENATE(BG338,BE338)</f>
        <v>HS</v>
      </c>
      <c r="D338" s="253" t="str">
        <f>REPT(DN338,1)</f>
        <v>1</v>
      </c>
      <c r="E338" s="254" t="str">
        <f>REPT(AH338,1)</f>
        <v/>
      </c>
      <c r="F338" s="168"/>
      <c r="G338" s="168"/>
      <c r="H338" s="168"/>
      <c r="I338" s="169"/>
      <c r="J338" s="255" t="str">
        <f>REPT(AM338,1)</f>
        <v/>
      </c>
      <c r="L338" s="309">
        <f>SUM(BS347)</f>
        <v>0</v>
      </c>
      <c r="M338" s="238"/>
      <c r="N338" s="255" t="str">
        <f>REPT(AP338,1)</f>
        <v/>
      </c>
      <c r="P338" s="309">
        <f>SUM(CF347)</f>
        <v>0</v>
      </c>
      <c r="Q338" s="310"/>
      <c r="R338" s="323" t="str">
        <f>CONCATENATE(BH338,BE338)</f>
        <v>GS</v>
      </c>
      <c r="S338" s="253" t="str">
        <f>REPT(DO338,1)</f>
        <v>1</v>
      </c>
      <c r="T338" s="254" t="str">
        <f>REPT(AV338,1)</f>
        <v/>
      </c>
      <c r="U338" s="168"/>
      <c r="V338" s="168"/>
      <c r="W338" s="168"/>
      <c r="X338" s="169"/>
      <c r="Y338" s="255" t="str">
        <f>REPT(BA338,1)</f>
        <v/>
      </c>
      <c r="Z338" s="308"/>
      <c r="AB338" s="234">
        <f>IF(AY338="",0,IF(AY338&lt;2,1,""))</f>
        <v>0</v>
      </c>
      <c r="AC338" s="238">
        <f>IF(AD338=1,1,IF(AD338=3,1,IF(AD338=2,0,IF(AD338=0,0,0))))</f>
        <v>0</v>
      </c>
      <c r="AD338" s="256">
        <f>SUM(AE338:AG338)</f>
        <v>0</v>
      </c>
      <c r="AE338" s="256">
        <f t="shared" ref="AE338:AE342" si="824">IF(F338="",0,1)</f>
        <v>0</v>
      </c>
      <c r="AF338" s="256">
        <f t="shared" ref="AF338:AF342" si="825">IF(G338="",0,1)</f>
        <v>0</v>
      </c>
      <c r="AG338" s="256">
        <f>IF(H338="",0,1)</f>
        <v>0</v>
      </c>
      <c r="AH338" s="257" t="str">
        <f>IF(AK338="",IF(AI338="","",IF(AI338="",501,501-AI338)),501)</f>
        <v/>
      </c>
      <c r="AI338" s="256" t="str">
        <f>IF(F338&gt;1,F338,IF(F338=0,"",IF(F338="","","")))</f>
        <v/>
      </c>
      <c r="AJ338" s="256" t="str">
        <f>IF(G338&gt;8,G338,IF(G338="","",""))</f>
        <v/>
      </c>
      <c r="AK338" s="256" t="str">
        <f>IF(H338&gt;1,H338,IF(H338="","",""))</f>
        <v/>
      </c>
      <c r="AL338" s="256" t="str">
        <f>IF(I338&gt;0,I338,IF(I338="","",""))</f>
        <v/>
      </c>
      <c r="AM338" s="258" t="str">
        <f>IF(BK338=0,"","X")</f>
        <v/>
      </c>
      <c r="AN338" s="237"/>
      <c r="AO338" s="237"/>
      <c r="AP338" s="258" t="str">
        <f>IF(BM338=0,"","X")</f>
        <v/>
      </c>
      <c r="AQ338" s="236">
        <f>IF(AR338=1,1,IF(AR338=3,1,IF(AR338=2,0,IF(AR338=0,0,0))))</f>
        <v>0</v>
      </c>
      <c r="AR338" s="256">
        <f>SUM(AS338:AU338)</f>
        <v>0</v>
      </c>
      <c r="AS338" s="256">
        <f t="shared" ref="AS338:AS342" si="826">IF(U338="",0,1)</f>
        <v>0</v>
      </c>
      <c r="AT338" s="256">
        <f t="shared" ref="AT338:AT342" si="827">IF(V338="",0,1)</f>
        <v>0</v>
      </c>
      <c r="AU338" s="256">
        <f>IF(W338="",0,1)</f>
        <v>0</v>
      </c>
      <c r="AV338" s="257" t="str">
        <f>IF(AY338="",IF(AW338="","",IF(AW338="",501,501-AW338)),501)</f>
        <v/>
      </c>
      <c r="AW338" s="256" t="str">
        <f>IF(U338&gt;1,U338,IF(U338=0,"",IF(U338="","","")))</f>
        <v/>
      </c>
      <c r="AX338" s="256" t="str">
        <f>IF(V338&gt;8,V338,IF(V338="","",""))</f>
        <v/>
      </c>
      <c r="AY338" s="256" t="str">
        <f>IF(W338&gt;1,W338,IF(W338="","",""))</f>
        <v/>
      </c>
      <c r="AZ338" s="256" t="str">
        <f>IF(X338&gt;0,X338,IF(X338="","",""))</f>
        <v/>
      </c>
      <c r="BA338" s="258" t="str">
        <f>IF(BL338=0,"","X")</f>
        <v/>
      </c>
      <c r="BF338" s="238" t="s">
        <v>894</v>
      </c>
      <c r="BG338" s="238" t="str">
        <f>CONCATENATE(BF338,AK335)</f>
        <v>HS</v>
      </c>
      <c r="BH338" s="238" t="str">
        <f>CONCATENATE(BI338,AK335)</f>
        <v>GS</v>
      </c>
      <c r="BI338" s="238" t="s">
        <v>895</v>
      </c>
      <c r="BJ338" s="238"/>
      <c r="BK338" s="251">
        <f>SUM(DD338,DV338,EY338,ED338,FF338,BQ338,BS338,AC338)</f>
        <v>0</v>
      </c>
      <c r="BL338" s="251">
        <f>SUM(DE338,DW338,EE338,FT338,GA338,BR338,BT338,AQ338)</f>
        <v>0</v>
      </c>
      <c r="BM338" s="259">
        <f>SUM(DC338,BK338:BL338,AC338,AQ338)</f>
        <v>0</v>
      </c>
      <c r="BN338" s="239">
        <f>COUNT(AK338)</f>
        <v>0</v>
      </c>
      <c r="BO338" s="239">
        <f>COUNT(AY338)</f>
        <v>0</v>
      </c>
      <c r="BP338" s="239">
        <f>IF(BN340=0,0,1)</f>
        <v>0</v>
      </c>
      <c r="BQ338" s="260">
        <f>IF(AL338="",0,IF(AL338&gt;2,1,0))</f>
        <v>0</v>
      </c>
      <c r="BR338" s="261">
        <f>IF(AZ338="",0,IF(AZ338&gt;2,1,0))</f>
        <v>0</v>
      </c>
      <c r="BS338" s="262">
        <f>IF(AJ338=9,IF(AK338&lt;141,1,0),0)</f>
        <v>0</v>
      </c>
      <c r="BT338" s="263">
        <f>IF(AX338=9,IF(AY338&lt;141,1,0),0)</f>
        <v>0</v>
      </c>
      <c r="BU338" s="242">
        <f>IF(H338,G338,0)</f>
        <v>0</v>
      </c>
      <c r="BV338" s="238">
        <f>IF(BU338&gt;0,AJ338/3,0)</f>
        <v>0</v>
      </c>
      <c r="BW338" s="238">
        <f>ROUNDUP(BV338,0)</f>
        <v>0</v>
      </c>
      <c r="BX338" s="244">
        <f>IF(MOD(BW338,2)=0,BW338,BW338+1)</f>
        <v>0</v>
      </c>
      <c r="BY338" s="238">
        <f>IF(AJ338&lt;9,"",SUM(BX338-BW338))</f>
        <v>0</v>
      </c>
      <c r="BZ338" s="238">
        <f>IF(BY338=1,AK338,0)</f>
        <v>0</v>
      </c>
      <c r="CA338" s="243" t="str">
        <f>IF(BY338=0,AK338,0)</f>
        <v/>
      </c>
      <c r="CB338" s="238"/>
      <c r="CC338" s="238"/>
      <c r="CD338" s="242">
        <f>IF(W338,V338,0)</f>
        <v>0</v>
      </c>
      <c r="CE338" s="238">
        <f>IF(CD338&gt;0,AX338/3,0)</f>
        <v>0</v>
      </c>
      <c r="CF338" s="238">
        <f>ROUNDUP(CE338,0)</f>
        <v>0</v>
      </c>
      <c r="CG338" s="244">
        <f>IF(MOD(CF338,2)=0,CF338,CF338+1)</f>
        <v>0</v>
      </c>
      <c r="CH338" s="238">
        <f>IF(AX338&lt;9,"",SUM(CG338-CF338))</f>
        <v>0</v>
      </c>
      <c r="CI338" s="238">
        <f>IF(CH338=1,AY338,0)</f>
        <v>0</v>
      </c>
      <c r="CJ338" s="243" t="str">
        <f>IF(CH338=0,AY338,0)</f>
        <v/>
      </c>
      <c r="CK338" s="238"/>
      <c r="CL338" s="245">
        <f>IF(COUNT(F338,H338)=1,0,1)</f>
        <v>1</v>
      </c>
      <c r="CM338" s="245">
        <f>IF(COUNT(F338,U338)=1,0,1)</f>
        <v>1</v>
      </c>
      <c r="CN338" s="245">
        <f>IF(COUNT(H338,W338)=1,0,1)</f>
        <v>1</v>
      </c>
      <c r="CO338" s="245">
        <f>IF(COUNT(G338,V338)=2,0,1)</f>
        <v>1</v>
      </c>
      <c r="CP338" s="245">
        <f>IF(COUNT(U338,W338)=1,0,1)</f>
        <v>1</v>
      </c>
      <c r="CQ338" s="245">
        <f>IF(SUM(G338-V338)&gt;3,1,0)</f>
        <v>0</v>
      </c>
      <c r="CR338" s="245">
        <f>IF(SUM(G338-V338)&lt;-3,1,0)</f>
        <v>0</v>
      </c>
      <c r="CS338" s="264">
        <f>IF(AJ338=9,IF(AH338&lt;141,1,0),IF(AH338="",0,IF(AH338&gt;1,0,1)))</f>
        <v>0</v>
      </c>
      <c r="CT338" s="264">
        <f>IF(AX338=9,IF(AV338&lt;141,1,0),IF(AV338="",0,IF(AV338&gt;1,0,1)))</f>
        <v>0</v>
      </c>
      <c r="CU338" s="264">
        <f>IF(AI338="",0,IF(AI338&lt;502,0,1))</f>
        <v>0</v>
      </c>
      <c r="CV338" s="264">
        <f>IF(AW338="",0,IF(AW338&lt;502,0,1))</f>
        <v>0</v>
      </c>
      <c r="CW338" s="264">
        <f>IF(AI338="",IF(AJ338&lt;9,1,0),IF(AJ338&lt;9,1,0))</f>
        <v>0</v>
      </c>
      <c r="CX338" s="264">
        <f>IF(AW338="",IF(AX338&lt;9,1,0),IF(AX338&lt;9,1,0))</f>
        <v>0</v>
      </c>
      <c r="CY338" s="374"/>
      <c r="CZ338" s="374"/>
      <c r="DA338" s="374"/>
      <c r="DB338" s="374"/>
      <c r="DC338" s="265">
        <f>IF(AJ338="",0,SUM(CL338:CX338))</f>
        <v>0</v>
      </c>
      <c r="DD338" s="265">
        <f>IF(AJ338="",0,SUM(CL338,CS338,CU338,CW338))</f>
        <v>0</v>
      </c>
      <c r="DE338" s="265">
        <f>IF(AJ338="",0,SUM(CP338,CT338,CV338,CX338))</f>
        <v>0</v>
      </c>
      <c r="DF338" s="238"/>
      <c r="DG338" s="248" t="str">
        <f>IF(G338="","",SUM(G338-V338))</f>
        <v/>
      </c>
      <c r="DH338" s="245">
        <f>IF(F338="",0,1)</f>
        <v>0</v>
      </c>
      <c r="DI338" s="245" t="str">
        <f>IF(DG338=0,DH338,DG338)</f>
        <v/>
      </c>
      <c r="DJ338" s="245" t="e">
        <f>SIGN(DI338)</f>
        <v>#VALUE!</v>
      </c>
      <c r="DK338" s="245" t="str">
        <f>IF(G338="","",IF(DJ338=1,"*",""))</f>
        <v/>
      </c>
      <c r="DL338" s="245" t="str">
        <f>IF(G338="","",IF(DJ338=-1,"*",IF(DJ338=0,"*","")))</f>
        <v/>
      </c>
      <c r="DM338" s="245">
        <v>1</v>
      </c>
      <c r="DN338" s="245" t="str">
        <f>CONCATENATE(DM338,DK338)</f>
        <v>1</v>
      </c>
      <c r="DO338" s="245" t="str">
        <f>CONCATENATE(DM338,DL338)</f>
        <v>1</v>
      </c>
      <c r="DP338" s="245">
        <f>IF(DK338="*",1,0)</f>
        <v>0</v>
      </c>
      <c r="DQ338" s="245">
        <f>IF(DL338="*",1,0)</f>
        <v>0</v>
      </c>
      <c r="DR338" s="245"/>
      <c r="DS338" s="245"/>
      <c r="DT338" s="245"/>
      <c r="DU338" s="245"/>
      <c r="DV338" s="266"/>
      <c r="DW338" s="266"/>
      <c r="DX338" s="238">
        <f>IF(AK338="",0,1)</f>
        <v>0</v>
      </c>
      <c r="DY338" s="238">
        <f>IF(DG338=-3,1,0)</f>
        <v>0</v>
      </c>
      <c r="DZ338" s="238">
        <f>SUM(DX338:DY338)</f>
        <v>0</v>
      </c>
      <c r="EA338" s="238">
        <f>IF(AK338="",1,0)</f>
        <v>1</v>
      </c>
      <c r="EB338" s="238">
        <f>IF(DG338=3,1,0)</f>
        <v>0</v>
      </c>
      <c r="EC338" s="238">
        <f>SUM(EA338:EB338)</f>
        <v>1</v>
      </c>
      <c r="ED338" s="267">
        <f>IF(EC338=2,1,0)</f>
        <v>0</v>
      </c>
      <c r="EE338" s="267">
        <f>IF(DZ338=2,1,0)</f>
        <v>0</v>
      </c>
      <c r="EG338" s="166"/>
      <c r="EH338" s="238"/>
      <c r="EI338" s="238"/>
      <c r="EJ338" s="238"/>
      <c r="EK338" s="238"/>
      <c r="EL338" s="238"/>
      <c r="EM338" s="245">
        <f>IF(AK338="",0,1)</f>
        <v>0</v>
      </c>
      <c r="EN338" s="245">
        <f>SUM(AK338)</f>
        <v>0</v>
      </c>
      <c r="EO338" s="268">
        <f>SUM(AJ338)</f>
        <v>0</v>
      </c>
      <c r="EP338" s="268">
        <f>SUM(G338/3)</f>
        <v>0</v>
      </c>
      <c r="EQ338" s="268" t="e">
        <f>SUM(EO338/EP338)</f>
        <v>#DIV/0!</v>
      </c>
      <c r="ER338" s="268">
        <f>ROUNDDOWN(EP338,0)</f>
        <v>0</v>
      </c>
      <c r="ES338" s="268">
        <f>SUM(EO338,-ER338*3)</f>
        <v>0</v>
      </c>
      <c r="ET338" s="269" t="b">
        <f>MOD(EN338/1,2)=0</f>
        <v>1</v>
      </c>
      <c r="EU338" s="245">
        <f>IF(ET338=FALSE,1,0)</f>
        <v>0</v>
      </c>
      <c r="EV338" s="245">
        <f>IF(EN338=50,0,IF(EN338&lt;40,1,0))</f>
        <v>1</v>
      </c>
      <c r="EW338" s="245">
        <f>SUM(EU338:EV338)</f>
        <v>1</v>
      </c>
      <c r="EX338" s="267">
        <f>IF(EN338=1,1,IF(EN338=50,0,IF(ES338=1,IF(EN338&gt;40,1,0),0)))</f>
        <v>0</v>
      </c>
      <c r="EY338" s="267">
        <f>IF(ES338=1,IF(EW338=2,1,0),0)+EX338+FB338+FE338</f>
        <v>0</v>
      </c>
      <c r="EZ338" s="245">
        <f>IF(EN338=109,1,IF(EN338=108,1,IF(EN338=106,1,IF(EN338=105,1,IF(EN338=103,1,IF(EN338=102,1,IF(EN338=99,1,0)))))))</f>
        <v>0</v>
      </c>
      <c r="FA338" s="245">
        <f>IF(EN338&gt;110,1,0)</f>
        <v>0</v>
      </c>
      <c r="FB338" s="267">
        <f>IF(ES338=2,SUM(EZ338:FA338),0)</f>
        <v>0</v>
      </c>
      <c r="FC338" s="245">
        <f>IF(EN338=159,1,IF(EN338=162,1,IF(EN338=163,1,IF(EN338=165,1,IF(EN338=166,1,IF(EN338=168,1,IF(EN338=169,1,0)))))))</f>
        <v>0</v>
      </c>
      <c r="FD338" s="245">
        <f>IF(EN338&gt;170,1,0)</f>
        <v>0</v>
      </c>
      <c r="FE338" s="267">
        <f>IF(ES338=0,SUM(FC338:FD338),0)</f>
        <v>0</v>
      </c>
      <c r="FF338" s="251">
        <f>IF(AJ338="",0,IF(AI338="",0,IF(EO338/ER338-3=0,0,1)))</f>
        <v>0</v>
      </c>
      <c r="FG338" s="238"/>
      <c r="FH338" s="245">
        <f>IF(AY338="",0,1)</f>
        <v>0</v>
      </c>
      <c r="FI338" s="245">
        <f>SUM(AY338)</f>
        <v>0</v>
      </c>
      <c r="FJ338" s="268">
        <f>SUM(AX338)</f>
        <v>0</v>
      </c>
      <c r="FK338" s="268">
        <f>SUM(V338/3)</f>
        <v>0</v>
      </c>
      <c r="FL338" s="268" t="e">
        <f>SUM(FJ338/FK338)</f>
        <v>#DIV/0!</v>
      </c>
      <c r="FM338" s="268">
        <f>ROUNDDOWN(FK338,0)</f>
        <v>0</v>
      </c>
      <c r="FN338" s="268">
        <f>SUM(FJ338,-FM338*3)</f>
        <v>0</v>
      </c>
      <c r="FO338" s="269" t="b">
        <f>MOD(FI338/1,2)=0</f>
        <v>1</v>
      </c>
      <c r="FP338" s="245">
        <f>IF(FO338=FALSE,1,0)</f>
        <v>0</v>
      </c>
      <c r="FQ338" s="245">
        <f>IF(FI338=50,0,IF(FI338&lt;40,1,0))</f>
        <v>1</v>
      </c>
      <c r="FR338" s="245">
        <f>SUM(FP338:FQ338)</f>
        <v>1</v>
      </c>
      <c r="FS338" s="267">
        <f>IF(FI338=1,1,IF(FI338=50,0,IF(FN338=1,IF(FI338&gt;40,1,0),0)))</f>
        <v>0</v>
      </c>
      <c r="FT338" s="267">
        <f>IF(FN338=1,IF(FR338=2,1,0),0)+FS338+FW338+FZ338</f>
        <v>0</v>
      </c>
      <c r="FU338" s="245">
        <f>IF(FI338=109,1,IF(FI338=108,1,IF(FI338=106,1,IF(FI338=105,1,IF(FI338=103,1,IF(FI338=102,1,IF(FI338=99,1,0)))))))</f>
        <v>0</v>
      </c>
      <c r="FV338" s="245">
        <f>IF(FI338&gt;110,1,0)</f>
        <v>0</v>
      </c>
      <c r="FW338" s="267">
        <f>IF(FN338=2,SUM(FU338:FV338),0)</f>
        <v>0</v>
      </c>
      <c r="FX338" s="245">
        <f>IF(FI338=159,1,IF(FI338=162,1,IF(FI338=163,1,IF(FI338=165,1,IF(FI338=166,1,IF(FI338=168,1,IF(FI338=169,1,0)))))))</f>
        <v>0</v>
      </c>
      <c r="FY338" s="245">
        <f>IF(FI338&gt;170,1,0)</f>
        <v>0</v>
      </c>
      <c r="FZ338" s="267">
        <f>IF(FN338=0,SUM(FX338:FY338),0)</f>
        <v>0</v>
      </c>
      <c r="GA338" s="251">
        <f>IF(AX338="",0,IF(AW338="",0,IF(FJ338/FM338-3=0,0,1)))</f>
        <v>0</v>
      </c>
      <c r="GD338" s="341">
        <f>IF(AK335="D",1,0)</f>
        <v>0</v>
      </c>
      <c r="GE338" s="343"/>
      <c r="GF338" s="343" t="s">
        <v>866</v>
      </c>
      <c r="GG338" s="343" t="s">
        <v>868</v>
      </c>
      <c r="GH338" s="343" t="s">
        <v>848</v>
      </c>
      <c r="GI338" s="343">
        <v>180</v>
      </c>
      <c r="GJ338" s="343" t="s">
        <v>866</v>
      </c>
      <c r="GK338" s="343" t="s">
        <v>868</v>
      </c>
      <c r="GL338" s="343" t="s">
        <v>848</v>
      </c>
      <c r="GM338" s="343">
        <v>180</v>
      </c>
      <c r="GN338" s="343" t="s">
        <v>866</v>
      </c>
      <c r="GO338" s="343" t="s">
        <v>868</v>
      </c>
      <c r="GP338" s="343" t="s">
        <v>848</v>
      </c>
      <c r="GQ338" s="343">
        <v>180</v>
      </c>
      <c r="GR338" s="343" t="s">
        <v>866</v>
      </c>
      <c r="GS338" s="343" t="s">
        <v>868</v>
      </c>
      <c r="GT338" s="343" t="s">
        <v>848</v>
      </c>
      <c r="GU338" s="343">
        <v>180</v>
      </c>
      <c r="GV338" s="343" t="s">
        <v>866</v>
      </c>
      <c r="GW338" s="343" t="s">
        <v>868</v>
      </c>
      <c r="GX338" s="343" t="s">
        <v>848</v>
      </c>
      <c r="GY338" s="343">
        <v>180</v>
      </c>
      <c r="GZ338" s="343" t="s">
        <v>866</v>
      </c>
      <c r="HA338" s="343" t="s">
        <v>868</v>
      </c>
      <c r="HB338" s="343" t="s">
        <v>848</v>
      </c>
      <c r="HC338" s="343">
        <v>180</v>
      </c>
      <c r="HD338" s="343" t="s">
        <v>866</v>
      </c>
      <c r="HE338" s="343" t="s">
        <v>868</v>
      </c>
      <c r="HF338" s="341" t="s">
        <v>975</v>
      </c>
      <c r="HG338" s="341" t="s">
        <v>976</v>
      </c>
      <c r="HH338" s="341" t="s">
        <v>899</v>
      </c>
      <c r="HJ338" s="238"/>
      <c r="HK338" s="238"/>
      <c r="HL338" s="238"/>
      <c r="HM338" s="238">
        <f>COUNT(HI339,HJ339,HK339,HL339,HM339)</f>
        <v>0</v>
      </c>
      <c r="HN338" s="341"/>
      <c r="HO338" s="341"/>
      <c r="HP338" s="341"/>
      <c r="HQ338" s="341"/>
      <c r="HR338" s="341"/>
      <c r="HS338" s="238"/>
      <c r="HT338" s="238"/>
      <c r="HU338" s="238"/>
      <c r="HV338" s="238"/>
      <c r="HX338" s="238"/>
      <c r="HY338" s="238"/>
      <c r="ID338" s="238"/>
    </row>
    <row r="339" spans="1:238" s="234" customFormat="1" ht="20.100000000000001" customHeight="1">
      <c r="A339" s="235"/>
      <c r="B339" s="231">
        <f>COUNT(AJ340,AJ339)</f>
        <v>0</v>
      </c>
      <c r="C339" s="326">
        <f>IF(DK338="*",AJ335,AI335)</f>
        <v>3.4</v>
      </c>
      <c r="D339" s="253" t="str">
        <f>REPT(DN339,1)</f>
        <v>2</v>
      </c>
      <c r="E339" s="254" t="str">
        <f>REPT(AH339,1)</f>
        <v/>
      </c>
      <c r="F339" s="168"/>
      <c r="G339" s="168"/>
      <c r="H339" s="168"/>
      <c r="I339" s="169"/>
      <c r="J339" s="270" t="str">
        <f>REPT(AM339,1)</f>
        <v/>
      </c>
      <c r="L339" s="306" t="s">
        <v>922</v>
      </c>
      <c r="M339" s="311"/>
      <c r="N339" s="270" t="str">
        <f>REPT(AP339,1)</f>
        <v/>
      </c>
      <c r="P339" s="306" t="s">
        <v>922</v>
      </c>
      <c r="Q339" s="310"/>
      <c r="R339" s="324">
        <f>IF(DL338="*",AJ335,AI335)</f>
        <v>3.4</v>
      </c>
      <c r="S339" s="253" t="str">
        <f>REPT(DO339,1)</f>
        <v>2</v>
      </c>
      <c r="T339" s="254" t="str">
        <f>REPT(AV339,1)</f>
        <v/>
      </c>
      <c r="U339" s="168"/>
      <c r="V339" s="168"/>
      <c r="W339" s="168"/>
      <c r="X339" s="169"/>
      <c r="Y339" s="270" t="str">
        <f t="shared" ref="Y339:Y341" si="828">REPT(BA339,1)</f>
        <v/>
      </c>
      <c r="Z339" s="308"/>
      <c r="AB339" s="234">
        <f>IF(AY339="",0,IF(AY339&lt;2,1,""))</f>
        <v>0</v>
      </c>
      <c r="AC339" s="238">
        <f t="shared" ref="AC339:AC340" si="829">IF(AD339=1,1,IF(AD339=3,1,IF(AD339=2,0,IF(AD339=0,0,0))))</f>
        <v>0</v>
      </c>
      <c r="AD339" s="256">
        <f t="shared" ref="AD339:AD342" si="830">SUM(AE339:AG339)</f>
        <v>0</v>
      </c>
      <c r="AE339" s="256">
        <f t="shared" si="824"/>
        <v>0</v>
      </c>
      <c r="AF339" s="256">
        <f t="shared" si="825"/>
        <v>0</v>
      </c>
      <c r="AG339" s="256">
        <f t="shared" ref="AG339:AG342" si="831">IF(H339="",0,1)</f>
        <v>0</v>
      </c>
      <c r="AH339" s="257" t="str">
        <f>IF(AK339="",IF(AI339="","",IF(AI339="",501,501-AI339)),501)</f>
        <v/>
      </c>
      <c r="AI339" s="256" t="str">
        <f>IF(F339&gt;1,F339,IF(F339=0,"",IF(F339="","","")))</f>
        <v/>
      </c>
      <c r="AJ339" s="256" t="str">
        <f>IF(G339&gt;8,G339,IF(G339="","",""))</f>
        <v/>
      </c>
      <c r="AK339" s="256" t="str">
        <f>IF(H339&gt;1,H339,IF(H339="","",""))</f>
        <v/>
      </c>
      <c r="AL339" s="256" t="str">
        <f>IF(I339&gt;0,I339,IF(I339="","",""))</f>
        <v/>
      </c>
      <c r="AM339" s="258" t="str">
        <f>IF(BK339=0,"","X")</f>
        <v/>
      </c>
      <c r="AN339" s="237"/>
      <c r="AO339" s="237"/>
      <c r="AP339" s="258" t="str">
        <f>IF(BM339=0,"","X")</f>
        <v/>
      </c>
      <c r="AQ339" s="236">
        <f t="shared" ref="AQ339:AQ340" si="832">IF(AR339=1,1,IF(AR339=3,1,IF(AR339=2,0,IF(AR339=0,0,0))))</f>
        <v>0</v>
      </c>
      <c r="AR339" s="256">
        <f t="shared" ref="AR339:AR342" si="833">SUM(AS339:AU339)</f>
        <v>0</v>
      </c>
      <c r="AS339" s="256">
        <f t="shared" si="826"/>
        <v>0</v>
      </c>
      <c r="AT339" s="256">
        <f t="shared" si="827"/>
        <v>0</v>
      </c>
      <c r="AU339" s="256">
        <f t="shared" ref="AU339:AU342" si="834">IF(W339="",0,1)</f>
        <v>0</v>
      </c>
      <c r="AV339" s="257" t="str">
        <f>IF(AY339="",IF(AW339="","",IF(AW339="",501,501-AW339)),501)</f>
        <v/>
      </c>
      <c r="AW339" s="256" t="str">
        <f>IF(U339&gt;1,U339,IF(U339=0,"",IF(U339="","","")))</f>
        <v/>
      </c>
      <c r="AX339" s="256" t="str">
        <f>IF(V339&gt;8,V339,IF(V339="","",""))</f>
        <v/>
      </c>
      <c r="AY339" s="256" t="str">
        <f>IF(W339&gt;1,W339,IF(W339="","",""))</f>
        <v/>
      </c>
      <c r="AZ339" s="256" t="str">
        <f>IF(X339&gt;0,X339,IF(X339="","",""))</f>
        <v/>
      </c>
      <c r="BA339" s="258" t="str">
        <f>IF(BL339=0,"","X")</f>
        <v/>
      </c>
      <c r="BK339" s="251">
        <f>SUM(DD339,DV339,EY339,ED339,FF339,BQ339,BS339,AC339)</f>
        <v>0</v>
      </c>
      <c r="BL339" s="251">
        <f>SUM(DE339,DW339,EE339,FT339,GA339,BR339,BT339,AQ339)</f>
        <v>0</v>
      </c>
      <c r="BM339" s="259">
        <f t="shared" ref="BM339:BM340" si="835">SUM(DC339,BK339:BL339,AC339,AQ339)</f>
        <v>0</v>
      </c>
      <c r="BN339" s="239">
        <f>COUNT(AK339)</f>
        <v>0</v>
      </c>
      <c r="BO339" s="239">
        <f>COUNT(AY339)</f>
        <v>0</v>
      </c>
      <c r="BP339" s="239">
        <f>IF(BN341=0,0,1)</f>
        <v>0</v>
      </c>
      <c r="BQ339" s="260">
        <f>IF(AL339="",0,IF(AL339&gt;2,1,0))</f>
        <v>0</v>
      </c>
      <c r="BR339" s="261">
        <f>IF(AZ339="",0,IF(AZ339&gt;2,1,0))</f>
        <v>0</v>
      </c>
      <c r="BS339" s="262">
        <f>IF(AJ339=9,IF(AK339&lt;141,1,0),0)</f>
        <v>0</v>
      </c>
      <c r="BT339" s="263">
        <f>IF(AX339=9,IF(AY339&lt;141,1,0),0)</f>
        <v>0</v>
      </c>
      <c r="BU339" s="242">
        <f>IF(H339,G339,0)</f>
        <v>0</v>
      </c>
      <c r="BV339" s="238">
        <f>IF(BU339&gt;0,AJ339/3,0)</f>
        <v>0</v>
      </c>
      <c r="BW339" s="238">
        <f>ROUNDUP(BV339,0)</f>
        <v>0</v>
      </c>
      <c r="BX339" s="244">
        <f>IF(MOD(BW339,2)=0,BW339,BW339+1)</f>
        <v>0</v>
      </c>
      <c r="BY339" s="238">
        <f>IF(AJ339&lt;9,"",SUM(BX339-BW339))</f>
        <v>0</v>
      </c>
      <c r="BZ339" s="238">
        <f>IF(BY339=1,AK339,0)</f>
        <v>0</v>
      </c>
      <c r="CA339" s="243" t="str">
        <f>IF(BY339=0,AK339,0)</f>
        <v/>
      </c>
      <c r="CB339" s="238"/>
      <c r="CC339" s="238"/>
      <c r="CD339" s="242">
        <f>IF(W339,V339,0)</f>
        <v>0</v>
      </c>
      <c r="CE339" s="238">
        <f>IF(CD339&gt;0,AX339/3,0)</f>
        <v>0</v>
      </c>
      <c r="CF339" s="238">
        <f>ROUNDUP(CE339,0)</f>
        <v>0</v>
      </c>
      <c r="CG339" s="244">
        <f>IF(MOD(CF339,2)=0,CF339,CF339+1)</f>
        <v>0</v>
      </c>
      <c r="CH339" s="238">
        <f>IF(AX339&lt;9,"",SUM(CG339-CF339))</f>
        <v>0</v>
      </c>
      <c r="CI339" s="238">
        <f>IF(CH339=1,AY339,0)</f>
        <v>0</v>
      </c>
      <c r="CJ339" s="243" t="str">
        <f>IF(CH339=0,AY339,0)</f>
        <v/>
      </c>
      <c r="CK339" s="238"/>
      <c r="CL339" s="245">
        <f>IF(COUNT(F339,H339)=1,0,1)</f>
        <v>1</v>
      </c>
      <c r="CM339" s="245">
        <f>IF(COUNT(F339,U339)=1,0,1)</f>
        <v>1</v>
      </c>
      <c r="CN339" s="245">
        <f>IF(COUNT(H339,W339)=1,0,1)</f>
        <v>1</v>
      </c>
      <c r="CO339" s="245">
        <f>IF(COUNT(G339,V339)=2,0,1)</f>
        <v>1</v>
      </c>
      <c r="CP339" s="245">
        <f>IF(COUNT(U339,W339)=1,0,1)</f>
        <v>1</v>
      </c>
      <c r="CQ339" s="245">
        <f>IF(SUM(G339-V339)&gt;3,1,0)</f>
        <v>0</v>
      </c>
      <c r="CR339" s="245">
        <f>IF(SUM(G339-V339)&lt;-3,1,0)</f>
        <v>0</v>
      </c>
      <c r="CS339" s="264">
        <f>IF(AJ339=9,IF(AH339&lt;141,1,0),IF(AH339="",0,IF(AH339&gt;1,0,1)))</f>
        <v>0</v>
      </c>
      <c r="CT339" s="264">
        <f>IF(AX339=9,IF(AV339&lt;141,1,0),IF(AV339="",0,IF(AV339&gt;1,0,1)))</f>
        <v>0</v>
      </c>
      <c r="CU339" s="264">
        <f>IF(AI339="",0,IF(AI339&lt;502,0,1))</f>
        <v>0</v>
      </c>
      <c r="CV339" s="264">
        <f>IF(AW339="",0,IF(AW339&lt;502,0,1))</f>
        <v>0</v>
      </c>
      <c r="CW339" s="264">
        <f>IF(AI339="",IF(AJ339&lt;9,1,0),IF(AJ339&lt;9,1,0))</f>
        <v>0</v>
      </c>
      <c r="CX339" s="264">
        <f>IF(AW339="",IF(AX339&lt;9,1,0),IF(AX339&lt;9,1,0))</f>
        <v>0</v>
      </c>
      <c r="CY339" s="374"/>
      <c r="CZ339" s="374"/>
      <c r="DA339" s="374"/>
      <c r="DB339" s="374"/>
      <c r="DC339" s="265">
        <f>IF(AJ339="",0,SUM(CL339:CX339))</f>
        <v>0</v>
      </c>
      <c r="DD339" s="265">
        <f>IF(AJ339="",0,SUM(CL339,CS339,CU339,CW339))</f>
        <v>0</v>
      </c>
      <c r="DE339" s="265">
        <f>IF(AJ339="",0,SUM(CP339,CT339,CV339,CX339))</f>
        <v>0</v>
      </c>
      <c r="DF339" s="238"/>
      <c r="DG339" s="248">
        <f>SUM(G339-V339)</f>
        <v>0</v>
      </c>
      <c r="DH339" s="245">
        <f>IF(F339="",0,1)</f>
        <v>0</v>
      </c>
      <c r="DI339" s="245">
        <f t="shared" ref="DI339:DI342" si="836">IF(DG339=0,DH339,DG339)</f>
        <v>0</v>
      </c>
      <c r="DJ339" s="245">
        <f t="shared" ref="DJ339:DJ342" si="837">SIGN(DI339)</f>
        <v>0</v>
      </c>
      <c r="DK339" s="245" t="str">
        <f>IF(G339="","",IF(DJ339=1,"*",""))</f>
        <v/>
      </c>
      <c r="DL339" s="245" t="str">
        <f>IF(G339="","",IF(DJ339=-1,"*",IF(DJ339=0,"*","")))</f>
        <v/>
      </c>
      <c r="DM339" s="245">
        <v>2</v>
      </c>
      <c r="DN339" s="245" t="str">
        <f t="shared" ref="DN339:DN342" si="838">CONCATENATE(DM339,DK339)</f>
        <v>2</v>
      </c>
      <c r="DO339" s="245" t="str">
        <f t="shared" ref="DO339:DO342" si="839">CONCATENATE(DM339,DL339)</f>
        <v>2</v>
      </c>
      <c r="DP339" s="245">
        <f>SUM(DQ338)</f>
        <v>0</v>
      </c>
      <c r="DQ339" s="245">
        <f>SUM(DP338)</f>
        <v>0</v>
      </c>
      <c r="DR339" s="245">
        <f>IF(DK339="*",1,0)</f>
        <v>0</v>
      </c>
      <c r="DS339" s="245">
        <f>IF(DL339="*",1,0)</f>
        <v>0</v>
      </c>
      <c r="DT339" s="245">
        <f>IF(H329="",0,IF(DP339=DR339,1,0))</f>
        <v>0</v>
      </c>
      <c r="DU339" s="245">
        <f>IF(V339="",0,IF(DQ339=DS339,0,1))</f>
        <v>0</v>
      </c>
      <c r="DV339" s="267">
        <f>SUM(DT339)</f>
        <v>0</v>
      </c>
      <c r="DW339" s="267">
        <f>IF(V339="",0,SUM(DU339))</f>
        <v>0</v>
      </c>
      <c r="DX339" s="238">
        <f>IF(AK339="",0,1)</f>
        <v>0</v>
      </c>
      <c r="DY339" s="238">
        <f>IF(DG339=-3,1,0)</f>
        <v>0</v>
      </c>
      <c r="DZ339" s="238">
        <f>SUM(DX339:DY339)</f>
        <v>0</v>
      </c>
      <c r="EA339" s="238">
        <f>IF(AK339="",1,0)</f>
        <v>1</v>
      </c>
      <c r="EB339" s="238">
        <f>IF(DG339=3,1,0)</f>
        <v>0</v>
      </c>
      <c r="EC339" s="238">
        <f>SUM(EA339:EB339)</f>
        <v>1</v>
      </c>
      <c r="ED339" s="267">
        <f>IF(EC339=2,1,0)</f>
        <v>0</v>
      </c>
      <c r="EE339" s="267">
        <f>IF(DZ339=2,1,0)</f>
        <v>0</v>
      </c>
      <c r="EG339" s="166"/>
      <c r="EH339" s="238"/>
      <c r="EI339" s="238"/>
      <c r="EJ339" s="238"/>
      <c r="EK339" s="238"/>
      <c r="EL339" s="238"/>
      <c r="EM339" s="245">
        <f>IF(AK339="",0,1)</f>
        <v>0</v>
      </c>
      <c r="EN339" s="245">
        <f>SUM(AK339)</f>
        <v>0</v>
      </c>
      <c r="EO339" s="268">
        <f>SUM(AJ339)</f>
        <v>0</v>
      </c>
      <c r="EP339" s="268">
        <f>SUM(G339/3)</f>
        <v>0</v>
      </c>
      <c r="EQ339" s="268" t="e">
        <f>SUM(EO339/EP339)</f>
        <v>#DIV/0!</v>
      </c>
      <c r="ER339" s="268">
        <f>ROUNDDOWN(EP339,0)</f>
        <v>0</v>
      </c>
      <c r="ES339" s="268">
        <f>SUM(EO339,-ER339*3)</f>
        <v>0</v>
      </c>
      <c r="ET339" s="269" t="b">
        <f>MOD(EN339/1,2)=0</f>
        <v>1</v>
      </c>
      <c r="EU339" s="245">
        <f>IF(ET339=FALSE,1,0)</f>
        <v>0</v>
      </c>
      <c r="EV339" s="245">
        <f>IF(EN339=50,0,IF(EN339&lt;40,1,0))</f>
        <v>1</v>
      </c>
      <c r="EW339" s="245">
        <f>SUM(EU339:EV339)</f>
        <v>1</v>
      </c>
      <c r="EX339" s="267">
        <f>IF(EN339=1,1,IF(EN339=50,0,IF(ES339=1,IF(EN339&gt;40,1,0),0)))</f>
        <v>0</v>
      </c>
      <c r="EY339" s="267">
        <f>IF(ES339=1,IF(EW339=2,1,0),0)+EX339+FB339+FE339</f>
        <v>0</v>
      </c>
      <c r="EZ339" s="245">
        <f>IF(EN339=109,1,IF(EN339=108,1,IF(EN339=106,1,IF(EN339=105,1,IF(EN339=103,1,IF(EN339=102,1,IF(EN339=99,1,0)))))))</f>
        <v>0</v>
      </c>
      <c r="FA339" s="245">
        <f>IF(EN339&gt;110,1,0)</f>
        <v>0</v>
      </c>
      <c r="FB339" s="267">
        <f>IF(ES339=2,SUM(EZ339:FA339),0)</f>
        <v>0</v>
      </c>
      <c r="FC339" s="245">
        <f>IF(EN339=159,1,IF(EN339=162,1,IF(EN339=163,1,IF(EN339=165,1,IF(EN339=166,1,IF(EN339=168,1,IF(EN339=169,1,0)))))))</f>
        <v>0</v>
      </c>
      <c r="FD339" s="245">
        <f>IF(EN339&gt;170,1,0)</f>
        <v>0</v>
      </c>
      <c r="FE339" s="267">
        <f>IF(ES339=0,SUM(FC339:FD339),0)</f>
        <v>0</v>
      </c>
      <c r="FF339" s="251">
        <f t="shared" ref="FF339:FF342" si="840">IF(AJ339="",0,IF(AI339="",0,IF(EO339/ER339-3=0,0,1)))</f>
        <v>0</v>
      </c>
      <c r="FG339" s="238"/>
      <c r="FH339" s="245">
        <f>IF(AY339="",0,1)</f>
        <v>0</v>
      </c>
      <c r="FI339" s="245">
        <f>SUM(AY339)</f>
        <v>0</v>
      </c>
      <c r="FJ339" s="268">
        <f>SUM(AX339)</f>
        <v>0</v>
      </c>
      <c r="FK339" s="268">
        <f>SUM(V339/3)</f>
        <v>0</v>
      </c>
      <c r="FL339" s="268" t="e">
        <f>SUM(FJ339/FK339)</f>
        <v>#DIV/0!</v>
      </c>
      <c r="FM339" s="268">
        <f>ROUNDDOWN(FK339,0)</f>
        <v>0</v>
      </c>
      <c r="FN339" s="268">
        <f>SUM(FJ339,-FM339*3)</f>
        <v>0</v>
      </c>
      <c r="FO339" s="269" t="b">
        <f>MOD(FI339/1,2)=0</f>
        <v>1</v>
      </c>
      <c r="FP339" s="245">
        <f>IF(FO339=FALSE,1,0)</f>
        <v>0</v>
      </c>
      <c r="FQ339" s="245">
        <f>IF(FI339=50,0,IF(FI339&lt;40,1,0))</f>
        <v>1</v>
      </c>
      <c r="FR339" s="245">
        <f>SUM(FP339:FQ339)</f>
        <v>1</v>
      </c>
      <c r="FS339" s="267">
        <f>IF(FI339=1,1,IF(FI339=50,0,IF(FN339=1,IF(FI339&gt;40,1,0),0)))</f>
        <v>0</v>
      </c>
      <c r="FT339" s="267">
        <f>IF(FN339=1,IF(FR339=2,1,0),0)+FS339+FW339+FZ339</f>
        <v>0</v>
      </c>
      <c r="FU339" s="245">
        <f>IF(FI339=109,1,IF(FI339=108,1,IF(FI339=106,1,IF(FI339=105,1,IF(FI339=103,1,IF(FI339=102,1,IF(FI339=99,1,0)))))))</f>
        <v>0</v>
      </c>
      <c r="FV339" s="245">
        <f>IF(FI339&gt;110,1,0)</f>
        <v>0</v>
      </c>
      <c r="FW339" s="267">
        <f>IF(FN339=2,SUM(FU339:FV339),0)</f>
        <v>0</v>
      </c>
      <c r="FX339" s="245">
        <f>IF(FI339=159,1,IF(FI339=162,1,IF(FI339=163,1,IF(FI339=165,1,IF(FI339=166,1,IF(FI339=168,1,IF(FI339=169,1,0)))))))</f>
        <v>0</v>
      </c>
      <c r="FY339" s="245">
        <f>IF(FI339&gt;170,1,0)</f>
        <v>0</v>
      </c>
      <c r="FZ339" s="267">
        <f>IF(FN339=0,SUM(FX339:FY339),0)</f>
        <v>0</v>
      </c>
      <c r="GA339" s="251">
        <f t="shared" ref="GA339:GA342" si="841">IF(AX339="",0,IF(AW339="",0,IF(FJ339/FM339-3=0,0,1)))</f>
        <v>0</v>
      </c>
      <c r="GC339" s="238" t="str">
        <f>VLOOKUP(AH335,Chema!BL:BR,2,FALSE)</f>
        <v>HS 3.4</v>
      </c>
      <c r="GD339" s="341">
        <f>IF(E345="FORFAIT",1,0)</f>
        <v>0</v>
      </c>
      <c r="GE339" s="343" t="str">
        <f>IF(C345="","",SUM(C345))</f>
        <v/>
      </c>
      <c r="GF339" s="344">
        <f>SUM(AH338)</f>
        <v>0</v>
      </c>
      <c r="GG339" s="344">
        <f>SUM(AJ338)</f>
        <v>0</v>
      </c>
      <c r="GH339" s="344">
        <f t="shared" ref="GH339" si="842">SUM(AK338)</f>
        <v>0</v>
      </c>
      <c r="GI339" s="344">
        <f t="shared" ref="GI339" si="843">SUM(AL338)</f>
        <v>0</v>
      </c>
      <c r="GJ339" s="344">
        <f>SUM(AH339)</f>
        <v>0</v>
      </c>
      <c r="GK339" s="344">
        <f>SUM(AJ339)</f>
        <v>0</v>
      </c>
      <c r="GL339" s="344">
        <f>SUM(AK339)</f>
        <v>0</v>
      </c>
      <c r="GM339" s="344">
        <f>SUM(AL339)</f>
        <v>0</v>
      </c>
      <c r="GN339" s="344">
        <f>SUM(AH340)</f>
        <v>0</v>
      </c>
      <c r="GO339" s="344">
        <f>SUM(AJ340)</f>
        <v>0</v>
      </c>
      <c r="GP339" s="344">
        <f>SUM(AK340)</f>
        <v>0</v>
      </c>
      <c r="GQ339" s="344">
        <f>SUM(AL340)</f>
        <v>0</v>
      </c>
      <c r="GR339" s="344">
        <f>SUM(AH341)</f>
        <v>0</v>
      </c>
      <c r="GS339" s="344">
        <f>SUM(AJ341)</f>
        <v>0</v>
      </c>
      <c r="GT339" s="344">
        <f>SUM(AK341)</f>
        <v>0</v>
      </c>
      <c r="GU339" s="344">
        <f>SUM(AL341)</f>
        <v>0</v>
      </c>
      <c r="GV339" s="344">
        <f>SUM(AH342)</f>
        <v>0</v>
      </c>
      <c r="GW339" s="344">
        <f>SUM(AJ342)</f>
        <v>0</v>
      </c>
      <c r="GX339" s="344">
        <f>SUM(AK342)</f>
        <v>0</v>
      </c>
      <c r="GY339" s="344">
        <f>SUM(AL342)</f>
        <v>0</v>
      </c>
      <c r="GZ339" s="344">
        <f>SUM(GF339,GJ339,GN339,GR339,GV339)</f>
        <v>0</v>
      </c>
      <c r="HA339" s="344">
        <f t="shared" ref="HA339" si="844">SUM(GG339,GK339,GO339,GS339,GW339)</f>
        <v>0</v>
      </c>
      <c r="HB339" s="344">
        <f>IF(GD338=1,L345,MAX(GH339,GL339,GP339,GT339,GX339))</f>
        <v>0</v>
      </c>
      <c r="HC339" s="344">
        <f>IF(GD338=1,I345,SUM(GI339,GM339,GQ339,GU339,GY339))</f>
        <v>0</v>
      </c>
      <c r="HD339" s="345">
        <f>IF(GD338=1,0,SUM(GF339,GJ339,GN339,GR339,GV339))</f>
        <v>0</v>
      </c>
      <c r="HE339" s="345">
        <f>IF(GD338=1,0,SUM(GG339,GK339,GO339,GS339,GW339))</f>
        <v>0</v>
      </c>
      <c r="HF339" s="341">
        <f>IF(GD338=1,0,MIN(HI339,HJ339,HK339,HL339,HM339))</f>
        <v>0</v>
      </c>
      <c r="HG339" s="341">
        <f>IF(HF339=0,0,COUNTIF(HI339:HM339,HF339))</f>
        <v>0</v>
      </c>
      <c r="HH339" s="341">
        <f>SUM(GH340,GL340,GP340,GT340,GX340)</f>
        <v>0</v>
      </c>
      <c r="HI339" s="343" t="str">
        <f>IF(GH340=1,GG339,"")</f>
        <v/>
      </c>
      <c r="HJ339" s="343" t="str">
        <f>IF(GL340=1,GK339,"")</f>
        <v/>
      </c>
      <c r="HK339" s="343" t="str">
        <f>IF(GP340=1,GO339,"")</f>
        <v/>
      </c>
      <c r="HL339" s="343" t="str">
        <f>IF(GT340=1,GS339,"")</f>
        <v/>
      </c>
      <c r="HM339" s="343" t="str">
        <f>IF(GX340=1,GW339,"")</f>
        <v/>
      </c>
      <c r="HN339" s="341"/>
      <c r="HO339" s="341" t="s">
        <v>928</v>
      </c>
      <c r="HP339" s="341" t="s">
        <v>982</v>
      </c>
      <c r="HQ339" s="341" t="s">
        <v>983</v>
      </c>
      <c r="HR339" s="341" t="s">
        <v>984</v>
      </c>
      <c r="HS339" s="238" t="s">
        <v>932</v>
      </c>
      <c r="HT339" s="238" t="s">
        <v>933</v>
      </c>
      <c r="HU339" s="238" t="s">
        <v>985</v>
      </c>
      <c r="HV339" s="238" t="s">
        <v>986</v>
      </c>
      <c r="HW339" s="238" t="str">
        <f>IFERROR(IF(GD338=0,SUM(HZ340:IA340),""),"")</f>
        <v/>
      </c>
      <c r="HY339" s="238"/>
      <c r="HZ339" s="238" t="s">
        <v>1132</v>
      </c>
      <c r="IA339" s="238" t="s">
        <v>1133</v>
      </c>
      <c r="IB339" s="238" t="s">
        <v>1132</v>
      </c>
      <c r="IC339" s="238" t="s">
        <v>1133</v>
      </c>
      <c r="ID339" s="238"/>
    </row>
    <row r="340" spans="1:238" s="234" customFormat="1" ht="20.100000000000001" customHeight="1">
      <c r="A340" s="235"/>
      <c r="B340" s="231">
        <f>COUNT(AJ341,AJ340)</f>
        <v>0</v>
      </c>
      <c r="C340" s="235"/>
      <c r="D340" s="271" t="str">
        <f>REPT(DN340,1)</f>
        <v>3</v>
      </c>
      <c r="E340" s="254" t="str">
        <f>REPT(AH340,1)</f>
        <v/>
      </c>
      <c r="F340" s="168"/>
      <c r="G340" s="168"/>
      <c r="H340" s="168"/>
      <c r="I340" s="169"/>
      <c r="J340" s="270" t="str">
        <f t="shared" ref="J340:J341" si="845">REPT(AM340,1)</f>
        <v/>
      </c>
      <c r="L340" s="312">
        <f>SUM(L338*3)</f>
        <v>0</v>
      </c>
      <c r="M340" s="307"/>
      <c r="N340" s="270" t="str">
        <f>REPT(AP340,1)</f>
        <v/>
      </c>
      <c r="P340" s="312">
        <f>SUM(P338*3)</f>
        <v>0</v>
      </c>
      <c r="Q340" s="310"/>
      <c r="R340" s="235"/>
      <c r="S340" s="271" t="str">
        <f>REPT(DO340,1)</f>
        <v>3</v>
      </c>
      <c r="T340" s="254" t="str">
        <f>REPT(AV340,1)</f>
        <v/>
      </c>
      <c r="U340" s="168"/>
      <c r="V340" s="168"/>
      <c r="W340" s="168"/>
      <c r="X340" s="169"/>
      <c r="Y340" s="270" t="str">
        <f t="shared" si="828"/>
        <v/>
      </c>
      <c r="Z340" s="308"/>
      <c r="AB340" s="234">
        <f>IF(AY340="",0,IF(AY340&lt;2,1,""))</f>
        <v>0</v>
      </c>
      <c r="AC340" s="238">
        <f t="shared" si="829"/>
        <v>0</v>
      </c>
      <c r="AD340" s="256">
        <f t="shared" si="830"/>
        <v>0</v>
      </c>
      <c r="AE340" s="256">
        <f t="shared" si="824"/>
        <v>0</v>
      </c>
      <c r="AF340" s="256">
        <f t="shared" si="825"/>
        <v>0</v>
      </c>
      <c r="AG340" s="256">
        <f t="shared" si="831"/>
        <v>0</v>
      </c>
      <c r="AH340" s="257" t="str">
        <f>IF(AK340="",IF(AI340="","",IF(AI340="",501,501-AI340)),501)</f>
        <v/>
      </c>
      <c r="AI340" s="256" t="str">
        <f>IF(F340&gt;1,F340,IF(F340=0,"",IF(F340="","","")))</f>
        <v/>
      </c>
      <c r="AJ340" s="256" t="str">
        <f>IF(G340&gt;8,G340,IF(G340="","",""))</f>
        <v/>
      </c>
      <c r="AK340" s="256" t="str">
        <f>IF(H340&gt;1,H340,IF(H340="","",""))</f>
        <v/>
      </c>
      <c r="AL340" s="256" t="str">
        <f>IF(I340&gt;0,I340,IF(I340="","",""))</f>
        <v/>
      </c>
      <c r="AM340" s="258" t="str">
        <f>IF(BK340=0,"","X")</f>
        <v/>
      </c>
      <c r="AN340" s="237"/>
      <c r="AO340" s="237"/>
      <c r="AP340" s="258" t="str">
        <f>IF(BM340=0,"","X")</f>
        <v/>
      </c>
      <c r="AQ340" s="236">
        <f t="shared" si="832"/>
        <v>0</v>
      </c>
      <c r="AR340" s="256">
        <f t="shared" si="833"/>
        <v>0</v>
      </c>
      <c r="AS340" s="256">
        <f t="shared" si="826"/>
        <v>0</v>
      </c>
      <c r="AT340" s="256">
        <f t="shared" si="827"/>
        <v>0</v>
      </c>
      <c r="AU340" s="256">
        <f t="shared" si="834"/>
        <v>0</v>
      </c>
      <c r="AV340" s="257" t="str">
        <f>IF(AY340="",IF(AW340="","",IF(AW340="",501,501-AW340)),501)</f>
        <v/>
      </c>
      <c r="AW340" s="256" t="str">
        <f>IF(U340&gt;1,U340,IF(U340=0,"",IF(U340="","","")))</f>
        <v/>
      </c>
      <c r="AX340" s="256" t="str">
        <f>IF(V340&gt;8,V340,IF(V340="","",""))</f>
        <v/>
      </c>
      <c r="AY340" s="256" t="str">
        <f>IF(W340&gt;1,W340,IF(W340="","",""))</f>
        <v/>
      </c>
      <c r="AZ340" s="256" t="str">
        <f>IF(X340&gt;0,X340,IF(X340="","",""))</f>
        <v/>
      </c>
      <c r="BA340" s="258" t="str">
        <f>IF(BL340=0,"","X")</f>
        <v/>
      </c>
      <c r="BK340" s="251">
        <f>SUM(DD340,DV340,EY340,ED340,FF340,BQ340,BS340,AC340,BK347)</f>
        <v>0</v>
      </c>
      <c r="BL340" s="251">
        <f>SUM(DE340,DW340,EE340,FT340,GA340,BR340,BT340,AQ340,BL347,CZ340)</f>
        <v>0</v>
      </c>
      <c r="BM340" s="259">
        <f t="shared" si="835"/>
        <v>0</v>
      </c>
      <c r="BN340" s="239">
        <f>COUNT(AK340)</f>
        <v>0</v>
      </c>
      <c r="BO340" s="239">
        <f>COUNT(AY340)</f>
        <v>0</v>
      </c>
      <c r="BP340" s="239">
        <f>IF(BN342=0,0,1)</f>
        <v>0</v>
      </c>
      <c r="BQ340" s="260">
        <f>IF(AL340="",0,IF(AL340&gt;2,1,0))</f>
        <v>0</v>
      </c>
      <c r="BR340" s="261">
        <f>IF(AZ340="",0,IF(AZ340&gt;2,1,0))</f>
        <v>0</v>
      </c>
      <c r="BS340" s="262">
        <f>IF(AJ340=9,IF(AK340&lt;141,1,0),0)</f>
        <v>0</v>
      </c>
      <c r="BT340" s="263">
        <f>IF(AX340=9,IF(AY340&lt;141,1,0),0)</f>
        <v>0</v>
      </c>
      <c r="BU340" s="242">
        <f>IF(H340,G340,0)</f>
        <v>0</v>
      </c>
      <c r="BV340" s="238">
        <f>IF(BU340&gt;0,AJ340/3,0)</f>
        <v>0</v>
      </c>
      <c r="BW340" s="238">
        <f>ROUNDUP(BV340,0)</f>
        <v>0</v>
      </c>
      <c r="BX340" s="244">
        <f>IF(MOD(BW340,2)=0,BW340,BW340+1)</f>
        <v>0</v>
      </c>
      <c r="BY340" s="238">
        <f>IF(AJ340&lt;9,"",SUM(BX340-BW340))</f>
        <v>0</v>
      </c>
      <c r="BZ340" s="238">
        <f>IF(BY340=1,AK340,0)</f>
        <v>0</v>
      </c>
      <c r="CA340" s="243" t="str">
        <f>IF(BY340=0,AK340,0)</f>
        <v/>
      </c>
      <c r="CB340" s="238"/>
      <c r="CC340" s="238"/>
      <c r="CD340" s="242">
        <f>IF(W340,V340,0)</f>
        <v>0</v>
      </c>
      <c r="CE340" s="238">
        <f>IF(CD340&gt;0,AX340/3,0)</f>
        <v>0</v>
      </c>
      <c r="CF340" s="238">
        <f>ROUNDUP(CE340,0)</f>
        <v>0</v>
      </c>
      <c r="CG340" s="244">
        <f>IF(MOD(CF340,2)=0,CF340,CF340+1)</f>
        <v>0</v>
      </c>
      <c r="CH340" s="238">
        <f>IF(AX340&lt;9,"",SUM(CG340-CF340))</f>
        <v>0</v>
      </c>
      <c r="CI340" s="238">
        <f>IF(CH340=1,AY340,0)</f>
        <v>0</v>
      </c>
      <c r="CJ340" s="243" t="str">
        <f>IF(CH340=0,AY340,0)</f>
        <v/>
      </c>
      <c r="CK340" s="238"/>
      <c r="CL340" s="245">
        <f>IF(COUNT(F340,H340)=1,0,1)</f>
        <v>1</v>
      </c>
      <c r="CM340" s="245">
        <f>IF(COUNT(F340,U340)=1,0,1)</f>
        <v>1</v>
      </c>
      <c r="CN340" s="245">
        <f>IF(COUNT(H340,W340)=1,0,1)</f>
        <v>1</v>
      </c>
      <c r="CO340" s="245">
        <f>IF(COUNT(G340,V340)=2,0,1)</f>
        <v>1</v>
      </c>
      <c r="CP340" s="245">
        <f>IF(COUNT(U340,W340)=1,0,1)</f>
        <v>1</v>
      </c>
      <c r="CQ340" s="245">
        <f>IF(SUM(G340-V340)&gt;3,1,0)</f>
        <v>0</v>
      </c>
      <c r="CR340" s="245">
        <f>IF(SUM(G340-V340)&lt;-3,1,0)</f>
        <v>0</v>
      </c>
      <c r="CS340" s="264">
        <f>IF(AJ340=9,IF(AH340&lt;141,1,0),IF(AH340="",0,IF(AH340&gt;1,0,1)))</f>
        <v>0</v>
      </c>
      <c r="CT340" s="264">
        <f>IF(AX340=9,IF(AV340&lt;141,1,0),IF(AV340="",0,IF(AV340&gt;1,0,1)))</f>
        <v>0</v>
      </c>
      <c r="CU340" s="264">
        <f>IF(AI340="",0,IF(AI340&lt;502,0,1))</f>
        <v>0</v>
      </c>
      <c r="CV340" s="264">
        <f>IF(AW340="",0,IF(AW340&lt;502,0,1))</f>
        <v>0</v>
      </c>
      <c r="CW340" s="264">
        <f>IF(AI340="",IF(AJ340&lt;9,1,0),IF(AJ340&lt;9,1,0))</f>
        <v>0</v>
      </c>
      <c r="CX340" s="264">
        <f>IF(AW340="",IF(AX340&lt;9,1,0),IF(AX340&lt;9,1,0))</f>
        <v>0</v>
      </c>
      <c r="CY340" s="374">
        <f>COUNT(U338,U339,U340)</f>
        <v>0</v>
      </c>
      <c r="CZ340" s="375">
        <f>IF(AL335=3,IF(CY340&gt;2,1,0),0)</f>
        <v>0</v>
      </c>
      <c r="DA340" s="374"/>
      <c r="DB340" s="374"/>
      <c r="DC340" s="265">
        <f>IF(AJ340="",0,SUM(CL340:CX340))</f>
        <v>0</v>
      </c>
      <c r="DD340" s="265">
        <f>IF(AJ340="",0,SUM(CL340,CS340,CU340,CW340))</f>
        <v>0</v>
      </c>
      <c r="DE340" s="265">
        <f>IF(AJ340="",0,SUM(CP340,CT340,CV340,CX340))</f>
        <v>0</v>
      </c>
      <c r="DF340" s="238"/>
      <c r="DG340" s="248">
        <f>SUM(G340-V340)</f>
        <v>0</v>
      </c>
      <c r="DH340" s="245">
        <f>IF(F340="",0,1)</f>
        <v>0</v>
      </c>
      <c r="DI340" s="245">
        <f t="shared" si="836"/>
        <v>0</v>
      </c>
      <c r="DJ340" s="245">
        <f t="shared" si="837"/>
        <v>0</v>
      </c>
      <c r="DK340" s="245" t="str">
        <f>IF(G340="","",IF(DJ340=1,"*",""))</f>
        <v/>
      </c>
      <c r="DL340" s="245" t="str">
        <f>IF(G340="","",IF(DJ340=-1,"*",IF(DJ340=0,"*","")))</f>
        <v/>
      </c>
      <c r="DM340" s="245">
        <v>3</v>
      </c>
      <c r="DN340" s="245" t="str">
        <f t="shared" si="838"/>
        <v>3</v>
      </c>
      <c r="DO340" s="245" t="str">
        <f t="shared" si="839"/>
        <v>3</v>
      </c>
      <c r="DP340" s="245">
        <f>SUM(DP338)</f>
        <v>0</v>
      </c>
      <c r="DQ340" s="245">
        <f>SUM(DQ338)</f>
        <v>0</v>
      </c>
      <c r="DR340" s="245">
        <f t="shared" ref="DR340:DR342" si="846">IF(DK340="*",1,0)</f>
        <v>0</v>
      </c>
      <c r="DS340" s="245">
        <f t="shared" ref="DS340:DS342" si="847">IF(DL340="*",1,0)</f>
        <v>0</v>
      </c>
      <c r="DT340" s="245">
        <f t="shared" ref="DT340:DT342" si="848">IF(H330="",0,IF(DP340=DR340,1,0))</f>
        <v>0</v>
      </c>
      <c r="DU340" s="245">
        <f>IF(V340="",0,IF(DQ340=DS340,0,1))</f>
        <v>0</v>
      </c>
      <c r="DV340" s="267">
        <f t="shared" ref="DV340:DV342" si="849">SUM(DT340)</f>
        <v>0</v>
      </c>
      <c r="DW340" s="267">
        <f>IF(V340="",0,SUM(DU340))</f>
        <v>0</v>
      </c>
      <c r="DX340" s="238">
        <f>IF(AK340="",0,1)</f>
        <v>0</v>
      </c>
      <c r="DY340" s="238">
        <f>IF(DG340=-3,1,0)</f>
        <v>0</v>
      </c>
      <c r="DZ340" s="238">
        <f>SUM(DX340:DY340)</f>
        <v>0</v>
      </c>
      <c r="EA340" s="238">
        <f>IF(AK340="",1,0)</f>
        <v>1</v>
      </c>
      <c r="EB340" s="238">
        <f>IF(DG340=3,1,0)</f>
        <v>0</v>
      </c>
      <c r="EC340" s="238">
        <f>SUM(EA340:EB340)</f>
        <v>1</v>
      </c>
      <c r="ED340" s="267">
        <f>IF(EC340=2,1,0)</f>
        <v>0</v>
      </c>
      <c r="EE340" s="267">
        <f>IF(DZ340=2,1,0)</f>
        <v>0</v>
      </c>
      <c r="EG340" s="166"/>
      <c r="EH340" s="238"/>
      <c r="EI340" s="238"/>
      <c r="EJ340" s="238"/>
      <c r="EK340" s="238"/>
      <c r="EL340" s="238"/>
      <c r="EM340" s="245">
        <f>IF(AK340="",0,1)</f>
        <v>0</v>
      </c>
      <c r="EN340" s="245">
        <f>SUM(AK340)</f>
        <v>0</v>
      </c>
      <c r="EO340" s="268">
        <f>SUM(AJ340)</f>
        <v>0</v>
      </c>
      <c r="EP340" s="268">
        <f>SUM(G340/3)</f>
        <v>0</v>
      </c>
      <c r="EQ340" s="268" t="e">
        <f>SUM(EO340/EP340)</f>
        <v>#DIV/0!</v>
      </c>
      <c r="ER340" s="268">
        <f>ROUNDDOWN(EP340,0)</f>
        <v>0</v>
      </c>
      <c r="ES340" s="268">
        <f>SUM(EO340,-ER340*3)</f>
        <v>0</v>
      </c>
      <c r="ET340" s="269" t="b">
        <f>MOD(EN340/1,2)=0</f>
        <v>1</v>
      </c>
      <c r="EU340" s="245">
        <f>IF(ET340=FALSE,1,0)</f>
        <v>0</v>
      </c>
      <c r="EV340" s="245">
        <f>IF(EN340=50,0,IF(EN340&lt;40,1,0))</f>
        <v>1</v>
      </c>
      <c r="EW340" s="245">
        <f>SUM(EU340:EV340)</f>
        <v>1</v>
      </c>
      <c r="EX340" s="267">
        <f>IF(EN340=1,1,IF(EN340=50,0,IF(ES340=1,IF(EN340&gt;40,1,0),0)))</f>
        <v>0</v>
      </c>
      <c r="EY340" s="267">
        <f>IF(ES340=1,IF(EW340=2,1,0),0)+EX340+FB340+FE340</f>
        <v>0</v>
      </c>
      <c r="EZ340" s="245">
        <f>IF(EN340=109,1,IF(EN340=108,1,IF(EN340=106,1,IF(EN340=105,1,IF(EN340=103,1,IF(EN340=102,1,IF(EN340=99,1,0)))))))</f>
        <v>0</v>
      </c>
      <c r="FA340" s="245">
        <f>IF(EN340&gt;110,1,0)</f>
        <v>0</v>
      </c>
      <c r="FB340" s="267">
        <f>IF(ES340=2,SUM(EZ340:FA340),0)</f>
        <v>0</v>
      </c>
      <c r="FC340" s="245">
        <f>IF(EN340=159,1,IF(EN340=162,1,IF(EN340=163,1,IF(EN340=165,1,IF(EN340=166,1,IF(EN340=168,1,IF(EN340=169,1,0)))))))</f>
        <v>0</v>
      </c>
      <c r="FD340" s="245">
        <f>IF(EN340&gt;170,1,0)</f>
        <v>0</v>
      </c>
      <c r="FE340" s="267">
        <f>IF(ES340=0,SUM(FC340:FD340),0)</f>
        <v>0</v>
      </c>
      <c r="FF340" s="251">
        <f t="shared" si="840"/>
        <v>0</v>
      </c>
      <c r="FG340" s="238"/>
      <c r="FH340" s="245">
        <f>IF(AY340="",0,1)</f>
        <v>0</v>
      </c>
      <c r="FI340" s="245">
        <f>SUM(AY340)</f>
        <v>0</v>
      </c>
      <c r="FJ340" s="268">
        <f>SUM(AX340)</f>
        <v>0</v>
      </c>
      <c r="FK340" s="268">
        <f>SUM(V340/3)</f>
        <v>0</v>
      </c>
      <c r="FL340" s="268" t="e">
        <f>SUM(FJ340/FK340)</f>
        <v>#DIV/0!</v>
      </c>
      <c r="FM340" s="268">
        <f>ROUNDDOWN(FK340,0)</f>
        <v>0</v>
      </c>
      <c r="FN340" s="268">
        <f>SUM(FJ340,-FM340*3)</f>
        <v>0</v>
      </c>
      <c r="FO340" s="269" t="b">
        <f>MOD(FI340/1,2)=0</f>
        <v>1</v>
      </c>
      <c r="FP340" s="245">
        <f>IF(FO340=FALSE,1,0)</f>
        <v>0</v>
      </c>
      <c r="FQ340" s="245">
        <f>IF(FI340=50,0,IF(FI340&lt;40,1,0))</f>
        <v>1</v>
      </c>
      <c r="FR340" s="245">
        <f>SUM(FP340:FQ340)</f>
        <v>1</v>
      </c>
      <c r="FS340" s="267">
        <f>IF(FI340=1,1,IF(FI340=50,0,IF(FN340=1,IF(FI340&gt;40,1,0),0)))</f>
        <v>0</v>
      </c>
      <c r="FT340" s="267">
        <f>IF(FN340=1,IF(FR340=2,1,0),0)+FS340+FW340+FZ340</f>
        <v>0</v>
      </c>
      <c r="FU340" s="245">
        <f>IF(FI340=109,1,IF(FI340=108,1,IF(FI340=106,1,IF(FI340=105,1,IF(FI340=103,1,IF(FI340=102,1,IF(FI340=99,1,0)))))))</f>
        <v>0</v>
      </c>
      <c r="FV340" s="245">
        <f>IF(FI340&gt;110,1,0)</f>
        <v>0</v>
      </c>
      <c r="FW340" s="267">
        <f>IF(FN340=2,SUM(FU340:FV340),0)</f>
        <v>0</v>
      </c>
      <c r="FX340" s="245">
        <f>IF(FI340=159,1,IF(FI340=162,1,IF(FI340=163,1,IF(FI340=165,1,IF(FI340=166,1,IF(FI340=168,1,IF(FI340=169,1,0)))))))</f>
        <v>0</v>
      </c>
      <c r="FY340" s="245">
        <f>IF(FI340&gt;170,1,0)</f>
        <v>0</v>
      </c>
      <c r="FZ340" s="267">
        <f>IF(FN340=0,SUM(FX340:FY340),0)</f>
        <v>0</v>
      </c>
      <c r="GA340" s="251">
        <f t="shared" si="841"/>
        <v>0</v>
      </c>
      <c r="GC340" s="238" t="str">
        <f>VLOOKUP(AH335,Chema!BL:BR,3,FALSE)</f>
        <v/>
      </c>
      <c r="GD340" s="341"/>
      <c r="GE340" s="343" t="str">
        <f>IF(C346="","",SUM(C346))</f>
        <v/>
      </c>
      <c r="GF340" s="346"/>
      <c r="GG340" s="340"/>
      <c r="GH340" s="343">
        <f>IF(GH339&gt;0,1,0)</f>
        <v>0</v>
      </c>
      <c r="GI340" s="346"/>
      <c r="GJ340" s="343"/>
      <c r="GK340" s="340"/>
      <c r="GL340" s="343">
        <f>IF(GL339&gt;0,1,0)</f>
        <v>0</v>
      </c>
      <c r="GM340" s="343"/>
      <c r="GN340" s="343"/>
      <c r="GO340" s="340"/>
      <c r="GP340" s="343">
        <f>IF(GP339&gt;0,1,0)</f>
        <v>0</v>
      </c>
      <c r="GQ340" s="343"/>
      <c r="GR340" s="343"/>
      <c r="GS340" s="340"/>
      <c r="GT340" s="343">
        <f>IF(GT339&gt;0,1,0)</f>
        <v>0</v>
      </c>
      <c r="GU340" s="343"/>
      <c r="GV340" s="343"/>
      <c r="GW340" s="340"/>
      <c r="GX340" s="343">
        <f>IF(GX339&gt;0,1,0)</f>
        <v>0</v>
      </c>
      <c r="GY340" s="343"/>
      <c r="GZ340" s="343"/>
      <c r="HA340" s="343"/>
      <c r="HB340" s="343" t="str">
        <f>IF(GD338=1,L346,"")</f>
        <v/>
      </c>
      <c r="HC340" s="343" t="str">
        <f>IF(GD338=1,I346,"")</f>
        <v/>
      </c>
      <c r="HD340" s="345"/>
      <c r="HE340" s="340"/>
      <c r="HF340" s="340"/>
      <c r="HG340" s="347">
        <f>IF(GE339="",0,IF(AL335=3,2,IF(AL335=5,3,0)))</f>
        <v>0</v>
      </c>
      <c r="HH340" s="347">
        <f>IF(HK340=0,0,IF(HG342=0,0,1))</f>
        <v>0</v>
      </c>
      <c r="HI340" s="340"/>
      <c r="HJ340" s="340"/>
      <c r="HK340" s="340">
        <f>SUM(HM338,HM342)</f>
        <v>0</v>
      </c>
      <c r="HL340" s="340">
        <f>IF(HK340=0,0,IF(HM338=HG340,1,0))</f>
        <v>0</v>
      </c>
      <c r="HM340" s="340">
        <f>IF(HK340=0,0,IF(HM342=HG340,1,0))</f>
        <v>0</v>
      </c>
      <c r="HN340" s="341" t="str">
        <f>REPT(N335,1)</f>
        <v>Spiel 24</v>
      </c>
      <c r="HO340" s="348" t="str">
        <f>IF(HK340=0,"",IF(HH340=0,SUM(HH339),""))</f>
        <v/>
      </c>
      <c r="HP340" s="348" t="str">
        <f>IF(HK340=0,"",IF(HH340=0,SUM(HH341),""))</f>
        <v/>
      </c>
      <c r="HQ340" s="348" t="e">
        <f>IF(HH340=0,SUM(GZ339/HA339),"")</f>
        <v>#DIV/0!</v>
      </c>
      <c r="HR340" s="348" t="e">
        <f>IF(HH340=0,SUM(GZ341/HA341),"")</f>
        <v>#DIV/0!</v>
      </c>
      <c r="HS340" s="238" t="str">
        <f>REPT(DK338,1)</f>
        <v/>
      </c>
      <c r="HT340" s="238" t="str">
        <f>REPT(DL338,1)</f>
        <v/>
      </c>
      <c r="HU340" s="238">
        <f>IF(HH340=0,HL340,"")</f>
        <v>0</v>
      </c>
      <c r="HV340" s="238">
        <f>IF(HH340=0,HM340,"")</f>
        <v>0</v>
      </c>
      <c r="HW340" s="238" t="s">
        <v>1131</v>
      </c>
      <c r="HY340" s="238"/>
      <c r="HZ340" s="238" t="e">
        <f>IF(AL335=5,IF(HU340=1,SUM(HO340*2-HP340),HO340+HP340-2),"")</f>
        <v>#VALUE!</v>
      </c>
      <c r="IA340" s="238" t="str">
        <f>IF(AL335=3,IF(HU340=1,SUM(HO340-HP340+3),HO340+HP340-1),"")</f>
        <v/>
      </c>
      <c r="IB340" s="238" t="e">
        <f>IF(AL335=5,IF(HV340=1,SUM(HP340*2-HO340),HO340+HP340-2),"")</f>
        <v>#VALUE!</v>
      </c>
      <c r="IC340" s="238" t="str">
        <f>IF(AL335=3,IF(HV340=1,SUM(HP340-HO340+3),HO340+HP340-1),"")</f>
        <v/>
      </c>
      <c r="ID340" s="238">
        <f>SUM(BM344)</f>
        <v>0</v>
      </c>
    </row>
    <row r="341" spans="1:238" s="234" customFormat="1" ht="20.100000000000001" customHeight="1">
      <c r="A341" s="235"/>
      <c r="B341" s="231">
        <f>COUNT(AJ342,AJ341)</f>
        <v>0</v>
      </c>
      <c r="C341" s="235"/>
      <c r="D341" s="328" t="str">
        <f>REPT(DN341,1)</f>
        <v>4</v>
      </c>
      <c r="E341" s="329" t="str">
        <f>REPT(AH341,1)</f>
        <v/>
      </c>
      <c r="F341" s="330"/>
      <c r="G341" s="330"/>
      <c r="H341" s="330"/>
      <c r="I341" s="331"/>
      <c r="J341" s="270" t="str">
        <f t="shared" si="845"/>
        <v/>
      </c>
      <c r="M341" s="311"/>
      <c r="N341" s="270" t="str">
        <f>REPT(AP341,1)</f>
        <v/>
      </c>
      <c r="Q341" s="310"/>
      <c r="R341" s="235"/>
      <c r="S341" s="328" t="str">
        <f>REPT(DO341,1)</f>
        <v>4</v>
      </c>
      <c r="T341" s="329" t="str">
        <f>REPT(AV341,1)</f>
        <v/>
      </c>
      <c r="U341" s="330"/>
      <c r="V341" s="330"/>
      <c r="W341" s="330"/>
      <c r="X341" s="331"/>
      <c r="Y341" s="270" t="str">
        <f t="shared" si="828"/>
        <v/>
      </c>
      <c r="Z341" s="308"/>
      <c r="AA341" s="238">
        <f>SUM(AL335)</f>
        <v>5</v>
      </c>
      <c r="AB341" s="234">
        <f>IF(AY341="",0,IF(AY341&lt;2,1,""))</f>
        <v>0</v>
      </c>
      <c r="AC341" s="238">
        <f>IF(AL335=3,0,IF(AD341=1,1,IF(AD341=3,1,IF(AD341=2,0,IF(AD341=0,0,0)))))</f>
        <v>0</v>
      </c>
      <c r="AD341" s="256">
        <f t="shared" si="830"/>
        <v>0</v>
      </c>
      <c r="AE341" s="256">
        <f t="shared" si="824"/>
        <v>0</v>
      </c>
      <c r="AF341" s="256">
        <f t="shared" si="825"/>
        <v>0</v>
      </c>
      <c r="AG341" s="256">
        <f t="shared" si="831"/>
        <v>0</v>
      </c>
      <c r="AH341" s="257" t="str">
        <f>IF(AL335=3,"",IF(AK341="",IF(AI341="","",IF(AI341="",501,501-AI341)),501))</f>
        <v/>
      </c>
      <c r="AI341" s="256" t="str">
        <f>IF(AL335=3,"",IF(F341&gt;1,F341,IF(F341=0,"",IF(F341="","",""))))</f>
        <v/>
      </c>
      <c r="AJ341" s="256" t="str">
        <f>IF(AL335=3,"",IF(G341&gt;8,G341,IF(G341="","","")))</f>
        <v/>
      </c>
      <c r="AK341" s="256" t="str">
        <f>IF(AL335=3,"",IF(H341&gt;1,H341,IF(H341="","","")))</f>
        <v/>
      </c>
      <c r="AL341" s="256" t="str">
        <f>IF(AL335=3,"",IF(I341&gt;0,I341,IF(I341="","","")))</f>
        <v/>
      </c>
      <c r="AM341" s="258" t="str">
        <f>IF(BK341=0,"","X")</f>
        <v/>
      </c>
      <c r="AN341" s="237"/>
      <c r="AO341" s="237"/>
      <c r="AP341" s="258" t="str">
        <f>IF(BM341=0,"","X")</f>
        <v/>
      </c>
      <c r="AQ341" s="236">
        <f>IF(AL335=3,0,IF(AR341=1,1,IF(AR341=3,1,IF(AR341=2,0,IF(AR341=0,0,0)))))</f>
        <v>0</v>
      </c>
      <c r="AR341" s="256">
        <f t="shared" si="833"/>
        <v>0</v>
      </c>
      <c r="AS341" s="256">
        <f t="shared" si="826"/>
        <v>0</v>
      </c>
      <c r="AT341" s="256">
        <f t="shared" si="827"/>
        <v>0</v>
      </c>
      <c r="AU341" s="256">
        <f t="shared" si="834"/>
        <v>0</v>
      </c>
      <c r="AV341" s="257" t="str">
        <f>IF(AY341="",IF(AW341="","",IF(AW341="",501,501-AW341)),501)</f>
        <v/>
      </c>
      <c r="AW341" s="256" t="str">
        <f>IF(AL335=3,"",IF(U341&gt;1,U341,IF(U341=0,"",IF(U341="","",""))))</f>
        <v/>
      </c>
      <c r="AX341" s="256" t="str">
        <f>IF(AL335=3,"",IF(V341&gt;8,V341,IF(V341="","","")))</f>
        <v/>
      </c>
      <c r="AY341" s="256" t="str">
        <f>IF(AL335=3,"",IF(W341&gt;1,W341,IF(W341="","","")))</f>
        <v/>
      </c>
      <c r="AZ341" s="256" t="str">
        <f>IF(AL335=3,"",IF(X341&gt;0,X341,IF(X341="","","")))</f>
        <v/>
      </c>
      <c r="BA341" s="258" t="str">
        <f>IF(BL341=0,"","X")</f>
        <v/>
      </c>
      <c r="BK341" s="251">
        <f>IF(AL335=3,0,SUM(DD341,DV341,EY341,ED341,FF341,BQ341,BS341,AC341))</f>
        <v>0</v>
      </c>
      <c r="BL341" s="251">
        <f>IF(AL335=3,0,SUM(DE341,DW341,EE341,FT341,GA341,BR341,BT341,AQ341))</f>
        <v>0</v>
      </c>
      <c r="BM341" s="259">
        <f>IF(AL335=3,0,SUM(DC341,BK341:BL341,AC341,AQ341))</f>
        <v>0</v>
      </c>
      <c r="BN341" s="239">
        <f>COUNT(AK341)</f>
        <v>0</v>
      </c>
      <c r="BO341" s="239">
        <f>COUNT(AY341)</f>
        <v>0</v>
      </c>
      <c r="BP341" s="239">
        <f>IF(BZ343=0,0,1)</f>
        <v>0</v>
      </c>
      <c r="BQ341" s="260">
        <f>IF(AL341="",0,IF(AL341&gt;2,1,0))</f>
        <v>0</v>
      </c>
      <c r="BR341" s="261">
        <f>IF(AZ341="",0,IF(AZ341&gt;2,1,0))</f>
        <v>0</v>
      </c>
      <c r="BS341" s="262">
        <f>IF(AJ341=9,IF(AK341&lt;141,1,0),0)</f>
        <v>0</v>
      </c>
      <c r="BT341" s="263">
        <f>IF(AX341=9,IF(AY341&lt;141,1,0),0)</f>
        <v>0</v>
      </c>
      <c r="BU341" s="242">
        <f>IF(AL335=3,0,IF(H341,G341,0))</f>
        <v>0</v>
      </c>
      <c r="BV341" s="238">
        <f>IF(BU341&gt;0,AJ341/3,0)</f>
        <v>0</v>
      </c>
      <c r="BW341" s="238">
        <f>ROUNDUP(BV341,0)</f>
        <v>0</v>
      </c>
      <c r="BX341" s="244">
        <f>IF(MOD(BW341,2)=0,BW341,BW341+1)</f>
        <v>0</v>
      </c>
      <c r="BY341" s="238">
        <f>IF(AJ341&lt;9,"",SUM(BX341-BW341))</f>
        <v>0</v>
      </c>
      <c r="BZ341" s="238">
        <f>IF(BY341=1,AK341,0)</f>
        <v>0</v>
      </c>
      <c r="CA341" s="243" t="str">
        <f>IF(BY341=0,AK341,0)</f>
        <v/>
      </c>
      <c r="CB341" s="238"/>
      <c r="CC341" s="238"/>
      <c r="CD341" s="242">
        <f>IF(AL335=3,0,IF(W341,V341,0))</f>
        <v>0</v>
      </c>
      <c r="CE341" s="238">
        <f>IF(CD341&gt;0,AX341/3,0)</f>
        <v>0</v>
      </c>
      <c r="CF341" s="238">
        <f>ROUNDUP(CE341,0)</f>
        <v>0</v>
      </c>
      <c r="CG341" s="244">
        <f>IF(MOD(CF341,2)=0,CF341,CF341+1)</f>
        <v>0</v>
      </c>
      <c r="CH341" s="238">
        <f>IF(AX341&lt;9,"",SUM(CG341-CF341))</f>
        <v>0</v>
      </c>
      <c r="CI341" s="238">
        <f>IF(CH341=1,AY341,0)</f>
        <v>0</v>
      </c>
      <c r="CJ341" s="243" t="str">
        <f>IF(CH341=0,AY341,0)</f>
        <v/>
      </c>
      <c r="CK341" s="238"/>
      <c r="CL341" s="245">
        <f>IF(COUNT(F341,H341)=1,0,1)</f>
        <v>1</v>
      </c>
      <c r="CM341" s="245">
        <f>IF(COUNT(F341,U341)=1,0,1)</f>
        <v>1</v>
      </c>
      <c r="CN341" s="245">
        <f>IF(COUNT(H341,W341)=1,0,1)</f>
        <v>1</v>
      </c>
      <c r="CO341" s="245">
        <f>IF(COUNT(G341,V341)=2,0,1)</f>
        <v>1</v>
      </c>
      <c r="CP341" s="245">
        <f>IF(COUNT(U341,W341)=1,0,1)</f>
        <v>1</v>
      </c>
      <c r="CQ341" s="245">
        <f>IF(SUM(G341-V341)&gt;3,1,0)</f>
        <v>0</v>
      </c>
      <c r="CR341" s="245">
        <f>IF(SUM(G341-V341)&lt;-3,1,0)</f>
        <v>0</v>
      </c>
      <c r="CS341" s="264">
        <f>IF(AJ341=9,IF(AH341&lt;141,1,0),IF(AH341="",0,IF(AH341&gt;1,0,1)))</f>
        <v>0</v>
      </c>
      <c r="CT341" s="264">
        <f>IF(AX341=9,IF(AV341&lt;141,1,0),IF(AV341="",0,IF(AV341&gt;1,0,1)))</f>
        <v>0</v>
      </c>
      <c r="CU341" s="264">
        <f>IF(AI341="",0,IF(AI341&lt;502,0,1))</f>
        <v>0</v>
      </c>
      <c r="CV341" s="264">
        <f>IF(AW341="",0,IF(AW341&lt;502,0,1))</f>
        <v>0</v>
      </c>
      <c r="CW341" s="264">
        <f>IF(AI341="",IF(AJ341&lt;9,1,0),IF(AJ341&lt;9,1,0))</f>
        <v>0</v>
      </c>
      <c r="CX341" s="264">
        <f>IF(AW341="",IF(AX341&lt;9,1,0),IF(AX341&lt;9,1,0))</f>
        <v>0</v>
      </c>
      <c r="CY341" s="374"/>
      <c r="CZ341" s="374"/>
      <c r="DA341" s="374"/>
      <c r="DB341" s="374"/>
      <c r="DC341" s="265">
        <f>IF(AJ341="",0,SUM(CL341:CX341))</f>
        <v>0</v>
      </c>
      <c r="DD341" s="265">
        <f>IF(AJ341="",0,SUM(CL341,CS341,CU341,CW341))</f>
        <v>0</v>
      </c>
      <c r="DE341" s="265">
        <f>IF(AJ341="",0,SUM(CP341,CT341,CV341,CX341))</f>
        <v>0</v>
      </c>
      <c r="DF341" s="238"/>
      <c r="DG341" s="248">
        <f>IF(AL335=3,0,SUM(G341-V341))</f>
        <v>0</v>
      </c>
      <c r="DH341" s="245">
        <f>IF(F341="",0,1)</f>
        <v>0</v>
      </c>
      <c r="DI341" s="245">
        <f t="shared" si="836"/>
        <v>0</v>
      </c>
      <c r="DJ341" s="245">
        <f t="shared" si="837"/>
        <v>0</v>
      </c>
      <c r="DK341" s="245" t="str">
        <f>IF(G341="","",IF(DJ341=1,"*",""))</f>
        <v/>
      </c>
      <c r="DL341" s="245" t="str">
        <f>IF(AL335=3,"",IF(G341="","",IF(DJ341=-1,"*",IF(DJ341=0,"*",""))))</f>
        <v/>
      </c>
      <c r="DM341" s="245">
        <v>4</v>
      </c>
      <c r="DN341" s="245" t="str">
        <f t="shared" si="838"/>
        <v>4</v>
      </c>
      <c r="DO341" s="245" t="str">
        <f t="shared" si="839"/>
        <v>4</v>
      </c>
      <c r="DP341" s="245">
        <f>SUM(DQ338)</f>
        <v>0</v>
      </c>
      <c r="DQ341" s="245">
        <f>SUM(DP338)</f>
        <v>0</v>
      </c>
      <c r="DR341" s="245">
        <f t="shared" si="846"/>
        <v>0</v>
      </c>
      <c r="DS341" s="245">
        <f t="shared" si="847"/>
        <v>0</v>
      </c>
      <c r="DT341" s="245">
        <f t="shared" si="848"/>
        <v>0</v>
      </c>
      <c r="DU341" s="245">
        <f>IF(V341="",0,IF(DQ341=DS341,0,1))</f>
        <v>0</v>
      </c>
      <c r="DV341" s="267">
        <f t="shared" si="849"/>
        <v>0</v>
      </c>
      <c r="DW341" s="267">
        <f>IF(V341="",0,SUM(DU341))</f>
        <v>0</v>
      </c>
      <c r="DX341" s="238">
        <f>IF(AK341="",0,1)</f>
        <v>0</v>
      </c>
      <c r="DY341" s="238">
        <f>IF(DG341=-3,1,0)</f>
        <v>0</v>
      </c>
      <c r="DZ341" s="238">
        <f>SUM(DX341:DY341)</f>
        <v>0</v>
      </c>
      <c r="EA341" s="238">
        <f>IF(AK341="",1,0)</f>
        <v>1</v>
      </c>
      <c r="EB341" s="238">
        <f>IF(DG341=3,1,0)</f>
        <v>0</v>
      </c>
      <c r="EC341" s="238">
        <f>SUM(EA341:EB341)</f>
        <v>1</v>
      </c>
      <c r="ED341" s="267">
        <f>IF(EC341=2,1,0)</f>
        <v>0</v>
      </c>
      <c r="EE341" s="267">
        <f>IF(DZ341=2,1,0)</f>
        <v>0</v>
      </c>
      <c r="EG341" s="166"/>
      <c r="EH341" s="238"/>
      <c r="EI341" s="238"/>
      <c r="EJ341" s="238"/>
      <c r="EK341" s="238"/>
      <c r="EL341" s="238"/>
      <c r="EM341" s="245">
        <f>IF(AK341="",0,1)</f>
        <v>0</v>
      </c>
      <c r="EN341" s="245">
        <f>SUM(AK341)</f>
        <v>0</v>
      </c>
      <c r="EO341" s="268">
        <f>SUM(AJ341)</f>
        <v>0</v>
      </c>
      <c r="EP341" s="268">
        <f>SUM(G341/3)</f>
        <v>0</v>
      </c>
      <c r="EQ341" s="268" t="e">
        <f>SUM(EO341/EP341)</f>
        <v>#DIV/0!</v>
      </c>
      <c r="ER341" s="268">
        <f>ROUNDDOWN(EP341,0)</f>
        <v>0</v>
      </c>
      <c r="ES341" s="268">
        <f>SUM(EO341,-ER341*3)</f>
        <v>0</v>
      </c>
      <c r="ET341" s="269" t="b">
        <f>MOD(EN341/1,2)=0</f>
        <v>1</v>
      </c>
      <c r="EU341" s="245">
        <f>IF(ET341=FALSE,1,0)</f>
        <v>0</v>
      </c>
      <c r="EV341" s="245">
        <f>IF(EN341=50,0,IF(EN341&lt;40,1,0))</f>
        <v>1</v>
      </c>
      <c r="EW341" s="245">
        <f>SUM(EU341:EV341)</f>
        <v>1</v>
      </c>
      <c r="EX341" s="267">
        <f>IF(EN341=1,1,IF(EN341=50,0,IF(ES341=1,IF(EN341&gt;40,1,0),0)))</f>
        <v>0</v>
      </c>
      <c r="EY341" s="267">
        <f>IF(ES341=1,IF(EW341=2,1,0),0)+EX341+FB341+FE341</f>
        <v>0</v>
      </c>
      <c r="EZ341" s="245">
        <f>IF(EN341=109,1,IF(EN341=108,1,IF(EN341=106,1,IF(EN341=105,1,IF(EN341=103,1,IF(EN341=102,1,IF(EN341=99,1,0)))))))</f>
        <v>0</v>
      </c>
      <c r="FA341" s="245">
        <f>IF(EN341&gt;110,1,0)</f>
        <v>0</v>
      </c>
      <c r="FB341" s="267">
        <f>IF(ES341=2,SUM(EZ341:FA341),0)</f>
        <v>0</v>
      </c>
      <c r="FC341" s="245">
        <f>IF(EN341=159,1,IF(EN341=162,1,IF(EN341=163,1,IF(EN341=165,1,IF(EN341=166,1,IF(EN341=168,1,IF(EN341=169,1,0)))))))</f>
        <v>0</v>
      </c>
      <c r="FD341" s="245">
        <f>IF(EN341&gt;170,1,0)</f>
        <v>0</v>
      </c>
      <c r="FE341" s="267">
        <f>IF(ES341=0,SUM(FC341:FD341),0)</f>
        <v>0</v>
      </c>
      <c r="FF341" s="251">
        <f t="shared" si="840"/>
        <v>0</v>
      </c>
      <c r="FG341" s="238"/>
      <c r="FH341" s="245">
        <f>IF(AY341="",0,1)</f>
        <v>0</v>
      </c>
      <c r="FI341" s="245">
        <f>SUM(AY341)</f>
        <v>0</v>
      </c>
      <c r="FJ341" s="268">
        <f>SUM(AX341)</f>
        <v>0</v>
      </c>
      <c r="FK341" s="268">
        <f>SUM(V341/3)</f>
        <v>0</v>
      </c>
      <c r="FL341" s="268" t="e">
        <f>SUM(FJ341/FK341)</f>
        <v>#DIV/0!</v>
      </c>
      <c r="FM341" s="268">
        <f>ROUNDDOWN(FK341,0)</f>
        <v>0</v>
      </c>
      <c r="FN341" s="268">
        <f>SUM(FJ341,-FM341*3)</f>
        <v>0</v>
      </c>
      <c r="FO341" s="269" t="b">
        <f>MOD(FI341/1,2)=0</f>
        <v>1</v>
      </c>
      <c r="FP341" s="245">
        <f>IF(FO341=FALSE,1,0)</f>
        <v>0</v>
      </c>
      <c r="FQ341" s="245">
        <f>IF(FI341=50,0,IF(FI341&lt;40,1,0))</f>
        <v>1</v>
      </c>
      <c r="FR341" s="245">
        <f>SUM(FP341:FQ341)</f>
        <v>1</v>
      </c>
      <c r="FS341" s="267">
        <f>IF(FI341=1,1,IF(FI341=50,0,IF(FN341=1,IF(FI341&gt;40,1,0),0)))</f>
        <v>0</v>
      </c>
      <c r="FT341" s="267">
        <f>IF(FN341=1,IF(FR341=2,1,0),0)+FS341+FW341+FZ341</f>
        <v>0</v>
      </c>
      <c r="FU341" s="245">
        <f>IF(FI341=109,1,IF(FI341=108,1,IF(FI341=106,1,IF(FI341=105,1,IF(FI341=103,1,IF(FI341=102,1,IF(FI341=99,1,0)))))))</f>
        <v>0</v>
      </c>
      <c r="FV341" s="245">
        <f>IF(FI341&gt;110,1,0)</f>
        <v>0</v>
      </c>
      <c r="FW341" s="267">
        <f>IF(FN341=2,SUM(FU341:FV341),0)</f>
        <v>0</v>
      </c>
      <c r="FX341" s="245">
        <f>IF(FI341=159,1,IF(FI341=162,1,IF(FI341=163,1,IF(FI341=165,1,IF(FI341=166,1,IF(FI341=168,1,IF(FI341=169,1,0)))))))</f>
        <v>0</v>
      </c>
      <c r="FY341" s="245">
        <f>IF(FI341&gt;170,1,0)</f>
        <v>0</v>
      </c>
      <c r="FZ341" s="267">
        <f>IF(FN341=0,SUM(FX341:FY341),0)</f>
        <v>0</v>
      </c>
      <c r="GA341" s="251">
        <f t="shared" si="841"/>
        <v>0</v>
      </c>
      <c r="GC341" s="238" t="str">
        <f>VLOOKUP(AH335,Chema!BL:BR,4,FALSE)</f>
        <v>GS 3.4</v>
      </c>
      <c r="GD341" s="341">
        <f>IF(T345="FORFAIT",1,0)</f>
        <v>0</v>
      </c>
      <c r="GE341" s="343" t="str">
        <f>IF(R345="","",SUM(R345))</f>
        <v/>
      </c>
      <c r="GF341" s="344">
        <f>SUM(AV338)</f>
        <v>0</v>
      </c>
      <c r="GG341" s="344">
        <f>SUM(AX338)</f>
        <v>0</v>
      </c>
      <c r="GH341" s="344">
        <f t="shared" ref="GH341" si="850">SUM(AY338)</f>
        <v>0</v>
      </c>
      <c r="GI341" s="344">
        <f t="shared" ref="GI341" si="851">SUM(AZ338)</f>
        <v>0</v>
      </c>
      <c r="GJ341" s="344">
        <f>SUM(AV339)</f>
        <v>0</v>
      </c>
      <c r="GK341" s="344">
        <f>SUM(AX339)</f>
        <v>0</v>
      </c>
      <c r="GL341" s="344">
        <f>SUM(AY339)</f>
        <v>0</v>
      </c>
      <c r="GM341" s="344">
        <f>SUM(AZ339)</f>
        <v>0</v>
      </c>
      <c r="GN341" s="344">
        <f>SUM(AV340)</f>
        <v>0</v>
      </c>
      <c r="GO341" s="344">
        <f>SUM(AX340)</f>
        <v>0</v>
      </c>
      <c r="GP341" s="344">
        <f>SUM(AY340)</f>
        <v>0</v>
      </c>
      <c r="GQ341" s="344">
        <f>SUM(AZ340)</f>
        <v>0</v>
      </c>
      <c r="GR341" s="344">
        <f>SUM(AV341)</f>
        <v>0</v>
      </c>
      <c r="GS341" s="344">
        <f>SUM(AX341)</f>
        <v>0</v>
      </c>
      <c r="GT341" s="344">
        <f>SUM(AY341)</f>
        <v>0</v>
      </c>
      <c r="GU341" s="344">
        <f>SUM(AZ341)</f>
        <v>0</v>
      </c>
      <c r="GV341" s="344">
        <f>SUM(AV342)</f>
        <v>0</v>
      </c>
      <c r="GW341" s="344">
        <f>SUM(AX342)</f>
        <v>0</v>
      </c>
      <c r="GX341" s="344">
        <f>SUM(AY342)</f>
        <v>0</v>
      </c>
      <c r="GY341" s="344">
        <f>SUM(AZ342)</f>
        <v>0</v>
      </c>
      <c r="GZ341" s="344">
        <f>SUM(GF341,GJ341,GN341,GR341,GV341)</f>
        <v>0</v>
      </c>
      <c r="HA341" s="344">
        <f t="shared" ref="HA341" si="852">SUM(GG341,GK341,GO341,GS341,GW341)</f>
        <v>0</v>
      </c>
      <c r="HB341" s="344">
        <f>IF(GD338=1,P345,MAX(GH341,GL341,GP341,GT341,GX341))</f>
        <v>0</v>
      </c>
      <c r="HC341" s="344">
        <f>IF(GD338=1,X345,SUM(GI341,GM341,GQ341,GU341,GY341))</f>
        <v>0</v>
      </c>
      <c r="HD341" s="345">
        <f>IF(GD338=1,0,SUM(GF341,GJ341,GN341,GR341,GV341))</f>
        <v>0</v>
      </c>
      <c r="HE341" s="345">
        <f>IF(GD338=1,0,SUM(GG341,GK341,GO341,GS341,GW341))</f>
        <v>0</v>
      </c>
      <c r="HF341" s="341">
        <f>IF(GD338=1,0,MIN(HI341,HJ341,HK341,HL341,HM341))</f>
        <v>0</v>
      </c>
      <c r="HG341" s="341">
        <f>IF(HF341=0,0,COUNTIF(HI341:HM341,HF341))</f>
        <v>0</v>
      </c>
      <c r="HH341" s="341">
        <f>SUM(GH342,GL342,GP342,GT342,GX342)</f>
        <v>0</v>
      </c>
      <c r="HI341" s="343" t="str">
        <f>IF(GH342=1,GG341,"")</f>
        <v/>
      </c>
      <c r="HJ341" s="343" t="str">
        <f>IF(GL342=1,GK341,"")</f>
        <v/>
      </c>
      <c r="HK341" s="343" t="str">
        <f>IF(GP342=1,GO341,"")</f>
        <v/>
      </c>
      <c r="HL341" s="343" t="str">
        <f>IF(GT342=1,GS341,"")</f>
        <v/>
      </c>
      <c r="HM341" s="343" t="str">
        <f>IF(GX342=1,GW341,"")</f>
        <v/>
      </c>
      <c r="HN341" s="341"/>
      <c r="HO341" s="341"/>
      <c r="HP341" s="341"/>
      <c r="HQ341" s="341"/>
      <c r="HR341" s="341"/>
      <c r="HS341" s="238"/>
      <c r="HT341" s="238"/>
      <c r="HU341" s="238"/>
      <c r="HV341" s="238"/>
      <c r="HW341" s="238" t="str">
        <f>IFERROR(IF(GD338=0,SUM(IB340:IC340),""),"")</f>
        <v/>
      </c>
      <c r="HY341" s="238"/>
      <c r="ID341" s="238"/>
    </row>
    <row r="342" spans="1:238" s="234" customFormat="1" ht="20.100000000000001" customHeight="1">
      <c r="A342" s="235"/>
      <c r="B342" s="231">
        <f>COUNT(AJ343,AJ342)</f>
        <v>1</v>
      </c>
      <c r="C342" s="235"/>
      <c r="D342" s="271" t="str">
        <f>REPT(DN342,1)</f>
        <v>5</v>
      </c>
      <c r="E342" s="254" t="str">
        <f>REPT(AH342,1)</f>
        <v/>
      </c>
      <c r="F342" s="168"/>
      <c r="G342" s="168"/>
      <c r="H342" s="168"/>
      <c r="I342" s="169"/>
      <c r="J342" s="272" t="str">
        <f>REPT(AM342,1)</f>
        <v/>
      </c>
      <c r="L342" s="310"/>
      <c r="M342" s="310"/>
      <c r="N342" s="272" t="str">
        <f>REPT(AP342,1)</f>
        <v/>
      </c>
      <c r="O342" s="118"/>
      <c r="Q342" s="310"/>
      <c r="R342" s="235"/>
      <c r="S342" s="271" t="str">
        <f>REPT(DO342,1)</f>
        <v>5</v>
      </c>
      <c r="T342" s="254" t="str">
        <f>REPT(AV342,1)</f>
        <v/>
      </c>
      <c r="U342" s="168"/>
      <c r="V342" s="168"/>
      <c r="W342" s="168"/>
      <c r="X342" s="169"/>
      <c r="Y342" s="272" t="str">
        <f>REPT(BA342,1)</f>
        <v/>
      </c>
      <c r="Z342" s="308"/>
      <c r="AA342" s="238">
        <f>SUM(AL335)</f>
        <v>5</v>
      </c>
      <c r="AB342" s="234">
        <f>IF(AY342="",0,IF(AY342&lt;2,1,""))</f>
        <v>0</v>
      </c>
      <c r="AC342" s="238">
        <f>IF(AL335=3,0,IF(AD342=1,1,IF(AD342=3,1,IF(AD342=2,0,IF(AD342=0,0,0)))))</f>
        <v>0</v>
      </c>
      <c r="AD342" s="256">
        <f t="shared" si="830"/>
        <v>0</v>
      </c>
      <c r="AE342" s="256">
        <f t="shared" si="824"/>
        <v>0</v>
      </c>
      <c r="AF342" s="256">
        <f t="shared" si="825"/>
        <v>0</v>
      </c>
      <c r="AG342" s="256">
        <f t="shared" si="831"/>
        <v>0</v>
      </c>
      <c r="AH342" s="257" t="str">
        <f>IF(AL335=3,"",IF(AK342="",IF(AI342="","",IF(AI342="",501,501-AI342)),501))</f>
        <v/>
      </c>
      <c r="AI342" s="256" t="str">
        <f>IF(AL335=3,"",IF(F342&gt;1,F342,IF(F342=0,"",IF(F342="","",""))))</f>
        <v/>
      </c>
      <c r="AJ342" s="256" t="str">
        <f>IF(AL335=3,"",IF(G342&gt;8,G342,IF(G342="","","")))</f>
        <v/>
      </c>
      <c r="AK342" s="256" t="str">
        <f>IF(AL335=3,"",IF(H342&gt;1,H342,IF(H342="","","")))</f>
        <v/>
      </c>
      <c r="AL342" s="256" t="str">
        <f>IF(AL335=3,"",IF(I342&gt;0,I342,IF(I342="","","")))</f>
        <v/>
      </c>
      <c r="AM342" s="258" t="str">
        <f>IF(BK342=0,"","X")</f>
        <v/>
      </c>
      <c r="AN342" s="237"/>
      <c r="AO342" s="237"/>
      <c r="AP342" s="258" t="str">
        <f>IF(BM342=0,"","X")</f>
        <v/>
      </c>
      <c r="AQ342" s="236">
        <f>IF(AL335=3,0,IF(AR342=1,1,IF(AR342=3,1,IF(AR342=2,0,IF(AR342=0,0,0)))))</f>
        <v>0</v>
      </c>
      <c r="AR342" s="256">
        <f t="shared" si="833"/>
        <v>0</v>
      </c>
      <c r="AS342" s="256">
        <f t="shared" si="826"/>
        <v>0</v>
      </c>
      <c r="AT342" s="256">
        <f t="shared" si="827"/>
        <v>0</v>
      </c>
      <c r="AU342" s="256">
        <f t="shared" si="834"/>
        <v>0</v>
      </c>
      <c r="AV342" s="257" t="str">
        <f>IF(AY342="",IF(AW342="","",IF(AW342="",501,501-AW342)),501)</f>
        <v/>
      </c>
      <c r="AW342" s="256" t="str">
        <f>IF(AL335=3,"",IF(U342&gt;1,U342,IF(U342=0,"",IF(U342="","",""))))</f>
        <v/>
      </c>
      <c r="AX342" s="256" t="str">
        <f>IF(AL335=3,"",IF(V342&gt;8,V342,IF(V342="","","")))</f>
        <v/>
      </c>
      <c r="AY342" s="256" t="str">
        <f>IF(AL335=3,"",IF(W342&gt;1,W342,IF(W342="","","")))</f>
        <v/>
      </c>
      <c r="AZ342" s="256" t="str">
        <f>IF(AL335=3,"",IF(X342&gt;0,X342,IF(X342="","","")))</f>
        <v/>
      </c>
      <c r="BA342" s="258" t="str">
        <f>IF(BL342=0,"","X")</f>
        <v/>
      </c>
      <c r="BK342" s="251">
        <f>IF(AL335=3,0,SUM(DD342,DV342,EY342,ED342,FF342,BQ342,BS342,AC342))</f>
        <v>0</v>
      </c>
      <c r="BL342" s="251">
        <f>SUM(DE342,DW342,EE342,FT342,GA342,BR342,BT342,AQ342)</f>
        <v>0</v>
      </c>
      <c r="BM342" s="259">
        <f>IF(AL335=3,0,SUM(DC342,BK342:BL342,AC342,AQ342))</f>
        <v>0</v>
      </c>
      <c r="BN342" s="239">
        <f>COUNT(AK342)</f>
        <v>0</v>
      </c>
      <c r="BO342" s="239">
        <f>COUNT(AY342)</f>
        <v>0</v>
      </c>
      <c r="BP342" s="239">
        <f>IF(BN344=0,0,1)</f>
        <v>0</v>
      </c>
      <c r="BQ342" s="260">
        <f>IF(AL342="",0,IF(AL342&gt;2,1,0))</f>
        <v>0</v>
      </c>
      <c r="BR342" s="261">
        <f>IF(AZ342="",0,IF(AZ342&gt;2,1,0))</f>
        <v>0</v>
      </c>
      <c r="BS342" s="262">
        <f>IF(AJ342=9,IF(AK342&lt;141,1,0),0)</f>
        <v>0</v>
      </c>
      <c r="BT342" s="263">
        <f>IF(AX342=9,IF(AY342&lt;141,1,0),0)</f>
        <v>0</v>
      </c>
      <c r="BU342" s="242">
        <f>IF(AL335=3,0,IF(H342,G342,0))</f>
        <v>0</v>
      </c>
      <c r="BV342" s="238">
        <f>IF(BU342&gt;0,AJ342/3,0)</f>
        <v>0</v>
      </c>
      <c r="BW342" s="238">
        <f>ROUNDUP(BV342,0)</f>
        <v>0</v>
      </c>
      <c r="BX342" s="244">
        <f>IF(MOD(BW342,2)=0,BW342,BW342+1)</f>
        <v>0</v>
      </c>
      <c r="BY342" s="238">
        <f>IF(AJ342&lt;9,"",SUM(BX342-BW342))</f>
        <v>0</v>
      </c>
      <c r="BZ342" s="238">
        <f>IF(BY342=1,AK342,0)</f>
        <v>0</v>
      </c>
      <c r="CA342" s="243" t="str">
        <f>IF(BY342=0,AK342,0)</f>
        <v/>
      </c>
      <c r="CB342" s="238"/>
      <c r="CC342" s="238"/>
      <c r="CD342" s="242">
        <f>IF(AL335=3,0,IF(W342,V342,0))</f>
        <v>0</v>
      </c>
      <c r="CE342" s="238">
        <f>IF(CD342&gt;0,AX342/3,0)</f>
        <v>0</v>
      </c>
      <c r="CF342" s="238">
        <f>ROUNDUP(CE342,0)</f>
        <v>0</v>
      </c>
      <c r="CG342" s="244">
        <f>IF(MOD(CF342,2)=0,CF342,CF342+1)</f>
        <v>0</v>
      </c>
      <c r="CH342" s="238">
        <f>IF(AX342&lt;9,"",SUM(CG342-CF342))</f>
        <v>0</v>
      </c>
      <c r="CI342" s="238">
        <f>IF(CH342=1,AY342,0)</f>
        <v>0</v>
      </c>
      <c r="CJ342" s="243" t="str">
        <f>IF(CH342=0,AY342,0)</f>
        <v/>
      </c>
      <c r="CK342" s="238"/>
      <c r="CL342" s="245">
        <f>IF(COUNT(F342,H342)=1,0,1)</f>
        <v>1</v>
      </c>
      <c r="CM342" s="245">
        <f>IF(COUNT(F342,U342)=1,0,1)</f>
        <v>1</v>
      </c>
      <c r="CN342" s="245">
        <f>IF(COUNT(H342,W342)=1,0,1)</f>
        <v>1</v>
      </c>
      <c r="CO342" s="245">
        <f>IF(COUNT(G342,V342)=2,0,1)</f>
        <v>1</v>
      </c>
      <c r="CP342" s="245">
        <f>IF(COUNT(U342,W342)=1,0,1)</f>
        <v>1</v>
      </c>
      <c r="CQ342" s="245">
        <f>IF(SUM(G342-V342)&gt;3,1,0)</f>
        <v>0</v>
      </c>
      <c r="CR342" s="245">
        <f>IF(SUM(G342-V342)&lt;-3,1,0)</f>
        <v>0</v>
      </c>
      <c r="CS342" s="264">
        <f>IF(AJ342=9,IF(AH342&lt;141,1,0),IF(AH342="",0,IF(AH342&gt;1,0,1)))</f>
        <v>0</v>
      </c>
      <c r="CT342" s="264">
        <f>IF(AX342=9,IF(AV342&lt;141,1,0),IF(AV342="",0,IF(AV342&gt;1,0,1)))</f>
        <v>0</v>
      </c>
      <c r="CU342" s="264">
        <f>IF(AI342="",0,IF(AI342&lt;502,0,1))</f>
        <v>0</v>
      </c>
      <c r="CV342" s="264">
        <f>IF(AW342="",0,IF(AW342&lt;502,0,1))</f>
        <v>0</v>
      </c>
      <c r="CW342" s="264">
        <f>IF(AI342="",IF(AJ342&lt;9,1,0),IF(AJ342&lt;9,1,0))</f>
        <v>0</v>
      </c>
      <c r="CX342" s="264">
        <f>IF(AW342="",IF(AX342&lt;9,1,0),IF(AX342&lt;9,1,0))</f>
        <v>0</v>
      </c>
      <c r="CY342" s="374"/>
      <c r="CZ342" s="374"/>
      <c r="DA342" s="374"/>
      <c r="DB342" s="374"/>
      <c r="DC342" s="265">
        <f>IF(AJ342="",0,SUM(CL342:CX342))</f>
        <v>0</v>
      </c>
      <c r="DD342" s="265">
        <f>IF(AJ342="",0,SUM(CL342,CS342,CU342,CW342))</f>
        <v>0</v>
      </c>
      <c r="DE342" s="265">
        <f>IF(AJ342="",0,SUM(CP342,CT342,CV342,CX342))</f>
        <v>0</v>
      </c>
      <c r="DF342" s="238"/>
      <c r="DG342" s="248">
        <f>IF(AL335=3,0,SUM(G342-V342))</f>
        <v>0</v>
      </c>
      <c r="DH342" s="245">
        <f>IF(F342="",0,1)</f>
        <v>0</v>
      </c>
      <c r="DI342" s="245">
        <f t="shared" si="836"/>
        <v>0</v>
      </c>
      <c r="DJ342" s="245">
        <f t="shared" si="837"/>
        <v>0</v>
      </c>
      <c r="DK342" s="245" t="str">
        <f>IF(G342="","",IF(DJ342=1,"*",""))</f>
        <v/>
      </c>
      <c r="DL342" s="245" t="str">
        <f>IF(AL335=3,"",IF(G342="","",IF(DJ342=-1,"*",IF(DJ342=0,"*",""))))</f>
        <v/>
      </c>
      <c r="DM342" s="245">
        <v>5</v>
      </c>
      <c r="DN342" s="245" t="str">
        <f t="shared" si="838"/>
        <v>5</v>
      </c>
      <c r="DO342" s="245" t="str">
        <f t="shared" si="839"/>
        <v>5</v>
      </c>
      <c r="DP342" s="245">
        <f>SUM(DP338)</f>
        <v>0</v>
      </c>
      <c r="DQ342" s="245">
        <f>SUM(DQ338)</f>
        <v>0</v>
      </c>
      <c r="DR342" s="245">
        <f t="shared" si="846"/>
        <v>0</v>
      </c>
      <c r="DS342" s="245">
        <f t="shared" si="847"/>
        <v>0</v>
      </c>
      <c r="DT342" s="245">
        <f t="shared" si="848"/>
        <v>0</v>
      </c>
      <c r="DU342" s="245">
        <f>IF(V342="",0,IF(DQ342=DS342,0,1))</f>
        <v>0</v>
      </c>
      <c r="DV342" s="267">
        <f t="shared" si="849"/>
        <v>0</v>
      </c>
      <c r="DW342" s="267">
        <f>IF(V342="",0,SUM(DU342))</f>
        <v>0</v>
      </c>
      <c r="DX342" s="238">
        <f>IF(AK342="",0,1)</f>
        <v>0</v>
      </c>
      <c r="DY342" s="238">
        <f>IF(DG342=-3,1,0)</f>
        <v>0</v>
      </c>
      <c r="DZ342" s="238">
        <f>SUM(DX342:DY342)</f>
        <v>0</v>
      </c>
      <c r="EA342" s="238">
        <f>IF(AK342="",1,0)</f>
        <v>1</v>
      </c>
      <c r="EB342" s="238">
        <f>IF(DG342=3,1,0)</f>
        <v>0</v>
      </c>
      <c r="EC342" s="238">
        <f>SUM(EA342:EB342)</f>
        <v>1</v>
      </c>
      <c r="ED342" s="267">
        <f>IF(EC342=2,1,0)</f>
        <v>0</v>
      </c>
      <c r="EE342" s="267">
        <f>IF(DZ342=2,1,0)</f>
        <v>0</v>
      </c>
      <c r="EG342" s="166"/>
      <c r="EH342" s="238"/>
      <c r="EI342" s="238"/>
      <c r="EJ342" s="238"/>
      <c r="EK342" s="238"/>
      <c r="EL342" s="238"/>
      <c r="EM342" s="245">
        <f>IF(AK342="",0,1)</f>
        <v>0</v>
      </c>
      <c r="EN342" s="245">
        <f>SUM(AK342)</f>
        <v>0</v>
      </c>
      <c r="EO342" s="268">
        <f>SUM(AJ342)</f>
        <v>0</v>
      </c>
      <c r="EP342" s="268">
        <f>SUM(G342/3)</f>
        <v>0</v>
      </c>
      <c r="EQ342" s="268" t="e">
        <f>SUM(EO342/EP342)</f>
        <v>#DIV/0!</v>
      </c>
      <c r="ER342" s="268">
        <f>ROUNDDOWN(EP342,0)</f>
        <v>0</v>
      </c>
      <c r="ES342" s="268">
        <f>SUM(EO342,-ER342*3)</f>
        <v>0</v>
      </c>
      <c r="ET342" s="269" t="b">
        <f>MOD(EN342/1,2)=0</f>
        <v>1</v>
      </c>
      <c r="EU342" s="245">
        <f>IF(ET342=FALSE,1,0)</f>
        <v>0</v>
      </c>
      <c r="EV342" s="245">
        <f>IF(EN342=50,0,IF(EN342&lt;40,1,0))</f>
        <v>1</v>
      </c>
      <c r="EW342" s="245">
        <f>SUM(EU342:EV342)</f>
        <v>1</v>
      </c>
      <c r="EX342" s="267">
        <f>IF(EN342=1,1,IF(EN342=50,0,IF(ES342=1,IF(EN342&gt;40,1,0),0)))</f>
        <v>0</v>
      </c>
      <c r="EY342" s="267">
        <f>IF(ES342=1,IF(EW342=2,1,0),0)+EX342+FB342+FE342</f>
        <v>0</v>
      </c>
      <c r="EZ342" s="245">
        <f>IF(EN342=109,1,IF(EN342=108,1,IF(EN342=106,1,IF(EN342=105,1,IF(EN342=103,1,IF(EN342=102,1,IF(EN342=99,1,0)))))))</f>
        <v>0</v>
      </c>
      <c r="FA342" s="245">
        <f>IF(EN342&gt;110,1,0)</f>
        <v>0</v>
      </c>
      <c r="FB342" s="267">
        <f>IF(ES342=2,SUM(EZ342:FA342),0)</f>
        <v>0</v>
      </c>
      <c r="FC342" s="245">
        <f>IF(EN342=159,1,IF(EN342=162,1,IF(EN342=163,1,IF(EN342=165,1,IF(EN342=166,1,IF(EN342=168,1,IF(EN342=169,1,0)))))))</f>
        <v>0</v>
      </c>
      <c r="FD342" s="245">
        <f>IF(EN342&gt;170,1,0)</f>
        <v>0</v>
      </c>
      <c r="FE342" s="267">
        <f>IF(ES342=0,SUM(FC342:FD342),0)</f>
        <v>0</v>
      </c>
      <c r="FF342" s="251">
        <f t="shared" si="840"/>
        <v>0</v>
      </c>
      <c r="FG342" s="238"/>
      <c r="FH342" s="245">
        <f>IF(AY342="",0,1)</f>
        <v>0</v>
      </c>
      <c r="FI342" s="245">
        <f>SUM(AY342)</f>
        <v>0</v>
      </c>
      <c r="FJ342" s="268">
        <f>SUM(AX342)</f>
        <v>0</v>
      </c>
      <c r="FK342" s="268">
        <f>SUM(V342/3)</f>
        <v>0</v>
      </c>
      <c r="FL342" s="268" t="e">
        <f>SUM(FJ342/FK342)</f>
        <v>#DIV/0!</v>
      </c>
      <c r="FM342" s="268">
        <f>ROUNDDOWN(FK342,0)</f>
        <v>0</v>
      </c>
      <c r="FN342" s="268">
        <f>SUM(FJ342,-FM342*3)</f>
        <v>0</v>
      </c>
      <c r="FO342" s="269" t="b">
        <f>MOD(FI342/1,2)=0</f>
        <v>1</v>
      </c>
      <c r="FP342" s="245">
        <f>IF(FO342=FALSE,1,0)</f>
        <v>0</v>
      </c>
      <c r="FQ342" s="245">
        <f>IF(FI342=50,0,IF(FI342&lt;40,1,0))</f>
        <v>1</v>
      </c>
      <c r="FR342" s="245">
        <f>SUM(FP342:FQ342)</f>
        <v>1</v>
      </c>
      <c r="FS342" s="267">
        <f>IF(FI342=1,1,IF(FI342=50,0,IF(FN342=1,IF(FI342&gt;40,1,0),0)))</f>
        <v>0</v>
      </c>
      <c r="FT342" s="267">
        <f>IF(FN342=1,IF(FR342=2,1,0),0)+FS342+FW342+FZ342</f>
        <v>0</v>
      </c>
      <c r="FU342" s="245">
        <f>IF(FI342=109,1,IF(FI342=108,1,IF(FI342=106,1,IF(FI342=105,1,IF(FI342=103,1,IF(FI342=102,1,IF(FI342=99,1,0)))))))</f>
        <v>0</v>
      </c>
      <c r="FV342" s="245">
        <f>IF(FI342&gt;110,1,0)</f>
        <v>0</v>
      </c>
      <c r="FW342" s="267">
        <f>IF(FN342=2,SUM(FU342:FV342),0)</f>
        <v>0</v>
      </c>
      <c r="FX342" s="245">
        <f>IF(FI342=159,1,IF(FI342=162,1,IF(FI342=163,1,IF(FI342=165,1,IF(FI342=166,1,IF(FI342=168,1,IF(FI342=169,1,0)))))))</f>
        <v>0</v>
      </c>
      <c r="FY342" s="245">
        <f>IF(FI342&gt;170,1,0)</f>
        <v>0</v>
      </c>
      <c r="FZ342" s="267">
        <f>IF(FN342=0,SUM(FX342:FY342),0)</f>
        <v>0</v>
      </c>
      <c r="GA342" s="251">
        <f t="shared" si="841"/>
        <v>0</v>
      </c>
      <c r="GC342" s="238" t="str">
        <f>VLOOKUP(AH335,Chema!BL:BR,5,FALSE)</f>
        <v/>
      </c>
      <c r="GD342" s="341"/>
      <c r="GE342" s="343" t="str">
        <f>IF(R346="","",SUM(R346))</f>
        <v/>
      </c>
      <c r="GF342" s="340"/>
      <c r="GG342" s="346"/>
      <c r="GH342" s="343">
        <f>IF(GH341&gt;0,1,0)</f>
        <v>0</v>
      </c>
      <c r="GI342" s="346"/>
      <c r="GJ342" s="343"/>
      <c r="GK342" s="346"/>
      <c r="GL342" s="343">
        <f>IF(GL341&gt;0,1,0)</f>
        <v>0</v>
      </c>
      <c r="GM342" s="343"/>
      <c r="GN342" s="343"/>
      <c r="GO342" s="346"/>
      <c r="GP342" s="343">
        <f>IF(GP341&gt;0,1,0)</f>
        <v>0</v>
      </c>
      <c r="GQ342" s="343"/>
      <c r="GR342" s="343"/>
      <c r="GS342" s="346"/>
      <c r="GT342" s="343">
        <f>IF(GT341&gt;0,1,0)</f>
        <v>0</v>
      </c>
      <c r="GU342" s="343"/>
      <c r="GV342" s="343"/>
      <c r="GW342" s="346"/>
      <c r="GX342" s="343">
        <f>IF(GX341&gt;0,1,0)</f>
        <v>0</v>
      </c>
      <c r="GY342" s="340"/>
      <c r="GZ342" s="343"/>
      <c r="HA342" s="343"/>
      <c r="HB342" s="343" t="str">
        <f>IF(GD338=1,P346,"")</f>
        <v/>
      </c>
      <c r="HC342" s="343" t="str">
        <f>IF(GD338=1,X346,"")</f>
        <v/>
      </c>
      <c r="HD342" s="340"/>
      <c r="HE342" s="340"/>
      <c r="HF342" s="340"/>
      <c r="HG342" s="340">
        <f>IF(HG340=HM338,0,IF(HG340=HM342,0,1))</f>
        <v>0</v>
      </c>
      <c r="HH342" s="340">
        <f>IF(HH339=HH341,1,0)</f>
        <v>1</v>
      </c>
      <c r="HI342" s="340"/>
      <c r="HJ342" s="340"/>
      <c r="HK342" s="340"/>
      <c r="HL342" s="340"/>
      <c r="HM342" s="341">
        <f>COUNT(HI341,HJ341,HK341,HL341,HM341)</f>
        <v>0</v>
      </c>
      <c r="HN342" s="341"/>
      <c r="HO342" s="341"/>
      <c r="HP342" s="341"/>
      <c r="HQ342" s="341"/>
      <c r="HR342" s="341"/>
      <c r="HS342" s="238"/>
      <c r="HT342" s="238"/>
      <c r="HU342" s="238"/>
      <c r="HV342" s="238"/>
      <c r="HX342" s="238"/>
      <c r="HY342" s="238"/>
      <c r="ID342" s="238"/>
    </row>
    <row r="343" spans="1:238" s="234" customFormat="1" ht="6.6" customHeight="1">
      <c r="A343" s="235"/>
      <c r="B343" s="231"/>
      <c r="C343" s="310"/>
      <c r="D343" s="310"/>
      <c r="E343" s="310"/>
      <c r="F343" s="310"/>
      <c r="G343" s="313"/>
      <c r="H343" s="310"/>
      <c r="I343" s="310"/>
      <c r="J343" s="273"/>
      <c r="K343" s="313"/>
      <c r="O343" s="118"/>
      <c r="R343" s="310"/>
      <c r="S343" s="310"/>
      <c r="T343" s="310"/>
      <c r="U343" s="310"/>
      <c r="V343" s="313"/>
      <c r="W343" s="310"/>
      <c r="X343" s="310"/>
      <c r="Y343" s="273"/>
      <c r="Z343" s="308"/>
      <c r="AA343" s="274"/>
      <c r="AD343" s="235"/>
      <c r="AE343" s="237">
        <f>IF(AF343=0,0,1)</f>
        <v>0</v>
      </c>
      <c r="AF343" s="237">
        <f>IF(AL343=0,0,SUM(AL345:AL346,-AL344))</f>
        <v>0</v>
      </c>
      <c r="AG343" s="237"/>
      <c r="AH343" s="275">
        <f>SUM(AH338,AH339,AH340,AH341,AH342)</f>
        <v>0</v>
      </c>
      <c r="AI343" s="275">
        <f t="shared" ref="AI343" si="853">SUM(AI338,AI339,AI340,AI341,AI342)</f>
        <v>0</v>
      </c>
      <c r="AJ343" s="275">
        <f t="shared" ref="AJ343" si="854">SUM(AJ338,AJ339,AJ340,AJ341,AJ342)</f>
        <v>0</v>
      </c>
      <c r="AK343" s="275">
        <f>MAX(AK338,AK339,AK340,AK341,AK342)</f>
        <v>0</v>
      </c>
      <c r="AL343" s="275">
        <f t="shared" ref="AL343" si="855">SUM(AL338,AL339,AL340,AL341,AL342)</f>
        <v>0</v>
      </c>
      <c r="AM343" s="275">
        <f>IF(AK335="D",SUM(AL338,AL339,AL340,AL341,AL342,-AL345,-AL346),0)</f>
        <v>0</v>
      </c>
      <c r="AN343" s="235"/>
      <c r="AO343" s="235"/>
      <c r="AP343" s="235"/>
      <c r="AQ343" s="235"/>
      <c r="AR343" s="235"/>
      <c r="AS343" s="237">
        <f>IF(AT343=0,0,1)</f>
        <v>0</v>
      </c>
      <c r="AT343" s="237">
        <f>IF(AZ343=0,0,SUM(AZ345:AZ346,-AZ344))</f>
        <v>0</v>
      </c>
      <c r="AU343" s="237"/>
      <c r="AV343" s="275">
        <f>SUM(AV338,AV339,AV340,AV341,AV342)</f>
        <v>0</v>
      </c>
      <c r="AW343" s="275">
        <f t="shared" ref="AW343" si="856">SUM(AW338,AW339,AW340,AW341,AW342)</f>
        <v>0</v>
      </c>
      <c r="AX343" s="275">
        <f t="shared" ref="AX343" si="857">SUM(AX338,AX339,AX340,AX341,AX342)</f>
        <v>0</v>
      </c>
      <c r="AY343" s="275">
        <f>MAX(AY338,AY339,AY340,AY341,AY342)</f>
        <v>0</v>
      </c>
      <c r="AZ343" s="275">
        <f t="shared" ref="AZ343" si="858">SUM(AZ338,AZ339,AZ340,AZ341,AZ342)</f>
        <v>0</v>
      </c>
      <c r="BA343" s="275">
        <f>IF(AK335="D",SUM(AZ338,AZ339,AZ340,AZ341,AZ342,-AZ345,-AZ346),0)</f>
        <v>0</v>
      </c>
      <c r="BJ343" s="236"/>
      <c r="BK343" s="238"/>
      <c r="BL343" s="238"/>
      <c r="BM343" s="238"/>
      <c r="BP343" s="238"/>
      <c r="BQ343" s="238"/>
      <c r="BR343" s="238"/>
      <c r="BS343" s="238"/>
      <c r="BT343" s="238"/>
      <c r="BU343" s="238"/>
      <c r="BY343" s="238"/>
      <c r="BZ343" s="238">
        <f>MAX(BZ338,BZ339,BZ340,BZ341,BZ342)</f>
        <v>0</v>
      </c>
      <c r="CA343" s="238">
        <f>MAX(CA338,CA339,CA340,CA341,CA342)</f>
        <v>0</v>
      </c>
      <c r="CB343" s="238"/>
      <c r="CC343" s="238"/>
      <c r="CD343" s="238"/>
      <c r="CG343" s="244"/>
      <c r="CH343" s="238"/>
      <c r="CI343" s="238">
        <f>MAX(CI338,CI339,CI340,CI341,CI342)</f>
        <v>0</v>
      </c>
      <c r="CJ343" s="238">
        <f>MAX(CJ338,CJ339,CJ340,CJ341,CJ342)</f>
        <v>0</v>
      </c>
      <c r="CK343" s="238"/>
      <c r="CL343" s="238"/>
      <c r="CM343" s="238"/>
      <c r="CN343" s="238"/>
      <c r="CO343" s="238"/>
      <c r="CP343" s="238"/>
      <c r="CQ343" s="238"/>
      <c r="CR343" s="238"/>
      <c r="CS343" s="238"/>
      <c r="CT343" s="238"/>
      <c r="CU343" s="238"/>
      <c r="CV343" s="238"/>
      <c r="CW343" s="238"/>
      <c r="CX343" s="238"/>
      <c r="CY343" s="238"/>
      <c r="CZ343" s="238"/>
      <c r="DA343" s="238"/>
      <c r="DB343" s="238"/>
      <c r="DC343" s="238"/>
      <c r="DD343" s="238"/>
      <c r="DE343" s="238"/>
      <c r="DF343" s="238"/>
      <c r="DG343" s="238"/>
      <c r="DH343" s="238"/>
      <c r="DI343" s="238"/>
      <c r="DJ343" s="238"/>
      <c r="DK343" s="238"/>
      <c r="DL343" s="238"/>
      <c r="DM343" s="238"/>
      <c r="DN343" s="238"/>
      <c r="DO343" s="238"/>
      <c r="DP343" s="238"/>
      <c r="DQ343" s="238"/>
      <c r="DR343" s="238"/>
      <c r="DS343" s="238"/>
      <c r="DT343" s="238"/>
      <c r="DU343" s="238"/>
      <c r="DV343" s="238"/>
      <c r="DW343" s="238"/>
      <c r="DX343" s="238"/>
      <c r="DY343" s="238"/>
      <c r="DZ343" s="238"/>
      <c r="EA343" s="238"/>
      <c r="EB343" s="238"/>
      <c r="EC343" s="238"/>
      <c r="ED343" s="238"/>
      <c r="EE343" s="238"/>
      <c r="EF343" s="238"/>
      <c r="EG343" s="238"/>
      <c r="EH343" s="238"/>
      <c r="EI343" s="238"/>
      <c r="EJ343" s="238"/>
      <c r="EK343" s="238"/>
      <c r="EL343" s="238"/>
      <c r="EM343" s="166"/>
      <c r="EN343" s="166"/>
      <c r="EO343" s="166"/>
      <c r="EP343" s="238">
        <f>SUM(EN343-EO343)</f>
        <v>0</v>
      </c>
      <c r="EQ343" s="238"/>
      <c r="ER343" s="238"/>
      <c r="ES343" s="238"/>
      <c r="ET343" s="244"/>
      <c r="EU343" s="238"/>
      <c r="EV343" s="238"/>
      <c r="EW343" s="238"/>
      <c r="EX343" s="238"/>
      <c r="EY343" s="238"/>
      <c r="EZ343" s="238"/>
      <c r="FA343" s="238"/>
      <c r="FB343" s="238"/>
      <c r="FC343" s="238"/>
      <c r="FD343" s="238"/>
      <c r="FE343" s="238"/>
      <c r="FF343" s="238"/>
      <c r="FG343" s="238"/>
      <c r="FH343" s="238"/>
      <c r="FI343" s="238"/>
      <c r="FJ343" s="238"/>
      <c r="FK343" s="238"/>
      <c r="FL343" s="238"/>
      <c r="FM343" s="238"/>
      <c r="FN343" s="238"/>
      <c r="FO343" s="244"/>
      <c r="FP343" s="238"/>
      <c r="FQ343" s="238"/>
      <c r="FR343" s="238"/>
      <c r="FS343" s="238"/>
      <c r="FT343" s="238"/>
      <c r="FU343" s="238"/>
      <c r="FV343" s="238"/>
      <c r="FW343" s="238"/>
      <c r="FX343" s="238"/>
      <c r="FY343" s="238"/>
      <c r="FZ343" s="238"/>
      <c r="GA343" s="238"/>
      <c r="GB343" s="238"/>
      <c r="GC343" s="238"/>
      <c r="GD343" s="341"/>
      <c r="GE343" s="340"/>
      <c r="GF343" s="340"/>
      <c r="GG343" s="340"/>
      <c r="GH343" s="340"/>
      <c r="GI343" s="340"/>
      <c r="GJ343" s="340"/>
      <c r="GK343" s="340"/>
      <c r="GL343" s="340"/>
      <c r="GM343" s="340"/>
      <c r="GN343" s="340"/>
      <c r="GO343" s="340"/>
      <c r="GP343" s="340"/>
      <c r="GQ343" s="340"/>
      <c r="GR343" s="340"/>
      <c r="GS343" s="340"/>
      <c r="GT343" s="340"/>
      <c r="GU343" s="340"/>
      <c r="GV343" s="340"/>
      <c r="GW343" s="340"/>
      <c r="GX343" s="340"/>
      <c r="GY343" s="340"/>
      <c r="GZ343" s="340"/>
      <c r="HA343" s="340"/>
      <c r="HB343" s="340"/>
      <c r="HC343" s="340"/>
      <c r="HD343" s="341"/>
      <c r="HE343" s="341"/>
      <c r="HF343" s="341"/>
      <c r="HG343" s="341"/>
      <c r="HH343" s="341"/>
      <c r="HI343" s="341"/>
      <c r="HJ343" s="341"/>
      <c r="HK343" s="341"/>
      <c r="HL343" s="341"/>
      <c r="HM343" s="341"/>
      <c r="HN343" s="341"/>
      <c r="HO343" s="341"/>
      <c r="HP343" s="341"/>
      <c r="HQ343" s="341"/>
      <c r="HR343" s="341"/>
      <c r="HS343" s="238"/>
      <c r="HT343" s="238"/>
      <c r="HU343" s="238"/>
      <c r="HV343" s="238"/>
      <c r="HX343" s="238"/>
      <c r="HY343" s="238"/>
      <c r="ID343" s="238"/>
    </row>
    <row r="344" spans="1:238" s="234" customFormat="1" ht="20.100000000000001" customHeight="1">
      <c r="A344" s="235"/>
      <c r="B344" s="231"/>
      <c r="C344" s="314" t="s">
        <v>771</v>
      </c>
      <c r="D344" s="276" t="str">
        <f>REPT(Sprache!$K$58,1)</f>
        <v>Spieler</v>
      </c>
      <c r="E344" s="277" t="str">
        <f>REPT(Sprache!$K$33,1)</f>
        <v>Name / Vorname</v>
      </c>
      <c r="F344" s="278"/>
      <c r="G344" s="278"/>
      <c r="H344" s="279"/>
      <c r="I344" s="280"/>
      <c r="J344" s="281" t="str">
        <f>REPT(AM344,1)</f>
        <v/>
      </c>
      <c r="L344" s="306" t="s">
        <v>848</v>
      </c>
      <c r="M344" s="238"/>
      <c r="P344" s="306" t="s">
        <v>848</v>
      </c>
      <c r="R344" s="314" t="s">
        <v>771</v>
      </c>
      <c r="S344" s="276" t="str">
        <f>REPT(Sprache!$K$58,1)</f>
        <v>Spieler</v>
      </c>
      <c r="T344" s="277" t="str">
        <f>REPT(Sprache!$K$33,1)</f>
        <v>Name / Vorname</v>
      </c>
      <c r="U344" s="278"/>
      <c r="V344" s="278"/>
      <c r="W344" s="279"/>
      <c r="X344" s="280"/>
      <c r="Y344" s="281" t="str">
        <f>REPT(BA344,1)</f>
        <v/>
      </c>
      <c r="Z344" s="308"/>
      <c r="AD344" s="235"/>
      <c r="AE344" s="235"/>
      <c r="AF344" s="237" t="s">
        <v>771</v>
      </c>
      <c r="AG344" s="282" t="s">
        <v>877</v>
      </c>
      <c r="AH344" s="283" t="str">
        <f>IF(AH343=0,"",AH343)</f>
        <v/>
      </c>
      <c r="AI344" s="283" t="str">
        <f>IF(AI343=0,"",AI343)</f>
        <v/>
      </c>
      <c r="AJ344" s="283" t="str">
        <f>IF(AJ343=0,"",AJ343)</f>
        <v/>
      </c>
      <c r="AK344" s="283" t="str">
        <f>IF(AK343=0,"",AK343)</f>
        <v/>
      </c>
      <c r="AL344" s="283" t="str">
        <f>IF(AL343=0,"",AL343)</f>
        <v/>
      </c>
      <c r="AM344" s="258" t="str">
        <f>IF(AK335="D",IF(AF343=0,"","X"),"")</f>
        <v/>
      </c>
      <c r="AN344" s="235"/>
      <c r="AO344" s="235"/>
      <c r="AP344" s="284"/>
      <c r="AQ344" s="235"/>
      <c r="AR344" s="235"/>
      <c r="AS344" s="235"/>
      <c r="AT344" s="237" t="s">
        <v>771</v>
      </c>
      <c r="AU344" s="282" t="s">
        <v>877</v>
      </c>
      <c r="AV344" s="283" t="str">
        <f>IF(AV343=0,"",AV343)</f>
        <v/>
      </c>
      <c r="AW344" s="283" t="str">
        <f>IF(AW343=0,"",AW343)</f>
        <v/>
      </c>
      <c r="AX344" s="283" t="str">
        <f>IF(AX343=0,"",AX343)</f>
        <v/>
      </c>
      <c r="AY344" s="283" t="str">
        <f>IF(AY343=0,"",AY343)</f>
        <v/>
      </c>
      <c r="AZ344" s="421" t="str">
        <f>IF(AZ343=0,"",AZ343)</f>
        <v/>
      </c>
      <c r="BA344" s="258" t="str">
        <f>IF(AK335="D",IF(AT343=0,"","X"),"")</f>
        <v/>
      </c>
      <c r="BJ344" s="236"/>
      <c r="BK344" s="238"/>
      <c r="BL344" s="244">
        <f>IF(BM344=0,0,1)</f>
        <v>0</v>
      </c>
      <c r="BM344" s="244">
        <f>SUM(BM338,BM339,BM340,BM341,BM342,HH340,AN345,AN346,BB345,BB346)</f>
        <v>0</v>
      </c>
      <c r="BN344" s="166">
        <f t="shared" ref="BN344:BO344" si="859">SUM(BN338,BN339,BN340,BN341,BN342)</f>
        <v>0</v>
      </c>
      <c r="BO344" s="166">
        <f t="shared" si="859"/>
        <v>0</v>
      </c>
      <c r="BP344" s="244"/>
      <c r="BQ344" s="238"/>
      <c r="BR344" s="238"/>
      <c r="BS344" s="238"/>
      <c r="BT344" s="238"/>
      <c r="BU344" s="238"/>
      <c r="BV344" s="238"/>
      <c r="BW344" s="238"/>
      <c r="BX344" s="236"/>
      <c r="BY344" s="238"/>
      <c r="BZ344" s="238"/>
      <c r="CA344" s="238"/>
      <c r="CB344" s="238"/>
      <c r="CC344" s="238"/>
      <c r="CD344" s="238"/>
      <c r="CE344" s="238"/>
      <c r="CF344" s="238"/>
      <c r="CG344" s="244"/>
      <c r="CH344" s="238"/>
      <c r="CI344" s="238"/>
      <c r="CJ344" s="238"/>
      <c r="CK344" s="238"/>
      <c r="CL344" s="238"/>
      <c r="CM344" s="238"/>
      <c r="CN344" s="238"/>
      <c r="CO344" s="238"/>
      <c r="CP344" s="238"/>
      <c r="CQ344" s="238"/>
      <c r="CR344" s="238"/>
      <c r="CS344" s="238"/>
      <c r="CT344" s="238"/>
      <c r="CU344" s="238"/>
      <c r="CV344" s="238"/>
      <c r="CW344" s="238"/>
      <c r="CX344" s="238"/>
      <c r="CY344" s="238"/>
      <c r="CZ344" s="238"/>
      <c r="DA344" s="238"/>
      <c r="DB344" s="238"/>
      <c r="DC344" s="238"/>
      <c r="DD344" s="238"/>
      <c r="DE344" s="238"/>
      <c r="DF344" s="238"/>
      <c r="DG344" s="238"/>
      <c r="DH344" s="238"/>
      <c r="DI344" s="238"/>
      <c r="DJ344" s="238"/>
      <c r="DK344" s="238"/>
      <c r="DL344" s="238"/>
      <c r="DM344" s="238"/>
      <c r="DN344" s="238"/>
      <c r="DO344" s="238"/>
      <c r="DP344" s="238"/>
      <c r="DQ344" s="238"/>
      <c r="DR344" s="238"/>
      <c r="DS344" s="238"/>
      <c r="DT344" s="238"/>
      <c r="DU344" s="238"/>
      <c r="DV344" s="238"/>
      <c r="DW344" s="238"/>
      <c r="DX344" s="238"/>
      <c r="DY344" s="238"/>
      <c r="DZ344" s="238"/>
      <c r="EA344" s="238"/>
      <c r="EB344" s="238"/>
      <c r="EC344" s="238"/>
      <c r="ED344" s="238"/>
      <c r="EE344" s="238"/>
      <c r="EF344" s="238"/>
      <c r="EG344" s="238"/>
      <c r="EH344" s="238"/>
      <c r="EI344" s="238"/>
      <c r="EJ344" s="238"/>
      <c r="EK344" s="238"/>
      <c r="EL344" s="238"/>
      <c r="EM344" s="238"/>
      <c r="EN344" s="238"/>
      <c r="EO344" s="238"/>
      <c r="EP344" s="238"/>
      <c r="EQ344" s="238"/>
      <c r="ER344" s="238"/>
      <c r="ES344" s="238"/>
      <c r="ET344" s="244"/>
      <c r="EU344" s="238"/>
      <c r="EV344" s="238"/>
      <c r="EW344" s="238"/>
      <c r="EX344" s="238"/>
      <c r="EY344" s="238"/>
      <c r="EZ344" s="238"/>
      <c r="FA344" s="238"/>
      <c r="FB344" s="238"/>
      <c r="FC344" s="238"/>
      <c r="FD344" s="238"/>
      <c r="FE344" s="238"/>
      <c r="FF344" s="238"/>
      <c r="FG344" s="238"/>
      <c r="FH344" s="238"/>
      <c r="FI344" s="238"/>
      <c r="FJ344" s="238"/>
      <c r="FK344" s="238"/>
      <c r="FL344" s="238"/>
      <c r="FM344" s="238"/>
      <c r="FN344" s="238"/>
      <c r="FO344" s="244"/>
      <c r="FP344" s="238"/>
      <c r="FQ344" s="238"/>
      <c r="FR344" s="238"/>
      <c r="FS344" s="238"/>
      <c r="FT344" s="238"/>
      <c r="FU344" s="238"/>
      <c r="FV344" s="238"/>
      <c r="FW344" s="238"/>
      <c r="FX344" s="238"/>
      <c r="FY344" s="238"/>
      <c r="FZ344" s="238"/>
      <c r="GA344" s="238"/>
      <c r="GB344" s="238"/>
      <c r="GC344" s="238"/>
      <c r="GD344" s="341"/>
      <c r="GE344" s="340"/>
      <c r="GF344" s="340"/>
      <c r="GG344" s="340"/>
      <c r="GH344" s="340"/>
      <c r="GI344" s="340"/>
      <c r="GJ344" s="340"/>
      <c r="GK344" s="340"/>
      <c r="GL344" s="340"/>
      <c r="GM344" s="340"/>
      <c r="GN344" s="340"/>
      <c r="GO344" s="340"/>
      <c r="GP344" s="340"/>
      <c r="GQ344" s="340"/>
      <c r="GR344" s="340"/>
      <c r="GS344" s="340"/>
      <c r="GT344" s="340"/>
      <c r="GU344" s="340"/>
      <c r="GV344" s="340"/>
      <c r="GW344" s="340"/>
      <c r="GX344" s="340"/>
      <c r="GY344" s="340"/>
      <c r="GZ344" s="340"/>
      <c r="HA344" s="340"/>
      <c r="HB344" s="340"/>
      <c r="HC344" s="340"/>
      <c r="HD344" s="341"/>
      <c r="HE344" s="341"/>
      <c r="HF344" s="341"/>
      <c r="HG344" s="341"/>
      <c r="HH344" s="341"/>
      <c r="HI344" s="341"/>
      <c r="HJ344" s="341"/>
      <c r="HK344" s="341"/>
      <c r="HL344" s="341"/>
      <c r="HM344" s="341"/>
      <c r="HN344" s="341"/>
      <c r="HO344" s="341"/>
      <c r="HP344" s="341"/>
      <c r="HQ344" s="341"/>
      <c r="HR344" s="341"/>
      <c r="HS344" s="238"/>
      <c r="HT344" s="238"/>
      <c r="HU344" s="238"/>
      <c r="HV344" s="238"/>
      <c r="HX344" s="238"/>
      <c r="HY344" s="238"/>
      <c r="ID344" s="238"/>
    </row>
    <row r="345" spans="1:238" s="234" customFormat="1" ht="20.100000000000001" customHeight="1">
      <c r="A345" s="235"/>
      <c r="B345" s="231"/>
      <c r="C345" s="285" t="str">
        <f>IF(AF345="","",SUM(AF345))</f>
        <v/>
      </c>
      <c r="D345" s="286" t="str">
        <f>IF(AK335="D",1,"")</f>
        <v/>
      </c>
      <c r="E345" s="287" t="str">
        <f>IF(C345="","",VLOOKUP(C345,Licenses!B:C,2,FALSE))</f>
        <v/>
      </c>
      <c r="F345" s="288"/>
      <c r="G345" s="288"/>
      <c r="H345" s="289"/>
      <c r="I345" s="169"/>
      <c r="J345" s="270" t="str">
        <f>REPT(AM345,1)</f>
        <v/>
      </c>
      <c r="L345" s="290" t="str">
        <f>IF(AK335="D",AK345,IF(AK344="","",AK344))</f>
        <v/>
      </c>
      <c r="M345" s="311"/>
      <c r="P345" s="290" t="str">
        <f>IF(AK335="D",AY345,IF(AY344="","",AY344))</f>
        <v/>
      </c>
      <c r="R345" s="291" t="str">
        <f>IF(AT345="","",SUM(AT345))</f>
        <v/>
      </c>
      <c r="S345" s="286" t="str">
        <f>IF(AK335="D",1,"")</f>
        <v/>
      </c>
      <c r="T345" s="292" t="str">
        <f>IF(R345="","",VLOOKUP(R345,Licenses!B:C,2,FALSE))</f>
        <v/>
      </c>
      <c r="U345" s="293"/>
      <c r="V345" s="293"/>
      <c r="W345" s="294"/>
      <c r="X345" s="169"/>
      <c r="Y345" s="270" t="str">
        <f>REPT(BA345,1)</f>
        <v/>
      </c>
      <c r="Z345" s="308"/>
      <c r="AD345" s="235"/>
      <c r="AE345" s="235"/>
      <c r="AF345" s="256" t="str">
        <f>IF(AM335="","",SUM(AM335))</f>
        <v/>
      </c>
      <c r="AG345" s="237"/>
      <c r="AH345" s="256"/>
      <c r="AI345" s="256"/>
      <c r="AJ345" s="256"/>
      <c r="AK345" s="256" t="str">
        <f>IF(BZ343&gt;1,BZ343,"")</f>
        <v/>
      </c>
      <c r="AL345" s="257">
        <f>IF(AK335="D",SUM(I345),0)</f>
        <v>0</v>
      </c>
      <c r="AM345" s="258" t="str">
        <f>IF(AM343=0,IF(AL345&lt;6,"","X"),"X")</f>
        <v/>
      </c>
      <c r="AN345" s="347" t="str">
        <f>IF(AM343=0,IF(AL345&lt;6,"",1),1)</f>
        <v/>
      </c>
      <c r="AO345" s="235"/>
      <c r="AP345" s="236"/>
      <c r="AQ345" s="235"/>
      <c r="AR345" s="235"/>
      <c r="AS345" s="235"/>
      <c r="AT345" s="256" t="str">
        <f>IF(BA335="","",SUM(BA335))</f>
        <v/>
      </c>
      <c r="AU345" s="237"/>
      <c r="AV345" s="256"/>
      <c r="AW345" s="256"/>
      <c r="AX345" s="256"/>
      <c r="AY345" s="256" t="str">
        <f>IF(CI343&gt;1,CI343,"")</f>
        <v/>
      </c>
      <c r="AZ345" s="257">
        <f>IF(AK335="D",SUM(X345),0)</f>
        <v>0</v>
      </c>
      <c r="BA345" s="258" t="str">
        <f>IF(BA343=0,IF(AZ345&lt;6,"","X"),"X")</f>
        <v/>
      </c>
      <c r="BB345" s="347" t="str">
        <f>IF(BA343=0,IF(AZ345&lt;6,"",1),1)</f>
        <v/>
      </c>
      <c r="BC345" s="236"/>
      <c r="BD345" s="236"/>
      <c r="BE345" s="236"/>
      <c r="BF345" s="236"/>
      <c r="BG345" s="236"/>
      <c r="BH345" s="236"/>
      <c r="BI345" s="236"/>
      <c r="BJ345" s="236"/>
      <c r="BK345" s="238"/>
      <c r="BL345" s="238"/>
      <c r="BM345" s="295"/>
      <c r="BN345" s="295"/>
      <c r="BO345" s="295"/>
      <c r="BP345" s="295"/>
      <c r="BQ345" s="295"/>
      <c r="BR345" s="295"/>
      <c r="BS345" s="295"/>
      <c r="BT345" s="295"/>
      <c r="BU345" s="295"/>
      <c r="BV345" s="295"/>
      <c r="BW345" s="295"/>
      <c r="BX345" s="236"/>
      <c r="BY345" s="295"/>
      <c r="BZ345" s="295"/>
      <c r="CA345" s="295"/>
      <c r="CB345" s="295"/>
      <c r="CC345" s="295"/>
      <c r="CD345" s="295"/>
      <c r="CE345" s="295"/>
      <c r="CF345" s="295"/>
      <c r="CG345" s="296"/>
      <c r="CH345" s="295"/>
      <c r="CI345" s="295"/>
      <c r="CJ345" s="295"/>
      <c r="CK345" s="238"/>
      <c r="CL345" s="238"/>
      <c r="CM345" s="238"/>
      <c r="CN345" s="238"/>
      <c r="CO345" s="238"/>
      <c r="CP345" s="238"/>
      <c r="CQ345" s="238"/>
      <c r="CR345" s="238"/>
      <c r="CS345" s="238"/>
      <c r="CT345" s="238"/>
      <c r="CU345" s="238"/>
      <c r="CV345" s="238"/>
      <c r="CW345" s="238"/>
      <c r="CX345" s="238"/>
      <c r="CY345" s="238"/>
      <c r="CZ345" s="238"/>
      <c r="DA345" s="238"/>
      <c r="DB345" s="238"/>
      <c r="DC345" s="238"/>
      <c r="DD345" s="238"/>
      <c r="DE345" s="238"/>
      <c r="DF345" s="238"/>
      <c r="DG345" s="238"/>
      <c r="DH345" s="238"/>
      <c r="DI345" s="238"/>
      <c r="DJ345" s="238"/>
      <c r="DK345" s="238"/>
      <c r="DL345" s="238"/>
      <c r="DM345" s="238"/>
      <c r="DN345" s="238"/>
      <c r="DO345" s="238"/>
      <c r="DP345" s="238"/>
      <c r="DQ345" s="238"/>
      <c r="DR345" s="238"/>
      <c r="DS345" s="238"/>
      <c r="DT345" s="238"/>
      <c r="DU345" s="238"/>
      <c r="DV345" s="238"/>
      <c r="DW345" s="238"/>
      <c r="DX345" s="238"/>
      <c r="DY345" s="238"/>
      <c r="DZ345" s="238"/>
      <c r="EA345" s="238"/>
      <c r="EB345" s="238"/>
      <c r="EC345" s="238"/>
      <c r="ED345" s="238"/>
      <c r="EE345" s="238"/>
      <c r="EF345" s="238"/>
      <c r="EG345" s="238"/>
      <c r="EH345" s="238"/>
      <c r="EI345" s="238"/>
      <c r="EJ345" s="238"/>
      <c r="EK345" s="238"/>
      <c r="EL345" s="238"/>
      <c r="EM345" s="238"/>
      <c r="EN345" s="238"/>
      <c r="EO345" s="238"/>
      <c r="EP345" s="238"/>
      <c r="EQ345" s="238"/>
      <c r="ER345" s="238"/>
      <c r="ES345" s="238"/>
      <c r="ET345" s="244"/>
      <c r="EU345" s="238"/>
      <c r="EV345" s="238"/>
      <c r="EW345" s="238"/>
      <c r="EX345" s="238"/>
      <c r="EY345" s="238"/>
      <c r="EZ345" s="238"/>
      <c r="FA345" s="238"/>
      <c r="FB345" s="238"/>
      <c r="FC345" s="238"/>
      <c r="FD345" s="238"/>
      <c r="FE345" s="238"/>
      <c r="FF345" s="238"/>
      <c r="FG345" s="238"/>
      <c r="FH345" s="238"/>
      <c r="FI345" s="238"/>
      <c r="FJ345" s="238"/>
      <c r="FK345" s="238"/>
      <c r="FL345" s="238"/>
      <c r="FM345" s="238"/>
      <c r="FN345" s="238"/>
      <c r="FO345" s="244"/>
      <c r="FP345" s="238"/>
      <c r="FQ345" s="238"/>
      <c r="FR345" s="238"/>
      <c r="FS345" s="238"/>
      <c r="FT345" s="238"/>
      <c r="FU345" s="238"/>
      <c r="FV345" s="238"/>
      <c r="FW345" s="238"/>
      <c r="FX345" s="238"/>
      <c r="FY345" s="238"/>
      <c r="FZ345" s="238"/>
      <c r="GA345" s="238"/>
      <c r="GB345" s="238"/>
      <c r="GC345" s="238"/>
      <c r="GD345" s="341"/>
      <c r="GE345" s="340"/>
      <c r="GF345" s="340"/>
      <c r="GG345" s="340"/>
      <c r="GH345" s="340"/>
      <c r="GI345" s="340"/>
      <c r="GJ345" s="340"/>
      <c r="GK345" s="340"/>
      <c r="GL345" s="340"/>
      <c r="GM345" s="340"/>
      <c r="GN345" s="340"/>
      <c r="GO345" s="340"/>
      <c r="GP345" s="340"/>
      <c r="GQ345" s="340"/>
      <c r="GR345" s="340"/>
      <c r="GS345" s="340"/>
      <c r="GT345" s="340"/>
      <c r="GU345" s="340"/>
      <c r="GV345" s="340"/>
      <c r="GW345" s="340"/>
      <c r="GX345" s="340"/>
      <c r="GY345" s="340"/>
      <c r="GZ345" s="340"/>
      <c r="HA345" s="340"/>
      <c r="HB345" s="340"/>
      <c r="HC345" s="340"/>
      <c r="HD345" s="341"/>
      <c r="HE345" s="341"/>
      <c r="HF345" s="341"/>
      <c r="HG345" s="341"/>
      <c r="HH345" s="341"/>
      <c r="HI345" s="341"/>
      <c r="HJ345" s="341"/>
      <c r="HK345" s="341"/>
      <c r="HL345" s="341"/>
      <c r="HM345" s="341"/>
      <c r="HN345" s="341"/>
      <c r="HO345" s="341"/>
      <c r="HP345" s="341"/>
      <c r="HQ345" s="341"/>
      <c r="HR345" s="341"/>
      <c r="HS345" s="238"/>
      <c r="HT345" s="238"/>
      <c r="HU345" s="238"/>
      <c r="HV345" s="238"/>
      <c r="HX345" s="238"/>
      <c r="HY345" s="238"/>
      <c r="ID345" s="238"/>
    </row>
    <row r="346" spans="1:238" s="234" customFormat="1" ht="20.100000000000001" customHeight="1">
      <c r="A346" s="235"/>
      <c r="B346" s="231"/>
      <c r="C346" s="336" t="str">
        <f>IF(AF346="","",SUM(AF346))</f>
        <v/>
      </c>
      <c r="D346" s="333" t="str">
        <f>IF(AK335="D",2,"")</f>
        <v/>
      </c>
      <c r="E346" s="337" t="str">
        <f>IF(C346="","",VLOOKUP(C346,Licenses!B:C,2,FALSE))</f>
        <v/>
      </c>
      <c r="F346" s="290"/>
      <c r="G346" s="290"/>
      <c r="H346" s="338"/>
      <c r="I346" s="331"/>
      <c r="J346" s="272" t="str">
        <f>REPT(AM346,1)</f>
        <v/>
      </c>
      <c r="L346" s="315" t="str">
        <f>IF(AK335="D",AK346,"")</f>
        <v/>
      </c>
      <c r="M346" s="311"/>
      <c r="P346" s="315" t="str">
        <f>IF(AK335="D",AY346,"")</f>
        <v/>
      </c>
      <c r="R346" s="332" t="str">
        <f>IF(AT346="","",SUM(AT346))</f>
        <v/>
      </c>
      <c r="S346" s="333" t="str">
        <f>IF(AK335="D",2,"")</f>
        <v/>
      </c>
      <c r="T346" s="334" t="str">
        <f>IF(R346="","",VLOOKUP(R346,Licenses!B:C,2,FALSE))</f>
        <v/>
      </c>
      <c r="U346" s="297"/>
      <c r="V346" s="297"/>
      <c r="W346" s="335"/>
      <c r="X346" s="331"/>
      <c r="Y346" s="272" t="str">
        <f>REPT(BA346,1)</f>
        <v/>
      </c>
      <c r="Z346" s="308"/>
      <c r="AA346" s="238">
        <f>IF(AK335="D",0,1)</f>
        <v>1</v>
      </c>
      <c r="AD346" s="235"/>
      <c r="AE346" s="235"/>
      <c r="AF346" s="256" t="str">
        <f>IF(AM336="","",SUM(AM336))</f>
        <v/>
      </c>
      <c r="AG346" s="237"/>
      <c r="AH346" s="256"/>
      <c r="AI346" s="256"/>
      <c r="AJ346" s="256"/>
      <c r="AK346" s="256" t="str">
        <f>IF(CA343&gt;1,CA343,"")</f>
        <v/>
      </c>
      <c r="AL346" s="257">
        <f>IF(AK335="D",SUM(I346),0)</f>
        <v>0</v>
      </c>
      <c r="AM346" s="258" t="str">
        <f>IF(AM343=0,IF(AL346&lt;6,"","X"),"X")</f>
        <v/>
      </c>
      <c r="AN346" s="347" t="str">
        <f>IF(AM343=0,IF(AL346&lt;6,"",1),1)</f>
        <v/>
      </c>
      <c r="AO346" s="235"/>
      <c r="AP346" s="236"/>
      <c r="AQ346" s="235"/>
      <c r="AR346" s="235"/>
      <c r="AS346" s="235"/>
      <c r="AT346" s="256" t="str">
        <f>IF(BA336="","",SUM(BA336))</f>
        <v/>
      </c>
      <c r="AU346" s="237"/>
      <c r="AV346" s="256"/>
      <c r="AW346" s="256"/>
      <c r="AX346" s="256"/>
      <c r="AY346" s="256" t="str">
        <f>IF(CJ343&gt;1,CJ343,"")</f>
        <v/>
      </c>
      <c r="AZ346" s="257">
        <f>IF(AK335="D",SUM(X346),0)</f>
        <v>0</v>
      </c>
      <c r="BA346" s="258" t="str">
        <f>IF(BA343=0,IF(AZ346&lt;6,"","X"),"X")</f>
        <v/>
      </c>
      <c r="BB346" s="347" t="str">
        <f>IF(BA343=0,IF(AZ346&lt;6,"",1),1)</f>
        <v/>
      </c>
      <c r="BC346" s="236"/>
      <c r="BD346" s="236"/>
      <c r="BE346" s="236"/>
      <c r="BF346" s="236"/>
      <c r="BG346" s="236"/>
      <c r="BH346" s="236"/>
      <c r="BI346" s="236"/>
      <c r="BJ346" s="236"/>
      <c r="BK346" s="238"/>
      <c r="BM346" s="238"/>
      <c r="BN346" s="238"/>
      <c r="BO346" s="238"/>
      <c r="BP346" s="238"/>
      <c r="BQ346" s="238" t="s">
        <v>899</v>
      </c>
      <c r="BR346" s="238"/>
      <c r="BS346" s="238"/>
      <c r="BT346" s="238"/>
      <c r="BU346" s="238"/>
      <c r="BV346" s="238"/>
      <c r="BW346" s="238"/>
      <c r="BX346" s="236"/>
      <c r="BY346" s="238"/>
      <c r="BZ346" s="238"/>
      <c r="CA346" s="238"/>
      <c r="CB346" s="238"/>
      <c r="CC346" s="238"/>
      <c r="CD346" s="238" t="s">
        <v>899</v>
      </c>
      <c r="CE346" s="238"/>
      <c r="CF346" s="238"/>
      <c r="CG346" s="244"/>
      <c r="CH346" s="238"/>
      <c r="CI346" s="238"/>
      <c r="CJ346" s="238"/>
      <c r="CK346" s="238"/>
      <c r="CL346" s="238"/>
      <c r="CM346" s="238"/>
      <c r="CN346" s="238"/>
      <c r="CO346" s="238"/>
      <c r="CP346" s="238"/>
      <c r="CQ346" s="238"/>
      <c r="CR346" s="238"/>
      <c r="CS346" s="238"/>
      <c r="CT346" s="238"/>
      <c r="CU346" s="238"/>
      <c r="CV346" s="238"/>
      <c r="CW346" s="238"/>
      <c r="CX346" s="238"/>
      <c r="CY346" s="238"/>
      <c r="CZ346" s="238"/>
      <c r="DA346" s="238"/>
      <c r="DB346" s="238"/>
      <c r="DC346" s="238"/>
      <c r="DD346" s="238"/>
      <c r="DE346" s="238"/>
      <c r="DF346" s="238"/>
      <c r="DG346" s="238"/>
      <c r="DH346" s="238"/>
      <c r="DI346" s="238"/>
      <c r="DJ346" s="238"/>
      <c r="DK346" s="238"/>
      <c r="DL346" s="238"/>
      <c r="DM346" s="238"/>
      <c r="DN346" s="238"/>
      <c r="DO346" s="238"/>
      <c r="DP346" s="238"/>
      <c r="DQ346" s="238"/>
      <c r="DR346" s="238"/>
      <c r="DS346" s="238"/>
      <c r="DT346" s="238"/>
      <c r="DU346" s="238"/>
      <c r="DV346" s="238"/>
      <c r="DW346" s="238"/>
      <c r="DX346" s="238"/>
      <c r="DY346" s="238"/>
      <c r="DZ346" s="238"/>
      <c r="EA346" s="238"/>
      <c r="EB346" s="238"/>
      <c r="EC346" s="238"/>
      <c r="ED346" s="238"/>
      <c r="EE346" s="238"/>
      <c r="EF346" s="238"/>
      <c r="EG346" s="238"/>
      <c r="EH346" s="238"/>
      <c r="EI346" s="238"/>
      <c r="EJ346" s="238"/>
      <c r="EK346" s="238"/>
      <c r="EL346" s="238"/>
      <c r="EM346" s="238"/>
      <c r="EN346" s="238"/>
      <c r="EO346" s="238"/>
      <c r="EP346" s="238"/>
      <c r="EQ346" s="238"/>
      <c r="ER346" s="238"/>
      <c r="ES346" s="238"/>
      <c r="ET346" s="244"/>
      <c r="EU346" s="238"/>
      <c r="EV346" s="238"/>
      <c r="EW346" s="238"/>
      <c r="EX346" s="238"/>
      <c r="EY346" s="238"/>
      <c r="EZ346" s="238"/>
      <c r="FA346" s="238"/>
      <c r="FB346" s="238"/>
      <c r="FC346" s="238"/>
      <c r="FD346" s="238"/>
      <c r="FE346" s="238"/>
      <c r="FF346" s="238"/>
      <c r="FG346" s="238"/>
      <c r="FH346" s="238"/>
      <c r="FI346" s="238"/>
      <c r="FJ346" s="238"/>
      <c r="FK346" s="238"/>
      <c r="FL346" s="238"/>
      <c r="FM346" s="238"/>
      <c r="FN346" s="238"/>
      <c r="FO346" s="244"/>
      <c r="FP346" s="238"/>
      <c r="FQ346" s="238"/>
      <c r="FR346" s="238"/>
      <c r="FS346" s="238"/>
      <c r="FT346" s="238"/>
      <c r="FU346" s="238"/>
      <c r="FV346" s="238"/>
      <c r="FW346" s="238"/>
      <c r="FX346" s="238"/>
      <c r="FY346" s="238"/>
      <c r="FZ346" s="238"/>
      <c r="GA346" s="238"/>
      <c r="GB346" s="238"/>
      <c r="GC346" s="238"/>
      <c r="GD346" s="341"/>
      <c r="GE346" s="340"/>
      <c r="GF346" s="340"/>
      <c r="GG346" s="340"/>
      <c r="GH346" s="340"/>
      <c r="GI346" s="340"/>
      <c r="GJ346" s="340"/>
      <c r="GK346" s="340"/>
      <c r="GL346" s="340"/>
      <c r="GM346" s="340"/>
      <c r="GN346" s="340"/>
      <c r="GO346" s="340"/>
      <c r="GP346" s="340"/>
      <c r="GQ346" s="340"/>
      <c r="GR346" s="340"/>
      <c r="GS346" s="340"/>
      <c r="GT346" s="340"/>
      <c r="GU346" s="340"/>
      <c r="GV346" s="340"/>
      <c r="GW346" s="340"/>
      <c r="GX346" s="340"/>
      <c r="GY346" s="340"/>
      <c r="GZ346" s="340"/>
      <c r="HA346" s="340"/>
      <c r="HB346" s="340"/>
      <c r="HC346" s="340"/>
      <c r="HD346" s="341"/>
      <c r="HE346" s="341"/>
      <c r="HF346" s="341"/>
      <c r="HG346" s="341"/>
      <c r="HH346" s="341"/>
      <c r="HI346" s="341"/>
      <c r="HJ346" s="341"/>
      <c r="HK346" s="341"/>
      <c r="HL346" s="341"/>
      <c r="HM346" s="341"/>
      <c r="HN346" s="341"/>
      <c r="HO346" s="341"/>
      <c r="HP346" s="341"/>
      <c r="HQ346" s="341"/>
      <c r="HR346" s="341"/>
      <c r="HS346" s="238"/>
      <c r="HT346" s="238"/>
      <c r="HU346" s="238"/>
      <c r="HV346" s="238"/>
      <c r="HX346" s="238"/>
      <c r="HY346" s="238"/>
      <c r="ID346" s="238"/>
    </row>
    <row r="347" spans="1:238" s="234" customFormat="1" ht="20.100000000000001" customHeight="1">
      <c r="A347" s="235"/>
      <c r="B347" s="316"/>
      <c r="C347" s="317"/>
      <c r="D347" s="317"/>
      <c r="E347" s="318"/>
      <c r="F347" s="318"/>
      <c r="G347" s="318"/>
      <c r="H347" s="318"/>
      <c r="I347" s="318"/>
      <c r="J347" s="318"/>
      <c r="K347" s="319"/>
      <c r="L347" s="319"/>
      <c r="M347" s="319"/>
      <c r="N347" s="319"/>
      <c r="O347" s="319"/>
      <c r="P347" s="320"/>
      <c r="Q347" s="319"/>
      <c r="R347" s="317"/>
      <c r="S347" s="318"/>
      <c r="T347" s="318"/>
      <c r="U347" s="318"/>
      <c r="V347" s="318"/>
      <c r="W347" s="318"/>
      <c r="X347" s="318"/>
      <c r="Y347" s="318"/>
      <c r="Z347" s="321"/>
      <c r="AD347" s="235"/>
      <c r="AE347" s="237"/>
      <c r="AF347" s="237"/>
      <c r="AG347" s="237"/>
      <c r="AH347" s="237" t="s">
        <v>921</v>
      </c>
      <c r="AI347" s="237" t="s">
        <v>922</v>
      </c>
      <c r="AJ347" s="298" t="str">
        <f>IF(BS347="","",SUM(AM347)*3)</f>
        <v/>
      </c>
      <c r="AK347" s="299" t="s">
        <v>923</v>
      </c>
      <c r="AL347" s="256"/>
      <c r="AM347" s="256" t="str">
        <f>IF(BS347="","",SUM(BS347))</f>
        <v/>
      </c>
      <c r="AN347" s="235"/>
      <c r="AO347" s="235"/>
      <c r="AP347" s="236"/>
      <c r="AQ347" s="235"/>
      <c r="AR347" s="235"/>
      <c r="AS347" s="237"/>
      <c r="AT347" s="237"/>
      <c r="AU347" s="237"/>
      <c r="AV347" s="237" t="s">
        <v>921</v>
      </c>
      <c r="AW347" s="237" t="s">
        <v>922</v>
      </c>
      <c r="AX347" s="298" t="str">
        <f>IF(BS347="","",SUM(BA347)*3)</f>
        <v/>
      </c>
      <c r="AY347" s="299" t="s">
        <v>923</v>
      </c>
      <c r="AZ347" s="256"/>
      <c r="BA347" s="256" t="str">
        <f>IF(BS347="","",SUM(CF347))</f>
        <v/>
      </c>
      <c r="BB347" s="236"/>
      <c r="BC347" s="236"/>
      <c r="BD347" s="236"/>
      <c r="BE347" s="236"/>
      <c r="BF347" s="236"/>
      <c r="BG347" s="236"/>
      <c r="BH347" s="236"/>
      <c r="BI347" s="236"/>
      <c r="BJ347" s="236"/>
      <c r="BK347" s="373">
        <f>IF(AL335=BQ347,1,0)</f>
        <v>0</v>
      </c>
      <c r="BL347" s="373">
        <f>IF(AL335=CD347,1,0)</f>
        <v>0</v>
      </c>
      <c r="BM347" s="256">
        <f>IF(BN347&gt;2,1,0)</f>
        <v>0</v>
      </c>
      <c r="BN347" s="256">
        <f>COUNT(AH338,AH339,AH340)</f>
        <v>0</v>
      </c>
      <c r="BO347" s="256" t="str">
        <f>IF(AH344="","",SUM(AH344/AJ344))</f>
        <v/>
      </c>
      <c r="BP347" s="256"/>
      <c r="BQ347" s="300">
        <f>COUNT(AK338,AK339,AK340,AK341,AK342)</f>
        <v>0</v>
      </c>
      <c r="BR347" s="256"/>
      <c r="BS347" s="256" t="str">
        <f>IF(BL344=0,IF(AJ339="","",BO347),"")</f>
        <v/>
      </c>
      <c r="BT347" s="236"/>
      <c r="BU347" s="236"/>
      <c r="BV347" s="236"/>
      <c r="BW347" s="236"/>
      <c r="BX347" s="236"/>
      <c r="BY347" s="256">
        <f>IF(CD347&gt;2,1,0)</f>
        <v>0</v>
      </c>
      <c r="BZ347" s="256">
        <f>IF(CA347&gt;2,1,0)</f>
        <v>0</v>
      </c>
      <c r="CA347" s="256">
        <f>COUNT(AV338,AV339,AV340)</f>
        <v>0</v>
      </c>
      <c r="CB347" s="256" t="str">
        <f>IF(AV344="","",SUM(AV344/AX344))</f>
        <v/>
      </c>
      <c r="CC347" s="256"/>
      <c r="CD347" s="300">
        <f>COUNT(AY338,AY339,AY340,AY341,AY342)</f>
        <v>0</v>
      </c>
      <c r="CE347" s="256"/>
      <c r="CF347" s="256" t="str">
        <f>IF(BL344=0,IF(AX339="","",CB347),"")</f>
        <v/>
      </c>
      <c r="CG347" s="236"/>
      <c r="CH347" s="188"/>
      <c r="CI347" s="188"/>
      <c r="CJ347" s="196"/>
      <c r="CK347" s="196"/>
      <c r="CL347" s="196"/>
      <c r="CM347" s="196"/>
      <c r="CN347" s="196"/>
      <c r="CO347" s="196"/>
      <c r="CP347" s="196"/>
      <c r="CQ347" s="196"/>
      <c r="CR347" s="196"/>
      <c r="CS347" s="196"/>
      <c r="CT347" s="196"/>
      <c r="CU347" s="196"/>
      <c r="CV347" s="196"/>
      <c r="CW347" s="196"/>
      <c r="CX347" s="196"/>
      <c r="CY347" s="196"/>
      <c r="CZ347" s="196"/>
      <c r="DA347" s="196"/>
      <c r="DB347" s="196"/>
      <c r="DC347" s="196"/>
      <c r="DD347" s="196"/>
      <c r="DE347" s="196"/>
      <c r="DF347" s="196"/>
      <c r="DG347" s="196"/>
      <c r="DH347" s="196"/>
      <c r="DI347" s="196"/>
      <c r="DJ347" s="196"/>
      <c r="DK347" s="196"/>
      <c r="DL347" s="196"/>
      <c r="DM347" s="196"/>
      <c r="DN347" s="196"/>
      <c r="DO347" s="196"/>
      <c r="DP347" s="196"/>
      <c r="DQ347" s="196"/>
      <c r="DR347" s="196"/>
      <c r="DS347" s="196"/>
      <c r="DT347" s="196"/>
      <c r="DU347" s="196"/>
      <c r="DV347" s="196"/>
      <c r="DW347" s="196"/>
      <c r="DX347" s="196"/>
      <c r="DY347" s="196"/>
      <c r="DZ347" s="196"/>
      <c r="EA347" s="196"/>
      <c r="EB347" s="196"/>
      <c r="EC347" s="196"/>
      <c r="ED347" s="196"/>
      <c r="EE347" s="196"/>
      <c r="EF347" s="196"/>
      <c r="EG347" s="196"/>
      <c r="EH347" s="196"/>
      <c r="EI347" s="196"/>
      <c r="EJ347" s="196"/>
      <c r="EK347" s="196"/>
      <c r="EL347" s="196"/>
      <c r="EM347" s="196"/>
      <c r="EN347" s="196"/>
      <c r="EO347" s="196"/>
      <c r="EP347" s="196"/>
      <c r="EQ347" s="196"/>
      <c r="ER347" s="196"/>
      <c r="ES347" s="196"/>
      <c r="ET347" s="301"/>
      <c r="EU347" s="196"/>
      <c r="EV347" s="196"/>
      <c r="EW347" s="196"/>
      <c r="EX347" s="196"/>
      <c r="EY347" s="196"/>
      <c r="EZ347" s="196"/>
      <c r="FA347" s="196"/>
      <c r="FB347" s="196"/>
      <c r="FC347" s="196"/>
      <c r="FD347" s="196"/>
      <c r="FE347" s="196"/>
      <c r="FF347" s="196"/>
      <c r="FG347" s="196"/>
      <c r="FH347" s="196"/>
      <c r="FI347" s="196"/>
      <c r="FJ347" s="196"/>
      <c r="FK347" s="196"/>
      <c r="FL347" s="196"/>
      <c r="FM347" s="196"/>
      <c r="FN347" s="196"/>
      <c r="FO347" s="301"/>
      <c r="FP347" s="196"/>
      <c r="FQ347" s="196"/>
      <c r="FR347" s="196"/>
      <c r="FS347" s="196"/>
      <c r="FT347" s="196"/>
      <c r="FU347" s="196"/>
      <c r="FV347" s="196"/>
      <c r="FW347" s="196"/>
      <c r="FX347" s="196"/>
      <c r="FY347" s="196"/>
      <c r="FZ347" s="196"/>
      <c r="GA347" s="196"/>
      <c r="GB347" s="238"/>
      <c r="GC347" s="238"/>
      <c r="GD347" s="341"/>
      <c r="GE347" s="341"/>
      <c r="GF347" s="341"/>
      <c r="GG347" s="341"/>
      <c r="GH347" s="341"/>
      <c r="GI347" s="341"/>
      <c r="GJ347" s="341"/>
      <c r="GK347" s="341"/>
      <c r="GL347" s="341"/>
      <c r="GM347" s="341"/>
      <c r="GN347" s="341"/>
      <c r="GO347" s="341"/>
      <c r="GP347" s="341"/>
      <c r="GQ347" s="341"/>
      <c r="GR347" s="341"/>
      <c r="GS347" s="341"/>
      <c r="GT347" s="341"/>
      <c r="GU347" s="341"/>
      <c r="GV347" s="341"/>
      <c r="GW347" s="341"/>
      <c r="GX347" s="341"/>
      <c r="GY347" s="341"/>
      <c r="GZ347" s="341"/>
      <c r="HA347" s="341"/>
      <c r="HB347" s="341"/>
      <c r="HC347" s="341"/>
      <c r="HD347" s="341"/>
      <c r="HE347" s="341"/>
      <c r="HF347" s="341"/>
      <c r="HG347" s="341"/>
      <c r="HH347" s="341"/>
      <c r="HI347" s="341"/>
      <c r="HJ347" s="341"/>
      <c r="HK347" s="341"/>
      <c r="HL347" s="341"/>
      <c r="HM347" s="341"/>
      <c r="HN347" s="341"/>
      <c r="HO347" s="341"/>
      <c r="HP347" s="341"/>
      <c r="HQ347" s="341"/>
      <c r="HR347" s="341"/>
      <c r="HS347" s="238"/>
      <c r="HT347" s="238"/>
      <c r="HU347" s="238"/>
      <c r="HV347" s="238"/>
      <c r="HX347" s="238"/>
      <c r="HY347" s="238"/>
      <c r="ID347" s="238"/>
    </row>
    <row r="348" spans="1:238" ht="14.1" customHeight="1">
      <c r="B348" s="214"/>
      <c r="C348" s="171"/>
      <c r="D348" s="171"/>
      <c r="E348" s="171"/>
      <c r="F348" s="171"/>
      <c r="G348" s="171"/>
      <c r="H348" s="171"/>
      <c r="I348" s="171"/>
      <c r="J348" s="171"/>
      <c r="K348" s="171"/>
      <c r="L348" s="171"/>
      <c r="M348" s="171"/>
      <c r="N348" s="171"/>
      <c r="O348" s="171"/>
      <c r="P348" s="171"/>
      <c r="Q348" s="171"/>
      <c r="R348" s="171"/>
      <c r="S348" s="171"/>
      <c r="T348" s="171"/>
      <c r="U348" s="171"/>
      <c r="V348" s="171"/>
      <c r="W348" s="171"/>
      <c r="X348" s="171"/>
      <c r="Y348" s="171"/>
      <c r="Z348" s="302"/>
      <c r="AA348" s="215"/>
      <c r="AB348" s="215"/>
      <c r="AC348" s="215"/>
      <c r="AD348" s="215"/>
      <c r="AE348" s="215"/>
      <c r="AF348" s="215"/>
      <c r="BB348" s="215"/>
      <c r="BC348" s="215"/>
      <c r="BD348" s="215"/>
      <c r="BE348" s="215"/>
      <c r="BF348" s="215"/>
      <c r="BG348" s="215"/>
      <c r="BH348" s="215"/>
      <c r="GD348" s="339"/>
      <c r="GE348" s="339"/>
      <c r="GF348" s="339"/>
      <c r="GG348" s="339"/>
      <c r="GH348" s="339"/>
      <c r="GI348" s="339"/>
      <c r="GJ348" s="339"/>
      <c r="GK348" s="339"/>
      <c r="GL348" s="339"/>
      <c r="GM348" s="339"/>
      <c r="GN348" s="339"/>
      <c r="GO348" s="339"/>
      <c r="GP348" s="339"/>
      <c r="GQ348" s="339"/>
      <c r="GR348" s="339"/>
      <c r="GS348" s="339"/>
      <c r="GT348" s="339"/>
      <c r="GU348" s="339"/>
      <c r="GV348" s="339"/>
      <c r="GW348" s="339"/>
      <c r="GX348" s="339"/>
      <c r="GY348" s="339"/>
      <c r="GZ348" s="339"/>
      <c r="HA348" s="339"/>
      <c r="HB348" s="339"/>
      <c r="HC348" s="339"/>
      <c r="HD348" s="339"/>
      <c r="HE348" s="339"/>
      <c r="HF348" s="339"/>
      <c r="HG348" s="339"/>
      <c r="HH348" s="339"/>
      <c r="HI348" s="339"/>
      <c r="HJ348" s="339"/>
      <c r="HK348" s="339"/>
      <c r="HL348" s="339"/>
      <c r="HM348" s="339"/>
      <c r="HN348" s="339"/>
      <c r="HO348" s="339"/>
      <c r="HP348" s="339"/>
      <c r="HQ348" s="339"/>
      <c r="HR348" s="339"/>
    </row>
    <row r="349" spans="1:238" ht="24" customHeight="1">
      <c r="B349" s="216"/>
      <c r="C349" s="181"/>
      <c r="D349" s="181"/>
      <c r="E349" s="181"/>
      <c r="F349" s="181"/>
      <c r="G349" s="181"/>
      <c r="H349" s="181"/>
      <c r="I349" s="181"/>
      <c r="J349" s="181"/>
      <c r="K349" s="185"/>
      <c r="L349" s="217"/>
      <c r="M349" s="218"/>
      <c r="N349" s="327" t="str">
        <f>CONCATENATE(AG349," ",AH349)</f>
        <v>Spiel 25</v>
      </c>
      <c r="O349" s="218"/>
      <c r="P349" s="219"/>
      <c r="Q349" s="185"/>
      <c r="R349" s="181"/>
      <c r="S349" s="181"/>
      <c r="T349" s="181"/>
      <c r="U349" s="181"/>
      <c r="V349" s="181"/>
      <c r="W349" s="181"/>
      <c r="X349" s="181"/>
      <c r="Y349" s="181"/>
      <c r="Z349" s="303"/>
      <c r="AA349" s="200"/>
      <c r="AB349" s="200"/>
      <c r="AC349" s="200"/>
      <c r="AD349" s="200"/>
      <c r="AE349" s="200"/>
      <c r="AF349" s="200"/>
      <c r="AG349" s="200" t="s">
        <v>863</v>
      </c>
      <c r="AH349" s="220">
        <v>25</v>
      </c>
      <c r="AI349" s="173">
        <f>VLOOKUP(AH349,Chema!R:T,3,FALSE)</f>
        <v>3.5</v>
      </c>
      <c r="AJ349" s="200" t="str">
        <f>VLOOKUP(AH349,Chema!BL:BQ,6,FALSE)</f>
        <v>3.5*</v>
      </c>
      <c r="AK349" s="200" t="str">
        <f>VLOOKUP(AH349,'Matchblatt  FEUILLE DE MATCH'!AI:AJ,2,FALSE)</f>
        <v>S</v>
      </c>
      <c r="AL349" s="200">
        <f>VLOOKUP(AH349,Chema!R:U,4,FALSE)</f>
        <v>5</v>
      </c>
      <c r="AM349" s="215" t="str">
        <f>VLOOKUP(AH349,'Matchblatt  FEUILLE DE MATCH'!AI:AS,10,FALSE)</f>
        <v/>
      </c>
      <c r="AN349" s="215"/>
      <c r="AO349" s="215"/>
      <c r="AP349" s="215"/>
      <c r="AQ349" s="215"/>
      <c r="AR349" s="215"/>
      <c r="AS349" s="215"/>
      <c r="AT349" s="215"/>
      <c r="AU349" s="215"/>
      <c r="AV349" s="215"/>
      <c r="AW349" s="215"/>
      <c r="AX349" s="215"/>
      <c r="AY349" s="215"/>
      <c r="AZ349" s="215"/>
      <c r="BA349" s="215" t="str">
        <f>VLOOKUP(AH349,'Matchblatt  FEUILLE DE MATCH'!AI:AS,11,FALSE)</f>
        <v/>
      </c>
      <c r="BB349" s="200"/>
      <c r="BC349" s="200"/>
      <c r="BD349" s="200"/>
      <c r="BE349" s="200"/>
      <c r="BF349" s="200"/>
      <c r="BG349" s="200"/>
      <c r="BH349" s="200"/>
      <c r="BK349" s="196"/>
      <c r="BL349" s="196"/>
      <c r="BM349" s="196"/>
      <c r="BN349" s="196"/>
      <c r="BO349" s="196"/>
      <c r="BP349" s="196"/>
      <c r="BQ349" s="221" t="s">
        <v>843</v>
      </c>
      <c r="BR349" s="222"/>
      <c r="BS349" s="222"/>
      <c r="BT349" s="223"/>
      <c r="BU349" s="222" t="s">
        <v>843</v>
      </c>
      <c r="BV349" s="222"/>
      <c r="BW349" s="222"/>
      <c r="BX349" s="224"/>
      <c r="BY349" s="222"/>
      <c r="BZ349" s="222"/>
      <c r="CA349" s="222"/>
      <c r="CB349" s="222"/>
      <c r="CC349" s="222"/>
      <c r="CD349" s="222"/>
      <c r="CE349" s="222"/>
      <c r="CF349" s="222"/>
      <c r="CG349" s="224"/>
      <c r="CH349" s="222"/>
      <c r="CI349" s="222"/>
      <c r="CJ349" s="223"/>
      <c r="CK349" s="196"/>
      <c r="CL349" s="196"/>
      <c r="CM349" s="196"/>
      <c r="CN349" s="196"/>
      <c r="CO349" s="196"/>
      <c r="CP349" s="196"/>
      <c r="CQ349" s="196"/>
      <c r="CR349" s="196"/>
      <c r="CS349" s="196"/>
      <c r="CT349" s="196"/>
      <c r="CU349" s="196"/>
      <c r="CV349" s="196"/>
      <c r="CW349" s="196"/>
      <c r="CX349" s="196"/>
      <c r="CY349" s="196"/>
      <c r="CZ349" s="196"/>
      <c r="DA349" s="196"/>
      <c r="DB349" s="196"/>
      <c r="DC349" s="196"/>
      <c r="DD349" s="196"/>
      <c r="DE349" s="196"/>
      <c r="DF349" s="196"/>
      <c r="DG349" s="196"/>
      <c r="DH349" s="196"/>
      <c r="DI349" s="196"/>
      <c r="DJ349" s="196"/>
      <c r="DK349" s="196"/>
      <c r="DL349" s="196"/>
      <c r="DM349" s="196"/>
      <c r="DN349" s="196"/>
      <c r="DO349" s="196"/>
      <c r="DP349" s="196"/>
      <c r="DQ349" s="196"/>
      <c r="DR349" s="196"/>
      <c r="DS349" s="196"/>
      <c r="DT349" s="196"/>
      <c r="DU349" s="196"/>
      <c r="DV349" s="196"/>
      <c r="DW349" s="196"/>
      <c r="DX349" s="196"/>
      <c r="DY349" s="196"/>
      <c r="DZ349" s="196"/>
      <c r="EA349" s="196"/>
      <c r="EB349" s="196"/>
      <c r="EC349" s="196"/>
      <c r="ED349" s="196"/>
      <c r="EE349" s="196"/>
      <c r="EF349" s="196"/>
      <c r="EG349" s="196"/>
      <c r="EH349" s="196"/>
      <c r="EI349" s="196"/>
      <c r="EJ349" s="196"/>
      <c r="EK349" s="196"/>
      <c r="EL349" s="196"/>
      <c r="EM349" s="221" t="s">
        <v>7</v>
      </c>
      <c r="EN349" s="222"/>
      <c r="EO349" s="222"/>
      <c r="EP349" s="222"/>
      <c r="EQ349" s="222"/>
      <c r="ER349" s="222"/>
      <c r="ES349" s="222"/>
      <c r="ET349" s="224"/>
      <c r="EU349" s="222"/>
      <c r="EV349" s="222"/>
      <c r="EW349" s="222"/>
      <c r="EX349" s="222"/>
      <c r="EY349" s="222"/>
      <c r="EZ349" s="222"/>
      <c r="FA349" s="222"/>
      <c r="FB349" s="222"/>
      <c r="FC349" s="222"/>
      <c r="FD349" s="222"/>
      <c r="FE349" s="223"/>
      <c r="FF349" s="196"/>
      <c r="FG349" s="196"/>
      <c r="FH349" s="221" t="s">
        <v>12</v>
      </c>
      <c r="FI349" s="222"/>
      <c r="FJ349" s="222"/>
      <c r="FK349" s="222"/>
      <c r="FL349" s="222"/>
      <c r="FM349" s="222"/>
      <c r="FN349" s="222"/>
      <c r="FO349" s="224"/>
      <c r="FP349" s="222"/>
      <c r="FQ349" s="222"/>
      <c r="FR349" s="222"/>
      <c r="FS349" s="222"/>
      <c r="FT349" s="222"/>
      <c r="FU349" s="222"/>
      <c r="FV349" s="222"/>
      <c r="FW349" s="222"/>
      <c r="FX349" s="222"/>
      <c r="FY349" s="222"/>
      <c r="FZ349" s="223"/>
      <c r="GA349" s="196"/>
      <c r="GD349" s="339"/>
      <c r="GE349" s="339"/>
      <c r="GF349" s="339"/>
      <c r="GG349" s="339"/>
      <c r="GH349" s="339"/>
      <c r="GI349" s="339"/>
      <c r="GJ349" s="339"/>
      <c r="GK349" s="339"/>
      <c r="GL349" s="339"/>
      <c r="GM349" s="339"/>
      <c r="GN349" s="339"/>
      <c r="GO349" s="339"/>
      <c r="GP349" s="339"/>
      <c r="GQ349" s="339"/>
      <c r="GR349" s="339"/>
      <c r="GS349" s="339"/>
      <c r="GT349" s="339"/>
      <c r="GU349" s="339"/>
      <c r="GV349" s="339"/>
      <c r="GW349" s="339"/>
      <c r="GX349" s="339"/>
      <c r="GY349" s="339"/>
      <c r="GZ349" s="339"/>
      <c r="HA349" s="339"/>
      <c r="HB349" s="339"/>
      <c r="HC349" s="339"/>
      <c r="HD349" s="339"/>
      <c r="HE349" s="339"/>
      <c r="HF349" s="339"/>
      <c r="HG349" s="339"/>
      <c r="HH349" s="339"/>
      <c r="HI349" s="339"/>
      <c r="HJ349" s="339"/>
      <c r="HK349" s="339"/>
      <c r="HL349" s="339"/>
      <c r="HM349" s="339"/>
      <c r="HN349" s="339"/>
      <c r="HO349" s="339"/>
      <c r="HP349" s="339"/>
      <c r="HQ349" s="339"/>
      <c r="HR349" s="339"/>
    </row>
    <row r="350" spans="1:238" ht="14.1" customHeight="1">
      <c r="B350" s="225"/>
      <c r="C350" s="304"/>
      <c r="D350" s="304"/>
      <c r="E350" s="304"/>
      <c r="F350" s="304"/>
      <c r="G350" s="304"/>
      <c r="H350" s="304"/>
      <c r="I350" s="304"/>
      <c r="J350" s="304"/>
      <c r="K350" s="166"/>
      <c r="L350" s="166"/>
      <c r="M350" s="166"/>
      <c r="N350" s="304"/>
      <c r="O350" s="304"/>
      <c r="P350" s="166"/>
      <c r="Q350" s="166"/>
      <c r="R350" s="304"/>
      <c r="S350" s="304"/>
      <c r="T350" s="304"/>
      <c r="U350" s="304"/>
      <c r="V350" s="304"/>
      <c r="W350" s="304"/>
      <c r="X350" s="166"/>
      <c r="Y350" s="166"/>
      <c r="Z350" s="305"/>
      <c r="AA350" s="63"/>
      <c r="AB350" s="63"/>
      <c r="AC350" s="63"/>
      <c r="AD350" s="63"/>
      <c r="AE350" s="63"/>
      <c r="AF350" s="63"/>
      <c r="AJ350" s="173" t="str">
        <f>VLOOKUP(AH349,Chema!BL:BR,7,FALSE)</f>
        <v/>
      </c>
      <c r="AL350" s="200"/>
      <c r="AM350" s="200" t="str">
        <f>IF(AK349="D",VLOOKUP(AJ350,'Matchblatt  FEUILLE DE MATCH'!AK:AS,8,FALSE),"")</f>
        <v/>
      </c>
      <c r="AN350" s="200"/>
      <c r="AO350" s="200"/>
      <c r="AP350" s="200"/>
      <c r="AQ350" s="200"/>
      <c r="AR350" s="200"/>
      <c r="AS350" s="200"/>
      <c r="AT350" s="200"/>
      <c r="AU350" s="200"/>
      <c r="AV350" s="200"/>
      <c r="AW350" s="200"/>
      <c r="AX350" s="200"/>
      <c r="AY350" s="200"/>
      <c r="AZ350" s="200"/>
      <c r="BA350" s="200" t="str">
        <f>IF(AK349="D",VLOOKUP(AJ350,'Matchblatt  FEUILLE DE MATCH'!AK:AS,9,FALSE),"")</f>
        <v/>
      </c>
      <c r="BB350" s="63"/>
      <c r="BC350" s="63"/>
      <c r="BD350" s="63"/>
      <c r="BE350" s="63"/>
      <c r="BF350" s="63"/>
      <c r="BG350" s="63"/>
      <c r="BH350" s="63"/>
      <c r="BK350" s="166" t="s">
        <v>7</v>
      </c>
      <c r="BL350" s="166" t="s">
        <v>12</v>
      </c>
      <c r="BM350" s="166"/>
      <c r="BN350" s="166" t="s">
        <v>7</v>
      </c>
      <c r="BO350" s="166" t="s">
        <v>12</v>
      </c>
      <c r="BP350" s="166"/>
      <c r="BQ350" s="226" t="s">
        <v>894</v>
      </c>
      <c r="BR350" s="227" t="s">
        <v>895</v>
      </c>
      <c r="BS350" s="228" t="s">
        <v>896</v>
      </c>
      <c r="BT350" s="229"/>
      <c r="BU350" s="226" t="s">
        <v>7</v>
      </c>
      <c r="BV350" s="166"/>
      <c r="BW350" s="166"/>
      <c r="BX350" s="230"/>
      <c r="BY350" s="166"/>
      <c r="BZ350" s="166"/>
      <c r="CA350" s="227"/>
      <c r="CB350" s="166"/>
      <c r="CC350" s="166"/>
      <c r="CD350" s="226" t="s">
        <v>12</v>
      </c>
      <c r="CE350" s="166"/>
      <c r="CF350" s="166"/>
      <c r="CG350" s="230"/>
      <c r="CH350" s="166"/>
      <c r="CI350" s="166"/>
      <c r="CJ350" s="227"/>
      <c r="CK350" s="166"/>
      <c r="CL350" s="166" t="s">
        <v>897</v>
      </c>
      <c r="CM350" s="166"/>
      <c r="CN350" s="166"/>
      <c r="CO350" s="166"/>
      <c r="CP350" s="166"/>
      <c r="CQ350" s="166"/>
      <c r="CR350" s="166"/>
      <c r="CS350" s="166"/>
      <c r="CT350" s="166"/>
      <c r="CU350" s="166" t="s">
        <v>843</v>
      </c>
      <c r="CV350" s="166"/>
      <c r="CW350" s="166" t="s">
        <v>843</v>
      </c>
      <c r="CX350" s="166"/>
      <c r="CY350" s="166"/>
      <c r="CZ350" s="166"/>
      <c r="DA350" s="166"/>
      <c r="DB350" s="166"/>
      <c r="DC350" s="166"/>
      <c r="DD350" s="166" t="s">
        <v>894</v>
      </c>
      <c r="DE350" s="166" t="s">
        <v>895</v>
      </c>
      <c r="DF350" s="166"/>
      <c r="DG350" s="166" t="s">
        <v>927</v>
      </c>
      <c r="DH350" s="166"/>
      <c r="DI350" s="166"/>
      <c r="DJ350" s="166"/>
      <c r="DK350" s="166"/>
      <c r="DL350" s="166"/>
      <c r="DM350" s="166"/>
      <c r="DN350" s="166" t="s">
        <v>928</v>
      </c>
      <c r="DO350" s="166" t="s">
        <v>929</v>
      </c>
      <c r="DP350" s="166"/>
      <c r="DQ350" s="166"/>
      <c r="DR350" s="166"/>
      <c r="DS350" s="166"/>
      <c r="DT350" s="166"/>
      <c r="DU350" s="166"/>
      <c r="DV350" s="166" t="s">
        <v>894</v>
      </c>
      <c r="DW350" s="166" t="s">
        <v>895</v>
      </c>
      <c r="DX350" s="166"/>
      <c r="DY350" s="166"/>
      <c r="DZ350" s="166"/>
      <c r="EA350" s="166"/>
      <c r="EB350" s="166"/>
      <c r="EC350" s="166"/>
      <c r="ED350" s="166" t="s">
        <v>894</v>
      </c>
      <c r="EE350" s="166" t="s">
        <v>895</v>
      </c>
      <c r="EF350" s="166"/>
      <c r="EG350" s="166"/>
      <c r="EH350" s="166"/>
      <c r="EI350" s="166"/>
      <c r="EJ350" s="166"/>
      <c r="EK350" s="166"/>
      <c r="EL350" s="166"/>
      <c r="EM350" s="166"/>
      <c r="EN350" s="166"/>
      <c r="EO350" s="166"/>
      <c r="EP350" s="166"/>
      <c r="EQ350" s="166"/>
      <c r="ER350" s="166"/>
      <c r="ES350" s="166"/>
      <c r="ET350" s="230"/>
      <c r="EU350" s="166"/>
      <c r="EV350" s="166"/>
      <c r="EW350" s="166"/>
      <c r="EX350" s="166"/>
      <c r="EY350" s="166"/>
      <c r="EZ350" s="166"/>
      <c r="FA350" s="166"/>
      <c r="FB350" s="166"/>
      <c r="FC350" s="166"/>
      <c r="FD350" s="166"/>
      <c r="FE350" s="166"/>
      <c r="FF350" s="166"/>
      <c r="FG350" s="166"/>
      <c r="FH350" s="166"/>
      <c r="FI350" s="166"/>
      <c r="FJ350" s="166"/>
      <c r="FK350" s="166"/>
      <c r="FL350" s="166"/>
      <c r="FM350" s="166"/>
      <c r="FN350" s="166"/>
      <c r="FO350" s="230"/>
      <c r="FP350" s="166"/>
      <c r="FQ350" s="166"/>
      <c r="FR350" s="166"/>
      <c r="FS350" s="166"/>
      <c r="FT350" s="166"/>
      <c r="FU350" s="166"/>
      <c r="FV350" s="166"/>
      <c r="FW350" s="166"/>
      <c r="FX350" s="166"/>
      <c r="FY350" s="166"/>
      <c r="FZ350" s="166"/>
      <c r="GA350" s="166"/>
      <c r="GD350" s="339"/>
      <c r="GE350" s="339"/>
      <c r="GF350" s="339"/>
      <c r="GG350" s="339"/>
      <c r="GH350" s="339"/>
      <c r="GI350" s="339"/>
      <c r="GJ350" s="339"/>
      <c r="GK350" s="339"/>
      <c r="GL350" s="339"/>
      <c r="GM350" s="339"/>
      <c r="GN350" s="339"/>
      <c r="GO350" s="339"/>
      <c r="GP350" s="339"/>
      <c r="GQ350" s="339"/>
      <c r="GR350" s="339"/>
      <c r="GS350" s="339"/>
      <c r="GT350" s="339"/>
      <c r="GU350" s="339"/>
      <c r="GV350" s="339"/>
      <c r="GW350" s="339"/>
      <c r="GX350" s="339"/>
      <c r="GY350" s="339"/>
      <c r="GZ350" s="339"/>
      <c r="HA350" s="339"/>
      <c r="HB350" s="339"/>
      <c r="HC350" s="339"/>
      <c r="HD350" s="339"/>
      <c r="HE350" s="339"/>
      <c r="HF350" s="339"/>
      <c r="HG350" s="339"/>
      <c r="HH350" s="339"/>
      <c r="HI350" s="339"/>
      <c r="HJ350" s="339"/>
      <c r="HK350" s="339"/>
      <c r="HL350" s="339"/>
      <c r="HM350" s="339"/>
      <c r="HN350" s="339"/>
      <c r="HO350" s="339"/>
      <c r="HP350" s="339"/>
      <c r="HQ350" s="339"/>
      <c r="HR350" s="339"/>
    </row>
    <row r="351" spans="1:238" s="234" customFormat="1" ht="20.100000000000001" customHeight="1">
      <c r="A351" s="235"/>
      <c r="B351" s="231"/>
      <c r="C351" s="232" t="str">
        <f>REPT(Sprache!$K$12,1)</f>
        <v>SPIEL</v>
      </c>
      <c r="D351" s="233" t="s">
        <v>869</v>
      </c>
      <c r="E351" s="233" t="str">
        <f>REPT(Sprache!$K$62,1)</f>
        <v>Punkte</v>
      </c>
      <c r="F351" s="233" t="str">
        <f>REPT(Sprache!$K$61,1)</f>
        <v>Rest</v>
      </c>
      <c r="G351" s="233" t="s">
        <v>898</v>
      </c>
      <c r="H351" s="233" t="s">
        <v>848</v>
      </c>
      <c r="I351" s="233">
        <v>180</v>
      </c>
      <c r="J351" s="233" t="str">
        <f>REPT(Sprache!$K$63,1)</f>
        <v>Fehler</v>
      </c>
      <c r="L351" s="306" t="s">
        <v>923</v>
      </c>
      <c r="M351" s="307"/>
      <c r="P351" s="306" t="s">
        <v>923</v>
      </c>
      <c r="R351" s="232" t="str">
        <f>REPT(Sprache!$K$12,1)</f>
        <v>SPIEL</v>
      </c>
      <c r="S351" s="233" t="s">
        <v>869</v>
      </c>
      <c r="T351" s="233" t="str">
        <f>REPT(Sprache!$K$62,1)</f>
        <v>Punkte</v>
      </c>
      <c r="U351" s="233" t="str">
        <f>REPT(Sprache!$K$61,1)</f>
        <v>Rest</v>
      </c>
      <c r="V351" s="233" t="s">
        <v>898</v>
      </c>
      <c r="W351" s="233" t="s">
        <v>848</v>
      </c>
      <c r="X351" s="233">
        <v>180</v>
      </c>
      <c r="Y351" s="233" t="str">
        <f>REPT(Sprache!$K$63,1)</f>
        <v>Fehler</v>
      </c>
      <c r="Z351" s="308"/>
      <c r="AD351" s="235"/>
      <c r="AE351" s="236" t="s">
        <v>966</v>
      </c>
      <c r="AF351" s="236" t="s">
        <v>967</v>
      </c>
      <c r="AG351" s="236" t="s">
        <v>965</v>
      </c>
      <c r="AH351" s="237" t="str">
        <f>LEFT($BM$6,10)</f>
        <v/>
      </c>
      <c r="AI351" s="237" t="str">
        <f>LEFT($BN$6,10)</f>
        <v/>
      </c>
      <c r="AJ351" s="237" t="s">
        <v>898</v>
      </c>
      <c r="AK351" s="237" t="s">
        <v>848</v>
      </c>
      <c r="AL351" s="237">
        <v>180</v>
      </c>
      <c r="AM351" s="237" t="str">
        <f>LEFT($BL$6,50)</f>
        <v/>
      </c>
      <c r="AN351" s="235"/>
      <c r="AO351" s="235"/>
      <c r="AP351" s="235"/>
      <c r="AQ351" s="235"/>
      <c r="AR351" s="235"/>
      <c r="AS351" s="235"/>
      <c r="AT351" s="235"/>
      <c r="AU351" s="235"/>
      <c r="AV351" s="237" t="str">
        <f>LEFT($BM$6,10)</f>
        <v/>
      </c>
      <c r="AW351" s="237" t="str">
        <f>LEFT($BN$6,10)</f>
        <v/>
      </c>
      <c r="AX351" s="237" t="s">
        <v>898</v>
      </c>
      <c r="AY351" s="237" t="s">
        <v>848</v>
      </c>
      <c r="AZ351" s="237">
        <v>180</v>
      </c>
      <c r="BA351" s="237" t="str">
        <f>LEFT($BL$6,50)</f>
        <v/>
      </c>
      <c r="BI351" s="238"/>
      <c r="BJ351" s="238"/>
      <c r="BK351" s="238" t="s">
        <v>165</v>
      </c>
      <c r="BL351" s="238" t="s">
        <v>165</v>
      </c>
      <c r="BM351" s="239" t="s">
        <v>165</v>
      </c>
      <c r="BN351" s="239" t="s">
        <v>899</v>
      </c>
      <c r="BO351" s="239" t="s">
        <v>899</v>
      </c>
      <c r="BP351" s="239" t="s">
        <v>900</v>
      </c>
      <c r="BQ351" s="240" t="s">
        <v>901</v>
      </c>
      <c r="BR351" s="241"/>
      <c r="BS351" s="242" t="s">
        <v>926</v>
      </c>
      <c r="BT351" s="243"/>
      <c r="BU351" s="242" t="s">
        <v>902</v>
      </c>
      <c r="BV351" s="238"/>
      <c r="BW351" s="238"/>
      <c r="BX351" s="244"/>
      <c r="BY351" s="238"/>
      <c r="BZ351" s="238" t="s">
        <v>903</v>
      </c>
      <c r="CA351" s="243" t="s">
        <v>904</v>
      </c>
      <c r="CB351" s="238"/>
      <c r="CC351" s="238"/>
      <c r="CD351" s="242" t="s">
        <v>902</v>
      </c>
      <c r="CE351" s="238"/>
      <c r="CF351" s="238"/>
      <c r="CG351" s="244"/>
      <c r="CH351" s="238"/>
      <c r="CI351" s="238" t="s">
        <v>903</v>
      </c>
      <c r="CJ351" s="243" t="s">
        <v>904</v>
      </c>
      <c r="CK351" s="238"/>
      <c r="CL351" s="245" t="s">
        <v>905</v>
      </c>
      <c r="CM351" s="245" t="s">
        <v>906</v>
      </c>
      <c r="CN351" s="245" t="s">
        <v>907</v>
      </c>
      <c r="CO351" s="245" t="s">
        <v>908</v>
      </c>
      <c r="CP351" s="245" t="s">
        <v>909</v>
      </c>
      <c r="CQ351" s="246" t="s">
        <v>910</v>
      </c>
      <c r="CR351" s="247"/>
      <c r="CS351" s="246" t="s">
        <v>911</v>
      </c>
      <c r="CT351" s="248"/>
      <c r="CU351" s="246" t="s">
        <v>912</v>
      </c>
      <c r="CV351" s="248"/>
      <c r="CW351" s="246" t="s">
        <v>913</v>
      </c>
      <c r="CX351" s="248"/>
      <c r="CY351" s="238"/>
      <c r="CZ351" s="238"/>
      <c r="DA351" s="238"/>
      <c r="DB351" s="238"/>
      <c r="DC351" s="249" t="s">
        <v>165</v>
      </c>
      <c r="DD351" s="249" t="s">
        <v>165</v>
      </c>
      <c r="DE351" s="249" t="s">
        <v>165</v>
      </c>
      <c r="DF351" s="238"/>
      <c r="DG351" s="238" t="s">
        <v>914</v>
      </c>
      <c r="DH351" s="238" t="s">
        <v>930</v>
      </c>
      <c r="DI351" s="238" t="s">
        <v>931</v>
      </c>
      <c r="DK351" s="238" t="s">
        <v>932</v>
      </c>
      <c r="DL351" s="238" t="s">
        <v>933</v>
      </c>
      <c r="DM351" s="238" t="s">
        <v>869</v>
      </c>
      <c r="DN351" s="230" t="s">
        <v>915</v>
      </c>
      <c r="DO351" s="250" t="s">
        <v>915</v>
      </c>
      <c r="DP351" s="322" t="s">
        <v>934</v>
      </c>
      <c r="DQ351" s="238"/>
      <c r="DR351" s="166" t="s">
        <v>894</v>
      </c>
      <c r="DS351" s="166" t="s">
        <v>895</v>
      </c>
      <c r="DT351" s="166" t="s">
        <v>935</v>
      </c>
      <c r="DU351" s="166" t="s">
        <v>936</v>
      </c>
      <c r="DV351" s="251" t="s">
        <v>165</v>
      </c>
      <c r="DW351" s="251" t="s">
        <v>165</v>
      </c>
      <c r="DX351" s="238" t="s">
        <v>916</v>
      </c>
      <c r="DY351" s="238"/>
      <c r="DZ351" s="238"/>
      <c r="EA351" s="238"/>
      <c r="EB351" s="238"/>
      <c r="EC351" s="238"/>
      <c r="ED351" s="251" t="s">
        <v>165</v>
      </c>
      <c r="EE351" s="251" t="s">
        <v>165</v>
      </c>
      <c r="EF351" s="166"/>
      <c r="EG351" s="238"/>
      <c r="EH351" s="238"/>
      <c r="EI351" s="238"/>
      <c r="EJ351" s="238"/>
      <c r="EK351" s="238"/>
      <c r="EL351" s="238"/>
      <c r="EM351" s="238"/>
      <c r="EN351" s="238"/>
      <c r="EO351" s="246" t="s">
        <v>917</v>
      </c>
      <c r="EP351" s="247"/>
      <c r="EQ351" s="247"/>
      <c r="ER351" s="247"/>
      <c r="ES351" s="247"/>
      <c r="ET351" s="252"/>
      <c r="EU351" s="248"/>
      <c r="EV351" s="246" t="s">
        <v>918</v>
      </c>
      <c r="EW351" s="247"/>
      <c r="EX351" s="248"/>
      <c r="EY351" s="251" t="s">
        <v>165</v>
      </c>
      <c r="EZ351" s="246" t="s">
        <v>919</v>
      </c>
      <c r="FA351" s="247"/>
      <c r="FB351" s="248"/>
      <c r="FC351" s="246" t="s">
        <v>920</v>
      </c>
      <c r="FD351" s="247"/>
      <c r="FE351" s="248"/>
      <c r="FF351" s="238"/>
      <c r="FG351" s="238"/>
      <c r="FH351" s="238"/>
      <c r="FI351" s="238"/>
      <c r="FJ351" s="246" t="s">
        <v>917</v>
      </c>
      <c r="FK351" s="247"/>
      <c r="FL351" s="247"/>
      <c r="FM351" s="247"/>
      <c r="FN351" s="247"/>
      <c r="FO351" s="252"/>
      <c r="FP351" s="248"/>
      <c r="FQ351" s="246" t="s">
        <v>918</v>
      </c>
      <c r="FR351" s="247"/>
      <c r="FS351" s="248"/>
      <c r="FT351" s="251" t="s">
        <v>165</v>
      </c>
      <c r="FU351" s="246" t="s">
        <v>919</v>
      </c>
      <c r="FV351" s="247"/>
      <c r="FW351" s="248"/>
      <c r="FX351" s="246" t="s">
        <v>920</v>
      </c>
      <c r="FY351" s="247"/>
      <c r="FZ351" s="248"/>
      <c r="GD351" s="340"/>
      <c r="GE351" s="340"/>
      <c r="GF351" s="341" t="s">
        <v>968</v>
      </c>
      <c r="GG351" s="340"/>
      <c r="GH351" s="340"/>
      <c r="GI351" s="340"/>
      <c r="GJ351" s="341" t="s">
        <v>972</v>
      </c>
      <c r="GK351" s="340"/>
      <c r="GL351" s="340"/>
      <c r="GM351" s="340"/>
      <c r="GN351" s="341" t="s">
        <v>971</v>
      </c>
      <c r="GO351" s="340"/>
      <c r="GP351" s="340"/>
      <c r="GQ351" s="340"/>
      <c r="GR351" s="341" t="s">
        <v>970</v>
      </c>
      <c r="GS351" s="340"/>
      <c r="GT351" s="340"/>
      <c r="GU351" s="340"/>
      <c r="GV351" s="341" t="s">
        <v>969</v>
      </c>
      <c r="GW351" s="340"/>
      <c r="GX351" s="340"/>
      <c r="GY351" s="340"/>
      <c r="GZ351" s="342" t="s">
        <v>973</v>
      </c>
      <c r="HA351" s="340"/>
      <c r="HB351" s="340"/>
      <c r="HC351" s="340"/>
      <c r="HD351" s="342" t="s">
        <v>974</v>
      </c>
      <c r="HE351" s="340"/>
      <c r="HF351" s="340"/>
      <c r="HG351" s="340"/>
      <c r="HH351" s="340"/>
      <c r="HI351" s="340"/>
      <c r="HJ351" s="340"/>
      <c r="HK351" s="340"/>
      <c r="HL351" s="340"/>
      <c r="HM351" s="341"/>
      <c r="HN351" s="341"/>
      <c r="HO351" s="341"/>
      <c r="HP351" s="341"/>
      <c r="HQ351" s="341"/>
      <c r="HR351" s="341"/>
      <c r="HS351" s="238"/>
      <c r="HT351" s="238"/>
      <c r="HU351" s="238"/>
      <c r="HV351" s="238"/>
      <c r="HX351" s="238"/>
      <c r="HY351" s="238"/>
      <c r="HZ351" s="238"/>
      <c r="ID351" s="238"/>
    </row>
    <row r="352" spans="1:238" s="234" customFormat="1" ht="20.100000000000001" customHeight="1">
      <c r="A352" s="235"/>
      <c r="B352" s="231">
        <f>COUNT(AJ353,AJ352)</f>
        <v>0</v>
      </c>
      <c r="C352" s="325" t="str">
        <f>CONCATENATE(BG352,BE352)</f>
        <v>HS</v>
      </c>
      <c r="D352" s="253" t="str">
        <f>REPT(DN352,1)</f>
        <v>1</v>
      </c>
      <c r="E352" s="254" t="str">
        <f>REPT(AH352,1)</f>
        <v/>
      </c>
      <c r="F352" s="168"/>
      <c r="G352" s="168"/>
      <c r="H352" s="168"/>
      <c r="I352" s="169"/>
      <c r="J352" s="255" t="str">
        <f>REPT(AM352,1)</f>
        <v/>
      </c>
      <c r="L352" s="309">
        <f>SUM(BS361)</f>
        <v>0</v>
      </c>
      <c r="M352" s="238"/>
      <c r="N352" s="255" t="str">
        <f>REPT(AP352,1)</f>
        <v/>
      </c>
      <c r="P352" s="309">
        <f>SUM(CF361)</f>
        <v>0</v>
      </c>
      <c r="Q352" s="310"/>
      <c r="R352" s="323" t="str">
        <f>CONCATENATE(BH352,BE352)</f>
        <v>GS</v>
      </c>
      <c r="S352" s="253" t="str">
        <f>REPT(DO352,1)</f>
        <v>1</v>
      </c>
      <c r="T352" s="254" t="str">
        <f>REPT(AV352,1)</f>
        <v/>
      </c>
      <c r="U352" s="168"/>
      <c r="V352" s="168"/>
      <c r="W352" s="168"/>
      <c r="X352" s="169"/>
      <c r="Y352" s="255" t="str">
        <f>REPT(BA352,1)</f>
        <v/>
      </c>
      <c r="Z352" s="308"/>
      <c r="AB352" s="234">
        <f>IF(AY352="",0,IF(AY352&lt;2,1,""))</f>
        <v>0</v>
      </c>
      <c r="AC352" s="238">
        <f>IF(AD352=1,1,IF(AD352=3,1,IF(AD352=2,0,IF(AD352=0,0,0))))</f>
        <v>0</v>
      </c>
      <c r="AD352" s="256">
        <f>SUM(AE352:AG352)</f>
        <v>0</v>
      </c>
      <c r="AE352" s="256">
        <f t="shared" ref="AE352:AE356" si="860">IF(F352="",0,1)</f>
        <v>0</v>
      </c>
      <c r="AF352" s="256">
        <f t="shared" ref="AF352:AF356" si="861">IF(G352="",0,1)</f>
        <v>0</v>
      </c>
      <c r="AG352" s="256">
        <f>IF(H352="",0,1)</f>
        <v>0</v>
      </c>
      <c r="AH352" s="257" t="str">
        <f>IF(AK352="",IF(AI352="","",IF(AI352="",501,501-AI352)),501)</f>
        <v/>
      </c>
      <c r="AI352" s="256" t="str">
        <f>IF(F352&gt;1,F352,IF(F352=0,"",IF(F352="","","")))</f>
        <v/>
      </c>
      <c r="AJ352" s="256" t="str">
        <f>IF(G352&gt;8,G352,IF(G352="","",""))</f>
        <v/>
      </c>
      <c r="AK352" s="256" t="str">
        <f>IF(H352&gt;1,H352,IF(H352="","",""))</f>
        <v/>
      </c>
      <c r="AL352" s="256" t="str">
        <f>IF(I352&gt;0,I352,IF(I352="","",""))</f>
        <v/>
      </c>
      <c r="AM352" s="258" t="str">
        <f>IF(BK352=0,"","X")</f>
        <v/>
      </c>
      <c r="AN352" s="237"/>
      <c r="AO352" s="237"/>
      <c r="AP352" s="258" t="str">
        <f>IF(BM352=0,"","X")</f>
        <v/>
      </c>
      <c r="AQ352" s="236">
        <f>IF(AR352=1,1,IF(AR352=3,1,IF(AR352=2,0,IF(AR352=0,0,0))))</f>
        <v>0</v>
      </c>
      <c r="AR352" s="256">
        <f>SUM(AS352:AU352)</f>
        <v>0</v>
      </c>
      <c r="AS352" s="256">
        <f t="shared" ref="AS352:AS356" si="862">IF(U352="",0,1)</f>
        <v>0</v>
      </c>
      <c r="AT352" s="256">
        <f t="shared" ref="AT352:AT356" si="863">IF(V352="",0,1)</f>
        <v>0</v>
      </c>
      <c r="AU352" s="256">
        <f>IF(W352="",0,1)</f>
        <v>0</v>
      </c>
      <c r="AV352" s="257" t="str">
        <f>IF(AY352="",IF(AW352="","",IF(AW352="",501,501-AW352)),501)</f>
        <v/>
      </c>
      <c r="AW352" s="256" t="str">
        <f>IF(U352&gt;1,U352,IF(U352=0,"",IF(U352="","","")))</f>
        <v/>
      </c>
      <c r="AX352" s="256" t="str">
        <f>IF(V352&gt;8,V352,IF(V352="","",""))</f>
        <v/>
      </c>
      <c r="AY352" s="256" t="str">
        <f>IF(W352&gt;1,W352,IF(W352="","",""))</f>
        <v/>
      </c>
      <c r="AZ352" s="256" t="str">
        <f>IF(X352&gt;0,X352,IF(X352="","",""))</f>
        <v/>
      </c>
      <c r="BA352" s="258" t="str">
        <f>IF(BL352=0,"","X")</f>
        <v/>
      </c>
      <c r="BF352" s="238" t="s">
        <v>894</v>
      </c>
      <c r="BG352" s="238" t="str">
        <f>CONCATENATE(BF352,AK349)</f>
        <v>HS</v>
      </c>
      <c r="BH352" s="238" t="str">
        <f>CONCATENATE(BI352,AK349)</f>
        <v>GS</v>
      </c>
      <c r="BI352" s="238" t="s">
        <v>895</v>
      </c>
      <c r="BJ352" s="238"/>
      <c r="BK352" s="251">
        <f>SUM(DD352,DV352,EY352,ED352,FF352,BQ352,BS352,AC352)</f>
        <v>0</v>
      </c>
      <c r="BL352" s="251">
        <f>SUM(DE352,DW352,EE352,FT352,GA352,BR352,BT352,AQ352)</f>
        <v>0</v>
      </c>
      <c r="BM352" s="259">
        <f>SUM(DC352,BK352:BL352,AC352,AQ352)</f>
        <v>0</v>
      </c>
      <c r="BN352" s="239">
        <f>COUNT(AK352)</f>
        <v>0</v>
      </c>
      <c r="BO352" s="239">
        <f>COUNT(AY352)</f>
        <v>0</v>
      </c>
      <c r="BP352" s="239">
        <f>IF(BN354=0,0,1)</f>
        <v>0</v>
      </c>
      <c r="BQ352" s="260">
        <f>IF(AL352="",0,IF(AL352&gt;2,1,0))</f>
        <v>0</v>
      </c>
      <c r="BR352" s="261">
        <f>IF(AZ352="",0,IF(AZ352&gt;2,1,0))</f>
        <v>0</v>
      </c>
      <c r="BS352" s="262">
        <f>IF(AJ352=9,IF(AK352&lt;141,1,0),0)</f>
        <v>0</v>
      </c>
      <c r="BT352" s="263">
        <f>IF(AX352=9,IF(AY352&lt;141,1,0),0)</f>
        <v>0</v>
      </c>
      <c r="BU352" s="242">
        <f>IF(H352,G352,0)</f>
        <v>0</v>
      </c>
      <c r="BV352" s="238">
        <f>IF(BU352&gt;0,AJ352/3,0)</f>
        <v>0</v>
      </c>
      <c r="BW352" s="238">
        <f>ROUNDUP(BV352,0)</f>
        <v>0</v>
      </c>
      <c r="BX352" s="244">
        <f>IF(MOD(BW352,2)=0,BW352,BW352+1)</f>
        <v>0</v>
      </c>
      <c r="BY352" s="238">
        <f>IF(AJ352&lt;9,"",SUM(BX352-BW352))</f>
        <v>0</v>
      </c>
      <c r="BZ352" s="238">
        <f>IF(BY352=1,AK352,0)</f>
        <v>0</v>
      </c>
      <c r="CA352" s="243" t="str">
        <f>IF(BY352=0,AK352,0)</f>
        <v/>
      </c>
      <c r="CB352" s="238"/>
      <c r="CC352" s="238"/>
      <c r="CD352" s="242">
        <f>IF(W352,V352,0)</f>
        <v>0</v>
      </c>
      <c r="CE352" s="238">
        <f>IF(CD352&gt;0,AX352/3,0)</f>
        <v>0</v>
      </c>
      <c r="CF352" s="238">
        <f>ROUNDUP(CE352,0)</f>
        <v>0</v>
      </c>
      <c r="CG352" s="244">
        <f>IF(MOD(CF352,2)=0,CF352,CF352+1)</f>
        <v>0</v>
      </c>
      <c r="CH352" s="238">
        <f>IF(AX352&lt;9,"",SUM(CG352-CF352))</f>
        <v>0</v>
      </c>
      <c r="CI352" s="238">
        <f>IF(CH352=1,AY352,0)</f>
        <v>0</v>
      </c>
      <c r="CJ352" s="243" t="str">
        <f>IF(CH352=0,AY352,0)</f>
        <v/>
      </c>
      <c r="CK352" s="238"/>
      <c r="CL352" s="245">
        <f>IF(COUNT(F352,H352)=1,0,1)</f>
        <v>1</v>
      </c>
      <c r="CM352" s="245">
        <f>IF(COUNT(F352,U352)=1,0,1)</f>
        <v>1</v>
      </c>
      <c r="CN352" s="245">
        <f>IF(COUNT(H352,W352)=1,0,1)</f>
        <v>1</v>
      </c>
      <c r="CO352" s="245">
        <f>IF(COUNT(G352,V352)=2,0,1)</f>
        <v>1</v>
      </c>
      <c r="CP352" s="245">
        <f>IF(COUNT(U352,W352)=1,0,1)</f>
        <v>1</v>
      </c>
      <c r="CQ352" s="245">
        <f>IF(SUM(G352-V352)&gt;3,1,0)</f>
        <v>0</v>
      </c>
      <c r="CR352" s="245">
        <f>IF(SUM(G352-V352)&lt;-3,1,0)</f>
        <v>0</v>
      </c>
      <c r="CS352" s="264">
        <f>IF(AJ352=9,IF(AH352&lt;141,1,0),IF(AH352="",0,IF(AH352&gt;1,0,1)))</f>
        <v>0</v>
      </c>
      <c r="CT352" s="264">
        <f>IF(AX352=9,IF(AV352&lt;141,1,0),IF(AV352="",0,IF(AV352&gt;1,0,1)))</f>
        <v>0</v>
      </c>
      <c r="CU352" s="264">
        <f>IF(AI352="",0,IF(AI352&lt;502,0,1))</f>
        <v>0</v>
      </c>
      <c r="CV352" s="264">
        <f>IF(AW352="",0,IF(AW352&lt;502,0,1))</f>
        <v>0</v>
      </c>
      <c r="CW352" s="264">
        <f>IF(AI352="",IF(AJ352&lt;9,1,0),IF(AJ352&lt;9,1,0))</f>
        <v>0</v>
      </c>
      <c r="CX352" s="264">
        <f>IF(AW352="",IF(AX352&lt;9,1,0),IF(AX352&lt;9,1,0))</f>
        <v>0</v>
      </c>
      <c r="CY352" s="374"/>
      <c r="CZ352" s="374"/>
      <c r="DA352" s="374"/>
      <c r="DB352" s="374"/>
      <c r="DC352" s="265">
        <f>IF(AJ352="",0,SUM(CL352:CX352))</f>
        <v>0</v>
      </c>
      <c r="DD352" s="265">
        <f>IF(AJ352="",0,SUM(CL352,CS352,CU352,CW352))</f>
        <v>0</v>
      </c>
      <c r="DE352" s="265">
        <f>IF(AJ352="",0,SUM(CP352,CT352,CV352,CX352))</f>
        <v>0</v>
      </c>
      <c r="DF352" s="238"/>
      <c r="DG352" s="248" t="str">
        <f>IF(G352="","",SUM(G352-V352))</f>
        <v/>
      </c>
      <c r="DH352" s="245">
        <f>IF(F352="",0,1)</f>
        <v>0</v>
      </c>
      <c r="DI352" s="245" t="str">
        <f>IF(DG352=0,DH352,DG352)</f>
        <v/>
      </c>
      <c r="DJ352" s="245" t="e">
        <f>SIGN(DI352)</f>
        <v>#VALUE!</v>
      </c>
      <c r="DK352" s="245" t="str">
        <f>IF(G352="","",IF(DJ352=1,"*",""))</f>
        <v/>
      </c>
      <c r="DL352" s="245" t="str">
        <f>IF(G352="","",IF(DJ352=-1,"*",IF(DJ352=0,"*","")))</f>
        <v/>
      </c>
      <c r="DM352" s="245">
        <v>1</v>
      </c>
      <c r="DN352" s="245" t="str">
        <f>CONCATENATE(DM352,DK352)</f>
        <v>1</v>
      </c>
      <c r="DO352" s="245" t="str">
        <f>CONCATENATE(DM352,DL352)</f>
        <v>1</v>
      </c>
      <c r="DP352" s="245">
        <f>IF(DK352="*",1,0)</f>
        <v>0</v>
      </c>
      <c r="DQ352" s="245">
        <f>IF(DL352="*",1,0)</f>
        <v>0</v>
      </c>
      <c r="DR352" s="245"/>
      <c r="DS352" s="245"/>
      <c r="DT352" s="245"/>
      <c r="DU352" s="245"/>
      <c r="DV352" s="266"/>
      <c r="DW352" s="266"/>
      <c r="DX352" s="238">
        <f>IF(AK352="",0,1)</f>
        <v>0</v>
      </c>
      <c r="DY352" s="238">
        <f>IF(DG352=-3,1,0)</f>
        <v>0</v>
      </c>
      <c r="DZ352" s="238">
        <f>SUM(DX352:DY352)</f>
        <v>0</v>
      </c>
      <c r="EA352" s="238">
        <f>IF(AK352="",1,0)</f>
        <v>1</v>
      </c>
      <c r="EB352" s="238">
        <f>IF(DG352=3,1,0)</f>
        <v>0</v>
      </c>
      <c r="EC352" s="238">
        <f>SUM(EA352:EB352)</f>
        <v>1</v>
      </c>
      <c r="ED352" s="267">
        <f>IF(EC352=2,1,0)</f>
        <v>0</v>
      </c>
      <c r="EE352" s="267">
        <f>IF(DZ352=2,1,0)</f>
        <v>0</v>
      </c>
      <c r="EG352" s="166"/>
      <c r="EH352" s="238"/>
      <c r="EI352" s="238"/>
      <c r="EJ352" s="238"/>
      <c r="EK352" s="238"/>
      <c r="EL352" s="238"/>
      <c r="EM352" s="245">
        <f>IF(AK352="",0,1)</f>
        <v>0</v>
      </c>
      <c r="EN352" s="245">
        <f>SUM(AK352)</f>
        <v>0</v>
      </c>
      <c r="EO352" s="268">
        <f>SUM(AJ352)</f>
        <v>0</v>
      </c>
      <c r="EP352" s="268">
        <f>SUM(G352/3)</f>
        <v>0</v>
      </c>
      <c r="EQ352" s="268" t="e">
        <f>SUM(EO352/EP352)</f>
        <v>#DIV/0!</v>
      </c>
      <c r="ER352" s="268">
        <f>ROUNDDOWN(EP352,0)</f>
        <v>0</v>
      </c>
      <c r="ES352" s="268">
        <f>SUM(EO352,-ER352*3)</f>
        <v>0</v>
      </c>
      <c r="ET352" s="269" t="b">
        <f>MOD(EN352/1,2)=0</f>
        <v>1</v>
      </c>
      <c r="EU352" s="245">
        <f>IF(ET352=FALSE,1,0)</f>
        <v>0</v>
      </c>
      <c r="EV352" s="245">
        <f>IF(EN352=50,0,IF(EN352&lt;40,1,0))</f>
        <v>1</v>
      </c>
      <c r="EW352" s="245">
        <f>SUM(EU352:EV352)</f>
        <v>1</v>
      </c>
      <c r="EX352" s="267">
        <f>IF(EN352=1,1,IF(EN352=50,0,IF(ES352=1,IF(EN352&gt;40,1,0),0)))</f>
        <v>0</v>
      </c>
      <c r="EY352" s="267">
        <f>IF(ES352=1,IF(EW352=2,1,0),0)+EX352+FB352+FE352</f>
        <v>0</v>
      </c>
      <c r="EZ352" s="245">
        <f>IF(EN352=109,1,IF(EN352=108,1,IF(EN352=106,1,IF(EN352=105,1,IF(EN352=103,1,IF(EN352=102,1,IF(EN352=99,1,0)))))))</f>
        <v>0</v>
      </c>
      <c r="FA352" s="245">
        <f>IF(EN352&gt;110,1,0)</f>
        <v>0</v>
      </c>
      <c r="FB352" s="267">
        <f>IF(ES352=2,SUM(EZ352:FA352),0)</f>
        <v>0</v>
      </c>
      <c r="FC352" s="245">
        <f>IF(EN352=159,1,IF(EN352=162,1,IF(EN352=163,1,IF(EN352=165,1,IF(EN352=166,1,IF(EN352=168,1,IF(EN352=169,1,0)))))))</f>
        <v>0</v>
      </c>
      <c r="FD352" s="245">
        <f>IF(EN352&gt;170,1,0)</f>
        <v>0</v>
      </c>
      <c r="FE352" s="267">
        <f>IF(ES352=0,SUM(FC352:FD352),0)</f>
        <v>0</v>
      </c>
      <c r="FF352" s="251">
        <f>IF(AJ352="",0,IF(AI352="",0,IF(EO352/ER352-3=0,0,1)))</f>
        <v>0</v>
      </c>
      <c r="FG352" s="238"/>
      <c r="FH352" s="245">
        <f>IF(AY352="",0,1)</f>
        <v>0</v>
      </c>
      <c r="FI352" s="245">
        <f>SUM(AY352)</f>
        <v>0</v>
      </c>
      <c r="FJ352" s="268">
        <f>SUM(AX352)</f>
        <v>0</v>
      </c>
      <c r="FK352" s="268">
        <f>SUM(V352/3)</f>
        <v>0</v>
      </c>
      <c r="FL352" s="268" t="e">
        <f>SUM(FJ352/FK352)</f>
        <v>#DIV/0!</v>
      </c>
      <c r="FM352" s="268">
        <f>ROUNDDOWN(FK352,0)</f>
        <v>0</v>
      </c>
      <c r="FN352" s="268">
        <f>SUM(FJ352,-FM352*3)</f>
        <v>0</v>
      </c>
      <c r="FO352" s="269" t="b">
        <f>MOD(FI352/1,2)=0</f>
        <v>1</v>
      </c>
      <c r="FP352" s="245">
        <f>IF(FO352=FALSE,1,0)</f>
        <v>0</v>
      </c>
      <c r="FQ352" s="245">
        <f>IF(FI352=50,0,IF(FI352&lt;40,1,0))</f>
        <v>1</v>
      </c>
      <c r="FR352" s="245">
        <f>SUM(FP352:FQ352)</f>
        <v>1</v>
      </c>
      <c r="FS352" s="267">
        <f>IF(FI352=1,1,IF(FI352=50,0,IF(FN352=1,IF(FI352&gt;40,1,0),0)))</f>
        <v>0</v>
      </c>
      <c r="FT352" s="267">
        <f>IF(FN352=1,IF(FR352=2,1,0),0)+FS352+FW352+FZ352</f>
        <v>0</v>
      </c>
      <c r="FU352" s="245">
        <f>IF(FI352=109,1,IF(FI352=108,1,IF(FI352=106,1,IF(FI352=105,1,IF(FI352=103,1,IF(FI352=102,1,IF(FI352=99,1,0)))))))</f>
        <v>0</v>
      </c>
      <c r="FV352" s="245">
        <f>IF(FI352&gt;110,1,0)</f>
        <v>0</v>
      </c>
      <c r="FW352" s="267">
        <f>IF(FN352=2,SUM(FU352:FV352),0)</f>
        <v>0</v>
      </c>
      <c r="FX352" s="245">
        <f>IF(FI352=159,1,IF(FI352=162,1,IF(FI352=163,1,IF(FI352=165,1,IF(FI352=166,1,IF(FI352=168,1,IF(FI352=169,1,0)))))))</f>
        <v>0</v>
      </c>
      <c r="FY352" s="245">
        <f>IF(FI352&gt;170,1,0)</f>
        <v>0</v>
      </c>
      <c r="FZ352" s="267">
        <f>IF(FN352=0,SUM(FX352:FY352),0)</f>
        <v>0</v>
      </c>
      <c r="GA352" s="251">
        <f>IF(AX352="",0,IF(AW352="",0,IF(FJ352/FM352-3=0,0,1)))</f>
        <v>0</v>
      </c>
      <c r="GD352" s="341">
        <f>IF(AK349="D",1,0)</f>
        <v>0</v>
      </c>
      <c r="GE352" s="343"/>
      <c r="GF352" s="343" t="s">
        <v>866</v>
      </c>
      <c r="GG352" s="343" t="s">
        <v>868</v>
      </c>
      <c r="GH352" s="343" t="s">
        <v>848</v>
      </c>
      <c r="GI352" s="343">
        <v>180</v>
      </c>
      <c r="GJ352" s="343" t="s">
        <v>866</v>
      </c>
      <c r="GK352" s="343" t="s">
        <v>868</v>
      </c>
      <c r="GL352" s="343" t="s">
        <v>848</v>
      </c>
      <c r="GM352" s="343">
        <v>180</v>
      </c>
      <c r="GN352" s="343" t="s">
        <v>866</v>
      </c>
      <c r="GO352" s="343" t="s">
        <v>868</v>
      </c>
      <c r="GP352" s="343" t="s">
        <v>848</v>
      </c>
      <c r="GQ352" s="343">
        <v>180</v>
      </c>
      <c r="GR352" s="343" t="s">
        <v>866</v>
      </c>
      <c r="GS352" s="343" t="s">
        <v>868</v>
      </c>
      <c r="GT352" s="343" t="s">
        <v>848</v>
      </c>
      <c r="GU352" s="343">
        <v>180</v>
      </c>
      <c r="GV352" s="343" t="s">
        <v>866</v>
      </c>
      <c r="GW352" s="343" t="s">
        <v>868</v>
      </c>
      <c r="GX352" s="343" t="s">
        <v>848</v>
      </c>
      <c r="GY352" s="343">
        <v>180</v>
      </c>
      <c r="GZ352" s="343" t="s">
        <v>866</v>
      </c>
      <c r="HA352" s="343" t="s">
        <v>868</v>
      </c>
      <c r="HB352" s="343" t="s">
        <v>848</v>
      </c>
      <c r="HC352" s="343">
        <v>180</v>
      </c>
      <c r="HD352" s="343" t="s">
        <v>866</v>
      </c>
      <c r="HE352" s="343" t="s">
        <v>868</v>
      </c>
      <c r="HF352" s="341" t="s">
        <v>975</v>
      </c>
      <c r="HG352" s="341" t="s">
        <v>976</v>
      </c>
      <c r="HH352" s="341" t="s">
        <v>899</v>
      </c>
      <c r="HJ352" s="238"/>
      <c r="HK352" s="238"/>
      <c r="HL352" s="238"/>
      <c r="HM352" s="238">
        <f>COUNT(HI353,HJ353,HK353,HL353,HM353)</f>
        <v>0</v>
      </c>
      <c r="HN352" s="341"/>
      <c r="HO352" s="341"/>
      <c r="HP352" s="341"/>
      <c r="HQ352" s="341"/>
      <c r="HR352" s="341"/>
      <c r="HS352" s="238"/>
      <c r="HT352" s="238"/>
      <c r="HU352" s="238"/>
      <c r="HV352" s="238"/>
      <c r="HX352" s="238"/>
      <c r="HY352" s="238"/>
      <c r="ID352" s="238"/>
    </row>
    <row r="353" spans="1:238" s="234" customFormat="1" ht="20.100000000000001" customHeight="1">
      <c r="A353" s="235"/>
      <c r="B353" s="231">
        <f>COUNT(AJ354,AJ353)</f>
        <v>0</v>
      </c>
      <c r="C353" s="326">
        <f>IF(DK352="*",AJ349,AI349)</f>
        <v>3.5</v>
      </c>
      <c r="D353" s="253" t="str">
        <f>REPT(DN353,1)</f>
        <v>2</v>
      </c>
      <c r="E353" s="254" t="str">
        <f>REPT(AH353,1)</f>
        <v/>
      </c>
      <c r="F353" s="168"/>
      <c r="G353" s="168"/>
      <c r="H353" s="168"/>
      <c r="I353" s="169"/>
      <c r="J353" s="270" t="str">
        <f>REPT(AM353,1)</f>
        <v/>
      </c>
      <c r="L353" s="306" t="s">
        <v>922</v>
      </c>
      <c r="M353" s="311"/>
      <c r="N353" s="270" t="str">
        <f>REPT(AP353,1)</f>
        <v/>
      </c>
      <c r="P353" s="306" t="s">
        <v>922</v>
      </c>
      <c r="Q353" s="310"/>
      <c r="R353" s="324">
        <f>IF(DL352="*",AJ349,AI349)</f>
        <v>3.5</v>
      </c>
      <c r="S353" s="253" t="str">
        <f>REPT(DO353,1)</f>
        <v>2</v>
      </c>
      <c r="T353" s="254" t="str">
        <f>REPT(AV353,1)</f>
        <v/>
      </c>
      <c r="U353" s="168"/>
      <c r="V353" s="168"/>
      <c r="W353" s="168"/>
      <c r="X353" s="169"/>
      <c r="Y353" s="270" t="str">
        <f t="shared" ref="Y353:Y355" si="864">REPT(BA353,1)</f>
        <v/>
      </c>
      <c r="Z353" s="308"/>
      <c r="AB353" s="234">
        <f>IF(AY353="",0,IF(AY353&lt;2,1,""))</f>
        <v>0</v>
      </c>
      <c r="AC353" s="238">
        <f t="shared" ref="AC353:AC354" si="865">IF(AD353=1,1,IF(AD353=3,1,IF(AD353=2,0,IF(AD353=0,0,0))))</f>
        <v>0</v>
      </c>
      <c r="AD353" s="256">
        <f t="shared" ref="AD353:AD356" si="866">SUM(AE353:AG353)</f>
        <v>0</v>
      </c>
      <c r="AE353" s="256">
        <f t="shared" si="860"/>
        <v>0</v>
      </c>
      <c r="AF353" s="256">
        <f t="shared" si="861"/>
        <v>0</v>
      </c>
      <c r="AG353" s="256">
        <f t="shared" ref="AG353:AG356" si="867">IF(H353="",0,1)</f>
        <v>0</v>
      </c>
      <c r="AH353" s="257" t="str">
        <f>IF(AK353="",IF(AI353="","",IF(AI353="",501,501-AI353)),501)</f>
        <v/>
      </c>
      <c r="AI353" s="256" t="str">
        <f>IF(F353&gt;1,F353,IF(F353=0,"",IF(F353="","","")))</f>
        <v/>
      </c>
      <c r="AJ353" s="256" t="str">
        <f>IF(G353&gt;8,G353,IF(G353="","",""))</f>
        <v/>
      </c>
      <c r="AK353" s="256" t="str">
        <f>IF(H353&gt;1,H353,IF(H353="","",""))</f>
        <v/>
      </c>
      <c r="AL353" s="256" t="str">
        <f>IF(I353&gt;0,I353,IF(I353="","",""))</f>
        <v/>
      </c>
      <c r="AM353" s="258" t="str">
        <f>IF(BK353=0,"","X")</f>
        <v/>
      </c>
      <c r="AN353" s="237"/>
      <c r="AO353" s="237"/>
      <c r="AP353" s="258" t="str">
        <f>IF(BM353=0,"","X")</f>
        <v/>
      </c>
      <c r="AQ353" s="236">
        <f t="shared" ref="AQ353:AQ354" si="868">IF(AR353=1,1,IF(AR353=3,1,IF(AR353=2,0,IF(AR353=0,0,0))))</f>
        <v>0</v>
      </c>
      <c r="AR353" s="256">
        <f t="shared" ref="AR353:AR356" si="869">SUM(AS353:AU353)</f>
        <v>0</v>
      </c>
      <c r="AS353" s="256">
        <f t="shared" si="862"/>
        <v>0</v>
      </c>
      <c r="AT353" s="256">
        <f t="shared" si="863"/>
        <v>0</v>
      </c>
      <c r="AU353" s="256">
        <f t="shared" ref="AU353:AU356" si="870">IF(W353="",0,1)</f>
        <v>0</v>
      </c>
      <c r="AV353" s="257" t="str">
        <f>IF(AY353="",IF(AW353="","",IF(AW353="",501,501-AW353)),501)</f>
        <v/>
      </c>
      <c r="AW353" s="256" t="str">
        <f>IF(U353&gt;1,U353,IF(U353=0,"",IF(U353="","","")))</f>
        <v/>
      </c>
      <c r="AX353" s="256" t="str">
        <f>IF(V353&gt;8,V353,IF(V353="","",""))</f>
        <v/>
      </c>
      <c r="AY353" s="256" t="str">
        <f>IF(W353&gt;1,W353,IF(W353="","",""))</f>
        <v/>
      </c>
      <c r="AZ353" s="256" t="str">
        <f>IF(X353&gt;0,X353,IF(X353="","",""))</f>
        <v/>
      </c>
      <c r="BA353" s="258" t="str">
        <f>IF(BL353=0,"","X")</f>
        <v/>
      </c>
      <c r="BK353" s="251">
        <f>SUM(DD353,DV353,EY353,ED353,FF353,BQ353,BS353,AC353)</f>
        <v>0</v>
      </c>
      <c r="BL353" s="251">
        <f>SUM(DE353,DW353,EE353,FT353,GA353,BR353,BT353,AQ353)</f>
        <v>0</v>
      </c>
      <c r="BM353" s="259">
        <f t="shared" ref="BM353:BM354" si="871">SUM(DC353,BK353:BL353,AC353,AQ353)</f>
        <v>0</v>
      </c>
      <c r="BN353" s="239">
        <f>COUNT(AK353)</f>
        <v>0</v>
      </c>
      <c r="BO353" s="239">
        <f>COUNT(AY353)</f>
        <v>0</v>
      </c>
      <c r="BP353" s="239">
        <f>IF(BN355=0,0,1)</f>
        <v>0</v>
      </c>
      <c r="BQ353" s="260">
        <f>IF(AL353="",0,IF(AL353&gt;2,1,0))</f>
        <v>0</v>
      </c>
      <c r="BR353" s="261">
        <f>IF(AZ353="",0,IF(AZ353&gt;2,1,0))</f>
        <v>0</v>
      </c>
      <c r="BS353" s="262">
        <f>IF(AJ353=9,IF(AK353&lt;141,1,0),0)</f>
        <v>0</v>
      </c>
      <c r="BT353" s="263">
        <f>IF(AX353=9,IF(AY353&lt;141,1,0),0)</f>
        <v>0</v>
      </c>
      <c r="BU353" s="242">
        <f>IF(H353,G353,0)</f>
        <v>0</v>
      </c>
      <c r="BV353" s="238">
        <f>IF(BU353&gt;0,AJ353/3,0)</f>
        <v>0</v>
      </c>
      <c r="BW353" s="238">
        <f>ROUNDUP(BV353,0)</f>
        <v>0</v>
      </c>
      <c r="BX353" s="244">
        <f>IF(MOD(BW353,2)=0,BW353,BW353+1)</f>
        <v>0</v>
      </c>
      <c r="BY353" s="238">
        <f>IF(AJ353&lt;9,"",SUM(BX353-BW353))</f>
        <v>0</v>
      </c>
      <c r="BZ353" s="238">
        <f>IF(BY353=1,AK353,0)</f>
        <v>0</v>
      </c>
      <c r="CA353" s="243" t="str">
        <f>IF(BY353=0,AK353,0)</f>
        <v/>
      </c>
      <c r="CB353" s="238"/>
      <c r="CC353" s="238"/>
      <c r="CD353" s="242">
        <f>IF(W353,V353,0)</f>
        <v>0</v>
      </c>
      <c r="CE353" s="238">
        <f>IF(CD353&gt;0,AX353/3,0)</f>
        <v>0</v>
      </c>
      <c r="CF353" s="238">
        <f>ROUNDUP(CE353,0)</f>
        <v>0</v>
      </c>
      <c r="CG353" s="244">
        <f>IF(MOD(CF353,2)=0,CF353,CF353+1)</f>
        <v>0</v>
      </c>
      <c r="CH353" s="238">
        <f>IF(AX353&lt;9,"",SUM(CG353-CF353))</f>
        <v>0</v>
      </c>
      <c r="CI353" s="238">
        <f>IF(CH353=1,AY353,0)</f>
        <v>0</v>
      </c>
      <c r="CJ353" s="243" t="str">
        <f>IF(CH353=0,AY353,0)</f>
        <v/>
      </c>
      <c r="CK353" s="238"/>
      <c r="CL353" s="245">
        <f>IF(COUNT(F353,H353)=1,0,1)</f>
        <v>1</v>
      </c>
      <c r="CM353" s="245">
        <f>IF(COUNT(F353,U353)=1,0,1)</f>
        <v>1</v>
      </c>
      <c r="CN353" s="245">
        <f>IF(COUNT(H353,W353)=1,0,1)</f>
        <v>1</v>
      </c>
      <c r="CO353" s="245">
        <f>IF(COUNT(G353,V353)=2,0,1)</f>
        <v>1</v>
      </c>
      <c r="CP353" s="245">
        <f>IF(COUNT(U353,W353)=1,0,1)</f>
        <v>1</v>
      </c>
      <c r="CQ353" s="245">
        <f>IF(SUM(G353-V353)&gt;3,1,0)</f>
        <v>0</v>
      </c>
      <c r="CR353" s="245">
        <f>IF(SUM(G353-V353)&lt;-3,1,0)</f>
        <v>0</v>
      </c>
      <c r="CS353" s="264">
        <f>IF(AJ353=9,IF(AH353&lt;141,1,0),IF(AH353="",0,IF(AH353&gt;1,0,1)))</f>
        <v>0</v>
      </c>
      <c r="CT353" s="264">
        <f>IF(AX353=9,IF(AV353&lt;141,1,0),IF(AV353="",0,IF(AV353&gt;1,0,1)))</f>
        <v>0</v>
      </c>
      <c r="CU353" s="264">
        <f>IF(AI353="",0,IF(AI353&lt;502,0,1))</f>
        <v>0</v>
      </c>
      <c r="CV353" s="264">
        <f>IF(AW353="",0,IF(AW353&lt;502,0,1))</f>
        <v>0</v>
      </c>
      <c r="CW353" s="264">
        <f>IF(AI353="",IF(AJ353&lt;9,1,0),IF(AJ353&lt;9,1,0))</f>
        <v>0</v>
      </c>
      <c r="CX353" s="264">
        <f>IF(AW353="",IF(AX353&lt;9,1,0),IF(AX353&lt;9,1,0))</f>
        <v>0</v>
      </c>
      <c r="CY353" s="374"/>
      <c r="CZ353" s="374"/>
      <c r="DA353" s="374"/>
      <c r="DB353" s="374"/>
      <c r="DC353" s="265">
        <f>IF(AJ353="",0,SUM(CL353:CX353))</f>
        <v>0</v>
      </c>
      <c r="DD353" s="265">
        <f>IF(AJ353="",0,SUM(CL353,CS353,CU353,CW353))</f>
        <v>0</v>
      </c>
      <c r="DE353" s="265">
        <f>IF(AJ353="",0,SUM(CP353,CT353,CV353,CX353))</f>
        <v>0</v>
      </c>
      <c r="DF353" s="238"/>
      <c r="DG353" s="248">
        <f>SUM(G353-V353)</f>
        <v>0</v>
      </c>
      <c r="DH353" s="245">
        <f>IF(F353="",0,1)</f>
        <v>0</v>
      </c>
      <c r="DI353" s="245">
        <f t="shared" ref="DI353:DI356" si="872">IF(DG353=0,DH353,DG353)</f>
        <v>0</v>
      </c>
      <c r="DJ353" s="245">
        <f t="shared" ref="DJ353:DJ356" si="873">SIGN(DI353)</f>
        <v>0</v>
      </c>
      <c r="DK353" s="245" t="str">
        <f>IF(G353="","",IF(DJ353=1,"*",""))</f>
        <v/>
      </c>
      <c r="DL353" s="245" t="str">
        <f>IF(G353="","",IF(DJ353=-1,"*",IF(DJ353=0,"*","")))</f>
        <v/>
      </c>
      <c r="DM353" s="245">
        <v>2</v>
      </c>
      <c r="DN353" s="245" t="str">
        <f t="shared" ref="DN353:DN356" si="874">CONCATENATE(DM353,DK353)</f>
        <v>2</v>
      </c>
      <c r="DO353" s="245" t="str">
        <f t="shared" ref="DO353:DO356" si="875">CONCATENATE(DM353,DL353)</f>
        <v>2</v>
      </c>
      <c r="DP353" s="245">
        <f>SUM(DQ352)</f>
        <v>0</v>
      </c>
      <c r="DQ353" s="245">
        <f>SUM(DP352)</f>
        <v>0</v>
      </c>
      <c r="DR353" s="245">
        <f>IF(DK353="*",1,0)</f>
        <v>0</v>
      </c>
      <c r="DS353" s="245">
        <f>IF(DL353="*",1,0)</f>
        <v>0</v>
      </c>
      <c r="DT353" s="245">
        <f>IF(H343="",0,IF(DP353=DR353,1,0))</f>
        <v>0</v>
      </c>
      <c r="DU353" s="245">
        <f>IF(V353="",0,IF(DQ353=DS353,0,1))</f>
        <v>0</v>
      </c>
      <c r="DV353" s="267">
        <f>SUM(DT353)</f>
        <v>0</v>
      </c>
      <c r="DW353" s="267">
        <f>IF(V353="",0,SUM(DU353))</f>
        <v>0</v>
      </c>
      <c r="DX353" s="238">
        <f>IF(AK353="",0,1)</f>
        <v>0</v>
      </c>
      <c r="DY353" s="238">
        <f>IF(DG353=-3,1,0)</f>
        <v>0</v>
      </c>
      <c r="DZ353" s="238">
        <f>SUM(DX353:DY353)</f>
        <v>0</v>
      </c>
      <c r="EA353" s="238">
        <f>IF(AK353="",1,0)</f>
        <v>1</v>
      </c>
      <c r="EB353" s="238">
        <f>IF(DG353=3,1,0)</f>
        <v>0</v>
      </c>
      <c r="EC353" s="238">
        <f>SUM(EA353:EB353)</f>
        <v>1</v>
      </c>
      <c r="ED353" s="267">
        <f>IF(EC353=2,1,0)</f>
        <v>0</v>
      </c>
      <c r="EE353" s="267">
        <f>IF(DZ353=2,1,0)</f>
        <v>0</v>
      </c>
      <c r="EG353" s="166"/>
      <c r="EH353" s="238"/>
      <c r="EI353" s="238"/>
      <c r="EJ353" s="238"/>
      <c r="EK353" s="238"/>
      <c r="EL353" s="238"/>
      <c r="EM353" s="245">
        <f>IF(AK353="",0,1)</f>
        <v>0</v>
      </c>
      <c r="EN353" s="245">
        <f>SUM(AK353)</f>
        <v>0</v>
      </c>
      <c r="EO353" s="268">
        <f>SUM(AJ353)</f>
        <v>0</v>
      </c>
      <c r="EP353" s="268">
        <f>SUM(G353/3)</f>
        <v>0</v>
      </c>
      <c r="EQ353" s="268" t="e">
        <f>SUM(EO353/EP353)</f>
        <v>#DIV/0!</v>
      </c>
      <c r="ER353" s="268">
        <f>ROUNDDOWN(EP353,0)</f>
        <v>0</v>
      </c>
      <c r="ES353" s="268">
        <f>SUM(EO353,-ER353*3)</f>
        <v>0</v>
      </c>
      <c r="ET353" s="269" t="b">
        <f>MOD(EN353/1,2)=0</f>
        <v>1</v>
      </c>
      <c r="EU353" s="245">
        <f>IF(ET353=FALSE,1,0)</f>
        <v>0</v>
      </c>
      <c r="EV353" s="245">
        <f>IF(EN353=50,0,IF(EN353&lt;40,1,0))</f>
        <v>1</v>
      </c>
      <c r="EW353" s="245">
        <f>SUM(EU353:EV353)</f>
        <v>1</v>
      </c>
      <c r="EX353" s="267">
        <f>IF(EN353=1,1,IF(EN353=50,0,IF(ES353=1,IF(EN353&gt;40,1,0),0)))</f>
        <v>0</v>
      </c>
      <c r="EY353" s="267">
        <f>IF(ES353=1,IF(EW353=2,1,0),0)+EX353+FB353+FE353</f>
        <v>0</v>
      </c>
      <c r="EZ353" s="245">
        <f>IF(EN353=109,1,IF(EN353=108,1,IF(EN353=106,1,IF(EN353=105,1,IF(EN353=103,1,IF(EN353=102,1,IF(EN353=99,1,0)))))))</f>
        <v>0</v>
      </c>
      <c r="FA353" s="245">
        <f>IF(EN353&gt;110,1,0)</f>
        <v>0</v>
      </c>
      <c r="FB353" s="267">
        <f>IF(ES353=2,SUM(EZ353:FA353),0)</f>
        <v>0</v>
      </c>
      <c r="FC353" s="245">
        <f>IF(EN353=159,1,IF(EN353=162,1,IF(EN353=163,1,IF(EN353=165,1,IF(EN353=166,1,IF(EN353=168,1,IF(EN353=169,1,0)))))))</f>
        <v>0</v>
      </c>
      <c r="FD353" s="245">
        <f>IF(EN353&gt;170,1,0)</f>
        <v>0</v>
      </c>
      <c r="FE353" s="267">
        <f>IF(ES353=0,SUM(FC353:FD353),0)</f>
        <v>0</v>
      </c>
      <c r="FF353" s="251">
        <f t="shared" ref="FF353:FF356" si="876">IF(AJ353="",0,IF(AI353="",0,IF(EO353/ER353-3=0,0,1)))</f>
        <v>0</v>
      </c>
      <c r="FG353" s="238"/>
      <c r="FH353" s="245">
        <f>IF(AY353="",0,1)</f>
        <v>0</v>
      </c>
      <c r="FI353" s="245">
        <f>SUM(AY353)</f>
        <v>0</v>
      </c>
      <c r="FJ353" s="268">
        <f>SUM(AX353)</f>
        <v>0</v>
      </c>
      <c r="FK353" s="268">
        <f>SUM(V353/3)</f>
        <v>0</v>
      </c>
      <c r="FL353" s="268" t="e">
        <f>SUM(FJ353/FK353)</f>
        <v>#DIV/0!</v>
      </c>
      <c r="FM353" s="268">
        <f>ROUNDDOWN(FK353,0)</f>
        <v>0</v>
      </c>
      <c r="FN353" s="268">
        <f>SUM(FJ353,-FM353*3)</f>
        <v>0</v>
      </c>
      <c r="FO353" s="269" t="b">
        <f>MOD(FI353/1,2)=0</f>
        <v>1</v>
      </c>
      <c r="FP353" s="245">
        <f>IF(FO353=FALSE,1,0)</f>
        <v>0</v>
      </c>
      <c r="FQ353" s="245">
        <f>IF(FI353=50,0,IF(FI353&lt;40,1,0))</f>
        <v>1</v>
      </c>
      <c r="FR353" s="245">
        <f>SUM(FP353:FQ353)</f>
        <v>1</v>
      </c>
      <c r="FS353" s="267">
        <f>IF(FI353=1,1,IF(FI353=50,0,IF(FN353=1,IF(FI353&gt;40,1,0),0)))</f>
        <v>0</v>
      </c>
      <c r="FT353" s="267">
        <f>IF(FN353=1,IF(FR353=2,1,0),0)+FS353+FW353+FZ353</f>
        <v>0</v>
      </c>
      <c r="FU353" s="245">
        <f>IF(FI353=109,1,IF(FI353=108,1,IF(FI353=106,1,IF(FI353=105,1,IF(FI353=103,1,IF(FI353=102,1,IF(FI353=99,1,0)))))))</f>
        <v>0</v>
      </c>
      <c r="FV353" s="245">
        <f>IF(FI353&gt;110,1,0)</f>
        <v>0</v>
      </c>
      <c r="FW353" s="267">
        <f>IF(FN353=2,SUM(FU353:FV353),0)</f>
        <v>0</v>
      </c>
      <c r="FX353" s="245">
        <f>IF(FI353=159,1,IF(FI353=162,1,IF(FI353=163,1,IF(FI353=165,1,IF(FI353=166,1,IF(FI353=168,1,IF(FI353=169,1,0)))))))</f>
        <v>0</v>
      </c>
      <c r="FY353" s="245">
        <f>IF(FI353&gt;170,1,0)</f>
        <v>0</v>
      </c>
      <c r="FZ353" s="267">
        <f>IF(FN353=0,SUM(FX353:FY353),0)</f>
        <v>0</v>
      </c>
      <c r="GA353" s="251">
        <f t="shared" ref="GA353:GA356" si="877">IF(AX353="",0,IF(AW353="",0,IF(FJ353/FM353-3=0,0,1)))</f>
        <v>0</v>
      </c>
      <c r="GC353" s="238" t="str">
        <f>VLOOKUP(AH349,Chema!BL:BR,2,FALSE)</f>
        <v>HS 3.5</v>
      </c>
      <c r="GD353" s="341">
        <f>IF(E359="FORFAIT",1,0)</f>
        <v>0</v>
      </c>
      <c r="GE353" s="343" t="str">
        <f>IF(C359="","",SUM(C359))</f>
        <v/>
      </c>
      <c r="GF353" s="344">
        <f>SUM(AH352)</f>
        <v>0</v>
      </c>
      <c r="GG353" s="344">
        <f>SUM(AJ352)</f>
        <v>0</v>
      </c>
      <c r="GH353" s="344">
        <f t="shared" ref="GH353" si="878">SUM(AK352)</f>
        <v>0</v>
      </c>
      <c r="GI353" s="344">
        <f t="shared" ref="GI353" si="879">SUM(AL352)</f>
        <v>0</v>
      </c>
      <c r="GJ353" s="344">
        <f>SUM(AH353)</f>
        <v>0</v>
      </c>
      <c r="GK353" s="344">
        <f>SUM(AJ353)</f>
        <v>0</v>
      </c>
      <c r="GL353" s="344">
        <f>SUM(AK353)</f>
        <v>0</v>
      </c>
      <c r="GM353" s="344">
        <f>SUM(AL353)</f>
        <v>0</v>
      </c>
      <c r="GN353" s="344">
        <f>SUM(AH354)</f>
        <v>0</v>
      </c>
      <c r="GO353" s="344">
        <f>SUM(AJ354)</f>
        <v>0</v>
      </c>
      <c r="GP353" s="344">
        <f>SUM(AK354)</f>
        <v>0</v>
      </c>
      <c r="GQ353" s="344">
        <f>SUM(AL354)</f>
        <v>0</v>
      </c>
      <c r="GR353" s="344">
        <f>SUM(AH355)</f>
        <v>0</v>
      </c>
      <c r="GS353" s="344">
        <f>SUM(AJ355)</f>
        <v>0</v>
      </c>
      <c r="GT353" s="344">
        <f>SUM(AK355)</f>
        <v>0</v>
      </c>
      <c r="GU353" s="344">
        <f>SUM(AL355)</f>
        <v>0</v>
      </c>
      <c r="GV353" s="344">
        <f>SUM(AH356)</f>
        <v>0</v>
      </c>
      <c r="GW353" s="344">
        <f>SUM(AJ356)</f>
        <v>0</v>
      </c>
      <c r="GX353" s="344">
        <f>SUM(AK356)</f>
        <v>0</v>
      </c>
      <c r="GY353" s="344">
        <f>SUM(AL356)</f>
        <v>0</v>
      </c>
      <c r="GZ353" s="344">
        <f>SUM(GF353,GJ353,GN353,GR353,GV353)</f>
        <v>0</v>
      </c>
      <c r="HA353" s="344">
        <f t="shared" ref="HA353" si="880">SUM(GG353,GK353,GO353,GS353,GW353)</f>
        <v>0</v>
      </c>
      <c r="HB353" s="344">
        <f>IF(GD352=1,L359,MAX(GH353,GL353,GP353,GT353,GX353))</f>
        <v>0</v>
      </c>
      <c r="HC353" s="344">
        <f>IF(GD352=1,I359,SUM(GI353,GM353,GQ353,GU353,GY353))</f>
        <v>0</v>
      </c>
      <c r="HD353" s="345">
        <f>IF(GD352=1,0,SUM(GF353,GJ353,GN353,GR353,GV353))</f>
        <v>0</v>
      </c>
      <c r="HE353" s="345">
        <f>IF(GD352=1,0,SUM(GG353,GK353,GO353,GS353,GW353))</f>
        <v>0</v>
      </c>
      <c r="HF353" s="341">
        <f>IF(GD352=1,0,MIN(HI353,HJ353,HK353,HL353,HM353))</f>
        <v>0</v>
      </c>
      <c r="HG353" s="341">
        <f>IF(HF353=0,0,COUNTIF(HI353:HM353,HF353))</f>
        <v>0</v>
      </c>
      <c r="HH353" s="341">
        <f>SUM(GH354,GL354,GP354,GT354,GX354)</f>
        <v>0</v>
      </c>
      <c r="HI353" s="343" t="str">
        <f>IF(GH354=1,GG353,"")</f>
        <v/>
      </c>
      <c r="HJ353" s="343" t="str">
        <f>IF(GL354=1,GK353,"")</f>
        <v/>
      </c>
      <c r="HK353" s="343" t="str">
        <f>IF(GP354=1,GO353,"")</f>
        <v/>
      </c>
      <c r="HL353" s="343" t="str">
        <f>IF(GT354=1,GS353,"")</f>
        <v/>
      </c>
      <c r="HM353" s="343" t="str">
        <f>IF(GX354=1,GW353,"")</f>
        <v/>
      </c>
      <c r="HN353" s="341"/>
      <c r="HO353" s="341" t="s">
        <v>928</v>
      </c>
      <c r="HP353" s="341" t="s">
        <v>982</v>
      </c>
      <c r="HQ353" s="341" t="s">
        <v>983</v>
      </c>
      <c r="HR353" s="341" t="s">
        <v>984</v>
      </c>
      <c r="HS353" s="238" t="s">
        <v>932</v>
      </c>
      <c r="HT353" s="238" t="s">
        <v>933</v>
      </c>
      <c r="HU353" s="238" t="s">
        <v>985</v>
      </c>
      <c r="HV353" s="238" t="s">
        <v>986</v>
      </c>
      <c r="HW353" s="238" t="str">
        <f>IFERROR(IF(GD352=0,SUM(HZ354:IA354),""),"")</f>
        <v/>
      </c>
      <c r="HY353" s="238"/>
      <c r="HZ353" s="238" t="s">
        <v>1132</v>
      </c>
      <c r="IA353" s="238" t="s">
        <v>1133</v>
      </c>
      <c r="IB353" s="238" t="s">
        <v>1132</v>
      </c>
      <c r="IC353" s="238" t="s">
        <v>1133</v>
      </c>
      <c r="ID353" s="238"/>
    </row>
    <row r="354" spans="1:238" s="234" customFormat="1" ht="20.100000000000001" customHeight="1">
      <c r="A354" s="235"/>
      <c r="B354" s="231">
        <f>COUNT(AJ355,AJ354)</f>
        <v>0</v>
      </c>
      <c r="C354" s="235"/>
      <c r="D354" s="271" t="str">
        <f>REPT(DN354,1)</f>
        <v>3</v>
      </c>
      <c r="E354" s="254" t="str">
        <f>REPT(AH354,1)</f>
        <v/>
      </c>
      <c r="F354" s="168"/>
      <c r="G354" s="168"/>
      <c r="H354" s="168"/>
      <c r="I354" s="169"/>
      <c r="J354" s="270" t="str">
        <f t="shared" ref="J354:J355" si="881">REPT(AM354,1)</f>
        <v/>
      </c>
      <c r="L354" s="312">
        <f>SUM(L352*3)</f>
        <v>0</v>
      </c>
      <c r="M354" s="307"/>
      <c r="N354" s="270" t="str">
        <f>REPT(AP354,1)</f>
        <v/>
      </c>
      <c r="P354" s="312">
        <f>SUM(P352*3)</f>
        <v>0</v>
      </c>
      <c r="Q354" s="310"/>
      <c r="R354" s="235"/>
      <c r="S354" s="271" t="str">
        <f>REPT(DO354,1)</f>
        <v>3</v>
      </c>
      <c r="T354" s="254" t="str">
        <f>REPT(AV354,1)</f>
        <v/>
      </c>
      <c r="U354" s="168"/>
      <c r="V354" s="168"/>
      <c r="W354" s="168"/>
      <c r="X354" s="169"/>
      <c r="Y354" s="270" t="str">
        <f t="shared" si="864"/>
        <v/>
      </c>
      <c r="Z354" s="308"/>
      <c r="AB354" s="234">
        <f>IF(AY354="",0,IF(AY354&lt;2,1,""))</f>
        <v>0</v>
      </c>
      <c r="AC354" s="238">
        <f t="shared" si="865"/>
        <v>0</v>
      </c>
      <c r="AD354" s="256">
        <f t="shared" si="866"/>
        <v>0</v>
      </c>
      <c r="AE354" s="256">
        <f t="shared" si="860"/>
        <v>0</v>
      </c>
      <c r="AF354" s="256">
        <f t="shared" si="861"/>
        <v>0</v>
      </c>
      <c r="AG354" s="256">
        <f t="shared" si="867"/>
        <v>0</v>
      </c>
      <c r="AH354" s="257" t="str">
        <f>IF(AK354="",IF(AI354="","",IF(AI354="",501,501-AI354)),501)</f>
        <v/>
      </c>
      <c r="AI354" s="256" t="str">
        <f>IF(F354&gt;1,F354,IF(F354=0,"",IF(F354="","","")))</f>
        <v/>
      </c>
      <c r="AJ354" s="256" t="str">
        <f>IF(G354&gt;8,G354,IF(G354="","",""))</f>
        <v/>
      </c>
      <c r="AK354" s="256" t="str">
        <f>IF(H354&gt;1,H354,IF(H354="","",""))</f>
        <v/>
      </c>
      <c r="AL354" s="256" t="str">
        <f>IF(I354&gt;0,I354,IF(I354="","",""))</f>
        <v/>
      </c>
      <c r="AM354" s="258" t="str">
        <f>IF(BK354=0,"","X")</f>
        <v/>
      </c>
      <c r="AN354" s="237"/>
      <c r="AO354" s="237"/>
      <c r="AP354" s="258" t="str">
        <f>IF(BM354=0,"","X")</f>
        <v/>
      </c>
      <c r="AQ354" s="236">
        <f t="shared" si="868"/>
        <v>0</v>
      </c>
      <c r="AR354" s="256">
        <f t="shared" si="869"/>
        <v>0</v>
      </c>
      <c r="AS354" s="256">
        <f t="shared" si="862"/>
        <v>0</v>
      </c>
      <c r="AT354" s="256">
        <f t="shared" si="863"/>
        <v>0</v>
      </c>
      <c r="AU354" s="256">
        <f t="shared" si="870"/>
        <v>0</v>
      </c>
      <c r="AV354" s="257" t="str">
        <f>IF(AY354="",IF(AW354="","",IF(AW354="",501,501-AW354)),501)</f>
        <v/>
      </c>
      <c r="AW354" s="256" t="str">
        <f>IF(U354&gt;1,U354,IF(U354=0,"",IF(U354="","","")))</f>
        <v/>
      </c>
      <c r="AX354" s="256" t="str">
        <f>IF(V354&gt;8,V354,IF(V354="","",""))</f>
        <v/>
      </c>
      <c r="AY354" s="256" t="str">
        <f>IF(W354&gt;1,W354,IF(W354="","",""))</f>
        <v/>
      </c>
      <c r="AZ354" s="256" t="str">
        <f>IF(X354&gt;0,X354,IF(X354="","",""))</f>
        <v/>
      </c>
      <c r="BA354" s="258" t="str">
        <f>IF(BL354=0,"","X")</f>
        <v/>
      </c>
      <c r="BK354" s="251">
        <f>SUM(DD354,DV354,EY354,ED354,FF354,BQ354,BS354,AC354,BK361)</f>
        <v>0</v>
      </c>
      <c r="BL354" s="251">
        <f>SUM(DE354,DW354,EE354,FT354,GA354,BR354,BT354,AQ354,BL361,CZ354)</f>
        <v>0</v>
      </c>
      <c r="BM354" s="259">
        <f t="shared" si="871"/>
        <v>0</v>
      </c>
      <c r="BN354" s="239">
        <f>COUNT(AK354)</f>
        <v>0</v>
      </c>
      <c r="BO354" s="239">
        <f>COUNT(AY354)</f>
        <v>0</v>
      </c>
      <c r="BP354" s="239">
        <f>IF(BN356=0,0,1)</f>
        <v>0</v>
      </c>
      <c r="BQ354" s="260">
        <f>IF(AL354="",0,IF(AL354&gt;2,1,0))</f>
        <v>0</v>
      </c>
      <c r="BR354" s="261">
        <f>IF(AZ354="",0,IF(AZ354&gt;2,1,0))</f>
        <v>0</v>
      </c>
      <c r="BS354" s="262">
        <f>IF(AJ354=9,IF(AK354&lt;141,1,0),0)</f>
        <v>0</v>
      </c>
      <c r="BT354" s="263">
        <f>IF(AX354=9,IF(AY354&lt;141,1,0),0)</f>
        <v>0</v>
      </c>
      <c r="BU354" s="242">
        <f>IF(H354,G354,0)</f>
        <v>0</v>
      </c>
      <c r="BV354" s="238">
        <f>IF(BU354&gt;0,AJ354/3,0)</f>
        <v>0</v>
      </c>
      <c r="BW354" s="238">
        <f>ROUNDUP(BV354,0)</f>
        <v>0</v>
      </c>
      <c r="BX354" s="244">
        <f>IF(MOD(BW354,2)=0,BW354,BW354+1)</f>
        <v>0</v>
      </c>
      <c r="BY354" s="238">
        <f>IF(AJ354&lt;9,"",SUM(BX354-BW354))</f>
        <v>0</v>
      </c>
      <c r="BZ354" s="238">
        <f>IF(BY354=1,AK354,0)</f>
        <v>0</v>
      </c>
      <c r="CA354" s="243" t="str">
        <f>IF(BY354=0,AK354,0)</f>
        <v/>
      </c>
      <c r="CB354" s="238"/>
      <c r="CC354" s="238"/>
      <c r="CD354" s="242">
        <f>IF(W354,V354,0)</f>
        <v>0</v>
      </c>
      <c r="CE354" s="238">
        <f>IF(CD354&gt;0,AX354/3,0)</f>
        <v>0</v>
      </c>
      <c r="CF354" s="238">
        <f>ROUNDUP(CE354,0)</f>
        <v>0</v>
      </c>
      <c r="CG354" s="244">
        <f>IF(MOD(CF354,2)=0,CF354,CF354+1)</f>
        <v>0</v>
      </c>
      <c r="CH354" s="238">
        <f>IF(AX354&lt;9,"",SUM(CG354-CF354))</f>
        <v>0</v>
      </c>
      <c r="CI354" s="238">
        <f>IF(CH354=1,AY354,0)</f>
        <v>0</v>
      </c>
      <c r="CJ354" s="243" t="str">
        <f>IF(CH354=0,AY354,0)</f>
        <v/>
      </c>
      <c r="CK354" s="238"/>
      <c r="CL354" s="245">
        <f>IF(COUNT(F354,H354)=1,0,1)</f>
        <v>1</v>
      </c>
      <c r="CM354" s="245">
        <f>IF(COUNT(F354,U354)=1,0,1)</f>
        <v>1</v>
      </c>
      <c r="CN354" s="245">
        <f>IF(COUNT(H354,W354)=1,0,1)</f>
        <v>1</v>
      </c>
      <c r="CO354" s="245">
        <f>IF(COUNT(G354,V354)=2,0,1)</f>
        <v>1</v>
      </c>
      <c r="CP354" s="245">
        <f>IF(COUNT(U354,W354)=1,0,1)</f>
        <v>1</v>
      </c>
      <c r="CQ354" s="245">
        <f>IF(SUM(G354-V354)&gt;3,1,0)</f>
        <v>0</v>
      </c>
      <c r="CR354" s="245">
        <f>IF(SUM(G354-V354)&lt;-3,1,0)</f>
        <v>0</v>
      </c>
      <c r="CS354" s="264">
        <f>IF(AJ354=9,IF(AH354&lt;141,1,0),IF(AH354="",0,IF(AH354&gt;1,0,1)))</f>
        <v>0</v>
      </c>
      <c r="CT354" s="264">
        <f>IF(AX354=9,IF(AV354&lt;141,1,0),IF(AV354="",0,IF(AV354&gt;1,0,1)))</f>
        <v>0</v>
      </c>
      <c r="CU354" s="264">
        <f>IF(AI354="",0,IF(AI354&lt;502,0,1))</f>
        <v>0</v>
      </c>
      <c r="CV354" s="264">
        <f>IF(AW354="",0,IF(AW354&lt;502,0,1))</f>
        <v>0</v>
      </c>
      <c r="CW354" s="264">
        <f>IF(AI354="",IF(AJ354&lt;9,1,0),IF(AJ354&lt;9,1,0))</f>
        <v>0</v>
      </c>
      <c r="CX354" s="264">
        <f>IF(AW354="",IF(AX354&lt;9,1,0),IF(AX354&lt;9,1,0))</f>
        <v>0</v>
      </c>
      <c r="CY354" s="374">
        <f>COUNT(U352,U353,U354)</f>
        <v>0</v>
      </c>
      <c r="CZ354" s="375">
        <f>IF(AL349=3,IF(CY354&gt;2,1,0),0)</f>
        <v>0</v>
      </c>
      <c r="DA354" s="374"/>
      <c r="DB354" s="374"/>
      <c r="DC354" s="265">
        <f>IF(AJ354="",0,SUM(CL354:CX354))</f>
        <v>0</v>
      </c>
      <c r="DD354" s="265">
        <f>IF(AJ354="",0,SUM(CL354,CS354,CU354,CW354))</f>
        <v>0</v>
      </c>
      <c r="DE354" s="265">
        <f>IF(AJ354="",0,SUM(CP354,CT354,CV354,CX354))</f>
        <v>0</v>
      </c>
      <c r="DF354" s="238"/>
      <c r="DG354" s="248">
        <f>SUM(G354-V354)</f>
        <v>0</v>
      </c>
      <c r="DH354" s="245">
        <f>IF(F354="",0,1)</f>
        <v>0</v>
      </c>
      <c r="DI354" s="245">
        <f t="shared" si="872"/>
        <v>0</v>
      </c>
      <c r="DJ354" s="245">
        <f t="shared" si="873"/>
        <v>0</v>
      </c>
      <c r="DK354" s="245" t="str">
        <f>IF(G354="","",IF(DJ354=1,"*",""))</f>
        <v/>
      </c>
      <c r="DL354" s="245" t="str">
        <f>IF(G354="","",IF(DJ354=-1,"*",IF(DJ354=0,"*","")))</f>
        <v/>
      </c>
      <c r="DM354" s="245">
        <v>3</v>
      </c>
      <c r="DN354" s="245" t="str">
        <f t="shared" si="874"/>
        <v>3</v>
      </c>
      <c r="DO354" s="245" t="str">
        <f t="shared" si="875"/>
        <v>3</v>
      </c>
      <c r="DP354" s="245">
        <f>SUM(DP352)</f>
        <v>0</v>
      </c>
      <c r="DQ354" s="245">
        <f>SUM(DQ352)</f>
        <v>0</v>
      </c>
      <c r="DR354" s="245">
        <f t="shared" ref="DR354:DR356" si="882">IF(DK354="*",1,0)</f>
        <v>0</v>
      </c>
      <c r="DS354" s="245">
        <f t="shared" ref="DS354:DS356" si="883">IF(DL354="*",1,0)</f>
        <v>0</v>
      </c>
      <c r="DT354" s="245">
        <f t="shared" ref="DT354:DT356" si="884">IF(H344="",0,IF(DP354=DR354,1,0))</f>
        <v>0</v>
      </c>
      <c r="DU354" s="245">
        <f>IF(V354="",0,IF(DQ354=DS354,0,1))</f>
        <v>0</v>
      </c>
      <c r="DV354" s="267">
        <f t="shared" ref="DV354:DV356" si="885">SUM(DT354)</f>
        <v>0</v>
      </c>
      <c r="DW354" s="267">
        <f>IF(V354="",0,SUM(DU354))</f>
        <v>0</v>
      </c>
      <c r="DX354" s="238">
        <f>IF(AK354="",0,1)</f>
        <v>0</v>
      </c>
      <c r="DY354" s="238">
        <f>IF(DG354=-3,1,0)</f>
        <v>0</v>
      </c>
      <c r="DZ354" s="238">
        <f>SUM(DX354:DY354)</f>
        <v>0</v>
      </c>
      <c r="EA354" s="238">
        <f>IF(AK354="",1,0)</f>
        <v>1</v>
      </c>
      <c r="EB354" s="238">
        <f>IF(DG354=3,1,0)</f>
        <v>0</v>
      </c>
      <c r="EC354" s="238">
        <f>SUM(EA354:EB354)</f>
        <v>1</v>
      </c>
      <c r="ED354" s="267">
        <f>IF(EC354=2,1,0)</f>
        <v>0</v>
      </c>
      <c r="EE354" s="267">
        <f>IF(DZ354=2,1,0)</f>
        <v>0</v>
      </c>
      <c r="EG354" s="166"/>
      <c r="EH354" s="238"/>
      <c r="EI354" s="238"/>
      <c r="EJ354" s="238"/>
      <c r="EK354" s="238"/>
      <c r="EL354" s="238"/>
      <c r="EM354" s="245">
        <f>IF(AK354="",0,1)</f>
        <v>0</v>
      </c>
      <c r="EN354" s="245">
        <f>SUM(AK354)</f>
        <v>0</v>
      </c>
      <c r="EO354" s="268">
        <f>SUM(AJ354)</f>
        <v>0</v>
      </c>
      <c r="EP354" s="268">
        <f>SUM(G354/3)</f>
        <v>0</v>
      </c>
      <c r="EQ354" s="268" t="e">
        <f>SUM(EO354/EP354)</f>
        <v>#DIV/0!</v>
      </c>
      <c r="ER354" s="268">
        <f>ROUNDDOWN(EP354,0)</f>
        <v>0</v>
      </c>
      <c r="ES354" s="268">
        <f>SUM(EO354,-ER354*3)</f>
        <v>0</v>
      </c>
      <c r="ET354" s="269" t="b">
        <f>MOD(EN354/1,2)=0</f>
        <v>1</v>
      </c>
      <c r="EU354" s="245">
        <f>IF(ET354=FALSE,1,0)</f>
        <v>0</v>
      </c>
      <c r="EV354" s="245">
        <f>IF(EN354=50,0,IF(EN354&lt;40,1,0))</f>
        <v>1</v>
      </c>
      <c r="EW354" s="245">
        <f>SUM(EU354:EV354)</f>
        <v>1</v>
      </c>
      <c r="EX354" s="267">
        <f>IF(EN354=1,1,IF(EN354=50,0,IF(ES354=1,IF(EN354&gt;40,1,0),0)))</f>
        <v>0</v>
      </c>
      <c r="EY354" s="267">
        <f>IF(ES354=1,IF(EW354=2,1,0),0)+EX354+FB354+FE354</f>
        <v>0</v>
      </c>
      <c r="EZ354" s="245">
        <f>IF(EN354=109,1,IF(EN354=108,1,IF(EN354=106,1,IF(EN354=105,1,IF(EN354=103,1,IF(EN354=102,1,IF(EN354=99,1,0)))))))</f>
        <v>0</v>
      </c>
      <c r="FA354" s="245">
        <f>IF(EN354&gt;110,1,0)</f>
        <v>0</v>
      </c>
      <c r="FB354" s="267">
        <f>IF(ES354=2,SUM(EZ354:FA354),0)</f>
        <v>0</v>
      </c>
      <c r="FC354" s="245">
        <f>IF(EN354=159,1,IF(EN354=162,1,IF(EN354=163,1,IF(EN354=165,1,IF(EN354=166,1,IF(EN354=168,1,IF(EN354=169,1,0)))))))</f>
        <v>0</v>
      </c>
      <c r="FD354" s="245">
        <f>IF(EN354&gt;170,1,0)</f>
        <v>0</v>
      </c>
      <c r="FE354" s="267">
        <f>IF(ES354=0,SUM(FC354:FD354),0)</f>
        <v>0</v>
      </c>
      <c r="FF354" s="251">
        <f t="shared" si="876"/>
        <v>0</v>
      </c>
      <c r="FG354" s="238"/>
      <c r="FH354" s="245">
        <f>IF(AY354="",0,1)</f>
        <v>0</v>
      </c>
      <c r="FI354" s="245">
        <f>SUM(AY354)</f>
        <v>0</v>
      </c>
      <c r="FJ354" s="268">
        <f>SUM(AX354)</f>
        <v>0</v>
      </c>
      <c r="FK354" s="268">
        <f>SUM(V354/3)</f>
        <v>0</v>
      </c>
      <c r="FL354" s="268" t="e">
        <f>SUM(FJ354/FK354)</f>
        <v>#DIV/0!</v>
      </c>
      <c r="FM354" s="268">
        <f>ROUNDDOWN(FK354,0)</f>
        <v>0</v>
      </c>
      <c r="FN354" s="268">
        <f>SUM(FJ354,-FM354*3)</f>
        <v>0</v>
      </c>
      <c r="FO354" s="269" t="b">
        <f>MOD(FI354/1,2)=0</f>
        <v>1</v>
      </c>
      <c r="FP354" s="245">
        <f>IF(FO354=FALSE,1,0)</f>
        <v>0</v>
      </c>
      <c r="FQ354" s="245">
        <f>IF(FI354=50,0,IF(FI354&lt;40,1,0))</f>
        <v>1</v>
      </c>
      <c r="FR354" s="245">
        <f>SUM(FP354:FQ354)</f>
        <v>1</v>
      </c>
      <c r="FS354" s="267">
        <f>IF(FI354=1,1,IF(FI354=50,0,IF(FN354=1,IF(FI354&gt;40,1,0),0)))</f>
        <v>0</v>
      </c>
      <c r="FT354" s="267">
        <f>IF(FN354=1,IF(FR354=2,1,0),0)+FS354+FW354+FZ354</f>
        <v>0</v>
      </c>
      <c r="FU354" s="245">
        <f>IF(FI354=109,1,IF(FI354=108,1,IF(FI354=106,1,IF(FI354=105,1,IF(FI354=103,1,IF(FI354=102,1,IF(FI354=99,1,0)))))))</f>
        <v>0</v>
      </c>
      <c r="FV354" s="245">
        <f>IF(FI354&gt;110,1,0)</f>
        <v>0</v>
      </c>
      <c r="FW354" s="267">
        <f>IF(FN354=2,SUM(FU354:FV354),0)</f>
        <v>0</v>
      </c>
      <c r="FX354" s="245">
        <f>IF(FI354=159,1,IF(FI354=162,1,IF(FI354=163,1,IF(FI354=165,1,IF(FI354=166,1,IF(FI354=168,1,IF(FI354=169,1,0)))))))</f>
        <v>0</v>
      </c>
      <c r="FY354" s="245">
        <f>IF(FI354&gt;170,1,0)</f>
        <v>0</v>
      </c>
      <c r="FZ354" s="267">
        <f>IF(FN354=0,SUM(FX354:FY354),0)</f>
        <v>0</v>
      </c>
      <c r="GA354" s="251">
        <f t="shared" si="877"/>
        <v>0</v>
      </c>
      <c r="GC354" s="238" t="str">
        <f>VLOOKUP(AH349,Chema!BL:BR,3,FALSE)</f>
        <v/>
      </c>
      <c r="GD354" s="341"/>
      <c r="GE354" s="343" t="str">
        <f>IF(C360="","",SUM(C360))</f>
        <v/>
      </c>
      <c r="GF354" s="346"/>
      <c r="GG354" s="340"/>
      <c r="GH354" s="343">
        <f>IF(GH353&gt;0,1,0)</f>
        <v>0</v>
      </c>
      <c r="GI354" s="346"/>
      <c r="GJ354" s="343"/>
      <c r="GK354" s="340"/>
      <c r="GL354" s="343">
        <f>IF(GL353&gt;0,1,0)</f>
        <v>0</v>
      </c>
      <c r="GM354" s="343"/>
      <c r="GN354" s="343"/>
      <c r="GO354" s="340"/>
      <c r="GP354" s="343">
        <f>IF(GP353&gt;0,1,0)</f>
        <v>0</v>
      </c>
      <c r="GQ354" s="343"/>
      <c r="GR354" s="343"/>
      <c r="GS354" s="340"/>
      <c r="GT354" s="343">
        <f>IF(GT353&gt;0,1,0)</f>
        <v>0</v>
      </c>
      <c r="GU354" s="343"/>
      <c r="GV354" s="343"/>
      <c r="GW354" s="340"/>
      <c r="GX354" s="343">
        <f>IF(GX353&gt;0,1,0)</f>
        <v>0</v>
      </c>
      <c r="GY354" s="343"/>
      <c r="GZ354" s="343"/>
      <c r="HA354" s="343"/>
      <c r="HB354" s="343" t="str">
        <f>IF(GD352=1,L360,"")</f>
        <v/>
      </c>
      <c r="HC354" s="343" t="str">
        <f>IF(GD352=1,I360,"")</f>
        <v/>
      </c>
      <c r="HD354" s="345"/>
      <c r="HE354" s="340"/>
      <c r="HF354" s="340"/>
      <c r="HG354" s="347">
        <f>IF(GE353="",0,IF(AL349=3,2,IF(AL349=5,3,0)))</f>
        <v>0</v>
      </c>
      <c r="HH354" s="347">
        <f>IF(HK354=0,0,IF(HG356=0,0,1))</f>
        <v>0</v>
      </c>
      <c r="HI354" s="340"/>
      <c r="HJ354" s="340"/>
      <c r="HK354" s="340">
        <f>SUM(HM352,HM356)</f>
        <v>0</v>
      </c>
      <c r="HL354" s="340">
        <f>IF(HK354=0,0,IF(HM352=HG354,1,0))</f>
        <v>0</v>
      </c>
      <c r="HM354" s="340">
        <f>IF(HK354=0,0,IF(HM356=HG354,1,0))</f>
        <v>0</v>
      </c>
      <c r="HN354" s="341" t="str">
        <f>REPT(N349,1)</f>
        <v>Spiel 25</v>
      </c>
      <c r="HO354" s="348" t="str">
        <f>IF(HK354=0,"",IF(HH354=0,SUM(HH353),""))</f>
        <v/>
      </c>
      <c r="HP354" s="348" t="str">
        <f>IF(HK354=0,"",IF(HH354=0,SUM(HH355),""))</f>
        <v/>
      </c>
      <c r="HQ354" s="348" t="e">
        <f>IF(HH354=0,SUM(GZ353/HA353),"")</f>
        <v>#DIV/0!</v>
      </c>
      <c r="HR354" s="348" t="e">
        <f>IF(HH354=0,SUM(GZ355/HA355),"")</f>
        <v>#DIV/0!</v>
      </c>
      <c r="HS354" s="238" t="str">
        <f>REPT(DK352,1)</f>
        <v/>
      </c>
      <c r="HT354" s="238" t="str">
        <f>REPT(DL352,1)</f>
        <v/>
      </c>
      <c r="HU354" s="238">
        <f>IF(HH354=0,HL354,"")</f>
        <v>0</v>
      </c>
      <c r="HV354" s="238">
        <f>IF(HH354=0,HM354,"")</f>
        <v>0</v>
      </c>
      <c r="HW354" s="238" t="s">
        <v>1131</v>
      </c>
      <c r="HY354" s="238"/>
      <c r="HZ354" s="238" t="e">
        <f>IF(AL349=5,IF(HU354=1,SUM(HO354*2-HP354),HO354+HP354-2),"")</f>
        <v>#VALUE!</v>
      </c>
      <c r="IA354" s="238" t="str">
        <f>IF(AL349=3,IF(HU354=1,SUM(HO354-HP354+3),HO354+HP354-1),"")</f>
        <v/>
      </c>
      <c r="IB354" s="238" t="e">
        <f>IF(AL349=5,IF(HV354=1,SUM(HP354*2-HO354),HO354+HP354-2),"")</f>
        <v>#VALUE!</v>
      </c>
      <c r="IC354" s="238" t="str">
        <f>IF(AL349=3,IF(HV354=1,SUM(HP354-HO354+3),HO354+HP354-1),"")</f>
        <v/>
      </c>
      <c r="ID354" s="238">
        <f>SUM(BM358)</f>
        <v>0</v>
      </c>
    </row>
    <row r="355" spans="1:238" s="234" customFormat="1" ht="20.100000000000001" customHeight="1">
      <c r="A355" s="235"/>
      <c r="B355" s="231">
        <f>COUNT(AJ356,AJ355)</f>
        <v>0</v>
      </c>
      <c r="C355" s="235"/>
      <c r="D355" s="328" t="str">
        <f>REPT(DN355,1)</f>
        <v>4</v>
      </c>
      <c r="E355" s="329" t="str">
        <f>REPT(AH355,1)</f>
        <v/>
      </c>
      <c r="F355" s="330"/>
      <c r="G355" s="330"/>
      <c r="H355" s="330"/>
      <c r="I355" s="331"/>
      <c r="J355" s="270" t="str">
        <f t="shared" si="881"/>
        <v/>
      </c>
      <c r="M355" s="311"/>
      <c r="N355" s="270" t="str">
        <f>REPT(AP355,1)</f>
        <v/>
      </c>
      <c r="Q355" s="310"/>
      <c r="R355" s="235"/>
      <c r="S355" s="328" t="str">
        <f>REPT(DO355,1)</f>
        <v>4</v>
      </c>
      <c r="T355" s="329" t="str">
        <f>REPT(AV355,1)</f>
        <v/>
      </c>
      <c r="U355" s="330"/>
      <c r="V355" s="330"/>
      <c r="W355" s="330"/>
      <c r="X355" s="331"/>
      <c r="Y355" s="270" t="str">
        <f t="shared" si="864"/>
        <v/>
      </c>
      <c r="Z355" s="308"/>
      <c r="AA355" s="238">
        <f>SUM(AL349)</f>
        <v>5</v>
      </c>
      <c r="AB355" s="234">
        <f>IF(AY355="",0,IF(AY355&lt;2,1,""))</f>
        <v>0</v>
      </c>
      <c r="AC355" s="238">
        <f>IF(AL349=3,0,IF(AD355=1,1,IF(AD355=3,1,IF(AD355=2,0,IF(AD355=0,0,0)))))</f>
        <v>0</v>
      </c>
      <c r="AD355" s="256">
        <f t="shared" si="866"/>
        <v>0</v>
      </c>
      <c r="AE355" s="256">
        <f t="shared" si="860"/>
        <v>0</v>
      </c>
      <c r="AF355" s="256">
        <f t="shared" si="861"/>
        <v>0</v>
      </c>
      <c r="AG355" s="256">
        <f t="shared" si="867"/>
        <v>0</v>
      </c>
      <c r="AH355" s="257" t="str">
        <f>IF(AL349=3,"",IF(AK355="",IF(AI355="","",IF(AI355="",501,501-AI355)),501))</f>
        <v/>
      </c>
      <c r="AI355" s="256" t="str">
        <f>IF(AL349=3,"",IF(F355&gt;1,F355,IF(F355=0,"",IF(F355="","",""))))</f>
        <v/>
      </c>
      <c r="AJ355" s="256" t="str">
        <f>IF(AL349=3,"",IF(G355&gt;8,G355,IF(G355="","","")))</f>
        <v/>
      </c>
      <c r="AK355" s="256" t="str">
        <f>IF(AL349=3,"",IF(H355&gt;1,H355,IF(H355="","","")))</f>
        <v/>
      </c>
      <c r="AL355" s="256" t="str">
        <f>IF(AL349=3,"",IF(I355&gt;0,I355,IF(I355="","","")))</f>
        <v/>
      </c>
      <c r="AM355" s="258" t="str">
        <f>IF(BK355=0,"","X")</f>
        <v/>
      </c>
      <c r="AN355" s="237"/>
      <c r="AO355" s="237"/>
      <c r="AP355" s="258" t="str">
        <f>IF(BM355=0,"","X")</f>
        <v/>
      </c>
      <c r="AQ355" s="236">
        <f>IF(AL349=3,0,IF(AR355=1,1,IF(AR355=3,1,IF(AR355=2,0,IF(AR355=0,0,0)))))</f>
        <v>0</v>
      </c>
      <c r="AR355" s="256">
        <f t="shared" si="869"/>
        <v>0</v>
      </c>
      <c r="AS355" s="256">
        <f t="shared" si="862"/>
        <v>0</v>
      </c>
      <c r="AT355" s="256">
        <f t="shared" si="863"/>
        <v>0</v>
      </c>
      <c r="AU355" s="256">
        <f t="shared" si="870"/>
        <v>0</v>
      </c>
      <c r="AV355" s="257" t="str">
        <f>IF(AY355="",IF(AW355="","",IF(AW355="",501,501-AW355)),501)</f>
        <v/>
      </c>
      <c r="AW355" s="256" t="str">
        <f>IF(AL349=3,"",IF(U355&gt;1,U355,IF(U355=0,"",IF(U355="","",""))))</f>
        <v/>
      </c>
      <c r="AX355" s="256" t="str">
        <f>IF(AL349=3,"",IF(V355&gt;8,V355,IF(V355="","","")))</f>
        <v/>
      </c>
      <c r="AY355" s="256" t="str">
        <f>IF(AL349=3,"",IF(W355&gt;1,W355,IF(W355="","","")))</f>
        <v/>
      </c>
      <c r="AZ355" s="256" t="str">
        <f>IF(AL349=3,"",IF(X355&gt;0,X355,IF(X355="","","")))</f>
        <v/>
      </c>
      <c r="BA355" s="258" t="str">
        <f>IF(BL355=0,"","X")</f>
        <v/>
      </c>
      <c r="BK355" s="251">
        <f>IF(AL349=3,0,SUM(DD355,DV355,EY355,ED355,FF355,BQ355,BS355,AC355))</f>
        <v>0</v>
      </c>
      <c r="BL355" s="251">
        <f>IF(AL349=3,0,SUM(DE355,DW355,EE355,FT355,GA355,BR355,BT355,AQ355))</f>
        <v>0</v>
      </c>
      <c r="BM355" s="259">
        <f>IF(AL349=3,0,SUM(DC355,BK355:BL355,AC355,AQ355))</f>
        <v>0</v>
      </c>
      <c r="BN355" s="239">
        <f>COUNT(AK355)</f>
        <v>0</v>
      </c>
      <c r="BO355" s="239">
        <f>COUNT(AY355)</f>
        <v>0</v>
      </c>
      <c r="BP355" s="239">
        <f>IF(BZ357=0,0,1)</f>
        <v>0</v>
      </c>
      <c r="BQ355" s="260">
        <f>IF(AL355="",0,IF(AL355&gt;2,1,0))</f>
        <v>0</v>
      </c>
      <c r="BR355" s="261">
        <f>IF(AZ355="",0,IF(AZ355&gt;2,1,0))</f>
        <v>0</v>
      </c>
      <c r="BS355" s="262">
        <f>IF(AJ355=9,IF(AK355&lt;141,1,0),0)</f>
        <v>0</v>
      </c>
      <c r="BT355" s="263">
        <f>IF(AX355=9,IF(AY355&lt;141,1,0),0)</f>
        <v>0</v>
      </c>
      <c r="BU355" s="242">
        <f>IF(AL349=3,0,IF(H355,G355,0))</f>
        <v>0</v>
      </c>
      <c r="BV355" s="238">
        <f>IF(BU355&gt;0,AJ355/3,0)</f>
        <v>0</v>
      </c>
      <c r="BW355" s="238">
        <f>ROUNDUP(BV355,0)</f>
        <v>0</v>
      </c>
      <c r="BX355" s="244">
        <f>IF(MOD(BW355,2)=0,BW355,BW355+1)</f>
        <v>0</v>
      </c>
      <c r="BY355" s="238">
        <f>IF(AJ355&lt;9,"",SUM(BX355-BW355))</f>
        <v>0</v>
      </c>
      <c r="BZ355" s="238">
        <f>IF(BY355=1,AK355,0)</f>
        <v>0</v>
      </c>
      <c r="CA355" s="243" t="str">
        <f>IF(BY355=0,AK355,0)</f>
        <v/>
      </c>
      <c r="CB355" s="238"/>
      <c r="CC355" s="238"/>
      <c r="CD355" s="242">
        <f>IF(AL349=3,0,IF(W355,V355,0))</f>
        <v>0</v>
      </c>
      <c r="CE355" s="238">
        <f>IF(CD355&gt;0,AX355/3,0)</f>
        <v>0</v>
      </c>
      <c r="CF355" s="238">
        <f>ROUNDUP(CE355,0)</f>
        <v>0</v>
      </c>
      <c r="CG355" s="244">
        <f>IF(MOD(CF355,2)=0,CF355,CF355+1)</f>
        <v>0</v>
      </c>
      <c r="CH355" s="238">
        <f>IF(AX355&lt;9,"",SUM(CG355-CF355))</f>
        <v>0</v>
      </c>
      <c r="CI355" s="238">
        <f>IF(CH355=1,AY355,0)</f>
        <v>0</v>
      </c>
      <c r="CJ355" s="243" t="str">
        <f>IF(CH355=0,AY355,0)</f>
        <v/>
      </c>
      <c r="CK355" s="238"/>
      <c r="CL355" s="245">
        <f>IF(COUNT(F355,H355)=1,0,1)</f>
        <v>1</v>
      </c>
      <c r="CM355" s="245">
        <f>IF(COUNT(F355,U355)=1,0,1)</f>
        <v>1</v>
      </c>
      <c r="CN355" s="245">
        <f>IF(COUNT(H355,W355)=1,0,1)</f>
        <v>1</v>
      </c>
      <c r="CO355" s="245">
        <f>IF(COUNT(G355,V355)=2,0,1)</f>
        <v>1</v>
      </c>
      <c r="CP355" s="245">
        <f>IF(COUNT(U355,W355)=1,0,1)</f>
        <v>1</v>
      </c>
      <c r="CQ355" s="245">
        <f>IF(SUM(G355-V355)&gt;3,1,0)</f>
        <v>0</v>
      </c>
      <c r="CR355" s="245">
        <f>IF(SUM(G355-V355)&lt;-3,1,0)</f>
        <v>0</v>
      </c>
      <c r="CS355" s="264">
        <f>IF(AJ355=9,IF(AH355&lt;141,1,0),IF(AH355="",0,IF(AH355&gt;1,0,1)))</f>
        <v>0</v>
      </c>
      <c r="CT355" s="264">
        <f>IF(AX355=9,IF(AV355&lt;141,1,0),IF(AV355="",0,IF(AV355&gt;1,0,1)))</f>
        <v>0</v>
      </c>
      <c r="CU355" s="264">
        <f>IF(AI355="",0,IF(AI355&lt;502,0,1))</f>
        <v>0</v>
      </c>
      <c r="CV355" s="264">
        <f>IF(AW355="",0,IF(AW355&lt;502,0,1))</f>
        <v>0</v>
      </c>
      <c r="CW355" s="264">
        <f>IF(AI355="",IF(AJ355&lt;9,1,0),IF(AJ355&lt;9,1,0))</f>
        <v>0</v>
      </c>
      <c r="CX355" s="264">
        <f>IF(AW355="",IF(AX355&lt;9,1,0),IF(AX355&lt;9,1,0))</f>
        <v>0</v>
      </c>
      <c r="CY355" s="374"/>
      <c r="CZ355" s="374"/>
      <c r="DA355" s="374"/>
      <c r="DB355" s="374"/>
      <c r="DC355" s="265">
        <f>IF(AJ355="",0,SUM(CL355:CX355))</f>
        <v>0</v>
      </c>
      <c r="DD355" s="265">
        <f>IF(AJ355="",0,SUM(CL355,CS355,CU355,CW355))</f>
        <v>0</v>
      </c>
      <c r="DE355" s="265">
        <f>IF(AJ355="",0,SUM(CP355,CT355,CV355,CX355))</f>
        <v>0</v>
      </c>
      <c r="DF355" s="238"/>
      <c r="DG355" s="248">
        <f>IF(AL349=3,0,SUM(G355-V355))</f>
        <v>0</v>
      </c>
      <c r="DH355" s="245">
        <f>IF(F355="",0,1)</f>
        <v>0</v>
      </c>
      <c r="DI355" s="245">
        <f t="shared" si="872"/>
        <v>0</v>
      </c>
      <c r="DJ355" s="245">
        <f t="shared" si="873"/>
        <v>0</v>
      </c>
      <c r="DK355" s="245" t="str">
        <f>IF(G355="","",IF(DJ355=1,"*",""))</f>
        <v/>
      </c>
      <c r="DL355" s="245" t="str">
        <f>IF(AL349=3,"",IF(G355="","",IF(DJ355=-1,"*",IF(DJ355=0,"*",""))))</f>
        <v/>
      </c>
      <c r="DM355" s="245">
        <v>4</v>
      </c>
      <c r="DN355" s="245" t="str">
        <f t="shared" si="874"/>
        <v>4</v>
      </c>
      <c r="DO355" s="245" t="str">
        <f t="shared" si="875"/>
        <v>4</v>
      </c>
      <c r="DP355" s="245">
        <f>SUM(DQ352)</f>
        <v>0</v>
      </c>
      <c r="DQ355" s="245">
        <f>SUM(DP352)</f>
        <v>0</v>
      </c>
      <c r="DR355" s="245">
        <f t="shared" si="882"/>
        <v>0</v>
      </c>
      <c r="DS355" s="245">
        <f t="shared" si="883"/>
        <v>0</v>
      </c>
      <c r="DT355" s="245">
        <f t="shared" si="884"/>
        <v>0</v>
      </c>
      <c r="DU355" s="245">
        <f>IF(V355="",0,IF(DQ355=DS355,0,1))</f>
        <v>0</v>
      </c>
      <c r="DV355" s="267">
        <f t="shared" si="885"/>
        <v>0</v>
      </c>
      <c r="DW355" s="267">
        <f>IF(V355="",0,SUM(DU355))</f>
        <v>0</v>
      </c>
      <c r="DX355" s="238">
        <f>IF(AK355="",0,1)</f>
        <v>0</v>
      </c>
      <c r="DY355" s="238">
        <f>IF(DG355=-3,1,0)</f>
        <v>0</v>
      </c>
      <c r="DZ355" s="238">
        <f>SUM(DX355:DY355)</f>
        <v>0</v>
      </c>
      <c r="EA355" s="238">
        <f>IF(AK355="",1,0)</f>
        <v>1</v>
      </c>
      <c r="EB355" s="238">
        <f>IF(DG355=3,1,0)</f>
        <v>0</v>
      </c>
      <c r="EC355" s="238">
        <f>SUM(EA355:EB355)</f>
        <v>1</v>
      </c>
      <c r="ED355" s="267">
        <f>IF(EC355=2,1,0)</f>
        <v>0</v>
      </c>
      <c r="EE355" s="267">
        <f>IF(DZ355=2,1,0)</f>
        <v>0</v>
      </c>
      <c r="EG355" s="166"/>
      <c r="EH355" s="238"/>
      <c r="EI355" s="238"/>
      <c r="EJ355" s="238"/>
      <c r="EK355" s="238"/>
      <c r="EL355" s="238"/>
      <c r="EM355" s="245">
        <f>IF(AK355="",0,1)</f>
        <v>0</v>
      </c>
      <c r="EN355" s="245">
        <f>SUM(AK355)</f>
        <v>0</v>
      </c>
      <c r="EO355" s="268">
        <f>SUM(AJ355)</f>
        <v>0</v>
      </c>
      <c r="EP355" s="268">
        <f>SUM(G355/3)</f>
        <v>0</v>
      </c>
      <c r="EQ355" s="268" t="e">
        <f>SUM(EO355/EP355)</f>
        <v>#DIV/0!</v>
      </c>
      <c r="ER355" s="268">
        <f>ROUNDDOWN(EP355,0)</f>
        <v>0</v>
      </c>
      <c r="ES355" s="268">
        <f>SUM(EO355,-ER355*3)</f>
        <v>0</v>
      </c>
      <c r="ET355" s="269" t="b">
        <f>MOD(EN355/1,2)=0</f>
        <v>1</v>
      </c>
      <c r="EU355" s="245">
        <f>IF(ET355=FALSE,1,0)</f>
        <v>0</v>
      </c>
      <c r="EV355" s="245">
        <f>IF(EN355=50,0,IF(EN355&lt;40,1,0))</f>
        <v>1</v>
      </c>
      <c r="EW355" s="245">
        <f>SUM(EU355:EV355)</f>
        <v>1</v>
      </c>
      <c r="EX355" s="267">
        <f>IF(EN355=1,1,IF(EN355=50,0,IF(ES355=1,IF(EN355&gt;40,1,0),0)))</f>
        <v>0</v>
      </c>
      <c r="EY355" s="267">
        <f>IF(ES355=1,IF(EW355=2,1,0),0)+EX355+FB355+FE355</f>
        <v>0</v>
      </c>
      <c r="EZ355" s="245">
        <f>IF(EN355=109,1,IF(EN355=108,1,IF(EN355=106,1,IF(EN355=105,1,IF(EN355=103,1,IF(EN355=102,1,IF(EN355=99,1,0)))))))</f>
        <v>0</v>
      </c>
      <c r="FA355" s="245">
        <f>IF(EN355&gt;110,1,0)</f>
        <v>0</v>
      </c>
      <c r="FB355" s="267">
        <f>IF(ES355=2,SUM(EZ355:FA355),0)</f>
        <v>0</v>
      </c>
      <c r="FC355" s="245">
        <f>IF(EN355=159,1,IF(EN355=162,1,IF(EN355=163,1,IF(EN355=165,1,IF(EN355=166,1,IF(EN355=168,1,IF(EN355=169,1,0)))))))</f>
        <v>0</v>
      </c>
      <c r="FD355" s="245">
        <f>IF(EN355&gt;170,1,0)</f>
        <v>0</v>
      </c>
      <c r="FE355" s="267">
        <f>IF(ES355=0,SUM(FC355:FD355),0)</f>
        <v>0</v>
      </c>
      <c r="FF355" s="251">
        <f t="shared" si="876"/>
        <v>0</v>
      </c>
      <c r="FG355" s="238"/>
      <c r="FH355" s="245">
        <f>IF(AY355="",0,1)</f>
        <v>0</v>
      </c>
      <c r="FI355" s="245">
        <f>SUM(AY355)</f>
        <v>0</v>
      </c>
      <c r="FJ355" s="268">
        <f>SUM(AX355)</f>
        <v>0</v>
      </c>
      <c r="FK355" s="268">
        <f>SUM(V355/3)</f>
        <v>0</v>
      </c>
      <c r="FL355" s="268" t="e">
        <f>SUM(FJ355/FK355)</f>
        <v>#DIV/0!</v>
      </c>
      <c r="FM355" s="268">
        <f>ROUNDDOWN(FK355,0)</f>
        <v>0</v>
      </c>
      <c r="FN355" s="268">
        <f>SUM(FJ355,-FM355*3)</f>
        <v>0</v>
      </c>
      <c r="FO355" s="269" t="b">
        <f>MOD(FI355/1,2)=0</f>
        <v>1</v>
      </c>
      <c r="FP355" s="245">
        <f>IF(FO355=FALSE,1,0)</f>
        <v>0</v>
      </c>
      <c r="FQ355" s="245">
        <f>IF(FI355=50,0,IF(FI355&lt;40,1,0))</f>
        <v>1</v>
      </c>
      <c r="FR355" s="245">
        <f>SUM(FP355:FQ355)</f>
        <v>1</v>
      </c>
      <c r="FS355" s="267">
        <f>IF(FI355=1,1,IF(FI355=50,0,IF(FN355=1,IF(FI355&gt;40,1,0),0)))</f>
        <v>0</v>
      </c>
      <c r="FT355" s="267">
        <f>IF(FN355=1,IF(FR355=2,1,0),0)+FS355+FW355+FZ355</f>
        <v>0</v>
      </c>
      <c r="FU355" s="245">
        <f>IF(FI355=109,1,IF(FI355=108,1,IF(FI355=106,1,IF(FI355=105,1,IF(FI355=103,1,IF(FI355=102,1,IF(FI355=99,1,0)))))))</f>
        <v>0</v>
      </c>
      <c r="FV355" s="245">
        <f>IF(FI355&gt;110,1,0)</f>
        <v>0</v>
      </c>
      <c r="FW355" s="267">
        <f>IF(FN355=2,SUM(FU355:FV355),0)</f>
        <v>0</v>
      </c>
      <c r="FX355" s="245">
        <f>IF(FI355=159,1,IF(FI355=162,1,IF(FI355=163,1,IF(FI355=165,1,IF(FI355=166,1,IF(FI355=168,1,IF(FI355=169,1,0)))))))</f>
        <v>0</v>
      </c>
      <c r="FY355" s="245">
        <f>IF(FI355&gt;170,1,0)</f>
        <v>0</v>
      </c>
      <c r="FZ355" s="267">
        <f>IF(FN355=0,SUM(FX355:FY355),0)</f>
        <v>0</v>
      </c>
      <c r="GA355" s="251">
        <f t="shared" si="877"/>
        <v>0</v>
      </c>
      <c r="GC355" s="238" t="str">
        <f>VLOOKUP(AH349,Chema!BL:BR,4,FALSE)</f>
        <v>GS 3.5</v>
      </c>
      <c r="GD355" s="341">
        <f>IF(T359="FORFAIT",1,0)</f>
        <v>0</v>
      </c>
      <c r="GE355" s="343" t="str">
        <f>IF(R359="","",SUM(R359))</f>
        <v/>
      </c>
      <c r="GF355" s="344">
        <f>SUM(AV352)</f>
        <v>0</v>
      </c>
      <c r="GG355" s="344">
        <f>SUM(AX352)</f>
        <v>0</v>
      </c>
      <c r="GH355" s="344">
        <f t="shared" ref="GH355" si="886">SUM(AY352)</f>
        <v>0</v>
      </c>
      <c r="GI355" s="344">
        <f t="shared" ref="GI355" si="887">SUM(AZ352)</f>
        <v>0</v>
      </c>
      <c r="GJ355" s="344">
        <f>SUM(AV353)</f>
        <v>0</v>
      </c>
      <c r="GK355" s="344">
        <f>SUM(AX353)</f>
        <v>0</v>
      </c>
      <c r="GL355" s="344">
        <f>SUM(AY353)</f>
        <v>0</v>
      </c>
      <c r="GM355" s="344">
        <f>SUM(AZ353)</f>
        <v>0</v>
      </c>
      <c r="GN355" s="344">
        <f>SUM(AV354)</f>
        <v>0</v>
      </c>
      <c r="GO355" s="344">
        <f>SUM(AX354)</f>
        <v>0</v>
      </c>
      <c r="GP355" s="344">
        <f>SUM(AY354)</f>
        <v>0</v>
      </c>
      <c r="GQ355" s="344">
        <f>SUM(AZ354)</f>
        <v>0</v>
      </c>
      <c r="GR355" s="344">
        <f>SUM(AV355)</f>
        <v>0</v>
      </c>
      <c r="GS355" s="344">
        <f>SUM(AX355)</f>
        <v>0</v>
      </c>
      <c r="GT355" s="344">
        <f>SUM(AY355)</f>
        <v>0</v>
      </c>
      <c r="GU355" s="344">
        <f>SUM(AZ355)</f>
        <v>0</v>
      </c>
      <c r="GV355" s="344">
        <f>SUM(AV356)</f>
        <v>0</v>
      </c>
      <c r="GW355" s="344">
        <f>SUM(AX356)</f>
        <v>0</v>
      </c>
      <c r="GX355" s="344">
        <f>SUM(AY356)</f>
        <v>0</v>
      </c>
      <c r="GY355" s="344">
        <f>SUM(AZ356)</f>
        <v>0</v>
      </c>
      <c r="GZ355" s="344">
        <f>SUM(GF355,GJ355,GN355,GR355,GV355)</f>
        <v>0</v>
      </c>
      <c r="HA355" s="344">
        <f t="shared" ref="HA355" si="888">SUM(GG355,GK355,GO355,GS355,GW355)</f>
        <v>0</v>
      </c>
      <c r="HB355" s="344">
        <f>IF(GD352=1,P359,MAX(GH355,GL355,GP355,GT355,GX355))</f>
        <v>0</v>
      </c>
      <c r="HC355" s="344">
        <f>IF(GD352=1,X359,SUM(GI355,GM355,GQ355,GU355,GY355))</f>
        <v>0</v>
      </c>
      <c r="HD355" s="345">
        <f>IF(GD352=1,0,SUM(GF355,GJ355,GN355,GR355,GV355))</f>
        <v>0</v>
      </c>
      <c r="HE355" s="345">
        <f>IF(GD352=1,0,SUM(GG355,GK355,GO355,GS355,GW355))</f>
        <v>0</v>
      </c>
      <c r="HF355" s="341">
        <f>IF(GD352=1,0,MIN(HI355,HJ355,HK355,HL355,HM355))</f>
        <v>0</v>
      </c>
      <c r="HG355" s="341">
        <f>IF(HF355=0,0,COUNTIF(HI355:HM355,HF355))</f>
        <v>0</v>
      </c>
      <c r="HH355" s="341">
        <f>SUM(GH356,GL356,GP356,GT356,GX356)</f>
        <v>0</v>
      </c>
      <c r="HI355" s="343" t="str">
        <f>IF(GH356=1,GG355,"")</f>
        <v/>
      </c>
      <c r="HJ355" s="343" t="str">
        <f>IF(GL356=1,GK355,"")</f>
        <v/>
      </c>
      <c r="HK355" s="343" t="str">
        <f>IF(GP356=1,GO355,"")</f>
        <v/>
      </c>
      <c r="HL355" s="343" t="str">
        <f>IF(GT356=1,GS355,"")</f>
        <v/>
      </c>
      <c r="HM355" s="343" t="str">
        <f>IF(GX356=1,GW355,"")</f>
        <v/>
      </c>
      <c r="HN355" s="341"/>
      <c r="HO355" s="341"/>
      <c r="HP355" s="341"/>
      <c r="HQ355" s="341"/>
      <c r="HR355" s="341"/>
      <c r="HS355" s="238"/>
      <c r="HT355" s="238"/>
      <c r="HU355" s="238"/>
      <c r="HV355" s="238"/>
      <c r="HW355" s="238" t="str">
        <f>IFERROR(IF(GD352=0,SUM(IB354:IC354),""),"")</f>
        <v/>
      </c>
      <c r="HY355" s="238"/>
      <c r="ID355" s="238"/>
    </row>
    <row r="356" spans="1:238" s="234" customFormat="1" ht="20.100000000000001" customHeight="1">
      <c r="A356" s="235"/>
      <c r="B356" s="231">
        <f>COUNT(AJ357,AJ356)</f>
        <v>1</v>
      </c>
      <c r="C356" s="235"/>
      <c r="D356" s="271" t="str">
        <f>REPT(DN356,1)</f>
        <v>5</v>
      </c>
      <c r="E356" s="254" t="str">
        <f>REPT(AH356,1)</f>
        <v/>
      </c>
      <c r="F356" s="168"/>
      <c r="G356" s="168"/>
      <c r="H356" s="168"/>
      <c r="I356" s="169"/>
      <c r="J356" s="272" t="str">
        <f>REPT(AM356,1)</f>
        <v/>
      </c>
      <c r="L356" s="310"/>
      <c r="M356" s="310"/>
      <c r="N356" s="272" t="str">
        <f>REPT(AP356,1)</f>
        <v/>
      </c>
      <c r="O356" s="118"/>
      <c r="Q356" s="310"/>
      <c r="R356" s="235"/>
      <c r="S356" s="271" t="str">
        <f>REPT(DO356,1)</f>
        <v>5</v>
      </c>
      <c r="T356" s="254" t="str">
        <f>REPT(AV356,1)</f>
        <v/>
      </c>
      <c r="U356" s="168"/>
      <c r="V356" s="168"/>
      <c r="W356" s="168"/>
      <c r="X356" s="169"/>
      <c r="Y356" s="272" t="str">
        <f>REPT(BA356,1)</f>
        <v/>
      </c>
      <c r="Z356" s="308"/>
      <c r="AA356" s="238">
        <f>SUM(AL349)</f>
        <v>5</v>
      </c>
      <c r="AB356" s="234">
        <f>IF(AY356="",0,IF(AY356&lt;2,1,""))</f>
        <v>0</v>
      </c>
      <c r="AC356" s="238">
        <f>IF(AL349=3,0,IF(AD356=1,1,IF(AD356=3,1,IF(AD356=2,0,IF(AD356=0,0,0)))))</f>
        <v>0</v>
      </c>
      <c r="AD356" s="256">
        <f t="shared" si="866"/>
        <v>0</v>
      </c>
      <c r="AE356" s="256">
        <f t="shared" si="860"/>
        <v>0</v>
      </c>
      <c r="AF356" s="256">
        <f t="shared" si="861"/>
        <v>0</v>
      </c>
      <c r="AG356" s="256">
        <f t="shared" si="867"/>
        <v>0</v>
      </c>
      <c r="AH356" s="257" t="str">
        <f>IF(AL349=3,"",IF(AK356="",IF(AI356="","",IF(AI356="",501,501-AI356)),501))</f>
        <v/>
      </c>
      <c r="AI356" s="256" t="str">
        <f>IF(AL349=3,"",IF(F356&gt;1,F356,IF(F356=0,"",IF(F356="","",""))))</f>
        <v/>
      </c>
      <c r="AJ356" s="256" t="str">
        <f>IF(AL349=3,"",IF(G356&gt;8,G356,IF(G356="","","")))</f>
        <v/>
      </c>
      <c r="AK356" s="256" t="str">
        <f>IF(AL349=3,"",IF(H356&gt;1,H356,IF(H356="","","")))</f>
        <v/>
      </c>
      <c r="AL356" s="256" t="str">
        <f>IF(AL349=3,"",IF(I356&gt;0,I356,IF(I356="","","")))</f>
        <v/>
      </c>
      <c r="AM356" s="258" t="str">
        <f>IF(BK356=0,"","X")</f>
        <v/>
      </c>
      <c r="AN356" s="237"/>
      <c r="AO356" s="237"/>
      <c r="AP356" s="258" t="str">
        <f>IF(BM356=0,"","X")</f>
        <v/>
      </c>
      <c r="AQ356" s="236">
        <f>IF(AL349=3,0,IF(AR356=1,1,IF(AR356=3,1,IF(AR356=2,0,IF(AR356=0,0,0)))))</f>
        <v>0</v>
      </c>
      <c r="AR356" s="256">
        <f t="shared" si="869"/>
        <v>0</v>
      </c>
      <c r="AS356" s="256">
        <f t="shared" si="862"/>
        <v>0</v>
      </c>
      <c r="AT356" s="256">
        <f t="shared" si="863"/>
        <v>0</v>
      </c>
      <c r="AU356" s="256">
        <f t="shared" si="870"/>
        <v>0</v>
      </c>
      <c r="AV356" s="257" t="str">
        <f>IF(AY356="",IF(AW356="","",IF(AW356="",501,501-AW356)),501)</f>
        <v/>
      </c>
      <c r="AW356" s="256" t="str">
        <f>IF(AL349=3,"",IF(U356&gt;1,U356,IF(U356=0,"",IF(U356="","",""))))</f>
        <v/>
      </c>
      <c r="AX356" s="256" t="str">
        <f>IF(AL349=3,"",IF(V356&gt;8,V356,IF(V356="","","")))</f>
        <v/>
      </c>
      <c r="AY356" s="256" t="str">
        <f>IF(AL349=3,"",IF(W356&gt;1,W356,IF(W356="","","")))</f>
        <v/>
      </c>
      <c r="AZ356" s="256" t="str">
        <f>IF(AL349=3,"",IF(X356&gt;0,X356,IF(X356="","","")))</f>
        <v/>
      </c>
      <c r="BA356" s="258" t="str">
        <f>IF(BL356=0,"","X")</f>
        <v/>
      </c>
      <c r="BK356" s="251">
        <f>IF(AL349=3,0,SUM(DD356,DV356,EY356,ED356,FF356,BQ356,BS356,AC356))</f>
        <v>0</v>
      </c>
      <c r="BL356" s="251">
        <f>SUM(DE356,DW356,EE356,FT356,GA356,BR356,BT356,AQ356)</f>
        <v>0</v>
      </c>
      <c r="BM356" s="259">
        <f>IF(AL349=3,0,SUM(DC356,BK356:BL356,AC356,AQ356))</f>
        <v>0</v>
      </c>
      <c r="BN356" s="239">
        <f>COUNT(AK356)</f>
        <v>0</v>
      </c>
      <c r="BO356" s="239">
        <f>COUNT(AY356)</f>
        <v>0</v>
      </c>
      <c r="BP356" s="239">
        <f>IF(BN358=0,0,1)</f>
        <v>0</v>
      </c>
      <c r="BQ356" s="260">
        <f>IF(AL356="",0,IF(AL356&gt;2,1,0))</f>
        <v>0</v>
      </c>
      <c r="BR356" s="261">
        <f>IF(AZ356="",0,IF(AZ356&gt;2,1,0))</f>
        <v>0</v>
      </c>
      <c r="BS356" s="262">
        <f>IF(AJ356=9,IF(AK356&lt;141,1,0),0)</f>
        <v>0</v>
      </c>
      <c r="BT356" s="263">
        <f>IF(AX356=9,IF(AY356&lt;141,1,0),0)</f>
        <v>0</v>
      </c>
      <c r="BU356" s="242">
        <f>IF(AL349=3,0,IF(H356,G356,0))</f>
        <v>0</v>
      </c>
      <c r="BV356" s="238">
        <f>IF(BU356&gt;0,AJ356/3,0)</f>
        <v>0</v>
      </c>
      <c r="BW356" s="238">
        <f>ROUNDUP(BV356,0)</f>
        <v>0</v>
      </c>
      <c r="BX356" s="244">
        <f>IF(MOD(BW356,2)=0,BW356,BW356+1)</f>
        <v>0</v>
      </c>
      <c r="BY356" s="238">
        <f>IF(AJ356&lt;9,"",SUM(BX356-BW356))</f>
        <v>0</v>
      </c>
      <c r="BZ356" s="238">
        <f>IF(BY356=1,AK356,0)</f>
        <v>0</v>
      </c>
      <c r="CA356" s="243" t="str">
        <f>IF(BY356=0,AK356,0)</f>
        <v/>
      </c>
      <c r="CB356" s="238"/>
      <c r="CC356" s="238"/>
      <c r="CD356" s="242">
        <f>IF(AL349=3,0,IF(W356,V356,0))</f>
        <v>0</v>
      </c>
      <c r="CE356" s="238">
        <f>IF(CD356&gt;0,AX356/3,0)</f>
        <v>0</v>
      </c>
      <c r="CF356" s="238">
        <f>ROUNDUP(CE356,0)</f>
        <v>0</v>
      </c>
      <c r="CG356" s="244">
        <f>IF(MOD(CF356,2)=0,CF356,CF356+1)</f>
        <v>0</v>
      </c>
      <c r="CH356" s="238">
        <f>IF(AX356&lt;9,"",SUM(CG356-CF356))</f>
        <v>0</v>
      </c>
      <c r="CI356" s="238">
        <f>IF(CH356=1,AY356,0)</f>
        <v>0</v>
      </c>
      <c r="CJ356" s="243" t="str">
        <f>IF(CH356=0,AY356,0)</f>
        <v/>
      </c>
      <c r="CK356" s="238"/>
      <c r="CL356" s="245">
        <f>IF(COUNT(F356,H356)=1,0,1)</f>
        <v>1</v>
      </c>
      <c r="CM356" s="245">
        <f>IF(COUNT(F356,U356)=1,0,1)</f>
        <v>1</v>
      </c>
      <c r="CN356" s="245">
        <f>IF(COUNT(H356,W356)=1,0,1)</f>
        <v>1</v>
      </c>
      <c r="CO356" s="245">
        <f>IF(COUNT(G356,V356)=2,0,1)</f>
        <v>1</v>
      </c>
      <c r="CP356" s="245">
        <f>IF(COUNT(U356,W356)=1,0,1)</f>
        <v>1</v>
      </c>
      <c r="CQ356" s="245">
        <f>IF(SUM(G356-V356)&gt;3,1,0)</f>
        <v>0</v>
      </c>
      <c r="CR356" s="245">
        <f>IF(SUM(G356-V356)&lt;-3,1,0)</f>
        <v>0</v>
      </c>
      <c r="CS356" s="264">
        <f>IF(AJ356=9,IF(AH356&lt;141,1,0),IF(AH356="",0,IF(AH356&gt;1,0,1)))</f>
        <v>0</v>
      </c>
      <c r="CT356" s="264">
        <f>IF(AX356=9,IF(AV356&lt;141,1,0),IF(AV356="",0,IF(AV356&gt;1,0,1)))</f>
        <v>0</v>
      </c>
      <c r="CU356" s="264">
        <f>IF(AI356="",0,IF(AI356&lt;502,0,1))</f>
        <v>0</v>
      </c>
      <c r="CV356" s="264">
        <f>IF(AW356="",0,IF(AW356&lt;502,0,1))</f>
        <v>0</v>
      </c>
      <c r="CW356" s="264">
        <f>IF(AI356="",IF(AJ356&lt;9,1,0),IF(AJ356&lt;9,1,0))</f>
        <v>0</v>
      </c>
      <c r="CX356" s="264">
        <f>IF(AW356="",IF(AX356&lt;9,1,0),IF(AX356&lt;9,1,0))</f>
        <v>0</v>
      </c>
      <c r="CY356" s="374"/>
      <c r="CZ356" s="374"/>
      <c r="DA356" s="374"/>
      <c r="DB356" s="374"/>
      <c r="DC356" s="265">
        <f>IF(AJ356="",0,SUM(CL356:CX356))</f>
        <v>0</v>
      </c>
      <c r="DD356" s="265">
        <f>IF(AJ356="",0,SUM(CL356,CS356,CU356,CW356))</f>
        <v>0</v>
      </c>
      <c r="DE356" s="265">
        <f>IF(AJ356="",0,SUM(CP356,CT356,CV356,CX356))</f>
        <v>0</v>
      </c>
      <c r="DF356" s="238"/>
      <c r="DG356" s="248">
        <f>IF(AL349=3,0,SUM(G356-V356))</f>
        <v>0</v>
      </c>
      <c r="DH356" s="245">
        <f>IF(F356="",0,1)</f>
        <v>0</v>
      </c>
      <c r="DI356" s="245">
        <f t="shared" si="872"/>
        <v>0</v>
      </c>
      <c r="DJ356" s="245">
        <f t="shared" si="873"/>
        <v>0</v>
      </c>
      <c r="DK356" s="245" t="str">
        <f>IF(G356="","",IF(DJ356=1,"*",""))</f>
        <v/>
      </c>
      <c r="DL356" s="245" t="str">
        <f>IF(AL349=3,"",IF(G356="","",IF(DJ356=-1,"*",IF(DJ356=0,"*",""))))</f>
        <v/>
      </c>
      <c r="DM356" s="245">
        <v>5</v>
      </c>
      <c r="DN356" s="245" t="str">
        <f t="shared" si="874"/>
        <v>5</v>
      </c>
      <c r="DO356" s="245" t="str">
        <f t="shared" si="875"/>
        <v>5</v>
      </c>
      <c r="DP356" s="245">
        <f>SUM(DP352)</f>
        <v>0</v>
      </c>
      <c r="DQ356" s="245">
        <f>SUM(DQ352)</f>
        <v>0</v>
      </c>
      <c r="DR356" s="245">
        <f t="shared" si="882"/>
        <v>0</v>
      </c>
      <c r="DS356" s="245">
        <f t="shared" si="883"/>
        <v>0</v>
      </c>
      <c r="DT356" s="245">
        <f t="shared" si="884"/>
        <v>0</v>
      </c>
      <c r="DU356" s="245">
        <f>IF(V356="",0,IF(DQ356=DS356,0,1))</f>
        <v>0</v>
      </c>
      <c r="DV356" s="267">
        <f t="shared" si="885"/>
        <v>0</v>
      </c>
      <c r="DW356" s="267">
        <f>IF(V356="",0,SUM(DU356))</f>
        <v>0</v>
      </c>
      <c r="DX356" s="238">
        <f>IF(AK356="",0,1)</f>
        <v>0</v>
      </c>
      <c r="DY356" s="238">
        <f>IF(DG356=-3,1,0)</f>
        <v>0</v>
      </c>
      <c r="DZ356" s="238">
        <f>SUM(DX356:DY356)</f>
        <v>0</v>
      </c>
      <c r="EA356" s="238">
        <f>IF(AK356="",1,0)</f>
        <v>1</v>
      </c>
      <c r="EB356" s="238">
        <f>IF(DG356=3,1,0)</f>
        <v>0</v>
      </c>
      <c r="EC356" s="238">
        <f>SUM(EA356:EB356)</f>
        <v>1</v>
      </c>
      <c r="ED356" s="267">
        <f>IF(EC356=2,1,0)</f>
        <v>0</v>
      </c>
      <c r="EE356" s="267">
        <f>IF(DZ356=2,1,0)</f>
        <v>0</v>
      </c>
      <c r="EG356" s="166"/>
      <c r="EH356" s="238"/>
      <c r="EI356" s="238"/>
      <c r="EJ356" s="238"/>
      <c r="EK356" s="238"/>
      <c r="EL356" s="238"/>
      <c r="EM356" s="245">
        <f>IF(AK356="",0,1)</f>
        <v>0</v>
      </c>
      <c r="EN356" s="245">
        <f>SUM(AK356)</f>
        <v>0</v>
      </c>
      <c r="EO356" s="268">
        <f>SUM(AJ356)</f>
        <v>0</v>
      </c>
      <c r="EP356" s="268">
        <f>SUM(G356/3)</f>
        <v>0</v>
      </c>
      <c r="EQ356" s="268" t="e">
        <f>SUM(EO356/EP356)</f>
        <v>#DIV/0!</v>
      </c>
      <c r="ER356" s="268">
        <f>ROUNDDOWN(EP356,0)</f>
        <v>0</v>
      </c>
      <c r="ES356" s="268">
        <f>SUM(EO356,-ER356*3)</f>
        <v>0</v>
      </c>
      <c r="ET356" s="269" t="b">
        <f>MOD(EN356/1,2)=0</f>
        <v>1</v>
      </c>
      <c r="EU356" s="245">
        <f>IF(ET356=FALSE,1,0)</f>
        <v>0</v>
      </c>
      <c r="EV356" s="245">
        <f>IF(EN356=50,0,IF(EN356&lt;40,1,0))</f>
        <v>1</v>
      </c>
      <c r="EW356" s="245">
        <f>SUM(EU356:EV356)</f>
        <v>1</v>
      </c>
      <c r="EX356" s="267">
        <f>IF(EN356=1,1,IF(EN356=50,0,IF(ES356=1,IF(EN356&gt;40,1,0),0)))</f>
        <v>0</v>
      </c>
      <c r="EY356" s="267">
        <f>IF(ES356=1,IF(EW356=2,1,0),0)+EX356+FB356+FE356</f>
        <v>0</v>
      </c>
      <c r="EZ356" s="245">
        <f>IF(EN356=109,1,IF(EN356=108,1,IF(EN356=106,1,IF(EN356=105,1,IF(EN356=103,1,IF(EN356=102,1,IF(EN356=99,1,0)))))))</f>
        <v>0</v>
      </c>
      <c r="FA356" s="245">
        <f>IF(EN356&gt;110,1,0)</f>
        <v>0</v>
      </c>
      <c r="FB356" s="267">
        <f>IF(ES356=2,SUM(EZ356:FA356),0)</f>
        <v>0</v>
      </c>
      <c r="FC356" s="245">
        <f>IF(EN356=159,1,IF(EN356=162,1,IF(EN356=163,1,IF(EN356=165,1,IF(EN356=166,1,IF(EN356=168,1,IF(EN356=169,1,0)))))))</f>
        <v>0</v>
      </c>
      <c r="FD356" s="245">
        <f>IF(EN356&gt;170,1,0)</f>
        <v>0</v>
      </c>
      <c r="FE356" s="267">
        <f>IF(ES356=0,SUM(FC356:FD356),0)</f>
        <v>0</v>
      </c>
      <c r="FF356" s="251">
        <f t="shared" si="876"/>
        <v>0</v>
      </c>
      <c r="FG356" s="238"/>
      <c r="FH356" s="245">
        <f>IF(AY356="",0,1)</f>
        <v>0</v>
      </c>
      <c r="FI356" s="245">
        <f>SUM(AY356)</f>
        <v>0</v>
      </c>
      <c r="FJ356" s="268">
        <f>SUM(AX356)</f>
        <v>0</v>
      </c>
      <c r="FK356" s="268">
        <f>SUM(V356/3)</f>
        <v>0</v>
      </c>
      <c r="FL356" s="268" t="e">
        <f>SUM(FJ356/FK356)</f>
        <v>#DIV/0!</v>
      </c>
      <c r="FM356" s="268">
        <f>ROUNDDOWN(FK356,0)</f>
        <v>0</v>
      </c>
      <c r="FN356" s="268">
        <f>SUM(FJ356,-FM356*3)</f>
        <v>0</v>
      </c>
      <c r="FO356" s="269" t="b">
        <f>MOD(FI356/1,2)=0</f>
        <v>1</v>
      </c>
      <c r="FP356" s="245">
        <f>IF(FO356=FALSE,1,0)</f>
        <v>0</v>
      </c>
      <c r="FQ356" s="245">
        <f>IF(FI356=50,0,IF(FI356&lt;40,1,0))</f>
        <v>1</v>
      </c>
      <c r="FR356" s="245">
        <f>SUM(FP356:FQ356)</f>
        <v>1</v>
      </c>
      <c r="FS356" s="267">
        <f>IF(FI356=1,1,IF(FI356=50,0,IF(FN356=1,IF(FI356&gt;40,1,0),0)))</f>
        <v>0</v>
      </c>
      <c r="FT356" s="267">
        <f>IF(FN356=1,IF(FR356=2,1,0),0)+FS356+FW356+FZ356</f>
        <v>0</v>
      </c>
      <c r="FU356" s="245">
        <f>IF(FI356=109,1,IF(FI356=108,1,IF(FI356=106,1,IF(FI356=105,1,IF(FI356=103,1,IF(FI356=102,1,IF(FI356=99,1,0)))))))</f>
        <v>0</v>
      </c>
      <c r="FV356" s="245">
        <f>IF(FI356&gt;110,1,0)</f>
        <v>0</v>
      </c>
      <c r="FW356" s="267">
        <f>IF(FN356=2,SUM(FU356:FV356),0)</f>
        <v>0</v>
      </c>
      <c r="FX356" s="245">
        <f>IF(FI356=159,1,IF(FI356=162,1,IF(FI356=163,1,IF(FI356=165,1,IF(FI356=166,1,IF(FI356=168,1,IF(FI356=169,1,0)))))))</f>
        <v>0</v>
      </c>
      <c r="FY356" s="245">
        <f>IF(FI356&gt;170,1,0)</f>
        <v>0</v>
      </c>
      <c r="FZ356" s="267">
        <f>IF(FN356=0,SUM(FX356:FY356),0)</f>
        <v>0</v>
      </c>
      <c r="GA356" s="251">
        <f t="shared" si="877"/>
        <v>0</v>
      </c>
      <c r="GC356" s="238" t="str">
        <f>VLOOKUP(AH349,Chema!BL:BR,5,FALSE)</f>
        <v/>
      </c>
      <c r="GD356" s="341"/>
      <c r="GE356" s="343" t="str">
        <f>IF(R360="","",SUM(R360))</f>
        <v/>
      </c>
      <c r="GF356" s="340"/>
      <c r="GG356" s="346"/>
      <c r="GH356" s="343">
        <f>IF(GH355&gt;0,1,0)</f>
        <v>0</v>
      </c>
      <c r="GI356" s="346"/>
      <c r="GJ356" s="343"/>
      <c r="GK356" s="346"/>
      <c r="GL356" s="343">
        <f>IF(GL355&gt;0,1,0)</f>
        <v>0</v>
      </c>
      <c r="GM356" s="343"/>
      <c r="GN356" s="343"/>
      <c r="GO356" s="346"/>
      <c r="GP356" s="343">
        <f>IF(GP355&gt;0,1,0)</f>
        <v>0</v>
      </c>
      <c r="GQ356" s="343"/>
      <c r="GR356" s="343"/>
      <c r="GS356" s="346"/>
      <c r="GT356" s="343">
        <f>IF(GT355&gt;0,1,0)</f>
        <v>0</v>
      </c>
      <c r="GU356" s="343"/>
      <c r="GV356" s="343"/>
      <c r="GW356" s="346"/>
      <c r="GX356" s="343">
        <f>IF(GX355&gt;0,1,0)</f>
        <v>0</v>
      </c>
      <c r="GY356" s="340"/>
      <c r="GZ356" s="343"/>
      <c r="HA356" s="343"/>
      <c r="HB356" s="343" t="str">
        <f>IF(GD352=1,P360,"")</f>
        <v/>
      </c>
      <c r="HC356" s="343" t="str">
        <f>IF(GD352=1,X360,"")</f>
        <v/>
      </c>
      <c r="HD356" s="340"/>
      <c r="HE356" s="340"/>
      <c r="HF356" s="340"/>
      <c r="HG356" s="340">
        <f>IF(HG354=HM352,0,IF(HG354=HM356,0,1))</f>
        <v>0</v>
      </c>
      <c r="HH356" s="340">
        <f>IF(HH353=HH355,1,0)</f>
        <v>1</v>
      </c>
      <c r="HI356" s="340"/>
      <c r="HJ356" s="340"/>
      <c r="HK356" s="340"/>
      <c r="HL356" s="340"/>
      <c r="HM356" s="341">
        <f>COUNT(HI355,HJ355,HK355,HL355,HM355)</f>
        <v>0</v>
      </c>
      <c r="HN356" s="341"/>
      <c r="HO356" s="341"/>
      <c r="HP356" s="341"/>
      <c r="HQ356" s="341"/>
      <c r="HR356" s="341"/>
      <c r="HS356" s="238"/>
      <c r="HT356" s="238"/>
      <c r="HU356" s="238"/>
      <c r="HV356" s="238"/>
      <c r="HX356" s="238"/>
      <c r="HY356" s="238"/>
      <c r="ID356" s="238"/>
    </row>
    <row r="357" spans="1:238" s="234" customFormat="1" ht="6.6" customHeight="1">
      <c r="A357" s="235"/>
      <c r="B357" s="231"/>
      <c r="C357" s="310"/>
      <c r="D357" s="310"/>
      <c r="E357" s="310"/>
      <c r="F357" s="310"/>
      <c r="G357" s="313"/>
      <c r="H357" s="310"/>
      <c r="I357" s="310"/>
      <c r="J357" s="273"/>
      <c r="K357" s="313"/>
      <c r="O357" s="118"/>
      <c r="R357" s="310"/>
      <c r="S357" s="310"/>
      <c r="T357" s="310"/>
      <c r="U357" s="310"/>
      <c r="V357" s="313"/>
      <c r="W357" s="310"/>
      <c r="X357" s="310"/>
      <c r="Y357" s="273"/>
      <c r="Z357" s="308"/>
      <c r="AA357" s="274"/>
      <c r="AD357" s="235"/>
      <c r="AE357" s="237">
        <f>IF(AF357=0,0,1)</f>
        <v>0</v>
      </c>
      <c r="AF357" s="237">
        <f>IF(AL357=0,0,SUM(AL359:AL360,-AL358))</f>
        <v>0</v>
      </c>
      <c r="AG357" s="237"/>
      <c r="AH357" s="275">
        <f>SUM(AH352,AH353,AH354,AH355,AH356)</f>
        <v>0</v>
      </c>
      <c r="AI357" s="275">
        <f t="shared" ref="AI357" si="889">SUM(AI352,AI353,AI354,AI355,AI356)</f>
        <v>0</v>
      </c>
      <c r="AJ357" s="275">
        <f t="shared" ref="AJ357" si="890">SUM(AJ352,AJ353,AJ354,AJ355,AJ356)</f>
        <v>0</v>
      </c>
      <c r="AK357" s="275">
        <f>MAX(AK352,AK353,AK354,AK355,AK356)</f>
        <v>0</v>
      </c>
      <c r="AL357" s="275">
        <f t="shared" ref="AL357" si="891">SUM(AL352,AL353,AL354,AL355,AL356)</f>
        <v>0</v>
      </c>
      <c r="AM357" s="275">
        <f>IF(AK349="D",SUM(AL352,AL353,AL354,AL355,AL356,-AL359,-AL360),0)</f>
        <v>0</v>
      </c>
      <c r="AN357" s="235"/>
      <c r="AO357" s="235"/>
      <c r="AP357" s="235"/>
      <c r="AQ357" s="235"/>
      <c r="AR357" s="235"/>
      <c r="AS357" s="237">
        <f>IF(AT357=0,0,1)</f>
        <v>0</v>
      </c>
      <c r="AT357" s="237">
        <f>IF(AZ357=0,0,SUM(AZ359:AZ360,-AZ358))</f>
        <v>0</v>
      </c>
      <c r="AU357" s="237"/>
      <c r="AV357" s="275">
        <f>SUM(AV352,AV353,AV354,AV355,AV356)</f>
        <v>0</v>
      </c>
      <c r="AW357" s="275">
        <f t="shared" ref="AW357" si="892">SUM(AW352,AW353,AW354,AW355,AW356)</f>
        <v>0</v>
      </c>
      <c r="AX357" s="275">
        <f t="shared" ref="AX357" si="893">SUM(AX352,AX353,AX354,AX355,AX356)</f>
        <v>0</v>
      </c>
      <c r="AY357" s="275">
        <f>MAX(AY352,AY353,AY354,AY355,AY356)</f>
        <v>0</v>
      </c>
      <c r="AZ357" s="275">
        <f t="shared" ref="AZ357" si="894">SUM(AZ352,AZ353,AZ354,AZ355,AZ356)</f>
        <v>0</v>
      </c>
      <c r="BA357" s="275">
        <f>IF(AK349="D",SUM(AZ352,AZ353,AZ354,AZ355,AZ356,-AZ359,-AZ360),0)</f>
        <v>0</v>
      </c>
      <c r="BJ357" s="236"/>
      <c r="BK357" s="238"/>
      <c r="BL357" s="238"/>
      <c r="BM357" s="238"/>
      <c r="BP357" s="238"/>
      <c r="BQ357" s="238"/>
      <c r="BR357" s="238"/>
      <c r="BS357" s="238"/>
      <c r="BT357" s="238"/>
      <c r="BU357" s="238"/>
      <c r="BY357" s="238"/>
      <c r="BZ357" s="238">
        <f>MAX(BZ352,BZ353,BZ354,BZ355,BZ356)</f>
        <v>0</v>
      </c>
      <c r="CA357" s="238">
        <f>MAX(CA352,CA353,CA354,CA355,CA356)</f>
        <v>0</v>
      </c>
      <c r="CB357" s="238"/>
      <c r="CC357" s="238"/>
      <c r="CD357" s="238"/>
      <c r="CG357" s="244"/>
      <c r="CH357" s="238"/>
      <c r="CI357" s="238">
        <f>MAX(CI352,CI353,CI354,CI355,CI356)</f>
        <v>0</v>
      </c>
      <c r="CJ357" s="238">
        <f>MAX(CJ352,CJ353,CJ354,CJ355,CJ356)</f>
        <v>0</v>
      </c>
      <c r="CK357" s="238"/>
      <c r="CL357" s="238"/>
      <c r="CM357" s="238"/>
      <c r="CN357" s="238"/>
      <c r="CO357" s="238"/>
      <c r="CP357" s="238"/>
      <c r="CQ357" s="238"/>
      <c r="CR357" s="238"/>
      <c r="CS357" s="238"/>
      <c r="CT357" s="238"/>
      <c r="CU357" s="238"/>
      <c r="CV357" s="238"/>
      <c r="CW357" s="238"/>
      <c r="CX357" s="238"/>
      <c r="CY357" s="238"/>
      <c r="CZ357" s="238"/>
      <c r="DA357" s="238"/>
      <c r="DB357" s="238"/>
      <c r="DC357" s="238"/>
      <c r="DD357" s="238"/>
      <c r="DE357" s="238"/>
      <c r="DF357" s="238"/>
      <c r="DG357" s="238"/>
      <c r="DH357" s="238"/>
      <c r="DI357" s="238"/>
      <c r="DJ357" s="238"/>
      <c r="DK357" s="238"/>
      <c r="DL357" s="238"/>
      <c r="DM357" s="238"/>
      <c r="DN357" s="238"/>
      <c r="DO357" s="238"/>
      <c r="DP357" s="238"/>
      <c r="DQ357" s="238"/>
      <c r="DR357" s="238"/>
      <c r="DS357" s="238"/>
      <c r="DT357" s="238"/>
      <c r="DU357" s="238"/>
      <c r="DV357" s="238"/>
      <c r="DW357" s="238"/>
      <c r="DX357" s="238"/>
      <c r="DY357" s="238"/>
      <c r="DZ357" s="238"/>
      <c r="EA357" s="238"/>
      <c r="EB357" s="238"/>
      <c r="EC357" s="238"/>
      <c r="ED357" s="238"/>
      <c r="EE357" s="238"/>
      <c r="EF357" s="238"/>
      <c r="EG357" s="238"/>
      <c r="EH357" s="238"/>
      <c r="EI357" s="238"/>
      <c r="EJ357" s="238"/>
      <c r="EK357" s="238"/>
      <c r="EL357" s="238"/>
      <c r="EM357" s="166"/>
      <c r="EN357" s="166"/>
      <c r="EO357" s="166"/>
      <c r="EP357" s="238">
        <f>SUM(EN357-EO357)</f>
        <v>0</v>
      </c>
      <c r="EQ357" s="238"/>
      <c r="ER357" s="238"/>
      <c r="ES357" s="238"/>
      <c r="ET357" s="244"/>
      <c r="EU357" s="238"/>
      <c r="EV357" s="238"/>
      <c r="EW357" s="238"/>
      <c r="EX357" s="238"/>
      <c r="EY357" s="238"/>
      <c r="EZ357" s="238"/>
      <c r="FA357" s="238"/>
      <c r="FB357" s="238"/>
      <c r="FC357" s="238"/>
      <c r="FD357" s="238"/>
      <c r="FE357" s="238"/>
      <c r="FF357" s="238"/>
      <c r="FG357" s="238"/>
      <c r="FH357" s="238"/>
      <c r="FI357" s="238"/>
      <c r="FJ357" s="238"/>
      <c r="FK357" s="238"/>
      <c r="FL357" s="238"/>
      <c r="FM357" s="238"/>
      <c r="FN357" s="238"/>
      <c r="FO357" s="244"/>
      <c r="FP357" s="238"/>
      <c r="FQ357" s="238"/>
      <c r="FR357" s="238"/>
      <c r="FS357" s="238"/>
      <c r="FT357" s="238"/>
      <c r="FU357" s="238"/>
      <c r="FV357" s="238"/>
      <c r="FW357" s="238"/>
      <c r="FX357" s="238"/>
      <c r="FY357" s="238"/>
      <c r="FZ357" s="238"/>
      <c r="GA357" s="238"/>
      <c r="GB357" s="238"/>
      <c r="GC357" s="238"/>
      <c r="GD357" s="341"/>
      <c r="GE357" s="340"/>
      <c r="GF357" s="340"/>
      <c r="GG357" s="340"/>
      <c r="GH357" s="340"/>
      <c r="GI357" s="340"/>
      <c r="GJ357" s="340"/>
      <c r="GK357" s="340"/>
      <c r="GL357" s="340"/>
      <c r="GM357" s="340"/>
      <c r="GN357" s="340"/>
      <c r="GO357" s="340"/>
      <c r="GP357" s="340"/>
      <c r="GQ357" s="340"/>
      <c r="GR357" s="340"/>
      <c r="GS357" s="340"/>
      <c r="GT357" s="340"/>
      <c r="GU357" s="340"/>
      <c r="GV357" s="340"/>
      <c r="GW357" s="340"/>
      <c r="GX357" s="340"/>
      <c r="GY357" s="340"/>
      <c r="GZ357" s="340"/>
      <c r="HA357" s="340"/>
      <c r="HB357" s="340"/>
      <c r="HC357" s="340"/>
      <c r="HD357" s="341"/>
      <c r="HE357" s="341"/>
      <c r="HF357" s="341"/>
      <c r="HG357" s="341"/>
      <c r="HH357" s="341"/>
      <c r="HI357" s="341"/>
      <c r="HJ357" s="341"/>
      <c r="HK357" s="341"/>
      <c r="HL357" s="341"/>
      <c r="HM357" s="341"/>
      <c r="HN357" s="341"/>
      <c r="HO357" s="341"/>
      <c r="HP357" s="341"/>
      <c r="HQ357" s="341"/>
      <c r="HR357" s="341"/>
      <c r="HS357" s="238"/>
      <c r="HT357" s="238"/>
      <c r="HU357" s="238"/>
      <c r="HV357" s="238"/>
      <c r="HX357" s="238"/>
      <c r="HY357" s="238"/>
      <c r="ID357" s="238"/>
    </row>
    <row r="358" spans="1:238" s="234" customFormat="1" ht="20.100000000000001" customHeight="1">
      <c r="A358" s="235"/>
      <c r="B358" s="231"/>
      <c r="C358" s="314" t="s">
        <v>771</v>
      </c>
      <c r="D358" s="276" t="str">
        <f>REPT(Sprache!$K$58,1)</f>
        <v>Spieler</v>
      </c>
      <c r="E358" s="277" t="str">
        <f>REPT(Sprache!$K$33,1)</f>
        <v>Name / Vorname</v>
      </c>
      <c r="F358" s="278"/>
      <c r="G358" s="278"/>
      <c r="H358" s="279"/>
      <c r="I358" s="280"/>
      <c r="J358" s="281" t="str">
        <f>REPT(AM358,1)</f>
        <v/>
      </c>
      <c r="L358" s="306" t="s">
        <v>848</v>
      </c>
      <c r="M358" s="238"/>
      <c r="P358" s="306" t="s">
        <v>848</v>
      </c>
      <c r="R358" s="314" t="s">
        <v>771</v>
      </c>
      <c r="S358" s="276" t="str">
        <f>REPT(Sprache!$K$58,1)</f>
        <v>Spieler</v>
      </c>
      <c r="T358" s="277" t="str">
        <f>REPT(Sprache!$K$33,1)</f>
        <v>Name / Vorname</v>
      </c>
      <c r="U358" s="278"/>
      <c r="V358" s="278"/>
      <c r="W358" s="279"/>
      <c r="X358" s="280"/>
      <c r="Y358" s="281" t="str">
        <f>REPT(BA358,1)</f>
        <v/>
      </c>
      <c r="Z358" s="308"/>
      <c r="AD358" s="235"/>
      <c r="AE358" s="235"/>
      <c r="AF358" s="237" t="s">
        <v>771</v>
      </c>
      <c r="AG358" s="282" t="s">
        <v>877</v>
      </c>
      <c r="AH358" s="283" t="str">
        <f>IF(AH357=0,"",AH357)</f>
        <v/>
      </c>
      <c r="AI358" s="283" t="str">
        <f>IF(AI357=0,"",AI357)</f>
        <v/>
      </c>
      <c r="AJ358" s="283" t="str">
        <f>IF(AJ357=0,"",AJ357)</f>
        <v/>
      </c>
      <c r="AK358" s="283" t="str">
        <f>IF(AK357=0,"",AK357)</f>
        <v/>
      </c>
      <c r="AL358" s="283" t="str">
        <f>IF(AL357=0,"",AL357)</f>
        <v/>
      </c>
      <c r="AM358" s="258" t="str">
        <f>IF(AK349="D",IF(AF357=0,"","X"),"")</f>
        <v/>
      </c>
      <c r="AN358" s="235"/>
      <c r="AO358" s="235"/>
      <c r="AP358" s="284"/>
      <c r="AQ358" s="235"/>
      <c r="AR358" s="235"/>
      <c r="AS358" s="235"/>
      <c r="AT358" s="237" t="s">
        <v>771</v>
      </c>
      <c r="AU358" s="282" t="s">
        <v>877</v>
      </c>
      <c r="AV358" s="283" t="str">
        <f>IF(AV357=0,"",AV357)</f>
        <v/>
      </c>
      <c r="AW358" s="283" t="str">
        <f>IF(AW357=0,"",AW357)</f>
        <v/>
      </c>
      <c r="AX358" s="283" t="str">
        <f>IF(AX357=0,"",AX357)</f>
        <v/>
      </c>
      <c r="AY358" s="283" t="str">
        <f>IF(AY357=0,"",AY357)</f>
        <v/>
      </c>
      <c r="AZ358" s="421" t="str">
        <f>IF(AZ357=0,"",AZ357)</f>
        <v/>
      </c>
      <c r="BA358" s="258" t="str">
        <f>IF(AK349="D",IF(AT357=0,"","X"),"")</f>
        <v/>
      </c>
      <c r="BJ358" s="236"/>
      <c r="BK358" s="238"/>
      <c r="BL358" s="244">
        <f>IF(BM358=0,0,1)</f>
        <v>0</v>
      </c>
      <c r="BM358" s="244">
        <f>SUM(BM352,BM353,BM354,BM355,BM356,HH354,AN359,AN360,BB359,BB360)</f>
        <v>0</v>
      </c>
      <c r="BN358" s="166">
        <f t="shared" ref="BN358:BO358" si="895">SUM(BN352,BN353,BN354,BN355,BN356)</f>
        <v>0</v>
      </c>
      <c r="BO358" s="166">
        <f t="shared" si="895"/>
        <v>0</v>
      </c>
      <c r="BP358" s="244"/>
      <c r="BQ358" s="238"/>
      <c r="BR358" s="238"/>
      <c r="BS358" s="238"/>
      <c r="BT358" s="238"/>
      <c r="BU358" s="238"/>
      <c r="BV358" s="238"/>
      <c r="BW358" s="238"/>
      <c r="BX358" s="236"/>
      <c r="BY358" s="238"/>
      <c r="BZ358" s="238"/>
      <c r="CA358" s="238"/>
      <c r="CB358" s="238"/>
      <c r="CC358" s="238"/>
      <c r="CD358" s="238"/>
      <c r="CE358" s="238"/>
      <c r="CF358" s="238"/>
      <c r="CG358" s="244"/>
      <c r="CH358" s="238"/>
      <c r="CI358" s="238"/>
      <c r="CJ358" s="238"/>
      <c r="CK358" s="238"/>
      <c r="CL358" s="238"/>
      <c r="CM358" s="238"/>
      <c r="CN358" s="238"/>
      <c r="CO358" s="238"/>
      <c r="CP358" s="238"/>
      <c r="CQ358" s="238"/>
      <c r="CR358" s="238"/>
      <c r="CS358" s="238"/>
      <c r="CT358" s="238"/>
      <c r="CU358" s="238"/>
      <c r="CV358" s="238"/>
      <c r="CW358" s="238"/>
      <c r="CX358" s="238"/>
      <c r="CY358" s="238"/>
      <c r="CZ358" s="238"/>
      <c r="DA358" s="238"/>
      <c r="DB358" s="238"/>
      <c r="DC358" s="238"/>
      <c r="DD358" s="238"/>
      <c r="DE358" s="238"/>
      <c r="DF358" s="238"/>
      <c r="DG358" s="238"/>
      <c r="DH358" s="238"/>
      <c r="DI358" s="238"/>
      <c r="DJ358" s="238"/>
      <c r="DK358" s="238"/>
      <c r="DL358" s="238"/>
      <c r="DM358" s="238"/>
      <c r="DN358" s="238"/>
      <c r="DO358" s="238"/>
      <c r="DP358" s="238"/>
      <c r="DQ358" s="238"/>
      <c r="DR358" s="238"/>
      <c r="DS358" s="238"/>
      <c r="DT358" s="238"/>
      <c r="DU358" s="238"/>
      <c r="DV358" s="238"/>
      <c r="DW358" s="238"/>
      <c r="DX358" s="238"/>
      <c r="DY358" s="238"/>
      <c r="DZ358" s="238"/>
      <c r="EA358" s="238"/>
      <c r="EB358" s="238"/>
      <c r="EC358" s="238"/>
      <c r="ED358" s="238"/>
      <c r="EE358" s="238"/>
      <c r="EF358" s="238"/>
      <c r="EG358" s="238"/>
      <c r="EH358" s="238"/>
      <c r="EI358" s="238"/>
      <c r="EJ358" s="238"/>
      <c r="EK358" s="238"/>
      <c r="EL358" s="238"/>
      <c r="EM358" s="238"/>
      <c r="EN358" s="238"/>
      <c r="EO358" s="238"/>
      <c r="EP358" s="238"/>
      <c r="EQ358" s="238"/>
      <c r="ER358" s="238"/>
      <c r="ES358" s="238"/>
      <c r="ET358" s="244"/>
      <c r="EU358" s="238"/>
      <c r="EV358" s="238"/>
      <c r="EW358" s="238"/>
      <c r="EX358" s="238"/>
      <c r="EY358" s="238"/>
      <c r="EZ358" s="238"/>
      <c r="FA358" s="238"/>
      <c r="FB358" s="238"/>
      <c r="FC358" s="238"/>
      <c r="FD358" s="238"/>
      <c r="FE358" s="238"/>
      <c r="FF358" s="238"/>
      <c r="FG358" s="238"/>
      <c r="FH358" s="238"/>
      <c r="FI358" s="238"/>
      <c r="FJ358" s="238"/>
      <c r="FK358" s="238"/>
      <c r="FL358" s="238"/>
      <c r="FM358" s="238"/>
      <c r="FN358" s="238"/>
      <c r="FO358" s="244"/>
      <c r="FP358" s="238"/>
      <c r="FQ358" s="238"/>
      <c r="FR358" s="238"/>
      <c r="FS358" s="238"/>
      <c r="FT358" s="238"/>
      <c r="FU358" s="238"/>
      <c r="FV358" s="238"/>
      <c r="FW358" s="238"/>
      <c r="FX358" s="238"/>
      <c r="FY358" s="238"/>
      <c r="FZ358" s="238"/>
      <c r="GA358" s="238"/>
      <c r="GB358" s="238"/>
      <c r="GC358" s="238"/>
      <c r="GD358" s="341"/>
      <c r="GE358" s="340"/>
      <c r="GF358" s="340"/>
      <c r="GG358" s="340"/>
      <c r="GH358" s="340"/>
      <c r="GI358" s="340"/>
      <c r="GJ358" s="340"/>
      <c r="GK358" s="340"/>
      <c r="GL358" s="340"/>
      <c r="GM358" s="340"/>
      <c r="GN358" s="340"/>
      <c r="GO358" s="340"/>
      <c r="GP358" s="340"/>
      <c r="GQ358" s="340"/>
      <c r="GR358" s="340"/>
      <c r="GS358" s="340"/>
      <c r="GT358" s="340"/>
      <c r="GU358" s="340"/>
      <c r="GV358" s="340"/>
      <c r="GW358" s="340"/>
      <c r="GX358" s="340"/>
      <c r="GY358" s="340"/>
      <c r="GZ358" s="340"/>
      <c r="HA358" s="340"/>
      <c r="HB358" s="340"/>
      <c r="HC358" s="340"/>
      <c r="HD358" s="341"/>
      <c r="HE358" s="341"/>
      <c r="HF358" s="341"/>
      <c r="HG358" s="341"/>
      <c r="HH358" s="341"/>
      <c r="HI358" s="341"/>
      <c r="HJ358" s="341"/>
      <c r="HK358" s="341"/>
      <c r="HL358" s="341"/>
      <c r="HM358" s="341"/>
      <c r="HN358" s="341"/>
      <c r="HO358" s="341"/>
      <c r="HP358" s="341"/>
      <c r="HQ358" s="341"/>
      <c r="HR358" s="341"/>
      <c r="HS358" s="238"/>
      <c r="HT358" s="238"/>
      <c r="HU358" s="238"/>
      <c r="HV358" s="238"/>
      <c r="HX358" s="238"/>
      <c r="HY358" s="238"/>
      <c r="ID358" s="238"/>
    </row>
    <row r="359" spans="1:238" s="234" customFormat="1" ht="20.100000000000001" customHeight="1">
      <c r="A359" s="235"/>
      <c r="B359" s="231"/>
      <c r="C359" s="285" t="str">
        <f>IF(AF359="","",SUM(AF359))</f>
        <v/>
      </c>
      <c r="D359" s="286" t="str">
        <f>IF(AK349="D",1,"")</f>
        <v/>
      </c>
      <c r="E359" s="287" t="str">
        <f>IF(C359="","",VLOOKUP(C359,Licenses!B:C,2,FALSE))</f>
        <v/>
      </c>
      <c r="F359" s="288"/>
      <c r="G359" s="288"/>
      <c r="H359" s="289"/>
      <c r="I359" s="169"/>
      <c r="J359" s="270" t="str">
        <f>REPT(AM359,1)</f>
        <v/>
      </c>
      <c r="L359" s="290" t="str">
        <f>IF(AK349="D",AK359,IF(AK358="","",AK358))</f>
        <v/>
      </c>
      <c r="M359" s="311"/>
      <c r="P359" s="290" t="str">
        <f>IF(AK349="D",AY359,IF(AY358="","",AY358))</f>
        <v/>
      </c>
      <c r="R359" s="291" t="str">
        <f>IF(AT359="","",SUM(AT359))</f>
        <v/>
      </c>
      <c r="S359" s="286" t="str">
        <f>IF(AK349="D",1,"")</f>
        <v/>
      </c>
      <c r="T359" s="292" t="str">
        <f>IF(R359="","",VLOOKUP(R359,Licenses!B:C,2,FALSE))</f>
        <v/>
      </c>
      <c r="U359" s="293"/>
      <c r="V359" s="293"/>
      <c r="W359" s="294"/>
      <c r="X359" s="169"/>
      <c r="Y359" s="270" t="str">
        <f>REPT(BA359,1)</f>
        <v/>
      </c>
      <c r="Z359" s="308"/>
      <c r="AD359" s="235"/>
      <c r="AE359" s="235"/>
      <c r="AF359" s="256" t="str">
        <f>IF(AM349="","",SUM(AM349))</f>
        <v/>
      </c>
      <c r="AG359" s="237"/>
      <c r="AH359" s="256"/>
      <c r="AI359" s="256"/>
      <c r="AJ359" s="256"/>
      <c r="AK359" s="256" t="str">
        <f>IF(BZ357&gt;1,BZ357,"")</f>
        <v/>
      </c>
      <c r="AL359" s="257">
        <f>IF(AK349="D",SUM(I359),0)</f>
        <v>0</v>
      </c>
      <c r="AM359" s="258" t="str">
        <f>IF(AM357=0,IF(AL359&lt;6,"","X"),"X")</f>
        <v/>
      </c>
      <c r="AN359" s="347" t="str">
        <f>IF(AM357=0,IF(AL359&lt;6,"",1),1)</f>
        <v/>
      </c>
      <c r="AO359" s="235"/>
      <c r="AP359" s="236"/>
      <c r="AQ359" s="235"/>
      <c r="AR359" s="235"/>
      <c r="AS359" s="235"/>
      <c r="AT359" s="256" t="str">
        <f>IF(BA349="","",SUM(BA349))</f>
        <v/>
      </c>
      <c r="AU359" s="237"/>
      <c r="AV359" s="256"/>
      <c r="AW359" s="256"/>
      <c r="AX359" s="256"/>
      <c r="AY359" s="256" t="str">
        <f>IF(CI357&gt;1,CI357,"")</f>
        <v/>
      </c>
      <c r="AZ359" s="257">
        <f>IF(AK349="D",SUM(X359),0)</f>
        <v>0</v>
      </c>
      <c r="BA359" s="258" t="str">
        <f>IF(BA357=0,IF(AZ359&lt;6,"","X"),"X")</f>
        <v/>
      </c>
      <c r="BB359" s="347" t="str">
        <f>IF(BA357=0,IF(AZ359&lt;6,"",1),1)</f>
        <v/>
      </c>
      <c r="BC359" s="236"/>
      <c r="BD359" s="236"/>
      <c r="BE359" s="236"/>
      <c r="BF359" s="236"/>
      <c r="BG359" s="236"/>
      <c r="BH359" s="236"/>
      <c r="BI359" s="236"/>
      <c r="BJ359" s="236"/>
      <c r="BK359" s="238"/>
      <c r="BL359" s="238"/>
      <c r="BM359" s="295"/>
      <c r="BN359" s="295"/>
      <c r="BO359" s="295"/>
      <c r="BP359" s="295"/>
      <c r="BQ359" s="295"/>
      <c r="BR359" s="295"/>
      <c r="BS359" s="295"/>
      <c r="BT359" s="295"/>
      <c r="BU359" s="295"/>
      <c r="BV359" s="295"/>
      <c r="BW359" s="295"/>
      <c r="BX359" s="236"/>
      <c r="BY359" s="295"/>
      <c r="BZ359" s="295"/>
      <c r="CA359" s="295"/>
      <c r="CB359" s="295"/>
      <c r="CC359" s="295"/>
      <c r="CD359" s="295"/>
      <c r="CE359" s="295"/>
      <c r="CF359" s="295"/>
      <c r="CG359" s="296"/>
      <c r="CH359" s="295"/>
      <c r="CI359" s="295"/>
      <c r="CJ359" s="295"/>
      <c r="CK359" s="238"/>
      <c r="CL359" s="238"/>
      <c r="CM359" s="238"/>
      <c r="CN359" s="238"/>
      <c r="CO359" s="238"/>
      <c r="CP359" s="238"/>
      <c r="CQ359" s="238"/>
      <c r="CR359" s="238"/>
      <c r="CS359" s="238"/>
      <c r="CT359" s="238"/>
      <c r="CU359" s="238"/>
      <c r="CV359" s="238"/>
      <c r="CW359" s="238"/>
      <c r="CX359" s="238"/>
      <c r="CY359" s="238"/>
      <c r="CZ359" s="238"/>
      <c r="DA359" s="238"/>
      <c r="DB359" s="238"/>
      <c r="DC359" s="238"/>
      <c r="DD359" s="238"/>
      <c r="DE359" s="238"/>
      <c r="DF359" s="238"/>
      <c r="DG359" s="238"/>
      <c r="DH359" s="238"/>
      <c r="DI359" s="238"/>
      <c r="DJ359" s="238"/>
      <c r="DK359" s="238"/>
      <c r="DL359" s="238"/>
      <c r="DM359" s="238"/>
      <c r="DN359" s="238"/>
      <c r="DO359" s="238"/>
      <c r="DP359" s="238"/>
      <c r="DQ359" s="238"/>
      <c r="DR359" s="238"/>
      <c r="DS359" s="238"/>
      <c r="DT359" s="238"/>
      <c r="DU359" s="238"/>
      <c r="DV359" s="238"/>
      <c r="DW359" s="238"/>
      <c r="DX359" s="238"/>
      <c r="DY359" s="238"/>
      <c r="DZ359" s="238"/>
      <c r="EA359" s="238"/>
      <c r="EB359" s="238"/>
      <c r="EC359" s="238"/>
      <c r="ED359" s="238"/>
      <c r="EE359" s="238"/>
      <c r="EF359" s="238"/>
      <c r="EG359" s="238"/>
      <c r="EH359" s="238"/>
      <c r="EI359" s="238"/>
      <c r="EJ359" s="238"/>
      <c r="EK359" s="238"/>
      <c r="EL359" s="238"/>
      <c r="EM359" s="238"/>
      <c r="EN359" s="238"/>
      <c r="EO359" s="238"/>
      <c r="EP359" s="238"/>
      <c r="EQ359" s="238"/>
      <c r="ER359" s="238"/>
      <c r="ES359" s="238"/>
      <c r="ET359" s="244"/>
      <c r="EU359" s="238"/>
      <c r="EV359" s="238"/>
      <c r="EW359" s="238"/>
      <c r="EX359" s="238"/>
      <c r="EY359" s="238"/>
      <c r="EZ359" s="238"/>
      <c r="FA359" s="238"/>
      <c r="FB359" s="238"/>
      <c r="FC359" s="238"/>
      <c r="FD359" s="238"/>
      <c r="FE359" s="238"/>
      <c r="FF359" s="238"/>
      <c r="FG359" s="238"/>
      <c r="FH359" s="238"/>
      <c r="FI359" s="238"/>
      <c r="FJ359" s="238"/>
      <c r="FK359" s="238"/>
      <c r="FL359" s="238"/>
      <c r="FM359" s="238"/>
      <c r="FN359" s="238"/>
      <c r="FO359" s="244"/>
      <c r="FP359" s="238"/>
      <c r="FQ359" s="238"/>
      <c r="FR359" s="238"/>
      <c r="FS359" s="238"/>
      <c r="FT359" s="238"/>
      <c r="FU359" s="238"/>
      <c r="FV359" s="238"/>
      <c r="FW359" s="238"/>
      <c r="FX359" s="238"/>
      <c r="FY359" s="238"/>
      <c r="FZ359" s="238"/>
      <c r="GA359" s="238"/>
      <c r="GB359" s="238"/>
      <c r="GC359" s="238"/>
      <c r="GD359" s="341"/>
      <c r="GE359" s="340"/>
      <c r="GF359" s="340"/>
      <c r="GG359" s="340"/>
      <c r="GH359" s="340"/>
      <c r="GI359" s="340"/>
      <c r="GJ359" s="340"/>
      <c r="GK359" s="340"/>
      <c r="GL359" s="340"/>
      <c r="GM359" s="340"/>
      <c r="GN359" s="340"/>
      <c r="GO359" s="340"/>
      <c r="GP359" s="340"/>
      <c r="GQ359" s="340"/>
      <c r="GR359" s="340"/>
      <c r="GS359" s="340"/>
      <c r="GT359" s="340"/>
      <c r="GU359" s="340"/>
      <c r="GV359" s="340"/>
      <c r="GW359" s="340"/>
      <c r="GX359" s="340"/>
      <c r="GY359" s="340"/>
      <c r="GZ359" s="340"/>
      <c r="HA359" s="340"/>
      <c r="HB359" s="340"/>
      <c r="HC359" s="340"/>
      <c r="HD359" s="341"/>
      <c r="HE359" s="341"/>
      <c r="HF359" s="341"/>
      <c r="HG359" s="341"/>
      <c r="HH359" s="341"/>
      <c r="HI359" s="341"/>
      <c r="HJ359" s="341"/>
      <c r="HK359" s="341"/>
      <c r="HL359" s="341"/>
      <c r="HM359" s="341"/>
      <c r="HN359" s="341"/>
      <c r="HO359" s="341"/>
      <c r="HP359" s="341"/>
      <c r="HQ359" s="341"/>
      <c r="HR359" s="341"/>
      <c r="HS359" s="238"/>
      <c r="HT359" s="238"/>
      <c r="HU359" s="238"/>
      <c r="HV359" s="238"/>
      <c r="HX359" s="238"/>
      <c r="HY359" s="238"/>
      <c r="ID359" s="238"/>
    </row>
    <row r="360" spans="1:238" s="234" customFormat="1" ht="20.100000000000001" customHeight="1">
      <c r="A360" s="235"/>
      <c r="B360" s="231"/>
      <c r="C360" s="336" t="str">
        <f>IF(AF360="","",SUM(AF360))</f>
        <v/>
      </c>
      <c r="D360" s="333" t="str">
        <f>IF(AK349="D",2,"")</f>
        <v/>
      </c>
      <c r="E360" s="337" t="str">
        <f>IF(C360="","",VLOOKUP(C360,Licenses!B:C,2,FALSE))</f>
        <v/>
      </c>
      <c r="F360" s="290"/>
      <c r="G360" s="290"/>
      <c r="H360" s="338"/>
      <c r="I360" s="331"/>
      <c r="J360" s="272" t="str">
        <f>REPT(AM360,1)</f>
        <v/>
      </c>
      <c r="L360" s="315" t="str">
        <f>IF(AK349="D",AK360,"")</f>
        <v/>
      </c>
      <c r="M360" s="311"/>
      <c r="P360" s="315" t="str">
        <f>IF(AK349="D",AY360,"")</f>
        <v/>
      </c>
      <c r="R360" s="332" t="str">
        <f>IF(AT360="","",SUM(AT360))</f>
        <v/>
      </c>
      <c r="S360" s="333" t="str">
        <f>IF(AK349="D",2,"")</f>
        <v/>
      </c>
      <c r="T360" s="334" t="str">
        <f>IF(R360="","",VLOOKUP(R360,Licenses!B:C,2,FALSE))</f>
        <v/>
      </c>
      <c r="U360" s="297"/>
      <c r="V360" s="297"/>
      <c r="W360" s="335"/>
      <c r="X360" s="331"/>
      <c r="Y360" s="272" t="str">
        <f>REPT(BA360,1)</f>
        <v/>
      </c>
      <c r="Z360" s="308"/>
      <c r="AA360" s="238">
        <f>IF(AK349="D",0,1)</f>
        <v>1</v>
      </c>
      <c r="AD360" s="235"/>
      <c r="AE360" s="235"/>
      <c r="AF360" s="256" t="str">
        <f>IF(AM350="","",SUM(AM350))</f>
        <v/>
      </c>
      <c r="AG360" s="237"/>
      <c r="AH360" s="256"/>
      <c r="AI360" s="256"/>
      <c r="AJ360" s="256"/>
      <c r="AK360" s="256" t="str">
        <f>IF(CA357&gt;1,CA357,"")</f>
        <v/>
      </c>
      <c r="AL360" s="257">
        <f>IF(AK349="D",SUM(I360),0)</f>
        <v>0</v>
      </c>
      <c r="AM360" s="258" t="str">
        <f>IF(AM357=0,IF(AL360&lt;6,"","X"),"X")</f>
        <v/>
      </c>
      <c r="AN360" s="347" t="str">
        <f>IF(AM357=0,IF(AL360&lt;6,"",1),1)</f>
        <v/>
      </c>
      <c r="AO360" s="235"/>
      <c r="AP360" s="236"/>
      <c r="AQ360" s="235"/>
      <c r="AR360" s="235"/>
      <c r="AS360" s="235"/>
      <c r="AT360" s="256" t="str">
        <f>IF(BA350="","",SUM(BA350))</f>
        <v/>
      </c>
      <c r="AU360" s="237"/>
      <c r="AV360" s="256"/>
      <c r="AW360" s="256"/>
      <c r="AX360" s="256"/>
      <c r="AY360" s="256" t="str">
        <f>IF(CJ357&gt;1,CJ357,"")</f>
        <v/>
      </c>
      <c r="AZ360" s="257">
        <f>IF(AK349="D",SUM(X360),0)</f>
        <v>0</v>
      </c>
      <c r="BA360" s="258" t="str">
        <f>IF(BA357=0,IF(AZ360&lt;6,"","X"),"X")</f>
        <v/>
      </c>
      <c r="BB360" s="347" t="str">
        <f>IF(BA357=0,IF(AZ360&lt;6,"",1),1)</f>
        <v/>
      </c>
      <c r="BC360" s="236"/>
      <c r="BD360" s="236"/>
      <c r="BE360" s="236"/>
      <c r="BF360" s="236"/>
      <c r="BG360" s="236"/>
      <c r="BH360" s="236"/>
      <c r="BI360" s="236"/>
      <c r="BJ360" s="236"/>
      <c r="BK360" s="238"/>
      <c r="BM360" s="238"/>
      <c r="BN360" s="238"/>
      <c r="BO360" s="238"/>
      <c r="BP360" s="238"/>
      <c r="BQ360" s="238" t="s">
        <v>899</v>
      </c>
      <c r="BR360" s="238"/>
      <c r="BS360" s="238"/>
      <c r="BT360" s="238"/>
      <c r="BU360" s="238"/>
      <c r="BV360" s="238"/>
      <c r="BW360" s="238"/>
      <c r="BX360" s="236"/>
      <c r="BY360" s="238"/>
      <c r="BZ360" s="238"/>
      <c r="CA360" s="238"/>
      <c r="CB360" s="238"/>
      <c r="CC360" s="238"/>
      <c r="CD360" s="238" t="s">
        <v>899</v>
      </c>
      <c r="CE360" s="238"/>
      <c r="CF360" s="238"/>
      <c r="CG360" s="244"/>
      <c r="CH360" s="238"/>
      <c r="CI360" s="238"/>
      <c r="CJ360" s="238"/>
      <c r="CK360" s="238"/>
      <c r="CL360" s="238"/>
      <c r="CM360" s="238"/>
      <c r="CN360" s="238"/>
      <c r="CO360" s="238"/>
      <c r="CP360" s="238"/>
      <c r="CQ360" s="238"/>
      <c r="CR360" s="238"/>
      <c r="CS360" s="238"/>
      <c r="CT360" s="238"/>
      <c r="CU360" s="238"/>
      <c r="CV360" s="238"/>
      <c r="CW360" s="238"/>
      <c r="CX360" s="238"/>
      <c r="CY360" s="238"/>
      <c r="CZ360" s="238"/>
      <c r="DA360" s="238"/>
      <c r="DB360" s="238"/>
      <c r="DC360" s="238"/>
      <c r="DD360" s="238"/>
      <c r="DE360" s="238"/>
      <c r="DF360" s="238"/>
      <c r="DG360" s="238"/>
      <c r="DH360" s="238"/>
      <c r="DI360" s="238"/>
      <c r="DJ360" s="238"/>
      <c r="DK360" s="238"/>
      <c r="DL360" s="238"/>
      <c r="DM360" s="238"/>
      <c r="DN360" s="238"/>
      <c r="DO360" s="238"/>
      <c r="DP360" s="238"/>
      <c r="DQ360" s="238"/>
      <c r="DR360" s="238"/>
      <c r="DS360" s="238"/>
      <c r="DT360" s="238"/>
      <c r="DU360" s="238"/>
      <c r="DV360" s="238"/>
      <c r="DW360" s="238"/>
      <c r="DX360" s="238"/>
      <c r="DY360" s="238"/>
      <c r="DZ360" s="238"/>
      <c r="EA360" s="238"/>
      <c r="EB360" s="238"/>
      <c r="EC360" s="238"/>
      <c r="ED360" s="238"/>
      <c r="EE360" s="238"/>
      <c r="EF360" s="238"/>
      <c r="EG360" s="238"/>
      <c r="EH360" s="238"/>
      <c r="EI360" s="238"/>
      <c r="EJ360" s="238"/>
      <c r="EK360" s="238"/>
      <c r="EL360" s="238"/>
      <c r="EM360" s="238"/>
      <c r="EN360" s="238"/>
      <c r="EO360" s="238"/>
      <c r="EP360" s="238"/>
      <c r="EQ360" s="238"/>
      <c r="ER360" s="238"/>
      <c r="ES360" s="238"/>
      <c r="ET360" s="244"/>
      <c r="EU360" s="238"/>
      <c r="EV360" s="238"/>
      <c r="EW360" s="238"/>
      <c r="EX360" s="238"/>
      <c r="EY360" s="238"/>
      <c r="EZ360" s="238"/>
      <c r="FA360" s="238"/>
      <c r="FB360" s="238"/>
      <c r="FC360" s="238"/>
      <c r="FD360" s="238"/>
      <c r="FE360" s="238"/>
      <c r="FF360" s="238"/>
      <c r="FG360" s="238"/>
      <c r="FH360" s="238"/>
      <c r="FI360" s="238"/>
      <c r="FJ360" s="238"/>
      <c r="FK360" s="238"/>
      <c r="FL360" s="238"/>
      <c r="FM360" s="238"/>
      <c r="FN360" s="238"/>
      <c r="FO360" s="244"/>
      <c r="FP360" s="238"/>
      <c r="FQ360" s="238"/>
      <c r="FR360" s="238"/>
      <c r="FS360" s="238"/>
      <c r="FT360" s="238"/>
      <c r="FU360" s="238"/>
      <c r="FV360" s="238"/>
      <c r="FW360" s="238"/>
      <c r="FX360" s="238"/>
      <c r="FY360" s="238"/>
      <c r="FZ360" s="238"/>
      <c r="GA360" s="238"/>
      <c r="GB360" s="238"/>
      <c r="GC360" s="238"/>
      <c r="GD360" s="341"/>
      <c r="GE360" s="340"/>
      <c r="GF360" s="340"/>
      <c r="GG360" s="340"/>
      <c r="GH360" s="340"/>
      <c r="GI360" s="340"/>
      <c r="GJ360" s="340"/>
      <c r="GK360" s="340"/>
      <c r="GL360" s="340"/>
      <c r="GM360" s="340"/>
      <c r="GN360" s="340"/>
      <c r="GO360" s="340"/>
      <c r="GP360" s="340"/>
      <c r="GQ360" s="340"/>
      <c r="GR360" s="340"/>
      <c r="GS360" s="340"/>
      <c r="GT360" s="340"/>
      <c r="GU360" s="340"/>
      <c r="GV360" s="340"/>
      <c r="GW360" s="340"/>
      <c r="GX360" s="340"/>
      <c r="GY360" s="340"/>
      <c r="GZ360" s="340"/>
      <c r="HA360" s="340"/>
      <c r="HB360" s="340"/>
      <c r="HC360" s="340"/>
      <c r="HD360" s="341"/>
      <c r="HE360" s="341"/>
      <c r="HF360" s="341"/>
      <c r="HG360" s="341"/>
      <c r="HH360" s="341"/>
      <c r="HI360" s="341"/>
      <c r="HJ360" s="341"/>
      <c r="HK360" s="341"/>
      <c r="HL360" s="341"/>
      <c r="HM360" s="341"/>
      <c r="HN360" s="341"/>
      <c r="HO360" s="341"/>
      <c r="HP360" s="341"/>
      <c r="HQ360" s="341"/>
      <c r="HR360" s="341"/>
      <c r="HS360" s="238"/>
      <c r="HT360" s="238"/>
      <c r="HU360" s="238"/>
      <c r="HV360" s="238"/>
      <c r="HX360" s="238"/>
      <c r="HY360" s="238"/>
      <c r="ID360" s="238"/>
    </row>
    <row r="361" spans="1:238" s="234" customFormat="1" ht="20.100000000000001" customHeight="1">
      <c r="A361" s="235"/>
      <c r="B361" s="316"/>
      <c r="C361" s="317"/>
      <c r="D361" s="317"/>
      <c r="E361" s="318"/>
      <c r="F361" s="318"/>
      <c r="G361" s="318"/>
      <c r="H361" s="318"/>
      <c r="I361" s="318"/>
      <c r="J361" s="318"/>
      <c r="K361" s="319"/>
      <c r="L361" s="319"/>
      <c r="M361" s="319"/>
      <c r="N361" s="319"/>
      <c r="O361" s="319"/>
      <c r="P361" s="320"/>
      <c r="Q361" s="319"/>
      <c r="R361" s="317"/>
      <c r="S361" s="318"/>
      <c r="T361" s="318"/>
      <c r="U361" s="318"/>
      <c r="V361" s="318"/>
      <c r="W361" s="318"/>
      <c r="X361" s="318"/>
      <c r="Y361" s="318"/>
      <c r="Z361" s="321"/>
      <c r="AD361" s="235"/>
      <c r="AE361" s="237"/>
      <c r="AF361" s="237"/>
      <c r="AG361" s="237"/>
      <c r="AH361" s="237" t="s">
        <v>921</v>
      </c>
      <c r="AI361" s="237" t="s">
        <v>922</v>
      </c>
      <c r="AJ361" s="298" t="str">
        <f>IF(BS361="","",SUM(AM361)*3)</f>
        <v/>
      </c>
      <c r="AK361" s="299" t="s">
        <v>923</v>
      </c>
      <c r="AL361" s="256"/>
      <c r="AM361" s="256" t="str">
        <f>IF(BS361="","",SUM(BS361))</f>
        <v/>
      </c>
      <c r="AN361" s="235"/>
      <c r="AO361" s="235"/>
      <c r="AP361" s="236"/>
      <c r="AQ361" s="235"/>
      <c r="AR361" s="235"/>
      <c r="AS361" s="237"/>
      <c r="AT361" s="237"/>
      <c r="AU361" s="237"/>
      <c r="AV361" s="237" t="s">
        <v>921</v>
      </c>
      <c r="AW361" s="237" t="s">
        <v>922</v>
      </c>
      <c r="AX361" s="298" t="str">
        <f>IF(BS361="","",SUM(BA361)*3)</f>
        <v/>
      </c>
      <c r="AY361" s="299" t="s">
        <v>923</v>
      </c>
      <c r="AZ361" s="256"/>
      <c r="BA361" s="256" t="str">
        <f>IF(BS361="","",SUM(CF361))</f>
        <v/>
      </c>
      <c r="BB361" s="236"/>
      <c r="BC361" s="236"/>
      <c r="BD361" s="236"/>
      <c r="BE361" s="236"/>
      <c r="BF361" s="236"/>
      <c r="BG361" s="236"/>
      <c r="BH361" s="236"/>
      <c r="BI361" s="236"/>
      <c r="BJ361" s="236"/>
      <c r="BK361" s="373">
        <f>IF(AL349=BQ361,1,0)</f>
        <v>0</v>
      </c>
      <c r="BL361" s="373">
        <f>IF(AL349=CD361,1,0)</f>
        <v>0</v>
      </c>
      <c r="BM361" s="256">
        <f>IF(BN361&gt;2,1,0)</f>
        <v>0</v>
      </c>
      <c r="BN361" s="256">
        <f>COUNT(AH352,AH353,AH354)</f>
        <v>0</v>
      </c>
      <c r="BO361" s="256" t="str">
        <f>IF(AH358="","",SUM(AH358/AJ358))</f>
        <v/>
      </c>
      <c r="BP361" s="256"/>
      <c r="BQ361" s="300">
        <f>COUNT(AK352,AK353,AK354,AK355,AK356)</f>
        <v>0</v>
      </c>
      <c r="BR361" s="256"/>
      <c r="BS361" s="256" t="str">
        <f>IF(BL358=0,IF(AJ353="","",BO361),"")</f>
        <v/>
      </c>
      <c r="BT361" s="236"/>
      <c r="BU361" s="236"/>
      <c r="BV361" s="236"/>
      <c r="BW361" s="236"/>
      <c r="BX361" s="236"/>
      <c r="BY361" s="256">
        <f>IF(CD361&gt;2,1,0)</f>
        <v>0</v>
      </c>
      <c r="BZ361" s="256">
        <f>IF(CA361&gt;2,1,0)</f>
        <v>0</v>
      </c>
      <c r="CA361" s="256">
        <f>COUNT(AV352,AV353,AV354)</f>
        <v>0</v>
      </c>
      <c r="CB361" s="256" t="str">
        <f>IF(AV358="","",SUM(AV358/AX358))</f>
        <v/>
      </c>
      <c r="CC361" s="256"/>
      <c r="CD361" s="300">
        <f>COUNT(AY352,AY353,AY354,AY355,AY356)</f>
        <v>0</v>
      </c>
      <c r="CE361" s="256"/>
      <c r="CF361" s="256" t="str">
        <f>IF(BL358=0,IF(AX353="","",CB361),"")</f>
        <v/>
      </c>
      <c r="CG361" s="236"/>
      <c r="CH361" s="188"/>
      <c r="CI361" s="188"/>
      <c r="CJ361" s="196"/>
      <c r="CK361" s="196"/>
      <c r="CL361" s="196"/>
      <c r="CM361" s="196"/>
      <c r="CN361" s="196"/>
      <c r="CO361" s="196"/>
      <c r="CP361" s="196"/>
      <c r="CQ361" s="196"/>
      <c r="CR361" s="196"/>
      <c r="CS361" s="196"/>
      <c r="CT361" s="196"/>
      <c r="CU361" s="196"/>
      <c r="CV361" s="196"/>
      <c r="CW361" s="196"/>
      <c r="CX361" s="196"/>
      <c r="CY361" s="196"/>
      <c r="CZ361" s="196"/>
      <c r="DA361" s="196"/>
      <c r="DB361" s="196"/>
      <c r="DC361" s="196"/>
      <c r="DD361" s="196"/>
      <c r="DE361" s="196"/>
      <c r="DF361" s="196"/>
      <c r="DG361" s="196"/>
      <c r="DH361" s="196"/>
      <c r="DI361" s="196"/>
      <c r="DJ361" s="196"/>
      <c r="DK361" s="196"/>
      <c r="DL361" s="196"/>
      <c r="DM361" s="196"/>
      <c r="DN361" s="196"/>
      <c r="DO361" s="196"/>
      <c r="DP361" s="196"/>
      <c r="DQ361" s="196"/>
      <c r="DR361" s="196"/>
      <c r="DS361" s="196"/>
      <c r="DT361" s="196"/>
      <c r="DU361" s="196"/>
      <c r="DV361" s="196"/>
      <c r="DW361" s="196"/>
      <c r="DX361" s="196"/>
      <c r="DY361" s="196"/>
      <c r="DZ361" s="196"/>
      <c r="EA361" s="196"/>
      <c r="EB361" s="196"/>
      <c r="EC361" s="196"/>
      <c r="ED361" s="196"/>
      <c r="EE361" s="196"/>
      <c r="EF361" s="196"/>
      <c r="EG361" s="196"/>
      <c r="EH361" s="196"/>
      <c r="EI361" s="196"/>
      <c r="EJ361" s="196"/>
      <c r="EK361" s="196"/>
      <c r="EL361" s="196"/>
      <c r="EM361" s="196"/>
      <c r="EN361" s="196"/>
      <c r="EO361" s="196"/>
      <c r="EP361" s="196"/>
      <c r="EQ361" s="196"/>
      <c r="ER361" s="196"/>
      <c r="ES361" s="196"/>
      <c r="ET361" s="301"/>
      <c r="EU361" s="196"/>
      <c r="EV361" s="196"/>
      <c r="EW361" s="196"/>
      <c r="EX361" s="196"/>
      <c r="EY361" s="196"/>
      <c r="EZ361" s="196"/>
      <c r="FA361" s="196"/>
      <c r="FB361" s="196"/>
      <c r="FC361" s="196"/>
      <c r="FD361" s="196"/>
      <c r="FE361" s="196"/>
      <c r="FF361" s="196"/>
      <c r="FG361" s="196"/>
      <c r="FH361" s="196"/>
      <c r="FI361" s="196"/>
      <c r="FJ361" s="196"/>
      <c r="FK361" s="196"/>
      <c r="FL361" s="196"/>
      <c r="FM361" s="196"/>
      <c r="FN361" s="196"/>
      <c r="FO361" s="301"/>
      <c r="FP361" s="196"/>
      <c r="FQ361" s="196"/>
      <c r="FR361" s="196"/>
      <c r="FS361" s="196"/>
      <c r="FT361" s="196"/>
      <c r="FU361" s="196"/>
      <c r="FV361" s="196"/>
      <c r="FW361" s="196"/>
      <c r="FX361" s="196"/>
      <c r="FY361" s="196"/>
      <c r="FZ361" s="196"/>
      <c r="GA361" s="196"/>
      <c r="GB361" s="238"/>
      <c r="GC361" s="238"/>
      <c r="GD361" s="341"/>
      <c r="GE361" s="341"/>
      <c r="GF361" s="341"/>
      <c r="GG361" s="341"/>
      <c r="GH361" s="341"/>
      <c r="GI361" s="341"/>
      <c r="GJ361" s="341"/>
      <c r="GK361" s="341"/>
      <c r="GL361" s="341"/>
      <c r="GM361" s="341"/>
      <c r="GN361" s="341"/>
      <c r="GO361" s="341"/>
      <c r="GP361" s="341"/>
      <c r="GQ361" s="341"/>
      <c r="GR361" s="341"/>
      <c r="GS361" s="341"/>
      <c r="GT361" s="341"/>
      <c r="GU361" s="341"/>
      <c r="GV361" s="341"/>
      <c r="GW361" s="341"/>
      <c r="GX361" s="341"/>
      <c r="GY361" s="341"/>
      <c r="GZ361" s="341"/>
      <c r="HA361" s="341"/>
      <c r="HB361" s="341"/>
      <c r="HC361" s="341"/>
      <c r="HD361" s="341"/>
      <c r="HE361" s="341"/>
      <c r="HF361" s="341"/>
      <c r="HG361" s="341"/>
      <c r="HH361" s="341"/>
      <c r="HI361" s="341"/>
      <c r="HJ361" s="341"/>
      <c r="HK361" s="341"/>
      <c r="HL361" s="341"/>
      <c r="HM361" s="341"/>
      <c r="HN361" s="341"/>
      <c r="HO361" s="341"/>
      <c r="HP361" s="341"/>
      <c r="HQ361" s="341"/>
      <c r="HR361" s="341"/>
      <c r="HS361" s="238"/>
      <c r="HT361" s="238"/>
      <c r="HU361" s="238"/>
      <c r="HV361" s="238"/>
      <c r="HX361" s="238"/>
      <c r="HY361" s="238"/>
      <c r="ID361" s="238"/>
    </row>
    <row r="362" spans="1:238" ht="14.1" customHeight="1">
      <c r="B362" s="214"/>
      <c r="C362" s="171"/>
      <c r="D362" s="171"/>
      <c r="E362" s="171"/>
      <c r="F362" s="171"/>
      <c r="G362" s="171"/>
      <c r="H362" s="171"/>
      <c r="I362" s="171"/>
      <c r="J362" s="171"/>
      <c r="K362" s="171"/>
      <c r="L362" s="171"/>
      <c r="M362" s="171"/>
      <c r="N362" s="171"/>
      <c r="O362" s="171"/>
      <c r="P362" s="171"/>
      <c r="Q362" s="171"/>
      <c r="R362" s="171"/>
      <c r="S362" s="171"/>
      <c r="T362" s="171"/>
      <c r="U362" s="171"/>
      <c r="V362" s="171"/>
      <c r="W362" s="171"/>
      <c r="X362" s="171"/>
      <c r="Y362" s="171"/>
      <c r="Z362" s="302"/>
      <c r="AA362" s="215"/>
      <c r="AB362" s="215"/>
      <c r="AC362" s="215"/>
      <c r="AD362" s="215"/>
      <c r="AE362" s="215"/>
      <c r="AF362" s="215"/>
      <c r="BB362" s="215"/>
      <c r="BC362" s="215"/>
      <c r="BD362" s="215"/>
      <c r="BE362" s="215"/>
      <c r="BF362" s="215"/>
      <c r="BG362" s="215"/>
      <c r="BH362" s="215"/>
      <c r="GD362" s="339"/>
      <c r="GE362" s="339"/>
      <c r="GF362" s="339"/>
      <c r="GG362" s="339"/>
      <c r="GH362" s="339"/>
      <c r="GI362" s="339"/>
      <c r="GJ362" s="339"/>
      <c r="GK362" s="339"/>
      <c r="GL362" s="339"/>
      <c r="GM362" s="339"/>
      <c r="GN362" s="339"/>
      <c r="GO362" s="339"/>
      <c r="GP362" s="339"/>
      <c r="GQ362" s="339"/>
      <c r="GR362" s="339"/>
      <c r="GS362" s="339"/>
      <c r="GT362" s="339"/>
      <c r="GU362" s="339"/>
      <c r="GV362" s="339"/>
      <c r="GW362" s="339"/>
      <c r="GX362" s="339"/>
      <c r="GY362" s="339"/>
      <c r="GZ362" s="339"/>
      <c r="HA362" s="339"/>
      <c r="HB362" s="339"/>
      <c r="HC362" s="339"/>
      <c r="HD362" s="339"/>
      <c r="HE362" s="339"/>
      <c r="HF362" s="339"/>
      <c r="HG362" s="339"/>
      <c r="HH362" s="339"/>
      <c r="HI362" s="339"/>
      <c r="HJ362" s="339"/>
      <c r="HK362" s="339"/>
      <c r="HL362" s="339"/>
      <c r="HM362" s="339"/>
      <c r="HN362" s="339"/>
      <c r="HO362" s="339"/>
      <c r="HP362" s="339"/>
      <c r="HQ362" s="339"/>
      <c r="HR362" s="339"/>
    </row>
    <row r="363" spans="1:238" ht="24" customHeight="1">
      <c r="B363" s="216"/>
      <c r="C363" s="181"/>
      <c r="D363" s="181"/>
      <c r="E363" s="181"/>
      <c r="F363" s="181"/>
      <c r="G363" s="181"/>
      <c r="H363" s="181"/>
      <c r="I363" s="181"/>
      <c r="J363" s="181"/>
      <c r="K363" s="185"/>
      <c r="L363" s="217"/>
      <c r="M363" s="218"/>
      <c r="N363" s="327" t="str">
        <f>CONCATENATE(AG363," ",AH363)</f>
        <v>Spiel 26</v>
      </c>
      <c r="O363" s="218"/>
      <c r="P363" s="219"/>
      <c r="Q363" s="185"/>
      <c r="R363" s="181"/>
      <c r="S363" s="181"/>
      <c r="T363" s="181"/>
      <c r="U363" s="181"/>
      <c r="V363" s="181"/>
      <c r="W363" s="181"/>
      <c r="X363" s="181"/>
      <c r="Y363" s="181"/>
      <c r="Z363" s="303"/>
      <c r="AA363" s="200" t="str">
        <f>IF(AH363="",10,"")</f>
        <v/>
      </c>
      <c r="AB363" s="200"/>
      <c r="AC363" s="200"/>
      <c r="AD363" s="200"/>
      <c r="AE363" s="200"/>
      <c r="AF363" s="200"/>
      <c r="AG363" s="200" t="s">
        <v>863</v>
      </c>
      <c r="AH363" s="220">
        <f>IF('Heimmannschaft MAISON'!$A$1=3,"",IF('Heimmannschaft MAISON'!$A$1=1,26,26))</f>
        <v>26</v>
      </c>
      <c r="AI363" s="173">
        <f>IF(AH363="","",VLOOKUP(AH363,Chema!R:T,3,FALSE))</f>
        <v>3.6</v>
      </c>
      <c r="AJ363" s="200" t="str">
        <f>VLOOKUP(AH363,Chema!BL:BQ,6,FALSE)</f>
        <v>3.6*</v>
      </c>
      <c r="AK363" s="200" t="str">
        <f>IF(AH363="","",VLOOKUP(AH363,'Matchblatt  FEUILLE DE MATCH'!AI:AJ,2,FALSE))</f>
        <v>S</v>
      </c>
      <c r="AL363" s="200">
        <f>IF(AH363="","",VLOOKUP(AH363,Chema!R:U,4,FALSE))</f>
        <v>5</v>
      </c>
      <c r="AM363" s="215" t="str">
        <f>IF(AH363="","",VLOOKUP(AH363,'Matchblatt  FEUILLE DE MATCH'!AI:AS,10,FALSE))</f>
        <v/>
      </c>
      <c r="AN363" s="215"/>
      <c r="AO363" s="215"/>
      <c r="AP363" s="215"/>
      <c r="AQ363" s="215"/>
      <c r="AR363" s="215"/>
      <c r="AS363" s="215"/>
      <c r="AT363" s="215"/>
      <c r="AU363" s="215"/>
      <c r="AV363" s="215"/>
      <c r="AW363" s="215"/>
      <c r="AX363" s="215"/>
      <c r="AY363" s="215"/>
      <c r="AZ363" s="215"/>
      <c r="BA363" s="215" t="str">
        <f>IF(AH363="","",VLOOKUP(AH363,'Matchblatt  FEUILLE DE MATCH'!AI:AS,11,FALSE))</f>
        <v/>
      </c>
      <c r="BB363" s="200"/>
      <c r="BC363" s="200"/>
      <c r="BD363" s="200"/>
      <c r="BE363" s="200"/>
      <c r="BF363" s="200"/>
      <c r="BG363" s="200"/>
      <c r="BH363" s="200"/>
      <c r="BK363" s="196"/>
      <c r="BL363" s="196"/>
      <c r="BM363" s="196"/>
      <c r="BN363" s="196"/>
      <c r="BO363" s="196"/>
      <c r="BP363" s="196"/>
      <c r="BQ363" s="221" t="s">
        <v>843</v>
      </c>
      <c r="BR363" s="222"/>
      <c r="BS363" s="222"/>
      <c r="BT363" s="223"/>
      <c r="BU363" s="222" t="s">
        <v>843</v>
      </c>
      <c r="BV363" s="222"/>
      <c r="BW363" s="222"/>
      <c r="BX363" s="224"/>
      <c r="BY363" s="222"/>
      <c r="BZ363" s="222"/>
      <c r="CA363" s="222"/>
      <c r="CB363" s="222"/>
      <c r="CC363" s="222"/>
      <c r="CD363" s="222"/>
      <c r="CE363" s="222"/>
      <c r="CF363" s="222"/>
      <c r="CG363" s="224"/>
      <c r="CH363" s="222"/>
      <c r="CI363" s="222"/>
      <c r="CJ363" s="223"/>
      <c r="CK363" s="196"/>
      <c r="CL363" s="196"/>
      <c r="CM363" s="196"/>
      <c r="CN363" s="196"/>
      <c r="CO363" s="196"/>
      <c r="CP363" s="196"/>
      <c r="CQ363" s="196"/>
      <c r="CR363" s="196"/>
      <c r="CS363" s="196"/>
      <c r="CT363" s="196"/>
      <c r="CU363" s="196"/>
      <c r="CV363" s="196"/>
      <c r="CW363" s="196"/>
      <c r="CX363" s="196"/>
      <c r="CY363" s="196"/>
      <c r="CZ363" s="196"/>
      <c r="DA363" s="196"/>
      <c r="DB363" s="196"/>
      <c r="DC363" s="196"/>
      <c r="DD363" s="196"/>
      <c r="DE363" s="196"/>
      <c r="DF363" s="196"/>
      <c r="DG363" s="196"/>
      <c r="DH363" s="196"/>
      <c r="DI363" s="196"/>
      <c r="DJ363" s="196"/>
      <c r="DK363" s="196"/>
      <c r="DL363" s="196"/>
      <c r="DM363" s="196"/>
      <c r="DN363" s="196"/>
      <c r="DO363" s="196"/>
      <c r="DP363" s="196"/>
      <c r="DQ363" s="196"/>
      <c r="DR363" s="196"/>
      <c r="DS363" s="196"/>
      <c r="DT363" s="196"/>
      <c r="DU363" s="196"/>
      <c r="DV363" s="196"/>
      <c r="DW363" s="196"/>
      <c r="DX363" s="196"/>
      <c r="DY363" s="196"/>
      <c r="DZ363" s="196"/>
      <c r="EA363" s="196"/>
      <c r="EB363" s="196"/>
      <c r="EC363" s="196"/>
      <c r="ED363" s="196"/>
      <c r="EE363" s="196"/>
      <c r="EF363" s="196"/>
      <c r="EG363" s="196"/>
      <c r="EH363" s="196"/>
      <c r="EI363" s="196"/>
      <c r="EJ363" s="196"/>
      <c r="EK363" s="196"/>
      <c r="EL363" s="196"/>
      <c r="EM363" s="221" t="s">
        <v>7</v>
      </c>
      <c r="EN363" s="222"/>
      <c r="EO363" s="222"/>
      <c r="EP363" s="222"/>
      <c r="EQ363" s="222"/>
      <c r="ER363" s="222"/>
      <c r="ES363" s="222"/>
      <c r="ET363" s="224"/>
      <c r="EU363" s="222"/>
      <c r="EV363" s="222"/>
      <c r="EW363" s="222"/>
      <c r="EX363" s="222"/>
      <c r="EY363" s="222"/>
      <c r="EZ363" s="222"/>
      <c r="FA363" s="222"/>
      <c r="FB363" s="222"/>
      <c r="FC363" s="222"/>
      <c r="FD363" s="222"/>
      <c r="FE363" s="223"/>
      <c r="FF363" s="196"/>
      <c r="FG363" s="196"/>
      <c r="FH363" s="221" t="s">
        <v>12</v>
      </c>
      <c r="FI363" s="222"/>
      <c r="FJ363" s="222"/>
      <c r="FK363" s="222"/>
      <c r="FL363" s="222"/>
      <c r="FM363" s="222"/>
      <c r="FN363" s="222"/>
      <c r="FO363" s="224"/>
      <c r="FP363" s="222"/>
      <c r="FQ363" s="222"/>
      <c r="FR363" s="222"/>
      <c r="FS363" s="222"/>
      <c r="FT363" s="222"/>
      <c r="FU363" s="222"/>
      <c r="FV363" s="222"/>
      <c r="FW363" s="222"/>
      <c r="FX363" s="222"/>
      <c r="FY363" s="222"/>
      <c r="FZ363" s="223"/>
      <c r="GA363" s="196"/>
      <c r="GD363" s="339"/>
      <c r="GE363" s="339"/>
      <c r="GF363" s="339"/>
      <c r="GG363" s="339"/>
      <c r="GH363" s="339"/>
      <c r="GI363" s="339"/>
      <c r="GJ363" s="339"/>
      <c r="GK363" s="339"/>
      <c r="GL363" s="339"/>
      <c r="GM363" s="339"/>
      <c r="GN363" s="339"/>
      <c r="GO363" s="339"/>
      <c r="GP363" s="339"/>
      <c r="GQ363" s="339"/>
      <c r="GR363" s="339"/>
      <c r="GS363" s="339"/>
      <c r="GT363" s="339"/>
      <c r="GU363" s="339"/>
      <c r="GV363" s="339"/>
      <c r="GW363" s="339"/>
      <c r="GX363" s="339"/>
      <c r="GY363" s="339"/>
      <c r="GZ363" s="339"/>
      <c r="HA363" s="339"/>
      <c r="HB363" s="339"/>
      <c r="HC363" s="339"/>
      <c r="HD363" s="339"/>
      <c r="HE363" s="339"/>
      <c r="HF363" s="339"/>
      <c r="HG363" s="339"/>
      <c r="HH363" s="339"/>
      <c r="HI363" s="339"/>
      <c r="HJ363" s="339"/>
      <c r="HK363" s="339"/>
      <c r="HL363" s="339"/>
      <c r="HM363" s="339"/>
      <c r="HN363" s="339"/>
      <c r="HO363" s="339"/>
      <c r="HP363" s="339"/>
      <c r="HQ363" s="339"/>
      <c r="HR363" s="339"/>
    </row>
    <row r="364" spans="1:238" ht="14.1" customHeight="1">
      <c r="B364" s="225"/>
      <c r="C364" s="304"/>
      <c r="D364" s="304"/>
      <c r="E364" s="304"/>
      <c r="F364" s="304"/>
      <c r="G364" s="304"/>
      <c r="H364" s="304"/>
      <c r="I364" s="304"/>
      <c r="J364" s="304"/>
      <c r="K364" s="166"/>
      <c r="L364" s="166"/>
      <c r="M364" s="166"/>
      <c r="N364" s="304"/>
      <c r="O364" s="304"/>
      <c r="P364" s="166"/>
      <c r="Q364" s="166"/>
      <c r="R364" s="304"/>
      <c r="S364" s="304"/>
      <c r="T364" s="304"/>
      <c r="U364" s="304"/>
      <c r="V364" s="304"/>
      <c r="W364" s="304"/>
      <c r="X364" s="166"/>
      <c r="Y364" s="166"/>
      <c r="Z364" s="305"/>
      <c r="AA364" s="63"/>
      <c r="AB364" s="63"/>
      <c r="AC364" s="63"/>
      <c r="AD364" s="63"/>
      <c r="AE364" s="63"/>
      <c r="AF364" s="63"/>
      <c r="AJ364" s="173" t="str">
        <f>IF(AH363="","",IF(AK363="D",CONCATENATE(AI363,".",2),""))</f>
        <v/>
      </c>
      <c r="AL364" s="200"/>
      <c r="AM364" s="200" t="str">
        <f>IF(AK363="D",VLOOKUP(AJ364,'Matchblatt  FEUILLE DE MATCH'!AK:AS,8,FALSE),"")</f>
        <v/>
      </c>
      <c r="AN364" s="200"/>
      <c r="AO364" s="200"/>
      <c r="AP364" s="200"/>
      <c r="AQ364" s="200"/>
      <c r="AR364" s="200"/>
      <c r="AS364" s="200"/>
      <c r="AT364" s="200"/>
      <c r="AU364" s="200"/>
      <c r="AV364" s="200"/>
      <c r="AW364" s="200"/>
      <c r="AX364" s="200"/>
      <c r="AY364" s="200"/>
      <c r="AZ364" s="200"/>
      <c r="BA364" s="200" t="str">
        <f>IF(AK363="D",VLOOKUP(AJ364,'Matchblatt  FEUILLE DE MATCH'!AK:AS,9,FALSE),"")</f>
        <v/>
      </c>
      <c r="BB364" s="63"/>
      <c r="BC364" s="63"/>
      <c r="BD364" s="63"/>
      <c r="BE364" s="63"/>
      <c r="BF364" s="63"/>
      <c r="BG364" s="63"/>
      <c r="BH364" s="63"/>
      <c r="BK364" s="166" t="s">
        <v>7</v>
      </c>
      <c r="BL364" s="166" t="s">
        <v>12</v>
      </c>
      <c r="BM364" s="166"/>
      <c r="BN364" s="166" t="s">
        <v>7</v>
      </c>
      <c r="BO364" s="166" t="s">
        <v>12</v>
      </c>
      <c r="BP364" s="166"/>
      <c r="BQ364" s="226" t="s">
        <v>894</v>
      </c>
      <c r="BR364" s="227" t="s">
        <v>895</v>
      </c>
      <c r="BS364" s="228" t="s">
        <v>896</v>
      </c>
      <c r="BT364" s="229"/>
      <c r="BU364" s="226" t="s">
        <v>7</v>
      </c>
      <c r="BV364" s="166"/>
      <c r="BW364" s="166"/>
      <c r="BX364" s="230"/>
      <c r="BY364" s="166"/>
      <c r="BZ364" s="166"/>
      <c r="CA364" s="227"/>
      <c r="CB364" s="166"/>
      <c r="CC364" s="166"/>
      <c r="CD364" s="226" t="s">
        <v>12</v>
      </c>
      <c r="CE364" s="166"/>
      <c r="CF364" s="166"/>
      <c r="CG364" s="230"/>
      <c r="CH364" s="166"/>
      <c r="CI364" s="166"/>
      <c r="CJ364" s="227"/>
      <c r="CK364" s="166"/>
      <c r="CL364" s="166" t="s">
        <v>897</v>
      </c>
      <c r="CM364" s="166"/>
      <c r="CN364" s="166"/>
      <c r="CO364" s="166"/>
      <c r="CP364" s="166"/>
      <c r="CQ364" s="166"/>
      <c r="CR364" s="166"/>
      <c r="CS364" s="166"/>
      <c r="CT364" s="166"/>
      <c r="CU364" s="166" t="s">
        <v>843</v>
      </c>
      <c r="CV364" s="166"/>
      <c r="CW364" s="166" t="s">
        <v>843</v>
      </c>
      <c r="CX364" s="166"/>
      <c r="CY364" s="166"/>
      <c r="CZ364" s="166"/>
      <c r="DA364" s="166"/>
      <c r="DB364" s="166"/>
      <c r="DC364" s="166"/>
      <c r="DD364" s="166" t="s">
        <v>894</v>
      </c>
      <c r="DE364" s="166" t="s">
        <v>895</v>
      </c>
      <c r="DF364" s="166"/>
      <c r="DG364" s="166" t="s">
        <v>927</v>
      </c>
      <c r="DH364" s="166"/>
      <c r="DI364" s="166"/>
      <c r="DJ364" s="166"/>
      <c r="DK364" s="166"/>
      <c r="DL364" s="166"/>
      <c r="DM364" s="166"/>
      <c r="DN364" s="166" t="s">
        <v>928</v>
      </c>
      <c r="DO364" s="166" t="s">
        <v>929</v>
      </c>
      <c r="DP364" s="166"/>
      <c r="DQ364" s="166"/>
      <c r="DR364" s="166"/>
      <c r="DS364" s="166"/>
      <c r="DT364" s="166"/>
      <c r="DU364" s="166"/>
      <c r="DV364" s="166" t="s">
        <v>894</v>
      </c>
      <c r="DW364" s="166" t="s">
        <v>895</v>
      </c>
      <c r="DX364" s="166"/>
      <c r="DY364" s="166"/>
      <c r="DZ364" s="166"/>
      <c r="EA364" s="166"/>
      <c r="EB364" s="166"/>
      <c r="EC364" s="166"/>
      <c r="ED364" s="166" t="s">
        <v>894</v>
      </c>
      <c r="EE364" s="166" t="s">
        <v>895</v>
      </c>
      <c r="EF364" s="166"/>
      <c r="EG364" s="166"/>
      <c r="EH364" s="166"/>
      <c r="EI364" s="166"/>
      <c r="EJ364" s="166"/>
      <c r="EK364" s="166"/>
      <c r="EL364" s="166"/>
      <c r="EM364" s="166"/>
      <c r="EN364" s="166"/>
      <c r="EO364" s="166"/>
      <c r="EP364" s="166"/>
      <c r="EQ364" s="166"/>
      <c r="ER364" s="166"/>
      <c r="ES364" s="166"/>
      <c r="ET364" s="230"/>
      <c r="EU364" s="166"/>
      <c r="EV364" s="166"/>
      <c r="EW364" s="166"/>
      <c r="EX364" s="166"/>
      <c r="EY364" s="166"/>
      <c r="EZ364" s="166"/>
      <c r="FA364" s="166"/>
      <c r="FB364" s="166"/>
      <c r="FC364" s="166"/>
      <c r="FD364" s="166"/>
      <c r="FE364" s="166"/>
      <c r="FF364" s="166"/>
      <c r="FG364" s="166"/>
      <c r="FH364" s="166"/>
      <c r="FI364" s="166"/>
      <c r="FJ364" s="166"/>
      <c r="FK364" s="166"/>
      <c r="FL364" s="166"/>
      <c r="FM364" s="166"/>
      <c r="FN364" s="166"/>
      <c r="FO364" s="230"/>
      <c r="FP364" s="166"/>
      <c r="FQ364" s="166"/>
      <c r="FR364" s="166"/>
      <c r="FS364" s="166"/>
      <c r="FT364" s="166"/>
      <c r="FU364" s="166"/>
      <c r="FV364" s="166"/>
      <c r="FW364" s="166"/>
      <c r="FX364" s="166"/>
      <c r="FY364" s="166"/>
      <c r="FZ364" s="166"/>
      <c r="GA364" s="166"/>
      <c r="GD364" s="339"/>
      <c r="GE364" s="339"/>
      <c r="GF364" s="339"/>
      <c r="GG364" s="339"/>
      <c r="GH364" s="339"/>
      <c r="GI364" s="339"/>
      <c r="GJ364" s="339"/>
      <c r="GK364" s="339"/>
      <c r="GL364" s="339"/>
      <c r="GM364" s="339"/>
      <c r="GN364" s="339"/>
      <c r="GO364" s="339"/>
      <c r="GP364" s="339"/>
      <c r="GQ364" s="339"/>
      <c r="GR364" s="339"/>
      <c r="GS364" s="339"/>
      <c r="GT364" s="339"/>
      <c r="GU364" s="339"/>
      <c r="GV364" s="339"/>
      <c r="GW364" s="339"/>
      <c r="GX364" s="339"/>
      <c r="GY364" s="339"/>
      <c r="GZ364" s="339"/>
      <c r="HA364" s="339"/>
      <c r="HB364" s="339"/>
      <c r="HC364" s="339"/>
      <c r="HD364" s="339"/>
      <c r="HE364" s="339"/>
      <c r="HF364" s="339"/>
      <c r="HG364" s="339"/>
      <c r="HH364" s="339"/>
      <c r="HI364" s="339"/>
      <c r="HJ364" s="339"/>
      <c r="HK364" s="339"/>
      <c r="HL364" s="339"/>
      <c r="HM364" s="339"/>
      <c r="HN364" s="339"/>
      <c r="HO364" s="339"/>
      <c r="HP364" s="339"/>
      <c r="HQ364" s="339"/>
      <c r="HR364" s="339"/>
    </row>
    <row r="365" spans="1:238" s="234" customFormat="1" ht="20.100000000000001" customHeight="1">
      <c r="A365" s="235"/>
      <c r="B365" s="231"/>
      <c r="C365" s="232" t="str">
        <f>REPT(Sprache!$K$12,1)</f>
        <v>SPIEL</v>
      </c>
      <c r="D365" s="233" t="s">
        <v>869</v>
      </c>
      <c r="E365" s="233" t="str">
        <f>REPT(Sprache!$K$62,1)</f>
        <v>Punkte</v>
      </c>
      <c r="F365" s="233" t="str">
        <f>REPT(Sprache!$K$61,1)</f>
        <v>Rest</v>
      </c>
      <c r="G365" s="233" t="s">
        <v>898</v>
      </c>
      <c r="H365" s="233" t="s">
        <v>848</v>
      </c>
      <c r="I365" s="233">
        <v>180</v>
      </c>
      <c r="J365" s="233" t="str">
        <f>REPT(Sprache!$K$63,1)</f>
        <v>Fehler</v>
      </c>
      <c r="L365" s="306" t="s">
        <v>923</v>
      </c>
      <c r="M365" s="307"/>
      <c r="P365" s="306" t="s">
        <v>923</v>
      </c>
      <c r="R365" s="232" t="str">
        <f>REPT(Sprache!$K$12,1)</f>
        <v>SPIEL</v>
      </c>
      <c r="S365" s="233" t="s">
        <v>869</v>
      </c>
      <c r="T365" s="233" t="str">
        <f>REPT(Sprache!$K$62,1)</f>
        <v>Punkte</v>
      </c>
      <c r="U365" s="233" t="str">
        <f>REPT(Sprache!$K$61,1)</f>
        <v>Rest</v>
      </c>
      <c r="V365" s="233" t="s">
        <v>898</v>
      </c>
      <c r="W365" s="233" t="s">
        <v>848</v>
      </c>
      <c r="X365" s="233">
        <v>180</v>
      </c>
      <c r="Y365" s="233" t="str">
        <f>REPT(Sprache!$K$63,1)</f>
        <v>Fehler</v>
      </c>
      <c r="Z365" s="308"/>
      <c r="AD365" s="235"/>
      <c r="AE365" s="236" t="s">
        <v>966</v>
      </c>
      <c r="AF365" s="236" t="s">
        <v>967</v>
      </c>
      <c r="AG365" s="236" t="s">
        <v>965</v>
      </c>
      <c r="AH365" s="237" t="str">
        <f>LEFT($BM$6,10)</f>
        <v/>
      </c>
      <c r="AI365" s="237" t="str">
        <f>LEFT($BN$6,10)</f>
        <v/>
      </c>
      <c r="AJ365" s="237" t="s">
        <v>898</v>
      </c>
      <c r="AK365" s="237" t="s">
        <v>848</v>
      </c>
      <c r="AL365" s="237">
        <v>180</v>
      </c>
      <c r="AM365" s="237" t="str">
        <f>LEFT($BL$6,50)</f>
        <v/>
      </c>
      <c r="AN365" s="235"/>
      <c r="AO365" s="235"/>
      <c r="AP365" s="235"/>
      <c r="AQ365" s="235"/>
      <c r="AR365" s="235"/>
      <c r="AS365" s="235"/>
      <c r="AT365" s="235"/>
      <c r="AU365" s="235"/>
      <c r="AV365" s="237" t="str">
        <f>LEFT($BM$6,10)</f>
        <v/>
      </c>
      <c r="AW365" s="237" t="str">
        <f>LEFT($BN$6,10)</f>
        <v/>
      </c>
      <c r="AX365" s="237" t="s">
        <v>898</v>
      </c>
      <c r="AY365" s="237" t="s">
        <v>848</v>
      </c>
      <c r="AZ365" s="237">
        <v>180</v>
      </c>
      <c r="BA365" s="237" t="str">
        <f>LEFT($BL$6,50)</f>
        <v/>
      </c>
      <c r="BI365" s="238"/>
      <c r="BJ365" s="238"/>
      <c r="BK365" s="238" t="s">
        <v>165</v>
      </c>
      <c r="BL365" s="238" t="s">
        <v>165</v>
      </c>
      <c r="BM365" s="239" t="s">
        <v>165</v>
      </c>
      <c r="BN365" s="239" t="s">
        <v>899</v>
      </c>
      <c r="BO365" s="239" t="s">
        <v>899</v>
      </c>
      <c r="BP365" s="239" t="s">
        <v>900</v>
      </c>
      <c r="BQ365" s="240" t="s">
        <v>901</v>
      </c>
      <c r="BR365" s="241"/>
      <c r="BS365" s="242" t="s">
        <v>926</v>
      </c>
      <c r="BT365" s="243"/>
      <c r="BU365" s="242" t="s">
        <v>902</v>
      </c>
      <c r="BV365" s="238"/>
      <c r="BW365" s="238"/>
      <c r="BX365" s="244"/>
      <c r="BY365" s="238"/>
      <c r="BZ365" s="238" t="s">
        <v>903</v>
      </c>
      <c r="CA365" s="243" t="s">
        <v>904</v>
      </c>
      <c r="CB365" s="238"/>
      <c r="CC365" s="238"/>
      <c r="CD365" s="242" t="s">
        <v>902</v>
      </c>
      <c r="CE365" s="238"/>
      <c r="CF365" s="238"/>
      <c r="CG365" s="244"/>
      <c r="CH365" s="238"/>
      <c r="CI365" s="238" t="s">
        <v>903</v>
      </c>
      <c r="CJ365" s="243" t="s">
        <v>904</v>
      </c>
      <c r="CK365" s="238"/>
      <c r="CL365" s="245" t="s">
        <v>905</v>
      </c>
      <c r="CM365" s="245" t="s">
        <v>906</v>
      </c>
      <c r="CN365" s="245" t="s">
        <v>907</v>
      </c>
      <c r="CO365" s="245" t="s">
        <v>908</v>
      </c>
      <c r="CP365" s="245" t="s">
        <v>909</v>
      </c>
      <c r="CQ365" s="246" t="s">
        <v>910</v>
      </c>
      <c r="CR365" s="247"/>
      <c r="CS365" s="246" t="s">
        <v>911</v>
      </c>
      <c r="CT365" s="248"/>
      <c r="CU365" s="246" t="s">
        <v>912</v>
      </c>
      <c r="CV365" s="248"/>
      <c r="CW365" s="246" t="s">
        <v>913</v>
      </c>
      <c r="CX365" s="248"/>
      <c r="CY365" s="238"/>
      <c r="CZ365" s="238"/>
      <c r="DA365" s="238"/>
      <c r="DB365" s="238"/>
      <c r="DC365" s="249" t="s">
        <v>165</v>
      </c>
      <c r="DD365" s="249" t="s">
        <v>165</v>
      </c>
      <c r="DE365" s="249" t="s">
        <v>165</v>
      </c>
      <c r="DF365" s="238"/>
      <c r="DG365" s="238" t="s">
        <v>914</v>
      </c>
      <c r="DH365" s="238" t="s">
        <v>930</v>
      </c>
      <c r="DI365" s="238" t="s">
        <v>931</v>
      </c>
      <c r="DK365" s="238" t="s">
        <v>932</v>
      </c>
      <c r="DL365" s="238" t="s">
        <v>933</v>
      </c>
      <c r="DM365" s="238" t="s">
        <v>869</v>
      </c>
      <c r="DN365" s="230" t="s">
        <v>915</v>
      </c>
      <c r="DO365" s="250" t="s">
        <v>915</v>
      </c>
      <c r="DP365" s="322" t="s">
        <v>934</v>
      </c>
      <c r="DQ365" s="238"/>
      <c r="DR365" s="166" t="s">
        <v>894</v>
      </c>
      <c r="DS365" s="166" t="s">
        <v>895</v>
      </c>
      <c r="DT365" s="166" t="s">
        <v>935</v>
      </c>
      <c r="DU365" s="166" t="s">
        <v>936</v>
      </c>
      <c r="DV365" s="251" t="s">
        <v>165</v>
      </c>
      <c r="DW365" s="251" t="s">
        <v>165</v>
      </c>
      <c r="DX365" s="238" t="s">
        <v>916</v>
      </c>
      <c r="DY365" s="238"/>
      <c r="DZ365" s="238"/>
      <c r="EA365" s="238"/>
      <c r="EB365" s="238"/>
      <c r="EC365" s="238"/>
      <c r="ED365" s="251" t="s">
        <v>165</v>
      </c>
      <c r="EE365" s="251" t="s">
        <v>165</v>
      </c>
      <c r="EF365" s="166"/>
      <c r="EG365" s="238"/>
      <c r="EH365" s="238"/>
      <c r="EI365" s="238"/>
      <c r="EJ365" s="238"/>
      <c r="EK365" s="238"/>
      <c r="EL365" s="238"/>
      <c r="EM365" s="238"/>
      <c r="EN365" s="238"/>
      <c r="EO365" s="246" t="s">
        <v>917</v>
      </c>
      <c r="EP365" s="247"/>
      <c r="EQ365" s="247"/>
      <c r="ER365" s="247"/>
      <c r="ES365" s="247"/>
      <c r="ET365" s="252"/>
      <c r="EU365" s="248"/>
      <c r="EV365" s="246" t="s">
        <v>918</v>
      </c>
      <c r="EW365" s="247"/>
      <c r="EX365" s="248"/>
      <c r="EY365" s="251" t="s">
        <v>165</v>
      </c>
      <c r="EZ365" s="246" t="s">
        <v>919</v>
      </c>
      <c r="FA365" s="247"/>
      <c r="FB365" s="248"/>
      <c r="FC365" s="246" t="s">
        <v>920</v>
      </c>
      <c r="FD365" s="247"/>
      <c r="FE365" s="248"/>
      <c r="FF365" s="238"/>
      <c r="FG365" s="238"/>
      <c r="FH365" s="238"/>
      <c r="FI365" s="238"/>
      <c r="FJ365" s="246" t="s">
        <v>917</v>
      </c>
      <c r="FK365" s="247"/>
      <c r="FL365" s="247"/>
      <c r="FM365" s="247"/>
      <c r="FN365" s="247"/>
      <c r="FO365" s="252"/>
      <c r="FP365" s="248"/>
      <c r="FQ365" s="246" t="s">
        <v>918</v>
      </c>
      <c r="FR365" s="247"/>
      <c r="FS365" s="248"/>
      <c r="FT365" s="251" t="s">
        <v>165</v>
      </c>
      <c r="FU365" s="246" t="s">
        <v>919</v>
      </c>
      <c r="FV365" s="247"/>
      <c r="FW365" s="248"/>
      <c r="FX365" s="246" t="s">
        <v>920</v>
      </c>
      <c r="FY365" s="247"/>
      <c r="FZ365" s="248"/>
      <c r="GD365" s="340"/>
      <c r="GE365" s="340"/>
      <c r="GF365" s="341" t="s">
        <v>968</v>
      </c>
      <c r="GG365" s="340"/>
      <c r="GH365" s="340"/>
      <c r="GI365" s="340"/>
      <c r="GJ365" s="341" t="s">
        <v>972</v>
      </c>
      <c r="GK365" s="340"/>
      <c r="GL365" s="340"/>
      <c r="GM365" s="340"/>
      <c r="GN365" s="341" t="s">
        <v>971</v>
      </c>
      <c r="GO365" s="340"/>
      <c r="GP365" s="340"/>
      <c r="GQ365" s="340"/>
      <c r="GR365" s="341" t="s">
        <v>970</v>
      </c>
      <c r="GS365" s="340"/>
      <c r="GT365" s="340"/>
      <c r="GU365" s="340"/>
      <c r="GV365" s="341" t="s">
        <v>969</v>
      </c>
      <c r="GW365" s="340"/>
      <c r="GX365" s="340"/>
      <c r="GY365" s="340"/>
      <c r="GZ365" s="342" t="s">
        <v>973</v>
      </c>
      <c r="HA365" s="340"/>
      <c r="HB365" s="340"/>
      <c r="HC365" s="340"/>
      <c r="HD365" s="342" t="s">
        <v>974</v>
      </c>
      <c r="HE365" s="340"/>
      <c r="HF365" s="340"/>
      <c r="HG365" s="340"/>
      <c r="HH365" s="340"/>
      <c r="HI365" s="340"/>
      <c r="HJ365" s="340"/>
      <c r="HK365" s="340"/>
      <c r="HL365" s="340"/>
      <c r="HM365" s="341"/>
      <c r="HN365" s="341"/>
      <c r="HO365" s="341"/>
      <c r="HP365" s="341"/>
      <c r="HQ365" s="341"/>
      <c r="HR365" s="341"/>
      <c r="HS365" s="238"/>
      <c r="HT365" s="238"/>
      <c r="HU365" s="238"/>
      <c r="HV365" s="238"/>
      <c r="HX365" s="238"/>
      <c r="HY365" s="238"/>
      <c r="HZ365" s="238"/>
      <c r="ID365" s="238"/>
    </row>
    <row r="366" spans="1:238" s="234" customFormat="1" ht="20.100000000000001" customHeight="1">
      <c r="A366" s="235"/>
      <c r="B366" s="231">
        <f>COUNT(AJ367,AJ366)</f>
        <v>0</v>
      </c>
      <c r="C366" s="325" t="str">
        <f>CONCATENATE(BG366,BE366)</f>
        <v>HS</v>
      </c>
      <c r="D366" s="253" t="str">
        <f>REPT(DN366,1)</f>
        <v>1</v>
      </c>
      <c r="E366" s="254" t="str">
        <f>REPT(AH366,1)</f>
        <v/>
      </c>
      <c r="F366" s="168"/>
      <c r="G366" s="168"/>
      <c r="H366" s="168"/>
      <c r="I366" s="169"/>
      <c r="J366" s="255" t="str">
        <f>REPT(AM366,1)</f>
        <v/>
      </c>
      <c r="L366" s="309">
        <f>SUM(BS375)</f>
        <v>0</v>
      </c>
      <c r="M366" s="238"/>
      <c r="N366" s="255" t="str">
        <f>REPT(AP366,1)</f>
        <v/>
      </c>
      <c r="P366" s="309">
        <f>SUM(CF375)</f>
        <v>0</v>
      </c>
      <c r="Q366" s="310"/>
      <c r="R366" s="323" t="str">
        <f>CONCATENATE(BH366,BE366)</f>
        <v>GS</v>
      </c>
      <c r="S366" s="253" t="str">
        <f>REPT(DO366,1)</f>
        <v>1</v>
      </c>
      <c r="T366" s="254" t="str">
        <f>REPT(AV366,1)</f>
        <v/>
      </c>
      <c r="U366" s="168"/>
      <c r="V366" s="168"/>
      <c r="W366" s="168"/>
      <c r="X366" s="169"/>
      <c r="Y366" s="255" t="str">
        <f>REPT(BA366,1)</f>
        <v/>
      </c>
      <c r="Z366" s="308"/>
      <c r="AB366" s="234">
        <f>IF(AY366="",0,IF(AY366&lt;2,1,""))</f>
        <v>0</v>
      </c>
      <c r="AC366" s="238">
        <f>IF(AD366=1,1,IF(AD366=3,1,IF(AD366=2,0,IF(AD366=0,0,0))))</f>
        <v>0</v>
      </c>
      <c r="AD366" s="256">
        <f>SUM(AE366:AG366)</f>
        <v>0</v>
      </c>
      <c r="AE366" s="256">
        <f t="shared" ref="AE366:AE370" si="896">IF(F366="",0,1)</f>
        <v>0</v>
      </c>
      <c r="AF366" s="256">
        <f t="shared" ref="AF366:AF370" si="897">IF(G366="",0,1)</f>
        <v>0</v>
      </c>
      <c r="AG366" s="256">
        <f>IF(H366="",0,1)</f>
        <v>0</v>
      </c>
      <c r="AH366" s="257" t="str">
        <f>IF(AK366="",IF(AI366="","",IF(AI366="",501,501-AI366)),501)</f>
        <v/>
      </c>
      <c r="AI366" s="256" t="str">
        <f>IF(F366&gt;1,F366,IF(F366=0,"",IF(F366="","","")))</f>
        <v/>
      </c>
      <c r="AJ366" s="256" t="str">
        <f>IF(G366&gt;8,G366,IF(G366="","",""))</f>
        <v/>
      </c>
      <c r="AK366" s="256" t="str">
        <f>IF(H366&gt;1,H366,IF(H366="","",""))</f>
        <v/>
      </c>
      <c r="AL366" s="256" t="str">
        <f>IF(I366&gt;0,I366,IF(I366="","",""))</f>
        <v/>
      </c>
      <c r="AM366" s="258" t="str">
        <f>IF(BK366=0,"","X")</f>
        <v/>
      </c>
      <c r="AN366" s="237"/>
      <c r="AO366" s="237"/>
      <c r="AP366" s="258" t="str">
        <f>IF(BM366=0,"","X")</f>
        <v/>
      </c>
      <c r="AQ366" s="236">
        <f>IF(AR366=1,1,IF(AR366=3,1,IF(AR366=2,0,IF(AR366=0,0,0))))</f>
        <v>0</v>
      </c>
      <c r="AR366" s="256">
        <f>SUM(AS366:AU366)</f>
        <v>0</v>
      </c>
      <c r="AS366" s="256">
        <f t="shared" ref="AS366:AS370" si="898">IF(U366="",0,1)</f>
        <v>0</v>
      </c>
      <c r="AT366" s="256">
        <f t="shared" ref="AT366:AT370" si="899">IF(V366="",0,1)</f>
        <v>0</v>
      </c>
      <c r="AU366" s="256">
        <f>IF(W366="",0,1)</f>
        <v>0</v>
      </c>
      <c r="AV366" s="257" t="str">
        <f>IF(AY366="",IF(AW366="","",IF(AW366="",501,501-AW366)),501)</f>
        <v/>
      </c>
      <c r="AW366" s="256" t="str">
        <f>IF(U366&gt;1,U366,IF(U366=0,"",IF(U366="","","")))</f>
        <v/>
      </c>
      <c r="AX366" s="256" t="str">
        <f>IF(V366&gt;8,V366,IF(V366="","",""))</f>
        <v/>
      </c>
      <c r="AY366" s="256" t="str">
        <f>IF(W366&gt;1,W366,IF(W366="","",""))</f>
        <v/>
      </c>
      <c r="AZ366" s="256" t="str">
        <f>IF(X366&gt;0,X366,IF(X366="","",""))</f>
        <v/>
      </c>
      <c r="BA366" s="258" t="str">
        <f>IF(BL366=0,"","X")</f>
        <v/>
      </c>
      <c r="BF366" s="238" t="s">
        <v>894</v>
      </c>
      <c r="BG366" s="238" t="str">
        <f>CONCATENATE(BF366,AK363)</f>
        <v>HS</v>
      </c>
      <c r="BH366" s="238" t="str">
        <f>CONCATENATE(BI366,AK363)</f>
        <v>GS</v>
      </c>
      <c r="BI366" s="238" t="s">
        <v>895</v>
      </c>
      <c r="BJ366" s="238"/>
      <c r="BK366" s="251">
        <f>SUM(DD366,DV366,EY366,ED366,FF366,BQ366,BS366,AC366)</f>
        <v>0</v>
      </c>
      <c r="BL366" s="251">
        <f>SUM(DE366,DW366,EE366,FT366,GA366,BR366,BT366,AQ366)</f>
        <v>0</v>
      </c>
      <c r="BM366" s="259">
        <f>SUM(DC366,BK366:BL366,AC366,AQ366)</f>
        <v>0</v>
      </c>
      <c r="BN366" s="239">
        <f>COUNT(AK366)</f>
        <v>0</v>
      </c>
      <c r="BO366" s="239">
        <f>COUNT(AY366)</f>
        <v>0</v>
      </c>
      <c r="BP366" s="239">
        <f>IF(BN368=0,0,1)</f>
        <v>0</v>
      </c>
      <c r="BQ366" s="260">
        <f>IF(AL366="",0,IF(AL366&gt;2,1,0))</f>
        <v>0</v>
      </c>
      <c r="BR366" s="261">
        <f>IF(AZ366="",0,IF(AZ366&gt;2,1,0))</f>
        <v>0</v>
      </c>
      <c r="BS366" s="262">
        <f>IF(AJ366=9,IF(AK366&lt;141,1,0),0)</f>
        <v>0</v>
      </c>
      <c r="BT366" s="263">
        <f>IF(AX366=9,IF(AY366&lt;141,1,0),0)</f>
        <v>0</v>
      </c>
      <c r="BU366" s="242">
        <f>IF(H366,G366,0)</f>
        <v>0</v>
      </c>
      <c r="BV366" s="238">
        <f>IF(BU366&gt;0,AJ366/3,0)</f>
        <v>0</v>
      </c>
      <c r="BW366" s="238">
        <f>ROUNDUP(BV366,0)</f>
        <v>0</v>
      </c>
      <c r="BX366" s="244">
        <f>IF(MOD(BW366,2)=0,BW366,BW366+1)</f>
        <v>0</v>
      </c>
      <c r="BY366" s="238">
        <f>IF(AJ366&lt;9,"",SUM(BX366-BW366))</f>
        <v>0</v>
      </c>
      <c r="BZ366" s="238">
        <f>IF(BY366=1,AK366,0)</f>
        <v>0</v>
      </c>
      <c r="CA366" s="243" t="str">
        <f>IF(BY366=0,AK366,0)</f>
        <v/>
      </c>
      <c r="CB366" s="238"/>
      <c r="CC366" s="238"/>
      <c r="CD366" s="242">
        <f>IF(W366,V366,0)</f>
        <v>0</v>
      </c>
      <c r="CE366" s="238">
        <f>IF(CD366&gt;0,AX366/3,0)</f>
        <v>0</v>
      </c>
      <c r="CF366" s="238">
        <f>ROUNDUP(CE366,0)</f>
        <v>0</v>
      </c>
      <c r="CG366" s="244">
        <f>IF(MOD(CF366,2)=0,CF366,CF366+1)</f>
        <v>0</v>
      </c>
      <c r="CH366" s="238">
        <f>IF(AX366&lt;9,"",SUM(CG366-CF366))</f>
        <v>0</v>
      </c>
      <c r="CI366" s="238">
        <f>IF(CH366=1,AY366,0)</f>
        <v>0</v>
      </c>
      <c r="CJ366" s="243" t="str">
        <f>IF(CH366=0,AY366,0)</f>
        <v/>
      </c>
      <c r="CK366" s="238"/>
      <c r="CL366" s="245">
        <f>IF(COUNT(F366,H366)=1,0,1)</f>
        <v>1</v>
      </c>
      <c r="CM366" s="245">
        <f>IF(COUNT(F366,U366)=1,0,1)</f>
        <v>1</v>
      </c>
      <c r="CN366" s="245">
        <f>IF(COUNT(H366,W366)=1,0,1)</f>
        <v>1</v>
      </c>
      <c r="CO366" s="245">
        <f>IF(COUNT(G366,V366)=2,0,1)</f>
        <v>1</v>
      </c>
      <c r="CP366" s="245">
        <f>IF(COUNT(U366,W366)=1,0,1)</f>
        <v>1</v>
      </c>
      <c r="CQ366" s="245">
        <f>IF(SUM(G366-V366)&gt;3,1,0)</f>
        <v>0</v>
      </c>
      <c r="CR366" s="245">
        <f>IF(SUM(G366-V366)&lt;-3,1,0)</f>
        <v>0</v>
      </c>
      <c r="CS366" s="264">
        <f>IF(AJ366=9,IF(AH366&lt;141,1,0),IF(AH366="",0,IF(AH366&gt;1,0,1)))</f>
        <v>0</v>
      </c>
      <c r="CT366" s="264">
        <f>IF(AX366=9,IF(AV366&lt;141,1,0),IF(AV366="",0,IF(AV366&gt;1,0,1)))</f>
        <v>0</v>
      </c>
      <c r="CU366" s="264">
        <f>IF(AI366="",0,IF(AI366&lt;502,0,1))</f>
        <v>0</v>
      </c>
      <c r="CV366" s="264">
        <f>IF(AW366="",0,IF(AW366&lt;502,0,1))</f>
        <v>0</v>
      </c>
      <c r="CW366" s="264">
        <f>IF(AI366="",IF(AJ366&lt;9,1,0),IF(AJ366&lt;9,1,0))</f>
        <v>0</v>
      </c>
      <c r="CX366" s="264">
        <f>IF(AW366="",IF(AX366&lt;9,1,0),IF(AX366&lt;9,1,0))</f>
        <v>0</v>
      </c>
      <c r="CY366" s="374"/>
      <c r="CZ366" s="374"/>
      <c r="DA366" s="374"/>
      <c r="DB366" s="374"/>
      <c r="DC366" s="265">
        <f>IF(AJ366="",0,SUM(CL366:CX366))</f>
        <v>0</v>
      </c>
      <c r="DD366" s="265">
        <f>IF(AJ366="",0,SUM(CL366,CS366,CU366,CW366))</f>
        <v>0</v>
      </c>
      <c r="DE366" s="265">
        <f>IF(AJ366="",0,SUM(CP366,CT366,CV366,CX366))</f>
        <v>0</v>
      </c>
      <c r="DF366" s="238"/>
      <c r="DG366" s="248" t="str">
        <f>IF(G366="","",SUM(G366-V366))</f>
        <v/>
      </c>
      <c r="DH366" s="245">
        <f>IF(F366="",0,1)</f>
        <v>0</v>
      </c>
      <c r="DI366" s="245" t="str">
        <f>IF(DG366=0,DH366,DG366)</f>
        <v/>
      </c>
      <c r="DJ366" s="245" t="e">
        <f>SIGN(DI366)</f>
        <v>#VALUE!</v>
      </c>
      <c r="DK366" s="245" t="str">
        <f>IF(G366="","",IF(DJ366=1,"*",""))</f>
        <v/>
      </c>
      <c r="DL366" s="245" t="str">
        <f>IF(G366="","",IF(DJ366=-1,"*",IF(DJ366=0,"*","")))</f>
        <v/>
      </c>
      <c r="DM366" s="245">
        <v>1</v>
      </c>
      <c r="DN366" s="245" t="str">
        <f>CONCATENATE(DM366,DK366)</f>
        <v>1</v>
      </c>
      <c r="DO366" s="245" t="str">
        <f>CONCATENATE(DM366,DL366)</f>
        <v>1</v>
      </c>
      <c r="DP366" s="245">
        <f>IF(DK366="*",1,0)</f>
        <v>0</v>
      </c>
      <c r="DQ366" s="245">
        <f>IF(DL366="*",1,0)</f>
        <v>0</v>
      </c>
      <c r="DR366" s="245"/>
      <c r="DS366" s="245"/>
      <c r="DT366" s="245"/>
      <c r="DU366" s="245"/>
      <c r="DV366" s="266"/>
      <c r="DW366" s="266"/>
      <c r="DX366" s="238">
        <f>IF(AK366="",0,1)</f>
        <v>0</v>
      </c>
      <c r="DY366" s="238">
        <f>IF(DG366=-3,1,0)</f>
        <v>0</v>
      </c>
      <c r="DZ366" s="238">
        <f>SUM(DX366:DY366)</f>
        <v>0</v>
      </c>
      <c r="EA366" s="238">
        <f>IF(AK366="",1,0)</f>
        <v>1</v>
      </c>
      <c r="EB366" s="238">
        <f>IF(DG366=3,1,0)</f>
        <v>0</v>
      </c>
      <c r="EC366" s="238">
        <f>SUM(EA366:EB366)</f>
        <v>1</v>
      </c>
      <c r="ED366" s="267">
        <f>IF(EC366=2,1,0)</f>
        <v>0</v>
      </c>
      <c r="EE366" s="267">
        <f>IF(DZ366=2,1,0)</f>
        <v>0</v>
      </c>
      <c r="EG366" s="166"/>
      <c r="EH366" s="238"/>
      <c r="EI366" s="238"/>
      <c r="EJ366" s="238"/>
      <c r="EK366" s="238"/>
      <c r="EL366" s="238"/>
      <c r="EM366" s="245">
        <f>IF(AK366="",0,1)</f>
        <v>0</v>
      </c>
      <c r="EN366" s="245">
        <f>SUM(AK366)</f>
        <v>0</v>
      </c>
      <c r="EO366" s="268">
        <f>SUM(AJ366)</f>
        <v>0</v>
      </c>
      <c r="EP366" s="268">
        <f>SUM(G366/3)</f>
        <v>0</v>
      </c>
      <c r="EQ366" s="268" t="e">
        <f>SUM(EO366/EP366)</f>
        <v>#DIV/0!</v>
      </c>
      <c r="ER366" s="268">
        <f>ROUNDDOWN(EP366,0)</f>
        <v>0</v>
      </c>
      <c r="ES366" s="268">
        <f>SUM(EO366,-ER366*3)</f>
        <v>0</v>
      </c>
      <c r="ET366" s="269" t="b">
        <f>MOD(EN366/1,2)=0</f>
        <v>1</v>
      </c>
      <c r="EU366" s="245">
        <f>IF(ET366=FALSE,1,0)</f>
        <v>0</v>
      </c>
      <c r="EV366" s="245">
        <f>IF(EN366=50,0,IF(EN366&lt;40,1,0))</f>
        <v>1</v>
      </c>
      <c r="EW366" s="245">
        <f>SUM(EU366:EV366)</f>
        <v>1</v>
      </c>
      <c r="EX366" s="267">
        <f>IF(EN366=1,1,IF(EN366=50,0,IF(ES366=1,IF(EN366&gt;40,1,0),0)))</f>
        <v>0</v>
      </c>
      <c r="EY366" s="267">
        <f>IF(ES366=1,IF(EW366=2,1,0),0)+EX366+FB366+FE366</f>
        <v>0</v>
      </c>
      <c r="EZ366" s="245">
        <f>IF(EN366=109,1,IF(EN366=108,1,IF(EN366=106,1,IF(EN366=105,1,IF(EN366=103,1,IF(EN366=102,1,IF(EN366=99,1,0)))))))</f>
        <v>0</v>
      </c>
      <c r="FA366" s="245">
        <f>IF(EN366&gt;110,1,0)</f>
        <v>0</v>
      </c>
      <c r="FB366" s="267">
        <f>IF(ES366=2,SUM(EZ366:FA366),0)</f>
        <v>0</v>
      </c>
      <c r="FC366" s="245">
        <f>IF(EN366=159,1,IF(EN366=162,1,IF(EN366=163,1,IF(EN366=165,1,IF(EN366=166,1,IF(EN366=168,1,IF(EN366=169,1,0)))))))</f>
        <v>0</v>
      </c>
      <c r="FD366" s="245">
        <f>IF(EN366&gt;170,1,0)</f>
        <v>0</v>
      </c>
      <c r="FE366" s="267">
        <f>IF(ES366=0,SUM(FC366:FD366),0)</f>
        <v>0</v>
      </c>
      <c r="FF366" s="251">
        <f>IF(AJ366="",0,IF(AI366="",0,IF(EO366/ER366-3=0,0,1)))</f>
        <v>0</v>
      </c>
      <c r="FG366" s="238"/>
      <c r="FH366" s="245">
        <f>IF(AY366="",0,1)</f>
        <v>0</v>
      </c>
      <c r="FI366" s="245">
        <f>SUM(AY366)</f>
        <v>0</v>
      </c>
      <c r="FJ366" s="268">
        <f>SUM(AX366)</f>
        <v>0</v>
      </c>
      <c r="FK366" s="268">
        <f>SUM(V366/3)</f>
        <v>0</v>
      </c>
      <c r="FL366" s="268" t="e">
        <f>SUM(FJ366/FK366)</f>
        <v>#DIV/0!</v>
      </c>
      <c r="FM366" s="268">
        <f>ROUNDDOWN(FK366,0)</f>
        <v>0</v>
      </c>
      <c r="FN366" s="268">
        <f>SUM(FJ366,-FM366*3)</f>
        <v>0</v>
      </c>
      <c r="FO366" s="269" t="b">
        <f>MOD(FI366/1,2)=0</f>
        <v>1</v>
      </c>
      <c r="FP366" s="245">
        <f>IF(FO366=FALSE,1,0)</f>
        <v>0</v>
      </c>
      <c r="FQ366" s="245">
        <f>IF(FI366=50,0,IF(FI366&lt;40,1,0))</f>
        <v>1</v>
      </c>
      <c r="FR366" s="245">
        <f>SUM(FP366:FQ366)</f>
        <v>1</v>
      </c>
      <c r="FS366" s="267">
        <f>IF(FI366=1,1,IF(FI366=50,0,IF(FN366=1,IF(FI366&gt;40,1,0),0)))</f>
        <v>0</v>
      </c>
      <c r="FT366" s="267">
        <f>IF(FN366=1,IF(FR366=2,1,0),0)+FS366+FW366+FZ366</f>
        <v>0</v>
      </c>
      <c r="FU366" s="245">
        <f>IF(FI366=109,1,IF(FI366=108,1,IF(FI366=106,1,IF(FI366=105,1,IF(FI366=103,1,IF(FI366=102,1,IF(FI366=99,1,0)))))))</f>
        <v>0</v>
      </c>
      <c r="FV366" s="245">
        <f>IF(FI366&gt;110,1,0)</f>
        <v>0</v>
      </c>
      <c r="FW366" s="267">
        <f>IF(FN366=2,SUM(FU366:FV366),0)</f>
        <v>0</v>
      </c>
      <c r="FX366" s="245">
        <f>IF(FI366=159,1,IF(FI366=162,1,IF(FI366=163,1,IF(FI366=165,1,IF(FI366=166,1,IF(FI366=168,1,IF(FI366=169,1,0)))))))</f>
        <v>0</v>
      </c>
      <c r="FY366" s="245">
        <f>IF(FI366&gt;170,1,0)</f>
        <v>0</v>
      </c>
      <c r="FZ366" s="267">
        <f>IF(FN366=0,SUM(FX366:FY366),0)</f>
        <v>0</v>
      </c>
      <c r="GA366" s="251">
        <f>IF(AX366="",0,IF(AW366="",0,IF(FJ366/FM366-3=0,0,1)))</f>
        <v>0</v>
      </c>
      <c r="GD366" s="341">
        <f>IF(AK363="D",1,0)</f>
        <v>0</v>
      </c>
      <c r="GE366" s="343"/>
      <c r="GF366" s="343" t="s">
        <v>866</v>
      </c>
      <c r="GG366" s="343" t="s">
        <v>868</v>
      </c>
      <c r="GH366" s="343" t="s">
        <v>848</v>
      </c>
      <c r="GI366" s="343">
        <v>180</v>
      </c>
      <c r="GJ366" s="343" t="s">
        <v>866</v>
      </c>
      <c r="GK366" s="343" t="s">
        <v>868</v>
      </c>
      <c r="GL366" s="343" t="s">
        <v>848</v>
      </c>
      <c r="GM366" s="343">
        <v>180</v>
      </c>
      <c r="GN366" s="343" t="s">
        <v>866</v>
      </c>
      <c r="GO366" s="343" t="s">
        <v>868</v>
      </c>
      <c r="GP366" s="343" t="s">
        <v>848</v>
      </c>
      <c r="GQ366" s="343">
        <v>180</v>
      </c>
      <c r="GR366" s="343" t="s">
        <v>866</v>
      </c>
      <c r="GS366" s="343" t="s">
        <v>868</v>
      </c>
      <c r="GT366" s="343" t="s">
        <v>848</v>
      </c>
      <c r="GU366" s="343">
        <v>180</v>
      </c>
      <c r="GV366" s="343" t="s">
        <v>866</v>
      </c>
      <c r="GW366" s="343" t="s">
        <v>868</v>
      </c>
      <c r="GX366" s="343" t="s">
        <v>848</v>
      </c>
      <c r="GY366" s="343">
        <v>180</v>
      </c>
      <c r="GZ366" s="343" t="s">
        <v>866</v>
      </c>
      <c r="HA366" s="343" t="s">
        <v>868</v>
      </c>
      <c r="HB366" s="343" t="s">
        <v>848</v>
      </c>
      <c r="HC366" s="343">
        <v>180</v>
      </c>
      <c r="HD366" s="343" t="s">
        <v>866</v>
      </c>
      <c r="HE366" s="343" t="s">
        <v>868</v>
      </c>
      <c r="HF366" s="341" t="s">
        <v>975</v>
      </c>
      <c r="HG366" s="341" t="s">
        <v>976</v>
      </c>
      <c r="HH366" s="341" t="s">
        <v>899</v>
      </c>
      <c r="HJ366" s="238"/>
      <c r="HK366" s="238"/>
      <c r="HL366" s="238"/>
      <c r="HM366" s="238">
        <f>COUNT(HI367,HJ367,HK367,HL367,HM367)</f>
        <v>0</v>
      </c>
      <c r="HN366" s="341"/>
      <c r="HO366" s="341"/>
      <c r="HP366" s="341"/>
      <c r="HQ366" s="341"/>
      <c r="HR366" s="341"/>
      <c r="HS366" s="238"/>
      <c r="HT366" s="238"/>
      <c r="HU366" s="238"/>
      <c r="HV366" s="238"/>
      <c r="HX366" s="238"/>
      <c r="HY366" s="238"/>
      <c r="ID366" s="238"/>
    </row>
    <row r="367" spans="1:238" s="234" customFormat="1" ht="20.100000000000001" customHeight="1">
      <c r="A367" s="235"/>
      <c r="B367" s="231">
        <f>COUNT(AJ368,AJ367)</f>
        <v>0</v>
      </c>
      <c r="C367" s="326">
        <f>IF(DK366="*",AJ363,AI363)</f>
        <v>3.6</v>
      </c>
      <c r="D367" s="253" t="str">
        <f>REPT(DN367,1)</f>
        <v>2</v>
      </c>
      <c r="E367" s="254" t="str">
        <f>REPT(AH367,1)</f>
        <v/>
      </c>
      <c r="F367" s="168"/>
      <c r="G367" s="168"/>
      <c r="H367" s="168"/>
      <c r="I367" s="169"/>
      <c r="J367" s="270" t="str">
        <f>REPT(AM367,1)</f>
        <v/>
      </c>
      <c r="L367" s="306" t="s">
        <v>922</v>
      </c>
      <c r="M367" s="311"/>
      <c r="N367" s="270" t="str">
        <f>REPT(AP367,1)</f>
        <v/>
      </c>
      <c r="P367" s="306" t="s">
        <v>922</v>
      </c>
      <c r="Q367" s="310"/>
      <c r="R367" s="324">
        <f>IF(DL366="*",AJ363,AI363)</f>
        <v>3.6</v>
      </c>
      <c r="S367" s="253" t="str">
        <f>REPT(DO367,1)</f>
        <v>2</v>
      </c>
      <c r="T367" s="254" t="str">
        <f>REPT(AV367,1)</f>
        <v/>
      </c>
      <c r="U367" s="168"/>
      <c r="V367" s="168"/>
      <c r="W367" s="168"/>
      <c r="X367" s="169"/>
      <c r="Y367" s="270" t="str">
        <f t="shared" ref="Y367:Y369" si="900">REPT(BA367,1)</f>
        <v/>
      </c>
      <c r="Z367" s="308"/>
      <c r="AB367" s="234">
        <f>IF(AY367="",0,IF(AY367&lt;2,1,""))</f>
        <v>0</v>
      </c>
      <c r="AC367" s="238">
        <f t="shared" ref="AC367:AC368" si="901">IF(AD367=1,1,IF(AD367=3,1,IF(AD367=2,0,IF(AD367=0,0,0))))</f>
        <v>0</v>
      </c>
      <c r="AD367" s="256">
        <f t="shared" ref="AD367:AD370" si="902">SUM(AE367:AG367)</f>
        <v>0</v>
      </c>
      <c r="AE367" s="256">
        <f t="shared" si="896"/>
        <v>0</v>
      </c>
      <c r="AF367" s="256">
        <f t="shared" si="897"/>
        <v>0</v>
      </c>
      <c r="AG367" s="256">
        <f t="shared" ref="AG367:AG370" si="903">IF(H367="",0,1)</f>
        <v>0</v>
      </c>
      <c r="AH367" s="257" t="str">
        <f>IF(AK367="",IF(AI367="","",IF(AI367="",501,501-AI367)),501)</f>
        <v/>
      </c>
      <c r="AI367" s="256" t="str">
        <f>IF(F367&gt;1,F367,IF(F367=0,"",IF(F367="","","")))</f>
        <v/>
      </c>
      <c r="AJ367" s="256" t="str">
        <f>IF(G367&gt;8,G367,IF(G367="","",""))</f>
        <v/>
      </c>
      <c r="AK367" s="256" t="str">
        <f>IF(H367&gt;1,H367,IF(H367="","",""))</f>
        <v/>
      </c>
      <c r="AL367" s="256" t="str">
        <f>IF(I367&gt;0,I367,IF(I367="","",""))</f>
        <v/>
      </c>
      <c r="AM367" s="258" t="str">
        <f>IF(BK367=0,"","X")</f>
        <v/>
      </c>
      <c r="AN367" s="237"/>
      <c r="AO367" s="237"/>
      <c r="AP367" s="258" t="str">
        <f>IF(BM367=0,"","X")</f>
        <v/>
      </c>
      <c r="AQ367" s="236">
        <f t="shared" ref="AQ367:AQ368" si="904">IF(AR367=1,1,IF(AR367=3,1,IF(AR367=2,0,IF(AR367=0,0,0))))</f>
        <v>0</v>
      </c>
      <c r="AR367" s="256">
        <f t="shared" ref="AR367:AR370" si="905">SUM(AS367:AU367)</f>
        <v>0</v>
      </c>
      <c r="AS367" s="256">
        <f t="shared" si="898"/>
        <v>0</v>
      </c>
      <c r="AT367" s="256">
        <f t="shared" si="899"/>
        <v>0</v>
      </c>
      <c r="AU367" s="256">
        <f t="shared" ref="AU367:AU370" si="906">IF(W367="",0,1)</f>
        <v>0</v>
      </c>
      <c r="AV367" s="257" t="str">
        <f>IF(AY367="",IF(AW367="","",IF(AW367="",501,501-AW367)),501)</f>
        <v/>
      </c>
      <c r="AW367" s="256" t="str">
        <f>IF(U367&gt;1,U367,IF(U367=0,"",IF(U367="","","")))</f>
        <v/>
      </c>
      <c r="AX367" s="256" t="str">
        <f>IF(V367&gt;8,V367,IF(V367="","",""))</f>
        <v/>
      </c>
      <c r="AY367" s="256" t="str">
        <f>IF(W367&gt;1,W367,IF(W367="","",""))</f>
        <v/>
      </c>
      <c r="AZ367" s="256" t="str">
        <f>IF(X367&gt;0,X367,IF(X367="","",""))</f>
        <v/>
      </c>
      <c r="BA367" s="258" t="str">
        <f>IF(BL367=0,"","X")</f>
        <v/>
      </c>
      <c r="BK367" s="251">
        <f>SUM(DD367,DV367,EY367,ED367,FF367,BQ367,BS367,AC367)</f>
        <v>0</v>
      </c>
      <c r="BL367" s="251">
        <f>SUM(DE367,DW367,EE367,FT367,GA367,BR367,BT367,AQ367)</f>
        <v>0</v>
      </c>
      <c r="BM367" s="259">
        <f t="shared" ref="BM367:BM368" si="907">SUM(DC367,BK367:BL367,AC367,AQ367)</f>
        <v>0</v>
      </c>
      <c r="BN367" s="239">
        <f>COUNT(AK367)</f>
        <v>0</v>
      </c>
      <c r="BO367" s="239">
        <f>COUNT(AY367)</f>
        <v>0</v>
      </c>
      <c r="BP367" s="239">
        <f>IF(BN369=0,0,1)</f>
        <v>0</v>
      </c>
      <c r="BQ367" s="260">
        <f>IF(AL367="",0,IF(AL367&gt;2,1,0))</f>
        <v>0</v>
      </c>
      <c r="BR367" s="261">
        <f>IF(AZ367="",0,IF(AZ367&gt;2,1,0))</f>
        <v>0</v>
      </c>
      <c r="BS367" s="262">
        <f>IF(AJ367=9,IF(AK367&lt;141,1,0),0)</f>
        <v>0</v>
      </c>
      <c r="BT367" s="263">
        <f>IF(AX367=9,IF(AY367&lt;141,1,0),0)</f>
        <v>0</v>
      </c>
      <c r="BU367" s="242">
        <f>IF(H367,G367,0)</f>
        <v>0</v>
      </c>
      <c r="BV367" s="238">
        <f>IF(BU367&gt;0,AJ367/3,0)</f>
        <v>0</v>
      </c>
      <c r="BW367" s="238">
        <f>ROUNDUP(BV367,0)</f>
        <v>0</v>
      </c>
      <c r="BX367" s="244">
        <f>IF(MOD(BW367,2)=0,BW367,BW367+1)</f>
        <v>0</v>
      </c>
      <c r="BY367" s="238">
        <f>IF(AJ367&lt;9,"",SUM(BX367-BW367))</f>
        <v>0</v>
      </c>
      <c r="BZ367" s="238">
        <f>IF(BY367=1,AK367,0)</f>
        <v>0</v>
      </c>
      <c r="CA367" s="243" t="str">
        <f>IF(BY367=0,AK367,0)</f>
        <v/>
      </c>
      <c r="CB367" s="238"/>
      <c r="CC367" s="238"/>
      <c r="CD367" s="242">
        <f>IF(W367,V367,0)</f>
        <v>0</v>
      </c>
      <c r="CE367" s="238">
        <f>IF(CD367&gt;0,AX367/3,0)</f>
        <v>0</v>
      </c>
      <c r="CF367" s="238">
        <f>ROUNDUP(CE367,0)</f>
        <v>0</v>
      </c>
      <c r="CG367" s="244">
        <f>IF(MOD(CF367,2)=0,CF367,CF367+1)</f>
        <v>0</v>
      </c>
      <c r="CH367" s="238">
        <f>IF(AX367&lt;9,"",SUM(CG367-CF367))</f>
        <v>0</v>
      </c>
      <c r="CI367" s="238">
        <f>IF(CH367=1,AY367,0)</f>
        <v>0</v>
      </c>
      <c r="CJ367" s="243" t="str">
        <f>IF(CH367=0,AY367,0)</f>
        <v/>
      </c>
      <c r="CK367" s="238"/>
      <c r="CL367" s="245">
        <f>IF(COUNT(F367,H367)=1,0,1)</f>
        <v>1</v>
      </c>
      <c r="CM367" s="245">
        <f>IF(COUNT(F367,U367)=1,0,1)</f>
        <v>1</v>
      </c>
      <c r="CN367" s="245">
        <f>IF(COUNT(H367,W367)=1,0,1)</f>
        <v>1</v>
      </c>
      <c r="CO367" s="245">
        <f>IF(COUNT(G367,V367)=2,0,1)</f>
        <v>1</v>
      </c>
      <c r="CP367" s="245">
        <f>IF(COUNT(U367,W367)=1,0,1)</f>
        <v>1</v>
      </c>
      <c r="CQ367" s="245">
        <f>IF(SUM(G367-V367)&gt;3,1,0)</f>
        <v>0</v>
      </c>
      <c r="CR367" s="245">
        <f>IF(SUM(G367-V367)&lt;-3,1,0)</f>
        <v>0</v>
      </c>
      <c r="CS367" s="264">
        <f>IF(AJ367=9,IF(AH367&lt;141,1,0),IF(AH367="",0,IF(AH367&gt;1,0,1)))</f>
        <v>0</v>
      </c>
      <c r="CT367" s="264">
        <f>IF(AX367=9,IF(AV367&lt;141,1,0),IF(AV367="",0,IF(AV367&gt;1,0,1)))</f>
        <v>0</v>
      </c>
      <c r="CU367" s="264">
        <f>IF(AI367="",0,IF(AI367&lt;502,0,1))</f>
        <v>0</v>
      </c>
      <c r="CV367" s="264">
        <f>IF(AW367="",0,IF(AW367&lt;502,0,1))</f>
        <v>0</v>
      </c>
      <c r="CW367" s="264">
        <f>IF(AI367="",IF(AJ367&lt;9,1,0),IF(AJ367&lt;9,1,0))</f>
        <v>0</v>
      </c>
      <c r="CX367" s="264">
        <f>IF(AW367="",IF(AX367&lt;9,1,0),IF(AX367&lt;9,1,0))</f>
        <v>0</v>
      </c>
      <c r="CY367" s="374"/>
      <c r="CZ367" s="374"/>
      <c r="DA367" s="374"/>
      <c r="DB367" s="374"/>
      <c r="DC367" s="265">
        <f>IF(AJ367="",0,SUM(CL367:CX367))</f>
        <v>0</v>
      </c>
      <c r="DD367" s="265">
        <f>IF(AJ367="",0,SUM(CL367,CS367,CU367,CW367))</f>
        <v>0</v>
      </c>
      <c r="DE367" s="265">
        <f>IF(AJ367="",0,SUM(CP367,CT367,CV367,CX367))</f>
        <v>0</v>
      </c>
      <c r="DF367" s="238"/>
      <c r="DG367" s="248">
        <f>SUM(G367-V367)</f>
        <v>0</v>
      </c>
      <c r="DH367" s="245">
        <f>IF(F367="",0,1)</f>
        <v>0</v>
      </c>
      <c r="DI367" s="245">
        <f t="shared" ref="DI367:DI370" si="908">IF(DG367=0,DH367,DG367)</f>
        <v>0</v>
      </c>
      <c r="DJ367" s="245">
        <f t="shared" ref="DJ367:DJ370" si="909">SIGN(DI367)</f>
        <v>0</v>
      </c>
      <c r="DK367" s="245" t="str">
        <f>IF(G367="","",IF(DJ367=1,"*",""))</f>
        <v/>
      </c>
      <c r="DL367" s="245" t="str">
        <f>IF(G367="","",IF(DJ367=-1,"*",IF(DJ367=0,"*","")))</f>
        <v/>
      </c>
      <c r="DM367" s="245">
        <v>2</v>
      </c>
      <c r="DN367" s="245" t="str">
        <f t="shared" ref="DN367:DN370" si="910">CONCATENATE(DM367,DK367)</f>
        <v>2</v>
      </c>
      <c r="DO367" s="245" t="str">
        <f t="shared" ref="DO367:DO370" si="911">CONCATENATE(DM367,DL367)</f>
        <v>2</v>
      </c>
      <c r="DP367" s="245">
        <f>SUM(DQ366)</f>
        <v>0</v>
      </c>
      <c r="DQ367" s="245">
        <f>SUM(DP366)</f>
        <v>0</v>
      </c>
      <c r="DR367" s="245">
        <f>IF(DK367="*",1,0)</f>
        <v>0</v>
      </c>
      <c r="DS367" s="245">
        <f>IF(DL367="*",1,0)</f>
        <v>0</v>
      </c>
      <c r="DT367" s="245">
        <f>IF(H357="",0,IF(DP367=DR367,1,0))</f>
        <v>0</v>
      </c>
      <c r="DU367" s="245">
        <f>IF(V367="",0,IF(DQ367=DS367,0,1))</f>
        <v>0</v>
      </c>
      <c r="DV367" s="267">
        <f>SUM(DT367)</f>
        <v>0</v>
      </c>
      <c r="DW367" s="267">
        <f>IF(V367="",0,SUM(DU367))</f>
        <v>0</v>
      </c>
      <c r="DX367" s="238">
        <f>IF(AK367="",0,1)</f>
        <v>0</v>
      </c>
      <c r="DY367" s="238">
        <f>IF(DG367=-3,1,0)</f>
        <v>0</v>
      </c>
      <c r="DZ367" s="238">
        <f>SUM(DX367:DY367)</f>
        <v>0</v>
      </c>
      <c r="EA367" s="238">
        <f>IF(AK367="",1,0)</f>
        <v>1</v>
      </c>
      <c r="EB367" s="238">
        <f>IF(DG367=3,1,0)</f>
        <v>0</v>
      </c>
      <c r="EC367" s="238">
        <f>SUM(EA367:EB367)</f>
        <v>1</v>
      </c>
      <c r="ED367" s="267">
        <f>IF(EC367=2,1,0)</f>
        <v>0</v>
      </c>
      <c r="EE367" s="267">
        <f>IF(DZ367=2,1,0)</f>
        <v>0</v>
      </c>
      <c r="EG367" s="166"/>
      <c r="EH367" s="238"/>
      <c r="EI367" s="238"/>
      <c r="EJ367" s="238"/>
      <c r="EK367" s="238"/>
      <c r="EL367" s="238"/>
      <c r="EM367" s="245">
        <f>IF(AK367="",0,1)</f>
        <v>0</v>
      </c>
      <c r="EN367" s="245">
        <f>SUM(AK367)</f>
        <v>0</v>
      </c>
      <c r="EO367" s="268">
        <f>SUM(AJ367)</f>
        <v>0</v>
      </c>
      <c r="EP367" s="268">
        <f>SUM(G367/3)</f>
        <v>0</v>
      </c>
      <c r="EQ367" s="268" t="e">
        <f>SUM(EO367/EP367)</f>
        <v>#DIV/0!</v>
      </c>
      <c r="ER367" s="268">
        <f>ROUNDDOWN(EP367,0)</f>
        <v>0</v>
      </c>
      <c r="ES367" s="268">
        <f>SUM(EO367,-ER367*3)</f>
        <v>0</v>
      </c>
      <c r="ET367" s="269" t="b">
        <f>MOD(EN367/1,2)=0</f>
        <v>1</v>
      </c>
      <c r="EU367" s="245">
        <f>IF(ET367=FALSE,1,0)</f>
        <v>0</v>
      </c>
      <c r="EV367" s="245">
        <f>IF(EN367=50,0,IF(EN367&lt;40,1,0))</f>
        <v>1</v>
      </c>
      <c r="EW367" s="245">
        <f>SUM(EU367:EV367)</f>
        <v>1</v>
      </c>
      <c r="EX367" s="267">
        <f>IF(EN367=1,1,IF(EN367=50,0,IF(ES367=1,IF(EN367&gt;40,1,0),0)))</f>
        <v>0</v>
      </c>
      <c r="EY367" s="267">
        <f>IF(ES367=1,IF(EW367=2,1,0),0)+EX367+FB367+FE367</f>
        <v>0</v>
      </c>
      <c r="EZ367" s="245">
        <f>IF(EN367=109,1,IF(EN367=108,1,IF(EN367=106,1,IF(EN367=105,1,IF(EN367=103,1,IF(EN367=102,1,IF(EN367=99,1,0)))))))</f>
        <v>0</v>
      </c>
      <c r="FA367" s="245">
        <f>IF(EN367&gt;110,1,0)</f>
        <v>0</v>
      </c>
      <c r="FB367" s="267">
        <f>IF(ES367=2,SUM(EZ367:FA367),0)</f>
        <v>0</v>
      </c>
      <c r="FC367" s="245">
        <f>IF(EN367=159,1,IF(EN367=162,1,IF(EN367=163,1,IF(EN367=165,1,IF(EN367=166,1,IF(EN367=168,1,IF(EN367=169,1,0)))))))</f>
        <v>0</v>
      </c>
      <c r="FD367" s="245">
        <f>IF(EN367&gt;170,1,0)</f>
        <v>0</v>
      </c>
      <c r="FE367" s="267">
        <f>IF(ES367=0,SUM(FC367:FD367),0)</f>
        <v>0</v>
      </c>
      <c r="FF367" s="251">
        <f t="shared" ref="FF367:FF370" si="912">IF(AJ367="",0,IF(AI367="",0,IF(EO367/ER367-3=0,0,1)))</f>
        <v>0</v>
      </c>
      <c r="FG367" s="238"/>
      <c r="FH367" s="245">
        <f>IF(AY367="",0,1)</f>
        <v>0</v>
      </c>
      <c r="FI367" s="245">
        <f>SUM(AY367)</f>
        <v>0</v>
      </c>
      <c r="FJ367" s="268">
        <f>SUM(AX367)</f>
        <v>0</v>
      </c>
      <c r="FK367" s="268">
        <f>SUM(V367/3)</f>
        <v>0</v>
      </c>
      <c r="FL367" s="268" t="e">
        <f>SUM(FJ367/FK367)</f>
        <v>#DIV/0!</v>
      </c>
      <c r="FM367" s="268">
        <f>ROUNDDOWN(FK367,0)</f>
        <v>0</v>
      </c>
      <c r="FN367" s="268">
        <f>SUM(FJ367,-FM367*3)</f>
        <v>0</v>
      </c>
      <c r="FO367" s="269" t="b">
        <f>MOD(FI367/1,2)=0</f>
        <v>1</v>
      </c>
      <c r="FP367" s="245">
        <f>IF(FO367=FALSE,1,0)</f>
        <v>0</v>
      </c>
      <c r="FQ367" s="245">
        <f>IF(FI367=50,0,IF(FI367&lt;40,1,0))</f>
        <v>1</v>
      </c>
      <c r="FR367" s="245">
        <f>SUM(FP367:FQ367)</f>
        <v>1</v>
      </c>
      <c r="FS367" s="267">
        <f>IF(FI367=1,1,IF(FI367=50,0,IF(FN367=1,IF(FI367&gt;40,1,0),0)))</f>
        <v>0</v>
      </c>
      <c r="FT367" s="267">
        <f>IF(FN367=1,IF(FR367=2,1,0),0)+FS367+FW367+FZ367</f>
        <v>0</v>
      </c>
      <c r="FU367" s="245">
        <f>IF(FI367=109,1,IF(FI367=108,1,IF(FI367=106,1,IF(FI367=105,1,IF(FI367=103,1,IF(FI367=102,1,IF(FI367=99,1,0)))))))</f>
        <v>0</v>
      </c>
      <c r="FV367" s="245">
        <f>IF(FI367&gt;110,1,0)</f>
        <v>0</v>
      </c>
      <c r="FW367" s="267">
        <f>IF(FN367=2,SUM(FU367:FV367),0)</f>
        <v>0</v>
      </c>
      <c r="FX367" s="245">
        <f>IF(FI367=159,1,IF(FI367=162,1,IF(FI367=163,1,IF(FI367=165,1,IF(FI367=166,1,IF(FI367=168,1,IF(FI367=169,1,0)))))))</f>
        <v>0</v>
      </c>
      <c r="FY367" s="245">
        <f>IF(FI367&gt;170,1,0)</f>
        <v>0</v>
      </c>
      <c r="FZ367" s="267">
        <f>IF(FN367=0,SUM(FX367:FY367),0)</f>
        <v>0</v>
      </c>
      <c r="GA367" s="251">
        <f t="shared" ref="GA367:GA370" si="913">IF(AX367="",0,IF(AW367="",0,IF(FJ367/FM367-3=0,0,1)))</f>
        <v>0</v>
      </c>
      <c r="GC367" s="238" t="str">
        <f>VLOOKUP(AH363,Chema!BL:BR,2,FALSE)</f>
        <v>HS 3.6</v>
      </c>
      <c r="GD367" s="341">
        <f>IF(E373="FORFAIT",1,0)</f>
        <v>0</v>
      </c>
      <c r="GE367" s="343" t="str">
        <f>IF(C373="","",SUM(C373))</f>
        <v/>
      </c>
      <c r="GF367" s="344">
        <f>SUM(AH366)</f>
        <v>0</v>
      </c>
      <c r="GG367" s="344">
        <f>SUM(AJ366)</f>
        <v>0</v>
      </c>
      <c r="GH367" s="344">
        <f t="shared" ref="GH367" si="914">SUM(AK366)</f>
        <v>0</v>
      </c>
      <c r="GI367" s="344">
        <f t="shared" ref="GI367" si="915">SUM(AL366)</f>
        <v>0</v>
      </c>
      <c r="GJ367" s="344">
        <f>SUM(AH367)</f>
        <v>0</v>
      </c>
      <c r="GK367" s="344">
        <f>SUM(AJ367)</f>
        <v>0</v>
      </c>
      <c r="GL367" s="344">
        <f>SUM(AK367)</f>
        <v>0</v>
      </c>
      <c r="GM367" s="344">
        <f>SUM(AL367)</f>
        <v>0</v>
      </c>
      <c r="GN367" s="344">
        <f>SUM(AH368)</f>
        <v>0</v>
      </c>
      <c r="GO367" s="344">
        <f>SUM(AJ368)</f>
        <v>0</v>
      </c>
      <c r="GP367" s="344">
        <f>SUM(AK368)</f>
        <v>0</v>
      </c>
      <c r="GQ367" s="344">
        <f>SUM(AL368)</f>
        <v>0</v>
      </c>
      <c r="GR367" s="344">
        <f>SUM(AH369)</f>
        <v>0</v>
      </c>
      <c r="GS367" s="344">
        <f>SUM(AJ369)</f>
        <v>0</v>
      </c>
      <c r="GT367" s="344">
        <f>SUM(AK369)</f>
        <v>0</v>
      </c>
      <c r="GU367" s="344">
        <f>SUM(AL369)</f>
        <v>0</v>
      </c>
      <c r="GV367" s="344">
        <f>SUM(AH370)</f>
        <v>0</v>
      </c>
      <c r="GW367" s="344">
        <f>SUM(AJ370)</f>
        <v>0</v>
      </c>
      <c r="GX367" s="344">
        <f>SUM(AK370)</f>
        <v>0</v>
      </c>
      <c r="GY367" s="344">
        <f>SUM(AL370)</f>
        <v>0</v>
      </c>
      <c r="GZ367" s="344">
        <f>SUM(GF367,GJ367,GN367,GR367,GV367)</f>
        <v>0</v>
      </c>
      <c r="HA367" s="344">
        <f t="shared" ref="HA367" si="916">SUM(GG367,GK367,GO367,GS367,GW367)</f>
        <v>0</v>
      </c>
      <c r="HB367" s="344">
        <f>IF(GD366=1,L373,MAX(GH367,GL367,GP367,GT367,GX367))</f>
        <v>0</v>
      </c>
      <c r="HC367" s="344">
        <f>IF(GD366=1,I373,SUM(GI367,GM367,GQ367,GU367,GY367))</f>
        <v>0</v>
      </c>
      <c r="HD367" s="345">
        <f>IF(GD366=1,0,SUM(GF367,GJ367,GN367,GR367,GV367))</f>
        <v>0</v>
      </c>
      <c r="HE367" s="345">
        <f>IF(GD366=1,0,SUM(GG367,GK367,GO367,GS367,GW367))</f>
        <v>0</v>
      </c>
      <c r="HF367" s="341">
        <f>IF(GD366=1,0,MIN(HI367,HJ367,HK367,HL367,HM367))</f>
        <v>0</v>
      </c>
      <c r="HG367" s="341">
        <f>IF(HF367=0,0,COUNTIF(HI367:HM367,HF367))</f>
        <v>0</v>
      </c>
      <c r="HH367" s="341">
        <f>SUM(GH368,GL368,GP368,GT368,GX368)</f>
        <v>0</v>
      </c>
      <c r="HI367" s="343" t="str">
        <f>IF(GH368=1,GG367,"")</f>
        <v/>
      </c>
      <c r="HJ367" s="343" t="str">
        <f>IF(GL368=1,GK367,"")</f>
        <v/>
      </c>
      <c r="HK367" s="343" t="str">
        <f>IF(GP368=1,GO367,"")</f>
        <v/>
      </c>
      <c r="HL367" s="343" t="str">
        <f>IF(GT368=1,GS367,"")</f>
        <v/>
      </c>
      <c r="HM367" s="343" t="str">
        <f>IF(GX368=1,GW367,"")</f>
        <v/>
      </c>
      <c r="HN367" s="341"/>
      <c r="HO367" s="341" t="s">
        <v>928</v>
      </c>
      <c r="HP367" s="341" t="s">
        <v>982</v>
      </c>
      <c r="HQ367" s="341" t="s">
        <v>983</v>
      </c>
      <c r="HR367" s="341" t="s">
        <v>984</v>
      </c>
      <c r="HS367" s="238" t="s">
        <v>932</v>
      </c>
      <c r="HT367" s="238" t="s">
        <v>933</v>
      </c>
      <c r="HU367" s="238" t="s">
        <v>985</v>
      </c>
      <c r="HV367" s="238" t="s">
        <v>986</v>
      </c>
      <c r="HW367" s="238" t="str">
        <f>IFERROR(IF(GD366=0,SUM(HZ368:IA368),""),"")</f>
        <v/>
      </c>
      <c r="HY367" s="238"/>
      <c r="HZ367" s="238" t="s">
        <v>1132</v>
      </c>
      <c r="IA367" s="238" t="s">
        <v>1133</v>
      </c>
      <c r="IB367" s="238" t="s">
        <v>1132</v>
      </c>
      <c r="IC367" s="238" t="s">
        <v>1133</v>
      </c>
      <c r="ID367" s="238"/>
    </row>
    <row r="368" spans="1:238" s="234" customFormat="1" ht="20.100000000000001" customHeight="1">
      <c r="A368" s="235"/>
      <c r="B368" s="231">
        <f>COUNT(AJ369,AJ368)</f>
        <v>0</v>
      </c>
      <c r="C368" s="235"/>
      <c r="D368" s="271" t="str">
        <f>REPT(DN368,1)</f>
        <v>3</v>
      </c>
      <c r="E368" s="254" t="str">
        <f>REPT(AH368,1)</f>
        <v/>
      </c>
      <c r="F368" s="168"/>
      <c r="G368" s="168"/>
      <c r="H368" s="168"/>
      <c r="I368" s="169"/>
      <c r="J368" s="270" t="str">
        <f t="shared" ref="J368:J369" si="917">REPT(AM368,1)</f>
        <v/>
      </c>
      <c r="L368" s="312">
        <f>SUM(L366*3)</f>
        <v>0</v>
      </c>
      <c r="M368" s="307"/>
      <c r="N368" s="270" t="str">
        <f>REPT(AP368,1)</f>
        <v/>
      </c>
      <c r="P368" s="312">
        <f>SUM(P366*3)</f>
        <v>0</v>
      </c>
      <c r="Q368" s="310"/>
      <c r="R368" s="235"/>
      <c r="S368" s="271" t="str">
        <f>REPT(DO368,1)</f>
        <v>3</v>
      </c>
      <c r="T368" s="254" t="str">
        <f>REPT(AV368,1)</f>
        <v/>
      </c>
      <c r="U368" s="168"/>
      <c r="V368" s="168"/>
      <c r="W368" s="168"/>
      <c r="X368" s="169"/>
      <c r="Y368" s="270" t="str">
        <f t="shared" si="900"/>
        <v/>
      </c>
      <c r="Z368" s="308"/>
      <c r="AB368" s="234">
        <f>IF(AY368="",0,IF(AY368&lt;2,1,""))</f>
        <v>0</v>
      </c>
      <c r="AC368" s="238">
        <f t="shared" si="901"/>
        <v>0</v>
      </c>
      <c r="AD368" s="256">
        <f t="shared" si="902"/>
        <v>0</v>
      </c>
      <c r="AE368" s="256">
        <f t="shared" si="896"/>
        <v>0</v>
      </c>
      <c r="AF368" s="256">
        <f t="shared" si="897"/>
        <v>0</v>
      </c>
      <c r="AG368" s="256">
        <f t="shared" si="903"/>
        <v>0</v>
      </c>
      <c r="AH368" s="257" t="str">
        <f>IF(AK368="",IF(AI368="","",IF(AI368="",501,501-AI368)),501)</f>
        <v/>
      </c>
      <c r="AI368" s="256" t="str">
        <f>IF(F368&gt;1,F368,IF(F368=0,"",IF(F368="","","")))</f>
        <v/>
      </c>
      <c r="AJ368" s="256" t="str">
        <f>IF(G368&gt;8,G368,IF(G368="","",""))</f>
        <v/>
      </c>
      <c r="AK368" s="256" t="str">
        <f>IF(H368&gt;1,H368,IF(H368="","",""))</f>
        <v/>
      </c>
      <c r="AL368" s="256" t="str">
        <f>IF(I368&gt;0,I368,IF(I368="","",""))</f>
        <v/>
      </c>
      <c r="AM368" s="258" t="str">
        <f>IF(BK368=0,"","X")</f>
        <v/>
      </c>
      <c r="AN368" s="237"/>
      <c r="AO368" s="237"/>
      <c r="AP368" s="258" t="str">
        <f>IF(BM368=0,"","X")</f>
        <v/>
      </c>
      <c r="AQ368" s="236">
        <f t="shared" si="904"/>
        <v>0</v>
      </c>
      <c r="AR368" s="256">
        <f t="shared" si="905"/>
        <v>0</v>
      </c>
      <c r="AS368" s="256">
        <f t="shared" si="898"/>
        <v>0</v>
      </c>
      <c r="AT368" s="256">
        <f t="shared" si="899"/>
        <v>0</v>
      </c>
      <c r="AU368" s="256">
        <f t="shared" si="906"/>
        <v>0</v>
      </c>
      <c r="AV368" s="257" t="str">
        <f>IF(AY368="",IF(AW368="","",IF(AW368="",501,501-AW368)),501)</f>
        <v/>
      </c>
      <c r="AW368" s="256" t="str">
        <f>IF(U368&gt;1,U368,IF(U368=0,"",IF(U368="","","")))</f>
        <v/>
      </c>
      <c r="AX368" s="256" t="str">
        <f>IF(V368&gt;8,V368,IF(V368="","",""))</f>
        <v/>
      </c>
      <c r="AY368" s="256" t="str">
        <f>IF(W368&gt;1,W368,IF(W368="","",""))</f>
        <v/>
      </c>
      <c r="AZ368" s="256" t="str">
        <f>IF(X368&gt;0,X368,IF(X368="","",""))</f>
        <v/>
      </c>
      <c r="BA368" s="258" t="str">
        <f>IF(BL368=0,"","X")</f>
        <v/>
      </c>
      <c r="BK368" s="251">
        <f>SUM(DD368,DV368,EY368,ED368,FF368,BQ368,BS368,AC368,BK375)</f>
        <v>0</v>
      </c>
      <c r="BL368" s="251">
        <f>SUM(DE368,DW368,EE368,FT368,GA368,BR368,BT368,AQ368,BL375,CZ368)</f>
        <v>0</v>
      </c>
      <c r="BM368" s="259">
        <f t="shared" si="907"/>
        <v>0</v>
      </c>
      <c r="BN368" s="239">
        <f>COUNT(AK368)</f>
        <v>0</v>
      </c>
      <c r="BO368" s="239">
        <f>COUNT(AY368)</f>
        <v>0</v>
      </c>
      <c r="BP368" s="239">
        <f>IF(BN370=0,0,1)</f>
        <v>0</v>
      </c>
      <c r="BQ368" s="260">
        <f>IF(AL368="",0,IF(AL368&gt;2,1,0))</f>
        <v>0</v>
      </c>
      <c r="BR368" s="261">
        <f>IF(AZ368="",0,IF(AZ368&gt;2,1,0))</f>
        <v>0</v>
      </c>
      <c r="BS368" s="262">
        <f>IF(AJ368=9,IF(AK368&lt;141,1,0),0)</f>
        <v>0</v>
      </c>
      <c r="BT368" s="263">
        <f>IF(AX368=9,IF(AY368&lt;141,1,0),0)</f>
        <v>0</v>
      </c>
      <c r="BU368" s="242">
        <f>IF(H368,G368,0)</f>
        <v>0</v>
      </c>
      <c r="BV368" s="238">
        <f>IF(BU368&gt;0,AJ368/3,0)</f>
        <v>0</v>
      </c>
      <c r="BW368" s="238">
        <f>ROUNDUP(BV368,0)</f>
        <v>0</v>
      </c>
      <c r="BX368" s="244">
        <f>IF(MOD(BW368,2)=0,BW368,BW368+1)</f>
        <v>0</v>
      </c>
      <c r="BY368" s="238">
        <f>IF(AJ368&lt;9,"",SUM(BX368-BW368))</f>
        <v>0</v>
      </c>
      <c r="BZ368" s="238">
        <f>IF(BY368=1,AK368,0)</f>
        <v>0</v>
      </c>
      <c r="CA368" s="243" t="str">
        <f>IF(BY368=0,AK368,0)</f>
        <v/>
      </c>
      <c r="CB368" s="238"/>
      <c r="CC368" s="238"/>
      <c r="CD368" s="242">
        <f>IF(W368,V368,0)</f>
        <v>0</v>
      </c>
      <c r="CE368" s="238">
        <f>IF(CD368&gt;0,AX368/3,0)</f>
        <v>0</v>
      </c>
      <c r="CF368" s="238">
        <f>ROUNDUP(CE368,0)</f>
        <v>0</v>
      </c>
      <c r="CG368" s="244">
        <f>IF(MOD(CF368,2)=0,CF368,CF368+1)</f>
        <v>0</v>
      </c>
      <c r="CH368" s="238">
        <f>IF(AX368&lt;9,"",SUM(CG368-CF368))</f>
        <v>0</v>
      </c>
      <c r="CI368" s="238">
        <f>IF(CH368=1,AY368,0)</f>
        <v>0</v>
      </c>
      <c r="CJ368" s="243" t="str">
        <f>IF(CH368=0,AY368,0)</f>
        <v/>
      </c>
      <c r="CK368" s="238"/>
      <c r="CL368" s="245">
        <f>IF(COUNT(F368,H368)=1,0,1)</f>
        <v>1</v>
      </c>
      <c r="CM368" s="245">
        <f>IF(COUNT(F368,U368)=1,0,1)</f>
        <v>1</v>
      </c>
      <c r="CN368" s="245">
        <f>IF(COUNT(H368,W368)=1,0,1)</f>
        <v>1</v>
      </c>
      <c r="CO368" s="245">
        <f>IF(COUNT(G368,V368)=2,0,1)</f>
        <v>1</v>
      </c>
      <c r="CP368" s="245">
        <f>IF(COUNT(U368,W368)=1,0,1)</f>
        <v>1</v>
      </c>
      <c r="CQ368" s="245">
        <f>IF(SUM(G368-V368)&gt;3,1,0)</f>
        <v>0</v>
      </c>
      <c r="CR368" s="245">
        <f>IF(SUM(G368-V368)&lt;-3,1,0)</f>
        <v>0</v>
      </c>
      <c r="CS368" s="264">
        <f>IF(AJ368=9,IF(AH368&lt;141,1,0),IF(AH368="",0,IF(AH368&gt;1,0,1)))</f>
        <v>0</v>
      </c>
      <c r="CT368" s="264">
        <f>IF(AX368=9,IF(AV368&lt;141,1,0),IF(AV368="",0,IF(AV368&gt;1,0,1)))</f>
        <v>0</v>
      </c>
      <c r="CU368" s="264">
        <f>IF(AI368="",0,IF(AI368&lt;502,0,1))</f>
        <v>0</v>
      </c>
      <c r="CV368" s="264">
        <f>IF(AW368="",0,IF(AW368&lt;502,0,1))</f>
        <v>0</v>
      </c>
      <c r="CW368" s="264">
        <f>IF(AI368="",IF(AJ368&lt;9,1,0),IF(AJ368&lt;9,1,0))</f>
        <v>0</v>
      </c>
      <c r="CX368" s="264">
        <f>IF(AW368="",IF(AX368&lt;9,1,0),IF(AX368&lt;9,1,0))</f>
        <v>0</v>
      </c>
      <c r="CY368" s="374">
        <f>COUNT(U366,U367,U368)</f>
        <v>0</v>
      </c>
      <c r="CZ368" s="375">
        <f>IF(AL363=3,IF(CY368&gt;2,1,0),0)</f>
        <v>0</v>
      </c>
      <c r="DA368" s="374"/>
      <c r="DB368" s="374"/>
      <c r="DC368" s="265">
        <f>IF(AJ368="",0,SUM(CL368:CX368))</f>
        <v>0</v>
      </c>
      <c r="DD368" s="265">
        <f>IF(AJ368="",0,SUM(CL368,CS368,CU368,CW368))</f>
        <v>0</v>
      </c>
      <c r="DE368" s="265">
        <f>IF(AJ368="",0,SUM(CP368,CT368,CV368,CX368))</f>
        <v>0</v>
      </c>
      <c r="DF368" s="238"/>
      <c r="DG368" s="248">
        <f>SUM(G368-V368)</f>
        <v>0</v>
      </c>
      <c r="DH368" s="245">
        <f>IF(F368="",0,1)</f>
        <v>0</v>
      </c>
      <c r="DI368" s="245">
        <f t="shared" si="908"/>
        <v>0</v>
      </c>
      <c r="DJ368" s="245">
        <f t="shared" si="909"/>
        <v>0</v>
      </c>
      <c r="DK368" s="245" t="str">
        <f>IF(G368="","",IF(DJ368=1,"*",""))</f>
        <v/>
      </c>
      <c r="DL368" s="245" t="str">
        <f>IF(G368="","",IF(DJ368=-1,"*",IF(DJ368=0,"*","")))</f>
        <v/>
      </c>
      <c r="DM368" s="245">
        <v>3</v>
      </c>
      <c r="DN368" s="245" t="str">
        <f t="shared" si="910"/>
        <v>3</v>
      </c>
      <c r="DO368" s="245" t="str">
        <f t="shared" si="911"/>
        <v>3</v>
      </c>
      <c r="DP368" s="245">
        <f>SUM(DP366)</f>
        <v>0</v>
      </c>
      <c r="DQ368" s="245">
        <f>SUM(DQ366)</f>
        <v>0</v>
      </c>
      <c r="DR368" s="245">
        <f t="shared" ref="DR368:DR370" si="918">IF(DK368="*",1,0)</f>
        <v>0</v>
      </c>
      <c r="DS368" s="245">
        <f t="shared" ref="DS368:DS370" si="919">IF(DL368="*",1,0)</f>
        <v>0</v>
      </c>
      <c r="DT368" s="245">
        <f t="shared" ref="DT368:DT370" si="920">IF(H358="",0,IF(DP368=DR368,1,0))</f>
        <v>0</v>
      </c>
      <c r="DU368" s="245">
        <f>IF(V368="",0,IF(DQ368=DS368,0,1))</f>
        <v>0</v>
      </c>
      <c r="DV368" s="267">
        <f t="shared" ref="DV368:DV370" si="921">SUM(DT368)</f>
        <v>0</v>
      </c>
      <c r="DW368" s="267">
        <f>IF(V368="",0,SUM(DU368))</f>
        <v>0</v>
      </c>
      <c r="DX368" s="238">
        <f>IF(AK368="",0,1)</f>
        <v>0</v>
      </c>
      <c r="DY368" s="238">
        <f>IF(DG368=-3,1,0)</f>
        <v>0</v>
      </c>
      <c r="DZ368" s="238">
        <f>SUM(DX368:DY368)</f>
        <v>0</v>
      </c>
      <c r="EA368" s="238">
        <f>IF(AK368="",1,0)</f>
        <v>1</v>
      </c>
      <c r="EB368" s="238">
        <f>IF(DG368=3,1,0)</f>
        <v>0</v>
      </c>
      <c r="EC368" s="238">
        <f>SUM(EA368:EB368)</f>
        <v>1</v>
      </c>
      <c r="ED368" s="267">
        <f>IF(EC368=2,1,0)</f>
        <v>0</v>
      </c>
      <c r="EE368" s="267">
        <f>IF(DZ368=2,1,0)</f>
        <v>0</v>
      </c>
      <c r="EG368" s="166"/>
      <c r="EH368" s="238"/>
      <c r="EI368" s="238"/>
      <c r="EJ368" s="238"/>
      <c r="EK368" s="238"/>
      <c r="EL368" s="238"/>
      <c r="EM368" s="245">
        <f>IF(AK368="",0,1)</f>
        <v>0</v>
      </c>
      <c r="EN368" s="245">
        <f>SUM(AK368)</f>
        <v>0</v>
      </c>
      <c r="EO368" s="268">
        <f>SUM(AJ368)</f>
        <v>0</v>
      </c>
      <c r="EP368" s="268">
        <f>SUM(G368/3)</f>
        <v>0</v>
      </c>
      <c r="EQ368" s="268" t="e">
        <f>SUM(EO368/EP368)</f>
        <v>#DIV/0!</v>
      </c>
      <c r="ER368" s="268">
        <f>ROUNDDOWN(EP368,0)</f>
        <v>0</v>
      </c>
      <c r="ES368" s="268">
        <f>SUM(EO368,-ER368*3)</f>
        <v>0</v>
      </c>
      <c r="ET368" s="269" t="b">
        <f>MOD(EN368/1,2)=0</f>
        <v>1</v>
      </c>
      <c r="EU368" s="245">
        <f>IF(ET368=FALSE,1,0)</f>
        <v>0</v>
      </c>
      <c r="EV368" s="245">
        <f>IF(EN368=50,0,IF(EN368&lt;40,1,0))</f>
        <v>1</v>
      </c>
      <c r="EW368" s="245">
        <f>SUM(EU368:EV368)</f>
        <v>1</v>
      </c>
      <c r="EX368" s="267">
        <f>IF(EN368=1,1,IF(EN368=50,0,IF(ES368=1,IF(EN368&gt;40,1,0),0)))</f>
        <v>0</v>
      </c>
      <c r="EY368" s="267">
        <f>IF(ES368=1,IF(EW368=2,1,0),0)+EX368+FB368+FE368</f>
        <v>0</v>
      </c>
      <c r="EZ368" s="245">
        <f>IF(EN368=109,1,IF(EN368=108,1,IF(EN368=106,1,IF(EN368=105,1,IF(EN368=103,1,IF(EN368=102,1,IF(EN368=99,1,0)))))))</f>
        <v>0</v>
      </c>
      <c r="FA368" s="245">
        <f>IF(EN368&gt;110,1,0)</f>
        <v>0</v>
      </c>
      <c r="FB368" s="267">
        <f>IF(ES368=2,SUM(EZ368:FA368),0)</f>
        <v>0</v>
      </c>
      <c r="FC368" s="245">
        <f>IF(EN368=159,1,IF(EN368=162,1,IF(EN368=163,1,IF(EN368=165,1,IF(EN368=166,1,IF(EN368=168,1,IF(EN368=169,1,0)))))))</f>
        <v>0</v>
      </c>
      <c r="FD368" s="245">
        <f>IF(EN368&gt;170,1,0)</f>
        <v>0</v>
      </c>
      <c r="FE368" s="267">
        <f>IF(ES368=0,SUM(FC368:FD368),0)</f>
        <v>0</v>
      </c>
      <c r="FF368" s="251">
        <f t="shared" si="912"/>
        <v>0</v>
      </c>
      <c r="FG368" s="238"/>
      <c r="FH368" s="245">
        <f>IF(AY368="",0,1)</f>
        <v>0</v>
      </c>
      <c r="FI368" s="245">
        <f>SUM(AY368)</f>
        <v>0</v>
      </c>
      <c r="FJ368" s="268">
        <f>SUM(AX368)</f>
        <v>0</v>
      </c>
      <c r="FK368" s="268">
        <f>SUM(V368/3)</f>
        <v>0</v>
      </c>
      <c r="FL368" s="268" t="e">
        <f>SUM(FJ368/FK368)</f>
        <v>#DIV/0!</v>
      </c>
      <c r="FM368" s="268">
        <f>ROUNDDOWN(FK368,0)</f>
        <v>0</v>
      </c>
      <c r="FN368" s="268">
        <f>SUM(FJ368,-FM368*3)</f>
        <v>0</v>
      </c>
      <c r="FO368" s="269" t="b">
        <f>MOD(FI368/1,2)=0</f>
        <v>1</v>
      </c>
      <c r="FP368" s="245">
        <f>IF(FO368=FALSE,1,0)</f>
        <v>0</v>
      </c>
      <c r="FQ368" s="245">
        <f>IF(FI368=50,0,IF(FI368&lt;40,1,0))</f>
        <v>1</v>
      </c>
      <c r="FR368" s="245">
        <f>SUM(FP368:FQ368)</f>
        <v>1</v>
      </c>
      <c r="FS368" s="267">
        <f>IF(FI368=1,1,IF(FI368=50,0,IF(FN368=1,IF(FI368&gt;40,1,0),0)))</f>
        <v>0</v>
      </c>
      <c r="FT368" s="267">
        <f>IF(FN368=1,IF(FR368=2,1,0),0)+FS368+FW368+FZ368</f>
        <v>0</v>
      </c>
      <c r="FU368" s="245">
        <f>IF(FI368=109,1,IF(FI368=108,1,IF(FI368=106,1,IF(FI368=105,1,IF(FI368=103,1,IF(FI368=102,1,IF(FI368=99,1,0)))))))</f>
        <v>0</v>
      </c>
      <c r="FV368" s="245">
        <f>IF(FI368&gt;110,1,0)</f>
        <v>0</v>
      </c>
      <c r="FW368" s="267">
        <f>IF(FN368=2,SUM(FU368:FV368),0)</f>
        <v>0</v>
      </c>
      <c r="FX368" s="245">
        <f>IF(FI368=159,1,IF(FI368=162,1,IF(FI368=163,1,IF(FI368=165,1,IF(FI368=166,1,IF(FI368=168,1,IF(FI368=169,1,0)))))))</f>
        <v>0</v>
      </c>
      <c r="FY368" s="245">
        <f>IF(FI368&gt;170,1,0)</f>
        <v>0</v>
      </c>
      <c r="FZ368" s="267">
        <f>IF(FN368=0,SUM(FX368:FY368),0)</f>
        <v>0</v>
      </c>
      <c r="GA368" s="251">
        <f t="shared" si="913"/>
        <v>0</v>
      </c>
      <c r="GC368" s="238" t="str">
        <f>VLOOKUP(AH363,Chema!BL:BR,3,FALSE)</f>
        <v/>
      </c>
      <c r="GD368" s="341"/>
      <c r="GE368" s="343" t="str">
        <f>IF(C374="","",SUM(C374))</f>
        <v/>
      </c>
      <c r="GF368" s="346"/>
      <c r="GG368" s="340"/>
      <c r="GH368" s="343">
        <f>IF(GH367&gt;0,1,0)</f>
        <v>0</v>
      </c>
      <c r="GI368" s="346"/>
      <c r="GJ368" s="343"/>
      <c r="GK368" s="340"/>
      <c r="GL368" s="343">
        <f>IF(GL367&gt;0,1,0)</f>
        <v>0</v>
      </c>
      <c r="GM368" s="343"/>
      <c r="GN368" s="343"/>
      <c r="GO368" s="340"/>
      <c r="GP368" s="343">
        <f>IF(GP367&gt;0,1,0)</f>
        <v>0</v>
      </c>
      <c r="GQ368" s="343"/>
      <c r="GR368" s="343"/>
      <c r="GS368" s="340"/>
      <c r="GT368" s="343">
        <f>IF(GT367&gt;0,1,0)</f>
        <v>0</v>
      </c>
      <c r="GU368" s="343"/>
      <c r="GV368" s="343"/>
      <c r="GW368" s="340"/>
      <c r="GX368" s="343">
        <f>IF(GX367&gt;0,1,0)</f>
        <v>0</v>
      </c>
      <c r="GY368" s="343"/>
      <c r="GZ368" s="343"/>
      <c r="HA368" s="343"/>
      <c r="HB368" s="343" t="str">
        <f>IF(GD366=1,L374,"")</f>
        <v/>
      </c>
      <c r="HC368" s="343" t="str">
        <f>IF(GD366=1,I374,"")</f>
        <v/>
      </c>
      <c r="HD368" s="345"/>
      <c r="HE368" s="340"/>
      <c r="HF368" s="340"/>
      <c r="HG368" s="347">
        <f>IF(GE367="",0,IF(AL363=3,2,IF(AL363=5,3,0)))</f>
        <v>0</v>
      </c>
      <c r="HH368" s="347">
        <f>IF(HK368=0,0,IF(HG370=0,0,1))</f>
        <v>0</v>
      </c>
      <c r="HI368" s="340"/>
      <c r="HJ368" s="340"/>
      <c r="HK368" s="340">
        <f>SUM(HM366,HM370)</f>
        <v>0</v>
      </c>
      <c r="HL368" s="340">
        <f>IF(HK368=0,0,IF(HM366=HG368,1,0))</f>
        <v>0</v>
      </c>
      <c r="HM368" s="340">
        <f>IF(HK368=0,0,IF(HM370=HG368,1,0))</f>
        <v>0</v>
      </c>
      <c r="HN368" s="341" t="str">
        <f>REPT(N363,1)</f>
        <v>Spiel 26</v>
      </c>
      <c r="HO368" s="348" t="str">
        <f>IF(HK368=0,"",IF(HH368=0,SUM(HH367),""))</f>
        <v/>
      </c>
      <c r="HP368" s="348" t="str">
        <f>IF(HK368=0,"",IF(HH368=0,SUM(HH369),""))</f>
        <v/>
      </c>
      <c r="HQ368" s="348" t="e">
        <f>IF(HH368=0,SUM(GZ367/HA367),"")</f>
        <v>#DIV/0!</v>
      </c>
      <c r="HR368" s="348" t="e">
        <f>IF(HH368=0,SUM(GZ369/HA369),"")</f>
        <v>#DIV/0!</v>
      </c>
      <c r="HS368" s="238" t="str">
        <f>REPT(DK366,1)</f>
        <v/>
      </c>
      <c r="HT368" s="238" t="str">
        <f>REPT(DL366,1)</f>
        <v/>
      </c>
      <c r="HU368" s="238">
        <f>IF(HH368=0,HL368,"")</f>
        <v>0</v>
      </c>
      <c r="HV368" s="238">
        <f>IF(HH368=0,HM368,"")</f>
        <v>0</v>
      </c>
      <c r="HW368" s="238" t="s">
        <v>1131</v>
      </c>
      <c r="HY368" s="238"/>
      <c r="HZ368" s="238" t="e">
        <f>IF(AL363=5,IF(HU368=1,SUM(HO368*2-HP368),HO368+HP368-2),"")</f>
        <v>#VALUE!</v>
      </c>
      <c r="IA368" s="238" t="str">
        <f>IF(AL363=3,IF(HU368=1,SUM(HO368-HP368+3),HO368+HP368-1),"")</f>
        <v/>
      </c>
      <c r="IB368" s="238" t="e">
        <f>IF(AL363=5,IF(HV368=1,SUM(HP368*2-HO368),HO368+HP368-2),"")</f>
        <v>#VALUE!</v>
      </c>
      <c r="IC368" s="238" t="str">
        <f>IF(AL363=3,IF(HV368=1,SUM(HP368-HO368+3),HO368+HP368-1),"")</f>
        <v/>
      </c>
      <c r="ID368" s="238">
        <f>SUM(BM372)</f>
        <v>0</v>
      </c>
    </row>
    <row r="369" spans="1:238" s="234" customFormat="1" ht="20.100000000000001" customHeight="1">
      <c r="A369" s="235"/>
      <c r="B369" s="231">
        <f>COUNT(AJ370,AJ369)</f>
        <v>0</v>
      </c>
      <c r="C369" s="235"/>
      <c r="D369" s="328" t="str">
        <f>REPT(DN369,1)</f>
        <v>4</v>
      </c>
      <c r="E369" s="329" t="str">
        <f>REPT(AH369,1)</f>
        <v/>
      </c>
      <c r="F369" s="330"/>
      <c r="G369" s="330"/>
      <c r="H369" s="330"/>
      <c r="I369" s="331"/>
      <c r="J369" s="270" t="str">
        <f t="shared" si="917"/>
        <v/>
      </c>
      <c r="M369" s="311"/>
      <c r="N369" s="270" t="str">
        <f>REPT(AP369,1)</f>
        <v/>
      </c>
      <c r="Q369" s="310"/>
      <c r="R369" s="235"/>
      <c r="S369" s="328" t="str">
        <f>REPT(DO369,1)</f>
        <v>4</v>
      </c>
      <c r="T369" s="329" t="str">
        <f>REPT(AV369,1)</f>
        <v/>
      </c>
      <c r="U369" s="330"/>
      <c r="V369" s="330"/>
      <c r="W369" s="330"/>
      <c r="X369" s="331"/>
      <c r="Y369" s="270" t="str">
        <f t="shared" si="900"/>
        <v/>
      </c>
      <c r="Z369" s="308"/>
      <c r="AA369" s="238">
        <f>SUM(AL363)</f>
        <v>5</v>
      </c>
      <c r="AB369" s="234">
        <f>IF(AY369="",0,IF(AY369&lt;2,1,""))</f>
        <v>0</v>
      </c>
      <c r="AC369" s="238">
        <f>IF(AL363=3,0,IF(AD369=1,1,IF(AD369=3,1,IF(AD369=2,0,IF(AD369=0,0,0)))))</f>
        <v>0</v>
      </c>
      <c r="AD369" s="256">
        <f t="shared" si="902"/>
        <v>0</v>
      </c>
      <c r="AE369" s="256">
        <f t="shared" si="896"/>
        <v>0</v>
      </c>
      <c r="AF369" s="256">
        <f t="shared" si="897"/>
        <v>0</v>
      </c>
      <c r="AG369" s="256">
        <f t="shared" si="903"/>
        <v>0</v>
      </c>
      <c r="AH369" s="257" t="str">
        <f>IF(AL363=3,"",IF(AK369="",IF(AI369="","",IF(AI369="",501,501-AI369)),501))</f>
        <v/>
      </c>
      <c r="AI369" s="256" t="str">
        <f>IF(AL363=3,"",IF(F369&gt;1,F369,IF(F369=0,"",IF(F369="","",""))))</f>
        <v/>
      </c>
      <c r="AJ369" s="256" t="str">
        <f>IF(AL363=3,"",IF(G369&gt;8,G369,IF(G369="","","")))</f>
        <v/>
      </c>
      <c r="AK369" s="256" t="str">
        <f>IF(AL363=3,"",IF(H369&gt;1,H369,IF(H369="","","")))</f>
        <v/>
      </c>
      <c r="AL369" s="256" t="str">
        <f>IF(AL363=3,"",IF(I369&gt;0,I369,IF(I369="","","")))</f>
        <v/>
      </c>
      <c r="AM369" s="258" t="str">
        <f>IF(BK369=0,"","X")</f>
        <v/>
      </c>
      <c r="AN369" s="237"/>
      <c r="AO369" s="237"/>
      <c r="AP369" s="258" t="str">
        <f>IF(BM369=0,"","X")</f>
        <v/>
      </c>
      <c r="AQ369" s="236">
        <f>IF(AL363=3,0,IF(AR369=1,1,IF(AR369=3,1,IF(AR369=2,0,IF(AR369=0,0,0)))))</f>
        <v>0</v>
      </c>
      <c r="AR369" s="256">
        <f t="shared" si="905"/>
        <v>0</v>
      </c>
      <c r="AS369" s="256">
        <f t="shared" si="898"/>
        <v>0</v>
      </c>
      <c r="AT369" s="256">
        <f t="shared" si="899"/>
        <v>0</v>
      </c>
      <c r="AU369" s="256">
        <f t="shared" si="906"/>
        <v>0</v>
      </c>
      <c r="AV369" s="257" t="str">
        <f>IF(AY369="",IF(AW369="","",IF(AW369="",501,501-AW369)),501)</f>
        <v/>
      </c>
      <c r="AW369" s="256" t="str">
        <f>IF(AL363=3,"",IF(U369&gt;1,U369,IF(U369=0,"",IF(U369="","",""))))</f>
        <v/>
      </c>
      <c r="AX369" s="256" t="str">
        <f>IF(AL363=3,"",IF(V369&gt;8,V369,IF(V369="","","")))</f>
        <v/>
      </c>
      <c r="AY369" s="256" t="str">
        <f>IF(AL363=3,"",IF(W369&gt;1,W369,IF(W369="","","")))</f>
        <v/>
      </c>
      <c r="AZ369" s="256" t="str">
        <f>IF(AL363=3,"",IF(X369&gt;0,X369,IF(X369="","","")))</f>
        <v/>
      </c>
      <c r="BA369" s="258" t="str">
        <f>IF(BL369=0,"","X")</f>
        <v/>
      </c>
      <c r="BK369" s="251">
        <f>IF(AL363=3,0,SUM(DD369,DV369,EY369,ED369,FF369,BQ369,BS369,AC369))</f>
        <v>0</v>
      </c>
      <c r="BL369" s="251">
        <f>IF(AL363=3,0,SUM(DE369,DW369,EE369,FT369,GA369,BR369,BT369,AQ369))</f>
        <v>0</v>
      </c>
      <c r="BM369" s="259">
        <f>IF(AL363=3,0,SUM(DC369,BK369:BL369,AC369,AQ369))</f>
        <v>0</v>
      </c>
      <c r="BN369" s="239">
        <f>COUNT(AK369)</f>
        <v>0</v>
      </c>
      <c r="BO369" s="239">
        <f>COUNT(AY369)</f>
        <v>0</v>
      </c>
      <c r="BP369" s="239">
        <f>IF(BZ371=0,0,1)</f>
        <v>0</v>
      </c>
      <c r="BQ369" s="260">
        <f>IF(AL369="",0,IF(AL369&gt;2,1,0))</f>
        <v>0</v>
      </c>
      <c r="BR369" s="261">
        <f>IF(AZ369="",0,IF(AZ369&gt;2,1,0))</f>
        <v>0</v>
      </c>
      <c r="BS369" s="262">
        <f>IF(AJ369=9,IF(AK369&lt;141,1,0),0)</f>
        <v>0</v>
      </c>
      <c r="BT369" s="263">
        <f>IF(AX369=9,IF(AY369&lt;141,1,0),0)</f>
        <v>0</v>
      </c>
      <c r="BU369" s="242">
        <f>IF(AL363=3,0,IF(H369,G369,0))</f>
        <v>0</v>
      </c>
      <c r="BV369" s="238">
        <f>IF(BU369&gt;0,AJ369/3,0)</f>
        <v>0</v>
      </c>
      <c r="BW369" s="238">
        <f>ROUNDUP(BV369,0)</f>
        <v>0</v>
      </c>
      <c r="BX369" s="244">
        <f>IF(MOD(BW369,2)=0,BW369,BW369+1)</f>
        <v>0</v>
      </c>
      <c r="BY369" s="238">
        <f>IF(AJ369&lt;9,"",SUM(BX369-BW369))</f>
        <v>0</v>
      </c>
      <c r="BZ369" s="238">
        <f>IF(BY369=1,AK369,0)</f>
        <v>0</v>
      </c>
      <c r="CA369" s="243" t="str">
        <f>IF(BY369=0,AK369,0)</f>
        <v/>
      </c>
      <c r="CB369" s="238"/>
      <c r="CC369" s="238"/>
      <c r="CD369" s="242">
        <f>IF(AL363=3,0,IF(W369,V369,0))</f>
        <v>0</v>
      </c>
      <c r="CE369" s="238">
        <f>IF(CD369&gt;0,AX369/3,0)</f>
        <v>0</v>
      </c>
      <c r="CF369" s="238">
        <f>ROUNDUP(CE369,0)</f>
        <v>0</v>
      </c>
      <c r="CG369" s="244">
        <f>IF(MOD(CF369,2)=0,CF369,CF369+1)</f>
        <v>0</v>
      </c>
      <c r="CH369" s="238">
        <f>IF(AX369&lt;9,"",SUM(CG369-CF369))</f>
        <v>0</v>
      </c>
      <c r="CI369" s="238">
        <f>IF(CH369=1,AY369,0)</f>
        <v>0</v>
      </c>
      <c r="CJ369" s="243" t="str">
        <f>IF(CH369=0,AY369,0)</f>
        <v/>
      </c>
      <c r="CK369" s="238"/>
      <c r="CL369" s="245">
        <f>IF(COUNT(F369,H369)=1,0,1)</f>
        <v>1</v>
      </c>
      <c r="CM369" s="245">
        <f>IF(COUNT(F369,U369)=1,0,1)</f>
        <v>1</v>
      </c>
      <c r="CN369" s="245">
        <f>IF(COUNT(H369,W369)=1,0,1)</f>
        <v>1</v>
      </c>
      <c r="CO369" s="245">
        <f>IF(COUNT(G369,V369)=2,0,1)</f>
        <v>1</v>
      </c>
      <c r="CP369" s="245">
        <f>IF(COUNT(U369,W369)=1,0,1)</f>
        <v>1</v>
      </c>
      <c r="CQ369" s="245">
        <f>IF(SUM(G369-V369)&gt;3,1,0)</f>
        <v>0</v>
      </c>
      <c r="CR369" s="245">
        <f>IF(SUM(G369-V369)&lt;-3,1,0)</f>
        <v>0</v>
      </c>
      <c r="CS369" s="264">
        <f>IF(AJ369=9,IF(AH369&lt;141,1,0),IF(AH369="",0,IF(AH369&gt;1,0,1)))</f>
        <v>0</v>
      </c>
      <c r="CT369" s="264">
        <f>IF(AX369=9,IF(AV369&lt;141,1,0),IF(AV369="",0,IF(AV369&gt;1,0,1)))</f>
        <v>0</v>
      </c>
      <c r="CU369" s="264">
        <f>IF(AI369="",0,IF(AI369&lt;502,0,1))</f>
        <v>0</v>
      </c>
      <c r="CV369" s="264">
        <f>IF(AW369="",0,IF(AW369&lt;502,0,1))</f>
        <v>0</v>
      </c>
      <c r="CW369" s="264">
        <f>IF(AI369="",IF(AJ369&lt;9,1,0),IF(AJ369&lt;9,1,0))</f>
        <v>0</v>
      </c>
      <c r="CX369" s="264">
        <f>IF(AW369="",IF(AX369&lt;9,1,0),IF(AX369&lt;9,1,0))</f>
        <v>0</v>
      </c>
      <c r="CY369" s="374"/>
      <c r="CZ369" s="374"/>
      <c r="DA369" s="374"/>
      <c r="DB369" s="374"/>
      <c r="DC369" s="265">
        <f>IF(AJ369="",0,SUM(CL369:CX369))</f>
        <v>0</v>
      </c>
      <c r="DD369" s="265">
        <f>IF(AJ369="",0,SUM(CL369,CS369,CU369,CW369))</f>
        <v>0</v>
      </c>
      <c r="DE369" s="265">
        <f>IF(AJ369="",0,SUM(CP369,CT369,CV369,CX369))</f>
        <v>0</v>
      </c>
      <c r="DF369" s="238"/>
      <c r="DG369" s="248">
        <f>IF(AL363=3,0,SUM(G369-V369))</f>
        <v>0</v>
      </c>
      <c r="DH369" s="245">
        <f>IF(F369="",0,1)</f>
        <v>0</v>
      </c>
      <c r="DI369" s="245">
        <f t="shared" si="908"/>
        <v>0</v>
      </c>
      <c r="DJ369" s="245">
        <f t="shared" si="909"/>
        <v>0</v>
      </c>
      <c r="DK369" s="245" t="str">
        <f>IF(G369="","",IF(DJ369=1,"*",""))</f>
        <v/>
      </c>
      <c r="DL369" s="245" t="str">
        <f>IF(AL363=3,"",IF(G369="","",IF(DJ369=-1,"*",IF(DJ369=0,"*",""))))</f>
        <v/>
      </c>
      <c r="DM369" s="245">
        <v>4</v>
      </c>
      <c r="DN369" s="245" t="str">
        <f t="shared" si="910"/>
        <v>4</v>
      </c>
      <c r="DO369" s="245" t="str">
        <f t="shared" si="911"/>
        <v>4</v>
      </c>
      <c r="DP369" s="245">
        <f>SUM(DQ366)</f>
        <v>0</v>
      </c>
      <c r="DQ369" s="245">
        <f>SUM(DP366)</f>
        <v>0</v>
      </c>
      <c r="DR369" s="245">
        <f t="shared" si="918"/>
        <v>0</v>
      </c>
      <c r="DS369" s="245">
        <f t="shared" si="919"/>
        <v>0</v>
      </c>
      <c r="DT369" s="245">
        <f t="shared" si="920"/>
        <v>0</v>
      </c>
      <c r="DU369" s="245">
        <f>IF(V369="",0,IF(DQ369=DS369,0,1))</f>
        <v>0</v>
      </c>
      <c r="DV369" s="267">
        <f t="shared" si="921"/>
        <v>0</v>
      </c>
      <c r="DW369" s="267">
        <f>IF(V369="",0,SUM(DU369))</f>
        <v>0</v>
      </c>
      <c r="DX369" s="238">
        <f>IF(AK369="",0,1)</f>
        <v>0</v>
      </c>
      <c r="DY369" s="238">
        <f>IF(DG369=-3,1,0)</f>
        <v>0</v>
      </c>
      <c r="DZ369" s="238">
        <f>SUM(DX369:DY369)</f>
        <v>0</v>
      </c>
      <c r="EA369" s="238">
        <f>IF(AK369="",1,0)</f>
        <v>1</v>
      </c>
      <c r="EB369" s="238">
        <f>IF(DG369=3,1,0)</f>
        <v>0</v>
      </c>
      <c r="EC369" s="238">
        <f>SUM(EA369:EB369)</f>
        <v>1</v>
      </c>
      <c r="ED369" s="267">
        <f>IF(EC369=2,1,0)</f>
        <v>0</v>
      </c>
      <c r="EE369" s="267">
        <f>IF(DZ369=2,1,0)</f>
        <v>0</v>
      </c>
      <c r="EG369" s="166"/>
      <c r="EH369" s="238"/>
      <c r="EI369" s="238"/>
      <c r="EJ369" s="238"/>
      <c r="EK369" s="238"/>
      <c r="EL369" s="238"/>
      <c r="EM369" s="245">
        <f>IF(AK369="",0,1)</f>
        <v>0</v>
      </c>
      <c r="EN369" s="245">
        <f>SUM(AK369)</f>
        <v>0</v>
      </c>
      <c r="EO369" s="268">
        <f>SUM(AJ369)</f>
        <v>0</v>
      </c>
      <c r="EP369" s="268">
        <f>SUM(G369/3)</f>
        <v>0</v>
      </c>
      <c r="EQ369" s="268" t="e">
        <f>SUM(EO369/EP369)</f>
        <v>#DIV/0!</v>
      </c>
      <c r="ER369" s="268">
        <f>ROUNDDOWN(EP369,0)</f>
        <v>0</v>
      </c>
      <c r="ES369" s="268">
        <f>SUM(EO369,-ER369*3)</f>
        <v>0</v>
      </c>
      <c r="ET369" s="269" t="b">
        <f>MOD(EN369/1,2)=0</f>
        <v>1</v>
      </c>
      <c r="EU369" s="245">
        <f>IF(ET369=FALSE,1,0)</f>
        <v>0</v>
      </c>
      <c r="EV369" s="245">
        <f>IF(EN369=50,0,IF(EN369&lt;40,1,0))</f>
        <v>1</v>
      </c>
      <c r="EW369" s="245">
        <f>SUM(EU369:EV369)</f>
        <v>1</v>
      </c>
      <c r="EX369" s="267">
        <f>IF(EN369=1,1,IF(EN369=50,0,IF(ES369=1,IF(EN369&gt;40,1,0),0)))</f>
        <v>0</v>
      </c>
      <c r="EY369" s="267">
        <f>IF(ES369=1,IF(EW369=2,1,0),0)+EX369+FB369+FE369</f>
        <v>0</v>
      </c>
      <c r="EZ369" s="245">
        <f>IF(EN369=109,1,IF(EN369=108,1,IF(EN369=106,1,IF(EN369=105,1,IF(EN369=103,1,IF(EN369=102,1,IF(EN369=99,1,0)))))))</f>
        <v>0</v>
      </c>
      <c r="FA369" s="245">
        <f>IF(EN369&gt;110,1,0)</f>
        <v>0</v>
      </c>
      <c r="FB369" s="267">
        <f>IF(ES369=2,SUM(EZ369:FA369),0)</f>
        <v>0</v>
      </c>
      <c r="FC369" s="245">
        <f>IF(EN369=159,1,IF(EN369=162,1,IF(EN369=163,1,IF(EN369=165,1,IF(EN369=166,1,IF(EN369=168,1,IF(EN369=169,1,0)))))))</f>
        <v>0</v>
      </c>
      <c r="FD369" s="245">
        <f>IF(EN369&gt;170,1,0)</f>
        <v>0</v>
      </c>
      <c r="FE369" s="267">
        <f>IF(ES369=0,SUM(FC369:FD369),0)</f>
        <v>0</v>
      </c>
      <c r="FF369" s="251">
        <f t="shared" si="912"/>
        <v>0</v>
      </c>
      <c r="FG369" s="238"/>
      <c r="FH369" s="245">
        <f>IF(AY369="",0,1)</f>
        <v>0</v>
      </c>
      <c r="FI369" s="245">
        <f>SUM(AY369)</f>
        <v>0</v>
      </c>
      <c r="FJ369" s="268">
        <f>SUM(AX369)</f>
        <v>0</v>
      </c>
      <c r="FK369" s="268">
        <f>SUM(V369/3)</f>
        <v>0</v>
      </c>
      <c r="FL369" s="268" t="e">
        <f>SUM(FJ369/FK369)</f>
        <v>#DIV/0!</v>
      </c>
      <c r="FM369" s="268">
        <f>ROUNDDOWN(FK369,0)</f>
        <v>0</v>
      </c>
      <c r="FN369" s="268">
        <f>SUM(FJ369,-FM369*3)</f>
        <v>0</v>
      </c>
      <c r="FO369" s="269" t="b">
        <f>MOD(FI369/1,2)=0</f>
        <v>1</v>
      </c>
      <c r="FP369" s="245">
        <f>IF(FO369=FALSE,1,0)</f>
        <v>0</v>
      </c>
      <c r="FQ369" s="245">
        <f>IF(FI369=50,0,IF(FI369&lt;40,1,0))</f>
        <v>1</v>
      </c>
      <c r="FR369" s="245">
        <f>SUM(FP369:FQ369)</f>
        <v>1</v>
      </c>
      <c r="FS369" s="267">
        <f>IF(FI369=1,1,IF(FI369=50,0,IF(FN369=1,IF(FI369&gt;40,1,0),0)))</f>
        <v>0</v>
      </c>
      <c r="FT369" s="267">
        <f>IF(FN369=1,IF(FR369=2,1,0),0)+FS369+FW369+FZ369</f>
        <v>0</v>
      </c>
      <c r="FU369" s="245">
        <f>IF(FI369=109,1,IF(FI369=108,1,IF(FI369=106,1,IF(FI369=105,1,IF(FI369=103,1,IF(FI369=102,1,IF(FI369=99,1,0)))))))</f>
        <v>0</v>
      </c>
      <c r="FV369" s="245">
        <f>IF(FI369&gt;110,1,0)</f>
        <v>0</v>
      </c>
      <c r="FW369" s="267">
        <f>IF(FN369=2,SUM(FU369:FV369),0)</f>
        <v>0</v>
      </c>
      <c r="FX369" s="245">
        <f>IF(FI369=159,1,IF(FI369=162,1,IF(FI369=163,1,IF(FI369=165,1,IF(FI369=166,1,IF(FI369=168,1,IF(FI369=169,1,0)))))))</f>
        <v>0</v>
      </c>
      <c r="FY369" s="245">
        <f>IF(FI369&gt;170,1,0)</f>
        <v>0</v>
      </c>
      <c r="FZ369" s="267">
        <f>IF(FN369=0,SUM(FX369:FY369),0)</f>
        <v>0</v>
      </c>
      <c r="GA369" s="251">
        <f t="shared" si="913"/>
        <v>0</v>
      </c>
      <c r="GC369" s="238" t="str">
        <f>VLOOKUP(AH363,Chema!BL:BR,4,FALSE)</f>
        <v>GS 3.6</v>
      </c>
      <c r="GD369" s="341">
        <f>IF(T373="FORFAIT",1,0)</f>
        <v>0</v>
      </c>
      <c r="GE369" s="343" t="str">
        <f>IF(R373="","",SUM(R373))</f>
        <v/>
      </c>
      <c r="GF369" s="344">
        <f>SUM(AV366)</f>
        <v>0</v>
      </c>
      <c r="GG369" s="344">
        <f>SUM(AX366)</f>
        <v>0</v>
      </c>
      <c r="GH369" s="344">
        <f t="shared" ref="GH369" si="922">SUM(AY366)</f>
        <v>0</v>
      </c>
      <c r="GI369" s="344">
        <f t="shared" ref="GI369" si="923">SUM(AZ366)</f>
        <v>0</v>
      </c>
      <c r="GJ369" s="344">
        <f>SUM(AV367)</f>
        <v>0</v>
      </c>
      <c r="GK369" s="344">
        <f>SUM(AX367)</f>
        <v>0</v>
      </c>
      <c r="GL369" s="344">
        <f>SUM(AY367)</f>
        <v>0</v>
      </c>
      <c r="GM369" s="344">
        <f>SUM(AZ367)</f>
        <v>0</v>
      </c>
      <c r="GN369" s="344">
        <f>SUM(AV368)</f>
        <v>0</v>
      </c>
      <c r="GO369" s="344">
        <f>SUM(AX368)</f>
        <v>0</v>
      </c>
      <c r="GP369" s="344">
        <f>SUM(AY368)</f>
        <v>0</v>
      </c>
      <c r="GQ369" s="344">
        <f>SUM(AZ368)</f>
        <v>0</v>
      </c>
      <c r="GR369" s="344">
        <f>SUM(AV369)</f>
        <v>0</v>
      </c>
      <c r="GS369" s="344">
        <f>SUM(AX369)</f>
        <v>0</v>
      </c>
      <c r="GT369" s="344">
        <f>SUM(AY369)</f>
        <v>0</v>
      </c>
      <c r="GU369" s="344">
        <f>SUM(AZ369)</f>
        <v>0</v>
      </c>
      <c r="GV369" s="344">
        <f>SUM(AV370)</f>
        <v>0</v>
      </c>
      <c r="GW369" s="344">
        <f>SUM(AX370)</f>
        <v>0</v>
      </c>
      <c r="GX369" s="344">
        <f>SUM(AY370)</f>
        <v>0</v>
      </c>
      <c r="GY369" s="344">
        <f>SUM(AZ370)</f>
        <v>0</v>
      </c>
      <c r="GZ369" s="344">
        <f>SUM(GF369,GJ369,GN369,GR369,GV369)</f>
        <v>0</v>
      </c>
      <c r="HA369" s="344">
        <f t="shared" ref="HA369" si="924">SUM(GG369,GK369,GO369,GS369,GW369)</f>
        <v>0</v>
      </c>
      <c r="HB369" s="344">
        <f>IF(GD366=1,P373,MAX(GH369,GL369,GP369,GT369,GX369))</f>
        <v>0</v>
      </c>
      <c r="HC369" s="344">
        <f>IF(GD366=1,X373,SUM(GI369,GM369,GQ369,GU369,GY369))</f>
        <v>0</v>
      </c>
      <c r="HD369" s="345">
        <f>IF(GD366=1,0,SUM(GF369,GJ369,GN369,GR369,GV369))</f>
        <v>0</v>
      </c>
      <c r="HE369" s="345">
        <f>IF(GD366=1,0,SUM(GG369,GK369,GO369,GS369,GW369))</f>
        <v>0</v>
      </c>
      <c r="HF369" s="341">
        <f>IF(GD366=1,0,MIN(HI369,HJ369,HK369,HL369,HM369))</f>
        <v>0</v>
      </c>
      <c r="HG369" s="341">
        <f>IF(HF369=0,0,COUNTIF(HI369:HM369,HF369))</f>
        <v>0</v>
      </c>
      <c r="HH369" s="341">
        <f>SUM(GH370,GL370,GP370,GT370,GX370)</f>
        <v>0</v>
      </c>
      <c r="HI369" s="343" t="str">
        <f>IF(GH370=1,GG369,"")</f>
        <v/>
      </c>
      <c r="HJ369" s="343" t="str">
        <f>IF(GL370=1,GK369,"")</f>
        <v/>
      </c>
      <c r="HK369" s="343" t="str">
        <f>IF(GP370=1,GO369,"")</f>
        <v/>
      </c>
      <c r="HL369" s="343" t="str">
        <f>IF(GT370=1,GS369,"")</f>
        <v/>
      </c>
      <c r="HM369" s="343" t="str">
        <f>IF(GX370=1,GW369,"")</f>
        <v/>
      </c>
      <c r="HN369" s="341"/>
      <c r="HO369" s="341"/>
      <c r="HP369" s="341"/>
      <c r="HQ369" s="341"/>
      <c r="HR369" s="341"/>
      <c r="HS369" s="238"/>
      <c r="HT369" s="238"/>
      <c r="HU369" s="238"/>
      <c r="HV369" s="238"/>
      <c r="HW369" s="238" t="str">
        <f>IFERROR(IF(GD366=0,SUM(IB368:IC368),""),"")</f>
        <v/>
      </c>
      <c r="HY369" s="238"/>
      <c r="ID369" s="238"/>
    </row>
    <row r="370" spans="1:238" s="234" customFormat="1" ht="20.100000000000001" customHeight="1">
      <c r="A370" s="235"/>
      <c r="B370" s="231">
        <f>COUNT(AJ371,AJ370)</f>
        <v>1</v>
      </c>
      <c r="C370" s="235"/>
      <c r="D370" s="271" t="str">
        <f>REPT(DN370,1)</f>
        <v>5</v>
      </c>
      <c r="E370" s="254" t="str">
        <f>REPT(AH370,1)</f>
        <v/>
      </c>
      <c r="F370" s="168"/>
      <c r="G370" s="168"/>
      <c r="H370" s="168"/>
      <c r="I370" s="169"/>
      <c r="J370" s="272" t="str">
        <f>REPT(AM370,1)</f>
        <v/>
      </c>
      <c r="L370" s="310"/>
      <c r="M370" s="310"/>
      <c r="N370" s="272" t="str">
        <f>REPT(AP370,1)</f>
        <v/>
      </c>
      <c r="O370" s="118"/>
      <c r="Q370" s="310"/>
      <c r="R370" s="235"/>
      <c r="S370" s="271" t="str">
        <f>REPT(DO370,1)</f>
        <v>5</v>
      </c>
      <c r="T370" s="254" t="str">
        <f>REPT(AV370,1)</f>
        <v/>
      </c>
      <c r="U370" s="168"/>
      <c r="V370" s="168"/>
      <c r="W370" s="168"/>
      <c r="X370" s="169"/>
      <c r="Y370" s="272" t="str">
        <f>REPT(BA370,1)</f>
        <v/>
      </c>
      <c r="Z370" s="308"/>
      <c r="AA370" s="238">
        <f>SUM(AL363)</f>
        <v>5</v>
      </c>
      <c r="AB370" s="234">
        <f>IF(AY370="",0,IF(AY370&lt;2,1,""))</f>
        <v>0</v>
      </c>
      <c r="AC370" s="238">
        <f>IF(AL363=3,0,IF(AD370=1,1,IF(AD370=3,1,IF(AD370=2,0,IF(AD370=0,0,0)))))</f>
        <v>0</v>
      </c>
      <c r="AD370" s="256">
        <f t="shared" si="902"/>
        <v>0</v>
      </c>
      <c r="AE370" s="256">
        <f t="shared" si="896"/>
        <v>0</v>
      </c>
      <c r="AF370" s="256">
        <f t="shared" si="897"/>
        <v>0</v>
      </c>
      <c r="AG370" s="256">
        <f t="shared" si="903"/>
        <v>0</v>
      </c>
      <c r="AH370" s="257" t="str">
        <f>IF(AL363=3,"",IF(AK370="",IF(AI370="","",IF(AI370="",501,501-AI370)),501))</f>
        <v/>
      </c>
      <c r="AI370" s="256" t="str">
        <f>IF(AL363=3,"",IF(F370&gt;1,F370,IF(F370=0,"",IF(F370="","",""))))</f>
        <v/>
      </c>
      <c r="AJ370" s="256" t="str">
        <f>IF(AL363=3,"",IF(G370&gt;8,G370,IF(G370="","","")))</f>
        <v/>
      </c>
      <c r="AK370" s="256" t="str">
        <f>IF(AL363=3,"",IF(H370&gt;1,H370,IF(H370="","","")))</f>
        <v/>
      </c>
      <c r="AL370" s="256" t="str">
        <f>IF(AL363=3,"",IF(I370&gt;0,I370,IF(I370="","","")))</f>
        <v/>
      </c>
      <c r="AM370" s="258" t="str">
        <f>IF(BK370=0,"","X")</f>
        <v/>
      </c>
      <c r="AN370" s="237"/>
      <c r="AO370" s="237"/>
      <c r="AP370" s="258" t="str">
        <f>IF(BM370=0,"","X")</f>
        <v/>
      </c>
      <c r="AQ370" s="236">
        <f>IF(AL363=3,0,IF(AR370=1,1,IF(AR370=3,1,IF(AR370=2,0,IF(AR370=0,0,0)))))</f>
        <v>0</v>
      </c>
      <c r="AR370" s="256">
        <f t="shared" si="905"/>
        <v>0</v>
      </c>
      <c r="AS370" s="256">
        <f t="shared" si="898"/>
        <v>0</v>
      </c>
      <c r="AT370" s="256">
        <f t="shared" si="899"/>
        <v>0</v>
      </c>
      <c r="AU370" s="256">
        <f t="shared" si="906"/>
        <v>0</v>
      </c>
      <c r="AV370" s="257" t="str">
        <f>IF(AY370="",IF(AW370="","",IF(AW370="",501,501-AW370)),501)</f>
        <v/>
      </c>
      <c r="AW370" s="256" t="str">
        <f>IF(AL363=3,"",IF(U370&gt;1,U370,IF(U370=0,"",IF(U370="","",""))))</f>
        <v/>
      </c>
      <c r="AX370" s="256" t="str">
        <f>IF(AL363=3,"",IF(V370&gt;8,V370,IF(V370="","","")))</f>
        <v/>
      </c>
      <c r="AY370" s="256" t="str">
        <f>IF(AL363=3,"",IF(W370&gt;1,W370,IF(W370="","","")))</f>
        <v/>
      </c>
      <c r="AZ370" s="256" t="str">
        <f>IF(AL363=3,"",IF(X370&gt;0,X370,IF(X370="","","")))</f>
        <v/>
      </c>
      <c r="BA370" s="258" t="str">
        <f>IF(BL370=0,"","X")</f>
        <v/>
      </c>
      <c r="BK370" s="251">
        <f>IF(AL363=3,0,SUM(DD370,DV370,EY370,ED370,FF370,BQ370,BS370,AC370))</f>
        <v>0</v>
      </c>
      <c r="BL370" s="251">
        <f>SUM(DE370,DW370,EE370,FT370,GA370,BR370,BT370,AQ370)</f>
        <v>0</v>
      </c>
      <c r="BM370" s="259">
        <f>IF(AL363=3,0,SUM(DC370,BK370:BL370,AC370,AQ370))</f>
        <v>0</v>
      </c>
      <c r="BN370" s="239">
        <f>COUNT(AK370)</f>
        <v>0</v>
      </c>
      <c r="BO370" s="239">
        <f>COUNT(AY370)</f>
        <v>0</v>
      </c>
      <c r="BP370" s="239">
        <f>IF(BN372=0,0,1)</f>
        <v>0</v>
      </c>
      <c r="BQ370" s="260">
        <f>IF(AL370="",0,IF(AL370&gt;2,1,0))</f>
        <v>0</v>
      </c>
      <c r="BR370" s="261">
        <f>IF(AZ370="",0,IF(AZ370&gt;2,1,0))</f>
        <v>0</v>
      </c>
      <c r="BS370" s="262">
        <f>IF(AJ370=9,IF(AK370&lt;141,1,0),0)</f>
        <v>0</v>
      </c>
      <c r="BT370" s="263">
        <f>IF(AX370=9,IF(AY370&lt;141,1,0),0)</f>
        <v>0</v>
      </c>
      <c r="BU370" s="242">
        <f>IF(AL363=3,0,IF(H370,G370,0))</f>
        <v>0</v>
      </c>
      <c r="BV370" s="238">
        <f>IF(BU370&gt;0,AJ370/3,0)</f>
        <v>0</v>
      </c>
      <c r="BW370" s="238">
        <f>ROUNDUP(BV370,0)</f>
        <v>0</v>
      </c>
      <c r="BX370" s="244">
        <f>IF(MOD(BW370,2)=0,BW370,BW370+1)</f>
        <v>0</v>
      </c>
      <c r="BY370" s="238">
        <f>IF(AJ370&lt;9,"",SUM(BX370-BW370))</f>
        <v>0</v>
      </c>
      <c r="BZ370" s="238">
        <f>IF(BY370=1,AK370,0)</f>
        <v>0</v>
      </c>
      <c r="CA370" s="243" t="str">
        <f>IF(BY370=0,AK370,0)</f>
        <v/>
      </c>
      <c r="CB370" s="238"/>
      <c r="CC370" s="238"/>
      <c r="CD370" s="242">
        <f>IF(AL363=3,0,IF(W370,V370,0))</f>
        <v>0</v>
      </c>
      <c r="CE370" s="238">
        <f>IF(CD370&gt;0,AX370/3,0)</f>
        <v>0</v>
      </c>
      <c r="CF370" s="238">
        <f>ROUNDUP(CE370,0)</f>
        <v>0</v>
      </c>
      <c r="CG370" s="244">
        <f>IF(MOD(CF370,2)=0,CF370,CF370+1)</f>
        <v>0</v>
      </c>
      <c r="CH370" s="238">
        <f>IF(AX370&lt;9,"",SUM(CG370-CF370))</f>
        <v>0</v>
      </c>
      <c r="CI370" s="238">
        <f>IF(CH370=1,AY370,0)</f>
        <v>0</v>
      </c>
      <c r="CJ370" s="243" t="str">
        <f>IF(CH370=0,AY370,0)</f>
        <v/>
      </c>
      <c r="CK370" s="238"/>
      <c r="CL370" s="245">
        <f>IF(COUNT(F370,H370)=1,0,1)</f>
        <v>1</v>
      </c>
      <c r="CM370" s="245">
        <f>IF(COUNT(F370,U370)=1,0,1)</f>
        <v>1</v>
      </c>
      <c r="CN370" s="245">
        <f>IF(COUNT(H370,W370)=1,0,1)</f>
        <v>1</v>
      </c>
      <c r="CO370" s="245">
        <f>IF(COUNT(G370,V370)=2,0,1)</f>
        <v>1</v>
      </c>
      <c r="CP370" s="245">
        <f>IF(COUNT(U370,W370)=1,0,1)</f>
        <v>1</v>
      </c>
      <c r="CQ370" s="245">
        <f>IF(SUM(G370-V370)&gt;3,1,0)</f>
        <v>0</v>
      </c>
      <c r="CR370" s="245">
        <f>IF(SUM(G370-V370)&lt;-3,1,0)</f>
        <v>0</v>
      </c>
      <c r="CS370" s="264">
        <f>IF(AJ370=9,IF(AH370&lt;141,1,0),IF(AH370="",0,IF(AH370&gt;1,0,1)))</f>
        <v>0</v>
      </c>
      <c r="CT370" s="264">
        <f>IF(AX370=9,IF(AV370&lt;141,1,0),IF(AV370="",0,IF(AV370&gt;1,0,1)))</f>
        <v>0</v>
      </c>
      <c r="CU370" s="264">
        <f>IF(AI370="",0,IF(AI370&lt;502,0,1))</f>
        <v>0</v>
      </c>
      <c r="CV370" s="264">
        <f>IF(AW370="",0,IF(AW370&lt;502,0,1))</f>
        <v>0</v>
      </c>
      <c r="CW370" s="264">
        <f>IF(AI370="",IF(AJ370&lt;9,1,0),IF(AJ370&lt;9,1,0))</f>
        <v>0</v>
      </c>
      <c r="CX370" s="264">
        <f>IF(AW370="",IF(AX370&lt;9,1,0),IF(AX370&lt;9,1,0))</f>
        <v>0</v>
      </c>
      <c r="CY370" s="374"/>
      <c r="CZ370" s="374"/>
      <c r="DA370" s="374"/>
      <c r="DB370" s="374"/>
      <c r="DC370" s="265">
        <f>IF(AJ370="",0,SUM(CL370:CX370))</f>
        <v>0</v>
      </c>
      <c r="DD370" s="265">
        <f>IF(AJ370="",0,SUM(CL370,CS370,CU370,CW370))</f>
        <v>0</v>
      </c>
      <c r="DE370" s="265">
        <f>IF(AJ370="",0,SUM(CP370,CT370,CV370,CX370))</f>
        <v>0</v>
      </c>
      <c r="DF370" s="238"/>
      <c r="DG370" s="248">
        <f>IF(AL363=3,0,SUM(G370-V370))</f>
        <v>0</v>
      </c>
      <c r="DH370" s="245">
        <f>IF(F370="",0,1)</f>
        <v>0</v>
      </c>
      <c r="DI370" s="245">
        <f t="shared" si="908"/>
        <v>0</v>
      </c>
      <c r="DJ370" s="245">
        <f t="shared" si="909"/>
        <v>0</v>
      </c>
      <c r="DK370" s="245" t="str">
        <f>IF(G370="","",IF(DJ370=1,"*",""))</f>
        <v/>
      </c>
      <c r="DL370" s="245" t="str">
        <f>IF(AL363=3,"",IF(G370="","",IF(DJ370=-1,"*",IF(DJ370=0,"*",""))))</f>
        <v/>
      </c>
      <c r="DM370" s="245">
        <v>5</v>
      </c>
      <c r="DN370" s="245" t="str">
        <f t="shared" si="910"/>
        <v>5</v>
      </c>
      <c r="DO370" s="245" t="str">
        <f t="shared" si="911"/>
        <v>5</v>
      </c>
      <c r="DP370" s="245">
        <f>SUM(DP366)</f>
        <v>0</v>
      </c>
      <c r="DQ370" s="245">
        <f>SUM(DQ366)</f>
        <v>0</v>
      </c>
      <c r="DR370" s="245">
        <f t="shared" si="918"/>
        <v>0</v>
      </c>
      <c r="DS370" s="245">
        <f t="shared" si="919"/>
        <v>0</v>
      </c>
      <c r="DT370" s="245">
        <f t="shared" si="920"/>
        <v>0</v>
      </c>
      <c r="DU370" s="245">
        <f>IF(V370="",0,IF(DQ370=DS370,0,1))</f>
        <v>0</v>
      </c>
      <c r="DV370" s="267">
        <f t="shared" si="921"/>
        <v>0</v>
      </c>
      <c r="DW370" s="267">
        <f>IF(V370="",0,SUM(DU370))</f>
        <v>0</v>
      </c>
      <c r="DX370" s="238">
        <f>IF(AK370="",0,1)</f>
        <v>0</v>
      </c>
      <c r="DY370" s="238">
        <f>IF(DG370=-3,1,0)</f>
        <v>0</v>
      </c>
      <c r="DZ370" s="238">
        <f>SUM(DX370:DY370)</f>
        <v>0</v>
      </c>
      <c r="EA370" s="238">
        <f>IF(AK370="",1,0)</f>
        <v>1</v>
      </c>
      <c r="EB370" s="238">
        <f>IF(DG370=3,1,0)</f>
        <v>0</v>
      </c>
      <c r="EC370" s="238">
        <f>SUM(EA370:EB370)</f>
        <v>1</v>
      </c>
      <c r="ED370" s="267">
        <f>IF(EC370=2,1,0)</f>
        <v>0</v>
      </c>
      <c r="EE370" s="267">
        <f>IF(DZ370=2,1,0)</f>
        <v>0</v>
      </c>
      <c r="EG370" s="166"/>
      <c r="EH370" s="238"/>
      <c r="EI370" s="238"/>
      <c r="EJ370" s="238"/>
      <c r="EK370" s="238"/>
      <c r="EL370" s="238"/>
      <c r="EM370" s="245">
        <f>IF(AK370="",0,1)</f>
        <v>0</v>
      </c>
      <c r="EN370" s="245">
        <f>SUM(AK370)</f>
        <v>0</v>
      </c>
      <c r="EO370" s="268">
        <f>SUM(AJ370)</f>
        <v>0</v>
      </c>
      <c r="EP370" s="268">
        <f>SUM(G370/3)</f>
        <v>0</v>
      </c>
      <c r="EQ370" s="268" t="e">
        <f>SUM(EO370/EP370)</f>
        <v>#DIV/0!</v>
      </c>
      <c r="ER370" s="268">
        <f>ROUNDDOWN(EP370,0)</f>
        <v>0</v>
      </c>
      <c r="ES370" s="268">
        <f>SUM(EO370,-ER370*3)</f>
        <v>0</v>
      </c>
      <c r="ET370" s="269" t="b">
        <f>MOD(EN370/1,2)=0</f>
        <v>1</v>
      </c>
      <c r="EU370" s="245">
        <f>IF(ET370=FALSE,1,0)</f>
        <v>0</v>
      </c>
      <c r="EV370" s="245">
        <f>IF(EN370=50,0,IF(EN370&lt;40,1,0))</f>
        <v>1</v>
      </c>
      <c r="EW370" s="245">
        <f>SUM(EU370:EV370)</f>
        <v>1</v>
      </c>
      <c r="EX370" s="267">
        <f>IF(EN370=1,1,IF(EN370=50,0,IF(ES370=1,IF(EN370&gt;40,1,0),0)))</f>
        <v>0</v>
      </c>
      <c r="EY370" s="267">
        <f>IF(ES370=1,IF(EW370=2,1,0),0)+EX370+FB370+FE370</f>
        <v>0</v>
      </c>
      <c r="EZ370" s="245">
        <f>IF(EN370=109,1,IF(EN370=108,1,IF(EN370=106,1,IF(EN370=105,1,IF(EN370=103,1,IF(EN370=102,1,IF(EN370=99,1,0)))))))</f>
        <v>0</v>
      </c>
      <c r="FA370" s="245">
        <f>IF(EN370&gt;110,1,0)</f>
        <v>0</v>
      </c>
      <c r="FB370" s="267">
        <f>IF(ES370=2,SUM(EZ370:FA370),0)</f>
        <v>0</v>
      </c>
      <c r="FC370" s="245">
        <f>IF(EN370=159,1,IF(EN370=162,1,IF(EN370=163,1,IF(EN370=165,1,IF(EN370=166,1,IF(EN370=168,1,IF(EN370=169,1,0)))))))</f>
        <v>0</v>
      </c>
      <c r="FD370" s="245">
        <f>IF(EN370&gt;170,1,0)</f>
        <v>0</v>
      </c>
      <c r="FE370" s="267">
        <f>IF(ES370=0,SUM(FC370:FD370),0)</f>
        <v>0</v>
      </c>
      <c r="FF370" s="251">
        <f t="shared" si="912"/>
        <v>0</v>
      </c>
      <c r="FG370" s="238"/>
      <c r="FH370" s="245">
        <f>IF(AY370="",0,1)</f>
        <v>0</v>
      </c>
      <c r="FI370" s="245">
        <f>SUM(AY370)</f>
        <v>0</v>
      </c>
      <c r="FJ370" s="268">
        <f>SUM(AX370)</f>
        <v>0</v>
      </c>
      <c r="FK370" s="268">
        <f>SUM(V370/3)</f>
        <v>0</v>
      </c>
      <c r="FL370" s="268" t="e">
        <f>SUM(FJ370/FK370)</f>
        <v>#DIV/0!</v>
      </c>
      <c r="FM370" s="268">
        <f>ROUNDDOWN(FK370,0)</f>
        <v>0</v>
      </c>
      <c r="FN370" s="268">
        <f>SUM(FJ370,-FM370*3)</f>
        <v>0</v>
      </c>
      <c r="FO370" s="269" t="b">
        <f>MOD(FI370/1,2)=0</f>
        <v>1</v>
      </c>
      <c r="FP370" s="245">
        <f>IF(FO370=FALSE,1,0)</f>
        <v>0</v>
      </c>
      <c r="FQ370" s="245">
        <f>IF(FI370=50,0,IF(FI370&lt;40,1,0))</f>
        <v>1</v>
      </c>
      <c r="FR370" s="245">
        <f>SUM(FP370:FQ370)</f>
        <v>1</v>
      </c>
      <c r="FS370" s="267">
        <f>IF(FI370=1,1,IF(FI370=50,0,IF(FN370=1,IF(FI370&gt;40,1,0),0)))</f>
        <v>0</v>
      </c>
      <c r="FT370" s="267">
        <f>IF(FN370=1,IF(FR370=2,1,0),0)+FS370+FW370+FZ370</f>
        <v>0</v>
      </c>
      <c r="FU370" s="245">
        <f>IF(FI370=109,1,IF(FI370=108,1,IF(FI370=106,1,IF(FI370=105,1,IF(FI370=103,1,IF(FI370=102,1,IF(FI370=99,1,0)))))))</f>
        <v>0</v>
      </c>
      <c r="FV370" s="245">
        <f>IF(FI370&gt;110,1,0)</f>
        <v>0</v>
      </c>
      <c r="FW370" s="267">
        <f>IF(FN370=2,SUM(FU370:FV370),0)</f>
        <v>0</v>
      </c>
      <c r="FX370" s="245">
        <f>IF(FI370=159,1,IF(FI370=162,1,IF(FI370=163,1,IF(FI370=165,1,IF(FI370=166,1,IF(FI370=168,1,IF(FI370=169,1,0)))))))</f>
        <v>0</v>
      </c>
      <c r="FY370" s="245">
        <f>IF(FI370&gt;170,1,0)</f>
        <v>0</v>
      </c>
      <c r="FZ370" s="267">
        <f>IF(FN370=0,SUM(FX370:FY370),0)</f>
        <v>0</v>
      </c>
      <c r="GA370" s="251">
        <f t="shared" si="913"/>
        <v>0</v>
      </c>
      <c r="GC370" s="238" t="str">
        <f>VLOOKUP(AH363,Chema!BL:BR,5,FALSE)</f>
        <v/>
      </c>
      <c r="GD370" s="341"/>
      <c r="GE370" s="343" t="str">
        <f>IF(R374="","",SUM(R374))</f>
        <v/>
      </c>
      <c r="GF370" s="340"/>
      <c r="GG370" s="346"/>
      <c r="GH370" s="343">
        <f>IF(GH369&gt;0,1,0)</f>
        <v>0</v>
      </c>
      <c r="GI370" s="346"/>
      <c r="GJ370" s="343"/>
      <c r="GK370" s="346"/>
      <c r="GL370" s="343">
        <f>IF(GL369&gt;0,1,0)</f>
        <v>0</v>
      </c>
      <c r="GM370" s="343"/>
      <c r="GN370" s="343"/>
      <c r="GO370" s="346"/>
      <c r="GP370" s="343">
        <f>IF(GP369&gt;0,1,0)</f>
        <v>0</v>
      </c>
      <c r="GQ370" s="343"/>
      <c r="GR370" s="343"/>
      <c r="GS370" s="346"/>
      <c r="GT370" s="343">
        <f>IF(GT369&gt;0,1,0)</f>
        <v>0</v>
      </c>
      <c r="GU370" s="343"/>
      <c r="GV370" s="343"/>
      <c r="GW370" s="346"/>
      <c r="GX370" s="343">
        <f>IF(GX369&gt;0,1,0)</f>
        <v>0</v>
      </c>
      <c r="GY370" s="340"/>
      <c r="GZ370" s="343"/>
      <c r="HA370" s="343"/>
      <c r="HB370" s="343" t="str">
        <f>IF(GD366=1,P374,"")</f>
        <v/>
      </c>
      <c r="HC370" s="343" t="str">
        <f>IF(GD366=1,X374,"")</f>
        <v/>
      </c>
      <c r="HD370" s="340"/>
      <c r="HE370" s="340"/>
      <c r="HF370" s="340"/>
      <c r="HG370" s="340">
        <f>IF(HG368=HM366,0,IF(HG368=HM370,0,1))</f>
        <v>0</v>
      </c>
      <c r="HH370" s="340">
        <f>IF(HH367=HH369,1,0)</f>
        <v>1</v>
      </c>
      <c r="HI370" s="340"/>
      <c r="HJ370" s="340"/>
      <c r="HK370" s="340"/>
      <c r="HL370" s="340"/>
      <c r="HM370" s="341">
        <f>COUNT(HI369,HJ369,HK369,HL369,HM369)</f>
        <v>0</v>
      </c>
      <c r="HN370" s="341"/>
      <c r="HO370" s="341"/>
      <c r="HP370" s="341"/>
      <c r="HQ370" s="341"/>
      <c r="HR370" s="341"/>
      <c r="HS370" s="238"/>
      <c r="HT370" s="238"/>
      <c r="HU370" s="238"/>
      <c r="HV370" s="238"/>
      <c r="HX370" s="238"/>
      <c r="HY370" s="238"/>
      <c r="ID370" s="238"/>
    </row>
    <row r="371" spans="1:238" s="234" customFormat="1" ht="6.6" customHeight="1">
      <c r="A371" s="235"/>
      <c r="B371" s="231"/>
      <c r="C371" s="310"/>
      <c r="D371" s="310"/>
      <c r="E371" s="310"/>
      <c r="F371" s="310"/>
      <c r="G371" s="313"/>
      <c r="H371" s="310"/>
      <c r="I371" s="310"/>
      <c r="J371" s="273"/>
      <c r="K371" s="313"/>
      <c r="O371" s="118"/>
      <c r="R371" s="310"/>
      <c r="S371" s="310"/>
      <c r="T371" s="310"/>
      <c r="U371" s="310"/>
      <c r="V371" s="313"/>
      <c r="W371" s="310"/>
      <c r="X371" s="310"/>
      <c r="Y371" s="273"/>
      <c r="Z371" s="308"/>
      <c r="AA371" s="274"/>
      <c r="AD371" s="235"/>
      <c r="AE371" s="237">
        <f>IF(AF371=0,0,1)</f>
        <v>0</v>
      </c>
      <c r="AF371" s="237">
        <f>IF(AL371=0,0,SUM(AL373:AL374,-AL372))</f>
        <v>0</v>
      </c>
      <c r="AG371" s="237"/>
      <c r="AH371" s="275">
        <f>SUM(AH366,AH367,AH368,AH369,AH370)</f>
        <v>0</v>
      </c>
      <c r="AI371" s="275">
        <f t="shared" ref="AI371" si="925">SUM(AI366,AI367,AI368,AI369,AI370)</f>
        <v>0</v>
      </c>
      <c r="AJ371" s="275">
        <f t="shared" ref="AJ371" si="926">SUM(AJ366,AJ367,AJ368,AJ369,AJ370)</f>
        <v>0</v>
      </c>
      <c r="AK371" s="275">
        <f>MAX(AK366,AK367,AK368,AK369,AK370)</f>
        <v>0</v>
      </c>
      <c r="AL371" s="275">
        <f t="shared" ref="AL371" si="927">SUM(AL366,AL367,AL368,AL369,AL370)</f>
        <v>0</v>
      </c>
      <c r="AM371" s="275">
        <f>IF(AK363="D",SUM(AL366,AL367,AL368,AL369,AL370,-AL373,-AL374),0)</f>
        <v>0</v>
      </c>
      <c r="AN371" s="235"/>
      <c r="AO371" s="235"/>
      <c r="AP371" s="235"/>
      <c r="AQ371" s="235"/>
      <c r="AR371" s="235"/>
      <c r="AS371" s="237">
        <f>IF(AT371=0,0,1)</f>
        <v>0</v>
      </c>
      <c r="AT371" s="237">
        <f>IF(AZ371=0,0,SUM(AZ373:AZ374,-AZ372))</f>
        <v>0</v>
      </c>
      <c r="AU371" s="237"/>
      <c r="AV371" s="275">
        <f>SUM(AV366,AV367,AV368,AV369,AV370)</f>
        <v>0</v>
      </c>
      <c r="AW371" s="275">
        <f t="shared" ref="AW371" si="928">SUM(AW366,AW367,AW368,AW369,AW370)</f>
        <v>0</v>
      </c>
      <c r="AX371" s="275">
        <f t="shared" ref="AX371" si="929">SUM(AX366,AX367,AX368,AX369,AX370)</f>
        <v>0</v>
      </c>
      <c r="AY371" s="275">
        <f>MAX(AY366,AY367,AY368,AY369,AY370)</f>
        <v>0</v>
      </c>
      <c r="AZ371" s="275">
        <f t="shared" ref="AZ371" si="930">SUM(AZ366,AZ367,AZ368,AZ369,AZ370)</f>
        <v>0</v>
      </c>
      <c r="BA371" s="275">
        <f>IF(AK363="D",SUM(AZ366,AZ367,AZ368,AZ369,AZ370,-AZ373,-AZ374),0)</f>
        <v>0</v>
      </c>
      <c r="BJ371" s="236"/>
      <c r="BK371" s="238"/>
      <c r="BL371" s="238"/>
      <c r="BM371" s="238"/>
      <c r="BP371" s="238"/>
      <c r="BQ371" s="238"/>
      <c r="BR371" s="238"/>
      <c r="BS371" s="238"/>
      <c r="BT371" s="238"/>
      <c r="BU371" s="238"/>
      <c r="BY371" s="238"/>
      <c r="BZ371" s="238">
        <f>MAX(BZ366,BZ367,BZ368,BZ369,BZ370)</f>
        <v>0</v>
      </c>
      <c r="CA371" s="238">
        <f>MAX(CA366,CA367,CA368,CA369,CA370)</f>
        <v>0</v>
      </c>
      <c r="CB371" s="238"/>
      <c r="CC371" s="238"/>
      <c r="CD371" s="238"/>
      <c r="CG371" s="244"/>
      <c r="CH371" s="238"/>
      <c r="CI371" s="238">
        <f>MAX(CI366,CI367,CI368,CI369,CI370)</f>
        <v>0</v>
      </c>
      <c r="CJ371" s="238">
        <f>MAX(CJ366,CJ367,CJ368,CJ369,CJ370)</f>
        <v>0</v>
      </c>
      <c r="CK371" s="238"/>
      <c r="CL371" s="238"/>
      <c r="CM371" s="238"/>
      <c r="CN371" s="238"/>
      <c r="CO371" s="238"/>
      <c r="CP371" s="238"/>
      <c r="CQ371" s="238"/>
      <c r="CR371" s="238"/>
      <c r="CS371" s="238"/>
      <c r="CT371" s="238"/>
      <c r="CU371" s="238"/>
      <c r="CV371" s="238"/>
      <c r="CW371" s="238"/>
      <c r="CX371" s="238"/>
      <c r="CY371" s="238"/>
      <c r="CZ371" s="238"/>
      <c r="DA371" s="238"/>
      <c r="DB371" s="238"/>
      <c r="DC371" s="238"/>
      <c r="DD371" s="238"/>
      <c r="DE371" s="238"/>
      <c r="DF371" s="238"/>
      <c r="DG371" s="238"/>
      <c r="DH371" s="238"/>
      <c r="DI371" s="238"/>
      <c r="DJ371" s="238"/>
      <c r="DK371" s="238"/>
      <c r="DL371" s="238"/>
      <c r="DM371" s="238"/>
      <c r="DN371" s="238"/>
      <c r="DO371" s="238"/>
      <c r="DP371" s="238"/>
      <c r="DQ371" s="238"/>
      <c r="DR371" s="238"/>
      <c r="DS371" s="238"/>
      <c r="DT371" s="238"/>
      <c r="DU371" s="238"/>
      <c r="DV371" s="238"/>
      <c r="DW371" s="238"/>
      <c r="DX371" s="238"/>
      <c r="DY371" s="238"/>
      <c r="DZ371" s="238"/>
      <c r="EA371" s="238"/>
      <c r="EB371" s="238"/>
      <c r="EC371" s="238"/>
      <c r="ED371" s="238"/>
      <c r="EE371" s="238"/>
      <c r="EF371" s="238"/>
      <c r="EG371" s="238"/>
      <c r="EH371" s="238"/>
      <c r="EI371" s="238"/>
      <c r="EJ371" s="238"/>
      <c r="EK371" s="238"/>
      <c r="EL371" s="238"/>
      <c r="EM371" s="166"/>
      <c r="EN371" s="166"/>
      <c r="EO371" s="166"/>
      <c r="EP371" s="238">
        <f>SUM(EN371-EO371)</f>
        <v>0</v>
      </c>
      <c r="EQ371" s="238"/>
      <c r="ER371" s="238"/>
      <c r="ES371" s="238"/>
      <c r="ET371" s="244"/>
      <c r="EU371" s="238"/>
      <c r="EV371" s="238"/>
      <c r="EW371" s="238"/>
      <c r="EX371" s="238"/>
      <c r="EY371" s="238"/>
      <c r="EZ371" s="238"/>
      <c r="FA371" s="238"/>
      <c r="FB371" s="238"/>
      <c r="FC371" s="238"/>
      <c r="FD371" s="238"/>
      <c r="FE371" s="238"/>
      <c r="FF371" s="238"/>
      <c r="FG371" s="238"/>
      <c r="FH371" s="238"/>
      <c r="FI371" s="238"/>
      <c r="FJ371" s="238"/>
      <c r="FK371" s="238"/>
      <c r="FL371" s="238"/>
      <c r="FM371" s="238"/>
      <c r="FN371" s="238"/>
      <c r="FO371" s="244"/>
      <c r="FP371" s="238"/>
      <c r="FQ371" s="238"/>
      <c r="FR371" s="238"/>
      <c r="FS371" s="238"/>
      <c r="FT371" s="238"/>
      <c r="FU371" s="238"/>
      <c r="FV371" s="238"/>
      <c r="FW371" s="238"/>
      <c r="FX371" s="238"/>
      <c r="FY371" s="238"/>
      <c r="FZ371" s="238"/>
      <c r="GA371" s="238"/>
      <c r="GB371" s="238"/>
      <c r="GC371" s="238"/>
      <c r="GD371" s="341"/>
      <c r="GE371" s="340"/>
      <c r="GF371" s="340"/>
      <c r="GG371" s="340"/>
      <c r="GH371" s="340"/>
      <c r="GI371" s="340"/>
      <c r="GJ371" s="340"/>
      <c r="GK371" s="340"/>
      <c r="GL371" s="340"/>
      <c r="GM371" s="340"/>
      <c r="GN371" s="340"/>
      <c r="GO371" s="340"/>
      <c r="GP371" s="340"/>
      <c r="GQ371" s="340"/>
      <c r="GR371" s="340"/>
      <c r="GS371" s="340"/>
      <c r="GT371" s="340"/>
      <c r="GU371" s="340"/>
      <c r="GV371" s="340"/>
      <c r="GW371" s="340"/>
      <c r="GX371" s="340"/>
      <c r="GY371" s="340"/>
      <c r="GZ371" s="340"/>
      <c r="HA371" s="340"/>
      <c r="HB371" s="340"/>
      <c r="HC371" s="340"/>
      <c r="HD371" s="341"/>
      <c r="HE371" s="341"/>
      <c r="HF371" s="341"/>
      <c r="HG371" s="341"/>
      <c r="HH371" s="341"/>
      <c r="HI371" s="341"/>
      <c r="HJ371" s="341"/>
      <c r="HK371" s="341"/>
      <c r="HL371" s="341"/>
      <c r="HM371" s="341"/>
      <c r="HN371" s="341"/>
      <c r="HO371" s="341"/>
      <c r="HP371" s="341"/>
      <c r="HQ371" s="341"/>
      <c r="HR371" s="341"/>
      <c r="HS371" s="238"/>
      <c r="HT371" s="238"/>
      <c r="HU371" s="238"/>
      <c r="HV371" s="238"/>
      <c r="HX371" s="238"/>
      <c r="HY371" s="238"/>
      <c r="ID371" s="238"/>
    </row>
    <row r="372" spans="1:238" s="234" customFormat="1" ht="20.100000000000001" customHeight="1">
      <c r="A372" s="235"/>
      <c r="B372" s="231"/>
      <c r="C372" s="314" t="s">
        <v>771</v>
      </c>
      <c r="D372" s="276" t="str">
        <f>REPT(Sprache!$K$58,1)</f>
        <v>Spieler</v>
      </c>
      <c r="E372" s="277" t="str">
        <f>REPT(Sprache!$K$33,1)</f>
        <v>Name / Vorname</v>
      </c>
      <c r="F372" s="278"/>
      <c r="G372" s="278"/>
      <c r="H372" s="279"/>
      <c r="I372" s="280"/>
      <c r="J372" s="281" t="str">
        <f>REPT(AM372,1)</f>
        <v/>
      </c>
      <c r="L372" s="306" t="s">
        <v>848</v>
      </c>
      <c r="M372" s="238"/>
      <c r="P372" s="306" t="s">
        <v>848</v>
      </c>
      <c r="R372" s="314" t="s">
        <v>771</v>
      </c>
      <c r="S372" s="276" t="str">
        <f>REPT(Sprache!$K$58,1)</f>
        <v>Spieler</v>
      </c>
      <c r="T372" s="277" t="str">
        <f>REPT(Sprache!$K$33,1)</f>
        <v>Name / Vorname</v>
      </c>
      <c r="U372" s="278"/>
      <c r="V372" s="278"/>
      <c r="W372" s="279"/>
      <c r="X372" s="280"/>
      <c r="Y372" s="281" t="str">
        <f>REPT(BA372,1)</f>
        <v/>
      </c>
      <c r="Z372" s="308"/>
      <c r="AD372" s="235"/>
      <c r="AE372" s="235"/>
      <c r="AF372" s="237" t="s">
        <v>771</v>
      </c>
      <c r="AG372" s="282" t="s">
        <v>877</v>
      </c>
      <c r="AH372" s="283" t="str">
        <f>IF(AH371=0,"",AH371)</f>
        <v/>
      </c>
      <c r="AI372" s="283" t="str">
        <f>IF(AI371=0,"",AI371)</f>
        <v/>
      </c>
      <c r="AJ372" s="283" t="str">
        <f>IF(AJ371=0,"",AJ371)</f>
        <v/>
      </c>
      <c r="AK372" s="283" t="str">
        <f>IF(AK371=0,"",AK371)</f>
        <v/>
      </c>
      <c r="AL372" s="283" t="str">
        <f>IF(AL371=0,"",AL371)</f>
        <v/>
      </c>
      <c r="AM372" s="258" t="str">
        <f>IF(AK363="D",IF(AF371=0,"","X"),"")</f>
        <v/>
      </c>
      <c r="AN372" s="235"/>
      <c r="AO372" s="235"/>
      <c r="AP372" s="284"/>
      <c r="AQ372" s="235"/>
      <c r="AR372" s="235"/>
      <c r="AS372" s="235"/>
      <c r="AT372" s="237" t="s">
        <v>771</v>
      </c>
      <c r="AU372" s="282" t="s">
        <v>877</v>
      </c>
      <c r="AV372" s="283" t="str">
        <f>IF(AV371=0,"",AV371)</f>
        <v/>
      </c>
      <c r="AW372" s="283" t="str">
        <f>IF(AW371=0,"",AW371)</f>
        <v/>
      </c>
      <c r="AX372" s="283" t="str">
        <f>IF(AX371=0,"",AX371)</f>
        <v/>
      </c>
      <c r="AY372" s="283" t="str">
        <f>IF(AY371=0,"",AY371)</f>
        <v/>
      </c>
      <c r="AZ372" s="421" t="str">
        <f>IF(AZ371=0,"",AZ371)</f>
        <v/>
      </c>
      <c r="BA372" s="258" t="str">
        <f>IF(AK363="D",IF(AT371=0,"","X"),"")</f>
        <v/>
      </c>
      <c r="BJ372" s="236"/>
      <c r="BK372" s="238"/>
      <c r="BL372" s="244">
        <f>IF(BM372=0,0,1)</f>
        <v>0</v>
      </c>
      <c r="BM372" s="244">
        <f>SUM(BM366,BM367,BM368,BM369,BM370,HH368,AN373,AN374,BB373,BB374)</f>
        <v>0</v>
      </c>
      <c r="BN372" s="166">
        <f t="shared" ref="BN372:BO372" si="931">SUM(BN366,BN367,BN368,BN369,BN370)</f>
        <v>0</v>
      </c>
      <c r="BO372" s="166">
        <f t="shared" si="931"/>
        <v>0</v>
      </c>
      <c r="BP372" s="244"/>
      <c r="BQ372" s="238"/>
      <c r="BR372" s="238"/>
      <c r="BS372" s="238"/>
      <c r="BT372" s="238"/>
      <c r="BU372" s="238"/>
      <c r="BV372" s="238"/>
      <c r="BW372" s="238"/>
      <c r="BX372" s="236"/>
      <c r="BY372" s="238"/>
      <c r="BZ372" s="238"/>
      <c r="CA372" s="238"/>
      <c r="CB372" s="238"/>
      <c r="CC372" s="238"/>
      <c r="CD372" s="238"/>
      <c r="CE372" s="238"/>
      <c r="CF372" s="238"/>
      <c r="CG372" s="244"/>
      <c r="CH372" s="238"/>
      <c r="CI372" s="238"/>
      <c r="CJ372" s="238"/>
      <c r="CK372" s="238"/>
      <c r="CL372" s="238"/>
      <c r="CM372" s="238"/>
      <c r="CN372" s="238"/>
      <c r="CO372" s="238"/>
      <c r="CP372" s="238"/>
      <c r="CQ372" s="238"/>
      <c r="CR372" s="238"/>
      <c r="CS372" s="238"/>
      <c r="CT372" s="238"/>
      <c r="CU372" s="238"/>
      <c r="CV372" s="238"/>
      <c r="CW372" s="238"/>
      <c r="CX372" s="238"/>
      <c r="CY372" s="238"/>
      <c r="CZ372" s="238"/>
      <c r="DA372" s="238"/>
      <c r="DB372" s="238"/>
      <c r="DC372" s="238"/>
      <c r="DD372" s="238"/>
      <c r="DE372" s="238"/>
      <c r="DF372" s="238"/>
      <c r="DG372" s="238"/>
      <c r="DH372" s="238"/>
      <c r="DI372" s="238"/>
      <c r="DJ372" s="238"/>
      <c r="DK372" s="238"/>
      <c r="DL372" s="238"/>
      <c r="DM372" s="238"/>
      <c r="DN372" s="238"/>
      <c r="DO372" s="238"/>
      <c r="DP372" s="238"/>
      <c r="DQ372" s="238"/>
      <c r="DR372" s="238"/>
      <c r="DS372" s="238"/>
      <c r="DT372" s="238"/>
      <c r="DU372" s="238"/>
      <c r="DV372" s="238"/>
      <c r="DW372" s="238"/>
      <c r="DX372" s="238"/>
      <c r="DY372" s="238"/>
      <c r="DZ372" s="238"/>
      <c r="EA372" s="238"/>
      <c r="EB372" s="238"/>
      <c r="EC372" s="238"/>
      <c r="ED372" s="238"/>
      <c r="EE372" s="238"/>
      <c r="EF372" s="238"/>
      <c r="EG372" s="238"/>
      <c r="EH372" s="238"/>
      <c r="EI372" s="238"/>
      <c r="EJ372" s="238"/>
      <c r="EK372" s="238"/>
      <c r="EL372" s="238"/>
      <c r="EM372" s="238"/>
      <c r="EN372" s="238"/>
      <c r="EO372" s="238"/>
      <c r="EP372" s="238"/>
      <c r="EQ372" s="238"/>
      <c r="ER372" s="238"/>
      <c r="ES372" s="238"/>
      <c r="ET372" s="244"/>
      <c r="EU372" s="238"/>
      <c r="EV372" s="238"/>
      <c r="EW372" s="238"/>
      <c r="EX372" s="238"/>
      <c r="EY372" s="238"/>
      <c r="EZ372" s="238"/>
      <c r="FA372" s="238"/>
      <c r="FB372" s="238"/>
      <c r="FC372" s="238"/>
      <c r="FD372" s="238"/>
      <c r="FE372" s="238"/>
      <c r="FF372" s="238"/>
      <c r="FG372" s="238"/>
      <c r="FH372" s="238"/>
      <c r="FI372" s="238"/>
      <c r="FJ372" s="238"/>
      <c r="FK372" s="238"/>
      <c r="FL372" s="238"/>
      <c r="FM372" s="238"/>
      <c r="FN372" s="238"/>
      <c r="FO372" s="244"/>
      <c r="FP372" s="238"/>
      <c r="FQ372" s="238"/>
      <c r="FR372" s="238"/>
      <c r="FS372" s="238"/>
      <c r="FT372" s="238"/>
      <c r="FU372" s="238"/>
      <c r="FV372" s="238"/>
      <c r="FW372" s="238"/>
      <c r="FX372" s="238"/>
      <c r="FY372" s="238"/>
      <c r="FZ372" s="238"/>
      <c r="GA372" s="238"/>
      <c r="GB372" s="238"/>
      <c r="GC372" s="238"/>
      <c r="GD372" s="341"/>
      <c r="GE372" s="340"/>
      <c r="GF372" s="340"/>
      <c r="GG372" s="340"/>
      <c r="GH372" s="340"/>
      <c r="GI372" s="340"/>
      <c r="GJ372" s="340"/>
      <c r="GK372" s="340"/>
      <c r="GL372" s="340"/>
      <c r="GM372" s="340"/>
      <c r="GN372" s="340"/>
      <c r="GO372" s="340"/>
      <c r="GP372" s="340"/>
      <c r="GQ372" s="340"/>
      <c r="GR372" s="340"/>
      <c r="GS372" s="340"/>
      <c r="GT372" s="340"/>
      <c r="GU372" s="340"/>
      <c r="GV372" s="340"/>
      <c r="GW372" s="340"/>
      <c r="GX372" s="340"/>
      <c r="GY372" s="340"/>
      <c r="GZ372" s="340"/>
      <c r="HA372" s="340"/>
      <c r="HB372" s="340"/>
      <c r="HC372" s="340"/>
      <c r="HD372" s="341"/>
      <c r="HE372" s="341"/>
      <c r="HF372" s="341"/>
      <c r="HG372" s="341"/>
      <c r="HH372" s="341"/>
      <c r="HI372" s="341"/>
      <c r="HJ372" s="341"/>
      <c r="HK372" s="341"/>
      <c r="HL372" s="341"/>
      <c r="HM372" s="341"/>
      <c r="HN372" s="341"/>
      <c r="HO372" s="341"/>
      <c r="HP372" s="341"/>
      <c r="HQ372" s="341"/>
      <c r="HR372" s="341"/>
      <c r="HS372" s="238"/>
      <c r="HT372" s="238"/>
      <c r="HU372" s="238"/>
      <c r="HV372" s="238"/>
      <c r="HX372" s="238"/>
      <c r="HY372" s="238"/>
      <c r="ID372" s="238"/>
    </row>
    <row r="373" spans="1:238" s="234" customFormat="1" ht="20.100000000000001" customHeight="1">
      <c r="A373" s="235"/>
      <c r="B373" s="231"/>
      <c r="C373" s="285" t="str">
        <f>IF(AF373="","",SUM(AF373))</f>
        <v/>
      </c>
      <c r="D373" s="286" t="str">
        <f>IF(AK363="D",1,"")</f>
        <v/>
      </c>
      <c r="E373" s="287" t="str">
        <f>IF(C373="","",VLOOKUP(C373,Licenses!B:C,2,FALSE))</f>
        <v/>
      </c>
      <c r="F373" s="288"/>
      <c r="G373" s="288"/>
      <c r="H373" s="289"/>
      <c r="I373" s="169"/>
      <c r="J373" s="270" t="str">
        <f>REPT(AM373,1)</f>
        <v/>
      </c>
      <c r="L373" s="290" t="str">
        <f>IF(AK363="D",AK373,IF(AK372="","",AK372))</f>
        <v/>
      </c>
      <c r="M373" s="311"/>
      <c r="P373" s="290" t="str">
        <f>IF(AK363="D",AY373,IF(AY372="","",AY372))</f>
        <v/>
      </c>
      <c r="R373" s="291" t="str">
        <f>IF(AT373="","",SUM(AT373))</f>
        <v/>
      </c>
      <c r="S373" s="286" t="str">
        <f>IF(AK363="D",1,"")</f>
        <v/>
      </c>
      <c r="T373" s="292" t="str">
        <f>IF(R373="","",VLOOKUP(R373,Licenses!B:C,2,FALSE))</f>
        <v/>
      </c>
      <c r="U373" s="293"/>
      <c r="V373" s="293"/>
      <c r="W373" s="294"/>
      <c r="X373" s="169"/>
      <c r="Y373" s="270" t="str">
        <f>REPT(BA373,1)</f>
        <v/>
      </c>
      <c r="Z373" s="308"/>
      <c r="AD373" s="235"/>
      <c r="AE373" s="235"/>
      <c r="AF373" s="256" t="str">
        <f>IF(AM363="","",SUM(AM363))</f>
        <v/>
      </c>
      <c r="AG373" s="237"/>
      <c r="AH373" s="256"/>
      <c r="AI373" s="256"/>
      <c r="AJ373" s="256"/>
      <c r="AK373" s="256" t="str">
        <f>IF(BZ371&gt;1,BZ371,"")</f>
        <v/>
      </c>
      <c r="AL373" s="257">
        <f>IF(AK363="D",SUM(I373),0)</f>
        <v>0</v>
      </c>
      <c r="AM373" s="258" t="str">
        <f>IF(AM371=0,IF(AL373&lt;6,"","X"),"X")</f>
        <v/>
      </c>
      <c r="AN373" s="347" t="str">
        <f>IF(AM371=0,IF(AL373&lt;6,"",1),1)</f>
        <v/>
      </c>
      <c r="AO373" s="235"/>
      <c r="AP373" s="236"/>
      <c r="AQ373" s="235"/>
      <c r="AR373" s="235"/>
      <c r="AS373" s="235"/>
      <c r="AT373" s="256" t="str">
        <f>IF(BA363="","",SUM(BA363))</f>
        <v/>
      </c>
      <c r="AU373" s="237"/>
      <c r="AV373" s="256"/>
      <c r="AW373" s="256"/>
      <c r="AX373" s="256"/>
      <c r="AY373" s="256" t="str">
        <f>IF(CI371&gt;1,CI371,"")</f>
        <v/>
      </c>
      <c r="AZ373" s="257">
        <f>IF(AK363="D",SUM(X373),0)</f>
        <v>0</v>
      </c>
      <c r="BA373" s="258" t="str">
        <f>IF(BA371=0,IF(AZ373&lt;6,"","X"),"X")</f>
        <v/>
      </c>
      <c r="BB373" s="347" t="str">
        <f>IF(BA371=0,IF(AZ373&lt;6,"",1),1)</f>
        <v/>
      </c>
      <c r="BC373" s="236"/>
      <c r="BD373" s="236"/>
      <c r="BE373" s="236"/>
      <c r="BF373" s="236"/>
      <c r="BG373" s="236"/>
      <c r="BH373" s="236"/>
      <c r="BI373" s="236"/>
      <c r="BJ373" s="236"/>
      <c r="BK373" s="238"/>
      <c r="BL373" s="238"/>
      <c r="BM373" s="295"/>
      <c r="BN373" s="295"/>
      <c r="BO373" s="295"/>
      <c r="BP373" s="295"/>
      <c r="BQ373" s="295"/>
      <c r="BR373" s="295"/>
      <c r="BS373" s="295"/>
      <c r="BT373" s="295"/>
      <c r="BU373" s="295"/>
      <c r="BV373" s="295"/>
      <c r="BW373" s="295"/>
      <c r="BX373" s="236"/>
      <c r="BY373" s="295"/>
      <c r="BZ373" s="295"/>
      <c r="CA373" s="295"/>
      <c r="CB373" s="295"/>
      <c r="CC373" s="295"/>
      <c r="CD373" s="295"/>
      <c r="CE373" s="295"/>
      <c r="CF373" s="295"/>
      <c r="CG373" s="296"/>
      <c r="CH373" s="295"/>
      <c r="CI373" s="295"/>
      <c r="CJ373" s="295"/>
      <c r="CK373" s="238"/>
      <c r="CL373" s="238"/>
      <c r="CM373" s="238"/>
      <c r="CN373" s="238"/>
      <c r="CO373" s="238"/>
      <c r="CP373" s="238"/>
      <c r="CQ373" s="238"/>
      <c r="CR373" s="238"/>
      <c r="CS373" s="238"/>
      <c r="CT373" s="238"/>
      <c r="CU373" s="238"/>
      <c r="CV373" s="238"/>
      <c r="CW373" s="238"/>
      <c r="CX373" s="238"/>
      <c r="CY373" s="238"/>
      <c r="CZ373" s="238"/>
      <c r="DA373" s="238"/>
      <c r="DB373" s="238"/>
      <c r="DC373" s="238"/>
      <c r="DD373" s="238"/>
      <c r="DE373" s="238"/>
      <c r="DF373" s="238"/>
      <c r="DG373" s="238"/>
      <c r="DH373" s="238"/>
      <c r="DI373" s="238"/>
      <c r="DJ373" s="238"/>
      <c r="DK373" s="238"/>
      <c r="DL373" s="238"/>
      <c r="DM373" s="238"/>
      <c r="DN373" s="238"/>
      <c r="DO373" s="238"/>
      <c r="DP373" s="238"/>
      <c r="DQ373" s="238"/>
      <c r="DR373" s="238"/>
      <c r="DS373" s="238"/>
      <c r="DT373" s="238"/>
      <c r="DU373" s="238"/>
      <c r="DV373" s="238"/>
      <c r="DW373" s="238"/>
      <c r="DX373" s="238"/>
      <c r="DY373" s="238"/>
      <c r="DZ373" s="238"/>
      <c r="EA373" s="238"/>
      <c r="EB373" s="238"/>
      <c r="EC373" s="238"/>
      <c r="ED373" s="238"/>
      <c r="EE373" s="238"/>
      <c r="EF373" s="238"/>
      <c r="EG373" s="238"/>
      <c r="EH373" s="238"/>
      <c r="EI373" s="238"/>
      <c r="EJ373" s="238"/>
      <c r="EK373" s="238"/>
      <c r="EL373" s="238"/>
      <c r="EM373" s="238"/>
      <c r="EN373" s="238"/>
      <c r="EO373" s="238"/>
      <c r="EP373" s="238"/>
      <c r="EQ373" s="238"/>
      <c r="ER373" s="238"/>
      <c r="ES373" s="238"/>
      <c r="ET373" s="244"/>
      <c r="EU373" s="238"/>
      <c r="EV373" s="238"/>
      <c r="EW373" s="238"/>
      <c r="EX373" s="238"/>
      <c r="EY373" s="238"/>
      <c r="EZ373" s="238"/>
      <c r="FA373" s="238"/>
      <c r="FB373" s="238"/>
      <c r="FC373" s="238"/>
      <c r="FD373" s="238"/>
      <c r="FE373" s="238"/>
      <c r="FF373" s="238"/>
      <c r="FG373" s="238"/>
      <c r="FH373" s="238"/>
      <c r="FI373" s="238"/>
      <c r="FJ373" s="238"/>
      <c r="FK373" s="238"/>
      <c r="FL373" s="238"/>
      <c r="FM373" s="238"/>
      <c r="FN373" s="238"/>
      <c r="FO373" s="244"/>
      <c r="FP373" s="238"/>
      <c r="FQ373" s="238"/>
      <c r="FR373" s="238"/>
      <c r="FS373" s="238"/>
      <c r="FT373" s="238"/>
      <c r="FU373" s="238"/>
      <c r="FV373" s="238"/>
      <c r="FW373" s="238"/>
      <c r="FX373" s="238"/>
      <c r="FY373" s="238"/>
      <c r="FZ373" s="238"/>
      <c r="GA373" s="238"/>
      <c r="GB373" s="238"/>
      <c r="GC373" s="238"/>
      <c r="GD373" s="341"/>
      <c r="GE373" s="340"/>
      <c r="GF373" s="340"/>
      <c r="GG373" s="340"/>
      <c r="GH373" s="340"/>
      <c r="GI373" s="340"/>
      <c r="GJ373" s="340"/>
      <c r="GK373" s="340"/>
      <c r="GL373" s="340"/>
      <c r="GM373" s="340"/>
      <c r="GN373" s="340"/>
      <c r="GO373" s="340"/>
      <c r="GP373" s="340"/>
      <c r="GQ373" s="340"/>
      <c r="GR373" s="340"/>
      <c r="GS373" s="340"/>
      <c r="GT373" s="340"/>
      <c r="GU373" s="340"/>
      <c r="GV373" s="340"/>
      <c r="GW373" s="340"/>
      <c r="GX373" s="340"/>
      <c r="GY373" s="340"/>
      <c r="GZ373" s="340"/>
      <c r="HA373" s="340"/>
      <c r="HB373" s="340"/>
      <c r="HC373" s="340"/>
      <c r="HD373" s="341"/>
      <c r="HE373" s="341"/>
      <c r="HF373" s="341"/>
      <c r="HG373" s="341"/>
      <c r="HH373" s="341"/>
      <c r="HI373" s="341"/>
      <c r="HJ373" s="341"/>
      <c r="HK373" s="341"/>
      <c r="HL373" s="341"/>
      <c r="HM373" s="341"/>
      <c r="HN373" s="341"/>
      <c r="HO373" s="341"/>
      <c r="HP373" s="341"/>
      <c r="HQ373" s="341"/>
      <c r="HR373" s="341"/>
      <c r="HS373" s="238"/>
      <c r="HT373" s="238"/>
      <c r="HU373" s="238"/>
      <c r="HV373" s="238"/>
      <c r="HX373" s="238"/>
      <c r="HY373" s="238"/>
      <c r="ID373" s="238"/>
    </row>
    <row r="374" spans="1:238" s="234" customFormat="1" ht="20.100000000000001" customHeight="1">
      <c r="A374" s="235"/>
      <c r="B374" s="231"/>
      <c r="C374" s="336" t="str">
        <f>IF(AF374="","",SUM(AF374))</f>
        <v/>
      </c>
      <c r="D374" s="333" t="str">
        <f>IF(AK363="D",2,"")</f>
        <v/>
      </c>
      <c r="E374" s="337" t="str">
        <f>IF(C374="","",VLOOKUP(C374,Licenses!B:C,2,FALSE))</f>
        <v/>
      </c>
      <c r="F374" s="290"/>
      <c r="G374" s="290"/>
      <c r="H374" s="338"/>
      <c r="I374" s="331"/>
      <c r="J374" s="272" t="str">
        <f>REPT(AM374,1)</f>
        <v/>
      </c>
      <c r="L374" s="315" t="str">
        <f>IF(AK363="D",AK374,"")</f>
        <v/>
      </c>
      <c r="M374" s="311"/>
      <c r="P374" s="315" t="str">
        <f>IF(AK363="D",AY374,"")</f>
        <v/>
      </c>
      <c r="R374" s="332" t="str">
        <f>IF(AT374="","",SUM(AT374))</f>
        <v/>
      </c>
      <c r="S374" s="333" t="str">
        <f>IF(AK363="D",2,"")</f>
        <v/>
      </c>
      <c r="T374" s="334" t="str">
        <f>IF(R374="","",VLOOKUP(R374,Licenses!B:C,2,FALSE))</f>
        <v/>
      </c>
      <c r="U374" s="297"/>
      <c r="V374" s="297"/>
      <c r="W374" s="335"/>
      <c r="X374" s="331"/>
      <c r="Y374" s="272" t="str">
        <f>REPT(BA374,1)</f>
        <v/>
      </c>
      <c r="Z374" s="308"/>
      <c r="AA374" s="238">
        <f>IF(AK363="D",0,1)</f>
        <v>1</v>
      </c>
      <c r="AD374" s="235"/>
      <c r="AE374" s="235"/>
      <c r="AF374" s="256" t="str">
        <f>IF(AM364="","",SUM(AM364))</f>
        <v/>
      </c>
      <c r="AG374" s="237"/>
      <c r="AH374" s="256"/>
      <c r="AI374" s="256"/>
      <c r="AJ374" s="256"/>
      <c r="AK374" s="256" t="str">
        <f>IF(CA371&gt;1,CA371,"")</f>
        <v/>
      </c>
      <c r="AL374" s="257">
        <f>IF(AK363="D",SUM(I374),0)</f>
        <v>0</v>
      </c>
      <c r="AM374" s="258" t="str">
        <f>IF(AM371=0,IF(AL374&lt;6,"","X"),"X")</f>
        <v/>
      </c>
      <c r="AN374" s="347" t="str">
        <f>IF(AM371=0,IF(AL374&lt;6,"",1),1)</f>
        <v/>
      </c>
      <c r="AO374" s="235"/>
      <c r="AP374" s="236"/>
      <c r="AQ374" s="235"/>
      <c r="AR374" s="235"/>
      <c r="AS374" s="235"/>
      <c r="AT374" s="256" t="str">
        <f>IF(BA364="","",SUM(BA364))</f>
        <v/>
      </c>
      <c r="AU374" s="237"/>
      <c r="AV374" s="256"/>
      <c r="AW374" s="256"/>
      <c r="AX374" s="256"/>
      <c r="AY374" s="256" t="str">
        <f>IF(CJ371&gt;1,CJ371,"")</f>
        <v/>
      </c>
      <c r="AZ374" s="257">
        <f>IF(AK363="D",SUM(X374),0)</f>
        <v>0</v>
      </c>
      <c r="BA374" s="258" t="str">
        <f>IF(BA371=0,IF(AZ374&lt;6,"","X"),"X")</f>
        <v/>
      </c>
      <c r="BB374" s="347" t="str">
        <f>IF(BA371=0,IF(AZ374&lt;6,"",1),1)</f>
        <v/>
      </c>
      <c r="BC374" s="236"/>
      <c r="BD374" s="236"/>
      <c r="BE374" s="236"/>
      <c r="BF374" s="236"/>
      <c r="BG374" s="236"/>
      <c r="BH374" s="236"/>
      <c r="BI374" s="236"/>
      <c r="BJ374" s="236"/>
      <c r="BK374" s="238"/>
      <c r="BM374" s="238"/>
      <c r="BN374" s="238"/>
      <c r="BO374" s="238"/>
      <c r="BP374" s="238"/>
      <c r="BQ374" s="238" t="s">
        <v>899</v>
      </c>
      <c r="BR374" s="238"/>
      <c r="BS374" s="238"/>
      <c r="BT374" s="238"/>
      <c r="BU374" s="238"/>
      <c r="BV374" s="238"/>
      <c r="BW374" s="238"/>
      <c r="BX374" s="236"/>
      <c r="BY374" s="238"/>
      <c r="BZ374" s="238"/>
      <c r="CA374" s="238"/>
      <c r="CB374" s="238"/>
      <c r="CC374" s="238"/>
      <c r="CD374" s="238" t="s">
        <v>899</v>
      </c>
      <c r="CE374" s="238"/>
      <c r="CF374" s="238"/>
      <c r="CG374" s="244"/>
      <c r="CH374" s="238"/>
      <c r="CI374" s="238"/>
      <c r="CJ374" s="238"/>
      <c r="CK374" s="238"/>
      <c r="CL374" s="238"/>
      <c r="CM374" s="238"/>
      <c r="CN374" s="238"/>
      <c r="CO374" s="238"/>
      <c r="CP374" s="238"/>
      <c r="CQ374" s="238"/>
      <c r="CR374" s="238"/>
      <c r="CS374" s="238"/>
      <c r="CT374" s="238"/>
      <c r="CU374" s="238"/>
      <c r="CV374" s="238"/>
      <c r="CW374" s="238"/>
      <c r="CX374" s="238"/>
      <c r="CY374" s="238"/>
      <c r="CZ374" s="238"/>
      <c r="DA374" s="238"/>
      <c r="DB374" s="238"/>
      <c r="DC374" s="238"/>
      <c r="DD374" s="238"/>
      <c r="DE374" s="238"/>
      <c r="DF374" s="238"/>
      <c r="DG374" s="238"/>
      <c r="DH374" s="238"/>
      <c r="DI374" s="238"/>
      <c r="DJ374" s="238"/>
      <c r="DK374" s="238"/>
      <c r="DL374" s="238"/>
      <c r="DM374" s="238"/>
      <c r="DN374" s="238"/>
      <c r="DO374" s="238"/>
      <c r="DP374" s="238"/>
      <c r="DQ374" s="238"/>
      <c r="DR374" s="238"/>
      <c r="DS374" s="238"/>
      <c r="DT374" s="238"/>
      <c r="DU374" s="238"/>
      <c r="DV374" s="238"/>
      <c r="DW374" s="238"/>
      <c r="DX374" s="238"/>
      <c r="DY374" s="238"/>
      <c r="DZ374" s="238"/>
      <c r="EA374" s="238"/>
      <c r="EB374" s="238"/>
      <c r="EC374" s="238"/>
      <c r="ED374" s="238"/>
      <c r="EE374" s="238"/>
      <c r="EF374" s="238"/>
      <c r="EG374" s="238"/>
      <c r="EH374" s="238"/>
      <c r="EI374" s="238"/>
      <c r="EJ374" s="238"/>
      <c r="EK374" s="238"/>
      <c r="EL374" s="238"/>
      <c r="EM374" s="238"/>
      <c r="EN374" s="238"/>
      <c r="EO374" s="238"/>
      <c r="EP374" s="238"/>
      <c r="EQ374" s="238"/>
      <c r="ER374" s="238"/>
      <c r="ES374" s="238"/>
      <c r="ET374" s="244"/>
      <c r="EU374" s="238"/>
      <c r="EV374" s="238"/>
      <c r="EW374" s="238"/>
      <c r="EX374" s="238"/>
      <c r="EY374" s="238"/>
      <c r="EZ374" s="238"/>
      <c r="FA374" s="238"/>
      <c r="FB374" s="238"/>
      <c r="FC374" s="238"/>
      <c r="FD374" s="238"/>
      <c r="FE374" s="238"/>
      <c r="FF374" s="238"/>
      <c r="FG374" s="238"/>
      <c r="FH374" s="238"/>
      <c r="FI374" s="238"/>
      <c r="FJ374" s="238"/>
      <c r="FK374" s="238"/>
      <c r="FL374" s="238"/>
      <c r="FM374" s="238"/>
      <c r="FN374" s="238"/>
      <c r="FO374" s="244"/>
      <c r="FP374" s="238"/>
      <c r="FQ374" s="238"/>
      <c r="FR374" s="238"/>
      <c r="FS374" s="238"/>
      <c r="FT374" s="238"/>
      <c r="FU374" s="238"/>
      <c r="FV374" s="238"/>
      <c r="FW374" s="238"/>
      <c r="FX374" s="238"/>
      <c r="FY374" s="238"/>
      <c r="FZ374" s="238"/>
      <c r="GA374" s="238"/>
      <c r="GB374" s="238"/>
      <c r="GC374" s="238"/>
      <c r="GD374" s="341"/>
      <c r="GE374" s="340"/>
      <c r="GF374" s="340"/>
      <c r="GG374" s="340"/>
      <c r="GH374" s="340"/>
      <c r="GI374" s="340"/>
      <c r="GJ374" s="340"/>
      <c r="GK374" s="340"/>
      <c r="GL374" s="340"/>
      <c r="GM374" s="340"/>
      <c r="GN374" s="340"/>
      <c r="GO374" s="340"/>
      <c r="GP374" s="340"/>
      <c r="GQ374" s="340"/>
      <c r="GR374" s="340"/>
      <c r="GS374" s="340"/>
      <c r="GT374" s="340"/>
      <c r="GU374" s="340"/>
      <c r="GV374" s="340"/>
      <c r="GW374" s="340"/>
      <c r="GX374" s="340"/>
      <c r="GY374" s="340"/>
      <c r="GZ374" s="340"/>
      <c r="HA374" s="340"/>
      <c r="HB374" s="340"/>
      <c r="HC374" s="340"/>
      <c r="HD374" s="341"/>
      <c r="HE374" s="341"/>
      <c r="HF374" s="341"/>
      <c r="HG374" s="341"/>
      <c r="HH374" s="341"/>
      <c r="HI374" s="341"/>
      <c r="HJ374" s="341"/>
      <c r="HK374" s="341"/>
      <c r="HL374" s="341"/>
      <c r="HM374" s="341"/>
      <c r="HN374" s="341"/>
      <c r="HO374" s="341"/>
      <c r="HP374" s="341"/>
      <c r="HQ374" s="341"/>
      <c r="HR374" s="341"/>
      <c r="HS374" s="238"/>
      <c r="HT374" s="238"/>
      <c r="HU374" s="238"/>
      <c r="HV374" s="238"/>
      <c r="HX374" s="238"/>
      <c r="HY374" s="238"/>
      <c r="ID374" s="238"/>
    </row>
    <row r="375" spans="1:238" s="234" customFormat="1" ht="20.100000000000001" customHeight="1">
      <c r="A375" s="235"/>
      <c r="B375" s="316"/>
      <c r="C375" s="317"/>
      <c r="D375" s="317"/>
      <c r="E375" s="318"/>
      <c r="F375" s="318"/>
      <c r="G375" s="318"/>
      <c r="H375" s="318"/>
      <c r="I375" s="318"/>
      <c r="J375" s="318"/>
      <c r="K375" s="319"/>
      <c r="L375" s="319"/>
      <c r="M375" s="319"/>
      <c r="N375" s="319"/>
      <c r="O375" s="319"/>
      <c r="P375" s="320"/>
      <c r="Q375" s="319"/>
      <c r="R375" s="317"/>
      <c r="S375" s="318"/>
      <c r="T375" s="318"/>
      <c r="U375" s="318"/>
      <c r="V375" s="318"/>
      <c r="W375" s="318"/>
      <c r="X375" s="318"/>
      <c r="Y375" s="318"/>
      <c r="Z375" s="321"/>
      <c r="AD375" s="235"/>
      <c r="AE375" s="237"/>
      <c r="AF375" s="237"/>
      <c r="AG375" s="237"/>
      <c r="AH375" s="237" t="s">
        <v>921</v>
      </c>
      <c r="AI375" s="237" t="s">
        <v>922</v>
      </c>
      <c r="AJ375" s="298" t="str">
        <f>IF(BS375="","",SUM(AM375)*3)</f>
        <v/>
      </c>
      <c r="AK375" s="299" t="s">
        <v>923</v>
      </c>
      <c r="AL375" s="256"/>
      <c r="AM375" s="256" t="str">
        <f>IF(BS375="","",SUM(BS375))</f>
        <v/>
      </c>
      <c r="AN375" s="235"/>
      <c r="AO375" s="235"/>
      <c r="AP375" s="236"/>
      <c r="AQ375" s="235"/>
      <c r="AR375" s="235"/>
      <c r="AS375" s="237"/>
      <c r="AT375" s="237"/>
      <c r="AU375" s="237"/>
      <c r="AV375" s="237" t="s">
        <v>921</v>
      </c>
      <c r="AW375" s="237" t="s">
        <v>922</v>
      </c>
      <c r="AX375" s="298" t="str">
        <f>IF(BS375="","",SUM(BA375)*3)</f>
        <v/>
      </c>
      <c r="AY375" s="299" t="s">
        <v>923</v>
      </c>
      <c r="AZ375" s="256"/>
      <c r="BA375" s="256" t="str">
        <f>IF(BS375="","",SUM(CF375))</f>
        <v/>
      </c>
      <c r="BB375" s="236"/>
      <c r="BC375" s="236"/>
      <c r="BD375" s="236"/>
      <c r="BE375" s="236"/>
      <c r="BF375" s="236"/>
      <c r="BG375" s="236"/>
      <c r="BH375" s="236"/>
      <c r="BI375" s="236"/>
      <c r="BJ375" s="236"/>
      <c r="BK375" s="373">
        <f>IF(AL363=BQ375,1,0)</f>
        <v>0</v>
      </c>
      <c r="BL375" s="373">
        <f>IF(AL363=CD375,1,0)</f>
        <v>0</v>
      </c>
      <c r="BM375" s="256">
        <f>IF(BN375&gt;2,1,0)</f>
        <v>0</v>
      </c>
      <c r="BN375" s="256">
        <f>COUNT(AH366,AH367,AH368)</f>
        <v>0</v>
      </c>
      <c r="BO375" s="256" t="str">
        <f>IF(AH372="","",SUM(AH372/AJ372))</f>
        <v/>
      </c>
      <c r="BP375" s="256"/>
      <c r="BQ375" s="300">
        <f>COUNT(AK366,AK367,AK368,AK369,AK370)</f>
        <v>0</v>
      </c>
      <c r="BR375" s="256"/>
      <c r="BS375" s="256" t="str">
        <f>IF(BL372=0,IF(AJ367="","",BO375),"")</f>
        <v/>
      </c>
      <c r="BT375" s="236"/>
      <c r="BU375" s="236"/>
      <c r="BV375" s="236"/>
      <c r="BW375" s="236"/>
      <c r="BX375" s="236"/>
      <c r="BY375" s="256">
        <f>IF(CD375&gt;2,1,0)</f>
        <v>0</v>
      </c>
      <c r="BZ375" s="256">
        <f>IF(CA375&gt;2,1,0)</f>
        <v>0</v>
      </c>
      <c r="CA375" s="256">
        <f>COUNT(AV366,AV367,AV368)</f>
        <v>0</v>
      </c>
      <c r="CB375" s="256" t="str">
        <f>IF(AV372="","",SUM(AV372/AX372))</f>
        <v/>
      </c>
      <c r="CC375" s="256"/>
      <c r="CD375" s="300">
        <f>COUNT(AY366,AY367,AY368,AY369,AY370)</f>
        <v>0</v>
      </c>
      <c r="CE375" s="256"/>
      <c r="CF375" s="256" t="str">
        <f>IF(BL372=0,IF(AX367="","",CB375),"")</f>
        <v/>
      </c>
      <c r="CG375" s="236"/>
      <c r="CH375" s="188"/>
      <c r="CI375" s="188"/>
      <c r="CJ375" s="196"/>
      <c r="CK375" s="196"/>
      <c r="CL375" s="196"/>
      <c r="CM375" s="196"/>
      <c r="CN375" s="196"/>
      <c r="CO375" s="196"/>
      <c r="CP375" s="196"/>
      <c r="CQ375" s="196"/>
      <c r="CR375" s="196"/>
      <c r="CS375" s="196"/>
      <c r="CT375" s="196"/>
      <c r="CU375" s="196"/>
      <c r="CV375" s="196"/>
      <c r="CW375" s="196"/>
      <c r="CX375" s="196"/>
      <c r="CY375" s="196"/>
      <c r="CZ375" s="196"/>
      <c r="DA375" s="196"/>
      <c r="DB375" s="196"/>
      <c r="DC375" s="196"/>
      <c r="DD375" s="196"/>
      <c r="DE375" s="196"/>
      <c r="DF375" s="196"/>
      <c r="DG375" s="196"/>
      <c r="DH375" s="196"/>
      <c r="DI375" s="196"/>
      <c r="DJ375" s="196"/>
      <c r="DK375" s="196"/>
      <c r="DL375" s="196"/>
      <c r="DM375" s="196"/>
      <c r="DN375" s="196"/>
      <c r="DO375" s="196"/>
      <c r="DP375" s="196"/>
      <c r="DQ375" s="196"/>
      <c r="DR375" s="196"/>
      <c r="DS375" s="196"/>
      <c r="DT375" s="196"/>
      <c r="DU375" s="196"/>
      <c r="DV375" s="196"/>
      <c r="DW375" s="196"/>
      <c r="DX375" s="196"/>
      <c r="DY375" s="196"/>
      <c r="DZ375" s="196"/>
      <c r="EA375" s="196"/>
      <c r="EB375" s="196"/>
      <c r="EC375" s="196"/>
      <c r="ED375" s="196"/>
      <c r="EE375" s="196"/>
      <c r="EF375" s="196"/>
      <c r="EG375" s="196"/>
      <c r="EH375" s="196"/>
      <c r="EI375" s="196"/>
      <c r="EJ375" s="196"/>
      <c r="EK375" s="196"/>
      <c r="EL375" s="196"/>
      <c r="EM375" s="196"/>
      <c r="EN375" s="196"/>
      <c r="EO375" s="196"/>
      <c r="EP375" s="196"/>
      <c r="EQ375" s="196"/>
      <c r="ER375" s="196"/>
      <c r="ES375" s="196"/>
      <c r="ET375" s="301"/>
      <c r="EU375" s="196"/>
      <c r="EV375" s="196"/>
      <c r="EW375" s="196"/>
      <c r="EX375" s="196"/>
      <c r="EY375" s="196"/>
      <c r="EZ375" s="196"/>
      <c r="FA375" s="196"/>
      <c r="FB375" s="196"/>
      <c r="FC375" s="196"/>
      <c r="FD375" s="196"/>
      <c r="FE375" s="196"/>
      <c r="FF375" s="196"/>
      <c r="FG375" s="196"/>
      <c r="FH375" s="196"/>
      <c r="FI375" s="196"/>
      <c r="FJ375" s="196"/>
      <c r="FK375" s="196"/>
      <c r="FL375" s="196"/>
      <c r="FM375" s="196"/>
      <c r="FN375" s="196"/>
      <c r="FO375" s="301"/>
      <c r="FP375" s="196"/>
      <c r="FQ375" s="196"/>
      <c r="FR375" s="196"/>
      <c r="FS375" s="196"/>
      <c r="FT375" s="196"/>
      <c r="FU375" s="196"/>
      <c r="FV375" s="196"/>
      <c r="FW375" s="196"/>
      <c r="FX375" s="196"/>
      <c r="FY375" s="196"/>
      <c r="FZ375" s="196"/>
      <c r="GA375" s="196"/>
      <c r="GB375" s="238"/>
      <c r="GC375" s="238"/>
      <c r="GD375" s="341"/>
      <c r="GE375" s="341"/>
      <c r="GF375" s="341"/>
      <c r="GG375" s="341"/>
      <c r="GH375" s="341"/>
      <c r="GI375" s="341"/>
      <c r="GJ375" s="341"/>
      <c r="GK375" s="341"/>
      <c r="GL375" s="341"/>
      <c r="GM375" s="341"/>
      <c r="GN375" s="341"/>
      <c r="GO375" s="341"/>
      <c r="GP375" s="341"/>
      <c r="GQ375" s="341"/>
      <c r="GR375" s="341"/>
      <c r="GS375" s="341"/>
      <c r="GT375" s="341"/>
      <c r="GU375" s="341"/>
      <c r="GV375" s="341"/>
      <c r="GW375" s="341"/>
      <c r="GX375" s="341"/>
      <c r="GY375" s="341"/>
      <c r="GZ375" s="341"/>
      <c r="HA375" s="341"/>
      <c r="HB375" s="341"/>
      <c r="HC375" s="341"/>
      <c r="HD375" s="341"/>
      <c r="HE375" s="341"/>
      <c r="HF375" s="341"/>
      <c r="HG375" s="341"/>
      <c r="HH375" s="341"/>
      <c r="HI375" s="341"/>
      <c r="HJ375" s="341"/>
      <c r="HK375" s="341"/>
      <c r="HL375" s="341"/>
      <c r="HM375" s="341"/>
      <c r="HN375" s="341"/>
      <c r="HO375" s="341"/>
      <c r="HP375" s="341"/>
      <c r="HQ375" s="341"/>
      <c r="HR375" s="341"/>
      <c r="HS375" s="238"/>
      <c r="HT375" s="238"/>
      <c r="HU375" s="238"/>
      <c r="HV375" s="238"/>
      <c r="HX375" s="238"/>
      <c r="HY375" s="238"/>
      <c r="ID375" s="238"/>
    </row>
    <row r="376" spans="1:238" ht="14.1" customHeight="1">
      <c r="B376" s="214"/>
      <c r="C376" s="171"/>
      <c r="D376" s="171"/>
      <c r="E376" s="171"/>
      <c r="F376" s="171"/>
      <c r="G376" s="171"/>
      <c r="H376" s="171"/>
      <c r="I376" s="171"/>
      <c r="J376" s="171"/>
      <c r="K376" s="171"/>
      <c r="L376" s="171"/>
      <c r="M376" s="171"/>
      <c r="N376" s="171"/>
      <c r="O376" s="171"/>
      <c r="P376" s="171"/>
      <c r="Q376" s="171"/>
      <c r="R376" s="171"/>
      <c r="S376" s="171"/>
      <c r="T376" s="171"/>
      <c r="U376" s="171"/>
      <c r="V376" s="171"/>
      <c r="W376" s="171"/>
      <c r="X376" s="171"/>
      <c r="Y376" s="171"/>
      <c r="Z376" s="302"/>
      <c r="AA376" s="215"/>
      <c r="AB376" s="215"/>
      <c r="AC376" s="215"/>
      <c r="AD376" s="215"/>
      <c r="AE376" s="215"/>
      <c r="AF376" s="215"/>
      <c r="BB376" s="215"/>
      <c r="BC376" s="215"/>
      <c r="BD376" s="215"/>
      <c r="BE376" s="215"/>
      <c r="BF376" s="215"/>
      <c r="BG376" s="215"/>
      <c r="BH376" s="215"/>
      <c r="GD376" s="339"/>
      <c r="GE376" s="339"/>
      <c r="GF376" s="339"/>
      <c r="GG376" s="339"/>
      <c r="GH376" s="339"/>
      <c r="GI376" s="339"/>
      <c r="GJ376" s="339"/>
      <c r="GK376" s="339"/>
      <c r="GL376" s="339"/>
      <c r="GM376" s="339"/>
      <c r="GN376" s="339"/>
      <c r="GO376" s="339"/>
      <c r="GP376" s="339"/>
      <c r="GQ376" s="339"/>
      <c r="GR376" s="339"/>
      <c r="GS376" s="339"/>
      <c r="GT376" s="339"/>
      <c r="GU376" s="339"/>
      <c r="GV376" s="339"/>
      <c r="GW376" s="339"/>
      <c r="GX376" s="339"/>
      <c r="GY376" s="339"/>
      <c r="GZ376" s="339"/>
      <c r="HA376" s="339"/>
      <c r="HB376" s="339"/>
      <c r="HC376" s="339"/>
      <c r="HD376" s="339"/>
      <c r="HE376" s="339"/>
      <c r="HF376" s="339"/>
      <c r="HG376" s="339"/>
      <c r="HH376" s="339"/>
      <c r="HI376" s="339"/>
      <c r="HJ376" s="339"/>
      <c r="HK376" s="339"/>
      <c r="HL376" s="339"/>
      <c r="HM376" s="339"/>
      <c r="HN376" s="339"/>
      <c r="HO376" s="339"/>
      <c r="HP376" s="339"/>
      <c r="HQ376" s="339"/>
      <c r="HR376" s="339"/>
    </row>
    <row r="377" spans="1:238" ht="24" customHeight="1">
      <c r="B377" s="216"/>
      <c r="C377" s="181"/>
      <c r="D377" s="181"/>
      <c r="E377" s="181"/>
      <c r="F377" s="181"/>
      <c r="G377" s="181"/>
      <c r="H377" s="181"/>
      <c r="I377" s="181"/>
      <c r="J377" s="181"/>
      <c r="K377" s="185"/>
      <c r="L377" s="217"/>
      <c r="M377" s="218"/>
      <c r="N377" s="327" t="str">
        <f>CONCATENATE(AG377," ",AH377)</f>
        <v>Spiel 27</v>
      </c>
      <c r="O377" s="218"/>
      <c r="P377" s="219"/>
      <c r="Q377" s="185"/>
      <c r="R377" s="181"/>
      <c r="S377" s="181"/>
      <c r="T377" s="181"/>
      <c r="U377" s="181"/>
      <c r="V377" s="181"/>
      <c r="W377" s="181"/>
      <c r="X377" s="181"/>
      <c r="Y377" s="181"/>
      <c r="Z377" s="303"/>
      <c r="AA377" s="200" t="str">
        <f>IF(AH377="",10,"")</f>
        <v/>
      </c>
      <c r="AB377" s="200"/>
      <c r="AC377" s="200"/>
      <c r="AD377" s="200"/>
      <c r="AE377" s="200"/>
      <c r="AF377" s="200"/>
      <c r="AG377" s="200" t="s">
        <v>863</v>
      </c>
      <c r="AH377" s="220">
        <f>IF('Heimmannschaft MAISON'!$A$1=3,"",IF('Heimmannschaft MAISON'!$A$1=1,27,27))</f>
        <v>27</v>
      </c>
      <c r="AI377" s="173">
        <f>IF(AH377="","",VLOOKUP(AH377,Chema!R:T,3,FALSE))</f>
        <v>3.7</v>
      </c>
      <c r="AJ377" s="200" t="str">
        <f>VLOOKUP(AH377,Chema!BL:BQ,6,FALSE)</f>
        <v>3.7*</v>
      </c>
      <c r="AK377" s="200" t="str">
        <f>IF(AH377="","",VLOOKUP(AH377,'Matchblatt  FEUILLE DE MATCH'!AI:AJ,2,FALSE))</f>
        <v>S</v>
      </c>
      <c r="AL377" s="200">
        <f>IF(AH377="","",VLOOKUP(AH377,Chema!R:U,4,FALSE))</f>
        <v>5</v>
      </c>
      <c r="AM377" s="215" t="str">
        <f>IF(AH377="","",VLOOKUP(AH377,'Matchblatt  FEUILLE DE MATCH'!AI:AS,10,FALSE))</f>
        <v/>
      </c>
      <c r="AN377" s="215"/>
      <c r="AO377" s="215"/>
      <c r="AP377" s="215"/>
      <c r="AQ377" s="215"/>
      <c r="AR377" s="215"/>
      <c r="AS377" s="215"/>
      <c r="AT377" s="215"/>
      <c r="AU377" s="215"/>
      <c r="AV377" s="215"/>
      <c r="AW377" s="215"/>
      <c r="AX377" s="215"/>
      <c r="AY377" s="215"/>
      <c r="AZ377" s="215"/>
      <c r="BA377" s="215" t="str">
        <f>IF(AH377="","",VLOOKUP(AH377,'Matchblatt  FEUILLE DE MATCH'!AI:AS,11,FALSE))</f>
        <v/>
      </c>
      <c r="BB377" s="200"/>
      <c r="BC377" s="200"/>
      <c r="BD377" s="200"/>
      <c r="BE377" s="200"/>
      <c r="BF377" s="200"/>
      <c r="BG377" s="200"/>
      <c r="BH377" s="200"/>
      <c r="BK377" s="196"/>
      <c r="BL377" s="196"/>
      <c r="BM377" s="196"/>
      <c r="BN377" s="196"/>
      <c r="BO377" s="196"/>
      <c r="BP377" s="196"/>
      <c r="BQ377" s="221" t="s">
        <v>843</v>
      </c>
      <c r="BR377" s="222"/>
      <c r="BS377" s="222"/>
      <c r="BT377" s="223"/>
      <c r="BU377" s="222" t="s">
        <v>843</v>
      </c>
      <c r="BV377" s="222"/>
      <c r="BW377" s="222"/>
      <c r="BX377" s="224"/>
      <c r="BY377" s="222"/>
      <c r="BZ377" s="222"/>
      <c r="CA377" s="222"/>
      <c r="CB377" s="222"/>
      <c r="CC377" s="222"/>
      <c r="CD377" s="222"/>
      <c r="CE377" s="222"/>
      <c r="CF377" s="222"/>
      <c r="CG377" s="224"/>
      <c r="CH377" s="222"/>
      <c r="CI377" s="222"/>
      <c r="CJ377" s="223"/>
      <c r="CK377" s="196"/>
      <c r="CL377" s="196"/>
      <c r="CM377" s="196"/>
      <c r="CN377" s="196"/>
      <c r="CO377" s="196"/>
      <c r="CP377" s="196"/>
      <c r="CQ377" s="196"/>
      <c r="CR377" s="196"/>
      <c r="CS377" s="196"/>
      <c r="CT377" s="196"/>
      <c r="CU377" s="196"/>
      <c r="CV377" s="196"/>
      <c r="CW377" s="196"/>
      <c r="CX377" s="196"/>
      <c r="CY377" s="196"/>
      <c r="CZ377" s="196"/>
      <c r="DA377" s="196"/>
      <c r="DB377" s="196"/>
      <c r="DC377" s="196"/>
      <c r="DD377" s="196"/>
      <c r="DE377" s="196"/>
      <c r="DF377" s="196"/>
      <c r="DG377" s="196"/>
      <c r="DH377" s="196"/>
      <c r="DI377" s="196"/>
      <c r="DJ377" s="196"/>
      <c r="DK377" s="196"/>
      <c r="DL377" s="196"/>
      <c r="DM377" s="196"/>
      <c r="DN377" s="196"/>
      <c r="DO377" s="196"/>
      <c r="DP377" s="196"/>
      <c r="DQ377" s="196"/>
      <c r="DR377" s="196"/>
      <c r="DS377" s="196"/>
      <c r="DT377" s="196"/>
      <c r="DU377" s="196"/>
      <c r="DV377" s="196"/>
      <c r="DW377" s="196"/>
      <c r="DX377" s="196"/>
      <c r="DY377" s="196"/>
      <c r="DZ377" s="196"/>
      <c r="EA377" s="196"/>
      <c r="EB377" s="196"/>
      <c r="EC377" s="196"/>
      <c r="ED377" s="196"/>
      <c r="EE377" s="196"/>
      <c r="EF377" s="196"/>
      <c r="EG377" s="196"/>
      <c r="EH377" s="196"/>
      <c r="EI377" s="196"/>
      <c r="EJ377" s="196"/>
      <c r="EK377" s="196"/>
      <c r="EL377" s="196"/>
      <c r="EM377" s="221" t="s">
        <v>7</v>
      </c>
      <c r="EN377" s="222"/>
      <c r="EO377" s="222"/>
      <c r="EP377" s="222"/>
      <c r="EQ377" s="222"/>
      <c r="ER377" s="222"/>
      <c r="ES377" s="222"/>
      <c r="ET377" s="224"/>
      <c r="EU377" s="222"/>
      <c r="EV377" s="222"/>
      <c r="EW377" s="222"/>
      <c r="EX377" s="222"/>
      <c r="EY377" s="222"/>
      <c r="EZ377" s="222"/>
      <c r="FA377" s="222"/>
      <c r="FB377" s="222"/>
      <c r="FC377" s="222"/>
      <c r="FD377" s="222"/>
      <c r="FE377" s="223"/>
      <c r="FF377" s="196"/>
      <c r="FG377" s="196"/>
      <c r="FH377" s="221" t="s">
        <v>12</v>
      </c>
      <c r="FI377" s="222"/>
      <c r="FJ377" s="222"/>
      <c r="FK377" s="222"/>
      <c r="FL377" s="222"/>
      <c r="FM377" s="222"/>
      <c r="FN377" s="222"/>
      <c r="FO377" s="224"/>
      <c r="FP377" s="222"/>
      <c r="FQ377" s="222"/>
      <c r="FR377" s="222"/>
      <c r="FS377" s="222"/>
      <c r="FT377" s="222"/>
      <c r="FU377" s="222"/>
      <c r="FV377" s="222"/>
      <c r="FW377" s="222"/>
      <c r="FX377" s="222"/>
      <c r="FY377" s="222"/>
      <c r="FZ377" s="223"/>
      <c r="GA377" s="196"/>
      <c r="GD377" s="339"/>
      <c r="GE377" s="339"/>
      <c r="GF377" s="339"/>
      <c r="GG377" s="339"/>
      <c r="GH377" s="339"/>
      <c r="GI377" s="339"/>
      <c r="GJ377" s="339"/>
      <c r="GK377" s="339"/>
      <c r="GL377" s="339"/>
      <c r="GM377" s="339"/>
      <c r="GN377" s="339"/>
      <c r="GO377" s="339"/>
      <c r="GP377" s="339"/>
      <c r="GQ377" s="339"/>
      <c r="GR377" s="339"/>
      <c r="GS377" s="339"/>
      <c r="GT377" s="339"/>
      <c r="GU377" s="339"/>
      <c r="GV377" s="339"/>
      <c r="GW377" s="339"/>
      <c r="GX377" s="339"/>
      <c r="GY377" s="339"/>
      <c r="GZ377" s="339"/>
      <c r="HA377" s="339"/>
      <c r="HB377" s="339"/>
      <c r="HC377" s="339"/>
      <c r="HD377" s="339"/>
      <c r="HE377" s="339"/>
      <c r="HF377" s="339"/>
      <c r="HG377" s="339"/>
      <c r="HH377" s="339"/>
      <c r="HI377" s="339"/>
      <c r="HJ377" s="339"/>
      <c r="HK377" s="339"/>
      <c r="HL377" s="339"/>
      <c r="HM377" s="339"/>
      <c r="HN377" s="339"/>
      <c r="HO377" s="339"/>
      <c r="HP377" s="339"/>
      <c r="HQ377" s="339"/>
      <c r="HR377" s="339"/>
    </row>
    <row r="378" spans="1:238" ht="14.1" customHeight="1">
      <c r="B378" s="225"/>
      <c r="C378" s="304"/>
      <c r="D378" s="304"/>
      <c r="E378" s="304"/>
      <c r="F378" s="304"/>
      <c r="G378" s="304"/>
      <c r="H378" s="304"/>
      <c r="I378" s="304"/>
      <c r="J378" s="304"/>
      <c r="K378" s="166"/>
      <c r="L378" s="166"/>
      <c r="M378" s="166"/>
      <c r="N378" s="304"/>
      <c r="O378" s="304"/>
      <c r="P378" s="166"/>
      <c r="Q378" s="166"/>
      <c r="R378" s="304"/>
      <c r="S378" s="304"/>
      <c r="T378" s="304"/>
      <c r="U378" s="304"/>
      <c r="V378" s="304"/>
      <c r="W378" s="304"/>
      <c r="X378" s="166"/>
      <c r="Y378" s="166"/>
      <c r="Z378" s="305"/>
      <c r="AA378" s="63"/>
      <c r="AB378" s="63"/>
      <c r="AC378" s="63"/>
      <c r="AD378" s="63"/>
      <c r="AE378" s="63"/>
      <c r="AF378" s="63"/>
      <c r="AJ378" s="173" t="str">
        <f>IF(AH377="","",IF(AK377="D",CONCATENATE(AI377,".",2),""))</f>
        <v/>
      </c>
      <c r="AL378" s="200"/>
      <c r="AM378" s="200" t="str">
        <f>IF(AK377="D",VLOOKUP(AJ378,'Matchblatt  FEUILLE DE MATCH'!AK:AS,8,FALSE),"")</f>
        <v/>
      </c>
      <c r="AN378" s="200"/>
      <c r="AO378" s="200"/>
      <c r="AP378" s="200"/>
      <c r="AQ378" s="200"/>
      <c r="AR378" s="200"/>
      <c r="AS378" s="200"/>
      <c r="AT378" s="200"/>
      <c r="AU378" s="200"/>
      <c r="AV378" s="200"/>
      <c r="AW378" s="200"/>
      <c r="AX378" s="200"/>
      <c r="AY378" s="200"/>
      <c r="AZ378" s="200"/>
      <c r="BA378" s="200" t="str">
        <f>IF(AK377="D",VLOOKUP(AJ378,'Matchblatt  FEUILLE DE MATCH'!AK:AS,9,FALSE),"")</f>
        <v/>
      </c>
      <c r="BB378" s="63"/>
      <c r="BC378" s="63"/>
      <c r="BD378" s="63"/>
      <c r="BE378" s="63"/>
      <c r="BF378" s="63"/>
      <c r="BG378" s="63"/>
      <c r="BH378" s="63"/>
      <c r="BK378" s="166" t="s">
        <v>7</v>
      </c>
      <c r="BL378" s="166" t="s">
        <v>12</v>
      </c>
      <c r="BM378" s="166"/>
      <c r="BN378" s="166" t="s">
        <v>7</v>
      </c>
      <c r="BO378" s="166" t="s">
        <v>12</v>
      </c>
      <c r="BP378" s="166"/>
      <c r="BQ378" s="226" t="s">
        <v>894</v>
      </c>
      <c r="BR378" s="227" t="s">
        <v>895</v>
      </c>
      <c r="BS378" s="228" t="s">
        <v>896</v>
      </c>
      <c r="BT378" s="229"/>
      <c r="BU378" s="226" t="s">
        <v>7</v>
      </c>
      <c r="BV378" s="166"/>
      <c r="BW378" s="166"/>
      <c r="BX378" s="230"/>
      <c r="BY378" s="166"/>
      <c r="BZ378" s="166"/>
      <c r="CA378" s="227"/>
      <c r="CB378" s="166"/>
      <c r="CC378" s="166"/>
      <c r="CD378" s="226" t="s">
        <v>12</v>
      </c>
      <c r="CE378" s="166"/>
      <c r="CF378" s="166"/>
      <c r="CG378" s="230"/>
      <c r="CH378" s="166"/>
      <c r="CI378" s="166"/>
      <c r="CJ378" s="227"/>
      <c r="CK378" s="166"/>
      <c r="CL378" s="166" t="s">
        <v>897</v>
      </c>
      <c r="CM378" s="166"/>
      <c r="CN378" s="166"/>
      <c r="CO378" s="166"/>
      <c r="CP378" s="166"/>
      <c r="CQ378" s="166"/>
      <c r="CR378" s="166"/>
      <c r="CS378" s="166"/>
      <c r="CT378" s="166"/>
      <c r="CU378" s="166" t="s">
        <v>843</v>
      </c>
      <c r="CV378" s="166"/>
      <c r="CW378" s="166" t="s">
        <v>843</v>
      </c>
      <c r="CX378" s="166"/>
      <c r="CY378" s="166"/>
      <c r="CZ378" s="166"/>
      <c r="DA378" s="166"/>
      <c r="DB378" s="166"/>
      <c r="DC378" s="166"/>
      <c r="DD378" s="166" t="s">
        <v>894</v>
      </c>
      <c r="DE378" s="166" t="s">
        <v>895</v>
      </c>
      <c r="DF378" s="166"/>
      <c r="DG378" s="166" t="s">
        <v>927</v>
      </c>
      <c r="DH378" s="166"/>
      <c r="DI378" s="166"/>
      <c r="DJ378" s="166"/>
      <c r="DK378" s="166"/>
      <c r="DL378" s="166"/>
      <c r="DM378" s="166"/>
      <c r="DN378" s="166" t="s">
        <v>928</v>
      </c>
      <c r="DO378" s="166" t="s">
        <v>929</v>
      </c>
      <c r="DP378" s="166"/>
      <c r="DQ378" s="166"/>
      <c r="DR378" s="166"/>
      <c r="DS378" s="166"/>
      <c r="DT378" s="166"/>
      <c r="DU378" s="166"/>
      <c r="DV378" s="166" t="s">
        <v>894</v>
      </c>
      <c r="DW378" s="166" t="s">
        <v>895</v>
      </c>
      <c r="DX378" s="166"/>
      <c r="DY378" s="166"/>
      <c r="DZ378" s="166"/>
      <c r="EA378" s="166"/>
      <c r="EB378" s="166"/>
      <c r="EC378" s="166"/>
      <c r="ED378" s="166" t="s">
        <v>894</v>
      </c>
      <c r="EE378" s="166" t="s">
        <v>895</v>
      </c>
      <c r="EF378" s="166"/>
      <c r="EG378" s="166"/>
      <c r="EH378" s="166"/>
      <c r="EI378" s="166"/>
      <c r="EJ378" s="166"/>
      <c r="EK378" s="166"/>
      <c r="EL378" s="166"/>
      <c r="EM378" s="166"/>
      <c r="EN378" s="166"/>
      <c r="EO378" s="166"/>
      <c r="EP378" s="166"/>
      <c r="EQ378" s="166"/>
      <c r="ER378" s="166"/>
      <c r="ES378" s="166"/>
      <c r="ET378" s="230"/>
      <c r="EU378" s="166"/>
      <c r="EV378" s="166"/>
      <c r="EW378" s="166"/>
      <c r="EX378" s="166"/>
      <c r="EY378" s="166"/>
      <c r="EZ378" s="166"/>
      <c r="FA378" s="166"/>
      <c r="FB378" s="166"/>
      <c r="FC378" s="166"/>
      <c r="FD378" s="166"/>
      <c r="FE378" s="166"/>
      <c r="FF378" s="166"/>
      <c r="FG378" s="166"/>
      <c r="FH378" s="166"/>
      <c r="FI378" s="166"/>
      <c r="FJ378" s="166"/>
      <c r="FK378" s="166"/>
      <c r="FL378" s="166"/>
      <c r="FM378" s="166"/>
      <c r="FN378" s="166"/>
      <c r="FO378" s="230"/>
      <c r="FP378" s="166"/>
      <c r="FQ378" s="166"/>
      <c r="FR378" s="166"/>
      <c r="FS378" s="166"/>
      <c r="FT378" s="166"/>
      <c r="FU378" s="166"/>
      <c r="FV378" s="166"/>
      <c r="FW378" s="166"/>
      <c r="FX378" s="166"/>
      <c r="FY378" s="166"/>
      <c r="FZ378" s="166"/>
      <c r="GA378" s="166"/>
      <c r="GD378" s="339"/>
      <c r="GE378" s="339"/>
      <c r="GF378" s="339"/>
      <c r="GG378" s="339"/>
      <c r="GH378" s="339"/>
      <c r="GI378" s="339"/>
      <c r="GJ378" s="339"/>
      <c r="GK378" s="339"/>
      <c r="GL378" s="339"/>
      <c r="GM378" s="339"/>
      <c r="GN378" s="339"/>
      <c r="GO378" s="339"/>
      <c r="GP378" s="339"/>
      <c r="GQ378" s="339"/>
      <c r="GR378" s="339"/>
      <c r="GS378" s="339"/>
      <c r="GT378" s="339"/>
      <c r="GU378" s="339"/>
      <c r="GV378" s="339"/>
      <c r="GW378" s="339"/>
      <c r="GX378" s="339"/>
      <c r="GY378" s="339"/>
      <c r="GZ378" s="339"/>
      <c r="HA378" s="339"/>
      <c r="HB378" s="339"/>
      <c r="HC378" s="339"/>
      <c r="HD378" s="339"/>
      <c r="HE378" s="339"/>
      <c r="HF378" s="339"/>
      <c r="HG378" s="339"/>
      <c r="HH378" s="339"/>
      <c r="HI378" s="339"/>
      <c r="HJ378" s="339"/>
      <c r="HK378" s="339"/>
      <c r="HL378" s="339"/>
      <c r="HM378" s="339"/>
      <c r="HN378" s="339"/>
      <c r="HO378" s="339"/>
      <c r="HP378" s="339"/>
      <c r="HQ378" s="339"/>
      <c r="HR378" s="339"/>
    </row>
    <row r="379" spans="1:238" s="234" customFormat="1" ht="20.100000000000001" customHeight="1">
      <c r="A379" s="235"/>
      <c r="B379" s="231"/>
      <c r="C379" s="232" t="str">
        <f>REPT(Sprache!$K$12,1)</f>
        <v>SPIEL</v>
      </c>
      <c r="D379" s="233" t="s">
        <v>869</v>
      </c>
      <c r="E379" s="233" t="str">
        <f>REPT(Sprache!$K$62,1)</f>
        <v>Punkte</v>
      </c>
      <c r="F379" s="233" t="str">
        <f>REPT(Sprache!$K$61,1)</f>
        <v>Rest</v>
      </c>
      <c r="G379" s="233" t="s">
        <v>898</v>
      </c>
      <c r="H379" s="233" t="s">
        <v>848</v>
      </c>
      <c r="I379" s="233">
        <v>180</v>
      </c>
      <c r="J379" s="233" t="str">
        <f>REPT(Sprache!$K$63,1)</f>
        <v>Fehler</v>
      </c>
      <c r="L379" s="306" t="s">
        <v>923</v>
      </c>
      <c r="M379" s="307"/>
      <c r="P379" s="306" t="s">
        <v>923</v>
      </c>
      <c r="R379" s="232" t="str">
        <f>REPT(Sprache!$K$12,1)</f>
        <v>SPIEL</v>
      </c>
      <c r="S379" s="233" t="s">
        <v>869</v>
      </c>
      <c r="T379" s="233" t="str">
        <f>REPT(Sprache!$K$62,1)</f>
        <v>Punkte</v>
      </c>
      <c r="U379" s="233" t="str">
        <f>REPT(Sprache!$K$61,1)</f>
        <v>Rest</v>
      </c>
      <c r="V379" s="233" t="s">
        <v>898</v>
      </c>
      <c r="W379" s="233" t="s">
        <v>848</v>
      </c>
      <c r="X379" s="233">
        <v>180</v>
      </c>
      <c r="Y379" s="233" t="str">
        <f>REPT(Sprache!$K$63,1)</f>
        <v>Fehler</v>
      </c>
      <c r="Z379" s="308"/>
      <c r="AD379" s="235"/>
      <c r="AE379" s="236" t="s">
        <v>966</v>
      </c>
      <c r="AF379" s="236" t="s">
        <v>967</v>
      </c>
      <c r="AG379" s="236" t="s">
        <v>965</v>
      </c>
      <c r="AH379" s="237" t="str">
        <f>LEFT($BM$6,10)</f>
        <v/>
      </c>
      <c r="AI379" s="237" t="str">
        <f>LEFT($BN$6,10)</f>
        <v/>
      </c>
      <c r="AJ379" s="237" t="s">
        <v>898</v>
      </c>
      <c r="AK379" s="237" t="s">
        <v>848</v>
      </c>
      <c r="AL379" s="237">
        <v>180</v>
      </c>
      <c r="AM379" s="237" t="str">
        <f>LEFT($BL$6,50)</f>
        <v/>
      </c>
      <c r="AN379" s="235"/>
      <c r="AO379" s="235"/>
      <c r="AP379" s="235"/>
      <c r="AQ379" s="235"/>
      <c r="AR379" s="235"/>
      <c r="AS379" s="235"/>
      <c r="AT379" s="235"/>
      <c r="AU379" s="235"/>
      <c r="AV379" s="237" t="str">
        <f>LEFT($BM$6,10)</f>
        <v/>
      </c>
      <c r="AW379" s="237" t="str">
        <f>LEFT($BN$6,10)</f>
        <v/>
      </c>
      <c r="AX379" s="237" t="s">
        <v>898</v>
      </c>
      <c r="AY379" s="237" t="s">
        <v>848</v>
      </c>
      <c r="AZ379" s="237">
        <v>180</v>
      </c>
      <c r="BA379" s="237" t="str">
        <f>LEFT($BL$6,50)</f>
        <v/>
      </c>
      <c r="BI379" s="238"/>
      <c r="BJ379" s="238"/>
      <c r="BK379" s="238" t="s">
        <v>165</v>
      </c>
      <c r="BL379" s="238" t="s">
        <v>165</v>
      </c>
      <c r="BM379" s="239" t="s">
        <v>165</v>
      </c>
      <c r="BN379" s="239" t="s">
        <v>899</v>
      </c>
      <c r="BO379" s="239" t="s">
        <v>899</v>
      </c>
      <c r="BP379" s="239" t="s">
        <v>900</v>
      </c>
      <c r="BQ379" s="240" t="s">
        <v>901</v>
      </c>
      <c r="BR379" s="241"/>
      <c r="BS379" s="242" t="s">
        <v>926</v>
      </c>
      <c r="BT379" s="243"/>
      <c r="BU379" s="242" t="s">
        <v>902</v>
      </c>
      <c r="BV379" s="238"/>
      <c r="BW379" s="238"/>
      <c r="BX379" s="244"/>
      <c r="BY379" s="238"/>
      <c r="BZ379" s="238" t="s">
        <v>903</v>
      </c>
      <c r="CA379" s="243" t="s">
        <v>904</v>
      </c>
      <c r="CB379" s="238"/>
      <c r="CC379" s="238"/>
      <c r="CD379" s="242" t="s">
        <v>902</v>
      </c>
      <c r="CE379" s="238"/>
      <c r="CF379" s="238"/>
      <c r="CG379" s="244"/>
      <c r="CH379" s="238"/>
      <c r="CI379" s="238" t="s">
        <v>903</v>
      </c>
      <c r="CJ379" s="243" t="s">
        <v>904</v>
      </c>
      <c r="CK379" s="238"/>
      <c r="CL379" s="245" t="s">
        <v>905</v>
      </c>
      <c r="CM379" s="245" t="s">
        <v>906</v>
      </c>
      <c r="CN379" s="245" t="s">
        <v>907</v>
      </c>
      <c r="CO379" s="245" t="s">
        <v>908</v>
      </c>
      <c r="CP379" s="245" t="s">
        <v>909</v>
      </c>
      <c r="CQ379" s="246" t="s">
        <v>910</v>
      </c>
      <c r="CR379" s="247"/>
      <c r="CS379" s="246" t="s">
        <v>911</v>
      </c>
      <c r="CT379" s="248"/>
      <c r="CU379" s="246" t="s">
        <v>912</v>
      </c>
      <c r="CV379" s="248"/>
      <c r="CW379" s="246" t="s">
        <v>913</v>
      </c>
      <c r="CX379" s="248"/>
      <c r="CY379" s="238"/>
      <c r="CZ379" s="238"/>
      <c r="DA379" s="238"/>
      <c r="DB379" s="238"/>
      <c r="DC379" s="249" t="s">
        <v>165</v>
      </c>
      <c r="DD379" s="249" t="s">
        <v>165</v>
      </c>
      <c r="DE379" s="249" t="s">
        <v>165</v>
      </c>
      <c r="DF379" s="238"/>
      <c r="DG379" s="238" t="s">
        <v>914</v>
      </c>
      <c r="DH379" s="238" t="s">
        <v>930</v>
      </c>
      <c r="DI379" s="238" t="s">
        <v>931</v>
      </c>
      <c r="DK379" s="238" t="s">
        <v>932</v>
      </c>
      <c r="DL379" s="238" t="s">
        <v>933</v>
      </c>
      <c r="DM379" s="238" t="s">
        <v>869</v>
      </c>
      <c r="DN379" s="230" t="s">
        <v>915</v>
      </c>
      <c r="DO379" s="250" t="s">
        <v>915</v>
      </c>
      <c r="DP379" s="322" t="s">
        <v>934</v>
      </c>
      <c r="DQ379" s="238"/>
      <c r="DR379" s="166" t="s">
        <v>894</v>
      </c>
      <c r="DS379" s="166" t="s">
        <v>895</v>
      </c>
      <c r="DT379" s="166" t="s">
        <v>935</v>
      </c>
      <c r="DU379" s="166" t="s">
        <v>936</v>
      </c>
      <c r="DV379" s="251" t="s">
        <v>165</v>
      </c>
      <c r="DW379" s="251" t="s">
        <v>165</v>
      </c>
      <c r="DX379" s="238" t="s">
        <v>916</v>
      </c>
      <c r="DY379" s="238"/>
      <c r="DZ379" s="238"/>
      <c r="EA379" s="238"/>
      <c r="EB379" s="238"/>
      <c r="EC379" s="238"/>
      <c r="ED379" s="251" t="s">
        <v>165</v>
      </c>
      <c r="EE379" s="251" t="s">
        <v>165</v>
      </c>
      <c r="EF379" s="166"/>
      <c r="EG379" s="238"/>
      <c r="EH379" s="238"/>
      <c r="EI379" s="238"/>
      <c r="EJ379" s="238"/>
      <c r="EK379" s="238"/>
      <c r="EL379" s="238"/>
      <c r="EM379" s="238"/>
      <c r="EN379" s="238"/>
      <c r="EO379" s="246" t="s">
        <v>917</v>
      </c>
      <c r="EP379" s="247"/>
      <c r="EQ379" s="247"/>
      <c r="ER379" s="247"/>
      <c r="ES379" s="247"/>
      <c r="ET379" s="252"/>
      <c r="EU379" s="248"/>
      <c r="EV379" s="246" t="s">
        <v>918</v>
      </c>
      <c r="EW379" s="247"/>
      <c r="EX379" s="248"/>
      <c r="EY379" s="251" t="s">
        <v>165</v>
      </c>
      <c r="EZ379" s="246" t="s">
        <v>919</v>
      </c>
      <c r="FA379" s="247"/>
      <c r="FB379" s="248"/>
      <c r="FC379" s="246" t="s">
        <v>920</v>
      </c>
      <c r="FD379" s="247"/>
      <c r="FE379" s="248"/>
      <c r="FF379" s="238"/>
      <c r="FG379" s="238"/>
      <c r="FH379" s="238"/>
      <c r="FI379" s="238"/>
      <c r="FJ379" s="246" t="s">
        <v>917</v>
      </c>
      <c r="FK379" s="247"/>
      <c r="FL379" s="247"/>
      <c r="FM379" s="247"/>
      <c r="FN379" s="247"/>
      <c r="FO379" s="252"/>
      <c r="FP379" s="248"/>
      <c r="FQ379" s="246" t="s">
        <v>918</v>
      </c>
      <c r="FR379" s="247"/>
      <c r="FS379" s="248"/>
      <c r="FT379" s="251" t="s">
        <v>165</v>
      </c>
      <c r="FU379" s="246" t="s">
        <v>919</v>
      </c>
      <c r="FV379" s="247"/>
      <c r="FW379" s="248"/>
      <c r="FX379" s="246" t="s">
        <v>920</v>
      </c>
      <c r="FY379" s="247"/>
      <c r="FZ379" s="248"/>
      <c r="GD379" s="340"/>
      <c r="GE379" s="340"/>
      <c r="GF379" s="341" t="s">
        <v>968</v>
      </c>
      <c r="GG379" s="340"/>
      <c r="GH379" s="340"/>
      <c r="GI379" s="340"/>
      <c r="GJ379" s="341" t="s">
        <v>972</v>
      </c>
      <c r="GK379" s="340"/>
      <c r="GL379" s="340"/>
      <c r="GM379" s="340"/>
      <c r="GN379" s="341" t="s">
        <v>971</v>
      </c>
      <c r="GO379" s="340"/>
      <c r="GP379" s="340"/>
      <c r="GQ379" s="340"/>
      <c r="GR379" s="341" t="s">
        <v>970</v>
      </c>
      <c r="GS379" s="340"/>
      <c r="GT379" s="340"/>
      <c r="GU379" s="340"/>
      <c r="GV379" s="341" t="s">
        <v>969</v>
      </c>
      <c r="GW379" s="340"/>
      <c r="GX379" s="340"/>
      <c r="GY379" s="340"/>
      <c r="GZ379" s="342" t="s">
        <v>973</v>
      </c>
      <c r="HA379" s="340"/>
      <c r="HB379" s="340"/>
      <c r="HC379" s="340"/>
      <c r="HD379" s="342" t="s">
        <v>974</v>
      </c>
      <c r="HE379" s="340"/>
      <c r="HF379" s="340"/>
      <c r="HG379" s="340"/>
      <c r="HH379" s="340"/>
      <c r="HI379" s="340"/>
      <c r="HJ379" s="340"/>
      <c r="HK379" s="340"/>
      <c r="HL379" s="340"/>
      <c r="HM379" s="341"/>
      <c r="HN379" s="341"/>
      <c r="HO379" s="341"/>
      <c r="HP379" s="341"/>
      <c r="HQ379" s="341"/>
      <c r="HR379" s="341"/>
      <c r="HS379" s="238"/>
      <c r="HT379" s="238"/>
      <c r="HU379" s="238"/>
      <c r="HV379" s="238"/>
      <c r="HX379" s="238"/>
      <c r="HY379" s="238"/>
      <c r="HZ379" s="238"/>
      <c r="ID379" s="238"/>
    </row>
    <row r="380" spans="1:238" s="234" customFormat="1" ht="20.100000000000001" customHeight="1">
      <c r="A380" s="235"/>
      <c r="B380" s="231">
        <f>COUNT(AJ381,AJ380)</f>
        <v>0</v>
      </c>
      <c r="C380" s="325" t="str">
        <f>CONCATENATE(BG380,BE380)</f>
        <v>HS</v>
      </c>
      <c r="D380" s="253" t="str">
        <f>REPT(DN380,1)</f>
        <v>1</v>
      </c>
      <c r="E380" s="254" t="str">
        <f>REPT(AH380,1)</f>
        <v/>
      </c>
      <c r="F380" s="168"/>
      <c r="G380" s="168"/>
      <c r="H380" s="168"/>
      <c r="I380" s="169"/>
      <c r="J380" s="255" t="str">
        <f>REPT(AM380,1)</f>
        <v/>
      </c>
      <c r="L380" s="309">
        <f>SUM(BS389)</f>
        <v>0</v>
      </c>
      <c r="M380" s="238"/>
      <c r="N380" s="255" t="str">
        <f>REPT(AP380,1)</f>
        <v/>
      </c>
      <c r="P380" s="309">
        <f>SUM(CF389)</f>
        <v>0</v>
      </c>
      <c r="Q380" s="310"/>
      <c r="R380" s="323" t="str">
        <f>CONCATENATE(BH380,BE380)</f>
        <v>GS</v>
      </c>
      <c r="S380" s="253" t="str">
        <f>REPT(DO380,1)</f>
        <v>1</v>
      </c>
      <c r="T380" s="254" t="str">
        <f>REPT(AV380,1)</f>
        <v/>
      </c>
      <c r="U380" s="168"/>
      <c r="V380" s="168"/>
      <c r="W380" s="168"/>
      <c r="X380" s="169"/>
      <c r="Y380" s="255" t="str">
        <f>REPT(BA380,1)</f>
        <v/>
      </c>
      <c r="Z380" s="308"/>
      <c r="AB380" s="234">
        <f>IF(AY380="",0,IF(AY380&lt;2,1,""))</f>
        <v>0</v>
      </c>
      <c r="AC380" s="238">
        <f>IF(AD380=1,1,IF(AD380=3,1,IF(AD380=2,0,IF(AD380=0,0,0))))</f>
        <v>0</v>
      </c>
      <c r="AD380" s="256">
        <f>SUM(AE380:AG380)</f>
        <v>0</v>
      </c>
      <c r="AE380" s="256">
        <f t="shared" ref="AE380:AE384" si="932">IF(F380="",0,1)</f>
        <v>0</v>
      </c>
      <c r="AF380" s="256">
        <f t="shared" ref="AF380:AF384" si="933">IF(G380="",0,1)</f>
        <v>0</v>
      </c>
      <c r="AG380" s="256">
        <f>IF(H380="",0,1)</f>
        <v>0</v>
      </c>
      <c r="AH380" s="257" t="str">
        <f>IF(AK380="",IF(AI380="","",IF(AI380="",501,501-AI380)),501)</f>
        <v/>
      </c>
      <c r="AI380" s="256" t="str">
        <f>IF(F380&gt;1,F380,IF(F380=0,"",IF(F380="","","")))</f>
        <v/>
      </c>
      <c r="AJ380" s="256" t="str">
        <f>IF(G380&gt;8,G380,IF(G380="","",""))</f>
        <v/>
      </c>
      <c r="AK380" s="256" t="str">
        <f>IF(H380&gt;1,H380,IF(H380="","",""))</f>
        <v/>
      </c>
      <c r="AL380" s="256" t="str">
        <f>IF(I380&gt;0,I380,IF(I380="","",""))</f>
        <v/>
      </c>
      <c r="AM380" s="258" t="str">
        <f>IF(BK380=0,"","X")</f>
        <v/>
      </c>
      <c r="AN380" s="237"/>
      <c r="AO380" s="237"/>
      <c r="AP380" s="258" t="str">
        <f>IF(BM380=0,"","X")</f>
        <v/>
      </c>
      <c r="AQ380" s="236">
        <f>IF(AR380=1,1,IF(AR380=3,1,IF(AR380=2,0,IF(AR380=0,0,0))))</f>
        <v>0</v>
      </c>
      <c r="AR380" s="256">
        <f>SUM(AS380:AU380)</f>
        <v>0</v>
      </c>
      <c r="AS380" s="256">
        <f t="shared" ref="AS380:AS384" si="934">IF(U380="",0,1)</f>
        <v>0</v>
      </c>
      <c r="AT380" s="256">
        <f t="shared" ref="AT380:AT384" si="935">IF(V380="",0,1)</f>
        <v>0</v>
      </c>
      <c r="AU380" s="256">
        <f>IF(W380="",0,1)</f>
        <v>0</v>
      </c>
      <c r="AV380" s="257" t="str">
        <f>IF(AY380="",IF(AW380="","",IF(AW380="",501,501-AW380)),501)</f>
        <v/>
      </c>
      <c r="AW380" s="256" t="str">
        <f>IF(U380&gt;1,U380,IF(U380=0,"",IF(U380="","","")))</f>
        <v/>
      </c>
      <c r="AX380" s="256" t="str">
        <f>IF(V380&gt;8,V380,IF(V380="","",""))</f>
        <v/>
      </c>
      <c r="AY380" s="256" t="str">
        <f>IF(W380&gt;1,W380,IF(W380="","",""))</f>
        <v/>
      </c>
      <c r="AZ380" s="256" t="str">
        <f>IF(X380&gt;0,X380,IF(X380="","",""))</f>
        <v/>
      </c>
      <c r="BA380" s="258" t="str">
        <f>IF(BL380=0,"","X")</f>
        <v/>
      </c>
      <c r="BF380" s="238" t="s">
        <v>894</v>
      </c>
      <c r="BG380" s="238" t="str">
        <f>CONCATENATE(BF380,AK377)</f>
        <v>HS</v>
      </c>
      <c r="BH380" s="238" t="str">
        <f>CONCATENATE(BI380,AK377)</f>
        <v>GS</v>
      </c>
      <c r="BI380" s="238" t="s">
        <v>895</v>
      </c>
      <c r="BJ380" s="238"/>
      <c r="BK380" s="251">
        <f>SUM(DD380,DV380,EY380,ED380,FF380,BQ380,BS380,AC380)</f>
        <v>0</v>
      </c>
      <c r="BL380" s="251">
        <f>SUM(DE380,DW380,EE380,FT380,GA380,BR380,BT380,AQ380)</f>
        <v>0</v>
      </c>
      <c r="BM380" s="259">
        <f>SUM(DC380,BK380:BL380,AC380,AQ380)</f>
        <v>0</v>
      </c>
      <c r="BN380" s="239">
        <f>COUNT(AK380)</f>
        <v>0</v>
      </c>
      <c r="BO380" s="239">
        <f>COUNT(AY380)</f>
        <v>0</v>
      </c>
      <c r="BP380" s="239">
        <f>IF(BN382=0,0,1)</f>
        <v>0</v>
      </c>
      <c r="BQ380" s="260">
        <f>IF(AL380="",0,IF(AL380&gt;2,1,0))</f>
        <v>0</v>
      </c>
      <c r="BR380" s="261">
        <f>IF(AZ380="",0,IF(AZ380&gt;2,1,0))</f>
        <v>0</v>
      </c>
      <c r="BS380" s="262">
        <f>IF(AJ380=9,IF(AK380&lt;141,1,0),0)</f>
        <v>0</v>
      </c>
      <c r="BT380" s="263">
        <f>IF(AX380=9,IF(AY380&lt;141,1,0),0)</f>
        <v>0</v>
      </c>
      <c r="BU380" s="242">
        <f>IF(H380,G380,0)</f>
        <v>0</v>
      </c>
      <c r="BV380" s="238">
        <f>IF(BU380&gt;0,AJ380/3,0)</f>
        <v>0</v>
      </c>
      <c r="BW380" s="238">
        <f>ROUNDUP(BV380,0)</f>
        <v>0</v>
      </c>
      <c r="BX380" s="244">
        <f>IF(MOD(BW380,2)=0,BW380,BW380+1)</f>
        <v>0</v>
      </c>
      <c r="BY380" s="238">
        <f>IF(AJ380&lt;9,"",SUM(BX380-BW380))</f>
        <v>0</v>
      </c>
      <c r="BZ380" s="238">
        <f>IF(BY380=1,AK380,0)</f>
        <v>0</v>
      </c>
      <c r="CA380" s="243" t="str">
        <f>IF(BY380=0,AK380,0)</f>
        <v/>
      </c>
      <c r="CB380" s="238"/>
      <c r="CC380" s="238"/>
      <c r="CD380" s="242">
        <f>IF(W380,V380,0)</f>
        <v>0</v>
      </c>
      <c r="CE380" s="238">
        <f>IF(CD380&gt;0,AX380/3,0)</f>
        <v>0</v>
      </c>
      <c r="CF380" s="238">
        <f>ROUNDUP(CE380,0)</f>
        <v>0</v>
      </c>
      <c r="CG380" s="244">
        <f>IF(MOD(CF380,2)=0,CF380,CF380+1)</f>
        <v>0</v>
      </c>
      <c r="CH380" s="238">
        <f>IF(AX380&lt;9,"",SUM(CG380-CF380))</f>
        <v>0</v>
      </c>
      <c r="CI380" s="238">
        <f>IF(CH380=1,AY380,0)</f>
        <v>0</v>
      </c>
      <c r="CJ380" s="243" t="str">
        <f>IF(CH380=0,AY380,0)</f>
        <v/>
      </c>
      <c r="CK380" s="238"/>
      <c r="CL380" s="245">
        <f>IF(COUNT(F380,H380)=1,0,1)</f>
        <v>1</v>
      </c>
      <c r="CM380" s="245">
        <f>IF(COUNT(F380,U380)=1,0,1)</f>
        <v>1</v>
      </c>
      <c r="CN380" s="245">
        <f>IF(COUNT(H380,W380)=1,0,1)</f>
        <v>1</v>
      </c>
      <c r="CO380" s="245">
        <f>IF(COUNT(G380,V380)=2,0,1)</f>
        <v>1</v>
      </c>
      <c r="CP380" s="245">
        <f>IF(COUNT(U380,W380)=1,0,1)</f>
        <v>1</v>
      </c>
      <c r="CQ380" s="245">
        <f>IF(SUM(G380-V380)&gt;3,1,0)</f>
        <v>0</v>
      </c>
      <c r="CR380" s="245">
        <f>IF(SUM(G380-V380)&lt;-3,1,0)</f>
        <v>0</v>
      </c>
      <c r="CS380" s="264">
        <f>IF(AJ380=9,IF(AH380&lt;141,1,0),IF(AH380="",0,IF(AH380&gt;1,0,1)))</f>
        <v>0</v>
      </c>
      <c r="CT380" s="264">
        <f>IF(AX380=9,IF(AV380&lt;141,1,0),IF(AV380="",0,IF(AV380&gt;1,0,1)))</f>
        <v>0</v>
      </c>
      <c r="CU380" s="264">
        <f>IF(AI380="",0,IF(AI380&lt;502,0,1))</f>
        <v>0</v>
      </c>
      <c r="CV380" s="264">
        <f>IF(AW380="",0,IF(AW380&lt;502,0,1))</f>
        <v>0</v>
      </c>
      <c r="CW380" s="264">
        <f>IF(AI380="",IF(AJ380&lt;9,1,0),IF(AJ380&lt;9,1,0))</f>
        <v>0</v>
      </c>
      <c r="CX380" s="264">
        <f>IF(AW380="",IF(AX380&lt;9,1,0),IF(AX380&lt;9,1,0))</f>
        <v>0</v>
      </c>
      <c r="CY380" s="374"/>
      <c r="CZ380" s="374"/>
      <c r="DA380" s="374"/>
      <c r="DB380" s="374"/>
      <c r="DC380" s="265">
        <f>IF(AJ380="",0,SUM(CL380:CX380))</f>
        <v>0</v>
      </c>
      <c r="DD380" s="265">
        <f>IF(AJ380="",0,SUM(CL380,CS380,CU380,CW380))</f>
        <v>0</v>
      </c>
      <c r="DE380" s="265">
        <f>IF(AJ380="",0,SUM(CP380,CT380,CV380,CX380))</f>
        <v>0</v>
      </c>
      <c r="DF380" s="238"/>
      <c r="DG380" s="248" t="str">
        <f>IF(G380="","",SUM(G380-V380))</f>
        <v/>
      </c>
      <c r="DH380" s="245">
        <f>IF(F380="",0,1)</f>
        <v>0</v>
      </c>
      <c r="DI380" s="245" t="str">
        <f>IF(DG380=0,DH380,DG380)</f>
        <v/>
      </c>
      <c r="DJ380" s="245" t="e">
        <f>SIGN(DI380)</f>
        <v>#VALUE!</v>
      </c>
      <c r="DK380" s="245" t="str">
        <f>IF(G380="","",IF(DJ380=1,"*",""))</f>
        <v/>
      </c>
      <c r="DL380" s="245" t="str">
        <f>IF(G380="","",IF(DJ380=-1,"*",IF(DJ380=0,"*","")))</f>
        <v/>
      </c>
      <c r="DM380" s="245">
        <v>1</v>
      </c>
      <c r="DN380" s="245" t="str">
        <f>CONCATENATE(DM380,DK380)</f>
        <v>1</v>
      </c>
      <c r="DO380" s="245" t="str">
        <f>CONCATENATE(DM380,DL380)</f>
        <v>1</v>
      </c>
      <c r="DP380" s="245">
        <f>IF(DK380="*",1,0)</f>
        <v>0</v>
      </c>
      <c r="DQ380" s="245">
        <f>IF(DL380="*",1,0)</f>
        <v>0</v>
      </c>
      <c r="DR380" s="245"/>
      <c r="DS380" s="245"/>
      <c r="DT380" s="245"/>
      <c r="DU380" s="245"/>
      <c r="DV380" s="266"/>
      <c r="DW380" s="266"/>
      <c r="DX380" s="238">
        <f>IF(AK380="",0,1)</f>
        <v>0</v>
      </c>
      <c r="DY380" s="238">
        <f>IF(DG380=-3,1,0)</f>
        <v>0</v>
      </c>
      <c r="DZ380" s="238">
        <f>SUM(DX380:DY380)</f>
        <v>0</v>
      </c>
      <c r="EA380" s="238">
        <f>IF(AK380="",1,0)</f>
        <v>1</v>
      </c>
      <c r="EB380" s="238">
        <f>IF(DG380=3,1,0)</f>
        <v>0</v>
      </c>
      <c r="EC380" s="238">
        <f>SUM(EA380:EB380)</f>
        <v>1</v>
      </c>
      <c r="ED380" s="267">
        <f>IF(EC380=2,1,0)</f>
        <v>0</v>
      </c>
      <c r="EE380" s="267">
        <f>IF(DZ380=2,1,0)</f>
        <v>0</v>
      </c>
      <c r="EG380" s="166"/>
      <c r="EH380" s="238"/>
      <c r="EI380" s="238"/>
      <c r="EJ380" s="238"/>
      <c r="EK380" s="238"/>
      <c r="EL380" s="238"/>
      <c r="EM380" s="245">
        <f>IF(AK380="",0,1)</f>
        <v>0</v>
      </c>
      <c r="EN380" s="245">
        <f>SUM(AK380)</f>
        <v>0</v>
      </c>
      <c r="EO380" s="268">
        <f>SUM(AJ380)</f>
        <v>0</v>
      </c>
      <c r="EP380" s="268">
        <f>SUM(G380/3)</f>
        <v>0</v>
      </c>
      <c r="EQ380" s="268" t="e">
        <f>SUM(EO380/EP380)</f>
        <v>#DIV/0!</v>
      </c>
      <c r="ER380" s="268">
        <f>ROUNDDOWN(EP380,0)</f>
        <v>0</v>
      </c>
      <c r="ES380" s="268">
        <f>SUM(EO380,-ER380*3)</f>
        <v>0</v>
      </c>
      <c r="ET380" s="269" t="b">
        <f>MOD(EN380/1,2)=0</f>
        <v>1</v>
      </c>
      <c r="EU380" s="245">
        <f>IF(ET380=FALSE,1,0)</f>
        <v>0</v>
      </c>
      <c r="EV380" s="245">
        <f>IF(EN380=50,0,IF(EN380&lt;40,1,0))</f>
        <v>1</v>
      </c>
      <c r="EW380" s="245">
        <f>SUM(EU380:EV380)</f>
        <v>1</v>
      </c>
      <c r="EX380" s="267">
        <f>IF(EN380=1,1,IF(EN380=50,0,IF(ES380=1,IF(EN380&gt;40,1,0),0)))</f>
        <v>0</v>
      </c>
      <c r="EY380" s="267">
        <f>IF(ES380=1,IF(EW380=2,1,0),0)+EX380+FB380+FE380</f>
        <v>0</v>
      </c>
      <c r="EZ380" s="245">
        <f>IF(EN380=109,1,IF(EN380=108,1,IF(EN380=106,1,IF(EN380=105,1,IF(EN380=103,1,IF(EN380=102,1,IF(EN380=99,1,0)))))))</f>
        <v>0</v>
      </c>
      <c r="FA380" s="245">
        <f>IF(EN380&gt;110,1,0)</f>
        <v>0</v>
      </c>
      <c r="FB380" s="267">
        <f>IF(ES380=2,SUM(EZ380:FA380),0)</f>
        <v>0</v>
      </c>
      <c r="FC380" s="245">
        <f>IF(EN380=159,1,IF(EN380=162,1,IF(EN380=163,1,IF(EN380=165,1,IF(EN380=166,1,IF(EN380=168,1,IF(EN380=169,1,0)))))))</f>
        <v>0</v>
      </c>
      <c r="FD380" s="245">
        <f>IF(EN380&gt;170,1,0)</f>
        <v>0</v>
      </c>
      <c r="FE380" s="267">
        <f>IF(ES380=0,SUM(FC380:FD380),0)</f>
        <v>0</v>
      </c>
      <c r="FF380" s="251">
        <f>IF(AJ380="",0,IF(AI380="",0,IF(EO380/ER380-3=0,0,1)))</f>
        <v>0</v>
      </c>
      <c r="FG380" s="238"/>
      <c r="FH380" s="245">
        <f>IF(AY380="",0,1)</f>
        <v>0</v>
      </c>
      <c r="FI380" s="245">
        <f>SUM(AY380)</f>
        <v>0</v>
      </c>
      <c r="FJ380" s="268">
        <f>SUM(AX380)</f>
        <v>0</v>
      </c>
      <c r="FK380" s="268">
        <f>SUM(V380/3)</f>
        <v>0</v>
      </c>
      <c r="FL380" s="268" t="e">
        <f>SUM(FJ380/FK380)</f>
        <v>#DIV/0!</v>
      </c>
      <c r="FM380" s="268">
        <f>ROUNDDOWN(FK380,0)</f>
        <v>0</v>
      </c>
      <c r="FN380" s="268">
        <f>SUM(FJ380,-FM380*3)</f>
        <v>0</v>
      </c>
      <c r="FO380" s="269" t="b">
        <f>MOD(FI380/1,2)=0</f>
        <v>1</v>
      </c>
      <c r="FP380" s="245">
        <f>IF(FO380=FALSE,1,0)</f>
        <v>0</v>
      </c>
      <c r="FQ380" s="245">
        <f>IF(FI380=50,0,IF(FI380&lt;40,1,0))</f>
        <v>1</v>
      </c>
      <c r="FR380" s="245">
        <f>SUM(FP380:FQ380)</f>
        <v>1</v>
      </c>
      <c r="FS380" s="267">
        <f>IF(FI380=1,1,IF(FI380=50,0,IF(FN380=1,IF(FI380&gt;40,1,0),0)))</f>
        <v>0</v>
      </c>
      <c r="FT380" s="267">
        <f>IF(FN380=1,IF(FR380=2,1,0),0)+FS380+FW380+FZ380</f>
        <v>0</v>
      </c>
      <c r="FU380" s="245">
        <f>IF(FI380=109,1,IF(FI380=108,1,IF(FI380=106,1,IF(FI380=105,1,IF(FI380=103,1,IF(FI380=102,1,IF(FI380=99,1,0)))))))</f>
        <v>0</v>
      </c>
      <c r="FV380" s="245">
        <f>IF(FI380&gt;110,1,0)</f>
        <v>0</v>
      </c>
      <c r="FW380" s="267">
        <f>IF(FN380=2,SUM(FU380:FV380),0)</f>
        <v>0</v>
      </c>
      <c r="FX380" s="245">
        <f>IF(FI380=159,1,IF(FI380=162,1,IF(FI380=163,1,IF(FI380=165,1,IF(FI380=166,1,IF(FI380=168,1,IF(FI380=169,1,0)))))))</f>
        <v>0</v>
      </c>
      <c r="FY380" s="245">
        <f>IF(FI380&gt;170,1,0)</f>
        <v>0</v>
      </c>
      <c r="FZ380" s="267">
        <f>IF(FN380=0,SUM(FX380:FY380),0)</f>
        <v>0</v>
      </c>
      <c r="GA380" s="251">
        <f>IF(AX380="",0,IF(AW380="",0,IF(FJ380/FM380-3=0,0,1)))</f>
        <v>0</v>
      </c>
      <c r="GD380" s="341">
        <f>IF(AK377="D",1,0)</f>
        <v>0</v>
      </c>
      <c r="GE380" s="343"/>
      <c r="GF380" s="343" t="s">
        <v>866</v>
      </c>
      <c r="GG380" s="343" t="s">
        <v>868</v>
      </c>
      <c r="GH380" s="343" t="s">
        <v>848</v>
      </c>
      <c r="GI380" s="343">
        <v>180</v>
      </c>
      <c r="GJ380" s="343" t="s">
        <v>866</v>
      </c>
      <c r="GK380" s="343" t="s">
        <v>868</v>
      </c>
      <c r="GL380" s="343" t="s">
        <v>848</v>
      </c>
      <c r="GM380" s="343">
        <v>180</v>
      </c>
      <c r="GN380" s="343" t="s">
        <v>866</v>
      </c>
      <c r="GO380" s="343" t="s">
        <v>868</v>
      </c>
      <c r="GP380" s="343" t="s">
        <v>848</v>
      </c>
      <c r="GQ380" s="343">
        <v>180</v>
      </c>
      <c r="GR380" s="343" t="s">
        <v>866</v>
      </c>
      <c r="GS380" s="343" t="s">
        <v>868</v>
      </c>
      <c r="GT380" s="343" t="s">
        <v>848</v>
      </c>
      <c r="GU380" s="343">
        <v>180</v>
      </c>
      <c r="GV380" s="343" t="s">
        <v>866</v>
      </c>
      <c r="GW380" s="343" t="s">
        <v>868</v>
      </c>
      <c r="GX380" s="343" t="s">
        <v>848</v>
      </c>
      <c r="GY380" s="343">
        <v>180</v>
      </c>
      <c r="GZ380" s="343" t="s">
        <v>866</v>
      </c>
      <c r="HA380" s="343" t="s">
        <v>868</v>
      </c>
      <c r="HB380" s="343" t="s">
        <v>848</v>
      </c>
      <c r="HC380" s="343">
        <v>180</v>
      </c>
      <c r="HD380" s="343" t="s">
        <v>866</v>
      </c>
      <c r="HE380" s="343" t="s">
        <v>868</v>
      </c>
      <c r="HF380" s="341" t="s">
        <v>975</v>
      </c>
      <c r="HG380" s="341" t="s">
        <v>976</v>
      </c>
      <c r="HH380" s="341" t="s">
        <v>899</v>
      </c>
      <c r="HJ380" s="238"/>
      <c r="HK380" s="238"/>
      <c r="HL380" s="238"/>
      <c r="HM380" s="238">
        <f>COUNT(HI381,HJ381,HK381,HL381,HM381)</f>
        <v>0</v>
      </c>
      <c r="HN380" s="341"/>
      <c r="HO380" s="341"/>
      <c r="HP380" s="341"/>
      <c r="HQ380" s="341"/>
      <c r="HR380" s="341"/>
      <c r="HS380" s="238"/>
      <c r="HT380" s="238"/>
      <c r="HU380" s="238"/>
      <c r="HV380" s="238"/>
      <c r="HX380" s="238"/>
      <c r="HY380" s="238"/>
      <c r="ID380" s="238"/>
    </row>
    <row r="381" spans="1:238" s="234" customFormat="1" ht="20.100000000000001" customHeight="1">
      <c r="A381" s="235"/>
      <c r="B381" s="231">
        <f>COUNT(AJ382,AJ381)</f>
        <v>0</v>
      </c>
      <c r="C381" s="326">
        <f>IF(DK380="*",AJ377,AI377)</f>
        <v>3.7</v>
      </c>
      <c r="D381" s="253" t="str">
        <f>REPT(DN381,1)</f>
        <v>2</v>
      </c>
      <c r="E381" s="254" t="str">
        <f>REPT(AH381,1)</f>
        <v/>
      </c>
      <c r="F381" s="168"/>
      <c r="G381" s="168"/>
      <c r="H381" s="168"/>
      <c r="I381" s="169"/>
      <c r="J381" s="270" t="str">
        <f>REPT(AM381,1)</f>
        <v/>
      </c>
      <c r="L381" s="306" t="s">
        <v>922</v>
      </c>
      <c r="M381" s="311"/>
      <c r="N381" s="270" t="str">
        <f>REPT(AP381,1)</f>
        <v/>
      </c>
      <c r="P381" s="306" t="s">
        <v>922</v>
      </c>
      <c r="Q381" s="310"/>
      <c r="R381" s="324">
        <f>IF(DL380="*",AJ377,AI377)</f>
        <v>3.7</v>
      </c>
      <c r="S381" s="253" t="str">
        <f>REPT(DO381,1)</f>
        <v>2</v>
      </c>
      <c r="T381" s="254" t="str">
        <f>REPT(AV381,1)</f>
        <v/>
      </c>
      <c r="U381" s="168"/>
      <c r="V381" s="168"/>
      <c r="W381" s="168"/>
      <c r="X381" s="169"/>
      <c r="Y381" s="270" t="str">
        <f t="shared" ref="Y381:Y383" si="936">REPT(BA381,1)</f>
        <v/>
      </c>
      <c r="Z381" s="308"/>
      <c r="AB381" s="234">
        <f>IF(AY381="",0,IF(AY381&lt;2,1,""))</f>
        <v>0</v>
      </c>
      <c r="AC381" s="238">
        <f t="shared" ref="AC381:AC382" si="937">IF(AD381=1,1,IF(AD381=3,1,IF(AD381=2,0,IF(AD381=0,0,0))))</f>
        <v>0</v>
      </c>
      <c r="AD381" s="256">
        <f t="shared" ref="AD381:AD384" si="938">SUM(AE381:AG381)</f>
        <v>0</v>
      </c>
      <c r="AE381" s="256">
        <f t="shared" si="932"/>
        <v>0</v>
      </c>
      <c r="AF381" s="256">
        <f t="shared" si="933"/>
        <v>0</v>
      </c>
      <c r="AG381" s="256">
        <f t="shared" ref="AG381:AG384" si="939">IF(H381="",0,1)</f>
        <v>0</v>
      </c>
      <c r="AH381" s="257" t="str">
        <f>IF(AK381="",IF(AI381="","",IF(AI381="",501,501-AI381)),501)</f>
        <v/>
      </c>
      <c r="AI381" s="256" t="str">
        <f>IF(F381&gt;1,F381,IF(F381=0,"",IF(F381="","","")))</f>
        <v/>
      </c>
      <c r="AJ381" s="256" t="str">
        <f>IF(G381&gt;8,G381,IF(G381="","",""))</f>
        <v/>
      </c>
      <c r="AK381" s="256" t="str">
        <f>IF(H381&gt;1,H381,IF(H381="","",""))</f>
        <v/>
      </c>
      <c r="AL381" s="256" t="str">
        <f>IF(I381&gt;0,I381,IF(I381="","",""))</f>
        <v/>
      </c>
      <c r="AM381" s="258" t="str">
        <f>IF(BK381=0,"","X")</f>
        <v/>
      </c>
      <c r="AN381" s="237"/>
      <c r="AO381" s="237"/>
      <c r="AP381" s="258" t="str">
        <f>IF(BM381=0,"","X")</f>
        <v/>
      </c>
      <c r="AQ381" s="236">
        <f t="shared" ref="AQ381:AQ382" si="940">IF(AR381=1,1,IF(AR381=3,1,IF(AR381=2,0,IF(AR381=0,0,0))))</f>
        <v>0</v>
      </c>
      <c r="AR381" s="256">
        <f t="shared" ref="AR381:AR384" si="941">SUM(AS381:AU381)</f>
        <v>0</v>
      </c>
      <c r="AS381" s="256">
        <f t="shared" si="934"/>
        <v>0</v>
      </c>
      <c r="AT381" s="256">
        <f t="shared" si="935"/>
        <v>0</v>
      </c>
      <c r="AU381" s="256">
        <f t="shared" ref="AU381:AU384" si="942">IF(W381="",0,1)</f>
        <v>0</v>
      </c>
      <c r="AV381" s="257" t="str">
        <f>IF(AY381="",IF(AW381="","",IF(AW381="",501,501-AW381)),501)</f>
        <v/>
      </c>
      <c r="AW381" s="256" t="str">
        <f>IF(U381&gt;1,U381,IF(U381=0,"",IF(U381="","","")))</f>
        <v/>
      </c>
      <c r="AX381" s="256" t="str">
        <f>IF(V381&gt;8,V381,IF(V381="","",""))</f>
        <v/>
      </c>
      <c r="AY381" s="256" t="str">
        <f>IF(W381&gt;1,W381,IF(W381="","",""))</f>
        <v/>
      </c>
      <c r="AZ381" s="256" t="str">
        <f>IF(X381&gt;0,X381,IF(X381="","",""))</f>
        <v/>
      </c>
      <c r="BA381" s="258" t="str">
        <f>IF(BL381=0,"","X")</f>
        <v/>
      </c>
      <c r="BK381" s="251">
        <f>SUM(DD381,DV381,EY381,ED381,FF381,BQ381,BS381,AC381)</f>
        <v>0</v>
      </c>
      <c r="BL381" s="251">
        <f>SUM(DE381,DW381,EE381,FT381,GA381,BR381,BT381,AQ381)</f>
        <v>0</v>
      </c>
      <c r="BM381" s="259">
        <f t="shared" ref="BM381:BM382" si="943">SUM(DC381,BK381:BL381,AC381,AQ381)</f>
        <v>0</v>
      </c>
      <c r="BN381" s="239">
        <f>COUNT(AK381)</f>
        <v>0</v>
      </c>
      <c r="BO381" s="239">
        <f>COUNT(AY381)</f>
        <v>0</v>
      </c>
      <c r="BP381" s="239">
        <f>IF(BN383=0,0,1)</f>
        <v>0</v>
      </c>
      <c r="BQ381" s="260">
        <f>IF(AL381="",0,IF(AL381&gt;2,1,0))</f>
        <v>0</v>
      </c>
      <c r="BR381" s="261">
        <f>IF(AZ381="",0,IF(AZ381&gt;2,1,0))</f>
        <v>0</v>
      </c>
      <c r="BS381" s="262">
        <f>IF(AJ381=9,IF(AK381&lt;141,1,0),0)</f>
        <v>0</v>
      </c>
      <c r="BT381" s="263">
        <f>IF(AX381=9,IF(AY381&lt;141,1,0),0)</f>
        <v>0</v>
      </c>
      <c r="BU381" s="242">
        <f>IF(H381,G381,0)</f>
        <v>0</v>
      </c>
      <c r="BV381" s="238">
        <f>IF(BU381&gt;0,AJ381/3,0)</f>
        <v>0</v>
      </c>
      <c r="BW381" s="238">
        <f>ROUNDUP(BV381,0)</f>
        <v>0</v>
      </c>
      <c r="BX381" s="244">
        <f>IF(MOD(BW381,2)=0,BW381,BW381+1)</f>
        <v>0</v>
      </c>
      <c r="BY381" s="238">
        <f>IF(AJ381&lt;9,"",SUM(BX381-BW381))</f>
        <v>0</v>
      </c>
      <c r="BZ381" s="238">
        <f>IF(BY381=1,AK381,0)</f>
        <v>0</v>
      </c>
      <c r="CA381" s="243" t="str">
        <f>IF(BY381=0,AK381,0)</f>
        <v/>
      </c>
      <c r="CB381" s="238"/>
      <c r="CC381" s="238"/>
      <c r="CD381" s="242">
        <f>IF(W381,V381,0)</f>
        <v>0</v>
      </c>
      <c r="CE381" s="238">
        <f>IF(CD381&gt;0,AX381/3,0)</f>
        <v>0</v>
      </c>
      <c r="CF381" s="238">
        <f>ROUNDUP(CE381,0)</f>
        <v>0</v>
      </c>
      <c r="CG381" s="244">
        <f>IF(MOD(CF381,2)=0,CF381,CF381+1)</f>
        <v>0</v>
      </c>
      <c r="CH381" s="238">
        <f>IF(AX381&lt;9,"",SUM(CG381-CF381))</f>
        <v>0</v>
      </c>
      <c r="CI381" s="238">
        <f>IF(CH381=1,AY381,0)</f>
        <v>0</v>
      </c>
      <c r="CJ381" s="243" t="str">
        <f>IF(CH381=0,AY381,0)</f>
        <v/>
      </c>
      <c r="CK381" s="238"/>
      <c r="CL381" s="245">
        <f>IF(COUNT(F381,H381)=1,0,1)</f>
        <v>1</v>
      </c>
      <c r="CM381" s="245">
        <f>IF(COUNT(F381,U381)=1,0,1)</f>
        <v>1</v>
      </c>
      <c r="CN381" s="245">
        <f>IF(COUNT(H381,W381)=1,0,1)</f>
        <v>1</v>
      </c>
      <c r="CO381" s="245">
        <f>IF(COUNT(G381,V381)=2,0,1)</f>
        <v>1</v>
      </c>
      <c r="CP381" s="245">
        <f>IF(COUNT(U381,W381)=1,0,1)</f>
        <v>1</v>
      </c>
      <c r="CQ381" s="245">
        <f>IF(SUM(G381-V381)&gt;3,1,0)</f>
        <v>0</v>
      </c>
      <c r="CR381" s="245">
        <f>IF(SUM(G381-V381)&lt;-3,1,0)</f>
        <v>0</v>
      </c>
      <c r="CS381" s="264">
        <f>IF(AJ381=9,IF(AH381&lt;141,1,0),IF(AH381="",0,IF(AH381&gt;1,0,1)))</f>
        <v>0</v>
      </c>
      <c r="CT381" s="264">
        <f>IF(AX381=9,IF(AV381&lt;141,1,0),IF(AV381="",0,IF(AV381&gt;1,0,1)))</f>
        <v>0</v>
      </c>
      <c r="CU381" s="264">
        <f>IF(AI381="",0,IF(AI381&lt;502,0,1))</f>
        <v>0</v>
      </c>
      <c r="CV381" s="264">
        <f>IF(AW381="",0,IF(AW381&lt;502,0,1))</f>
        <v>0</v>
      </c>
      <c r="CW381" s="264">
        <f>IF(AI381="",IF(AJ381&lt;9,1,0),IF(AJ381&lt;9,1,0))</f>
        <v>0</v>
      </c>
      <c r="CX381" s="264">
        <f>IF(AW381="",IF(AX381&lt;9,1,0),IF(AX381&lt;9,1,0))</f>
        <v>0</v>
      </c>
      <c r="CY381" s="374"/>
      <c r="CZ381" s="374"/>
      <c r="DA381" s="374"/>
      <c r="DB381" s="374"/>
      <c r="DC381" s="265">
        <f>IF(AJ381="",0,SUM(CL381:CX381))</f>
        <v>0</v>
      </c>
      <c r="DD381" s="265">
        <f>IF(AJ381="",0,SUM(CL381,CS381,CU381,CW381))</f>
        <v>0</v>
      </c>
      <c r="DE381" s="265">
        <f>IF(AJ381="",0,SUM(CP381,CT381,CV381,CX381))</f>
        <v>0</v>
      </c>
      <c r="DF381" s="238"/>
      <c r="DG381" s="248">
        <f>SUM(G381-V381)</f>
        <v>0</v>
      </c>
      <c r="DH381" s="245">
        <f>IF(F381="",0,1)</f>
        <v>0</v>
      </c>
      <c r="DI381" s="245">
        <f t="shared" ref="DI381:DI384" si="944">IF(DG381=0,DH381,DG381)</f>
        <v>0</v>
      </c>
      <c r="DJ381" s="245">
        <f t="shared" ref="DJ381:DJ384" si="945">SIGN(DI381)</f>
        <v>0</v>
      </c>
      <c r="DK381" s="245" t="str">
        <f>IF(G381="","",IF(DJ381=1,"*",""))</f>
        <v/>
      </c>
      <c r="DL381" s="245" t="str">
        <f>IF(G381="","",IF(DJ381=-1,"*",IF(DJ381=0,"*","")))</f>
        <v/>
      </c>
      <c r="DM381" s="245">
        <v>2</v>
      </c>
      <c r="DN381" s="245" t="str">
        <f t="shared" ref="DN381:DN384" si="946">CONCATENATE(DM381,DK381)</f>
        <v>2</v>
      </c>
      <c r="DO381" s="245" t="str">
        <f t="shared" ref="DO381:DO384" si="947">CONCATENATE(DM381,DL381)</f>
        <v>2</v>
      </c>
      <c r="DP381" s="245">
        <f>SUM(DQ380)</f>
        <v>0</v>
      </c>
      <c r="DQ381" s="245">
        <f>SUM(DP380)</f>
        <v>0</v>
      </c>
      <c r="DR381" s="245">
        <f>IF(DK381="*",1,0)</f>
        <v>0</v>
      </c>
      <c r="DS381" s="245">
        <f>IF(DL381="*",1,0)</f>
        <v>0</v>
      </c>
      <c r="DT381" s="245">
        <f>IF(H371="",0,IF(DP381=DR381,1,0))</f>
        <v>0</v>
      </c>
      <c r="DU381" s="245">
        <f>IF(V381="",0,IF(DQ381=DS381,0,1))</f>
        <v>0</v>
      </c>
      <c r="DV381" s="267">
        <f>SUM(DT381)</f>
        <v>0</v>
      </c>
      <c r="DW381" s="267">
        <f>IF(V381="",0,SUM(DU381))</f>
        <v>0</v>
      </c>
      <c r="DX381" s="238">
        <f>IF(AK381="",0,1)</f>
        <v>0</v>
      </c>
      <c r="DY381" s="238">
        <f>IF(DG381=-3,1,0)</f>
        <v>0</v>
      </c>
      <c r="DZ381" s="238">
        <f>SUM(DX381:DY381)</f>
        <v>0</v>
      </c>
      <c r="EA381" s="238">
        <f>IF(AK381="",1,0)</f>
        <v>1</v>
      </c>
      <c r="EB381" s="238">
        <f>IF(DG381=3,1,0)</f>
        <v>0</v>
      </c>
      <c r="EC381" s="238">
        <f>SUM(EA381:EB381)</f>
        <v>1</v>
      </c>
      <c r="ED381" s="267">
        <f>IF(EC381=2,1,0)</f>
        <v>0</v>
      </c>
      <c r="EE381" s="267">
        <f>IF(DZ381=2,1,0)</f>
        <v>0</v>
      </c>
      <c r="EG381" s="166"/>
      <c r="EH381" s="238"/>
      <c r="EI381" s="238"/>
      <c r="EJ381" s="238"/>
      <c r="EK381" s="238"/>
      <c r="EL381" s="238"/>
      <c r="EM381" s="245">
        <f>IF(AK381="",0,1)</f>
        <v>0</v>
      </c>
      <c r="EN381" s="245">
        <f>SUM(AK381)</f>
        <v>0</v>
      </c>
      <c r="EO381" s="268">
        <f>SUM(AJ381)</f>
        <v>0</v>
      </c>
      <c r="EP381" s="268">
        <f>SUM(G381/3)</f>
        <v>0</v>
      </c>
      <c r="EQ381" s="268" t="e">
        <f>SUM(EO381/EP381)</f>
        <v>#DIV/0!</v>
      </c>
      <c r="ER381" s="268">
        <f>ROUNDDOWN(EP381,0)</f>
        <v>0</v>
      </c>
      <c r="ES381" s="268">
        <f>SUM(EO381,-ER381*3)</f>
        <v>0</v>
      </c>
      <c r="ET381" s="269" t="b">
        <f>MOD(EN381/1,2)=0</f>
        <v>1</v>
      </c>
      <c r="EU381" s="245">
        <f>IF(ET381=FALSE,1,0)</f>
        <v>0</v>
      </c>
      <c r="EV381" s="245">
        <f>IF(EN381=50,0,IF(EN381&lt;40,1,0))</f>
        <v>1</v>
      </c>
      <c r="EW381" s="245">
        <f>SUM(EU381:EV381)</f>
        <v>1</v>
      </c>
      <c r="EX381" s="267">
        <f>IF(EN381=1,1,IF(EN381=50,0,IF(ES381=1,IF(EN381&gt;40,1,0),0)))</f>
        <v>0</v>
      </c>
      <c r="EY381" s="267">
        <f>IF(ES381=1,IF(EW381=2,1,0),0)+EX381+FB381+FE381</f>
        <v>0</v>
      </c>
      <c r="EZ381" s="245">
        <f>IF(EN381=109,1,IF(EN381=108,1,IF(EN381=106,1,IF(EN381=105,1,IF(EN381=103,1,IF(EN381=102,1,IF(EN381=99,1,0)))))))</f>
        <v>0</v>
      </c>
      <c r="FA381" s="245">
        <f>IF(EN381&gt;110,1,0)</f>
        <v>0</v>
      </c>
      <c r="FB381" s="267">
        <f>IF(ES381=2,SUM(EZ381:FA381),0)</f>
        <v>0</v>
      </c>
      <c r="FC381" s="245">
        <f>IF(EN381=159,1,IF(EN381=162,1,IF(EN381=163,1,IF(EN381=165,1,IF(EN381=166,1,IF(EN381=168,1,IF(EN381=169,1,0)))))))</f>
        <v>0</v>
      </c>
      <c r="FD381" s="245">
        <f>IF(EN381&gt;170,1,0)</f>
        <v>0</v>
      </c>
      <c r="FE381" s="267">
        <f>IF(ES381=0,SUM(FC381:FD381),0)</f>
        <v>0</v>
      </c>
      <c r="FF381" s="251">
        <f t="shared" ref="FF381:FF384" si="948">IF(AJ381="",0,IF(AI381="",0,IF(EO381/ER381-3=0,0,1)))</f>
        <v>0</v>
      </c>
      <c r="FG381" s="238"/>
      <c r="FH381" s="245">
        <f>IF(AY381="",0,1)</f>
        <v>0</v>
      </c>
      <c r="FI381" s="245">
        <f>SUM(AY381)</f>
        <v>0</v>
      </c>
      <c r="FJ381" s="268">
        <f>SUM(AX381)</f>
        <v>0</v>
      </c>
      <c r="FK381" s="268">
        <f>SUM(V381/3)</f>
        <v>0</v>
      </c>
      <c r="FL381" s="268" t="e">
        <f>SUM(FJ381/FK381)</f>
        <v>#DIV/0!</v>
      </c>
      <c r="FM381" s="268">
        <f>ROUNDDOWN(FK381,0)</f>
        <v>0</v>
      </c>
      <c r="FN381" s="268">
        <f>SUM(FJ381,-FM381*3)</f>
        <v>0</v>
      </c>
      <c r="FO381" s="269" t="b">
        <f>MOD(FI381/1,2)=0</f>
        <v>1</v>
      </c>
      <c r="FP381" s="245">
        <f>IF(FO381=FALSE,1,0)</f>
        <v>0</v>
      </c>
      <c r="FQ381" s="245">
        <f>IF(FI381=50,0,IF(FI381&lt;40,1,0))</f>
        <v>1</v>
      </c>
      <c r="FR381" s="245">
        <f>SUM(FP381:FQ381)</f>
        <v>1</v>
      </c>
      <c r="FS381" s="267">
        <f>IF(FI381=1,1,IF(FI381=50,0,IF(FN381=1,IF(FI381&gt;40,1,0),0)))</f>
        <v>0</v>
      </c>
      <c r="FT381" s="267">
        <f>IF(FN381=1,IF(FR381=2,1,0),0)+FS381+FW381+FZ381</f>
        <v>0</v>
      </c>
      <c r="FU381" s="245">
        <f>IF(FI381=109,1,IF(FI381=108,1,IF(FI381=106,1,IF(FI381=105,1,IF(FI381=103,1,IF(FI381=102,1,IF(FI381=99,1,0)))))))</f>
        <v>0</v>
      </c>
      <c r="FV381" s="245">
        <f>IF(FI381&gt;110,1,0)</f>
        <v>0</v>
      </c>
      <c r="FW381" s="267">
        <f>IF(FN381=2,SUM(FU381:FV381),0)</f>
        <v>0</v>
      </c>
      <c r="FX381" s="245">
        <f>IF(FI381=159,1,IF(FI381=162,1,IF(FI381=163,1,IF(FI381=165,1,IF(FI381=166,1,IF(FI381=168,1,IF(FI381=169,1,0)))))))</f>
        <v>0</v>
      </c>
      <c r="FY381" s="245">
        <f>IF(FI381&gt;170,1,0)</f>
        <v>0</v>
      </c>
      <c r="FZ381" s="267">
        <f>IF(FN381=0,SUM(FX381:FY381),0)</f>
        <v>0</v>
      </c>
      <c r="GA381" s="251">
        <f t="shared" ref="GA381:GA384" si="949">IF(AX381="",0,IF(AW381="",0,IF(FJ381/FM381-3=0,0,1)))</f>
        <v>0</v>
      </c>
      <c r="GC381" s="238" t="str">
        <f>VLOOKUP(AH377,Chema!BL:BR,2,FALSE)</f>
        <v>HS 3.7</v>
      </c>
      <c r="GD381" s="341">
        <f>IF(E387="FORFAIT",1,0)</f>
        <v>0</v>
      </c>
      <c r="GE381" s="343" t="str">
        <f>IF(C387="","",SUM(C387))</f>
        <v/>
      </c>
      <c r="GF381" s="344">
        <f>SUM(AH380)</f>
        <v>0</v>
      </c>
      <c r="GG381" s="344">
        <f>SUM(AJ380)</f>
        <v>0</v>
      </c>
      <c r="GH381" s="344">
        <f t="shared" ref="GH381" si="950">SUM(AK380)</f>
        <v>0</v>
      </c>
      <c r="GI381" s="344">
        <f t="shared" ref="GI381" si="951">SUM(AL380)</f>
        <v>0</v>
      </c>
      <c r="GJ381" s="344">
        <f>SUM(AH381)</f>
        <v>0</v>
      </c>
      <c r="GK381" s="344">
        <f>SUM(AJ381)</f>
        <v>0</v>
      </c>
      <c r="GL381" s="344">
        <f>SUM(AK381)</f>
        <v>0</v>
      </c>
      <c r="GM381" s="344">
        <f>SUM(AL381)</f>
        <v>0</v>
      </c>
      <c r="GN381" s="344">
        <f>SUM(AH382)</f>
        <v>0</v>
      </c>
      <c r="GO381" s="344">
        <f>SUM(AJ382)</f>
        <v>0</v>
      </c>
      <c r="GP381" s="344">
        <f>SUM(AK382)</f>
        <v>0</v>
      </c>
      <c r="GQ381" s="344">
        <f>SUM(AL382)</f>
        <v>0</v>
      </c>
      <c r="GR381" s="344">
        <f>SUM(AH383)</f>
        <v>0</v>
      </c>
      <c r="GS381" s="344">
        <f>SUM(AJ383)</f>
        <v>0</v>
      </c>
      <c r="GT381" s="344">
        <f>SUM(AK383)</f>
        <v>0</v>
      </c>
      <c r="GU381" s="344">
        <f>SUM(AL383)</f>
        <v>0</v>
      </c>
      <c r="GV381" s="344">
        <f>SUM(AH384)</f>
        <v>0</v>
      </c>
      <c r="GW381" s="344">
        <f>SUM(AJ384)</f>
        <v>0</v>
      </c>
      <c r="GX381" s="344">
        <f>SUM(AK384)</f>
        <v>0</v>
      </c>
      <c r="GY381" s="344">
        <f>SUM(AL384)</f>
        <v>0</v>
      </c>
      <c r="GZ381" s="344">
        <f>SUM(GF381,GJ381,GN381,GR381,GV381)</f>
        <v>0</v>
      </c>
      <c r="HA381" s="344">
        <f t="shared" ref="HA381" si="952">SUM(GG381,GK381,GO381,GS381,GW381)</f>
        <v>0</v>
      </c>
      <c r="HB381" s="344">
        <f>IF(GD380=1,L387,MAX(GH381,GL381,GP381,GT381,GX381))</f>
        <v>0</v>
      </c>
      <c r="HC381" s="344">
        <f>IF(GD380=1,I387,SUM(GI381,GM381,GQ381,GU381,GY381))</f>
        <v>0</v>
      </c>
      <c r="HD381" s="345">
        <f>IF(GD380=1,0,SUM(GF381,GJ381,GN381,GR381,GV381))</f>
        <v>0</v>
      </c>
      <c r="HE381" s="345">
        <f>IF(GD380=1,0,SUM(GG381,GK381,GO381,GS381,GW381))</f>
        <v>0</v>
      </c>
      <c r="HF381" s="341">
        <f>IF(GD380=1,0,MIN(HI381,HJ381,HK381,HL381,HM381))</f>
        <v>0</v>
      </c>
      <c r="HG381" s="341">
        <f>IF(HF381=0,0,COUNTIF(HI381:HM381,HF381))</f>
        <v>0</v>
      </c>
      <c r="HH381" s="341">
        <f>SUM(GH382,GL382,GP382,GT382,GX382)</f>
        <v>0</v>
      </c>
      <c r="HI381" s="343" t="str">
        <f>IF(GH382=1,GG381,"")</f>
        <v/>
      </c>
      <c r="HJ381" s="343" t="str">
        <f>IF(GL382=1,GK381,"")</f>
        <v/>
      </c>
      <c r="HK381" s="343" t="str">
        <f>IF(GP382=1,GO381,"")</f>
        <v/>
      </c>
      <c r="HL381" s="343" t="str">
        <f>IF(GT382=1,GS381,"")</f>
        <v/>
      </c>
      <c r="HM381" s="343" t="str">
        <f>IF(GX382=1,GW381,"")</f>
        <v/>
      </c>
      <c r="HN381" s="341"/>
      <c r="HO381" s="341" t="s">
        <v>928</v>
      </c>
      <c r="HP381" s="341" t="s">
        <v>982</v>
      </c>
      <c r="HQ381" s="341" t="s">
        <v>983</v>
      </c>
      <c r="HR381" s="341" t="s">
        <v>984</v>
      </c>
      <c r="HS381" s="238" t="s">
        <v>932</v>
      </c>
      <c r="HT381" s="238" t="s">
        <v>933</v>
      </c>
      <c r="HU381" s="238" t="s">
        <v>985</v>
      </c>
      <c r="HV381" s="238" t="s">
        <v>986</v>
      </c>
      <c r="HW381" s="238" t="str">
        <f>IFERROR(IF(GD380=0,SUM(HZ382:IA382),""),"")</f>
        <v/>
      </c>
      <c r="HY381" s="238"/>
      <c r="HZ381" s="238" t="s">
        <v>1132</v>
      </c>
      <c r="IA381" s="238" t="s">
        <v>1133</v>
      </c>
      <c r="IB381" s="238" t="s">
        <v>1132</v>
      </c>
      <c r="IC381" s="238" t="s">
        <v>1133</v>
      </c>
      <c r="ID381" s="238"/>
    </row>
    <row r="382" spans="1:238" s="234" customFormat="1" ht="20.100000000000001" customHeight="1">
      <c r="A382" s="235"/>
      <c r="B382" s="231">
        <f>COUNT(AJ383,AJ382)</f>
        <v>0</v>
      </c>
      <c r="C382" s="235"/>
      <c r="D382" s="271" t="str">
        <f>REPT(DN382,1)</f>
        <v>3</v>
      </c>
      <c r="E382" s="254" t="str">
        <f>REPT(AH382,1)</f>
        <v/>
      </c>
      <c r="F382" s="168"/>
      <c r="G382" s="168"/>
      <c r="H382" s="168"/>
      <c r="I382" s="169"/>
      <c r="J382" s="270" t="str">
        <f t="shared" ref="J382:J383" si="953">REPT(AM382,1)</f>
        <v/>
      </c>
      <c r="L382" s="312">
        <f>SUM(L380*3)</f>
        <v>0</v>
      </c>
      <c r="M382" s="307"/>
      <c r="N382" s="270" t="str">
        <f>REPT(AP382,1)</f>
        <v/>
      </c>
      <c r="P382" s="312">
        <f>SUM(P380*3)</f>
        <v>0</v>
      </c>
      <c r="Q382" s="310"/>
      <c r="R382" s="235"/>
      <c r="S382" s="271" t="str">
        <f>REPT(DO382,1)</f>
        <v>3</v>
      </c>
      <c r="T382" s="254" t="str">
        <f>REPT(AV382,1)</f>
        <v/>
      </c>
      <c r="U382" s="168"/>
      <c r="V382" s="168"/>
      <c r="W382" s="168"/>
      <c r="X382" s="169"/>
      <c r="Y382" s="270" t="str">
        <f t="shared" si="936"/>
        <v/>
      </c>
      <c r="Z382" s="308"/>
      <c r="AB382" s="234">
        <f>IF(AY382="",0,IF(AY382&lt;2,1,""))</f>
        <v>0</v>
      </c>
      <c r="AC382" s="238">
        <f t="shared" si="937"/>
        <v>0</v>
      </c>
      <c r="AD382" s="256">
        <f t="shared" si="938"/>
        <v>0</v>
      </c>
      <c r="AE382" s="256">
        <f t="shared" si="932"/>
        <v>0</v>
      </c>
      <c r="AF382" s="256">
        <f t="shared" si="933"/>
        <v>0</v>
      </c>
      <c r="AG382" s="256">
        <f t="shared" si="939"/>
        <v>0</v>
      </c>
      <c r="AH382" s="257" t="str">
        <f>IF(AK382="",IF(AI382="","",IF(AI382="",501,501-AI382)),501)</f>
        <v/>
      </c>
      <c r="AI382" s="256" t="str">
        <f>IF(F382&gt;1,F382,IF(F382=0,"",IF(F382="","","")))</f>
        <v/>
      </c>
      <c r="AJ382" s="256" t="str">
        <f>IF(G382&gt;8,G382,IF(G382="","",""))</f>
        <v/>
      </c>
      <c r="AK382" s="256" t="str">
        <f>IF(H382&gt;1,H382,IF(H382="","",""))</f>
        <v/>
      </c>
      <c r="AL382" s="256" t="str">
        <f>IF(I382&gt;0,I382,IF(I382="","",""))</f>
        <v/>
      </c>
      <c r="AM382" s="258" t="str">
        <f>IF(BK382=0,"","X")</f>
        <v/>
      </c>
      <c r="AN382" s="237"/>
      <c r="AO382" s="237"/>
      <c r="AP382" s="258" t="str">
        <f>IF(BM382=0,"","X")</f>
        <v/>
      </c>
      <c r="AQ382" s="236">
        <f t="shared" si="940"/>
        <v>0</v>
      </c>
      <c r="AR382" s="256">
        <f t="shared" si="941"/>
        <v>0</v>
      </c>
      <c r="AS382" s="256">
        <f t="shared" si="934"/>
        <v>0</v>
      </c>
      <c r="AT382" s="256">
        <f t="shared" si="935"/>
        <v>0</v>
      </c>
      <c r="AU382" s="256">
        <f t="shared" si="942"/>
        <v>0</v>
      </c>
      <c r="AV382" s="257" t="str">
        <f>IF(AY382="",IF(AW382="","",IF(AW382="",501,501-AW382)),501)</f>
        <v/>
      </c>
      <c r="AW382" s="256" t="str">
        <f>IF(U382&gt;1,U382,IF(U382=0,"",IF(U382="","","")))</f>
        <v/>
      </c>
      <c r="AX382" s="256" t="str">
        <f>IF(V382&gt;8,V382,IF(V382="","",""))</f>
        <v/>
      </c>
      <c r="AY382" s="256" t="str">
        <f>IF(W382&gt;1,W382,IF(W382="","",""))</f>
        <v/>
      </c>
      <c r="AZ382" s="256" t="str">
        <f>IF(X382&gt;0,X382,IF(X382="","",""))</f>
        <v/>
      </c>
      <c r="BA382" s="258" t="str">
        <f>IF(BL382=0,"","X")</f>
        <v/>
      </c>
      <c r="BK382" s="251">
        <f>SUM(DD382,DV382,EY382,ED382,FF382,BQ382,BS382,AC382,BK389)</f>
        <v>0</v>
      </c>
      <c r="BL382" s="251">
        <f>SUM(DE382,DW382,EE382,FT382,GA382,BR382,BT382,AQ382,BL389,CZ382)</f>
        <v>0</v>
      </c>
      <c r="BM382" s="259">
        <f t="shared" si="943"/>
        <v>0</v>
      </c>
      <c r="BN382" s="239">
        <f>COUNT(AK382)</f>
        <v>0</v>
      </c>
      <c r="BO382" s="239">
        <f>COUNT(AY382)</f>
        <v>0</v>
      </c>
      <c r="BP382" s="239">
        <f>IF(BN384=0,0,1)</f>
        <v>0</v>
      </c>
      <c r="BQ382" s="260">
        <f>IF(AL382="",0,IF(AL382&gt;2,1,0))</f>
        <v>0</v>
      </c>
      <c r="BR382" s="261">
        <f>IF(AZ382="",0,IF(AZ382&gt;2,1,0))</f>
        <v>0</v>
      </c>
      <c r="BS382" s="262">
        <f>IF(AJ382=9,IF(AK382&lt;141,1,0),0)</f>
        <v>0</v>
      </c>
      <c r="BT382" s="263">
        <f>IF(AX382=9,IF(AY382&lt;141,1,0),0)</f>
        <v>0</v>
      </c>
      <c r="BU382" s="242">
        <f>IF(H382,G382,0)</f>
        <v>0</v>
      </c>
      <c r="BV382" s="238">
        <f>IF(BU382&gt;0,AJ382/3,0)</f>
        <v>0</v>
      </c>
      <c r="BW382" s="238">
        <f>ROUNDUP(BV382,0)</f>
        <v>0</v>
      </c>
      <c r="BX382" s="244">
        <f>IF(MOD(BW382,2)=0,BW382,BW382+1)</f>
        <v>0</v>
      </c>
      <c r="BY382" s="238">
        <f>IF(AJ382&lt;9,"",SUM(BX382-BW382))</f>
        <v>0</v>
      </c>
      <c r="BZ382" s="238">
        <f>IF(BY382=1,AK382,0)</f>
        <v>0</v>
      </c>
      <c r="CA382" s="243" t="str">
        <f>IF(BY382=0,AK382,0)</f>
        <v/>
      </c>
      <c r="CB382" s="238"/>
      <c r="CC382" s="238"/>
      <c r="CD382" s="242">
        <f>IF(W382,V382,0)</f>
        <v>0</v>
      </c>
      <c r="CE382" s="238">
        <f>IF(CD382&gt;0,AX382/3,0)</f>
        <v>0</v>
      </c>
      <c r="CF382" s="238">
        <f>ROUNDUP(CE382,0)</f>
        <v>0</v>
      </c>
      <c r="CG382" s="244">
        <f>IF(MOD(CF382,2)=0,CF382,CF382+1)</f>
        <v>0</v>
      </c>
      <c r="CH382" s="238">
        <f>IF(AX382&lt;9,"",SUM(CG382-CF382))</f>
        <v>0</v>
      </c>
      <c r="CI382" s="238">
        <f>IF(CH382=1,AY382,0)</f>
        <v>0</v>
      </c>
      <c r="CJ382" s="243" t="str">
        <f>IF(CH382=0,AY382,0)</f>
        <v/>
      </c>
      <c r="CK382" s="238"/>
      <c r="CL382" s="245">
        <f>IF(COUNT(F382,H382)=1,0,1)</f>
        <v>1</v>
      </c>
      <c r="CM382" s="245">
        <f>IF(COUNT(F382,U382)=1,0,1)</f>
        <v>1</v>
      </c>
      <c r="CN382" s="245">
        <f>IF(COUNT(H382,W382)=1,0,1)</f>
        <v>1</v>
      </c>
      <c r="CO382" s="245">
        <f>IF(COUNT(G382,V382)=2,0,1)</f>
        <v>1</v>
      </c>
      <c r="CP382" s="245">
        <f>IF(COUNT(U382,W382)=1,0,1)</f>
        <v>1</v>
      </c>
      <c r="CQ382" s="245">
        <f>IF(SUM(G382-V382)&gt;3,1,0)</f>
        <v>0</v>
      </c>
      <c r="CR382" s="245">
        <f>IF(SUM(G382-V382)&lt;-3,1,0)</f>
        <v>0</v>
      </c>
      <c r="CS382" s="264">
        <f>IF(AJ382=9,IF(AH382&lt;141,1,0),IF(AH382="",0,IF(AH382&gt;1,0,1)))</f>
        <v>0</v>
      </c>
      <c r="CT382" s="264">
        <f>IF(AX382=9,IF(AV382&lt;141,1,0),IF(AV382="",0,IF(AV382&gt;1,0,1)))</f>
        <v>0</v>
      </c>
      <c r="CU382" s="264">
        <f>IF(AI382="",0,IF(AI382&lt;502,0,1))</f>
        <v>0</v>
      </c>
      <c r="CV382" s="264">
        <f>IF(AW382="",0,IF(AW382&lt;502,0,1))</f>
        <v>0</v>
      </c>
      <c r="CW382" s="264">
        <f>IF(AI382="",IF(AJ382&lt;9,1,0),IF(AJ382&lt;9,1,0))</f>
        <v>0</v>
      </c>
      <c r="CX382" s="264">
        <f>IF(AW382="",IF(AX382&lt;9,1,0),IF(AX382&lt;9,1,0))</f>
        <v>0</v>
      </c>
      <c r="CY382" s="374">
        <f>COUNT(U380,U381,U382)</f>
        <v>0</v>
      </c>
      <c r="CZ382" s="375">
        <f>IF(AL377=3,IF(CY382&gt;2,1,0),0)</f>
        <v>0</v>
      </c>
      <c r="DA382" s="374"/>
      <c r="DB382" s="374"/>
      <c r="DC382" s="265">
        <f>IF(AJ382="",0,SUM(CL382:CX382))</f>
        <v>0</v>
      </c>
      <c r="DD382" s="265">
        <f>IF(AJ382="",0,SUM(CL382,CS382,CU382,CW382))</f>
        <v>0</v>
      </c>
      <c r="DE382" s="265">
        <f>IF(AJ382="",0,SUM(CP382,CT382,CV382,CX382))</f>
        <v>0</v>
      </c>
      <c r="DF382" s="238"/>
      <c r="DG382" s="248">
        <f>SUM(G382-V382)</f>
        <v>0</v>
      </c>
      <c r="DH382" s="245">
        <f>IF(F382="",0,1)</f>
        <v>0</v>
      </c>
      <c r="DI382" s="245">
        <f t="shared" si="944"/>
        <v>0</v>
      </c>
      <c r="DJ382" s="245">
        <f t="shared" si="945"/>
        <v>0</v>
      </c>
      <c r="DK382" s="245" t="str">
        <f>IF(G382="","",IF(DJ382=1,"*",""))</f>
        <v/>
      </c>
      <c r="DL382" s="245" t="str">
        <f>IF(G382="","",IF(DJ382=-1,"*",IF(DJ382=0,"*","")))</f>
        <v/>
      </c>
      <c r="DM382" s="245">
        <v>3</v>
      </c>
      <c r="DN382" s="245" t="str">
        <f t="shared" si="946"/>
        <v>3</v>
      </c>
      <c r="DO382" s="245" t="str">
        <f t="shared" si="947"/>
        <v>3</v>
      </c>
      <c r="DP382" s="245">
        <f>SUM(DP380)</f>
        <v>0</v>
      </c>
      <c r="DQ382" s="245">
        <f>SUM(DQ380)</f>
        <v>0</v>
      </c>
      <c r="DR382" s="245">
        <f t="shared" ref="DR382:DR384" si="954">IF(DK382="*",1,0)</f>
        <v>0</v>
      </c>
      <c r="DS382" s="245">
        <f t="shared" ref="DS382:DS384" si="955">IF(DL382="*",1,0)</f>
        <v>0</v>
      </c>
      <c r="DT382" s="245">
        <f t="shared" ref="DT382:DT384" si="956">IF(H372="",0,IF(DP382=DR382,1,0))</f>
        <v>0</v>
      </c>
      <c r="DU382" s="245">
        <f>IF(V382="",0,IF(DQ382=DS382,0,1))</f>
        <v>0</v>
      </c>
      <c r="DV382" s="267">
        <f t="shared" ref="DV382:DV384" si="957">SUM(DT382)</f>
        <v>0</v>
      </c>
      <c r="DW382" s="267">
        <f>IF(V382="",0,SUM(DU382))</f>
        <v>0</v>
      </c>
      <c r="DX382" s="238">
        <f>IF(AK382="",0,1)</f>
        <v>0</v>
      </c>
      <c r="DY382" s="238">
        <f>IF(DG382=-3,1,0)</f>
        <v>0</v>
      </c>
      <c r="DZ382" s="238">
        <f>SUM(DX382:DY382)</f>
        <v>0</v>
      </c>
      <c r="EA382" s="238">
        <f>IF(AK382="",1,0)</f>
        <v>1</v>
      </c>
      <c r="EB382" s="238">
        <f>IF(DG382=3,1,0)</f>
        <v>0</v>
      </c>
      <c r="EC382" s="238">
        <f>SUM(EA382:EB382)</f>
        <v>1</v>
      </c>
      <c r="ED382" s="267">
        <f>IF(EC382=2,1,0)</f>
        <v>0</v>
      </c>
      <c r="EE382" s="267">
        <f>IF(DZ382=2,1,0)</f>
        <v>0</v>
      </c>
      <c r="EG382" s="166"/>
      <c r="EH382" s="238"/>
      <c r="EI382" s="238"/>
      <c r="EJ382" s="238"/>
      <c r="EK382" s="238"/>
      <c r="EL382" s="238"/>
      <c r="EM382" s="245">
        <f>IF(AK382="",0,1)</f>
        <v>0</v>
      </c>
      <c r="EN382" s="245">
        <f>SUM(AK382)</f>
        <v>0</v>
      </c>
      <c r="EO382" s="268">
        <f>SUM(AJ382)</f>
        <v>0</v>
      </c>
      <c r="EP382" s="268">
        <f>SUM(G382/3)</f>
        <v>0</v>
      </c>
      <c r="EQ382" s="268" t="e">
        <f>SUM(EO382/EP382)</f>
        <v>#DIV/0!</v>
      </c>
      <c r="ER382" s="268">
        <f>ROUNDDOWN(EP382,0)</f>
        <v>0</v>
      </c>
      <c r="ES382" s="268">
        <f>SUM(EO382,-ER382*3)</f>
        <v>0</v>
      </c>
      <c r="ET382" s="269" t="b">
        <f>MOD(EN382/1,2)=0</f>
        <v>1</v>
      </c>
      <c r="EU382" s="245">
        <f>IF(ET382=FALSE,1,0)</f>
        <v>0</v>
      </c>
      <c r="EV382" s="245">
        <f>IF(EN382=50,0,IF(EN382&lt;40,1,0))</f>
        <v>1</v>
      </c>
      <c r="EW382" s="245">
        <f>SUM(EU382:EV382)</f>
        <v>1</v>
      </c>
      <c r="EX382" s="267">
        <f>IF(EN382=1,1,IF(EN382=50,0,IF(ES382=1,IF(EN382&gt;40,1,0),0)))</f>
        <v>0</v>
      </c>
      <c r="EY382" s="267">
        <f>IF(ES382=1,IF(EW382=2,1,0),0)+EX382+FB382+FE382</f>
        <v>0</v>
      </c>
      <c r="EZ382" s="245">
        <f>IF(EN382=109,1,IF(EN382=108,1,IF(EN382=106,1,IF(EN382=105,1,IF(EN382=103,1,IF(EN382=102,1,IF(EN382=99,1,0)))))))</f>
        <v>0</v>
      </c>
      <c r="FA382" s="245">
        <f>IF(EN382&gt;110,1,0)</f>
        <v>0</v>
      </c>
      <c r="FB382" s="267">
        <f>IF(ES382=2,SUM(EZ382:FA382),0)</f>
        <v>0</v>
      </c>
      <c r="FC382" s="245">
        <f>IF(EN382=159,1,IF(EN382=162,1,IF(EN382=163,1,IF(EN382=165,1,IF(EN382=166,1,IF(EN382=168,1,IF(EN382=169,1,0)))))))</f>
        <v>0</v>
      </c>
      <c r="FD382" s="245">
        <f>IF(EN382&gt;170,1,0)</f>
        <v>0</v>
      </c>
      <c r="FE382" s="267">
        <f>IF(ES382=0,SUM(FC382:FD382),0)</f>
        <v>0</v>
      </c>
      <c r="FF382" s="251">
        <f t="shared" si="948"/>
        <v>0</v>
      </c>
      <c r="FG382" s="238"/>
      <c r="FH382" s="245">
        <f>IF(AY382="",0,1)</f>
        <v>0</v>
      </c>
      <c r="FI382" s="245">
        <f>SUM(AY382)</f>
        <v>0</v>
      </c>
      <c r="FJ382" s="268">
        <f>SUM(AX382)</f>
        <v>0</v>
      </c>
      <c r="FK382" s="268">
        <f>SUM(V382/3)</f>
        <v>0</v>
      </c>
      <c r="FL382" s="268" t="e">
        <f>SUM(FJ382/FK382)</f>
        <v>#DIV/0!</v>
      </c>
      <c r="FM382" s="268">
        <f>ROUNDDOWN(FK382,0)</f>
        <v>0</v>
      </c>
      <c r="FN382" s="268">
        <f>SUM(FJ382,-FM382*3)</f>
        <v>0</v>
      </c>
      <c r="FO382" s="269" t="b">
        <f>MOD(FI382/1,2)=0</f>
        <v>1</v>
      </c>
      <c r="FP382" s="245">
        <f>IF(FO382=FALSE,1,0)</f>
        <v>0</v>
      </c>
      <c r="FQ382" s="245">
        <f>IF(FI382=50,0,IF(FI382&lt;40,1,0))</f>
        <v>1</v>
      </c>
      <c r="FR382" s="245">
        <f>SUM(FP382:FQ382)</f>
        <v>1</v>
      </c>
      <c r="FS382" s="267">
        <f>IF(FI382=1,1,IF(FI382=50,0,IF(FN382=1,IF(FI382&gt;40,1,0),0)))</f>
        <v>0</v>
      </c>
      <c r="FT382" s="267">
        <f>IF(FN382=1,IF(FR382=2,1,0),0)+FS382+FW382+FZ382</f>
        <v>0</v>
      </c>
      <c r="FU382" s="245">
        <f>IF(FI382=109,1,IF(FI382=108,1,IF(FI382=106,1,IF(FI382=105,1,IF(FI382=103,1,IF(FI382=102,1,IF(FI382=99,1,0)))))))</f>
        <v>0</v>
      </c>
      <c r="FV382" s="245">
        <f>IF(FI382&gt;110,1,0)</f>
        <v>0</v>
      </c>
      <c r="FW382" s="267">
        <f>IF(FN382=2,SUM(FU382:FV382),0)</f>
        <v>0</v>
      </c>
      <c r="FX382" s="245">
        <f>IF(FI382=159,1,IF(FI382=162,1,IF(FI382=163,1,IF(FI382=165,1,IF(FI382=166,1,IF(FI382=168,1,IF(FI382=169,1,0)))))))</f>
        <v>0</v>
      </c>
      <c r="FY382" s="245">
        <f>IF(FI382&gt;170,1,0)</f>
        <v>0</v>
      </c>
      <c r="FZ382" s="267">
        <f>IF(FN382=0,SUM(FX382:FY382),0)</f>
        <v>0</v>
      </c>
      <c r="GA382" s="251">
        <f t="shared" si="949"/>
        <v>0</v>
      </c>
      <c r="GC382" s="238" t="str">
        <f>VLOOKUP(AH377,Chema!BL:BR,3,FALSE)</f>
        <v/>
      </c>
      <c r="GD382" s="341"/>
      <c r="GE382" s="343" t="str">
        <f>IF(C388="","",SUM(C388))</f>
        <v/>
      </c>
      <c r="GF382" s="346"/>
      <c r="GG382" s="340"/>
      <c r="GH382" s="343">
        <f>IF(GH381&gt;0,1,0)</f>
        <v>0</v>
      </c>
      <c r="GI382" s="346"/>
      <c r="GJ382" s="343"/>
      <c r="GK382" s="340"/>
      <c r="GL382" s="343">
        <f>IF(GL381&gt;0,1,0)</f>
        <v>0</v>
      </c>
      <c r="GM382" s="343"/>
      <c r="GN382" s="343"/>
      <c r="GO382" s="340"/>
      <c r="GP382" s="343">
        <f>IF(GP381&gt;0,1,0)</f>
        <v>0</v>
      </c>
      <c r="GQ382" s="343"/>
      <c r="GR382" s="343"/>
      <c r="GS382" s="340"/>
      <c r="GT382" s="343">
        <f>IF(GT381&gt;0,1,0)</f>
        <v>0</v>
      </c>
      <c r="GU382" s="343"/>
      <c r="GV382" s="343"/>
      <c r="GW382" s="340"/>
      <c r="GX382" s="343">
        <f>IF(GX381&gt;0,1,0)</f>
        <v>0</v>
      </c>
      <c r="GY382" s="343"/>
      <c r="GZ382" s="343"/>
      <c r="HA382" s="343"/>
      <c r="HB382" s="343" t="str">
        <f>IF(GD380=1,L388,"")</f>
        <v/>
      </c>
      <c r="HC382" s="343" t="str">
        <f>IF(GD380=1,I388,"")</f>
        <v/>
      </c>
      <c r="HD382" s="345"/>
      <c r="HE382" s="340"/>
      <c r="HF382" s="340"/>
      <c r="HG382" s="347">
        <f>IF(GE381="",0,IF(AL377=3,2,IF(AL377=5,3,0)))</f>
        <v>0</v>
      </c>
      <c r="HH382" s="347">
        <f>IF(HK382=0,0,IF(HG384=0,0,1))</f>
        <v>0</v>
      </c>
      <c r="HI382" s="340"/>
      <c r="HJ382" s="340"/>
      <c r="HK382" s="340">
        <f>SUM(HM380,HM384)</f>
        <v>0</v>
      </c>
      <c r="HL382" s="340">
        <f>IF(HK382=0,0,IF(HM380=HG382,1,0))</f>
        <v>0</v>
      </c>
      <c r="HM382" s="340">
        <f>IF(HK382=0,0,IF(HM384=HG382,1,0))</f>
        <v>0</v>
      </c>
      <c r="HN382" s="341" t="str">
        <f>REPT(N377,1)</f>
        <v>Spiel 27</v>
      </c>
      <c r="HO382" s="348" t="str">
        <f>IF(HK382=0,"",IF(HH382=0,SUM(HH381),""))</f>
        <v/>
      </c>
      <c r="HP382" s="348" t="str">
        <f>IF(HK382=0,"",IF(HH382=0,SUM(HH383),""))</f>
        <v/>
      </c>
      <c r="HQ382" s="348" t="e">
        <f>IF(HH382=0,SUM(GZ381/HA381),"")</f>
        <v>#DIV/0!</v>
      </c>
      <c r="HR382" s="348" t="e">
        <f>IF(HH382=0,SUM(GZ383/HA383),"")</f>
        <v>#DIV/0!</v>
      </c>
      <c r="HS382" s="238" t="str">
        <f>REPT(DK380,1)</f>
        <v/>
      </c>
      <c r="HT382" s="238" t="str">
        <f>REPT(DL380,1)</f>
        <v/>
      </c>
      <c r="HU382" s="238">
        <f>IF(HH382=0,HL382,"")</f>
        <v>0</v>
      </c>
      <c r="HV382" s="238">
        <f>IF(HH382=0,HM382,"")</f>
        <v>0</v>
      </c>
      <c r="HW382" s="238" t="s">
        <v>1131</v>
      </c>
      <c r="HY382" s="238"/>
      <c r="HZ382" s="238" t="e">
        <f>IF(AL377=5,IF(HU382=1,SUM(HO382*2-HP382),HO382+HP382-2),"")</f>
        <v>#VALUE!</v>
      </c>
      <c r="IA382" s="238" t="str">
        <f>IF(AL377=3,IF(HU382=1,SUM(HO382-HP382+3),HO382+HP382-1),"")</f>
        <v/>
      </c>
      <c r="IB382" s="238" t="e">
        <f>IF(AL377=5,IF(HV382=1,SUM(HP382*2-HO382),HO382+HP382-2),"")</f>
        <v>#VALUE!</v>
      </c>
      <c r="IC382" s="238" t="str">
        <f>IF(AL377=3,IF(HV382=1,SUM(HP382-HO382+3),HO382+HP382-1),"")</f>
        <v/>
      </c>
      <c r="ID382" s="238">
        <f>SUM(BM386)</f>
        <v>0</v>
      </c>
    </row>
    <row r="383" spans="1:238" s="234" customFormat="1" ht="20.100000000000001" customHeight="1">
      <c r="A383" s="235"/>
      <c r="B383" s="231">
        <f>COUNT(AJ384,AJ383)</f>
        <v>0</v>
      </c>
      <c r="C383" s="235"/>
      <c r="D383" s="328" t="str">
        <f>REPT(DN383,1)</f>
        <v>4</v>
      </c>
      <c r="E383" s="329" t="str">
        <f>REPT(AH383,1)</f>
        <v/>
      </c>
      <c r="F383" s="330"/>
      <c r="G383" s="330"/>
      <c r="H383" s="330"/>
      <c r="I383" s="331"/>
      <c r="J383" s="270" t="str">
        <f t="shared" si="953"/>
        <v/>
      </c>
      <c r="M383" s="311"/>
      <c r="N383" s="270" t="str">
        <f>REPT(AP383,1)</f>
        <v/>
      </c>
      <c r="Q383" s="310"/>
      <c r="R383" s="235"/>
      <c r="S383" s="328" t="str">
        <f>REPT(DO383,1)</f>
        <v>4</v>
      </c>
      <c r="T383" s="329" t="str">
        <f>REPT(AV383,1)</f>
        <v/>
      </c>
      <c r="U383" s="330"/>
      <c r="V383" s="330"/>
      <c r="W383" s="330"/>
      <c r="X383" s="331"/>
      <c r="Y383" s="270" t="str">
        <f t="shared" si="936"/>
        <v/>
      </c>
      <c r="Z383" s="308"/>
      <c r="AA383" s="238">
        <f>SUM(AL377)</f>
        <v>5</v>
      </c>
      <c r="AB383" s="234">
        <f>IF(AY383="",0,IF(AY383&lt;2,1,""))</f>
        <v>0</v>
      </c>
      <c r="AC383" s="238">
        <f>IF(AL377=3,0,IF(AD383=1,1,IF(AD383=3,1,IF(AD383=2,0,IF(AD383=0,0,0)))))</f>
        <v>0</v>
      </c>
      <c r="AD383" s="256">
        <f t="shared" si="938"/>
        <v>0</v>
      </c>
      <c r="AE383" s="256">
        <f t="shared" si="932"/>
        <v>0</v>
      </c>
      <c r="AF383" s="256">
        <f t="shared" si="933"/>
        <v>0</v>
      </c>
      <c r="AG383" s="256">
        <f t="shared" si="939"/>
        <v>0</v>
      </c>
      <c r="AH383" s="257" t="str">
        <f>IF(AL377=3,"",IF(AK383="",IF(AI383="","",IF(AI383="",501,501-AI383)),501))</f>
        <v/>
      </c>
      <c r="AI383" s="256" t="str">
        <f>IF(AL377=3,"",IF(F383&gt;1,F383,IF(F383=0,"",IF(F383="","",""))))</f>
        <v/>
      </c>
      <c r="AJ383" s="256" t="str">
        <f>IF(AL377=3,"",IF(G383&gt;8,G383,IF(G383="","","")))</f>
        <v/>
      </c>
      <c r="AK383" s="256" t="str">
        <f>IF(AL377=3,"",IF(H383&gt;1,H383,IF(H383="","","")))</f>
        <v/>
      </c>
      <c r="AL383" s="256" t="str">
        <f>IF(AL377=3,"",IF(I383&gt;0,I383,IF(I383="","","")))</f>
        <v/>
      </c>
      <c r="AM383" s="258" t="str">
        <f>IF(BK383=0,"","X")</f>
        <v/>
      </c>
      <c r="AN383" s="237"/>
      <c r="AO383" s="237"/>
      <c r="AP383" s="258" t="str">
        <f>IF(BM383=0,"","X")</f>
        <v/>
      </c>
      <c r="AQ383" s="236">
        <f>IF(AL377=3,0,IF(AR383=1,1,IF(AR383=3,1,IF(AR383=2,0,IF(AR383=0,0,0)))))</f>
        <v>0</v>
      </c>
      <c r="AR383" s="256">
        <f t="shared" si="941"/>
        <v>0</v>
      </c>
      <c r="AS383" s="256">
        <f t="shared" si="934"/>
        <v>0</v>
      </c>
      <c r="AT383" s="256">
        <f t="shared" si="935"/>
        <v>0</v>
      </c>
      <c r="AU383" s="256">
        <f t="shared" si="942"/>
        <v>0</v>
      </c>
      <c r="AV383" s="257" t="str">
        <f>IF(AY383="",IF(AW383="","",IF(AW383="",501,501-AW383)),501)</f>
        <v/>
      </c>
      <c r="AW383" s="256" t="str">
        <f>IF(AL377=3,"",IF(U383&gt;1,U383,IF(U383=0,"",IF(U383="","",""))))</f>
        <v/>
      </c>
      <c r="AX383" s="256" t="str">
        <f>IF(AL377=3,"",IF(V383&gt;8,V383,IF(V383="","","")))</f>
        <v/>
      </c>
      <c r="AY383" s="256" t="str">
        <f>IF(AL377=3,"",IF(W383&gt;1,W383,IF(W383="","","")))</f>
        <v/>
      </c>
      <c r="AZ383" s="256" t="str">
        <f>IF(AL377=3,"",IF(X383&gt;0,X383,IF(X383="","","")))</f>
        <v/>
      </c>
      <c r="BA383" s="258" t="str">
        <f>IF(BL383=0,"","X")</f>
        <v/>
      </c>
      <c r="BK383" s="251">
        <f>IF(AL377=3,0,SUM(DD383,DV383,EY383,ED383,FF383,BQ383,BS383,AC383))</f>
        <v>0</v>
      </c>
      <c r="BL383" s="251">
        <f>IF(AL377=3,0,SUM(DE383,DW383,EE383,FT383,GA383,BR383,BT383,AQ383))</f>
        <v>0</v>
      </c>
      <c r="BM383" s="259">
        <f>IF(AL377=3,0,SUM(DC383,BK383:BL383,AC383,AQ383))</f>
        <v>0</v>
      </c>
      <c r="BN383" s="239">
        <f>COUNT(AK383)</f>
        <v>0</v>
      </c>
      <c r="BO383" s="239">
        <f>COUNT(AY383)</f>
        <v>0</v>
      </c>
      <c r="BP383" s="239">
        <f>IF(BZ385=0,0,1)</f>
        <v>0</v>
      </c>
      <c r="BQ383" s="260">
        <f>IF(AL383="",0,IF(AL383&gt;2,1,0))</f>
        <v>0</v>
      </c>
      <c r="BR383" s="261">
        <f>IF(AZ383="",0,IF(AZ383&gt;2,1,0))</f>
        <v>0</v>
      </c>
      <c r="BS383" s="262">
        <f>IF(AJ383=9,IF(AK383&lt;141,1,0),0)</f>
        <v>0</v>
      </c>
      <c r="BT383" s="263">
        <f>IF(AX383=9,IF(AY383&lt;141,1,0),0)</f>
        <v>0</v>
      </c>
      <c r="BU383" s="242">
        <f>IF(AL377=3,0,IF(H383,G383,0))</f>
        <v>0</v>
      </c>
      <c r="BV383" s="238">
        <f>IF(BU383&gt;0,AJ383/3,0)</f>
        <v>0</v>
      </c>
      <c r="BW383" s="238">
        <f>ROUNDUP(BV383,0)</f>
        <v>0</v>
      </c>
      <c r="BX383" s="244">
        <f>IF(MOD(BW383,2)=0,BW383,BW383+1)</f>
        <v>0</v>
      </c>
      <c r="BY383" s="238">
        <f>IF(AJ383&lt;9,"",SUM(BX383-BW383))</f>
        <v>0</v>
      </c>
      <c r="BZ383" s="238">
        <f>IF(BY383=1,AK383,0)</f>
        <v>0</v>
      </c>
      <c r="CA383" s="243" t="str">
        <f>IF(BY383=0,AK383,0)</f>
        <v/>
      </c>
      <c r="CB383" s="238"/>
      <c r="CC383" s="238"/>
      <c r="CD383" s="242">
        <f>IF(AL377=3,0,IF(W383,V383,0))</f>
        <v>0</v>
      </c>
      <c r="CE383" s="238">
        <f>IF(CD383&gt;0,AX383/3,0)</f>
        <v>0</v>
      </c>
      <c r="CF383" s="238">
        <f>ROUNDUP(CE383,0)</f>
        <v>0</v>
      </c>
      <c r="CG383" s="244">
        <f>IF(MOD(CF383,2)=0,CF383,CF383+1)</f>
        <v>0</v>
      </c>
      <c r="CH383" s="238">
        <f>IF(AX383&lt;9,"",SUM(CG383-CF383))</f>
        <v>0</v>
      </c>
      <c r="CI383" s="238">
        <f>IF(CH383=1,AY383,0)</f>
        <v>0</v>
      </c>
      <c r="CJ383" s="243" t="str">
        <f>IF(CH383=0,AY383,0)</f>
        <v/>
      </c>
      <c r="CK383" s="238"/>
      <c r="CL383" s="245">
        <f>IF(COUNT(F383,H383)=1,0,1)</f>
        <v>1</v>
      </c>
      <c r="CM383" s="245">
        <f>IF(COUNT(F383,U383)=1,0,1)</f>
        <v>1</v>
      </c>
      <c r="CN383" s="245">
        <f>IF(COUNT(H383,W383)=1,0,1)</f>
        <v>1</v>
      </c>
      <c r="CO383" s="245">
        <f>IF(COUNT(G383,V383)=2,0,1)</f>
        <v>1</v>
      </c>
      <c r="CP383" s="245">
        <f>IF(COUNT(U383,W383)=1,0,1)</f>
        <v>1</v>
      </c>
      <c r="CQ383" s="245">
        <f>IF(SUM(G383-V383)&gt;3,1,0)</f>
        <v>0</v>
      </c>
      <c r="CR383" s="245">
        <f>IF(SUM(G383-V383)&lt;-3,1,0)</f>
        <v>0</v>
      </c>
      <c r="CS383" s="264">
        <f>IF(AJ383=9,IF(AH383&lt;141,1,0),IF(AH383="",0,IF(AH383&gt;1,0,1)))</f>
        <v>0</v>
      </c>
      <c r="CT383" s="264">
        <f>IF(AX383=9,IF(AV383&lt;141,1,0),IF(AV383="",0,IF(AV383&gt;1,0,1)))</f>
        <v>0</v>
      </c>
      <c r="CU383" s="264">
        <f>IF(AI383="",0,IF(AI383&lt;502,0,1))</f>
        <v>0</v>
      </c>
      <c r="CV383" s="264">
        <f>IF(AW383="",0,IF(AW383&lt;502,0,1))</f>
        <v>0</v>
      </c>
      <c r="CW383" s="264">
        <f>IF(AI383="",IF(AJ383&lt;9,1,0),IF(AJ383&lt;9,1,0))</f>
        <v>0</v>
      </c>
      <c r="CX383" s="264">
        <f>IF(AW383="",IF(AX383&lt;9,1,0),IF(AX383&lt;9,1,0))</f>
        <v>0</v>
      </c>
      <c r="CY383" s="374"/>
      <c r="CZ383" s="374"/>
      <c r="DA383" s="374"/>
      <c r="DB383" s="374"/>
      <c r="DC383" s="265">
        <f>IF(AJ383="",0,SUM(CL383:CX383))</f>
        <v>0</v>
      </c>
      <c r="DD383" s="265">
        <f>IF(AJ383="",0,SUM(CL383,CS383,CU383,CW383))</f>
        <v>0</v>
      </c>
      <c r="DE383" s="265">
        <f>IF(AJ383="",0,SUM(CP383,CT383,CV383,CX383))</f>
        <v>0</v>
      </c>
      <c r="DF383" s="238"/>
      <c r="DG383" s="248">
        <f>IF(AL377=3,0,SUM(G383-V383))</f>
        <v>0</v>
      </c>
      <c r="DH383" s="245">
        <f>IF(F383="",0,1)</f>
        <v>0</v>
      </c>
      <c r="DI383" s="245">
        <f t="shared" si="944"/>
        <v>0</v>
      </c>
      <c r="DJ383" s="245">
        <f t="shared" si="945"/>
        <v>0</v>
      </c>
      <c r="DK383" s="245" t="str">
        <f>IF(G383="","",IF(DJ383=1,"*",""))</f>
        <v/>
      </c>
      <c r="DL383" s="245" t="str">
        <f>IF(AL377=3,"",IF(G383="","",IF(DJ383=-1,"*",IF(DJ383=0,"*",""))))</f>
        <v/>
      </c>
      <c r="DM383" s="245">
        <v>4</v>
      </c>
      <c r="DN383" s="245" t="str">
        <f t="shared" si="946"/>
        <v>4</v>
      </c>
      <c r="DO383" s="245" t="str">
        <f t="shared" si="947"/>
        <v>4</v>
      </c>
      <c r="DP383" s="245">
        <f>SUM(DQ380)</f>
        <v>0</v>
      </c>
      <c r="DQ383" s="245">
        <f>SUM(DP380)</f>
        <v>0</v>
      </c>
      <c r="DR383" s="245">
        <f t="shared" si="954"/>
        <v>0</v>
      </c>
      <c r="DS383" s="245">
        <f t="shared" si="955"/>
        <v>0</v>
      </c>
      <c r="DT383" s="245">
        <f t="shared" si="956"/>
        <v>0</v>
      </c>
      <c r="DU383" s="245">
        <f>IF(V383="",0,IF(DQ383=DS383,0,1))</f>
        <v>0</v>
      </c>
      <c r="DV383" s="267">
        <f t="shared" si="957"/>
        <v>0</v>
      </c>
      <c r="DW383" s="267">
        <f>IF(V383="",0,SUM(DU383))</f>
        <v>0</v>
      </c>
      <c r="DX383" s="238">
        <f>IF(AK383="",0,1)</f>
        <v>0</v>
      </c>
      <c r="DY383" s="238">
        <f>IF(DG383=-3,1,0)</f>
        <v>0</v>
      </c>
      <c r="DZ383" s="238">
        <f>SUM(DX383:DY383)</f>
        <v>0</v>
      </c>
      <c r="EA383" s="238">
        <f>IF(AK383="",1,0)</f>
        <v>1</v>
      </c>
      <c r="EB383" s="238">
        <f>IF(DG383=3,1,0)</f>
        <v>0</v>
      </c>
      <c r="EC383" s="238">
        <f>SUM(EA383:EB383)</f>
        <v>1</v>
      </c>
      <c r="ED383" s="267">
        <f>IF(EC383=2,1,0)</f>
        <v>0</v>
      </c>
      <c r="EE383" s="267">
        <f>IF(DZ383=2,1,0)</f>
        <v>0</v>
      </c>
      <c r="EG383" s="166"/>
      <c r="EH383" s="238"/>
      <c r="EI383" s="238"/>
      <c r="EJ383" s="238"/>
      <c r="EK383" s="238"/>
      <c r="EL383" s="238"/>
      <c r="EM383" s="245">
        <f>IF(AK383="",0,1)</f>
        <v>0</v>
      </c>
      <c r="EN383" s="245">
        <f>SUM(AK383)</f>
        <v>0</v>
      </c>
      <c r="EO383" s="268">
        <f>SUM(AJ383)</f>
        <v>0</v>
      </c>
      <c r="EP383" s="268">
        <f>SUM(G383/3)</f>
        <v>0</v>
      </c>
      <c r="EQ383" s="268" t="e">
        <f>SUM(EO383/EP383)</f>
        <v>#DIV/0!</v>
      </c>
      <c r="ER383" s="268">
        <f>ROUNDDOWN(EP383,0)</f>
        <v>0</v>
      </c>
      <c r="ES383" s="268">
        <f>SUM(EO383,-ER383*3)</f>
        <v>0</v>
      </c>
      <c r="ET383" s="269" t="b">
        <f>MOD(EN383/1,2)=0</f>
        <v>1</v>
      </c>
      <c r="EU383" s="245">
        <f>IF(ET383=FALSE,1,0)</f>
        <v>0</v>
      </c>
      <c r="EV383" s="245">
        <f>IF(EN383=50,0,IF(EN383&lt;40,1,0))</f>
        <v>1</v>
      </c>
      <c r="EW383" s="245">
        <f>SUM(EU383:EV383)</f>
        <v>1</v>
      </c>
      <c r="EX383" s="267">
        <f>IF(EN383=1,1,IF(EN383=50,0,IF(ES383=1,IF(EN383&gt;40,1,0),0)))</f>
        <v>0</v>
      </c>
      <c r="EY383" s="267">
        <f>IF(ES383=1,IF(EW383=2,1,0),0)+EX383+FB383+FE383</f>
        <v>0</v>
      </c>
      <c r="EZ383" s="245">
        <f>IF(EN383=109,1,IF(EN383=108,1,IF(EN383=106,1,IF(EN383=105,1,IF(EN383=103,1,IF(EN383=102,1,IF(EN383=99,1,0)))))))</f>
        <v>0</v>
      </c>
      <c r="FA383" s="245">
        <f>IF(EN383&gt;110,1,0)</f>
        <v>0</v>
      </c>
      <c r="FB383" s="267">
        <f>IF(ES383=2,SUM(EZ383:FA383),0)</f>
        <v>0</v>
      </c>
      <c r="FC383" s="245">
        <f>IF(EN383=159,1,IF(EN383=162,1,IF(EN383=163,1,IF(EN383=165,1,IF(EN383=166,1,IF(EN383=168,1,IF(EN383=169,1,0)))))))</f>
        <v>0</v>
      </c>
      <c r="FD383" s="245">
        <f>IF(EN383&gt;170,1,0)</f>
        <v>0</v>
      </c>
      <c r="FE383" s="267">
        <f>IF(ES383=0,SUM(FC383:FD383),0)</f>
        <v>0</v>
      </c>
      <c r="FF383" s="251">
        <f t="shared" si="948"/>
        <v>0</v>
      </c>
      <c r="FG383" s="238"/>
      <c r="FH383" s="245">
        <f>IF(AY383="",0,1)</f>
        <v>0</v>
      </c>
      <c r="FI383" s="245">
        <f>SUM(AY383)</f>
        <v>0</v>
      </c>
      <c r="FJ383" s="268">
        <f>SUM(AX383)</f>
        <v>0</v>
      </c>
      <c r="FK383" s="268">
        <f>SUM(V383/3)</f>
        <v>0</v>
      </c>
      <c r="FL383" s="268" t="e">
        <f>SUM(FJ383/FK383)</f>
        <v>#DIV/0!</v>
      </c>
      <c r="FM383" s="268">
        <f>ROUNDDOWN(FK383,0)</f>
        <v>0</v>
      </c>
      <c r="FN383" s="268">
        <f>SUM(FJ383,-FM383*3)</f>
        <v>0</v>
      </c>
      <c r="FO383" s="269" t="b">
        <f>MOD(FI383/1,2)=0</f>
        <v>1</v>
      </c>
      <c r="FP383" s="245">
        <f>IF(FO383=FALSE,1,0)</f>
        <v>0</v>
      </c>
      <c r="FQ383" s="245">
        <f>IF(FI383=50,0,IF(FI383&lt;40,1,0))</f>
        <v>1</v>
      </c>
      <c r="FR383" s="245">
        <f>SUM(FP383:FQ383)</f>
        <v>1</v>
      </c>
      <c r="FS383" s="267">
        <f>IF(FI383=1,1,IF(FI383=50,0,IF(FN383=1,IF(FI383&gt;40,1,0),0)))</f>
        <v>0</v>
      </c>
      <c r="FT383" s="267">
        <f>IF(FN383=1,IF(FR383=2,1,0),0)+FS383+FW383+FZ383</f>
        <v>0</v>
      </c>
      <c r="FU383" s="245">
        <f>IF(FI383=109,1,IF(FI383=108,1,IF(FI383=106,1,IF(FI383=105,1,IF(FI383=103,1,IF(FI383=102,1,IF(FI383=99,1,0)))))))</f>
        <v>0</v>
      </c>
      <c r="FV383" s="245">
        <f>IF(FI383&gt;110,1,0)</f>
        <v>0</v>
      </c>
      <c r="FW383" s="267">
        <f>IF(FN383=2,SUM(FU383:FV383),0)</f>
        <v>0</v>
      </c>
      <c r="FX383" s="245">
        <f>IF(FI383=159,1,IF(FI383=162,1,IF(FI383=163,1,IF(FI383=165,1,IF(FI383=166,1,IF(FI383=168,1,IF(FI383=169,1,0)))))))</f>
        <v>0</v>
      </c>
      <c r="FY383" s="245">
        <f>IF(FI383&gt;170,1,0)</f>
        <v>0</v>
      </c>
      <c r="FZ383" s="267">
        <f>IF(FN383=0,SUM(FX383:FY383),0)</f>
        <v>0</v>
      </c>
      <c r="GA383" s="251">
        <f t="shared" si="949"/>
        <v>0</v>
      </c>
      <c r="GC383" s="238" t="str">
        <f>VLOOKUP(AH377,Chema!BL:BR,4,FALSE)</f>
        <v>GS 3.7</v>
      </c>
      <c r="GD383" s="341">
        <f>IF(T387="FORFAIT",1,0)</f>
        <v>0</v>
      </c>
      <c r="GE383" s="343" t="str">
        <f>IF(R387="","",SUM(R387))</f>
        <v/>
      </c>
      <c r="GF383" s="344">
        <f>SUM(AV380)</f>
        <v>0</v>
      </c>
      <c r="GG383" s="344">
        <f>SUM(AX380)</f>
        <v>0</v>
      </c>
      <c r="GH383" s="344">
        <f t="shared" ref="GH383" si="958">SUM(AY380)</f>
        <v>0</v>
      </c>
      <c r="GI383" s="344">
        <f t="shared" ref="GI383" si="959">SUM(AZ380)</f>
        <v>0</v>
      </c>
      <c r="GJ383" s="344">
        <f>SUM(AV381)</f>
        <v>0</v>
      </c>
      <c r="GK383" s="344">
        <f>SUM(AX381)</f>
        <v>0</v>
      </c>
      <c r="GL383" s="344">
        <f>SUM(AY381)</f>
        <v>0</v>
      </c>
      <c r="GM383" s="344">
        <f>SUM(AZ381)</f>
        <v>0</v>
      </c>
      <c r="GN383" s="344">
        <f>SUM(AV382)</f>
        <v>0</v>
      </c>
      <c r="GO383" s="344">
        <f>SUM(AX382)</f>
        <v>0</v>
      </c>
      <c r="GP383" s="344">
        <f>SUM(AY382)</f>
        <v>0</v>
      </c>
      <c r="GQ383" s="344">
        <f>SUM(AZ382)</f>
        <v>0</v>
      </c>
      <c r="GR383" s="344">
        <f>SUM(AV383)</f>
        <v>0</v>
      </c>
      <c r="GS383" s="344">
        <f>SUM(AX383)</f>
        <v>0</v>
      </c>
      <c r="GT383" s="344">
        <f>SUM(AY383)</f>
        <v>0</v>
      </c>
      <c r="GU383" s="344">
        <f>SUM(AZ383)</f>
        <v>0</v>
      </c>
      <c r="GV383" s="344">
        <f>SUM(AV384)</f>
        <v>0</v>
      </c>
      <c r="GW383" s="344">
        <f>SUM(AX384)</f>
        <v>0</v>
      </c>
      <c r="GX383" s="344">
        <f>SUM(AY384)</f>
        <v>0</v>
      </c>
      <c r="GY383" s="344">
        <f>SUM(AZ384)</f>
        <v>0</v>
      </c>
      <c r="GZ383" s="344">
        <f>SUM(GF383,GJ383,GN383,GR383,GV383)</f>
        <v>0</v>
      </c>
      <c r="HA383" s="344">
        <f t="shared" ref="HA383" si="960">SUM(GG383,GK383,GO383,GS383,GW383)</f>
        <v>0</v>
      </c>
      <c r="HB383" s="344">
        <f>IF(GD380=1,P387,MAX(GH383,GL383,GP383,GT383,GX383))</f>
        <v>0</v>
      </c>
      <c r="HC383" s="344">
        <f>IF(GD380=1,X387,SUM(GI383,GM383,GQ383,GU383,GY383))</f>
        <v>0</v>
      </c>
      <c r="HD383" s="345">
        <f>IF(GD380=1,0,SUM(GF383,GJ383,GN383,GR383,GV383))</f>
        <v>0</v>
      </c>
      <c r="HE383" s="345">
        <f>IF(GD380=1,0,SUM(GG383,GK383,GO383,GS383,GW383))</f>
        <v>0</v>
      </c>
      <c r="HF383" s="341">
        <f>IF(GD380=1,0,MIN(HI383,HJ383,HK383,HL383,HM383))</f>
        <v>0</v>
      </c>
      <c r="HG383" s="341">
        <f>IF(HF383=0,0,COUNTIF(HI383:HM383,HF383))</f>
        <v>0</v>
      </c>
      <c r="HH383" s="341">
        <f>SUM(GH384,GL384,GP384,GT384,GX384)</f>
        <v>0</v>
      </c>
      <c r="HI383" s="343" t="str">
        <f>IF(GH384=1,GG383,"")</f>
        <v/>
      </c>
      <c r="HJ383" s="343" t="str">
        <f>IF(GL384=1,GK383,"")</f>
        <v/>
      </c>
      <c r="HK383" s="343" t="str">
        <f>IF(GP384=1,GO383,"")</f>
        <v/>
      </c>
      <c r="HL383" s="343" t="str">
        <f>IF(GT384=1,GS383,"")</f>
        <v/>
      </c>
      <c r="HM383" s="343" t="str">
        <f>IF(GX384=1,GW383,"")</f>
        <v/>
      </c>
      <c r="HN383" s="341"/>
      <c r="HO383" s="341"/>
      <c r="HP383" s="341"/>
      <c r="HQ383" s="341"/>
      <c r="HR383" s="341"/>
      <c r="HS383" s="238"/>
      <c r="HT383" s="238"/>
      <c r="HU383" s="238"/>
      <c r="HV383" s="238"/>
      <c r="HW383" s="238" t="str">
        <f>IFERROR(IF(GD380=0,SUM(IB382:IC382),""),"")</f>
        <v/>
      </c>
      <c r="HY383" s="238"/>
      <c r="ID383" s="238"/>
    </row>
    <row r="384" spans="1:238" s="234" customFormat="1" ht="20.100000000000001" customHeight="1">
      <c r="A384" s="235"/>
      <c r="B384" s="231">
        <f>COUNT(AJ385,AJ384)</f>
        <v>1</v>
      </c>
      <c r="C384" s="235"/>
      <c r="D384" s="271" t="str">
        <f>REPT(DN384,1)</f>
        <v>5</v>
      </c>
      <c r="E384" s="254" t="str">
        <f>REPT(AH384,1)</f>
        <v/>
      </c>
      <c r="F384" s="168"/>
      <c r="G384" s="168"/>
      <c r="H384" s="168"/>
      <c r="I384" s="169"/>
      <c r="J384" s="272" t="str">
        <f>REPT(AM384,1)</f>
        <v/>
      </c>
      <c r="L384" s="310"/>
      <c r="M384" s="310"/>
      <c r="N384" s="272" t="str">
        <f>REPT(AP384,1)</f>
        <v/>
      </c>
      <c r="O384" s="118"/>
      <c r="Q384" s="310"/>
      <c r="R384" s="235"/>
      <c r="S384" s="271" t="str">
        <f>REPT(DO384,1)</f>
        <v>5</v>
      </c>
      <c r="T384" s="254" t="str">
        <f>REPT(AV384,1)</f>
        <v/>
      </c>
      <c r="U384" s="168"/>
      <c r="V384" s="168"/>
      <c r="W384" s="168"/>
      <c r="X384" s="169"/>
      <c r="Y384" s="272" t="str">
        <f>REPT(BA384,1)</f>
        <v/>
      </c>
      <c r="Z384" s="308"/>
      <c r="AA384" s="238">
        <f>SUM(AL377)</f>
        <v>5</v>
      </c>
      <c r="AB384" s="234">
        <f>IF(AY384="",0,IF(AY384&lt;2,1,""))</f>
        <v>0</v>
      </c>
      <c r="AC384" s="238">
        <f>IF(AL377=3,0,IF(AD384=1,1,IF(AD384=3,1,IF(AD384=2,0,IF(AD384=0,0,0)))))</f>
        <v>0</v>
      </c>
      <c r="AD384" s="256">
        <f t="shared" si="938"/>
        <v>0</v>
      </c>
      <c r="AE384" s="256">
        <f t="shared" si="932"/>
        <v>0</v>
      </c>
      <c r="AF384" s="256">
        <f t="shared" si="933"/>
        <v>0</v>
      </c>
      <c r="AG384" s="256">
        <f t="shared" si="939"/>
        <v>0</v>
      </c>
      <c r="AH384" s="257" t="str">
        <f>IF(AL377=3,"",IF(AK384="",IF(AI384="","",IF(AI384="",501,501-AI384)),501))</f>
        <v/>
      </c>
      <c r="AI384" s="256" t="str">
        <f>IF(AL377=3,"",IF(F384&gt;1,F384,IF(F384=0,"",IF(F384="","",""))))</f>
        <v/>
      </c>
      <c r="AJ384" s="256" t="str">
        <f>IF(AL377=3,"",IF(G384&gt;8,G384,IF(G384="","","")))</f>
        <v/>
      </c>
      <c r="AK384" s="256" t="str">
        <f>IF(AL377=3,"",IF(H384&gt;1,H384,IF(H384="","","")))</f>
        <v/>
      </c>
      <c r="AL384" s="256" t="str">
        <f>IF(AL377=3,"",IF(I384&gt;0,I384,IF(I384="","","")))</f>
        <v/>
      </c>
      <c r="AM384" s="258" t="str">
        <f>IF(BK384=0,"","X")</f>
        <v/>
      </c>
      <c r="AN384" s="237"/>
      <c r="AO384" s="237"/>
      <c r="AP384" s="258" t="str">
        <f>IF(BM384=0,"","X")</f>
        <v/>
      </c>
      <c r="AQ384" s="236">
        <f>IF(AL377=3,0,IF(AR384=1,1,IF(AR384=3,1,IF(AR384=2,0,IF(AR384=0,0,0)))))</f>
        <v>0</v>
      </c>
      <c r="AR384" s="256">
        <f t="shared" si="941"/>
        <v>0</v>
      </c>
      <c r="AS384" s="256">
        <f t="shared" si="934"/>
        <v>0</v>
      </c>
      <c r="AT384" s="256">
        <f t="shared" si="935"/>
        <v>0</v>
      </c>
      <c r="AU384" s="256">
        <f t="shared" si="942"/>
        <v>0</v>
      </c>
      <c r="AV384" s="257" t="str">
        <f>IF(AY384="",IF(AW384="","",IF(AW384="",501,501-AW384)),501)</f>
        <v/>
      </c>
      <c r="AW384" s="256" t="str">
        <f>IF(AL377=3,"",IF(U384&gt;1,U384,IF(U384=0,"",IF(U384="","",""))))</f>
        <v/>
      </c>
      <c r="AX384" s="256" t="str">
        <f>IF(AL377=3,"",IF(V384&gt;8,V384,IF(V384="","","")))</f>
        <v/>
      </c>
      <c r="AY384" s="256" t="str">
        <f>IF(AL377=3,"",IF(W384&gt;1,W384,IF(W384="","","")))</f>
        <v/>
      </c>
      <c r="AZ384" s="256" t="str">
        <f>IF(AL377=3,"",IF(X384&gt;0,X384,IF(X384="","","")))</f>
        <v/>
      </c>
      <c r="BA384" s="258" t="str">
        <f>IF(BL384=0,"","X")</f>
        <v/>
      </c>
      <c r="BK384" s="251">
        <f>IF(AL377=3,0,SUM(DD384,DV384,EY384,ED384,FF384,BQ384,BS384,AC384))</f>
        <v>0</v>
      </c>
      <c r="BL384" s="251">
        <f>SUM(DE384,DW384,EE384,FT384,GA384,BR384,BT384,AQ384)</f>
        <v>0</v>
      </c>
      <c r="BM384" s="259">
        <f>IF(AL377=3,0,SUM(DC384,BK384:BL384,AC384,AQ384))</f>
        <v>0</v>
      </c>
      <c r="BN384" s="239">
        <f>COUNT(AK384)</f>
        <v>0</v>
      </c>
      <c r="BO384" s="239">
        <f>COUNT(AY384)</f>
        <v>0</v>
      </c>
      <c r="BP384" s="239">
        <f>IF(BN386=0,0,1)</f>
        <v>0</v>
      </c>
      <c r="BQ384" s="260">
        <f>IF(AL384="",0,IF(AL384&gt;2,1,0))</f>
        <v>0</v>
      </c>
      <c r="BR384" s="261">
        <f>IF(AZ384="",0,IF(AZ384&gt;2,1,0))</f>
        <v>0</v>
      </c>
      <c r="BS384" s="262">
        <f>IF(AJ384=9,IF(AK384&lt;141,1,0),0)</f>
        <v>0</v>
      </c>
      <c r="BT384" s="263">
        <f>IF(AX384=9,IF(AY384&lt;141,1,0),0)</f>
        <v>0</v>
      </c>
      <c r="BU384" s="242">
        <f>IF(AL377=3,0,IF(H384,G384,0))</f>
        <v>0</v>
      </c>
      <c r="BV384" s="238">
        <f>IF(BU384&gt;0,AJ384/3,0)</f>
        <v>0</v>
      </c>
      <c r="BW384" s="238">
        <f>ROUNDUP(BV384,0)</f>
        <v>0</v>
      </c>
      <c r="BX384" s="244">
        <f>IF(MOD(BW384,2)=0,BW384,BW384+1)</f>
        <v>0</v>
      </c>
      <c r="BY384" s="238">
        <f>IF(AJ384&lt;9,"",SUM(BX384-BW384))</f>
        <v>0</v>
      </c>
      <c r="BZ384" s="238">
        <f>IF(BY384=1,AK384,0)</f>
        <v>0</v>
      </c>
      <c r="CA384" s="243" t="str">
        <f>IF(BY384=0,AK384,0)</f>
        <v/>
      </c>
      <c r="CB384" s="238"/>
      <c r="CC384" s="238"/>
      <c r="CD384" s="242">
        <f>IF(AL377=3,0,IF(W384,V384,0))</f>
        <v>0</v>
      </c>
      <c r="CE384" s="238">
        <f>IF(CD384&gt;0,AX384/3,0)</f>
        <v>0</v>
      </c>
      <c r="CF384" s="238">
        <f>ROUNDUP(CE384,0)</f>
        <v>0</v>
      </c>
      <c r="CG384" s="244">
        <f>IF(MOD(CF384,2)=0,CF384,CF384+1)</f>
        <v>0</v>
      </c>
      <c r="CH384" s="238">
        <f>IF(AX384&lt;9,"",SUM(CG384-CF384))</f>
        <v>0</v>
      </c>
      <c r="CI384" s="238">
        <f>IF(CH384=1,AY384,0)</f>
        <v>0</v>
      </c>
      <c r="CJ384" s="243" t="str">
        <f>IF(CH384=0,AY384,0)</f>
        <v/>
      </c>
      <c r="CK384" s="238"/>
      <c r="CL384" s="245">
        <f>IF(COUNT(F384,H384)=1,0,1)</f>
        <v>1</v>
      </c>
      <c r="CM384" s="245">
        <f>IF(COUNT(F384,U384)=1,0,1)</f>
        <v>1</v>
      </c>
      <c r="CN384" s="245">
        <f>IF(COUNT(H384,W384)=1,0,1)</f>
        <v>1</v>
      </c>
      <c r="CO384" s="245">
        <f>IF(COUNT(G384,V384)=2,0,1)</f>
        <v>1</v>
      </c>
      <c r="CP384" s="245">
        <f>IF(COUNT(U384,W384)=1,0,1)</f>
        <v>1</v>
      </c>
      <c r="CQ384" s="245">
        <f>IF(SUM(G384-V384)&gt;3,1,0)</f>
        <v>0</v>
      </c>
      <c r="CR384" s="245">
        <f>IF(SUM(G384-V384)&lt;-3,1,0)</f>
        <v>0</v>
      </c>
      <c r="CS384" s="264">
        <f>IF(AJ384=9,IF(AH384&lt;141,1,0),IF(AH384="",0,IF(AH384&gt;1,0,1)))</f>
        <v>0</v>
      </c>
      <c r="CT384" s="264">
        <f>IF(AX384=9,IF(AV384&lt;141,1,0),IF(AV384="",0,IF(AV384&gt;1,0,1)))</f>
        <v>0</v>
      </c>
      <c r="CU384" s="264">
        <f>IF(AI384="",0,IF(AI384&lt;502,0,1))</f>
        <v>0</v>
      </c>
      <c r="CV384" s="264">
        <f>IF(AW384="",0,IF(AW384&lt;502,0,1))</f>
        <v>0</v>
      </c>
      <c r="CW384" s="264">
        <f>IF(AI384="",IF(AJ384&lt;9,1,0),IF(AJ384&lt;9,1,0))</f>
        <v>0</v>
      </c>
      <c r="CX384" s="264">
        <f>IF(AW384="",IF(AX384&lt;9,1,0),IF(AX384&lt;9,1,0))</f>
        <v>0</v>
      </c>
      <c r="CY384" s="374"/>
      <c r="CZ384" s="374"/>
      <c r="DA384" s="374"/>
      <c r="DB384" s="374"/>
      <c r="DC384" s="265">
        <f>IF(AJ384="",0,SUM(CL384:CX384))</f>
        <v>0</v>
      </c>
      <c r="DD384" s="265">
        <f>IF(AJ384="",0,SUM(CL384,CS384,CU384,CW384))</f>
        <v>0</v>
      </c>
      <c r="DE384" s="265">
        <f>IF(AJ384="",0,SUM(CP384,CT384,CV384,CX384))</f>
        <v>0</v>
      </c>
      <c r="DF384" s="238"/>
      <c r="DG384" s="248">
        <f>IF(AL377=3,0,SUM(G384-V384))</f>
        <v>0</v>
      </c>
      <c r="DH384" s="245">
        <f>IF(F384="",0,1)</f>
        <v>0</v>
      </c>
      <c r="DI384" s="245">
        <f t="shared" si="944"/>
        <v>0</v>
      </c>
      <c r="DJ384" s="245">
        <f t="shared" si="945"/>
        <v>0</v>
      </c>
      <c r="DK384" s="245" t="str">
        <f>IF(G384="","",IF(DJ384=1,"*",""))</f>
        <v/>
      </c>
      <c r="DL384" s="245" t="str">
        <f>IF(AL377=3,"",IF(G384="","",IF(DJ384=-1,"*",IF(DJ384=0,"*",""))))</f>
        <v/>
      </c>
      <c r="DM384" s="245">
        <v>5</v>
      </c>
      <c r="DN384" s="245" t="str">
        <f t="shared" si="946"/>
        <v>5</v>
      </c>
      <c r="DO384" s="245" t="str">
        <f t="shared" si="947"/>
        <v>5</v>
      </c>
      <c r="DP384" s="245">
        <f>SUM(DP380)</f>
        <v>0</v>
      </c>
      <c r="DQ384" s="245">
        <f>SUM(DQ380)</f>
        <v>0</v>
      </c>
      <c r="DR384" s="245">
        <f t="shared" si="954"/>
        <v>0</v>
      </c>
      <c r="DS384" s="245">
        <f t="shared" si="955"/>
        <v>0</v>
      </c>
      <c r="DT384" s="245">
        <f t="shared" si="956"/>
        <v>0</v>
      </c>
      <c r="DU384" s="245">
        <f>IF(V384="",0,IF(DQ384=DS384,0,1))</f>
        <v>0</v>
      </c>
      <c r="DV384" s="267">
        <f t="shared" si="957"/>
        <v>0</v>
      </c>
      <c r="DW384" s="267">
        <f>IF(V384="",0,SUM(DU384))</f>
        <v>0</v>
      </c>
      <c r="DX384" s="238">
        <f>IF(AK384="",0,1)</f>
        <v>0</v>
      </c>
      <c r="DY384" s="238">
        <f>IF(DG384=-3,1,0)</f>
        <v>0</v>
      </c>
      <c r="DZ384" s="238">
        <f>SUM(DX384:DY384)</f>
        <v>0</v>
      </c>
      <c r="EA384" s="238">
        <f>IF(AK384="",1,0)</f>
        <v>1</v>
      </c>
      <c r="EB384" s="238">
        <f>IF(DG384=3,1,0)</f>
        <v>0</v>
      </c>
      <c r="EC384" s="238">
        <f>SUM(EA384:EB384)</f>
        <v>1</v>
      </c>
      <c r="ED384" s="267">
        <f>IF(EC384=2,1,0)</f>
        <v>0</v>
      </c>
      <c r="EE384" s="267">
        <f>IF(DZ384=2,1,0)</f>
        <v>0</v>
      </c>
      <c r="EG384" s="166"/>
      <c r="EH384" s="238"/>
      <c r="EI384" s="238"/>
      <c r="EJ384" s="238"/>
      <c r="EK384" s="238"/>
      <c r="EL384" s="238"/>
      <c r="EM384" s="245">
        <f>IF(AK384="",0,1)</f>
        <v>0</v>
      </c>
      <c r="EN384" s="245">
        <f>SUM(AK384)</f>
        <v>0</v>
      </c>
      <c r="EO384" s="268">
        <f>SUM(AJ384)</f>
        <v>0</v>
      </c>
      <c r="EP384" s="268">
        <f>SUM(G384/3)</f>
        <v>0</v>
      </c>
      <c r="EQ384" s="268" t="e">
        <f>SUM(EO384/EP384)</f>
        <v>#DIV/0!</v>
      </c>
      <c r="ER384" s="268">
        <f>ROUNDDOWN(EP384,0)</f>
        <v>0</v>
      </c>
      <c r="ES384" s="268">
        <f>SUM(EO384,-ER384*3)</f>
        <v>0</v>
      </c>
      <c r="ET384" s="269" t="b">
        <f>MOD(EN384/1,2)=0</f>
        <v>1</v>
      </c>
      <c r="EU384" s="245">
        <f>IF(ET384=FALSE,1,0)</f>
        <v>0</v>
      </c>
      <c r="EV384" s="245">
        <f>IF(EN384=50,0,IF(EN384&lt;40,1,0))</f>
        <v>1</v>
      </c>
      <c r="EW384" s="245">
        <f>SUM(EU384:EV384)</f>
        <v>1</v>
      </c>
      <c r="EX384" s="267">
        <f>IF(EN384=1,1,IF(EN384=50,0,IF(ES384=1,IF(EN384&gt;40,1,0),0)))</f>
        <v>0</v>
      </c>
      <c r="EY384" s="267">
        <f>IF(ES384=1,IF(EW384=2,1,0),0)+EX384+FB384+FE384</f>
        <v>0</v>
      </c>
      <c r="EZ384" s="245">
        <f>IF(EN384=109,1,IF(EN384=108,1,IF(EN384=106,1,IF(EN384=105,1,IF(EN384=103,1,IF(EN384=102,1,IF(EN384=99,1,0)))))))</f>
        <v>0</v>
      </c>
      <c r="FA384" s="245">
        <f>IF(EN384&gt;110,1,0)</f>
        <v>0</v>
      </c>
      <c r="FB384" s="267">
        <f>IF(ES384=2,SUM(EZ384:FA384),0)</f>
        <v>0</v>
      </c>
      <c r="FC384" s="245">
        <f>IF(EN384=159,1,IF(EN384=162,1,IF(EN384=163,1,IF(EN384=165,1,IF(EN384=166,1,IF(EN384=168,1,IF(EN384=169,1,0)))))))</f>
        <v>0</v>
      </c>
      <c r="FD384" s="245">
        <f>IF(EN384&gt;170,1,0)</f>
        <v>0</v>
      </c>
      <c r="FE384" s="267">
        <f>IF(ES384=0,SUM(FC384:FD384),0)</f>
        <v>0</v>
      </c>
      <c r="FF384" s="251">
        <f t="shared" si="948"/>
        <v>0</v>
      </c>
      <c r="FG384" s="238"/>
      <c r="FH384" s="245">
        <f>IF(AY384="",0,1)</f>
        <v>0</v>
      </c>
      <c r="FI384" s="245">
        <f>SUM(AY384)</f>
        <v>0</v>
      </c>
      <c r="FJ384" s="268">
        <f>SUM(AX384)</f>
        <v>0</v>
      </c>
      <c r="FK384" s="268">
        <f>SUM(V384/3)</f>
        <v>0</v>
      </c>
      <c r="FL384" s="268" t="e">
        <f>SUM(FJ384/FK384)</f>
        <v>#DIV/0!</v>
      </c>
      <c r="FM384" s="268">
        <f>ROUNDDOWN(FK384,0)</f>
        <v>0</v>
      </c>
      <c r="FN384" s="268">
        <f>SUM(FJ384,-FM384*3)</f>
        <v>0</v>
      </c>
      <c r="FO384" s="269" t="b">
        <f>MOD(FI384/1,2)=0</f>
        <v>1</v>
      </c>
      <c r="FP384" s="245">
        <f>IF(FO384=FALSE,1,0)</f>
        <v>0</v>
      </c>
      <c r="FQ384" s="245">
        <f>IF(FI384=50,0,IF(FI384&lt;40,1,0))</f>
        <v>1</v>
      </c>
      <c r="FR384" s="245">
        <f>SUM(FP384:FQ384)</f>
        <v>1</v>
      </c>
      <c r="FS384" s="267">
        <f>IF(FI384=1,1,IF(FI384=50,0,IF(FN384=1,IF(FI384&gt;40,1,0),0)))</f>
        <v>0</v>
      </c>
      <c r="FT384" s="267">
        <f>IF(FN384=1,IF(FR384=2,1,0),0)+FS384+FW384+FZ384</f>
        <v>0</v>
      </c>
      <c r="FU384" s="245">
        <f>IF(FI384=109,1,IF(FI384=108,1,IF(FI384=106,1,IF(FI384=105,1,IF(FI384=103,1,IF(FI384=102,1,IF(FI384=99,1,0)))))))</f>
        <v>0</v>
      </c>
      <c r="FV384" s="245">
        <f>IF(FI384&gt;110,1,0)</f>
        <v>0</v>
      </c>
      <c r="FW384" s="267">
        <f>IF(FN384=2,SUM(FU384:FV384),0)</f>
        <v>0</v>
      </c>
      <c r="FX384" s="245">
        <f>IF(FI384=159,1,IF(FI384=162,1,IF(FI384=163,1,IF(FI384=165,1,IF(FI384=166,1,IF(FI384=168,1,IF(FI384=169,1,0)))))))</f>
        <v>0</v>
      </c>
      <c r="FY384" s="245">
        <f>IF(FI384&gt;170,1,0)</f>
        <v>0</v>
      </c>
      <c r="FZ384" s="267">
        <f>IF(FN384=0,SUM(FX384:FY384),0)</f>
        <v>0</v>
      </c>
      <c r="GA384" s="251">
        <f t="shared" si="949"/>
        <v>0</v>
      </c>
      <c r="GC384" s="238" t="str">
        <f>VLOOKUP(AH377,Chema!BL:BR,5,FALSE)</f>
        <v/>
      </c>
      <c r="GD384" s="341"/>
      <c r="GE384" s="343" t="str">
        <f>IF(R388="","",SUM(R388))</f>
        <v/>
      </c>
      <c r="GF384" s="340"/>
      <c r="GG384" s="346"/>
      <c r="GH384" s="343">
        <f>IF(GH383&gt;0,1,0)</f>
        <v>0</v>
      </c>
      <c r="GI384" s="346"/>
      <c r="GJ384" s="343"/>
      <c r="GK384" s="346"/>
      <c r="GL384" s="343">
        <f>IF(GL383&gt;0,1,0)</f>
        <v>0</v>
      </c>
      <c r="GM384" s="343"/>
      <c r="GN384" s="343"/>
      <c r="GO384" s="346"/>
      <c r="GP384" s="343">
        <f>IF(GP383&gt;0,1,0)</f>
        <v>0</v>
      </c>
      <c r="GQ384" s="343"/>
      <c r="GR384" s="343"/>
      <c r="GS384" s="346"/>
      <c r="GT384" s="343">
        <f>IF(GT383&gt;0,1,0)</f>
        <v>0</v>
      </c>
      <c r="GU384" s="343"/>
      <c r="GV384" s="343"/>
      <c r="GW384" s="346"/>
      <c r="GX384" s="343">
        <f>IF(GX383&gt;0,1,0)</f>
        <v>0</v>
      </c>
      <c r="GY384" s="340"/>
      <c r="GZ384" s="343"/>
      <c r="HA384" s="343"/>
      <c r="HB384" s="343" t="str">
        <f>IF(GD380=1,P388,"")</f>
        <v/>
      </c>
      <c r="HC384" s="343" t="str">
        <f>IF(GD380=1,X388,"")</f>
        <v/>
      </c>
      <c r="HD384" s="340"/>
      <c r="HE384" s="340"/>
      <c r="HF384" s="340"/>
      <c r="HG384" s="340">
        <f>IF(HG382=HM380,0,IF(HG382=HM384,0,1))</f>
        <v>0</v>
      </c>
      <c r="HH384" s="340">
        <f>IF(HH381=HH383,1,0)</f>
        <v>1</v>
      </c>
      <c r="HI384" s="340"/>
      <c r="HJ384" s="340"/>
      <c r="HK384" s="340"/>
      <c r="HL384" s="340"/>
      <c r="HM384" s="341">
        <f>COUNT(HI383,HJ383,HK383,HL383,HM383)</f>
        <v>0</v>
      </c>
      <c r="HN384" s="341"/>
      <c r="HO384" s="341"/>
      <c r="HP384" s="341"/>
      <c r="HQ384" s="341"/>
      <c r="HR384" s="341"/>
      <c r="HS384" s="238"/>
      <c r="HT384" s="238"/>
      <c r="HU384" s="238"/>
      <c r="HV384" s="238"/>
      <c r="HX384" s="238"/>
      <c r="HY384" s="238"/>
      <c r="ID384" s="238"/>
    </row>
    <row r="385" spans="1:238" s="234" customFormat="1" ht="6.6" customHeight="1">
      <c r="A385" s="235"/>
      <c r="B385" s="231"/>
      <c r="C385" s="310"/>
      <c r="D385" s="310"/>
      <c r="E385" s="310"/>
      <c r="F385" s="310"/>
      <c r="G385" s="313"/>
      <c r="H385" s="310"/>
      <c r="I385" s="310"/>
      <c r="J385" s="273"/>
      <c r="K385" s="313"/>
      <c r="O385" s="118"/>
      <c r="R385" s="310"/>
      <c r="S385" s="310"/>
      <c r="T385" s="310"/>
      <c r="U385" s="310"/>
      <c r="V385" s="313"/>
      <c r="W385" s="310"/>
      <c r="X385" s="310"/>
      <c r="Y385" s="273"/>
      <c r="Z385" s="308"/>
      <c r="AA385" s="274"/>
      <c r="AD385" s="235"/>
      <c r="AE385" s="237">
        <f>IF(AF385=0,0,1)</f>
        <v>0</v>
      </c>
      <c r="AF385" s="237">
        <f>IF(AL385=0,0,SUM(AL387:AL388,-AL386))</f>
        <v>0</v>
      </c>
      <c r="AG385" s="237"/>
      <c r="AH385" s="275">
        <f>SUM(AH380,AH381,AH382,AH383,AH384)</f>
        <v>0</v>
      </c>
      <c r="AI385" s="275">
        <f t="shared" ref="AI385" si="961">SUM(AI380,AI381,AI382,AI383,AI384)</f>
        <v>0</v>
      </c>
      <c r="AJ385" s="275">
        <f t="shared" ref="AJ385" si="962">SUM(AJ380,AJ381,AJ382,AJ383,AJ384)</f>
        <v>0</v>
      </c>
      <c r="AK385" s="275">
        <f>MAX(AK380,AK381,AK382,AK383,AK384)</f>
        <v>0</v>
      </c>
      <c r="AL385" s="275">
        <f t="shared" ref="AL385" si="963">SUM(AL380,AL381,AL382,AL383,AL384)</f>
        <v>0</v>
      </c>
      <c r="AM385" s="275">
        <f>IF(AK377="D",SUM(AL380,AL381,AL382,AL383,AL384,-AL387,-AL388),0)</f>
        <v>0</v>
      </c>
      <c r="AN385" s="235"/>
      <c r="AO385" s="235"/>
      <c r="AP385" s="235"/>
      <c r="AQ385" s="235"/>
      <c r="AR385" s="235"/>
      <c r="AS385" s="237">
        <f>IF(AT385=0,0,1)</f>
        <v>0</v>
      </c>
      <c r="AT385" s="237">
        <f>IF(AZ385=0,0,SUM(AZ387:AZ388,-AZ386))</f>
        <v>0</v>
      </c>
      <c r="AU385" s="237"/>
      <c r="AV385" s="275">
        <f>SUM(AV380,AV381,AV382,AV383,AV384)</f>
        <v>0</v>
      </c>
      <c r="AW385" s="275">
        <f t="shared" ref="AW385" si="964">SUM(AW380,AW381,AW382,AW383,AW384)</f>
        <v>0</v>
      </c>
      <c r="AX385" s="275">
        <f t="shared" ref="AX385" si="965">SUM(AX380,AX381,AX382,AX383,AX384)</f>
        <v>0</v>
      </c>
      <c r="AY385" s="275">
        <f>MAX(AY380,AY381,AY382,AY383,AY384)</f>
        <v>0</v>
      </c>
      <c r="AZ385" s="275">
        <f t="shared" ref="AZ385" si="966">SUM(AZ380,AZ381,AZ382,AZ383,AZ384)</f>
        <v>0</v>
      </c>
      <c r="BA385" s="275">
        <f>IF(AK377="D",SUM(AZ380,AZ381,AZ382,AZ383,AZ384,-AZ387,-AZ388),0)</f>
        <v>0</v>
      </c>
      <c r="BJ385" s="236"/>
      <c r="BK385" s="238"/>
      <c r="BL385" s="238"/>
      <c r="BM385" s="238"/>
      <c r="BP385" s="238"/>
      <c r="BQ385" s="238"/>
      <c r="BR385" s="238"/>
      <c r="BS385" s="238"/>
      <c r="BT385" s="238"/>
      <c r="BU385" s="238"/>
      <c r="BY385" s="238"/>
      <c r="BZ385" s="238">
        <f>MAX(BZ380,BZ381,BZ382,BZ383,BZ384)</f>
        <v>0</v>
      </c>
      <c r="CA385" s="238">
        <f>MAX(CA380,CA381,CA382,CA383,CA384)</f>
        <v>0</v>
      </c>
      <c r="CB385" s="238"/>
      <c r="CC385" s="238"/>
      <c r="CD385" s="238"/>
      <c r="CG385" s="244"/>
      <c r="CH385" s="238"/>
      <c r="CI385" s="238">
        <f>MAX(CI380,CI381,CI382,CI383,CI384)</f>
        <v>0</v>
      </c>
      <c r="CJ385" s="238">
        <f>MAX(CJ380,CJ381,CJ382,CJ383,CJ384)</f>
        <v>0</v>
      </c>
      <c r="CK385" s="238"/>
      <c r="CL385" s="238"/>
      <c r="CM385" s="238"/>
      <c r="CN385" s="238"/>
      <c r="CO385" s="238"/>
      <c r="CP385" s="238"/>
      <c r="CQ385" s="238"/>
      <c r="CR385" s="238"/>
      <c r="CS385" s="238"/>
      <c r="CT385" s="238"/>
      <c r="CU385" s="238"/>
      <c r="CV385" s="238"/>
      <c r="CW385" s="238"/>
      <c r="CX385" s="238"/>
      <c r="CY385" s="238"/>
      <c r="CZ385" s="238"/>
      <c r="DA385" s="238"/>
      <c r="DB385" s="238"/>
      <c r="DC385" s="238"/>
      <c r="DD385" s="238"/>
      <c r="DE385" s="238"/>
      <c r="DF385" s="238"/>
      <c r="DG385" s="238"/>
      <c r="DH385" s="238"/>
      <c r="DI385" s="238"/>
      <c r="DJ385" s="238"/>
      <c r="DK385" s="238"/>
      <c r="DL385" s="238"/>
      <c r="DM385" s="238"/>
      <c r="DN385" s="238"/>
      <c r="DO385" s="238"/>
      <c r="DP385" s="238"/>
      <c r="DQ385" s="238"/>
      <c r="DR385" s="238"/>
      <c r="DS385" s="238"/>
      <c r="DT385" s="238"/>
      <c r="DU385" s="238"/>
      <c r="DV385" s="238"/>
      <c r="DW385" s="238"/>
      <c r="DX385" s="238"/>
      <c r="DY385" s="238"/>
      <c r="DZ385" s="238"/>
      <c r="EA385" s="238"/>
      <c r="EB385" s="238"/>
      <c r="EC385" s="238"/>
      <c r="ED385" s="238"/>
      <c r="EE385" s="238"/>
      <c r="EF385" s="238"/>
      <c r="EG385" s="238"/>
      <c r="EH385" s="238"/>
      <c r="EI385" s="238"/>
      <c r="EJ385" s="238"/>
      <c r="EK385" s="238"/>
      <c r="EL385" s="238"/>
      <c r="EM385" s="166"/>
      <c r="EN385" s="166"/>
      <c r="EO385" s="166"/>
      <c r="EP385" s="238">
        <f>SUM(EN385-EO385)</f>
        <v>0</v>
      </c>
      <c r="EQ385" s="238"/>
      <c r="ER385" s="238"/>
      <c r="ES385" s="238"/>
      <c r="ET385" s="244"/>
      <c r="EU385" s="238"/>
      <c r="EV385" s="238"/>
      <c r="EW385" s="238"/>
      <c r="EX385" s="238"/>
      <c r="EY385" s="238"/>
      <c r="EZ385" s="238"/>
      <c r="FA385" s="238"/>
      <c r="FB385" s="238"/>
      <c r="FC385" s="238"/>
      <c r="FD385" s="238"/>
      <c r="FE385" s="238"/>
      <c r="FF385" s="238"/>
      <c r="FG385" s="238"/>
      <c r="FH385" s="238"/>
      <c r="FI385" s="238"/>
      <c r="FJ385" s="238"/>
      <c r="FK385" s="238"/>
      <c r="FL385" s="238"/>
      <c r="FM385" s="238"/>
      <c r="FN385" s="238"/>
      <c r="FO385" s="244"/>
      <c r="FP385" s="238"/>
      <c r="FQ385" s="238"/>
      <c r="FR385" s="238"/>
      <c r="FS385" s="238"/>
      <c r="FT385" s="238"/>
      <c r="FU385" s="238"/>
      <c r="FV385" s="238"/>
      <c r="FW385" s="238"/>
      <c r="FX385" s="238"/>
      <c r="FY385" s="238"/>
      <c r="FZ385" s="238"/>
      <c r="GA385" s="238"/>
      <c r="GB385" s="238"/>
      <c r="GC385" s="238"/>
      <c r="GD385" s="341"/>
      <c r="GE385" s="340"/>
      <c r="GF385" s="340"/>
      <c r="GG385" s="340"/>
      <c r="GH385" s="340"/>
      <c r="GI385" s="340"/>
      <c r="GJ385" s="340"/>
      <c r="GK385" s="340"/>
      <c r="GL385" s="340"/>
      <c r="GM385" s="340"/>
      <c r="GN385" s="340"/>
      <c r="GO385" s="340"/>
      <c r="GP385" s="340"/>
      <c r="GQ385" s="340"/>
      <c r="GR385" s="340"/>
      <c r="GS385" s="340"/>
      <c r="GT385" s="340"/>
      <c r="GU385" s="340"/>
      <c r="GV385" s="340"/>
      <c r="GW385" s="340"/>
      <c r="GX385" s="340"/>
      <c r="GY385" s="340"/>
      <c r="GZ385" s="340"/>
      <c r="HA385" s="340"/>
      <c r="HB385" s="340"/>
      <c r="HC385" s="340"/>
      <c r="HD385" s="341"/>
      <c r="HE385" s="341"/>
      <c r="HF385" s="341"/>
      <c r="HG385" s="341"/>
      <c r="HH385" s="341"/>
      <c r="HI385" s="341"/>
      <c r="HJ385" s="341"/>
      <c r="HK385" s="341"/>
      <c r="HL385" s="341"/>
      <c r="HM385" s="341"/>
      <c r="HN385" s="341"/>
      <c r="HO385" s="341"/>
      <c r="HP385" s="341"/>
      <c r="HQ385" s="341"/>
      <c r="HR385" s="341"/>
      <c r="HS385" s="238"/>
      <c r="HT385" s="238"/>
      <c r="HU385" s="238"/>
      <c r="HV385" s="238"/>
      <c r="HX385" s="238"/>
      <c r="HY385" s="238"/>
      <c r="ID385" s="238"/>
    </row>
    <row r="386" spans="1:238" s="234" customFormat="1" ht="20.100000000000001" customHeight="1">
      <c r="A386" s="235"/>
      <c r="B386" s="231"/>
      <c r="C386" s="314" t="s">
        <v>771</v>
      </c>
      <c r="D386" s="276" t="str">
        <f>REPT(Sprache!$K$58,1)</f>
        <v>Spieler</v>
      </c>
      <c r="E386" s="277" t="str">
        <f>REPT(Sprache!$K$33,1)</f>
        <v>Name / Vorname</v>
      </c>
      <c r="F386" s="278"/>
      <c r="G386" s="278"/>
      <c r="H386" s="279"/>
      <c r="I386" s="280"/>
      <c r="J386" s="281" t="str">
        <f>REPT(AM386,1)</f>
        <v/>
      </c>
      <c r="L386" s="306" t="s">
        <v>848</v>
      </c>
      <c r="M386" s="238"/>
      <c r="P386" s="306" t="s">
        <v>848</v>
      </c>
      <c r="R386" s="314" t="s">
        <v>771</v>
      </c>
      <c r="S386" s="276" t="str">
        <f>REPT(Sprache!$K$58,1)</f>
        <v>Spieler</v>
      </c>
      <c r="T386" s="277" t="str">
        <f>REPT(Sprache!$K$33,1)</f>
        <v>Name / Vorname</v>
      </c>
      <c r="U386" s="278"/>
      <c r="V386" s="278"/>
      <c r="W386" s="279"/>
      <c r="X386" s="280"/>
      <c r="Y386" s="281" t="str">
        <f>REPT(BA386,1)</f>
        <v/>
      </c>
      <c r="Z386" s="308"/>
      <c r="AD386" s="235"/>
      <c r="AE386" s="235"/>
      <c r="AF386" s="237" t="s">
        <v>771</v>
      </c>
      <c r="AG386" s="282" t="s">
        <v>877</v>
      </c>
      <c r="AH386" s="283" t="str">
        <f>IF(AH385=0,"",AH385)</f>
        <v/>
      </c>
      <c r="AI386" s="283" t="str">
        <f>IF(AI385=0,"",AI385)</f>
        <v/>
      </c>
      <c r="AJ386" s="283" t="str">
        <f>IF(AJ385=0,"",AJ385)</f>
        <v/>
      </c>
      <c r="AK386" s="283" t="str">
        <f>IF(AK385=0,"",AK385)</f>
        <v/>
      </c>
      <c r="AL386" s="283" t="str">
        <f>IF(AL385=0,"",AL385)</f>
        <v/>
      </c>
      <c r="AM386" s="258" t="str">
        <f>IF(AK377="D",IF(AF385=0,"","X"),"")</f>
        <v/>
      </c>
      <c r="AN386" s="235"/>
      <c r="AO386" s="235"/>
      <c r="AP386" s="284"/>
      <c r="AQ386" s="235"/>
      <c r="AR386" s="235"/>
      <c r="AS386" s="235"/>
      <c r="AT386" s="237" t="s">
        <v>771</v>
      </c>
      <c r="AU386" s="282" t="s">
        <v>877</v>
      </c>
      <c r="AV386" s="283" t="str">
        <f>IF(AV385=0,"",AV385)</f>
        <v/>
      </c>
      <c r="AW386" s="283" t="str">
        <f>IF(AW385=0,"",AW385)</f>
        <v/>
      </c>
      <c r="AX386" s="283" t="str">
        <f>IF(AX385=0,"",AX385)</f>
        <v/>
      </c>
      <c r="AY386" s="283" t="str">
        <f>IF(AY385=0,"",AY385)</f>
        <v/>
      </c>
      <c r="AZ386" s="421" t="str">
        <f>IF(AZ385=0,"",AZ385)</f>
        <v/>
      </c>
      <c r="BA386" s="258" t="str">
        <f>IF(AK377="D",IF(AT385=0,"","X"),"")</f>
        <v/>
      </c>
      <c r="BJ386" s="236"/>
      <c r="BK386" s="238"/>
      <c r="BL386" s="244">
        <f>IF(BM386=0,0,1)</f>
        <v>0</v>
      </c>
      <c r="BM386" s="244">
        <f>SUM(BM380,BM381,BM382,BM383,BM384,HH382,AN387,AN388,BB387,BB388)</f>
        <v>0</v>
      </c>
      <c r="BN386" s="166">
        <f t="shared" ref="BN386:BO386" si="967">SUM(BN380,BN381,BN382,BN383,BN384)</f>
        <v>0</v>
      </c>
      <c r="BO386" s="166">
        <f t="shared" si="967"/>
        <v>0</v>
      </c>
      <c r="BP386" s="244"/>
      <c r="BQ386" s="238"/>
      <c r="BR386" s="238"/>
      <c r="BS386" s="238"/>
      <c r="BT386" s="238"/>
      <c r="BU386" s="238"/>
      <c r="BV386" s="238"/>
      <c r="BW386" s="238"/>
      <c r="BX386" s="236"/>
      <c r="BY386" s="238"/>
      <c r="BZ386" s="238"/>
      <c r="CA386" s="238"/>
      <c r="CB386" s="238"/>
      <c r="CC386" s="238"/>
      <c r="CD386" s="238"/>
      <c r="CE386" s="238"/>
      <c r="CF386" s="238"/>
      <c r="CG386" s="244"/>
      <c r="CH386" s="238"/>
      <c r="CI386" s="238"/>
      <c r="CJ386" s="238"/>
      <c r="CK386" s="238"/>
      <c r="CL386" s="238"/>
      <c r="CM386" s="238"/>
      <c r="CN386" s="238"/>
      <c r="CO386" s="238"/>
      <c r="CP386" s="238"/>
      <c r="CQ386" s="238"/>
      <c r="CR386" s="238"/>
      <c r="CS386" s="238"/>
      <c r="CT386" s="238"/>
      <c r="CU386" s="238"/>
      <c r="CV386" s="238"/>
      <c r="CW386" s="238"/>
      <c r="CX386" s="238"/>
      <c r="CY386" s="238"/>
      <c r="CZ386" s="238"/>
      <c r="DA386" s="238"/>
      <c r="DB386" s="238"/>
      <c r="DC386" s="238"/>
      <c r="DD386" s="238"/>
      <c r="DE386" s="238"/>
      <c r="DF386" s="238"/>
      <c r="DG386" s="238"/>
      <c r="DH386" s="238"/>
      <c r="DI386" s="238"/>
      <c r="DJ386" s="238"/>
      <c r="DK386" s="238"/>
      <c r="DL386" s="238"/>
      <c r="DM386" s="238"/>
      <c r="DN386" s="238"/>
      <c r="DO386" s="238"/>
      <c r="DP386" s="238"/>
      <c r="DQ386" s="238"/>
      <c r="DR386" s="238"/>
      <c r="DS386" s="238"/>
      <c r="DT386" s="238"/>
      <c r="DU386" s="238"/>
      <c r="DV386" s="238"/>
      <c r="DW386" s="238"/>
      <c r="DX386" s="238"/>
      <c r="DY386" s="238"/>
      <c r="DZ386" s="238"/>
      <c r="EA386" s="238"/>
      <c r="EB386" s="238"/>
      <c r="EC386" s="238"/>
      <c r="ED386" s="238"/>
      <c r="EE386" s="238"/>
      <c r="EF386" s="238"/>
      <c r="EG386" s="238"/>
      <c r="EH386" s="238"/>
      <c r="EI386" s="238"/>
      <c r="EJ386" s="238"/>
      <c r="EK386" s="238"/>
      <c r="EL386" s="238"/>
      <c r="EM386" s="238"/>
      <c r="EN386" s="238"/>
      <c r="EO386" s="238"/>
      <c r="EP386" s="238"/>
      <c r="EQ386" s="238"/>
      <c r="ER386" s="238"/>
      <c r="ES386" s="238"/>
      <c r="ET386" s="244"/>
      <c r="EU386" s="238"/>
      <c r="EV386" s="238"/>
      <c r="EW386" s="238"/>
      <c r="EX386" s="238"/>
      <c r="EY386" s="238"/>
      <c r="EZ386" s="238"/>
      <c r="FA386" s="238"/>
      <c r="FB386" s="238"/>
      <c r="FC386" s="238"/>
      <c r="FD386" s="238"/>
      <c r="FE386" s="238"/>
      <c r="FF386" s="238"/>
      <c r="FG386" s="238"/>
      <c r="FH386" s="238"/>
      <c r="FI386" s="238"/>
      <c r="FJ386" s="238"/>
      <c r="FK386" s="238"/>
      <c r="FL386" s="238"/>
      <c r="FM386" s="238"/>
      <c r="FN386" s="238"/>
      <c r="FO386" s="244"/>
      <c r="FP386" s="238"/>
      <c r="FQ386" s="238"/>
      <c r="FR386" s="238"/>
      <c r="FS386" s="238"/>
      <c r="FT386" s="238"/>
      <c r="FU386" s="238"/>
      <c r="FV386" s="238"/>
      <c r="FW386" s="238"/>
      <c r="FX386" s="238"/>
      <c r="FY386" s="238"/>
      <c r="FZ386" s="238"/>
      <c r="GA386" s="238"/>
      <c r="GB386" s="238"/>
      <c r="GC386" s="238"/>
      <c r="GD386" s="341"/>
      <c r="GE386" s="340"/>
      <c r="GF386" s="340"/>
      <c r="GG386" s="340"/>
      <c r="GH386" s="340"/>
      <c r="GI386" s="340"/>
      <c r="GJ386" s="340"/>
      <c r="GK386" s="340"/>
      <c r="GL386" s="340"/>
      <c r="GM386" s="340"/>
      <c r="GN386" s="340"/>
      <c r="GO386" s="340"/>
      <c r="GP386" s="340"/>
      <c r="GQ386" s="340"/>
      <c r="GR386" s="340"/>
      <c r="GS386" s="340"/>
      <c r="GT386" s="340"/>
      <c r="GU386" s="340"/>
      <c r="GV386" s="340"/>
      <c r="GW386" s="340"/>
      <c r="GX386" s="340"/>
      <c r="GY386" s="340"/>
      <c r="GZ386" s="340"/>
      <c r="HA386" s="340"/>
      <c r="HB386" s="340"/>
      <c r="HC386" s="340"/>
      <c r="HD386" s="341"/>
      <c r="HE386" s="341"/>
      <c r="HF386" s="341"/>
      <c r="HG386" s="341"/>
      <c r="HH386" s="341"/>
      <c r="HI386" s="341"/>
      <c r="HJ386" s="341"/>
      <c r="HK386" s="341"/>
      <c r="HL386" s="341"/>
      <c r="HM386" s="341"/>
      <c r="HN386" s="341"/>
      <c r="HO386" s="341"/>
      <c r="HP386" s="341"/>
      <c r="HQ386" s="341"/>
      <c r="HR386" s="341"/>
      <c r="HS386" s="238"/>
      <c r="HT386" s="238"/>
      <c r="HU386" s="238"/>
      <c r="HV386" s="238"/>
      <c r="HX386" s="238"/>
      <c r="HY386" s="238"/>
      <c r="ID386" s="238"/>
    </row>
    <row r="387" spans="1:238" s="234" customFormat="1" ht="20.100000000000001" customHeight="1">
      <c r="A387" s="235"/>
      <c r="B387" s="231"/>
      <c r="C387" s="285" t="str">
        <f>IF(AF387="","",SUM(AF387))</f>
        <v/>
      </c>
      <c r="D387" s="286" t="str">
        <f>IF(AK377="D",1,"")</f>
        <v/>
      </c>
      <c r="E387" s="287" t="str">
        <f>IF(C387="","",VLOOKUP(C387,Licenses!B:C,2,FALSE))</f>
        <v/>
      </c>
      <c r="F387" s="288"/>
      <c r="G387" s="288"/>
      <c r="H387" s="289"/>
      <c r="I387" s="169"/>
      <c r="J387" s="270" t="str">
        <f>REPT(AM387,1)</f>
        <v/>
      </c>
      <c r="L387" s="290" t="str">
        <f>IF(AK377="D",AK387,IF(AK386="","",AK386))</f>
        <v/>
      </c>
      <c r="M387" s="311"/>
      <c r="P387" s="290" t="str">
        <f>IF(AK377="D",AY387,IF(AY386="","",AY386))</f>
        <v/>
      </c>
      <c r="R387" s="291" t="str">
        <f>IF(AT387="","",SUM(AT387))</f>
        <v/>
      </c>
      <c r="S387" s="286" t="str">
        <f>IF(AK377="D",1,"")</f>
        <v/>
      </c>
      <c r="T387" s="292" t="str">
        <f>IF(R387="","",VLOOKUP(R387,Licenses!B:C,2,FALSE))</f>
        <v/>
      </c>
      <c r="U387" s="293"/>
      <c r="V387" s="293"/>
      <c r="W387" s="294"/>
      <c r="X387" s="169"/>
      <c r="Y387" s="270" t="str">
        <f>REPT(BA387,1)</f>
        <v/>
      </c>
      <c r="Z387" s="308"/>
      <c r="AD387" s="235"/>
      <c r="AE387" s="235"/>
      <c r="AF387" s="256" t="str">
        <f>IF(AM377="","",SUM(AM377))</f>
        <v/>
      </c>
      <c r="AG387" s="237"/>
      <c r="AH387" s="256"/>
      <c r="AI387" s="256"/>
      <c r="AJ387" s="256"/>
      <c r="AK387" s="256" t="str">
        <f>IF(BZ385&gt;1,BZ385,"")</f>
        <v/>
      </c>
      <c r="AL387" s="257">
        <f>IF(AK377="D",SUM(I387),0)</f>
        <v>0</v>
      </c>
      <c r="AM387" s="258" t="str">
        <f>IF(AM385=0,IF(AL387&lt;6,"","X"),"X")</f>
        <v/>
      </c>
      <c r="AN387" s="347" t="str">
        <f>IF(AM385=0,IF(AL387&lt;6,"",1),1)</f>
        <v/>
      </c>
      <c r="AO387" s="235"/>
      <c r="AP387" s="236"/>
      <c r="AQ387" s="235"/>
      <c r="AR387" s="235"/>
      <c r="AS387" s="235"/>
      <c r="AT387" s="256" t="str">
        <f>IF(BA377="","",SUM(BA377))</f>
        <v/>
      </c>
      <c r="AU387" s="237"/>
      <c r="AV387" s="256"/>
      <c r="AW387" s="256"/>
      <c r="AX387" s="256"/>
      <c r="AY387" s="256" t="str">
        <f>IF(CI385&gt;1,CI385,"")</f>
        <v/>
      </c>
      <c r="AZ387" s="257">
        <f>IF(AK377="D",SUM(X387),0)</f>
        <v>0</v>
      </c>
      <c r="BA387" s="258" t="str">
        <f>IF(BA385=0,IF(AZ387&lt;6,"","X"),"X")</f>
        <v/>
      </c>
      <c r="BB387" s="347" t="str">
        <f>IF(BA385=0,IF(AZ387&lt;6,"",1),1)</f>
        <v/>
      </c>
      <c r="BC387" s="236"/>
      <c r="BD387" s="236"/>
      <c r="BE387" s="236"/>
      <c r="BF387" s="236"/>
      <c r="BG387" s="236"/>
      <c r="BH387" s="236"/>
      <c r="BI387" s="236"/>
      <c r="BJ387" s="236"/>
      <c r="BK387" s="238"/>
      <c r="BL387" s="238"/>
      <c r="BM387" s="295"/>
      <c r="BN387" s="295"/>
      <c r="BO387" s="295"/>
      <c r="BP387" s="295"/>
      <c r="BQ387" s="295"/>
      <c r="BR387" s="295"/>
      <c r="BS387" s="295"/>
      <c r="BT387" s="295"/>
      <c r="BU387" s="295"/>
      <c r="BV387" s="295"/>
      <c r="BW387" s="295"/>
      <c r="BX387" s="236"/>
      <c r="BY387" s="295"/>
      <c r="BZ387" s="295"/>
      <c r="CA387" s="295"/>
      <c r="CB387" s="295"/>
      <c r="CC387" s="295"/>
      <c r="CD387" s="295"/>
      <c r="CE387" s="295"/>
      <c r="CF387" s="295"/>
      <c r="CG387" s="296"/>
      <c r="CH387" s="295"/>
      <c r="CI387" s="295"/>
      <c r="CJ387" s="295"/>
      <c r="CK387" s="238"/>
      <c r="CL387" s="238"/>
      <c r="CM387" s="238"/>
      <c r="CN387" s="238"/>
      <c r="CO387" s="238"/>
      <c r="CP387" s="238"/>
      <c r="CQ387" s="238"/>
      <c r="CR387" s="238"/>
      <c r="CS387" s="238"/>
      <c r="CT387" s="238"/>
      <c r="CU387" s="238"/>
      <c r="CV387" s="238"/>
      <c r="CW387" s="238"/>
      <c r="CX387" s="238"/>
      <c r="CY387" s="238"/>
      <c r="CZ387" s="238"/>
      <c r="DA387" s="238"/>
      <c r="DB387" s="238"/>
      <c r="DC387" s="238"/>
      <c r="DD387" s="238"/>
      <c r="DE387" s="238"/>
      <c r="DF387" s="238"/>
      <c r="DG387" s="238"/>
      <c r="DH387" s="238"/>
      <c r="DI387" s="238"/>
      <c r="DJ387" s="238"/>
      <c r="DK387" s="238"/>
      <c r="DL387" s="238"/>
      <c r="DM387" s="238"/>
      <c r="DN387" s="238"/>
      <c r="DO387" s="238"/>
      <c r="DP387" s="238"/>
      <c r="DQ387" s="238"/>
      <c r="DR387" s="238"/>
      <c r="DS387" s="238"/>
      <c r="DT387" s="238"/>
      <c r="DU387" s="238"/>
      <c r="DV387" s="238"/>
      <c r="DW387" s="238"/>
      <c r="DX387" s="238"/>
      <c r="DY387" s="238"/>
      <c r="DZ387" s="238"/>
      <c r="EA387" s="238"/>
      <c r="EB387" s="238"/>
      <c r="EC387" s="238"/>
      <c r="ED387" s="238"/>
      <c r="EE387" s="238"/>
      <c r="EF387" s="238"/>
      <c r="EG387" s="238"/>
      <c r="EH387" s="238"/>
      <c r="EI387" s="238"/>
      <c r="EJ387" s="238"/>
      <c r="EK387" s="238"/>
      <c r="EL387" s="238"/>
      <c r="EM387" s="238"/>
      <c r="EN387" s="238"/>
      <c r="EO387" s="238"/>
      <c r="EP387" s="238"/>
      <c r="EQ387" s="238"/>
      <c r="ER387" s="238"/>
      <c r="ES387" s="238"/>
      <c r="ET387" s="244"/>
      <c r="EU387" s="238"/>
      <c r="EV387" s="238"/>
      <c r="EW387" s="238"/>
      <c r="EX387" s="238"/>
      <c r="EY387" s="238"/>
      <c r="EZ387" s="238"/>
      <c r="FA387" s="238"/>
      <c r="FB387" s="238"/>
      <c r="FC387" s="238"/>
      <c r="FD387" s="238"/>
      <c r="FE387" s="238"/>
      <c r="FF387" s="238"/>
      <c r="FG387" s="238"/>
      <c r="FH387" s="238"/>
      <c r="FI387" s="238"/>
      <c r="FJ387" s="238"/>
      <c r="FK387" s="238"/>
      <c r="FL387" s="238"/>
      <c r="FM387" s="238"/>
      <c r="FN387" s="238"/>
      <c r="FO387" s="244"/>
      <c r="FP387" s="238"/>
      <c r="FQ387" s="238"/>
      <c r="FR387" s="238"/>
      <c r="FS387" s="238"/>
      <c r="FT387" s="238"/>
      <c r="FU387" s="238"/>
      <c r="FV387" s="238"/>
      <c r="FW387" s="238"/>
      <c r="FX387" s="238"/>
      <c r="FY387" s="238"/>
      <c r="FZ387" s="238"/>
      <c r="GA387" s="238"/>
      <c r="GB387" s="238"/>
      <c r="GC387" s="238"/>
      <c r="GD387" s="341"/>
      <c r="GE387" s="340"/>
      <c r="GF387" s="340"/>
      <c r="GG387" s="340"/>
      <c r="GH387" s="340"/>
      <c r="GI387" s="340"/>
      <c r="GJ387" s="340"/>
      <c r="GK387" s="340"/>
      <c r="GL387" s="340"/>
      <c r="GM387" s="340"/>
      <c r="GN387" s="340"/>
      <c r="GO387" s="340"/>
      <c r="GP387" s="340"/>
      <c r="GQ387" s="340"/>
      <c r="GR387" s="340"/>
      <c r="GS387" s="340"/>
      <c r="GT387" s="340"/>
      <c r="GU387" s="340"/>
      <c r="GV387" s="340"/>
      <c r="GW387" s="340"/>
      <c r="GX387" s="340"/>
      <c r="GY387" s="340"/>
      <c r="GZ387" s="340"/>
      <c r="HA387" s="340"/>
      <c r="HB387" s="340"/>
      <c r="HC387" s="340"/>
      <c r="HD387" s="341"/>
      <c r="HE387" s="341"/>
      <c r="HF387" s="341"/>
      <c r="HG387" s="341"/>
      <c r="HH387" s="341"/>
      <c r="HI387" s="341"/>
      <c r="HJ387" s="341"/>
      <c r="HK387" s="341"/>
      <c r="HL387" s="341"/>
      <c r="HM387" s="341"/>
      <c r="HN387" s="341"/>
      <c r="HO387" s="341"/>
      <c r="HP387" s="341"/>
      <c r="HQ387" s="341"/>
      <c r="HR387" s="341"/>
      <c r="HS387" s="238"/>
      <c r="HT387" s="238"/>
      <c r="HU387" s="238"/>
      <c r="HV387" s="238"/>
      <c r="HX387" s="238"/>
      <c r="HY387" s="238"/>
      <c r="ID387" s="238"/>
    </row>
    <row r="388" spans="1:238" s="234" customFormat="1" ht="20.100000000000001" customHeight="1">
      <c r="A388" s="235"/>
      <c r="B388" s="231"/>
      <c r="C388" s="336" t="str">
        <f>IF(AF388="","",SUM(AF388))</f>
        <v/>
      </c>
      <c r="D388" s="333" t="str">
        <f>IF(AK377="D",2,"")</f>
        <v/>
      </c>
      <c r="E388" s="337" t="str">
        <f>IF(C388="","",VLOOKUP(C388,Licenses!B:C,2,FALSE))</f>
        <v/>
      </c>
      <c r="F388" s="290"/>
      <c r="G388" s="290"/>
      <c r="H388" s="338"/>
      <c r="I388" s="331"/>
      <c r="J388" s="272" t="str">
        <f>REPT(AM388,1)</f>
        <v/>
      </c>
      <c r="L388" s="315" t="str">
        <f>IF(AK377="D",AK388,"")</f>
        <v/>
      </c>
      <c r="M388" s="311"/>
      <c r="P388" s="315" t="str">
        <f>IF(AK377="D",AY388,"")</f>
        <v/>
      </c>
      <c r="R388" s="332" t="str">
        <f>IF(AT388="","",SUM(AT388))</f>
        <v/>
      </c>
      <c r="S388" s="333" t="str">
        <f>IF(AK377="D",2,"")</f>
        <v/>
      </c>
      <c r="T388" s="334" t="str">
        <f>IF(R388="","",VLOOKUP(R388,Licenses!B:C,2,FALSE))</f>
        <v/>
      </c>
      <c r="U388" s="297"/>
      <c r="V388" s="297"/>
      <c r="W388" s="335"/>
      <c r="X388" s="331"/>
      <c r="Y388" s="272" t="str">
        <f>REPT(BA388,1)</f>
        <v/>
      </c>
      <c r="Z388" s="308"/>
      <c r="AA388" s="238">
        <f>IF(AK377="D",0,1)</f>
        <v>1</v>
      </c>
      <c r="AD388" s="235"/>
      <c r="AE388" s="235"/>
      <c r="AF388" s="256" t="str">
        <f>IF(AM378="","",SUM(AM378))</f>
        <v/>
      </c>
      <c r="AG388" s="237"/>
      <c r="AH388" s="256"/>
      <c r="AI388" s="256"/>
      <c r="AJ388" s="256"/>
      <c r="AK388" s="256" t="str">
        <f>IF(CA385&gt;1,CA385,"")</f>
        <v/>
      </c>
      <c r="AL388" s="257">
        <f>IF(AK377="D",SUM(I388),0)</f>
        <v>0</v>
      </c>
      <c r="AM388" s="258" t="str">
        <f>IF(AM385=0,IF(AL388&lt;6,"","X"),"X")</f>
        <v/>
      </c>
      <c r="AN388" s="347" t="str">
        <f>IF(AM385=0,IF(AL388&lt;6,"",1),1)</f>
        <v/>
      </c>
      <c r="AO388" s="235"/>
      <c r="AP388" s="236"/>
      <c r="AQ388" s="235"/>
      <c r="AR388" s="235"/>
      <c r="AS388" s="235"/>
      <c r="AT388" s="256" t="str">
        <f>IF(BA378="","",SUM(BA378))</f>
        <v/>
      </c>
      <c r="AU388" s="237"/>
      <c r="AV388" s="256"/>
      <c r="AW388" s="256"/>
      <c r="AX388" s="256"/>
      <c r="AY388" s="256" t="str">
        <f>IF(CJ385&gt;1,CJ385,"")</f>
        <v/>
      </c>
      <c r="AZ388" s="257">
        <f>IF(AK377="D",SUM(X388),0)</f>
        <v>0</v>
      </c>
      <c r="BA388" s="258" t="str">
        <f>IF(BA385=0,IF(AZ388&lt;6,"","X"),"X")</f>
        <v/>
      </c>
      <c r="BB388" s="347" t="str">
        <f>IF(BA385=0,IF(AZ388&lt;6,"",1),1)</f>
        <v/>
      </c>
      <c r="BC388" s="236"/>
      <c r="BD388" s="236"/>
      <c r="BE388" s="236"/>
      <c r="BF388" s="236"/>
      <c r="BG388" s="236"/>
      <c r="BH388" s="236"/>
      <c r="BI388" s="236"/>
      <c r="BJ388" s="236"/>
      <c r="BK388" s="238"/>
      <c r="BM388" s="238"/>
      <c r="BN388" s="238"/>
      <c r="BO388" s="238"/>
      <c r="BP388" s="238"/>
      <c r="BQ388" s="238" t="s">
        <v>899</v>
      </c>
      <c r="BR388" s="238"/>
      <c r="BS388" s="238"/>
      <c r="BT388" s="238"/>
      <c r="BU388" s="238"/>
      <c r="BV388" s="238"/>
      <c r="BW388" s="238"/>
      <c r="BX388" s="236"/>
      <c r="BY388" s="238"/>
      <c r="BZ388" s="238"/>
      <c r="CA388" s="238"/>
      <c r="CB388" s="238"/>
      <c r="CC388" s="238"/>
      <c r="CD388" s="238" t="s">
        <v>899</v>
      </c>
      <c r="CE388" s="238"/>
      <c r="CF388" s="238"/>
      <c r="CG388" s="244"/>
      <c r="CH388" s="238"/>
      <c r="CI388" s="238"/>
      <c r="CJ388" s="238"/>
      <c r="CK388" s="238"/>
      <c r="CL388" s="238"/>
      <c r="CM388" s="238"/>
      <c r="CN388" s="238"/>
      <c r="CO388" s="238"/>
      <c r="CP388" s="238"/>
      <c r="CQ388" s="238"/>
      <c r="CR388" s="238"/>
      <c r="CS388" s="238"/>
      <c r="CT388" s="238"/>
      <c r="CU388" s="238"/>
      <c r="CV388" s="238"/>
      <c r="CW388" s="238"/>
      <c r="CX388" s="238"/>
      <c r="CY388" s="238"/>
      <c r="CZ388" s="238"/>
      <c r="DA388" s="238"/>
      <c r="DB388" s="238"/>
      <c r="DC388" s="238"/>
      <c r="DD388" s="238"/>
      <c r="DE388" s="238"/>
      <c r="DF388" s="238"/>
      <c r="DG388" s="238"/>
      <c r="DH388" s="238"/>
      <c r="DI388" s="238"/>
      <c r="DJ388" s="238"/>
      <c r="DK388" s="238"/>
      <c r="DL388" s="238"/>
      <c r="DM388" s="238"/>
      <c r="DN388" s="238"/>
      <c r="DO388" s="238"/>
      <c r="DP388" s="238"/>
      <c r="DQ388" s="238"/>
      <c r="DR388" s="238"/>
      <c r="DS388" s="238"/>
      <c r="DT388" s="238"/>
      <c r="DU388" s="238"/>
      <c r="DV388" s="238"/>
      <c r="DW388" s="238"/>
      <c r="DX388" s="238"/>
      <c r="DY388" s="238"/>
      <c r="DZ388" s="238"/>
      <c r="EA388" s="238"/>
      <c r="EB388" s="238"/>
      <c r="EC388" s="238"/>
      <c r="ED388" s="238"/>
      <c r="EE388" s="238"/>
      <c r="EF388" s="238"/>
      <c r="EG388" s="238"/>
      <c r="EH388" s="238"/>
      <c r="EI388" s="238"/>
      <c r="EJ388" s="238"/>
      <c r="EK388" s="238"/>
      <c r="EL388" s="238"/>
      <c r="EM388" s="238"/>
      <c r="EN388" s="238"/>
      <c r="EO388" s="238"/>
      <c r="EP388" s="238"/>
      <c r="EQ388" s="238"/>
      <c r="ER388" s="238"/>
      <c r="ES388" s="238"/>
      <c r="ET388" s="244"/>
      <c r="EU388" s="238"/>
      <c r="EV388" s="238"/>
      <c r="EW388" s="238"/>
      <c r="EX388" s="238"/>
      <c r="EY388" s="238"/>
      <c r="EZ388" s="238"/>
      <c r="FA388" s="238"/>
      <c r="FB388" s="238"/>
      <c r="FC388" s="238"/>
      <c r="FD388" s="238"/>
      <c r="FE388" s="238"/>
      <c r="FF388" s="238"/>
      <c r="FG388" s="238"/>
      <c r="FH388" s="238"/>
      <c r="FI388" s="238"/>
      <c r="FJ388" s="238"/>
      <c r="FK388" s="238"/>
      <c r="FL388" s="238"/>
      <c r="FM388" s="238"/>
      <c r="FN388" s="238"/>
      <c r="FO388" s="244"/>
      <c r="FP388" s="238"/>
      <c r="FQ388" s="238"/>
      <c r="FR388" s="238"/>
      <c r="FS388" s="238"/>
      <c r="FT388" s="238"/>
      <c r="FU388" s="238"/>
      <c r="FV388" s="238"/>
      <c r="FW388" s="238"/>
      <c r="FX388" s="238"/>
      <c r="FY388" s="238"/>
      <c r="FZ388" s="238"/>
      <c r="GA388" s="238"/>
      <c r="GB388" s="238"/>
      <c r="GC388" s="238"/>
      <c r="GD388" s="341"/>
      <c r="GE388" s="340"/>
      <c r="GF388" s="340"/>
      <c r="GG388" s="340"/>
      <c r="GH388" s="340"/>
      <c r="GI388" s="340"/>
      <c r="GJ388" s="340"/>
      <c r="GK388" s="340"/>
      <c r="GL388" s="340"/>
      <c r="GM388" s="340"/>
      <c r="GN388" s="340"/>
      <c r="GO388" s="340"/>
      <c r="GP388" s="340"/>
      <c r="GQ388" s="340"/>
      <c r="GR388" s="340"/>
      <c r="GS388" s="340"/>
      <c r="GT388" s="340"/>
      <c r="GU388" s="340"/>
      <c r="GV388" s="340"/>
      <c r="GW388" s="340"/>
      <c r="GX388" s="340"/>
      <c r="GY388" s="340"/>
      <c r="GZ388" s="340"/>
      <c r="HA388" s="340"/>
      <c r="HB388" s="340"/>
      <c r="HC388" s="340"/>
      <c r="HD388" s="341"/>
      <c r="HE388" s="341"/>
      <c r="HF388" s="341"/>
      <c r="HG388" s="341"/>
      <c r="HH388" s="341"/>
      <c r="HI388" s="341"/>
      <c r="HJ388" s="341"/>
      <c r="HK388" s="341"/>
      <c r="HL388" s="341"/>
      <c r="HM388" s="341"/>
      <c r="HN388" s="341"/>
      <c r="HO388" s="341"/>
      <c r="HP388" s="341"/>
      <c r="HQ388" s="341"/>
      <c r="HR388" s="341"/>
      <c r="HS388" s="238"/>
      <c r="HT388" s="238"/>
      <c r="HU388" s="238"/>
      <c r="HV388" s="238"/>
      <c r="HX388" s="238"/>
      <c r="HY388" s="238"/>
      <c r="ID388" s="238"/>
    </row>
    <row r="389" spans="1:238" s="234" customFormat="1" ht="20.100000000000001" customHeight="1">
      <c r="A389" s="235"/>
      <c r="B389" s="316"/>
      <c r="C389" s="317"/>
      <c r="D389" s="317"/>
      <c r="E389" s="318"/>
      <c r="F389" s="318"/>
      <c r="G389" s="318"/>
      <c r="H389" s="318"/>
      <c r="I389" s="318"/>
      <c r="J389" s="318"/>
      <c r="K389" s="319"/>
      <c r="L389" s="319"/>
      <c r="M389" s="319"/>
      <c r="N389" s="319"/>
      <c r="O389" s="319"/>
      <c r="P389" s="320"/>
      <c r="Q389" s="319"/>
      <c r="R389" s="317"/>
      <c r="S389" s="318"/>
      <c r="T389" s="318"/>
      <c r="U389" s="318"/>
      <c r="V389" s="318"/>
      <c r="W389" s="318"/>
      <c r="X389" s="318"/>
      <c r="Y389" s="318"/>
      <c r="Z389" s="321"/>
      <c r="AD389" s="235"/>
      <c r="AE389" s="237"/>
      <c r="AF389" s="237"/>
      <c r="AG389" s="237"/>
      <c r="AH389" s="237" t="s">
        <v>921</v>
      </c>
      <c r="AI389" s="237" t="s">
        <v>922</v>
      </c>
      <c r="AJ389" s="298" t="str">
        <f>IF(BS389="","",SUM(AM389)*3)</f>
        <v/>
      </c>
      <c r="AK389" s="299" t="s">
        <v>923</v>
      </c>
      <c r="AL389" s="256"/>
      <c r="AM389" s="256" t="str">
        <f>IF(BS389="","",SUM(BS389))</f>
        <v/>
      </c>
      <c r="AN389" s="235"/>
      <c r="AO389" s="235"/>
      <c r="AP389" s="236"/>
      <c r="AQ389" s="235"/>
      <c r="AR389" s="235"/>
      <c r="AS389" s="237"/>
      <c r="AT389" s="237"/>
      <c r="AU389" s="237"/>
      <c r="AV389" s="237" t="s">
        <v>921</v>
      </c>
      <c r="AW389" s="237" t="s">
        <v>922</v>
      </c>
      <c r="AX389" s="298" t="str">
        <f>IF(BS389="","",SUM(BA389)*3)</f>
        <v/>
      </c>
      <c r="AY389" s="299" t="s">
        <v>923</v>
      </c>
      <c r="AZ389" s="256"/>
      <c r="BA389" s="256" t="str">
        <f>IF(BS389="","",SUM(CF389))</f>
        <v/>
      </c>
      <c r="BB389" s="236"/>
      <c r="BC389" s="236"/>
      <c r="BD389" s="236"/>
      <c r="BE389" s="236"/>
      <c r="BF389" s="236"/>
      <c r="BG389" s="236"/>
      <c r="BH389" s="236"/>
      <c r="BI389" s="236"/>
      <c r="BJ389" s="236"/>
      <c r="BK389" s="373">
        <f>IF(AL377=BQ389,1,0)</f>
        <v>0</v>
      </c>
      <c r="BL389" s="373">
        <f>IF(AL377=CD389,1,0)</f>
        <v>0</v>
      </c>
      <c r="BM389" s="256">
        <f>IF(BN389&gt;2,1,0)</f>
        <v>0</v>
      </c>
      <c r="BN389" s="256">
        <f>COUNT(AH380,AH381,AH382)</f>
        <v>0</v>
      </c>
      <c r="BO389" s="256" t="str">
        <f>IF(AH386="","",SUM(AH386/AJ386))</f>
        <v/>
      </c>
      <c r="BP389" s="256"/>
      <c r="BQ389" s="300">
        <f>COUNT(AK380,AK381,AK382,AK383,AK384)</f>
        <v>0</v>
      </c>
      <c r="BR389" s="256"/>
      <c r="BS389" s="256" t="str">
        <f>IF(BL386=0,IF(AJ381="","",BO389),"")</f>
        <v/>
      </c>
      <c r="BT389" s="236"/>
      <c r="BU389" s="236"/>
      <c r="BV389" s="236"/>
      <c r="BW389" s="236"/>
      <c r="BX389" s="236"/>
      <c r="BY389" s="256">
        <f>IF(CD389&gt;2,1,0)</f>
        <v>0</v>
      </c>
      <c r="BZ389" s="256">
        <f>IF(CA389&gt;2,1,0)</f>
        <v>0</v>
      </c>
      <c r="CA389" s="256">
        <f>COUNT(AV380,AV381,AV382)</f>
        <v>0</v>
      </c>
      <c r="CB389" s="256" t="str">
        <f>IF(AV386="","",SUM(AV386/AX386))</f>
        <v/>
      </c>
      <c r="CC389" s="256"/>
      <c r="CD389" s="300">
        <f>COUNT(AY380,AY381,AY382,AY383,AY384)</f>
        <v>0</v>
      </c>
      <c r="CE389" s="256"/>
      <c r="CF389" s="256" t="str">
        <f>IF(BL386=0,IF(AX381="","",CB389),"")</f>
        <v/>
      </c>
      <c r="CG389" s="236"/>
      <c r="CH389" s="188"/>
      <c r="CI389" s="188"/>
      <c r="CJ389" s="196"/>
      <c r="CK389" s="196"/>
      <c r="CL389" s="196"/>
      <c r="CM389" s="196"/>
      <c r="CN389" s="196"/>
      <c r="CO389" s="196"/>
      <c r="CP389" s="196"/>
      <c r="CQ389" s="196"/>
      <c r="CR389" s="196"/>
      <c r="CS389" s="196"/>
      <c r="CT389" s="196"/>
      <c r="CU389" s="196"/>
      <c r="CV389" s="196"/>
      <c r="CW389" s="196"/>
      <c r="CX389" s="196"/>
      <c r="CY389" s="196"/>
      <c r="CZ389" s="196"/>
      <c r="DA389" s="196"/>
      <c r="DB389" s="196"/>
      <c r="DC389" s="196"/>
      <c r="DD389" s="196"/>
      <c r="DE389" s="196"/>
      <c r="DF389" s="196"/>
      <c r="DG389" s="196"/>
      <c r="DH389" s="196"/>
      <c r="DI389" s="196"/>
      <c r="DJ389" s="196"/>
      <c r="DK389" s="196"/>
      <c r="DL389" s="196"/>
      <c r="DM389" s="196"/>
      <c r="DN389" s="196"/>
      <c r="DO389" s="196"/>
      <c r="DP389" s="196"/>
      <c r="DQ389" s="196"/>
      <c r="DR389" s="196"/>
      <c r="DS389" s="196"/>
      <c r="DT389" s="196"/>
      <c r="DU389" s="196"/>
      <c r="DV389" s="196"/>
      <c r="DW389" s="196"/>
      <c r="DX389" s="196"/>
      <c r="DY389" s="196"/>
      <c r="DZ389" s="196"/>
      <c r="EA389" s="196"/>
      <c r="EB389" s="196"/>
      <c r="EC389" s="196"/>
      <c r="ED389" s="196"/>
      <c r="EE389" s="196"/>
      <c r="EF389" s="196"/>
      <c r="EG389" s="196"/>
      <c r="EH389" s="196"/>
      <c r="EI389" s="196"/>
      <c r="EJ389" s="196"/>
      <c r="EK389" s="196"/>
      <c r="EL389" s="196"/>
      <c r="EM389" s="196"/>
      <c r="EN389" s="196"/>
      <c r="EO389" s="196"/>
      <c r="EP389" s="196"/>
      <c r="EQ389" s="196"/>
      <c r="ER389" s="196"/>
      <c r="ES389" s="196"/>
      <c r="ET389" s="301"/>
      <c r="EU389" s="196"/>
      <c r="EV389" s="196"/>
      <c r="EW389" s="196"/>
      <c r="EX389" s="196"/>
      <c r="EY389" s="196"/>
      <c r="EZ389" s="196"/>
      <c r="FA389" s="196"/>
      <c r="FB389" s="196"/>
      <c r="FC389" s="196"/>
      <c r="FD389" s="196"/>
      <c r="FE389" s="196"/>
      <c r="FF389" s="196"/>
      <c r="FG389" s="196"/>
      <c r="FH389" s="196"/>
      <c r="FI389" s="196"/>
      <c r="FJ389" s="196"/>
      <c r="FK389" s="196"/>
      <c r="FL389" s="196"/>
      <c r="FM389" s="196"/>
      <c r="FN389" s="196"/>
      <c r="FO389" s="301"/>
      <c r="FP389" s="196"/>
      <c r="FQ389" s="196"/>
      <c r="FR389" s="196"/>
      <c r="FS389" s="196"/>
      <c r="FT389" s="196"/>
      <c r="FU389" s="196"/>
      <c r="FV389" s="196"/>
      <c r="FW389" s="196"/>
      <c r="FX389" s="196"/>
      <c r="FY389" s="196"/>
      <c r="FZ389" s="196"/>
      <c r="GA389" s="196"/>
      <c r="GB389" s="238"/>
      <c r="GC389" s="238"/>
      <c r="GD389" s="341"/>
      <c r="GE389" s="341"/>
      <c r="GF389" s="341"/>
      <c r="GG389" s="341"/>
      <c r="GH389" s="341"/>
      <c r="GI389" s="341"/>
      <c r="GJ389" s="341"/>
      <c r="GK389" s="341"/>
      <c r="GL389" s="341"/>
      <c r="GM389" s="341"/>
      <c r="GN389" s="341"/>
      <c r="GO389" s="341"/>
      <c r="GP389" s="341"/>
      <c r="GQ389" s="341"/>
      <c r="GR389" s="341"/>
      <c r="GS389" s="341"/>
      <c r="GT389" s="341"/>
      <c r="GU389" s="341"/>
      <c r="GV389" s="341"/>
      <c r="GW389" s="341"/>
      <c r="GX389" s="341"/>
      <c r="GY389" s="341"/>
      <c r="GZ389" s="341"/>
      <c r="HA389" s="341"/>
      <c r="HB389" s="341"/>
      <c r="HC389" s="341"/>
      <c r="HD389" s="341"/>
      <c r="HE389" s="341"/>
      <c r="HF389" s="341"/>
      <c r="HG389" s="341"/>
      <c r="HH389" s="341"/>
      <c r="HI389" s="341"/>
      <c r="HJ389" s="341"/>
      <c r="HK389" s="341"/>
      <c r="HL389" s="341"/>
      <c r="HM389" s="341"/>
      <c r="HN389" s="341"/>
      <c r="HO389" s="341"/>
      <c r="HP389" s="341"/>
      <c r="HQ389" s="341"/>
      <c r="HR389" s="341"/>
      <c r="HS389" s="238"/>
      <c r="HT389" s="238"/>
      <c r="HU389" s="238"/>
      <c r="HV389" s="238"/>
      <c r="HX389" s="238"/>
      <c r="HY389" s="238"/>
      <c r="ID389" s="238"/>
    </row>
    <row r="390" spans="1:238" ht="14.1" customHeight="1">
      <c r="B390" s="214"/>
      <c r="C390" s="171"/>
      <c r="D390" s="171"/>
      <c r="E390" s="171"/>
      <c r="F390" s="171"/>
      <c r="G390" s="171"/>
      <c r="H390" s="171"/>
      <c r="I390" s="171"/>
      <c r="J390" s="171"/>
      <c r="K390" s="171"/>
      <c r="L390" s="171"/>
      <c r="M390" s="171"/>
      <c r="N390" s="171"/>
      <c r="O390" s="171"/>
      <c r="P390" s="171"/>
      <c r="Q390" s="171"/>
      <c r="R390" s="171"/>
      <c r="S390" s="171"/>
      <c r="T390" s="171"/>
      <c r="U390" s="171"/>
      <c r="V390" s="171"/>
      <c r="W390" s="171"/>
      <c r="X390" s="171"/>
      <c r="Y390" s="171"/>
      <c r="Z390" s="302"/>
      <c r="AA390" s="215"/>
      <c r="AB390" s="215"/>
      <c r="AC390" s="215"/>
      <c r="AD390" s="215"/>
      <c r="AE390" s="215"/>
      <c r="AF390" s="215"/>
      <c r="BB390" s="215"/>
      <c r="BC390" s="215"/>
      <c r="BD390" s="215"/>
      <c r="BE390" s="215"/>
      <c r="BF390" s="215"/>
      <c r="BG390" s="215"/>
      <c r="BH390" s="215"/>
      <c r="GD390" s="339"/>
      <c r="GE390" s="339"/>
      <c r="GF390" s="339"/>
      <c r="GG390" s="339"/>
      <c r="GH390" s="339"/>
      <c r="GI390" s="339"/>
      <c r="GJ390" s="339"/>
      <c r="GK390" s="339"/>
      <c r="GL390" s="339"/>
      <c r="GM390" s="339"/>
      <c r="GN390" s="339"/>
      <c r="GO390" s="339"/>
      <c r="GP390" s="339"/>
      <c r="GQ390" s="339"/>
      <c r="GR390" s="339"/>
      <c r="GS390" s="339"/>
      <c r="GT390" s="339"/>
      <c r="GU390" s="339"/>
      <c r="GV390" s="339"/>
      <c r="GW390" s="339"/>
      <c r="GX390" s="339"/>
      <c r="GY390" s="339"/>
      <c r="GZ390" s="339"/>
      <c r="HA390" s="339"/>
      <c r="HB390" s="339"/>
      <c r="HC390" s="339"/>
      <c r="HD390" s="339"/>
      <c r="HE390" s="339"/>
      <c r="HF390" s="339"/>
      <c r="HG390" s="339"/>
      <c r="HH390" s="339"/>
      <c r="HI390" s="339"/>
      <c r="HJ390" s="339"/>
      <c r="HK390" s="339"/>
      <c r="HL390" s="339"/>
      <c r="HM390" s="339"/>
      <c r="HN390" s="339"/>
      <c r="HO390" s="339"/>
      <c r="HP390" s="339"/>
      <c r="HQ390" s="339"/>
      <c r="HR390" s="339"/>
    </row>
    <row r="391" spans="1:238" ht="24" customHeight="1">
      <c r="B391" s="216"/>
      <c r="C391" s="181"/>
      <c r="D391" s="181"/>
      <c r="E391" s="181"/>
      <c r="F391" s="181"/>
      <c r="G391" s="181"/>
      <c r="H391" s="181"/>
      <c r="I391" s="181"/>
      <c r="J391" s="181"/>
      <c r="K391" s="185"/>
      <c r="L391" s="217"/>
      <c r="M391" s="218"/>
      <c r="N391" s="327" t="str">
        <f>CONCATENATE(AG391," ",AH391)</f>
        <v>Spiel 28</v>
      </c>
      <c r="O391" s="218"/>
      <c r="P391" s="219"/>
      <c r="Q391" s="185"/>
      <c r="R391" s="181"/>
      <c r="S391" s="181"/>
      <c r="T391" s="181"/>
      <c r="U391" s="181"/>
      <c r="V391" s="181"/>
      <c r="W391" s="181"/>
      <c r="X391" s="181"/>
      <c r="Y391" s="181"/>
      <c r="Z391" s="303"/>
      <c r="AA391" s="200" t="str">
        <f>IF(AH391="",10,"")</f>
        <v/>
      </c>
      <c r="AB391" s="200"/>
      <c r="AC391" s="200"/>
      <c r="AD391" s="200"/>
      <c r="AE391" s="200"/>
      <c r="AF391" s="200"/>
      <c r="AG391" s="200" t="s">
        <v>863</v>
      </c>
      <c r="AH391" s="220">
        <f>IF('Heimmannschaft MAISON'!$A$1=3,"",IF('Heimmannschaft MAISON'!$A$1=1,28,28))</f>
        <v>28</v>
      </c>
      <c r="AI391" s="173">
        <f>IF(AH391="","",VLOOKUP(AH391,Chema!R:T,3,FALSE))</f>
        <v>3.8</v>
      </c>
      <c r="AJ391" s="200" t="str">
        <f>VLOOKUP(AH391,Chema!BL:BQ,6,FALSE)</f>
        <v>3.8*</v>
      </c>
      <c r="AK391" s="200" t="str">
        <f>IF(AH391="","",VLOOKUP(AH391,'Matchblatt  FEUILLE DE MATCH'!AI:AJ,2,FALSE))</f>
        <v>S</v>
      </c>
      <c r="AL391" s="200">
        <f>IF(AH391="","",VLOOKUP(AH391,Chema!R:U,4,FALSE))</f>
        <v>5</v>
      </c>
      <c r="AM391" s="215" t="str">
        <f>IF(AH391="","",VLOOKUP(AH391,'Matchblatt  FEUILLE DE MATCH'!AI:AS,10,FALSE))</f>
        <v/>
      </c>
      <c r="AN391" s="215"/>
      <c r="AO391" s="215"/>
      <c r="AP391" s="215"/>
      <c r="AQ391" s="215"/>
      <c r="AR391" s="215"/>
      <c r="AS391" s="215"/>
      <c r="AT391" s="215"/>
      <c r="AU391" s="215"/>
      <c r="AV391" s="215"/>
      <c r="AW391" s="215"/>
      <c r="AX391" s="215"/>
      <c r="AY391" s="215"/>
      <c r="AZ391" s="215"/>
      <c r="BA391" s="215" t="str">
        <f>IF(AH391="","",VLOOKUP(AH391,'Matchblatt  FEUILLE DE MATCH'!AI:AS,11,FALSE))</f>
        <v/>
      </c>
      <c r="BB391" s="200"/>
      <c r="BC391" s="200"/>
      <c r="BD391" s="200"/>
      <c r="BE391" s="200"/>
      <c r="BF391" s="200"/>
      <c r="BG391" s="200"/>
      <c r="BH391" s="200"/>
      <c r="BK391" s="196"/>
      <c r="BL391" s="196"/>
      <c r="BM391" s="196"/>
      <c r="BN391" s="196"/>
      <c r="BO391" s="196"/>
      <c r="BP391" s="196"/>
      <c r="BQ391" s="221" t="s">
        <v>843</v>
      </c>
      <c r="BR391" s="222"/>
      <c r="BS391" s="222"/>
      <c r="BT391" s="223"/>
      <c r="BU391" s="222" t="s">
        <v>843</v>
      </c>
      <c r="BV391" s="222"/>
      <c r="BW391" s="222"/>
      <c r="BX391" s="224"/>
      <c r="BY391" s="222"/>
      <c r="BZ391" s="222"/>
      <c r="CA391" s="222"/>
      <c r="CB391" s="222"/>
      <c r="CC391" s="222"/>
      <c r="CD391" s="222"/>
      <c r="CE391" s="222"/>
      <c r="CF391" s="222"/>
      <c r="CG391" s="224"/>
      <c r="CH391" s="222"/>
      <c r="CI391" s="222"/>
      <c r="CJ391" s="223"/>
      <c r="CK391" s="196"/>
      <c r="CL391" s="196"/>
      <c r="CM391" s="196"/>
      <c r="CN391" s="196"/>
      <c r="CO391" s="196"/>
      <c r="CP391" s="196"/>
      <c r="CQ391" s="196"/>
      <c r="CR391" s="196"/>
      <c r="CS391" s="196"/>
      <c r="CT391" s="196"/>
      <c r="CU391" s="196"/>
      <c r="CV391" s="196"/>
      <c r="CW391" s="196"/>
      <c r="CX391" s="196"/>
      <c r="CY391" s="196"/>
      <c r="CZ391" s="196"/>
      <c r="DA391" s="196"/>
      <c r="DB391" s="196"/>
      <c r="DC391" s="196"/>
      <c r="DD391" s="196"/>
      <c r="DE391" s="196"/>
      <c r="DF391" s="196"/>
      <c r="DG391" s="196"/>
      <c r="DH391" s="196"/>
      <c r="DI391" s="196"/>
      <c r="DJ391" s="196"/>
      <c r="DK391" s="196"/>
      <c r="DL391" s="196"/>
      <c r="DM391" s="196"/>
      <c r="DN391" s="196"/>
      <c r="DO391" s="196"/>
      <c r="DP391" s="196"/>
      <c r="DQ391" s="196"/>
      <c r="DR391" s="196"/>
      <c r="DS391" s="196"/>
      <c r="DT391" s="196"/>
      <c r="DU391" s="196"/>
      <c r="DV391" s="196"/>
      <c r="DW391" s="196"/>
      <c r="DX391" s="196"/>
      <c r="DY391" s="196"/>
      <c r="DZ391" s="196"/>
      <c r="EA391" s="196"/>
      <c r="EB391" s="196"/>
      <c r="EC391" s="196"/>
      <c r="ED391" s="196"/>
      <c r="EE391" s="196"/>
      <c r="EF391" s="196"/>
      <c r="EG391" s="196"/>
      <c r="EH391" s="196"/>
      <c r="EI391" s="196"/>
      <c r="EJ391" s="196"/>
      <c r="EK391" s="196"/>
      <c r="EL391" s="196"/>
      <c r="EM391" s="221" t="s">
        <v>7</v>
      </c>
      <c r="EN391" s="222"/>
      <c r="EO391" s="222"/>
      <c r="EP391" s="222"/>
      <c r="EQ391" s="222"/>
      <c r="ER391" s="222"/>
      <c r="ES391" s="222"/>
      <c r="ET391" s="224"/>
      <c r="EU391" s="222"/>
      <c r="EV391" s="222"/>
      <c r="EW391" s="222"/>
      <c r="EX391" s="222"/>
      <c r="EY391" s="222"/>
      <c r="EZ391" s="222"/>
      <c r="FA391" s="222"/>
      <c r="FB391" s="222"/>
      <c r="FC391" s="222"/>
      <c r="FD391" s="222"/>
      <c r="FE391" s="223"/>
      <c r="FF391" s="196"/>
      <c r="FG391" s="196"/>
      <c r="FH391" s="221" t="s">
        <v>12</v>
      </c>
      <c r="FI391" s="222"/>
      <c r="FJ391" s="222"/>
      <c r="FK391" s="222"/>
      <c r="FL391" s="222"/>
      <c r="FM391" s="222"/>
      <c r="FN391" s="222"/>
      <c r="FO391" s="224"/>
      <c r="FP391" s="222"/>
      <c r="FQ391" s="222"/>
      <c r="FR391" s="222"/>
      <c r="FS391" s="222"/>
      <c r="FT391" s="222"/>
      <c r="FU391" s="222"/>
      <c r="FV391" s="222"/>
      <c r="FW391" s="222"/>
      <c r="FX391" s="222"/>
      <c r="FY391" s="222"/>
      <c r="FZ391" s="223"/>
      <c r="GA391" s="196"/>
      <c r="GD391" s="339"/>
      <c r="GE391" s="339"/>
      <c r="GF391" s="339"/>
      <c r="GG391" s="339"/>
      <c r="GH391" s="339"/>
      <c r="GI391" s="339"/>
      <c r="GJ391" s="339"/>
      <c r="GK391" s="339"/>
      <c r="GL391" s="339"/>
      <c r="GM391" s="339"/>
      <c r="GN391" s="339"/>
      <c r="GO391" s="339"/>
      <c r="GP391" s="339"/>
      <c r="GQ391" s="339"/>
      <c r="GR391" s="339"/>
      <c r="GS391" s="339"/>
      <c r="GT391" s="339"/>
      <c r="GU391" s="339"/>
      <c r="GV391" s="339"/>
      <c r="GW391" s="339"/>
      <c r="GX391" s="339"/>
      <c r="GY391" s="339"/>
      <c r="GZ391" s="339"/>
      <c r="HA391" s="339"/>
      <c r="HB391" s="339"/>
      <c r="HC391" s="339"/>
      <c r="HD391" s="339"/>
      <c r="HE391" s="339"/>
      <c r="HF391" s="339"/>
      <c r="HG391" s="339"/>
      <c r="HH391" s="339"/>
      <c r="HI391" s="339"/>
      <c r="HJ391" s="339"/>
      <c r="HK391" s="339"/>
      <c r="HL391" s="339"/>
      <c r="HM391" s="339"/>
      <c r="HN391" s="339"/>
      <c r="HO391" s="339"/>
      <c r="HP391" s="339"/>
      <c r="HQ391" s="339"/>
      <c r="HR391" s="339"/>
    </row>
    <row r="392" spans="1:238" ht="14.1" customHeight="1">
      <c r="B392" s="225"/>
      <c r="C392" s="304"/>
      <c r="D392" s="304"/>
      <c r="E392" s="304"/>
      <c r="F392" s="304"/>
      <c r="G392" s="304"/>
      <c r="H392" s="304"/>
      <c r="I392" s="304"/>
      <c r="J392" s="304"/>
      <c r="K392" s="166"/>
      <c r="L392" s="166"/>
      <c r="M392" s="166"/>
      <c r="N392" s="304"/>
      <c r="O392" s="304"/>
      <c r="P392" s="166"/>
      <c r="Q392" s="166"/>
      <c r="R392" s="304"/>
      <c r="S392" s="304"/>
      <c r="T392" s="304"/>
      <c r="U392" s="304"/>
      <c r="V392" s="304"/>
      <c r="W392" s="304"/>
      <c r="X392" s="166"/>
      <c r="Y392" s="166"/>
      <c r="Z392" s="305"/>
      <c r="AA392" s="63"/>
      <c r="AB392" s="63"/>
      <c r="AC392" s="63"/>
      <c r="AD392" s="63"/>
      <c r="AE392" s="63"/>
      <c r="AF392" s="63"/>
      <c r="AJ392" s="173" t="str">
        <f>IF(AH391="","",IF(AK391="D",CONCATENATE(AI391,".",2),""))</f>
        <v/>
      </c>
      <c r="AL392" s="200"/>
      <c r="AM392" s="200" t="str">
        <f>IF(AK391="D",VLOOKUP(AJ392,'Matchblatt  FEUILLE DE MATCH'!AK:AS,8,FALSE),"")</f>
        <v/>
      </c>
      <c r="AN392" s="200"/>
      <c r="AO392" s="200"/>
      <c r="AP392" s="200"/>
      <c r="AQ392" s="200"/>
      <c r="AR392" s="200"/>
      <c r="AS392" s="200"/>
      <c r="AT392" s="200"/>
      <c r="AU392" s="200"/>
      <c r="AV392" s="200"/>
      <c r="AW392" s="200"/>
      <c r="AX392" s="200"/>
      <c r="AY392" s="200"/>
      <c r="AZ392" s="200"/>
      <c r="BA392" s="200" t="str">
        <f>IF(AK391="D",VLOOKUP(AJ392,'Matchblatt  FEUILLE DE MATCH'!AK:AS,9,FALSE),"")</f>
        <v/>
      </c>
      <c r="BB392" s="63"/>
      <c r="BC392" s="63"/>
      <c r="BD392" s="63"/>
      <c r="BE392" s="63"/>
      <c r="BF392" s="63"/>
      <c r="BG392" s="63"/>
      <c r="BH392" s="63"/>
      <c r="BK392" s="166" t="s">
        <v>7</v>
      </c>
      <c r="BL392" s="166" t="s">
        <v>12</v>
      </c>
      <c r="BM392" s="166"/>
      <c r="BN392" s="166" t="s">
        <v>7</v>
      </c>
      <c r="BO392" s="166" t="s">
        <v>12</v>
      </c>
      <c r="BP392" s="166"/>
      <c r="BQ392" s="226" t="s">
        <v>894</v>
      </c>
      <c r="BR392" s="227" t="s">
        <v>895</v>
      </c>
      <c r="BS392" s="228" t="s">
        <v>896</v>
      </c>
      <c r="BT392" s="229"/>
      <c r="BU392" s="226" t="s">
        <v>7</v>
      </c>
      <c r="BV392" s="166"/>
      <c r="BW392" s="166"/>
      <c r="BX392" s="230"/>
      <c r="BY392" s="166"/>
      <c r="BZ392" s="166"/>
      <c r="CA392" s="227"/>
      <c r="CB392" s="166"/>
      <c r="CC392" s="166"/>
      <c r="CD392" s="226" t="s">
        <v>12</v>
      </c>
      <c r="CE392" s="166"/>
      <c r="CF392" s="166"/>
      <c r="CG392" s="230"/>
      <c r="CH392" s="166"/>
      <c r="CI392" s="166"/>
      <c r="CJ392" s="227"/>
      <c r="CK392" s="166"/>
      <c r="CL392" s="166" t="s">
        <v>897</v>
      </c>
      <c r="CM392" s="166"/>
      <c r="CN392" s="166"/>
      <c r="CO392" s="166"/>
      <c r="CP392" s="166"/>
      <c r="CQ392" s="166"/>
      <c r="CR392" s="166"/>
      <c r="CS392" s="166"/>
      <c r="CT392" s="166"/>
      <c r="CU392" s="166" t="s">
        <v>843</v>
      </c>
      <c r="CV392" s="166"/>
      <c r="CW392" s="166" t="s">
        <v>843</v>
      </c>
      <c r="CX392" s="166"/>
      <c r="CY392" s="166"/>
      <c r="CZ392" s="166"/>
      <c r="DA392" s="166"/>
      <c r="DB392" s="166"/>
      <c r="DC392" s="166"/>
      <c r="DD392" s="166" t="s">
        <v>894</v>
      </c>
      <c r="DE392" s="166" t="s">
        <v>895</v>
      </c>
      <c r="DF392" s="166"/>
      <c r="DG392" s="166" t="s">
        <v>927</v>
      </c>
      <c r="DH392" s="166"/>
      <c r="DI392" s="166"/>
      <c r="DJ392" s="166"/>
      <c r="DK392" s="166"/>
      <c r="DL392" s="166"/>
      <c r="DM392" s="166"/>
      <c r="DN392" s="166" t="s">
        <v>928</v>
      </c>
      <c r="DO392" s="166" t="s">
        <v>929</v>
      </c>
      <c r="DP392" s="166"/>
      <c r="DQ392" s="166"/>
      <c r="DR392" s="166"/>
      <c r="DS392" s="166"/>
      <c r="DT392" s="166"/>
      <c r="DU392" s="166"/>
      <c r="DV392" s="166" t="s">
        <v>894</v>
      </c>
      <c r="DW392" s="166" t="s">
        <v>895</v>
      </c>
      <c r="DX392" s="166"/>
      <c r="DY392" s="166"/>
      <c r="DZ392" s="166"/>
      <c r="EA392" s="166"/>
      <c r="EB392" s="166"/>
      <c r="EC392" s="166"/>
      <c r="ED392" s="166" t="s">
        <v>894</v>
      </c>
      <c r="EE392" s="166" t="s">
        <v>895</v>
      </c>
      <c r="EF392" s="166"/>
      <c r="EG392" s="166"/>
      <c r="EH392" s="166"/>
      <c r="EI392" s="166"/>
      <c r="EJ392" s="166"/>
      <c r="EK392" s="166"/>
      <c r="EL392" s="166"/>
      <c r="EM392" s="166"/>
      <c r="EN392" s="166"/>
      <c r="EO392" s="166"/>
      <c r="EP392" s="166"/>
      <c r="EQ392" s="166"/>
      <c r="ER392" s="166"/>
      <c r="ES392" s="166"/>
      <c r="ET392" s="230"/>
      <c r="EU392" s="166"/>
      <c r="EV392" s="166"/>
      <c r="EW392" s="166"/>
      <c r="EX392" s="166"/>
      <c r="EY392" s="166"/>
      <c r="EZ392" s="166"/>
      <c r="FA392" s="166"/>
      <c r="FB392" s="166"/>
      <c r="FC392" s="166"/>
      <c r="FD392" s="166"/>
      <c r="FE392" s="166"/>
      <c r="FF392" s="166"/>
      <c r="FG392" s="166"/>
      <c r="FH392" s="166"/>
      <c r="FI392" s="166"/>
      <c r="FJ392" s="166"/>
      <c r="FK392" s="166"/>
      <c r="FL392" s="166"/>
      <c r="FM392" s="166"/>
      <c r="FN392" s="166"/>
      <c r="FO392" s="230"/>
      <c r="FP392" s="166"/>
      <c r="FQ392" s="166"/>
      <c r="FR392" s="166"/>
      <c r="FS392" s="166"/>
      <c r="FT392" s="166"/>
      <c r="FU392" s="166"/>
      <c r="FV392" s="166"/>
      <c r="FW392" s="166"/>
      <c r="FX392" s="166"/>
      <c r="FY392" s="166"/>
      <c r="FZ392" s="166"/>
      <c r="GA392" s="166"/>
      <c r="GD392" s="339"/>
      <c r="GE392" s="339"/>
      <c r="GF392" s="339"/>
      <c r="GG392" s="339"/>
      <c r="GH392" s="339"/>
      <c r="GI392" s="339"/>
      <c r="GJ392" s="339"/>
      <c r="GK392" s="339"/>
      <c r="GL392" s="339"/>
      <c r="GM392" s="339"/>
      <c r="GN392" s="339"/>
      <c r="GO392" s="339"/>
      <c r="GP392" s="339"/>
      <c r="GQ392" s="339"/>
      <c r="GR392" s="339"/>
      <c r="GS392" s="339"/>
      <c r="GT392" s="339"/>
      <c r="GU392" s="339"/>
      <c r="GV392" s="339"/>
      <c r="GW392" s="339"/>
      <c r="GX392" s="339"/>
      <c r="GY392" s="339"/>
      <c r="GZ392" s="339"/>
      <c r="HA392" s="339"/>
      <c r="HB392" s="339"/>
      <c r="HC392" s="339"/>
      <c r="HD392" s="339"/>
      <c r="HE392" s="339"/>
      <c r="HF392" s="339"/>
      <c r="HG392" s="339"/>
      <c r="HH392" s="339"/>
      <c r="HI392" s="339"/>
      <c r="HJ392" s="339"/>
      <c r="HK392" s="339"/>
      <c r="HL392" s="339"/>
      <c r="HM392" s="339"/>
      <c r="HN392" s="339"/>
      <c r="HO392" s="339"/>
      <c r="HP392" s="339"/>
      <c r="HQ392" s="339"/>
      <c r="HR392" s="339"/>
    </row>
    <row r="393" spans="1:238" s="234" customFormat="1" ht="20.100000000000001" customHeight="1">
      <c r="A393" s="235"/>
      <c r="B393" s="231"/>
      <c r="C393" s="232" t="str">
        <f>REPT(Sprache!$K$12,1)</f>
        <v>SPIEL</v>
      </c>
      <c r="D393" s="233" t="s">
        <v>869</v>
      </c>
      <c r="E393" s="233" t="str">
        <f>REPT(Sprache!$K$62,1)</f>
        <v>Punkte</v>
      </c>
      <c r="F393" s="233" t="str">
        <f>REPT(Sprache!$K$61,1)</f>
        <v>Rest</v>
      </c>
      <c r="G393" s="233" t="s">
        <v>898</v>
      </c>
      <c r="H393" s="233" t="s">
        <v>848</v>
      </c>
      <c r="I393" s="233">
        <v>180</v>
      </c>
      <c r="J393" s="233" t="str">
        <f>REPT(Sprache!$K$63,1)</f>
        <v>Fehler</v>
      </c>
      <c r="L393" s="306" t="s">
        <v>923</v>
      </c>
      <c r="M393" s="307"/>
      <c r="P393" s="306" t="s">
        <v>923</v>
      </c>
      <c r="R393" s="232" t="str">
        <f>REPT(Sprache!$K$12,1)</f>
        <v>SPIEL</v>
      </c>
      <c r="S393" s="233" t="s">
        <v>869</v>
      </c>
      <c r="T393" s="233" t="str">
        <f>REPT(Sprache!$K$62,1)</f>
        <v>Punkte</v>
      </c>
      <c r="U393" s="233" t="str">
        <f>REPT(Sprache!$K$61,1)</f>
        <v>Rest</v>
      </c>
      <c r="V393" s="233" t="s">
        <v>898</v>
      </c>
      <c r="W393" s="233" t="s">
        <v>848</v>
      </c>
      <c r="X393" s="233">
        <v>180</v>
      </c>
      <c r="Y393" s="233" t="str">
        <f>REPT(Sprache!$K$63,1)</f>
        <v>Fehler</v>
      </c>
      <c r="Z393" s="308"/>
      <c r="AD393" s="235"/>
      <c r="AE393" s="236" t="s">
        <v>966</v>
      </c>
      <c r="AF393" s="236" t="s">
        <v>967</v>
      </c>
      <c r="AG393" s="236" t="s">
        <v>965</v>
      </c>
      <c r="AH393" s="237" t="str">
        <f>LEFT($BM$6,10)</f>
        <v/>
      </c>
      <c r="AI393" s="237" t="str">
        <f>LEFT($BN$6,10)</f>
        <v/>
      </c>
      <c r="AJ393" s="237" t="s">
        <v>898</v>
      </c>
      <c r="AK393" s="237" t="s">
        <v>848</v>
      </c>
      <c r="AL393" s="237">
        <v>180</v>
      </c>
      <c r="AM393" s="237" t="str">
        <f>LEFT($BL$6,50)</f>
        <v/>
      </c>
      <c r="AN393" s="235"/>
      <c r="AO393" s="235"/>
      <c r="AP393" s="235"/>
      <c r="AQ393" s="235"/>
      <c r="AR393" s="235"/>
      <c r="AS393" s="235"/>
      <c r="AT393" s="235"/>
      <c r="AU393" s="235"/>
      <c r="AV393" s="237" t="str">
        <f>LEFT($BM$6,10)</f>
        <v/>
      </c>
      <c r="AW393" s="237" t="str">
        <f>LEFT($BN$6,10)</f>
        <v/>
      </c>
      <c r="AX393" s="237" t="s">
        <v>898</v>
      </c>
      <c r="AY393" s="237" t="s">
        <v>848</v>
      </c>
      <c r="AZ393" s="237">
        <v>180</v>
      </c>
      <c r="BA393" s="237" t="str">
        <f>LEFT($BL$6,50)</f>
        <v/>
      </c>
      <c r="BI393" s="238"/>
      <c r="BJ393" s="238"/>
      <c r="BK393" s="238" t="s">
        <v>165</v>
      </c>
      <c r="BL393" s="238" t="s">
        <v>165</v>
      </c>
      <c r="BM393" s="239" t="s">
        <v>165</v>
      </c>
      <c r="BN393" s="239" t="s">
        <v>899</v>
      </c>
      <c r="BO393" s="239" t="s">
        <v>899</v>
      </c>
      <c r="BP393" s="239" t="s">
        <v>900</v>
      </c>
      <c r="BQ393" s="240" t="s">
        <v>901</v>
      </c>
      <c r="BR393" s="241"/>
      <c r="BS393" s="242" t="s">
        <v>926</v>
      </c>
      <c r="BT393" s="243"/>
      <c r="BU393" s="242" t="s">
        <v>902</v>
      </c>
      <c r="BV393" s="238"/>
      <c r="BW393" s="238"/>
      <c r="BX393" s="244"/>
      <c r="BY393" s="238"/>
      <c r="BZ393" s="238" t="s">
        <v>903</v>
      </c>
      <c r="CA393" s="243" t="s">
        <v>904</v>
      </c>
      <c r="CB393" s="238"/>
      <c r="CC393" s="238"/>
      <c r="CD393" s="242" t="s">
        <v>902</v>
      </c>
      <c r="CE393" s="238"/>
      <c r="CF393" s="238"/>
      <c r="CG393" s="244"/>
      <c r="CH393" s="238"/>
      <c r="CI393" s="238" t="s">
        <v>903</v>
      </c>
      <c r="CJ393" s="243" t="s">
        <v>904</v>
      </c>
      <c r="CK393" s="238"/>
      <c r="CL393" s="245" t="s">
        <v>905</v>
      </c>
      <c r="CM393" s="245" t="s">
        <v>906</v>
      </c>
      <c r="CN393" s="245" t="s">
        <v>907</v>
      </c>
      <c r="CO393" s="245" t="s">
        <v>908</v>
      </c>
      <c r="CP393" s="245" t="s">
        <v>909</v>
      </c>
      <c r="CQ393" s="246" t="s">
        <v>910</v>
      </c>
      <c r="CR393" s="247"/>
      <c r="CS393" s="246" t="s">
        <v>911</v>
      </c>
      <c r="CT393" s="248"/>
      <c r="CU393" s="246" t="s">
        <v>912</v>
      </c>
      <c r="CV393" s="248"/>
      <c r="CW393" s="246" t="s">
        <v>913</v>
      </c>
      <c r="CX393" s="248"/>
      <c r="CY393" s="238"/>
      <c r="CZ393" s="238"/>
      <c r="DA393" s="238"/>
      <c r="DB393" s="238"/>
      <c r="DC393" s="249" t="s">
        <v>165</v>
      </c>
      <c r="DD393" s="249" t="s">
        <v>165</v>
      </c>
      <c r="DE393" s="249" t="s">
        <v>165</v>
      </c>
      <c r="DF393" s="238"/>
      <c r="DG393" s="238" t="s">
        <v>914</v>
      </c>
      <c r="DH393" s="238" t="s">
        <v>930</v>
      </c>
      <c r="DI393" s="238" t="s">
        <v>931</v>
      </c>
      <c r="DK393" s="238" t="s">
        <v>932</v>
      </c>
      <c r="DL393" s="238" t="s">
        <v>933</v>
      </c>
      <c r="DM393" s="238" t="s">
        <v>869</v>
      </c>
      <c r="DN393" s="230" t="s">
        <v>915</v>
      </c>
      <c r="DO393" s="250" t="s">
        <v>915</v>
      </c>
      <c r="DP393" s="322" t="s">
        <v>934</v>
      </c>
      <c r="DQ393" s="238"/>
      <c r="DR393" s="166" t="s">
        <v>894</v>
      </c>
      <c r="DS393" s="166" t="s">
        <v>895</v>
      </c>
      <c r="DT393" s="166" t="s">
        <v>935</v>
      </c>
      <c r="DU393" s="166" t="s">
        <v>936</v>
      </c>
      <c r="DV393" s="251" t="s">
        <v>165</v>
      </c>
      <c r="DW393" s="251" t="s">
        <v>165</v>
      </c>
      <c r="DX393" s="238" t="s">
        <v>916</v>
      </c>
      <c r="DY393" s="238"/>
      <c r="DZ393" s="238"/>
      <c r="EA393" s="238"/>
      <c r="EB393" s="238"/>
      <c r="EC393" s="238"/>
      <c r="ED393" s="251" t="s">
        <v>165</v>
      </c>
      <c r="EE393" s="251" t="s">
        <v>165</v>
      </c>
      <c r="EF393" s="166"/>
      <c r="EG393" s="238"/>
      <c r="EH393" s="238"/>
      <c r="EI393" s="238"/>
      <c r="EJ393" s="238"/>
      <c r="EK393" s="238"/>
      <c r="EL393" s="238"/>
      <c r="EM393" s="238"/>
      <c r="EN393" s="238"/>
      <c r="EO393" s="246" t="s">
        <v>917</v>
      </c>
      <c r="EP393" s="247"/>
      <c r="EQ393" s="247"/>
      <c r="ER393" s="247"/>
      <c r="ES393" s="247"/>
      <c r="ET393" s="252"/>
      <c r="EU393" s="248"/>
      <c r="EV393" s="246" t="s">
        <v>918</v>
      </c>
      <c r="EW393" s="247"/>
      <c r="EX393" s="248"/>
      <c r="EY393" s="251" t="s">
        <v>165</v>
      </c>
      <c r="EZ393" s="246" t="s">
        <v>919</v>
      </c>
      <c r="FA393" s="247"/>
      <c r="FB393" s="248"/>
      <c r="FC393" s="246" t="s">
        <v>920</v>
      </c>
      <c r="FD393" s="247"/>
      <c r="FE393" s="248"/>
      <c r="FF393" s="238"/>
      <c r="FG393" s="238"/>
      <c r="FH393" s="238"/>
      <c r="FI393" s="238"/>
      <c r="FJ393" s="246" t="s">
        <v>917</v>
      </c>
      <c r="FK393" s="247"/>
      <c r="FL393" s="247"/>
      <c r="FM393" s="247"/>
      <c r="FN393" s="247"/>
      <c r="FO393" s="252"/>
      <c r="FP393" s="248"/>
      <c r="FQ393" s="246" t="s">
        <v>918</v>
      </c>
      <c r="FR393" s="247"/>
      <c r="FS393" s="248"/>
      <c r="FT393" s="251" t="s">
        <v>165</v>
      </c>
      <c r="FU393" s="246" t="s">
        <v>919</v>
      </c>
      <c r="FV393" s="247"/>
      <c r="FW393" s="248"/>
      <c r="FX393" s="246" t="s">
        <v>920</v>
      </c>
      <c r="FY393" s="247"/>
      <c r="FZ393" s="248"/>
      <c r="GD393" s="340"/>
      <c r="GE393" s="340"/>
      <c r="GF393" s="341" t="s">
        <v>968</v>
      </c>
      <c r="GG393" s="340"/>
      <c r="GH393" s="340"/>
      <c r="GI393" s="340"/>
      <c r="GJ393" s="341" t="s">
        <v>972</v>
      </c>
      <c r="GK393" s="340"/>
      <c r="GL393" s="340"/>
      <c r="GM393" s="340"/>
      <c r="GN393" s="341" t="s">
        <v>971</v>
      </c>
      <c r="GO393" s="340"/>
      <c r="GP393" s="340"/>
      <c r="GQ393" s="340"/>
      <c r="GR393" s="341" t="s">
        <v>970</v>
      </c>
      <c r="GS393" s="340"/>
      <c r="GT393" s="340"/>
      <c r="GU393" s="340"/>
      <c r="GV393" s="341" t="s">
        <v>969</v>
      </c>
      <c r="GW393" s="340"/>
      <c r="GX393" s="340"/>
      <c r="GY393" s="340"/>
      <c r="GZ393" s="342" t="s">
        <v>973</v>
      </c>
      <c r="HA393" s="340"/>
      <c r="HB393" s="340"/>
      <c r="HC393" s="340"/>
      <c r="HD393" s="342" t="s">
        <v>974</v>
      </c>
      <c r="HE393" s="340"/>
      <c r="HF393" s="340"/>
      <c r="HG393" s="340"/>
      <c r="HH393" s="340"/>
      <c r="HI393" s="340"/>
      <c r="HJ393" s="340"/>
      <c r="HK393" s="340"/>
      <c r="HL393" s="340"/>
      <c r="HM393" s="341"/>
      <c r="HN393" s="341"/>
      <c r="HO393" s="341"/>
      <c r="HP393" s="341"/>
      <c r="HQ393" s="341"/>
      <c r="HR393" s="341"/>
      <c r="HS393" s="238"/>
      <c r="HT393" s="238"/>
      <c r="HU393" s="238"/>
      <c r="HV393" s="238"/>
      <c r="HX393" s="238"/>
      <c r="HY393" s="238"/>
      <c r="HZ393" s="238"/>
      <c r="ID393" s="238"/>
    </row>
    <row r="394" spans="1:238" s="234" customFormat="1" ht="20.100000000000001" customHeight="1">
      <c r="A394" s="235"/>
      <c r="B394" s="231">
        <f>COUNT(AJ395,AJ394)</f>
        <v>0</v>
      </c>
      <c r="C394" s="325" t="str">
        <f>CONCATENATE(BG394,BE394)</f>
        <v>HS</v>
      </c>
      <c r="D394" s="253" t="str">
        <f>REPT(DN394,1)</f>
        <v>1</v>
      </c>
      <c r="E394" s="254" t="str">
        <f>REPT(AH394,1)</f>
        <v/>
      </c>
      <c r="F394" s="168"/>
      <c r="G394" s="168"/>
      <c r="H394" s="168"/>
      <c r="I394" s="169"/>
      <c r="J394" s="255" t="str">
        <f>REPT(AM394,1)</f>
        <v/>
      </c>
      <c r="L394" s="309">
        <f>SUM(BS403)</f>
        <v>0</v>
      </c>
      <c r="M394" s="238"/>
      <c r="N394" s="255" t="str">
        <f>REPT(AP394,1)</f>
        <v/>
      </c>
      <c r="P394" s="309">
        <f>SUM(CF403)</f>
        <v>0</v>
      </c>
      <c r="Q394" s="310"/>
      <c r="R394" s="323" t="str">
        <f>CONCATENATE(BH394,BE394)</f>
        <v>GS</v>
      </c>
      <c r="S394" s="253" t="str">
        <f>REPT(DO394,1)</f>
        <v>1</v>
      </c>
      <c r="T394" s="254" t="str">
        <f>REPT(AV394,1)</f>
        <v/>
      </c>
      <c r="U394" s="168"/>
      <c r="V394" s="168"/>
      <c r="W394" s="168"/>
      <c r="X394" s="169"/>
      <c r="Y394" s="255" t="str">
        <f>REPT(BA394,1)</f>
        <v/>
      </c>
      <c r="Z394" s="308"/>
      <c r="AB394" s="234">
        <f>IF(AY394="",0,IF(AY394&lt;2,1,""))</f>
        <v>0</v>
      </c>
      <c r="AC394" s="238">
        <f>IF(AD394=1,1,IF(AD394=3,1,IF(AD394=2,0,IF(AD394=0,0,0))))</f>
        <v>0</v>
      </c>
      <c r="AD394" s="256">
        <f>SUM(AE394:AG394)</f>
        <v>0</v>
      </c>
      <c r="AE394" s="256">
        <f t="shared" ref="AE394:AE398" si="968">IF(F394="",0,1)</f>
        <v>0</v>
      </c>
      <c r="AF394" s="256">
        <f t="shared" ref="AF394:AF398" si="969">IF(G394="",0,1)</f>
        <v>0</v>
      </c>
      <c r="AG394" s="256">
        <f>IF(H394="",0,1)</f>
        <v>0</v>
      </c>
      <c r="AH394" s="257" t="str">
        <f>IF(AK394="",IF(AI394="","",IF(AI394="",501,501-AI394)),501)</f>
        <v/>
      </c>
      <c r="AI394" s="256" t="str">
        <f>IF(F394&gt;1,F394,IF(F394=0,"",IF(F394="","","")))</f>
        <v/>
      </c>
      <c r="AJ394" s="256" t="str">
        <f>IF(G394&gt;8,G394,IF(G394="","",""))</f>
        <v/>
      </c>
      <c r="AK394" s="256" t="str">
        <f>IF(H394&gt;1,H394,IF(H394="","",""))</f>
        <v/>
      </c>
      <c r="AL394" s="256" t="str">
        <f>IF(I394&gt;0,I394,IF(I394="","",""))</f>
        <v/>
      </c>
      <c r="AM394" s="258" t="str">
        <f>IF(BK394=0,"","X")</f>
        <v/>
      </c>
      <c r="AN394" s="237"/>
      <c r="AO394" s="237"/>
      <c r="AP394" s="258" t="str">
        <f>IF(BM394=0,"","X")</f>
        <v/>
      </c>
      <c r="AQ394" s="236">
        <f>IF(AR394=1,1,IF(AR394=3,1,IF(AR394=2,0,IF(AR394=0,0,0))))</f>
        <v>0</v>
      </c>
      <c r="AR394" s="256">
        <f>SUM(AS394:AU394)</f>
        <v>0</v>
      </c>
      <c r="AS394" s="256">
        <f t="shared" ref="AS394:AS398" si="970">IF(U394="",0,1)</f>
        <v>0</v>
      </c>
      <c r="AT394" s="256">
        <f t="shared" ref="AT394:AT398" si="971">IF(V394="",0,1)</f>
        <v>0</v>
      </c>
      <c r="AU394" s="256">
        <f>IF(W394="",0,1)</f>
        <v>0</v>
      </c>
      <c r="AV394" s="257" t="str">
        <f>IF(AY394="",IF(AW394="","",IF(AW394="",501,501-AW394)),501)</f>
        <v/>
      </c>
      <c r="AW394" s="256" t="str">
        <f>IF(U394&gt;1,U394,IF(U394=0,"",IF(U394="","","")))</f>
        <v/>
      </c>
      <c r="AX394" s="256" t="str">
        <f>IF(V394&gt;8,V394,IF(V394="","",""))</f>
        <v/>
      </c>
      <c r="AY394" s="256" t="str">
        <f>IF(W394&gt;1,W394,IF(W394="","",""))</f>
        <v/>
      </c>
      <c r="AZ394" s="256" t="str">
        <f>IF(X394&gt;0,X394,IF(X394="","",""))</f>
        <v/>
      </c>
      <c r="BA394" s="258" t="str">
        <f>IF(BL394=0,"","X")</f>
        <v/>
      </c>
      <c r="BF394" s="238" t="s">
        <v>894</v>
      </c>
      <c r="BG394" s="238" t="str">
        <f>CONCATENATE(BF394,AK391)</f>
        <v>HS</v>
      </c>
      <c r="BH394" s="238" t="str">
        <f>CONCATENATE(BI394,AK391)</f>
        <v>GS</v>
      </c>
      <c r="BI394" s="238" t="s">
        <v>895</v>
      </c>
      <c r="BJ394" s="238"/>
      <c r="BK394" s="251">
        <f>SUM(DD394,DV394,EY394,ED394,FF394,BQ394,BS394,AC394)</f>
        <v>0</v>
      </c>
      <c r="BL394" s="251">
        <f>SUM(DE394,DW394,EE394,FT394,GA394,BR394,BT394,AQ394)</f>
        <v>0</v>
      </c>
      <c r="BM394" s="259">
        <f>SUM(DC394,BK394:BL394,AC394,AQ394)</f>
        <v>0</v>
      </c>
      <c r="BN394" s="239">
        <f>COUNT(AK394)</f>
        <v>0</v>
      </c>
      <c r="BO394" s="239">
        <f>COUNT(AY394)</f>
        <v>0</v>
      </c>
      <c r="BP394" s="239">
        <f>IF(BN396=0,0,1)</f>
        <v>0</v>
      </c>
      <c r="BQ394" s="260">
        <f>IF(AL394="",0,IF(AL394&gt;2,1,0))</f>
        <v>0</v>
      </c>
      <c r="BR394" s="261">
        <f>IF(AZ394="",0,IF(AZ394&gt;2,1,0))</f>
        <v>0</v>
      </c>
      <c r="BS394" s="262">
        <f>IF(AJ394=9,IF(AK394&lt;141,1,0),0)</f>
        <v>0</v>
      </c>
      <c r="BT394" s="263">
        <f>IF(AX394=9,IF(AY394&lt;141,1,0),0)</f>
        <v>0</v>
      </c>
      <c r="BU394" s="242">
        <f>IF(H394,G394,0)</f>
        <v>0</v>
      </c>
      <c r="BV394" s="238">
        <f>IF(BU394&gt;0,AJ394/3,0)</f>
        <v>0</v>
      </c>
      <c r="BW394" s="238">
        <f>ROUNDUP(BV394,0)</f>
        <v>0</v>
      </c>
      <c r="BX394" s="244">
        <f>IF(MOD(BW394,2)=0,BW394,BW394+1)</f>
        <v>0</v>
      </c>
      <c r="BY394" s="238">
        <f>IF(AJ394&lt;9,"",SUM(BX394-BW394))</f>
        <v>0</v>
      </c>
      <c r="BZ394" s="238">
        <f>IF(BY394=1,AK394,0)</f>
        <v>0</v>
      </c>
      <c r="CA394" s="243" t="str">
        <f>IF(BY394=0,AK394,0)</f>
        <v/>
      </c>
      <c r="CB394" s="238"/>
      <c r="CC394" s="238"/>
      <c r="CD394" s="242">
        <f>IF(W394,V394,0)</f>
        <v>0</v>
      </c>
      <c r="CE394" s="238">
        <f>IF(CD394&gt;0,AX394/3,0)</f>
        <v>0</v>
      </c>
      <c r="CF394" s="238">
        <f>ROUNDUP(CE394,0)</f>
        <v>0</v>
      </c>
      <c r="CG394" s="244">
        <f>IF(MOD(CF394,2)=0,CF394,CF394+1)</f>
        <v>0</v>
      </c>
      <c r="CH394" s="238">
        <f>IF(AX394&lt;9,"",SUM(CG394-CF394))</f>
        <v>0</v>
      </c>
      <c r="CI394" s="238">
        <f>IF(CH394=1,AY394,0)</f>
        <v>0</v>
      </c>
      <c r="CJ394" s="243" t="str">
        <f>IF(CH394=0,AY394,0)</f>
        <v/>
      </c>
      <c r="CK394" s="238"/>
      <c r="CL394" s="245">
        <f>IF(COUNT(F394,H394)=1,0,1)</f>
        <v>1</v>
      </c>
      <c r="CM394" s="245">
        <f>IF(COUNT(F394,U394)=1,0,1)</f>
        <v>1</v>
      </c>
      <c r="CN394" s="245">
        <f>IF(COUNT(H394,W394)=1,0,1)</f>
        <v>1</v>
      </c>
      <c r="CO394" s="245">
        <f>IF(COUNT(G394,V394)=2,0,1)</f>
        <v>1</v>
      </c>
      <c r="CP394" s="245">
        <f>IF(COUNT(U394,W394)=1,0,1)</f>
        <v>1</v>
      </c>
      <c r="CQ394" s="245">
        <f>IF(SUM(G394-V394)&gt;3,1,0)</f>
        <v>0</v>
      </c>
      <c r="CR394" s="245">
        <f>IF(SUM(G394-V394)&lt;-3,1,0)</f>
        <v>0</v>
      </c>
      <c r="CS394" s="264">
        <f>IF(AJ394=9,IF(AH394&lt;141,1,0),IF(AH394="",0,IF(AH394&gt;1,0,1)))</f>
        <v>0</v>
      </c>
      <c r="CT394" s="264">
        <f>IF(AX394=9,IF(AV394&lt;141,1,0),IF(AV394="",0,IF(AV394&gt;1,0,1)))</f>
        <v>0</v>
      </c>
      <c r="CU394" s="264">
        <f>IF(AI394="",0,IF(AI394&lt;502,0,1))</f>
        <v>0</v>
      </c>
      <c r="CV394" s="264">
        <f>IF(AW394="",0,IF(AW394&lt;502,0,1))</f>
        <v>0</v>
      </c>
      <c r="CW394" s="264">
        <f>IF(AI394="",IF(AJ394&lt;9,1,0),IF(AJ394&lt;9,1,0))</f>
        <v>0</v>
      </c>
      <c r="CX394" s="264">
        <f>IF(AW394="",IF(AX394&lt;9,1,0),IF(AX394&lt;9,1,0))</f>
        <v>0</v>
      </c>
      <c r="CY394" s="374"/>
      <c r="CZ394" s="374"/>
      <c r="DA394" s="374"/>
      <c r="DB394" s="374"/>
      <c r="DC394" s="265">
        <f>IF(AJ394="",0,SUM(CL394:CX394))</f>
        <v>0</v>
      </c>
      <c r="DD394" s="265">
        <f>IF(AJ394="",0,SUM(CL394,CS394,CU394,CW394))</f>
        <v>0</v>
      </c>
      <c r="DE394" s="265">
        <f>IF(AJ394="",0,SUM(CP394,CT394,CV394,CX394))</f>
        <v>0</v>
      </c>
      <c r="DF394" s="238"/>
      <c r="DG394" s="248" t="str">
        <f>IF(G394="","",SUM(G394-V394))</f>
        <v/>
      </c>
      <c r="DH394" s="245">
        <f>IF(F394="",0,1)</f>
        <v>0</v>
      </c>
      <c r="DI394" s="245" t="str">
        <f>IF(DG394=0,DH394,DG394)</f>
        <v/>
      </c>
      <c r="DJ394" s="245" t="e">
        <f>SIGN(DI394)</f>
        <v>#VALUE!</v>
      </c>
      <c r="DK394" s="245" t="str">
        <f>IF(G394="","",IF(DJ394=1,"*",""))</f>
        <v/>
      </c>
      <c r="DL394" s="245" t="str">
        <f>IF(G394="","",IF(DJ394=-1,"*",IF(DJ394=0,"*","")))</f>
        <v/>
      </c>
      <c r="DM394" s="245">
        <v>1</v>
      </c>
      <c r="DN394" s="245" t="str">
        <f>CONCATENATE(DM394,DK394)</f>
        <v>1</v>
      </c>
      <c r="DO394" s="245" t="str">
        <f>CONCATENATE(DM394,DL394)</f>
        <v>1</v>
      </c>
      <c r="DP394" s="245">
        <f>IF(DK394="*",1,0)</f>
        <v>0</v>
      </c>
      <c r="DQ394" s="245">
        <f>IF(DL394="*",1,0)</f>
        <v>0</v>
      </c>
      <c r="DR394" s="245"/>
      <c r="DS394" s="245"/>
      <c r="DT394" s="245"/>
      <c r="DU394" s="245"/>
      <c r="DV394" s="266"/>
      <c r="DW394" s="266"/>
      <c r="DX394" s="238">
        <f>IF(AK394="",0,1)</f>
        <v>0</v>
      </c>
      <c r="DY394" s="238">
        <f>IF(DG394=-3,1,0)</f>
        <v>0</v>
      </c>
      <c r="DZ394" s="238">
        <f>SUM(DX394:DY394)</f>
        <v>0</v>
      </c>
      <c r="EA394" s="238">
        <f>IF(AK394="",1,0)</f>
        <v>1</v>
      </c>
      <c r="EB394" s="238">
        <f>IF(DG394=3,1,0)</f>
        <v>0</v>
      </c>
      <c r="EC394" s="238">
        <f>SUM(EA394:EB394)</f>
        <v>1</v>
      </c>
      <c r="ED394" s="267">
        <f>IF(EC394=2,1,0)</f>
        <v>0</v>
      </c>
      <c r="EE394" s="267">
        <f>IF(DZ394=2,1,0)</f>
        <v>0</v>
      </c>
      <c r="EG394" s="166"/>
      <c r="EH394" s="238"/>
      <c r="EI394" s="238"/>
      <c r="EJ394" s="238"/>
      <c r="EK394" s="238"/>
      <c r="EL394" s="238"/>
      <c r="EM394" s="245">
        <f>IF(AK394="",0,1)</f>
        <v>0</v>
      </c>
      <c r="EN394" s="245">
        <f>SUM(AK394)</f>
        <v>0</v>
      </c>
      <c r="EO394" s="268">
        <f>SUM(AJ394)</f>
        <v>0</v>
      </c>
      <c r="EP394" s="268">
        <f>SUM(G394/3)</f>
        <v>0</v>
      </c>
      <c r="EQ394" s="268" t="e">
        <f>SUM(EO394/EP394)</f>
        <v>#DIV/0!</v>
      </c>
      <c r="ER394" s="268">
        <f>ROUNDDOWN(EP394,0)</f>
        <v>0</v>
      </c>
      <c r="ES394" s="268">
        <f>SUM(EO394,-ER394*3)</f>
        <v>0</v>
      </c>
      <c r="ET394" s="269" t="b">
        <f>MOD(EN394/1,2)=0</f>
        <v>1</v>
      </c>
      <c r="EU394" s="245">
        <f>IF(ET394=FALSE,1,0)</f>
        <v>0</v>
      </c>
      <c r="EV394" s="245">
        <f>IF(EN394=50,0,IF(EN394&lt;40,1,0))</f>
        <v>1</v>
      </c>
      <c r="EW394" s="245">
        <f>SUM(EU394:EV394)</f>
        <v>1</v>
      </c>
      <c r="EX394" s="267">
        <f>IF(EN394=1,1,IF(EN394=50,0,IF(ES394=1,IF(EN394&gt;40,1,0),0)))</f>
        <v>0</v>
      </c>
      <c r="EY394" s="267">
        <f>IF(ES394=1,IF(EW394=2,1,0),0)+EX394+FB394+FE394</f>
        <v>0</v>
      </c>
      <c r="EZ394" s="245">
        <f>IF(EN394=109,1,IF(EN394=108,1,IF(EN394=106,1,IF(EN394=105,1,IF(EN394=103,1,IF(EN394=102,1,IF(EN394=99,1,0)))))))</f>
        <v>0</v>
      </c>
      <c r="FA394" s="245">
        <f>IF(EN394&gt;110,1,0)</f>
        <v>0</v>
      </c>
      <c r="FB394" s="267">
        <f>IF(ES394=2,SUM(EZ394:FA394),0)</f>
        <v>0</v>
      </c>
      <c r="FC394" s="245">
        <f>IF(EN394=159,1,IF(EN394=162,1,IF(EN394=163,1,IF(EN394=165,1,IF(EN394=166,1,IF(EN394=168,1,IF(EN394=169,1,0)))))))</f>
        <v>0</v>
      </c>
      <c r="FD394" s="245">
        <f>IF(EN394&gt;170,1,0)</f>
        <v>0</v>
      </c>
      <c r="FE394" s="267">
        <f>IF(ES394=0,SUM(FC394:FD394),0)</f>
        <v>0</v>
      </c>
      <c r="FF394" s="251">
        <f>IF(AJ394="",0,IF(AI394="",0,IF(EO394/ER394-3=0,0,1)))</f>
        <v>0</v>
      </c>
      <c r="FG394" s="238"/>
      <c r="FH394" s="245">
        <f>IF(AY394="",0,1)</f>
        <v>0</v>
      </c>
      <c r="FI394" s="245">
        <f>SUM(AY394)</f>
        <v>0</v>
      </c>
      <c r="FJ394" s="268">
        <f>SUM(AX394)</f>
        <v>0</v>
      </c>
      <c r="FK394" s="268">
        <f>SUM(V394/3)</f>
        <v>0</v>
      </c>
      <c r="FL394" s="268" t="e">
        <f>SUM(FJ394/FK394)</f>
        <v>#DIV/0!</v>
      </c>
      <c r="FM394" s="268">
        <f>ROUNDDOWN(FK394,0)</f>
        <v>0</v>
      </c>
      <c r="FN394" s="268">
        <f>SUM(FJ394,-FM394*3)</f>
        <v>0</v>
      </c>
      <c r="FO394" s="269" t="b">
        <f>MOD(FI394/1,2)=0</f>
        <v>1</v>
      </c>
      <c r="FP394" s="245">
        <f>IF(FO394=FALSE,1,0)</f>
        <v>0</v>
      </c>
      <c r="FQ394" s="245">
        <f>IF(FI394=50,0,IF(FI394&lt;40,1,0))</f>
        <v>1</v>
      </c>
      <c r="FR394" s="245">
        <f>SUM(FP394:FQ394)</f>
        <v>1</v>
      </c>
      <c r="FS394" s="267">
        <f>IF(FI394=1,1,IF(FI394=50,0,IF(FN394=1,IF(FI394&gt;40,1,0),0)))</f>
        <v>0</v>
      </c>
      <c r="FT394" s="267">
        <f>IF(FN394=1,IF(FR394=2,1,0),0)+FS394+FW394+FZ394</f>
        <v>0</v>
      </c>
      <c r="FU394" s="245">
        <f>IF(FI394=109,1,IF(FI394=108,1,IF(FI394=106,1,IF(FI394=105,1,IF(FI394=103,1,IF(FI394=102,1,IF(FI394=99,1,0)))))))</f>
        <v>0</v>
      </c>
      <c r="FV394" s="245">
        <f>IF(FI394&gt;110,1,0)</f>
        <v>0</v>
      </c>
      <c r="FW394" s="267">
        <f>IF(FN394=2,SUM(FU394:FV394),0)</f>
        <v>0</v>
      </c>
      <c r="FX394" s="245">
        <f>IF(FI394=159,1,IF(FI394=162,1,IF(FI394=163,1,IF(FI394=165,1,IF(FI394=166,1,IF(FI394=168,1,IF(FI394=169,1,0)))))))</f>
        <v>0</v>
      </c>
      <c r="FY394" s="245">
        <f>IF(FI394&gt;170,1,0)</f>
        <v>0</v>
      </c>
      <c r="FZ394" s="267">
        <f>IF(FN394=0,SUM(FX394:FY394),0)</f>
        <v>0</v>
      </c>
      <c r="GA394" s="251">
        <f>IF(AX394="",0,IF(AW394="",0,IF(FJ394/FM394-3=0,0,1)))</f>
        <v>0</v>
      </c>
      <c r="GD394" s="341">
        <f>IF(AK391="D",1,0)</f>
        <v>0</v>
      </c>
      <c r="GE394" s="343"/>
      <c r="GF394" s="343" t="s">
        <v>866</v>
      </c>
      <c r="GG394" s="343" t="s">
        <v>868</v>
      </c>
      <c r="GH394" s="343" t="s">
        <v>848</v>
      </c>
      <c r="GI394" s="343">
        <v>180</v>
      </c>
      <c r="GJ394" s="343" t="s">
        <v>866</v>
      </c>
      <c r="GK394" s="343" t="s">
        <v>868</v>
      </c>
      <c r="GL394" s="343" t="s">
        <v>848</v>
      </c>
      <c r="GM394" s="343">
        <v>180</v>
      </c>
      <c r="GN394" s="343" t="s">
        <v>866</v>
      </c>
      <c r="GO394" s="343" t="s">
        <v>868</v>
      </c>
      <c r="GP394" s="343" t="s">
        <v>848</v>
      </c>
      <c r="GQ394" s="343">
        <v>180</v>
      </c>
      <c r="GR394" s="343" t="s">
        <v>866</v>
      </c>
      <c r="GS394" s="343" t="s">
        <v>868</v>
      </c>
      <c r="GT394" s="343" t="s">
        <v>848</v>
      </c>
      <c r="GU394" s="343">
        <v>180</v>
      </c>
      <c r="GV394" s="343" t="s">
        <v>866</v>
      </c>
      <c r="GW394" s="343" t="s">
        <v>868</v>
      </c>
      <c r="GX394" s="343" t="s">
        <v>848</v>
      </c>
      <c r="GY394" s="343">
        <v>180</v>
      </c>
      <c r="GZ394" s="343" t="s">
        <v>866</v>
      </c>
      <c r="HA394" s="343" t="s">
        <v>868</v>
      </c>
      <c r="HB394" s="343" t="s">
        <v>848</v>
      </c>
      <c r="HC394" s="343">
        <v>180</v>
      </c>
      <c r="HD394" s="343" t="s">
        <v>866</v>
      </c>
      <c r="HE394" s="343" t="s">
        <v>868</v>
      </c>
      <c r="HF394" s="341" t="s">
        <v>975</v>
      </c>
      <c r="HG394" s="341" t="s">
        <v>976</v>
      </c>
      <c r="HH394" s="341" t="s">
        <v>899</v>
      </c>
      <c r="HJ394" s="238"/>
      <c r="HK394" s="238"/>
      <c r="HL394" s="238"/>
      <c r="HM394" s="238">
        <f>COUNT(HI395,HJ395,HK395,HL395,HM395)</f>
        <v>0</v>
      </c>
      <c r="HN394" s="341"/>
      <c r="HO394" s="341"/>
      <c r="HP394" s="341"/>
      <c r="HQ394" s="341"/>
      <c r="HR394" s="341"/>
      <c r="HS394" s="238"/>
      <c r="HT394" s="238"/>
      <c r="HU394" s="238"/>
      <c r="HV394" s="238"/>
      <c r="HX394" s="238"/>
      <c r="HY394" s="238"/>
      <c r="ID394" s="238"/>
    </row>
    <row r="395" spans="1:238" s="234" customFormat="1" ht="20.100000000000001" customHeight="1">
      <c r="A395" s="235"/>
      <c r="B395" s="231">
        <f>COUNT(AJ396,AJ395)</f>
        <v>0</v>
      </c>
      <c r="C395" s="326">
        <f>IF(DK394="*",AJ391,AI391)</f>
        <v>3.8</v>
      </c>
      <c r="D395" s="253" t="str">
        <f>REPT(DN395,1)</f>
        <v>2</v>
      </c>
      <c r="E395" s="254" t="str">
        <f>REPT(AH395,1)</f>
        <v/>
      </c>
      <c r="F395" s="168"/>
      <c r="G395" s="168"/>
      <c r="H395" s="168"/>
      <c r="I395" s="169"/>
      <c r="J395" s="270" t="str">
        <f>REPT(AM395,1)</f>
        <v/>
      </c>
      <c r="L395" s="306" t="s">
        <v>922</v>
      </c>
      <c r="M395" s="311"/>
      <c r="N395" s="270" t="str">
        <f>REPT(AP395,1)</f>
        <v/>
      </c>
      <c r="P395" s="306" t="s">
        <v>922</v>
      </c>
      <c r="Q395" s="310"/>
      <c r="R395" s="324">
        <f>IF(DL394="*",AJ391,AI391)</f>
        <v>3.8</v>
      </c>
      <c r="S395" s="253" t="str">
        <f>REPT(DO395,1)</f>
        <v>2</v>
      </c>
      <c r="T395" s="254" t="str">
        <f>REPT(AV395,1)</f>
        <v/>
      </c>
      <c r="U395" s="168"/>
      <c r="V395" s="168"/>
      <c r="W395" s="168"/>
      <c r="X395" s="169"/>
      <c r="Y395" s="270" t="str">
        <f t="shared" ref="Y395:Y397" si="972">REPT(BA395,1)</f>
        <v/>
      </c>
      <c r="Z395" s="308"/>
      <c r="AB395" s="234">
        <f>IF(AY395="",0,IF(AY395&lt;2,1,""))</f>
        <v>0</v>
      </c>
      <c r="AC395" s="238">
        <f t="shared" ref="AC395:AC396" si="973">IF(AD395=1,1,IF(AD395=3,1,IF(AD395=2,0,IF(AD395=0,0,0))))</f>
        <v>0</v>
      </c>
      <c r="AD395" s="256">
        <f t="shared" ref="AD395:AD398" si="974">SUM(AE395:AG395)</f>
        <v>0</v>
      </c>
      <c r="AE395" s="256">
        <f t="shared" si="968"/>
        <v>0</v>
      </c>
      <c r="AF395" s="256">
        <f t="shared" si="969"/>
        <v>0</v>
      </c>
      <c r="AG395" s="256">
        <f t="shared" ref="AG395:AG398" si="975">IF(H395="",0,1)</f>
        <v>0</v>
      </c>
      <c r="AH395" s="257" t="str">
        <f>IF(AK395="",IF(AI395="","",IF(AI395="",501,501-AI395)),501)</f>
        <v/>
      </c>
      <c r="AI395" s="256" t="str">
        <f>IF(F395&gt;1,F395,IF(F395=0,"",IF(F395="","","")))</f>
        <v/>
      </c>
      <c r="AJ395" s="256" t="str">
        <f>IF(G395&gt;8,G395,IF(G395="","",""))</f>
        <v/>
      </c>
      <c r="AK395" s="256" t="str">
        <f>IF(H395&gt;1,H395,IF(H395="","",""))</f>
        <v/>
      </c>
      <c r="AL395" s="256" t="str">
        <f>IF(I395&gt;0,I395,IF(I395="","",""))</f>
        <v/>
      </c>
      <c r="AM395" s="258" t="str">
        <f>IF(BK395=0,"","X")</f>
        <v/>
      </c>
      <c r="AN395" s="237"/>
      <c r="AO395" s="237"/>
      <c r="AP395" s="258" t="str">
        <f>IF(BM395=0,"","X")</f>
        <v/>
      </c>
      <c r="AQ395" s="236">
        <f t="shared" ref="AQ395:AQ396" si="976">IF(AR395=1,1,IF(AR395=3,1,IF(AR395=2,0,IF(AR395=0,0,0))))</f>
        <v>0</v>
      </c>
      <c r="AR395" s="256">
        <f t="shared" ref="AR395:AR398" si="977">SUM(AS395:AU395)</f>
        <v>0</v>
      </c>
      <c r="AS395" s="256">
        <f t="shared" si="970"/>
        <v>0</v>
      </c>
      <c r="AT395" s="256">
        <f t="shared" si="971"/>
        <v>0</v>
      </c>
      <c r="AU395" s="256">
        <f t="shared" ref="AU395:AU398" si="978">IF(W395="",0,1)</f>
        <v>0</v>
      </c>
      <c r="AV395" s="257" t="str">
        <f>IF(AY395="",IF(AW395="","",IF(AW395="",501,501-AW395)),501)</f>
        <v/>
      </c>
      <c r="AW395" s="256" t="str">
        <f>IF(U395&gt;1,U395,IF(U395=0,"",IF(U395="","","")))</f>
        <v/>
      </c>
      <c r="AX395" s="256" t="str">
        <f>IF(V395&gt;8,V395,IF(V395="","",""))</f>
        <v/>
      </c>
      <c r="AY395" s="256" t="str">
        <f>IF(W395&gt;1,W395,IF(W395="","",""))</f>
        <v/>
      </c>
      <c r="AZ395" s="256" t="str">
        <f>IF(X395&gt;0,X395,IF(X395="","",""))</f>
        <v/>
      </c>
      <c r="BA395" s="258" t="str">
        <f>IF(BL395=0,"","X")</f>
        <v/>
      </c>
      <c r="BK395" s="251">
        <f>SUM(DD395,DV395,EY395,ED395,FF395,BQ395,BS395,AC395)</f>
        <v>0</v>
      </c>
      <c r="BL395" s="251">
        <f>SUM(DE395,DW395,EE395,FT395,GA395,BR395,BT395,AQ395)</f>
        <v>0</v>
      </c>
      <c r="BM395" s="259">
        <f t="shared" ref="BM395:BM396" si="979">SUM(DC395,BK395:BL395,AC395,AQ395)</f>
        <v>0</v>
      </c>
      <c r="BN395" s="239">
        <f>COUNT(AK395)</f>
        <v>0</v>
      </c>
      <c r="BO395" s="239">
        <f>COUNT(AY395)</f>
        <v>0</v>
      </c>
      <c r="BP395" s="239">
        <f>IF(BN397=0,0,1)</f>
        <v>0</v>
      </c>
      <c r="BQ395" s="260">
        <f>IF(AL395="",0,IF(AL395&gt;2,1,0))</f>
        <v>0</v>
      </c>
      <c r="BR395" s="261">
        <f>IF(AZ395="",0,IF(AZ395&gt;2,1,0))</f>
        <v>0</v>
      </c>
      <c r="BS395" s="262">
        <f>IF(AJ395=9,IF(AK395&lt;141,1,0),0)</f>
        <v>0</v>
      </c>
      <c r="BT395" s="263">
        <f>IF(AX395=9,IF(AY395&lt;141,1,0),0)</f>
        <v>0</v>
      </c>
      <c r="BU395" s="242">
        <f>IF(H395,G395,0)</f>
        <v>0</v>
      </c>
      <c r="BV395" s="238">
        <f>IF(BU395&gt;0,AJ395/3,0)</f>
        <v>0</v>
      </c>
      <c r="BW395" s="238">
        <f>ROUNDUP(BV395,0)</f>
        <v>0</v>
      </c>
      <c r="BX395" s="244">
        <f>IF(MOD(BW395,2)=0,BW395,BW395+1)</f>
        <v>0</v>
      </c>
      <c r="BY395" s="238">
        <f>IF(AJ395&lt;9,"",SUM(BX395-BW395))</f>
        <v>0</v>
      </c>
      <c r="BZ395" s="238">
        <f>IF(BY395=1,AK395,0)</f>
        <v>0</v>
      </c>
      <c r="CA395" s="243" t="str">
        <f>IF(BY395=0,AK395,0)</f>
        <v/>
      </c>
      <c r="CB395" s="238"/>
      <c r="CC395" s="238"/>
      <c r="CD395" s="242">
        <f>IF(W395,V395,0)</f>
        <v>0</v>
      </c>
      <c r="CE395" s="238">
        <f>IF(CD395&gt;0,AX395/3,0)</f>
        <v>0</v>
      </c>
      <c r="CF395" s="238">
        <f>ROUNDUP(CE395,0)</f>
        <v>0</v>
      </c>
      <c r="CG395" s="244">
        <f>IF(MOD(CF395,2)=0,CF395,CF395+1)</f>
        <v>0</v>
      </c>
      <c r="CH395" s="238">
        <f>IF(AX395&lt;9,"",SUM(CG395-CF395))</f>
        <v>0</v>
      </c>
      <c r="CI395" s="238">
        <f>IF(CH395=1,AY395,0)</f>
        <v>0</v>
      </c>
      <c r="CJ395" s="243" t="str">
        <f>IF(CH395=0,AY395,0)</f>
        <v/>
      </c>
      <c r="CK395" s="238"/>
      <c r="CL395" s="245">
        <f>IF(COUNT(F395,H395)=1,0,1)</f>
        <v>1</v>
      </c>
      <c r="CM395" s="245">
        <f>IF(COUNT(F395,U395)=1,0,1)</f>
        <v>1</v>
      </c>
      <c r="CN395" s="245">
        <f>IF(COUNT(H395,W395)=1,0,1)</f>
        <v>1</v>
      </c>
      <c r="CO395" s="245">
        <f>IF(COUNT(G395,V395)=2,0,1)</f>
        <v>1</v>
      </c>
      <c r="CP395" s="245">
        <f>IF(COUNT(U395,W395)=1,0,1)</f>
        <v>1</v>
      </c>
      <c r="CQ395" s="245">
        <f>IF(SUM(G395-V395)&gt;3,1,0)</f>
        <v>0</v>
      </c>
      <c r="CR395" s="245">
        <f>IF(SUM(G395-V395)&lt;-3,1,0)</f>
        <v>0</v>
      </c>
      <c r="CS395" s="264">
        <f>IF(AJ395=9,IF(AH395&lt;141,1,0),IF(AH395="",0,IF(AH395&gt;1,0,1)))</f>
        <v>0</v>
      </c>
      <c r="CT395" s="264">
        <f>IF(AX395=9,IF(AV395&lt;141,1,0),IF(AV395="",0,IF(AV395&gt;1,0,1)))</f>
        <v>0</v>
      </c>
      <c r="CU395" s="264">
        <f>IF(AI395="",0,IF(AI395&lt;502,0,1))</f>
        <v>0</v>
      </c>
      <c r="CV395" s="264">
        <f>IF(AW395="",0,IF(AW395&lt;502,0,1))</f>
        <v>0</v>
      </c>
      <c r="CW395" s="264">
        <f>IF(AI395="",IF(AJ395&lt;9,1,0),IF(AJ395&lt;9,1,0))</f>
        <v>0</v>
      </c>
      <c r="CX395" s="264">
        <f>IF(AW395="",IF(AX395&lt;9,1,0),IF(AX395&lt;9,1,0))</f>
        <v>0</v>
      </c>
      <c r="CY395" s="374"/>
      <c r="CZ395" s="374"/>
      <c r="DA395" s="374"/>
      <c r="DB395" s="374"/>
      <c r="DC395" s="265">
        <f>IF(AJ395="",0,SUM(CL395:CX395))</f>
        <v>0</v>
      </c>
      <c r="DD395" s="265">
        <f>IF(AJ395="",0,SUM(CL395,CS395,CU395,CW395))</f>
        <v>0</v>
      </c>
      <c r="DE395" s="265">
        <f>IF(AJ395="",0,SUM(CP395,CT395,CV395,CX395))</f>
        <v>0</v>
      </c>
      <c r="DF395" s="238"/>
      <c r="DG395" s="248">
        <f>SUM(G395-V395)</f>
        <v>0</v>
      </c>
      <c r="DH395" s="245">
        <f>IF(F395="",0,1)</f>
        <v>0</v>
      </c>
      <c r="DI395" s="245">
        <f t="shared" ref="DI395:DI398" si="980">IF(DG395=0,DH395,DG395)</f>
        <v>0</v>
      </c>
      <c r="DJ395" s="245">
        <f t="shared" ref="DJ395:DJ398" si="981">SIGN(DI395)</f>
        <v>0</v>
      </c>
      <c r="DK395" s="245" t="str">
        <f>IF(G395="","",IF(DJ395=1,"*",""))</f>
        <v/>
      </c>
      <c r="DL395" s="245" t="str">
        <f>IF(G395="","",IF(DJ395=-1,"*",IF(DJ395=0,"*","")))</f>
        <v/>
      </c>
      <c r="DM395" s="245">
        <v>2</v>
      </c>
      <c r="DN395" s="245" t="str">
        <f t="shared" ref="DN395:DN398" si="982">CONCATENATE(DM395,DK395)</f>
        <v>2</v>
      </c>
      <c r="DO395" s="245" t="str">
        <f t="shared" ref="DO395:DO398" si="983">CONCATENATE(DM395,DL395)</f>
        <v>2</v>
      </c>
      <c r="DP395" s="245">
        <f>SUM(DQ394)</f>
        <v>0</v>
      </c>
      <c r="DQ395" s="245">
        <f>SUM(DP394)</f>
        <v>0</v>
      </c>
      <c r="DR395" s="245">
        <f>IF(DK395="*",1,0)</f>
        <v>0</v>
      </c>
      <c r="DS395" s="245">
        <f>IF(DL395="*",1,0)</f>
        <v>0</v>
      </c>
      <c r="DT395" s="245">
        <f>IF(H385="",0,IF(DP395=DR395,1,0))</f>
        <v>0</v>
      </c>
      <c r="DU395" s="245">
        <f>IF(V395="",0,IF(DQ395=DS395,0,1))</f>
        <v>0</v>
      </c>
      <c r="DV395" s="267">
        <f>SUM(DT395)</f>
        <v>0</v>
      </c>
      <c r="DW395" s="267">
        <f>IF(V395="",0,SUM(DU395))</f>
        <v>0</v>
      </c>
      <c r="DX395" s="238">
        <f>IF(AK395="",0,1)</f>
        <v>0</v>
      </c>
      <c r="DY395" s="238">
        <f>IF(DG395=-3,1,0)</f>
        <v>0</v>
      </c>
      <c r="DZ395" s="238">
        <f>SUM(DX395:DY395)</f>
        <v>0</v>
      </c>
      <c r="EA395" s="238">
        <f>IF(AK395="",1,0)</f>
        <v>1</v>
      </c>
      <c r="EB395" s="238">
        <f>IF(DG395=3,1,0)</f>
        <v>0</v>
      </c>
      <c r="EC395" s="238">
        <f>SUM(EA395:EB395)</f>
        <v>1</v>
      </c>
      <c r="ED395" s="267">
        <f>IF(EC395=2,1,0)</f>
        <v>0</v>
      </c>
      <c r="EE395" s="267">
        <f>IF(DZ395=2,1,0)</f>
        <v>0</v>
      </c>
      <c r="EG395" s="166"/>
      <c r="EH395" s="238"/>
      <c r="EI395" s="238"/>
      <c r="EJ395" s="238"/>
      <c r="EK395" s="238"/>
      <c r="EL395" s="238"/>
      <c r="EM395" s="245">
        <f>IF(AK395="",0,1)</f>
        <v>0</v>
      </c>
      <c r="EN395" s="245">
        <f>SUM(AK395)</f>
        <v>0</v>
      </c>
      <c r="EO395" s="268">
        <f>SUM(AJ395)</f>
        <v>0</v>
      </c>
      <c r="EP395" s="268">
        <f>SUM(G395/3)</f>
        <v>0</v>
      </c>
      <c r="EQ395" s="268" t="e">
        <f>SUM(EO395/EP395)</f>
        <v>#DIV/0!</v>
      </c>
      <c r="ER395" s="268">
        <f>ROUNDDOWN(EP395,0)</f>
        <v>0</v>
      </c>
      <c r="ES395" s="268">
        <f>SUM(EO395,-ER395*3)</f>
        <v>0</v>
      </c>
      <c r="ET395" s="269" t="b">
        <f>MOD(EN395/1,2)=0</f>
        <v>1</v>
      </c>
      <c r="EU395" s="245">
        <f>IF(ET395=FALSE,1,0)</f>
        <v>0</v>
      </c>
      <c r="EV395" s="245">
        <f>IF(EN395=50,0,IF(EN395&lt;40,1,0))</f>
        <v>1</v>
      </c>
      <c r="EW395" s="245">
        <f>SUM(EU395:EV395)</f>
        <v>1</v>
      </c>
      <c r="EX395" s="267">
        <f>IF(EN395=1,1,IF(EN395=50,0,IF(ES395=1,IF(EN395&gt;40,1,0),0)))</f>
        <v>0</v>
      </c>
      <c r="EY395" s="267">
        <f>IF(ES395=1,IF(EW395=2,1,0),0)+EX395+FB395+FE395</f>
        <v>0</v>
      </c>
      <c r="EZ395" s="245">
        <f>IF(EN395=109,1,IF(EN395=108,1,IF(EN395=106,1,IF(EN395=105,1,IF(EN395=103,1,IF(EN395=102,1,IF(EN395=99,1,0)))))))</f>
        <v>0</v>
      </c>
      <c r="FA395" s="245">
        <f>IF(EN395&gt;110,1,0)</f>
        <v>0</v>
      </c>
      <c r="FB395" s="267">
        <f>IF(ES395=2,SUM(EZ395:FA395),0)</f>
        <v>0</v>
      </c>
      <c r="FC395" s="245">
        <f>IF(EN395=159,1,IF(EN395=162,1,IF(EN395=163,1,IF(EN395=165,1,IF(EN395=166,1,IF(EN395=168,1,IF(EN395=169,1,0)))))))</f>
        <v>0</v>
      </c>
      <c r="FD395" s="245">
        <f>IF(EN395&gt;170,1,0)</f>
        <v>0</v>
      </c>
      <c r="FE395" s="267">
        <f>IF(ES395=0,SUM(FC395:FD395),0)</f>
        <v>0</v>
      </c>
      <c r="FF395" s="251">
        <f t="shared" ref="FF395:FF398" si="984">IF(AJ395="",0,IF(AI395="",0,IF(EO395/ER395-3=0,0,1)))</f>
        <v>0</v>
      </c>
      <c r="FG395" s="238"/>
      <c r="FH395" s="245">
        <f>IF(AY395="",0,1)</f>
        <v>0</v>
      </c>
      <c r="FI395" s="245">
        <f>SUM(AY395)</f>
        <v>0</v>
      </c>
      <c r="FJ395" s="268">
        <f>SUM(AX395)</f>
        <v>0</v>
      </c>
      <c r="FK395" s="268">
        <f>SUM(V395/3)</f>
        <v>0</v>
      </c>
      <c r="FL395" s="268" t="e">
        <f>SUM(FJ395/FK395)</f>
        <v>#DIV/0!</v>
      </c>
      <c r="FM395" s="268">
        <f>ROUNDDOWN(FK395,0)</f>
        <v>0</v>
      </c>
      <c r="FN395" s="268">
        <f>SUM(FJ395,-FM395*3)</f>
        <v>0</v>
      </c>
      <c r="FO395" s="269" t="b">
        <f>MOD(FI395/1,2)=0</f>
        <v>1</v>
      </c>
      <c r="FP395" s="245">
        <f>IF(FO395=FALSE,1,0)</f>
        <v>0</v>
      </c>
      <c r="FQ395" s="245">
        <f>IF(FI395=50,0,IF(FI395&lt;40,1,0))</f>
        <v>1</v>
      </c>
      <c r="FR395" s="245">
        <f>SUM(FP395:FQ395)</f>
        <v>1</v>
      </c>
      <c r="FS395" s="267">
        <f>IF(FI395=1,1,IF(FI395=50,0,IF(FN395=1,IF(FI395&gt;40,1,0),0)))</f>
        <v>0</v>
      </c>
      <c r="FT395" s="267">
        <f>IF(FN395=1,IF(FR395=2,1,0),0)+FS395+FW395+FZ395</f>
        <v>0</v>
      </c>
      <c r="FU395" s="245">
        <f>IF(FI395=109,1,IF(FI395=108,1,IF(FI395=106,1,IF(FI395=105,1,IF(FI395=103,1,IF(FI395=102,1,IF(FI395=99,1,0)))))))</f>
        <v>0</v>
      </c>
      <c r="FV395" s="245">
        <f>IF(FI395&gt;110,1,0)</f>
        <v>0</v>
      </c>
      <c r="FW395" s="267">
        <f>IF(FN395=2,SUM(FU395:FV395),0)</f>
        <v>0</v>
      </c>
      <c r="FX395" s="245">
        <f>IF(FI395=159,1,IF(FI395=162,1,IF(FI395=163,1,IF(FI395=165,1,IF(FI395=166,1,IF(FI395=168,1,IF(FI395=169,1,0)))))))</f>
        <v>0</v>
      </c>
      <c r="FY395" s="245">
        <f>IF(FI395&gt;170,1,0)</f>
        <v>0</v>
      </c>
      <c r="FZ395" s="267">
        <f>IF(FN395=0,SUM(FX395:FY395),0)</f>
        <v>0</v>
      </c>
      <c r="GA395" s="251">
        <f t="shared" ref="GA395:GA398" si="985">IF(AX395="",0,IF(AW395="",0,IF(FJ395/FM395-3=0,0,1)))</f>
        <v>0</v>
      </c>
      <c r="GC395" s="238" t="str">
        <f>VLOOKUP(AH391,Chema!BL:BR,2,FALSE)</f>
        <v>HS 3.8</v>
      </c>
      <c r="GD395" s="341">
        <f>IF(E401="FORFAIT",1,0)</f>
        <v>0</v>
      </c>
      <c r="GE395" s="343" t="str">
        <f>IF(C401="","",SUM(C401))</f>
        <v/>
      </c>
      <c r="GF395" s="344">
        <f>SUM(AH394)</f>
        <v>0</v>
      </c>
      <c r="GG395" s="344">
        <f>SUM(AJ394)</f>
        <v>0</v>
      </c>
      <c r="GH395" s="344">
        <f t="shared" ref="GH395" si="986">SUM(AK394)</f>
        <v>0</v>
      </c>
      <c r="GI395" s="344">
        <f t="shared" ref="GI395" si="987">SUM(AL394)</f>
        <v>0</v>
      </c>
      <c r="GJ395" s="344">
        <f>SUM(AH395)</f>
        <v>0</v>
      </c>
      <c r="GK395" s="344">
        <f>SUM(AJ395)</f>
        <v>0</v>
      </c>
      <c r="GL395" s="344">
        <f>SUM(AK395)</f>
        <v>0</v>
      </c>
      <c r="GM395" s="344">
        <f>SUM(AL395)</f>
        <v>0</v>
      </c>
      <c r="GN395" s="344">
        <f>SUM(AH396)</f>
        <v>0</v>
      </c>
      <c r="GO395" s="344">
        <f>SUM(AJ396)</f>
        <v>0</v>
      </c>
      <c r="GP395" s="344">
        <f>SUM(AK396)</f>
        <v>0</v>
      </c>
      <c r="GQ395" s="344">
        <f>SUM(AL396)</f>
        <v>0</v>
      </c>
      <c r="GR395" s="344">
        <f>SUM(AH397)</f>
        <v>0</v>
      </c>
      <c r="GS395" s="344">
        <f>SUM(AJ397)</f>
        <v>0</v>
      </c>
      <c r="GT395" s="344">
        <f>SUM(AK397)</f>
        <v>0</v>
      </c>
      <c r="GU395" s="344">
        <f>SUM(AL397)</f>
        <v>0</v>
      </c>
      <c r="GV395" s="344">
        <f>SUM(AH398)</f>
        <v>0</v>
      </c>
      <c r="GW395" s="344">
        <f>SUM(AJ398)</f>
        <v>0</v>
      </c>
      <c r="GX395" s="344">
        <f>SUM(AK398)</f>
        <v>0</v>
      </c>
      <c r="GY395" s="344">
        <f>SUM(AL398)</f>
        <v>0</v>
      </c>
      <c r="GZ395" s="344">
        <f>SUM(GF395,GJ395,GN395,GR395,GV395)</f>
        <v>0</v>
      </c>
      <c r="HA395" s="344">
        <f t="shared" ref="HA395" si="988">SUM(GG395,GK395,GO395,GS395,GW395)</f>
        <v>0</v>
      </c>
      <c r="HB395" s="344">
        <f>IF(GD394=1,L401,MAX(GH395,GL395,GP395,GT395,GX395))</f>
        <v>0</v>
      </c>
      <c r="HC395" s="344">
        <f>IF(GD394=1,I401,SUM(GI395,GM395,GQ395,GU395,GY395))</f>
        <v>0</v>
      </c>
      <c r="HD395" s="345">
        <f>IF(GD394=1,0,SUM(GF395,GJ395,GN395,GR395,GV395))</f>
        <v>0</v>
      </c>
      <c r="HE395" s="345">
        <f>IF(GD394=1,0,SUM(GG395,GK395,GO395,GS395,GW395))</f>
        <v>0</v>
      </c>
      <c r="HF395" s="341">
        <f>IF(GD394=1,0,MIN(HI395,HJ395,HK395,HL395,HM395))</f>
        <v>0</v>
      </c>
      <c r="HG395" s="341">
        <f>IF(HF395=0,0,COUNTIF(HI395:HM395,HF395))</f>
        <v>0</v>
      </c>
      <c r="HH395" s="341">
        <f>SUM(GH396,GL396,GP396,GT396,GX396)</f>
        <v>0</v>
      </c>
      <c r="HI395" s="343" t="str">
        <f>IF(GH396=1,GG395,"")</f>
        <v/>
      </c>
      <c r="HJ395" s="343" t="str">
        <f>IF(GL396=1,GK395,"")</f>
        <v/>
      </c>
      <c r="HK395" s="343" t="str">
        <f>IF(GP396=1,GO395,"")</f>
        <v/>
      </c>
      <c r="HL395" s="343" t="str">
        <f>IF(GT396=1,GS395,"")</f>
        <v/>
      </c>
      <c r="HM395" s="343" t="str">
        <f>IF(GX396=1,GW395,"")</f>
        <v/>
      </c>
      <c r="HN395" s="341"/>
      <c r="HO395" s="341" t="s">
        <v>928</v>
      </c>
      <c r="HP395" s="341" t="s">
        <v>982</v>
      </c>
      <c r="HQ395" s="341" t="s">
        <v>983</v>
      </c>
      <c r="HR395" s="341" t="s">
        <v>984</v>
      </c>
      <c r="HS395" s="238" t="s">
        <v>932</v>
      </c>
      <c r="HT395" s="238" t="s">
        <v>933</v>
      </c>
      <c r="HU395" s="238" t="s">
        <v>985</v>
      </c>
      <c r="HV395" s="238" t="s">
        <v>986</v>
      </c>
      <c r="HW395" s="238" t="str">
        <f>IFERROR(IF(GD394=0,SUM(HZ396:IA396),""),"")</f>
        <v/>
      </c>
      <c r="HY395" s="238"/>
      <c r="HZ395" s="238" t="s">
        <v>1132</v>
      </c>
      <c r="IA395" s="238" t="s">
        <v>1133</v>
      </c>
      <c r="IB395" s="238" t="s">
        <v>1132</v>
      </c>
      <c r="IC395" s="238" t="s">
        <v>1133</v>
      </c>
      <c r="ID395" s="238"/>
    </row>
    <row r="396" spans="1:238" s="234" customFormat="1" ht="20.100000000000001" customHeight="1">
      <c r="A396" s="235"/>
      <c r="B396" s="231">
        <f>COUNT(AJ397,AJ396)</f>
        <v>0</v>
      </c>
      <c r="C396" s="235"/>
      <c r="D396" s="271" t="str">
        <f>REPT(DN396,1)</f>
        <v>3</v>
      </c>
      <c r="E396" s="254" t="str">
        <f>REPT(AH396,1)</f>
        <v/>
      </c>
      <c r="F396" s="168"/>
      <c r="G396" s="168"/>
      <c r="H396" s="168"/>
      <c r="I396" s="169"/>
      <c r="J396" s="270" t="str">
        <f t="shared" ref="J396:J397" si="989">REPT(AM396,1)</f>
        <v/>
      </c>
      <c r="L396" s="312">
        <f>SUM(L394*3)</f>
        <v>0</v>
      </c>
      <c r="M396" s="307"/>
      <c r="N396" s="270" t="str">
        <f>REPT(AP396,1)</f>
        <v/>
      </c>
      <c r="P396" s="312">
        <f>SUM(P394*3)</f>
        <v>0</v>
      </c>
      <c r="Q396" s="310"/>
      <c r="R396" s="235"/>
      <c r="S396" s="271" t="str">
        <f>REPT(DO396,1)</f>
        <v>3</v>
      </c>
      <c r="T396" s="254" t="str">
        <f>REPT(AV396,1)</f>
        <v/>
      </c>
      <c r="U396" s="168"/>
      <c r="V396" s="168"/>
      <c r="W396" s="168"/>
      <c r="X396" s="169"/>
      <c r="Y396" s="270" t="str">
        <f t="shared" si="972"/>
        <v/>
      </c>
      <c r="Z396" s="308"/>
      <c r="AB396" s="234">
        <f>IF(AY396="",0,IF(AY396&lt;2,1,""))</f>
        <v>0</v>
      </c>
      <c r="AC396" s="238">
        <f t="shared" si="973"/>
        <v>0</v>
      </c>
      <c r="AD396" s="256">
        <f t="shared" si="974"/>
        <v>0</v>
      </c>
      <c r="AE396" s="256">
        <f t="shared" si="968"/>
        <v>0</v>
      </c>
      <c r="AF396" s="256">
        <f t="shared" si="969"/>
        <v>0</v>
      </c>
      <c r="AG396" s="256">
        <f t="shared" si="975"/>
        <v>0</v>
      </c>
      <c r="AH396" s="257" t="str">
        <f>IF(AK396="",IF(AI396="","",IF(AI396="",501,501-AI396)),501)</f>
        <v/>
      </c>
      <c r="AI396" s="256" t="str">
        <f>IF(F396&gt;1,F396,IF(F396=0,"",IF(F396="","","")))</f>
        <v/>
      </c>
      <c r="AJ396" s="256" t="str">
        <f>IF(G396&gt;8,G396,IF(G396="","",""))</f>
        <v/>
      </c>
      <c r="AK396" s="256" t="str">
        <f>IF(H396&gt;1,H396,IF(H396="","",""))</f>
        <v/>
      </c>
      <c r="AL396" s="256" t="str">
        <f>IF(I396&gt;0,I396,IF(I396="","",""))</f>
        <v/>
      </c>
      <c r="AM396" s="258" t="str">
        <f>IF(BK396=0,"","X")</f>
        <v/>
      </c>
      <c r="AN396" s="237"/>
      <c r="AO396" s="237"/>
      <c r="AP396" s="258" t="str">
        <f>IF(BM396=0,"","X")</f>
        <v/>
      </c>
      <c r="AQ396" s="236">
        <f t="shared" si="976"/>
        <v>0</v>
      </c>
      <c r="AR396" s="256">
        <f t="shared" si="977"/>
        <v>0</v>
      </c>
      <c r="AS396" s="256">
        <f t="shared" si="970"/>
        <v>0</v>
      </c>
      <c r="AT396" s="256">
        <f t="shared" si="971"/>
        <v>0</v>
      </c>
      <c r="AU396" s="256">
        <f t="shared" si="978"/>
        <v>0</v>
      </c>
      <c r="AV396" s="257" t="str">
        <f>IF(AY396="",IF(AW396="","",IF(AW396="",501,501-AW396)),501)</f>
        <v/>
      </c>
      <c r="AW396" s="256" t="str">
        <f>IF(U396&gt;1,U396,IF(U396=0,"",IF(U396="","","")))</f>
        <v/>
      </c>
      <c r="AX396" s="256" t="str">
        <f>IF(V396&gt;8,V396,IF(V396="","",""))</f>
        <v/>
      </c>
      <c r="AY396" s="256" t="str">
        <f>IF(W396&gt;1,W396,IF(W396="","",""))</f>
        <v/>
      </c>
      <c r="AZ396" s="256" t="str">
        <f>IF(X396&gt;0,X396,IF(X396="","",""))</f>
        <v/>
      </c>
      <c r="BA396" s="258" t="str">
        <f>IF(BL396=0,"","X")</f>
        <v/>
      </c>
      <c r="BK396" s="251">
        <f>SUM(DD396,DV396,EY396,ED396,FF396,BQ396,BS396,AC396,BK403)</f>
        <v>0</v>
      </c>
      <c r="BL396" s="251">
        <f>SUM(DE396,DW396,EE396,FT396,GA396,BR396,BT396,AQ396,BL403,CZ396)</f>
        <v>0</v>
      </c>
      <c r="BM396" s="259">
        <f t="shared" si="979"/>
        <v>0</v>
      </c>
      <c r="BN396" s="239">
        <f>COUNT(AK396)</f>
        <v>0</v>
      </c>
      <c r="BO396" s="239">
        <f>COUNT(AY396)</f>
        <v>0</v>
      </c>
      <c r="BP396" s="239">
        <f>IF(BN398=0,0,1)</f>
        <v>0</v>
      </c>
      <c r="BQ396" s="260">
        <f>IF(AL396="",0,IF(AL396&gt;2,1,0))</f>
        <v>0</v>
      </c>
      <c r="BR396" s="261">
        <f>IF(AZ396="",0,IF(AZ396&gt;2,1,0))</f>
        <v>0</v>
      </c>
      <c r="BS396" s="262">
        <f>IF(AJ396=9,IF(AK396&lt;141,1,0),0)</f>
        <v>0</v>
      </c>
      <c r="BT396" s="263">
        <f>IF(AX396=9,IF(AY396&lt;141,1,0),0)</f>
        <v>0</v>
      </c>
      <c r="BU396" s="242">
        <f>IF(H396,G396,0)</f>
        <v>0</v>
      </c>
      <c r="BV396" s="238">
        <f>IF(BU396&gt;0,AJ396/3,0)</f>
        <v>0</v>
      </c>
      <c r="BW396" s="238">
        <f>ROUNDUP(BV396,0)</f>
        <v>0</v>
      </c>
      <c r="BX396" s="244">
        <f>IF(MOD(BW396,2)=0,BW396,BW396+1)</f>
        <v>0</v>
      </c>
      <c r="BY396" s="238">
        <f>IF(AJ396&lt;9,"",SUM(BX396-BW396))</f>
        <v>0</v>
      </c>
      <c r="BZ396" s="238">
        <f>IF(BY396=1,AK396,0)</f>
        <v>0</v>
      </c>
      <c r="CA396" s="243" t="str">
        <f>IF(BY396=0,AK396,0)</f>
        <v/>
      </c>
      <c r="CB396" s="238"/>
      <c r="CC396" s="238"/>
      <c r="CD396" s="242">
        <f>IF(W396,V396,0)</f>
        <v>0</v>
      </c>
      <c r="CE396" s="238">
        <f>IF(CD396&gt;0,AX396/3,0)</f>
        <v>0</v>
      </c>
      <c r="CF396" s="238">
        <f>ROUNDUP(CE396,0)</f>
        <v>0</v>
      </c>
      <c r="CG396" s="244">
        <f>IF(MOD(CF396,2)=0,CF396,CF396+1)</f>
        <v>0</v>
      </c>
      <c r="CH396" s="238">
        <f>IF(AX396&lt;9,"",SUM(CG396-CF396))</f>
        <v>0</v>
      </c>
      <c r="CI396" s="238">
        <f>IF(CH396=1,AY396,0)</f>
        <v>0</v>
      </c>
      <c r="CJ396" s="243" t="str">
        <f>IF(CH396=0,AY396,0)</f>
        <v/>
      </c>
      <c r="CK396" s="238"/>
      <c r="CL396" s="245">
        <f>IF(COUNT(F396,H396)=1,0,1)</f>
        <v>1</v>
      </c>
      <c r="CM396" s="245">
        <f>IF(COUNT(F396,U396)=1,0,1)</f>
        <v>1</v>
      </c>
      <c r="CN396" s="245">
        <f>IF(COUNT(H396,W396)=1,0,1)</f>
        <v>1</v>
      </c>
      <c r="CO396" s="245">
        <f>IF(COUNT(G396,V396)=2,0,1)</f>
        <v>1</v>
      </c>
      <c r="CP396" s="245">
        <f>IF(COUNT(U396,W396)=1,0,1)</f>
        <v>1</v>
      </c>
      <c r="CQ396" s="245">
        <f>IF(SUM(G396-V396)&gt;3,1,0)</f>
        <v>0</v>
      </c>
      <c r="CR396" s="245">
        <f>IF(SUM(G396-V396)&lt;-3,1,0)</f>
        <v>0</v>
      </c>
      <c r="CS396" s="264">
        <f>IF(AJ396=9,IF(AH396&lt;141,1,0),IF(AH396="",0,IF(AH396&gt;1,0,1)))</f>
        <v>0</v>
      </c>
      <c r="CT396" s="264">
        <f>IF(AX396=9,IF(AV396&lt;141,1,0),IF(AV396="",0,IF(AV396&gt;1,0,1)))</f>
        <v>0</v>
      </c>
      <c r="CU396" s="264">
        <f>IF(AI396="",0,IF(AI396&lt;502,0,1))</f>
        <v>0</v>
      </c>
      <c r="CV396" s="264">
        <f>IF(AW396="",0,IF(AW396&lt;502,0,1))</f>
        <v>0</v>
      </c>
      <c r="CW396" s="264">
        <f>IF(AI396="",IF(AJ396&lt;9,1,0),IF(AJ396&lt;9,1,0))</f>
        <v>0</v>
      </c>
      <c r="CX396" s="264">
        <f>IF(AW396="",IF(AX396&lt;9,1,0),IF(AX396&lt;9,1,0))</f>
        <v>0</v>
      </c>
      <c r="CY396" s="374">
        <f>COUNT(U394,U395,U396)</f>
        <v>0</v>
      </c>
      <c r="CZ396" s="375">
        <f>IF(AL391=3,IF(CY396&gt;2,1,0),0)</f>
        <v>0</v>
      </c>
      <c r="DA396" s="374"/>
      <c r="DB396" s="374"/>
      <c r="DC396" s="265">
        <f>IF(AJ396="",0,SUM(CL396:CX396))</f>
        <v>0</v>
      </c>
      <c r="DD396" s="265">
        <f>IF(AJ396="",0,SUM(CL396,CS396,CU396,CW396))</f>
        <v>0</v>
      </c>
      <c r="DE396" s="265">
        <f>IF(AJ396="",0,SUM(CP396,CT396,CV396,CX396))</f>
        <v>0</v>
      </c>
      <c r="DF396" s="238"/>
      <c r="DG396" s="248">
        <f>SUM(G396-V396)</f>
        <v>0</v>
      </c>
      <c r="DH396" s="245">
        <f>IF(F396="",0,1)</f>
        <v>0</v>
      </c>
      <c r="DI396" s="245">
        <f t="shared" si="980"/>
        <v>0</v>
      </c>
      <c r="DJ396" s="245">
        <f t="shared" si="981"/>
        <v>0</v>
      </c>
      <c r="DK396" s="245" t="str">
        <f>IF(G396="","",IF(DJ396=1,"*",""))</f>
        <v/>
      </c>
      <c r="DL396" s="245" t="str">
        <f>IF(G396="","",IF(DJ396=-1,"*",IF(DJ396=0,"*","")))</f>
        <v/>
      </c>
      <c r="DM396" s="245">
        <v>3</v>
      </c>
      <c r="DN396" s="245" t="str">
        <f t="shared" si="982"/>
        <v>3</v>
      </c>
      <c r="DO396" s="245" t="str">
        <f t="shared" si="983"/>
        <v>3</v>
      </c>
      <c r="DP396" s="245">
        <f>SUM(DP394)</f>
        <v>0</v>
      </c>
      <c r="DQ396" s="245">
        <f>SUM(DQ394)</f>
        <v>0</v>
      </c>
      <c r="DR396" s="245">
        <f t="shared" ref="DR396:DR398" si="990">IF(DK396="*",1,0)</f>
        <v>0</v>
      </c>
      <c r="DS396" s="245">
        <f t="shared" ref="DS396:DS398" si="991">IF(DL396="*",1,0)</f>
        <v>0</v>
      </c>
      <c r="DT396" s="245">
        <f t="shared" ref="DT396:DT398" si="992">IF(H386="",0,IF(DP396=DR396,1,0))</f>
        <v>0</v>
      </c>
      <c r="DU396" s="245">
        <f>IF(V396="",0,IF(DQ396=DS396,0,1))</f>
        <v>0</v>
      </c>
      <c r="DV396" s="267">
        <f t="shared" ref="DV396:DV398" si="993">SUM(DT396)</f>
        <v>0</v>
      </c>
      <c r="DW396" s="267">
        <f>IF(V396="",0,SUM(DU396))</f>
        <v>0</v>
      </c>
      <c r="DX396" s="238">
        <f>IF(AK396="",0,1)</f>
        <v>0</v>
      </c>
      <c r="DY396" s="238">
        <f>IF(DG396=-3,1,0)</f>
        <v>0</v>
      </c>
      <c r="DZ396" s="238">
        <f>SUM(DX396:DY396)</f>
        <v>0</v>
      </c>
      <c r="EA396" s="238">
        <f>IF(AK396="",1,0)</f>
        <v>1</v>
      </c>
      <c r="EB396" s="238">
        <f>IF(DG396=3,1,0)</f>
        <v>0</v>
      </c>
      <c r="EC396" s="238">
        <f>SUM(EA396:EB396)</f>
        <v>1</v>
      </c>
      <c r="ED396" s="267">
        <f>IF(EC396=2,1,0)</f>
        <v>0</v>
      </c>
      <c r="EE396" s="267">
        <f>IF(DZ396=2,1,0)</f>
        <v>0</v>
      </c>
      <c r="EG396" s="166"/>
      <c r="EH396" s="238"/>
      <c r="EI396" s="238"/>
      <c r="EJ396" s="238"/>
      <c r="EK396" s="238"/>
      <c r="EL396" s="238"/>
      <c r="EM396" s="245">
        <f>IF(AK396="",0,1)</f>
        <v>0</v>
      </c>
      <c r="EN396" s="245">
        <f>SUM(AK396)</f>
        <v>0</v>
      </c>
      <c r="EO396" s="268">
        <f>SUM(AJ396)</f>
        <v>0</v>
      </c>
      <c r="EP396" s="268">
        <f>SUM(G396/3)</f>
        <v>0</v>
      </c>
      <c r="EQ396" s="268" t="e">
        <f>SUM(EO396/EP396)</f>
        <v>#DIV/0!</v>
      </c>
      <c r="ER396" s="268">
        <f>ROUNDDOWN(EP396,0)</f>
        <v>0</v>
      </c>
      <c r="ES396" s="268">
        <f>SUM(EO396,-ER396*3)</f>
        <v>0</v>
      </c>
      <c r="ET396" s="269" t="b">
        <f>MOD(EN396/1,2)=0</f>
        <v>1</v>
      </c>
      <c r="EU396" s="245">
        <f>IF(ET396=FALSE,1,0)</f>
        <v>0</v>
      </c>
      <c r="EV396" s="245">
        <f>IF(EN396=50,0,IF(EN396&lt;40,1,0))</f>
        <v>1</v>
      </c>
      <c r="EW396" s="245">
        <f>SUM(EU396:EV396)</f>
        <v>1</v>
      </c>
      <c r="EX396" s="267">
        <f>IF(EN396=1,1,IF(EN396=50,0,IF(ES396=1,IF(EN396&gt;40,1,0),0)))</f>
        <v>0</v>
      </c>
      <c r="EY396" s="267">
        <f>IF(ES396=1,IF(EW396=2,1,0),0)+EX396+FB396+FE396</f>
        <v>0</v>
      </c>
      <c r="EZ396" s="245">
        <f>IF(EN396=109,1,IF(EN396=108,1,IF(EN396=106,1,IF(EN396=105,1,IF(EN396=103,1,IF(EN396=102,1,IF(EN396=99,1,0)))))))</f>
        <v>0</v>
      </c>
      <c r="FA396" s="245">
        <f>IF(EN396&gt;110,1,0)</f>
        <v>0</v>
      </c>
      <c r="FB396" s="267">
        <f>IF(ES396=2,SUM(EZ396:FA396),0)</f>
        <v>0</v>
      </c>
      <c r="FC396" s="245">
        <f>IF(EN396=159,1,IF(EN396=162,1,IF(EN396=163,1,IF(EN396=165,1,IF(EN396=166,1,IF(EN396=168,1,IF(EN396=169,1,0)))))))</f>
        <v>0</v>
      </c>
      <c r="FD396" s="245">
        <f>IF(EN396&gt;170,1,0)</f>
        <v>0</v>
      </c>
      <c r="FE396" s="267">
        <f>IF(ES396=0,SUM(FC396:FD396),0)</f>
        <v>0</v>
      </c>
      <c r="FF396" s="251">
        <f t="shared" si="984"/>
        <v>0</v>
      </c>
      <c r="FG396" s="238"/>
      <c r="FH396" s="245">
        <f>IF(AY396="",0,1)</f>
        <v>0</v>
      </c>
      <c r="FI396" s="245">
        <f>SUM(AY396)</f>
        <v>0</v>
      </c>
      <c r="FJ396" s="268">
        <f>SUM(AX396)</f>
        <v>0</v>
      </c>
      <c r="FK396" s="268">
        <f>SUM(V396/3)</f>
        <v>0</v>
      </c>
      <c r="FL396" s="268" t="e">
        <f>SUM(FJ396/FK396)</f>
        <v>#DIV/0!</v>
      </c>
      <c r="FM396" s="268">
        <f>ROUNDDOWN(FK396,0)</f>
        <v>0</v>
      </c>
      <c r="FN396" s="268">
        <f>SUM(FJ396,-FM396*3)</f>
        <v>0</v>
      </c>
      <c r="FO396" s="269" t="b">
        <f>MOD(FI396/1,2)=0</f>
        <v>1</v>
      </c>
      <c r="FP396" s="245">
        <f>IF(FO396=FALSE,1,0)</f>
        <v>0</v>
      </c>
      <c r="FQ396" s="245">
        <f>IF(FI396=50,0,IF(FI396&lt;40,1,0))</f>
        <v>1</v>
      </c>
      <c r="FR396" s="245">
        <f>SUM(FP396:FQ396)</f>
        <v>1</v>
      </c>
      <c r="FS396" s="267">
        <f>IF(FI396=1,1,IF(FI396=50,0,IF(FN396=1,IF(FI396&gt;40,1,0),0)))</f>
        <v>0</v>
      </c>
      <c r="FT396" s="267">
        <f>IF(FN396=1,IF(FR396=2,1,0),0)+FS396+FW396+FZ396</f>
        <v>0</v>
      </c>
      <c r="FU396" s="245">
        <f>IF(FI396=109,1,IF(FI396=108,1,IF(FI396=106,1,IF(FI396=105,1,IF(FI396=103,1,IF(FI396=102,1,IF(FI396=99,1,0)))))))</f>
        <v>0</v>
      </c>
      <c r="FV396" s="245">
        <f>IF(FI396&gt;110,1,0)</f>
        <v>0</v>
      </c>
      <c r="FW396" s="267">
        <f>IF(FN396=2,SUM(FU396:FV396),0)</f>
        <v>0</v>
      </c>
      <c r="FX396" s="245">
        <f>IF(FI396=159,1,IF(FI396=162,1,IF(FI396=163,1,IF(FI396=165,1,IF(FI396=166,1,IF(FI396=168,1,IF(FI396=169,1,0)))))))</f>
        <v>0</v>
      </c>
      <c r="FY396" s="245">
        <f>IF(FI396&gt;170,1,0)</f>
        <v>0</v>
      </c>
      <c r="FZ396" s="267">
        <f>IF(FN396=0,SUM(FX396:FY396),0)</f>
        <v>0</v>
      </c>
      <c r="GA396" s="251">
        <f t="shared" si="985"/>
        <v>0</v>
      </c>
      <c r="GC396" s="238" t="str">
        <f>VLOOKUP(AH391,Chema!BL:BR,3,FALSE)</f>
        <v/>
      </c>
      <c r="GD396" s="341"/>
      <c r="GE396" s="343" t="str">
        <f>IF(C402="","",SUM(C402))</f>
        <v/>
      </c>
      <c r="GF396" s="346"/>
      <c r="GG396" s="340"/>
      <c r="GH396" s="343">
        <f>IF(GH395&gt;0,1,0)</f>
        <v>0</v>
      </c>
      <c r="GI396" s="346"/>
      <c r="GJ396" s="343"/>
      <c r="GK396" s="340"/>
      <c r="GL396" s="343">
        <f>IF(GL395&gt;0,1,0)</f>
        <v>0</v>
      </c>
      <c r="GM396" s="343"/>
      <c r="GN396" s="343"/>
      <c r="GO396" s="340"/>
      <c r="GP396" s="343">
        <f>IF(GP395&gt;0,1,0)</f>
        <v>0</v>
      </c>
      <c r="GQ396" s="343"/>
      <c r="GR396" s="343"/>
      <c r="GS396" s="340"/>
      <c r="GT396" s="343">
        <f>IF(GT395&gt;0,1,0)</f>
        <v>0</v>
      </c>
      <c r="GU396" s="343"/>
      <c r="GV396" s="343"/>
      <c r="GW396" s="340"/>
      <c r="GX396" s="343">
        <f>IF(GX395&gt;0,1,0)</f>
        <v>0</v>
      </c>
      <c r="GY396" s="343"/>
      <c r="GZ396" s="343"/>
      <c r="HA396" s="343"/>
      <c r="HB396" s="343" t="str">
        <f>IF(GD394=1,L402,"")</f>
        <v/>
      </c>
      <c r="HC396" s="343" t="str">
        <f>IF(GD394=1,I402,"")</f>
        <v/>
      </c>
      <c r="HD396" s="345"/>
      <c r="HE396" s="340"/>
      <c r="HF396" s="340"/>
      <c r="HG396" s="347">
        <f>IF(GE395="",0,IF(AL391=3,2,IF(AL391=5,3,0)))</f>
        <v>0</v>
      </c>
      <c r="HH396" s="347">
        <f>IF(HK396=0,0,IF(HG398=0,0,1))</f>
        <v>0</v>
      </c>
      <c r="HI396" s="340"/>
      <c r="HJ396" s="340"/>
      <c r="HK396" s="340">
        <f>SUM(HM394,HM398)</f>
        <v>0</v>
      </c>
      <c r="HL396" s="340">
        <f>IF(HK396=0,0,IF(HM394=HG396,1,0))</f>
        <v>0</v>
      </c>
      <c r="HM396" s="340">
        <f>IF(HK396=0,0,IF(HM398=HG396,1,0))</f>
        <v>0</v>
      </c>
      <c r="HN396" s="341" t="str">
        <f>REPT(N391,1)</f>
        <v>Spiel 28</v>
      </c>
      <c r="HO396" s="348" t="str">
        <f>IF(HK396=0,"",IF(HH396=0,SUM(HH395),""))</f>
        <v/>
      </c>
      <c r="HP396" s="348" t="str">
        <f>IF(HK396=0,"",IF(HH396=0,SUM(HH397),""))</f>
        <v/>
      </c>
      <c r="HQ396" s="348" t="e">
        <f>IF(HH396=0,SUM(GZ395/HA395),"")</f>
        <v>#DIV/0!</v>
      </c>
      <c r="HR396" s="348" t="e">
        <f>IF(HH396=0,SUM(GZ397/HA397),"")</f>
        <v>#DIV/0!</v>
      </c>
      <c r="HS396" s="238" t="str">
        <f>REPT(DK394,1)</f>
        <v/>
      </c>
      <c r="HT396" s="238" t="str">
        <f>REPT(DL394,1)</f>
        <v/>
      </c>
      <c r="HU396" s="238">
        <f>IF(HH396=0,HL396,"")</f>
        <v>0</v>
      </c>
      <c r="HV396" s="238">
        <f>IF(HH396=0,HM396,"")</f>
        <v>0</v>
      </c>
      <c r="HW396" s="238" t="s">
        <v>1131</v>
      </c>
      <c r="HY396" s="238"/>
      <c r="HZ396" s="238" t="e">
        <f>IF(AL391=5,IF(HU396=1,SUM(HO396*2-HP396),HO396+HP396-2),"")</f>
        <v>#VALUE!</v>
      </c>
      <c r="IA396" s="238" t="str">
        <f>IF(AL391=3,IF(HU396=1,SUM(HO396-HP396+3),HO396+HP396-1),"")</f>
        <v/>
      </c>
      <c r="IB396" s="238" t="e">
        <f>IF(AL391=5,IF(HV396=1,SUM(HP396*2-HO396),HO396+HP396-2),"")</f>
        <v>#VALUE!</v>
      </c>
      <c r="IC396" s="238" t="str">
        <f>IF(AL391=3,IF(HV396=1,SUM(HP396-HO396+3),HO396+HP396-1),"")</f>
        <v/>
      </c>
      <c r="ID396" s="238">
        <f>SUM(BM400)</f>
        <v>0</v>
      </c>
    </row>
    <row r="397" spans="1:238" s="234" customFormat="1" ht="20.100000000000001" customHeight="1">
      <c r="A397" s="235"/>
      <c r="B397" s="231">
        <f>COUNT(AJ398,AJ397)</f>
        <v>0</v>
      </c>
      <c r="C397" s="235"/>
      <c r="D397" s="328" t="str">
        <f>REPT(DN397,1)</f>
        <v>4</v>
      </c>
      <c r="E397" s="329" t="str">
        <f>REPT(AH397,1)</f>
        <v/>
      </c>
      <c r="F397" s="330"/>
      <c r="G397" s="330"/>
      <c r="H397" s="330"/>
      <c r="I397" s="331"/>
      <c r="J397" s="270" t="str">
        <f t="shared" si="989"/>
        <v/>
      </c>
      <c r="M397" s="311"/>
      <c r="N397" s="270" t="str">
        <f>REPT(AP397,1)</f>
        <v/>
      </c>
      <c r="Q397" s="310"/>
      <c r="R397" s="235"/>
      <c r="S397" s="328" t="str">
        <f>REPT(DO397,1)</f>
        <v>4</v>
      </c>
      <c r="T397" s="329" t="str">
        <f>REPT(AV397,1)</f>
        <v/>
      </c>
      <c r="U397" s="330"/>
      <c r="V397" s="330"/>
      <c r="W397" s="330"/>
      <c r="X397" s="331"/>
      <c r="Y397" s="270" t="str">
        <f t="shared" si="972"/>
        <v/>
      </c>
      <c r="Z397" s="308"/>
      <c r="AA397" s="238">
        <f>SUM(AL391)</f>
        <v>5</v>
      </c>
      <c r="AB397" s="234">
        <f>IF(AY397="",0,IF(AY397&lt;2,1,""))</f>
        <v>0</v>
      </c>
      <c r="AC397" s="238">
        <f>IF(AL391=3,0,IF(AD397=1,1,IF(AD397=3,1,IF(AD397=2,0,IF(AD397=0,0,0)))))</f>
        <v>0</v>
      </c>
      <c r="AD397" s="256">
        <f t="shared" si="974"/>
        <v>0</v>
      </c>
      <c r="AE397" s="256">
        <f t="shared" si="968"/>
        <v>0</v>
      </c>
      <c r="AF397" s="256">
        <f t="shared" si="969"/>
        <v>0</v>
      </c>
      <c r="AG397" s="256">
        <f t="shared" si="975"/>
        <v>0</v>
      </c>
      <c r="AH397" s="257" t="str">
        <f>IF(AL391=3,"",IF(AK397="",IF(AI397="","",IF(AI397="",501,501-AI397)),501))</f>
        <v/>
      </c>
      <c r="AI397" s="256" t="str">
        <f>IF(AL391=3,"",IF(F397&gt;1,F397,IF(F397=0,"",IF(F397="","",""))))</f>
        <v/>
      </c>
      <c r="AJ397" s="256" t="str">
        <f>IF(AL391=3,"",IF(G397&gt;8,G397,IF(G397="","","")))</f>
        <v/>
      </c>
      <c r="AK397" s="256" t="str">
        <f>IF(AL391=3,"",IF(H397&gt;1,H397,IF(H397="","","")))</f>
        <v/>
      </c>
      <c r="AL397" s="256" t="str">
        <f>IF(AL391=3,"",IF(I397&gt;0,I397,IF(I397="","","")))</f>
        <v/>
      </c>
      <c r="AM397" s="258" t="str">
        <f>IF(BK397=0,"","X")</f>
        <v/>
      </c>
      <c r="AN397" s="237"/>
      <c r="AO397" s="237"/>
      <c r="AP397" s="258" t="str">
        <f>IF(BM397=0,"","X")</f>
        <v/>
      </c>
      <c r="AQ397" s="236">
        <f>IF(AL391=3,0,IF(AR397=1,1,IF(AR397=3,1,IF(AR397=2,0,IF(AR397=0,0,0)))))</f>
        <v>0</v>
      </c>
      <c r="AR397" s="256">
        <f t="shared" si="977"/>
        <v>0</v>
      </c>
      <c r="AS397" s="256">
        <f t="shared" si="970"/>
        <v>0</v>
      </c>
      <c r="AT397" s="256">
        <f t="shared" si="971"/>
        <v>0</v>
      </c>
      <c r="AU397" s="256">
        <f t="shared" si="978"/>
        <v>0</v>
      </c>
      <c r="AV397" s="257" t="str">
        <f>IF(AY397="",IF(AW397="","",IF(AW397="",501,501-AW397)),501)</f>
        <v/>
      </c>
      <c r="AW397" s="256" t="str">
        <f>IF(AL391=3,"",IF(U397&gt;1,U397,IF(U397=0,"",IF(U397="","",""))))</f>
        <v/>
      </c>
      <c r="AX397" s="256" t="str">
        <f>IF(AL391=3,"",IF(V397&gt;8,V397,IF(V397="","","")))</f>
        <v/>
      </c>
      <c r="AY397" s="256" t="str">
        <f>IF(AL391=3,"",IF(W397&gt;1,W397,IF(W397="","","")))</f>
        <v/>
      </c>
      <c r="AZ397" s="256" t="str">
        <f>IF(AL391=3,"",IF(X397&gt;0,X397,IF(X397="","","")))</f>
        <v/>
      </c>
      <c r="BA397" s="258" t="str">
        <f>IF(BL397=0,"","X")</f>
        <v/>
      </c>
      <c r="BK397" s="251">
        <f>IF(AL391=3,0,SUM(DD397,DV397,EY397,ED397,FF397,BQ397,BS397,AC397))</f>
        <v>0</v>
      </c>
      <c r="BL397" s="251">
        <f>IF(AL391=3,0,SUM(DE397,DW397,EE397,FT397,GA397,BR397,BT397,AQ397))</f>
        <v>0</v>
      </c>
      <c r="BM397" s="259">
        <f>IF(AL391=3,0,SUM(DC397,BK397:BL397,AC397,AQ397))</f>
        <v>0</v>
      </c>
      <c r="BN397" s="239">
        <f>COUNT(AK397)</f>
        <v>0</v>
      </c>
      <c r="BO397" s="239">
        <f>COUNT(AY397)</f>
        <v>0</v>
      </c>
      <c r="BP397" s="239">
        <f>IF(BZ399=0,0,1)</f>
        <v>0</v>
      </c>
      <c r="BQ397" s="260">
        <f>IF(AL397="",0,IF(AL397&gt;2,1,0))</f>
        <v>0</v>
      </c>
      <c r="BR397" s="261">
        <f>IF(AZ397="",0,IF(AZ397&gt;2,1,0))</f>
        <v>0</v>
      </c>
      <c r="BS397" s="262">
        <f>IF(AJ397=9,IF(AK397&lt;141,1,0),0)</f>
        <v>0</v>
      </c>
      <c r="BT397" s="263">
        <f>IF(AX397=9,IF(AY397&lt;141,1,0),0)</f>
        <v>0</v>
      </c>
      <c r="BU397" s="242">
        <f>IF(AL391=3,0,IF(H397,G397,0))</f>
        <v>0</v>
      </c>
      <c r="BV397" s="238">
        <f>IF(BU397&gt;0,AJ397/3,0)</f>
        <v>0</v>
      </c>
      <c r="BW397" s="238">
        <f>ROUNDUP(BV397,0)</f>
        <v>0</v>
      </c>
      <c r="BX397" s="244">
        <f>IF(MOD(BW397,2)=0,BW397,BW397+1)</f>
        <v>0</v>
      </c>
      <c r="BY397" s="238">
        <f>IF(AJ397&lt;9,"",SUM(BX397-BW397))</f>
        <v>0</v>
      </c>
      <c r="BZ397" s="238">
        <f>IF(BY397=1,AK397,0)</f>
        <v>0</v>
      </c>
      <c r="CA397" s="243" t="str">
        <f>IF(BY397=0,AK397,0)</f>
        <v/>
      </c>
      <c r="CB397" s="238"/>
      <c r="CC397" s="238"/>
      <c r="CD397" s="242">
        <f>IF(AL391=3,0,IF(W397,V397,0))</f>
        <v>0</v>
      </c>
      <c r="CE397" s="238">
        <f>IF(CD397&gt;0,AX397/3,0)</f>
        <v>0</v>
      </c>
      <c r="CF397" s="238">
        <f>ROUNDUP(CE397,0)</f>
        <v>0</v>
      </c>
      <c r="CG397" s="244">
        <f>IF(MOD(CF397,2)=0,CF397,CF397+1)</f>
        <v>0</v>
      </c>
      <c r="CH397" s="238">
        <f>IF(AX397&lt;9,"",SUM(CG397-CF397))</f>
        <v>0</v>
      </c>
      <c r="CI397" s="238">
        <f>IF(CH397=1,AY397,0)</f>
        <v>0</v>
      </c>
      <c r="CJ397" s="243" t="str">
        <f>IF(CH397=0,AY397,0)</f>
        <v/>
      </c>
      <c r="CK397" s="238"/>
      <c r="CL397" s="245">
        <f>IF(COUNT(F397,H397)=1,0,1)</f>
        <v>1</v>
      </c>
      <c r="CM397" s="245">
        <f>IF(COUNT(F397,U397)=1,0,1)</f>
        <v>1</v>
      </c>
      <c r="CN397" s="245">
        <f>IF(COUNT(H397,W397)=1,0,1)</f>
        <v>1</v>
      </c>
      <c r="CO397" s="245">
        <f>IF(COUNT(G397,V397)=2,0,1)</f>
        <v>1</v>
      </c>
      <c r="CP397" s="245">
        <f>IF(COUNT(U397,W397)=1,0,1)</f>
        <v>1</v>
      </c>
      <c r="CQ397" s="245">
        <f>IF(SUM(G397-V397)&gt;3,1,0)</f>
        <v>0</v>
      </c>
      <c r="CR397" s="245">
        <f>IF(SUM(G397-V397)&lt;-3,1,0)</f>
        <v>0</v>
      </c>
      <c r="CS397" s="264">
        <f>IF(AJ397=9,IF(AH397&lt;141,1,0),IF(AH397="",0,IF(AH397&gt;1,0,1)))</f>
        <v>0</v>
      </c>
      <c r="CT397" s="264">
        <f>IF(AX397=9,IF(AV397&lt;141,1,0),IF(AV397="",0,IF(AV397&gt;1,0,1)))</f>
        <v>0</v>
      </c>
      <c r="CU397" s="264">
        <f>IF(AI397="",0,IF(AI397&lt;502,0,1))</f>
        <v>0</v>
      </c>
      <c r="CV397" s="264">
        <f>IF(AW397="",0,IF(AW397&lt;502,0,1))</f>
        <v>0</v>
      </c>
      <c r="CW397" s="264">
        <f>IF(AI397="",IF(AJ397&lt;9,1,0),IF(AJ397&lt;9,1,0))</f>
        <v>0</v>
      </c>
      <c r="CX397" s="264">
        <f>IF(AW397="",IF(AX397&lt;9,1,0),IF(AX397&lt;9,1,0))</f>
        <v>0</v>
      </c>
      <c r="CY397" s="374"/>
      <c r="CZ397" s="374"/>
      <c r="DA397" s="374"/>
      <c r="DB397" s="374"/>
      <c r="DC397" s="265">
        <f>IF(AJ397="",0,SUM(CL397:CX397))</f>
        <v>0</v>
      </c>
      <c r="DD397" s="265">
        <f>IF(AJ397="",0,SUM(CL397,CS397,CU397,CW397))</f>
        <v>0</v>
      </c>
      <c r="DE397" s="265">
        <f>IF(AJ397="",0,SUM(CP397,CT397,CV397,CX397))</f>
        <v>0</v>
      </c>
      <c r="DF397" s="238"/>
      <c r="DG397" s="248">
        <f>IF(AL391=3,0,SUM(G397-V397))</f>
        <v>0</v>
      </c>
      <c r="DH397" s="245">
        <f>IF(F397="",0,1)</f>
        <v>0</v>
      </c>
      <c r="DI397" s="245">
        <f t="shared" si="980"/>
        <v>0</v>
      </c>
      <c r="DJ397" s="245">
        <f t="shared" si="981"/>
        <v>0</v>
      </c>
      <c r="DK397" s="245" t="str">
        <f>IF(G397="","",IF(DJ397=1,"*",""))</f>
        <v/>
      </c>
      <c r="DL397" s="245" t="str">
        <f>IF(AL391=3,"",IF(G397="","",IF(DJ397=-1,"*",IF(DJ397=0,"*",""))))</f>
        <v/>
      </c>
      <c r="DM397" s="245">
        <v>4</v>
      </c>
      <c r="DN397" s="245" t="str">
        <f t="shared" si="982"/>
        <v>4</v>
      </c>
      <c r="DO397" s="245" t="str">
        <f t="shared" si="983"/>
        <v>4</v>
      </c>
      <c r="DP397" s="245">
        <f>SUM(DQ394)</f>
        <v>0</v>
      </c>
      <c r="DQ397" s="245">
        <f>SUM(DP394)</f>
        <v>0</v>
      </c>
      <c r="DR397" s="245">
        <f t="shared" si="990"/>
        <v>0</v>
      </c>
      <c r="DS397" s="245">
        <f t="shared" si="991"/>
        <v>0</v>
      </c>
      <c r="DT397" s="245">
        <f t="shared" si="992"/>
        <v>0</v>
      </c>
      <c r="DU397" s="245">
        <f>IF(V397="",0,IF(DQ397=DS397,0,1))</f>
        <v>0</v>
      </c>
      <c r="DV397" s="267">
        <f t="shared" si="993"/>
        <v>0</v>
      </c>
      <c r="DW397" s="267">
        <f>IF(V397="",0,SUM(DU397))</f>
        <v>0</v>
      </c>
      <c r="DX397" s="238">
        <f>IF(AK397="",0,1)</f>
        <v>0</v>
      </c>
      <c r="DY397" s="238">
        <f>IF(DG397=-3,1,0)</f>
        <v>0</v>
      </c>
      <c r="DZ397" s="238">
        <f>SUM(DX397:DY397)</f>
        <v>0</v>
      </c>
      <c r="EA397" s="238">
        <f>IF(AK397="",1,0)</f>
        <v>1</v>
      </c>
      <c r="EB397" s="238">
        <f>IF(DG397=3,1,0)</f>
        <v>0</v>
      </c>
      <c r="EC397" s="238">
        <f>SUM(EA397:EB397)</f>
        <v>1</v>
      </c>
      <c r="ED397" s="267">
        <f>IF(EC397=2,1,0)</f>
        <v>0</v>
      </c>
      <c r="EE397" s="267">
        <f>IF(DZ397=2,1,0)</f>
        <v>0</v>
      </c>
      <c r="EG397" s="166"/>
      <c r="EH397" s="238"/>
      <c r="EI397" s="238"/>
      <c r="EJ397" s="238"/>
      <c r="EK397" s="238"/>
      <c r="EL397" s="238"/>
      <c r="EM397" s="245">
        <f>IF(AK397="",0,1)</f>
        <v>0</v>
      </c>
      <c r="EN397" s="245">
        <f>SUM(AK397)</f>
        <v>0</v>
      </c>
      <c r="EO397" s="268">
        <f>SUM(AJ397)</f>
        <v>0</v>
      </c>
      <c r="EP397" s="268">
        <f>SUM(G397/3)</f>
        <v>0</v>
      </c>
      <c r="EQ397" s="268" t="e">
        <f>SUM(EO397/EP397)</f>
        <v>#DIV/0!</v>
      </c>
      <c r="ER397" s="268">
        <f>ROUNDDOWN(EP397,0)</f>
        <v>0</v>
      </c>
      <c r="ES397" s="268">
        <f>SUM(EO397,-ER397*3)</f>
        <v>0</v>
      </c>
      <c r="ET397" s="269" t="b">
        <f>MOD(EN397/1,2)=0</f>
        <v>1</v>
      </c>
      <c r="EU397" s="245">
        <f>IF(ET397=FALSE,1,0)</f>
        <v>0</v>
      </c>
      <c r="EV397" s="245">
        <f>IF(EN397=50,0,IF(EN397&lt;40,1,0))</f>
        <v>1</v>
      </c>
      <c r="EW397" s="245">
        <f>SUM(EU397:EV397)</f>
        <v>1</v>
      </c>
      <c r="EX397" s="267">
        <f>IF(EN397=1,1,IF(EN397=50,0,IF(ES397=1,IF(EN397&gt;40,1,0),0)))</f>
        <v>0</v>
      </c>
      <c r="EY397" s="267">
        <f>IF(ES397=1,IF(EW397=2,1,0),0)+EX397+FB397+FE397</f>
        <v>0</v>
      </c>
      <c r="EZ397" s="245">
        <f>IF(EN397=109,1,IF(EN397=108,1,IF(EN397=106,1,IF(EN397=105,1,IF(EN397=103,1,IF(EN397=102,1,IF(EN397=99,1,0)))))))</f>
        <v>0</v>
      </c>
      <c r="FA397" s="245">
        <f>IF(EN397&gt;110,1,0)</f>
        <v>0</v>
      </c>
      <c r="FB397" s="267">
        <f>IF(ES397=2,SUM(EZ397:FA397),0)</f>
        <v>0</v>
      </c>
      <c r="FC397" s="245">
        <f>IF(EN397=159,1,IF(EN397=162,1,IF(EN397=163,1,IF(EN397=165,1,IF(EN397=166,1,IF(EN397=168,1,IF(EN397=169,1,0)))))))</f>
        <v>0</v>
      </c>
      <c r="FD397" s="245">
        <f>IF(EN397&gt;170,1,0)</f>
        <v>0</v>
      </c>
      <c r="FE397" s="267">
        <f>IF(ES397=0,SUM(FC397:FD397),0)</f>
        <v>0</v>
      </c>
      <c r="FF397" s="251">
        <f t="shared" si="984"/>
        <v>0</v>
      </c>
      <c r="FG397" s="238"/>
      <c r="FH397" s="245">
        <f>IF(AY397="",0,1)</f>
        <v>0</v>
      </c>
      <c r="FI397" s="245">
        <f>SUM(AY397)</f>
        <v>0</v>
      </c>
      <c r="FJ397" s="268">
        <f>SUM(AX397)</f>
        <v>0</v>
      </c>
      <c r="FK397" s="268">
        <f>SUM(V397/3)</f>
        <v>0</v>
      </c>
      <c r="FL397" s="268" t="e">
        <f>SUM(FJ397/FK397)</f>
        <v>#DIV/0!</v>
      </c>
      <c r="FM397" s="268">
        <f>ROUNDDOWN(FK397,0)</f>
        <v>0</v>
      </c>
      <c r="FN397" s="268">
        <f>SUM(FJ397,-FM397*3)</f>
        <v>0</v>
      </c>
      <c r="FO397" s="269" t="b">
        <f>MOD(FI397/1,2)=0</f>
        <v>1</v>
      </c>
      <c r="FP397" s="245">
        <f>IF(FO397=FALSE,1,0)</f>
        <v>0</v>
      </c>
      <c r="FQ397" s="245">
        <f>IF(FI397=50,0,IF(FI397&lt;40,1,0))</f>
        <v>1</v>
      </c>
      <c r="FR397" s="245">
        <f>SUM(FP397:FQ397)</f>
        <v>1</v>
      </c>
      <c r="FS397" s="267">
        <f>IF(FI397=1,1,IF(FI397=50,0,IF(FN397=1,IF(FI397&gt;40,1,0),0)))</f>
        <v>0</v>
      </c>
      <c r="FT397" s="267">
        <f>IF(FN397=1,IF(FR397=2,1,0),0)+FS397+FW397+FZ397</f>
        <v>0</v>
      </c>
      <c r="FU397" s="245">
        <f>IF(FI397=109,1,IF(FI397=108,1,IF(FI397=106,1,IF(FI397=105,1,IF(FI397=103,1,IF(FI397=102,1,IF(FI397=99,1,0)))))))</f>
        <v>0</v>
      </c>
      <c r="FV397" s="245">
        <f>IF(FI397&gt;110,1,0)</f>
        <v>0</v>
      </c>
      <c r="FW397" s="267">
        <f>IF(FN397=2,SUM(FU397:FV397),0)</f>
        <v>0</v>
      </c>
      <c r="FX397" s="245">
        <f>IF(FI397=159,1,IF(FI397=162,1,IF(FI397=163,1,IF(FI397=165,1,IF(FI397=166,1,IF(FI397=168,1,IF(FI397=169,1,0)))))))</f>
        <v>0</v>
      </c>
      <c r="FY397" s="245">
        <f>IF(FI397&gt;170,1,0)</f>
        <v>0</v>
      </c>
      <c r="FZ397" s="267">
        <f>IF(FN397=0,SUM(FX397:FY397),0)</f>
        <v>0</v>
      </c>
      <c r="GA397" s="251">
        <f t="shared" si="985"/>
        <v>0</v>
      </c>
      <c r="GC397" s="238" t="str">
        <f>VLOOKUP(AH391,Chema!BL:BR,4,FALSE)</f>
        <v>GS 3.8</v>
      </c>
      <c r="GD397" s="341">
        <f>IF(T401="FORFAIT",1,0)</f>
        <v>0</v>
      </c>
      <c r="GE397" s="343" t="str">
        <f>IF(R401="","",SUM(R401))</f>
        <v/>
      </c>
      <c r="GF397" s="344">
        <f>SUM(AV394)</f>
        <v>0</v>
      </c>
      <c r="GG397" s="344">
        <f>SUM(AX394)</f>
        <v>0</v>
      </c>
      <c r="GH397" s="344">
        <f t="shared" ref="GH397" si="994">SUM(AY394)</f>
        <v>0</v>
      </c>
      <c r="GI397" s="344">
        <f t="shared" ref="GI397" si="995">SUM(AZ394)</f>
        <v>0</v>
      </c>
      <c r="GJ397" s="344">
        <f>SUM(AV395)</f>
        <v>0</v>
      </c>
      <c r="GK397" s="344">
        <f>SUM(AX395)</f>
        <v>0</v>
      </c>
      <c r="GL397" s="344">
        <f>SUM(AY395)</f>
        <v>0</v>
      </c>
      <c r="GM397" s="344">
        <f>SUM(AZ395)</f>
        <v>0</v>
      </c>
      <c r="GN397" s="344">
        <f>SUM(AV396)</f>
        <v>0</v>
      </c>
      <c r="GO397" s="344">
        <f>SUM(AX396)</f>
        <v>0</v>
      </c>
      <c r="GP397" s="344">
        <f>SUM(AY396)</f>
        <v>0</v>
      </c>
      <c r="GQ397" s="344">
        <f>SUM(AZ396)</f>
        <v>0</v>
      </c>
      <c r="GR397" s="344">
        <f>SUM(AV397)</f>
        <v>0</v>
      </c>
      <c r="GS397" s="344">
        <f>SUM(AX397)</f>
        <v>0</v>
      </c>
      <c r="GT397" s="344">
        <f>SUM(AY397)</f>
        <v>0</v>
      </c>
      <c r="GU397" s="344">
        <f>SUM(AZ397)</f>
        <v>0</v>
      </c>
      <c r="GV397" s="344">
        <f>SUM(AV398)</f>
        <v>0</v>
      </c>
      <c r="GW397" s="344">
        <f>SUM(AX398)</f>
        <v>0</v>
      </c>
      <c r="GX397" s="344">
        <f>SUM(AY398)</f>
        <v>0</v>
      </c>
      <c r="GY397" s="344">
        <f>SUM(AZ398)</f>
        <v>0</v>
      </c>
      <c r="GZ397" s="344">
        <f>SUM(GF397,GJ397,GN397,GR397,GV397)</f>
        <v>0</v>
      </c>
      <c r="HA397" s="344">
        <f t="shared" ref="HA397" si="996">SUM(GG397,GK397,GO397,GS397,GW397)</f>
        <v>0</v>
      </c>
      <c r="HB397" s="344">
        <f>IF(GD394=1,P401,MAX(GH397,GL397,GP397,GT397,GX397))</f>
        <v>0</v>
      </c>
      <c r="HC397" s="344">
        <f>IF(GD394=1,X401,SUM(GI397,GM397,GQ397,GU397,GY397))</f>
        <v>0</v>
      </c>
      <c r="HD397" s="345">
        <f>IF(GD394=1,0,SUM(GF397,GJ397,GN397,GR397,GV397))</f>
        <v>0</v>
      </c>
      <c r="HE397" s="345">
        <f>IF(GD394=1,0,SUM(GG397,GK397,GO397,GS397,GW397))</f>
        <v>0</v>
      </c>
      <c r="HF397" s="341">
        <f>IF(GD394=1,0,MIN(HI397,HJ397,HK397,HL397,HM397))</f>
        <v>0</v>
      </c>
      <c r="HG397" s="341">
        <f>IF(HF397=0,0,COUNTIF(HI397:HM397,HF397))</f>
        <v>0</v>
      </c>
      <c r="HH397" s="341">
        <f>SUM(GH398,GL398,GP398,GT398,GX398)</f>
        <v>0</v>
      </c>
      <c r="HI397" s="343" t="str">
        <f>IF(GH398=1,GG397,"")</f>
        <v/>
      </c>
      <c r="HJ397" s="343" t="str">
        <f>IF(GL398=1,GK397,"")</f>
        <v/>
      </c>
      <c r="HK397" s="343" t="str">
        <f>IF(GP398=1,GO397,"")</f>
        <v/>
      </c>
      <c r="HL397" s="343" t="str">
        <f>IF(GT398=1,GS397,"")</f>
        <v/>
      </c>
      <c r="HM397" s="343" t="str">
        <f>IF(GX398=1,GW397,"")</f>
        <v/>
      </c>
      <c r="HN397" s="341"/>
      <c r="HO397" s="341"/>
      <c r="HP397" s="341"/>
      <c r="HQ397" s="341"/>
      <c r="HR397" s="341"/>
      <c r="HS397" s="238"/>
      <c r="HT397" s="238"/>
      <c r="HU397" s="238"/>
      <c r="HV397" s="238"/>
      <c r="HW397" s="238" t="str">
        <f>IFERROR(IF(GD394=0,SUM(IB396:IC396),""),"")</f>
        <v/>
      </c>
      <c r="HY397" s="238"/>
      <c r="ID397" s="238"/>
    </row>
    <row r="398" spans="1:238" s="234" customFormat="1" ht="20.100000000000001" customHeight="1">
      <c r="A398" s="235"/>
      <c r="B398" s="231">
        <f>COUNT(AJ399,AJ398)</f>
        <v>1</v>
      </c>
      <c r="C398" s="235"/>
      <c r="D398" s="271" t="str">
        <f>REPT(DN398,1)</f>
        <v>5</v>
      </c>
      <c r="E398" s="254" t="str">
        <f>REPT(AH398,1)</f>
        <v/>
      </c>
      <c r="F398" s="168"/>
      <c r="G398" s="168"/>
      <c r="H398" s="168"/>
      <c r="I398" s="169"/>
      <c r="J398" s="272" t="str">
        <f>REPT(AM398,1)</f>
        <v/>
      </c>
      <c r="L398" s="310"/>
      <c r="M398" s="310"/>
      <c r="N398" s="272" t="str">
        <f>REPT(AP398,1)</f>
        <v/>
      </c>
      <c r="O398" s="118"/>
      <c r="Q398" s="310"/>
      <c r="R398" s="235"/>
      <c r="S398" s="271" t="str">
        <f>REPT(DO398,1)</f>
        <v>5</v>
      </c>
      <c r="T398" s="254" t="str">
        <f>REPT(AV398,1)</f>
        <v/>
      </c>
      <c r="U398" s="168"/>
      <c r="V398" s="168"/>
      <c r="W398" s="168"/>
      <c r="X398" s="169"/>
      <c r="Y398" s="272" t="str">
        <f>REPT(BA398,1)</f>
        <v/>
      </c>
      <c r="Z398" s="308"/>
      <c r="AA398" s="238">
        <f>SUM(AL391)</f>
        <v>5</v>
      </c>
      <c r="AB398" s="234">
        <f>IF(AY398="",0,IF(AY398&lt;2,1,""))</f>
        <v>0</v>
      </c>
      <c r="AC398" s="238">
        <f>IF(AL391=3,0,IF(AD398=1,1,IF(AD398=3,1,IF(AD398=2,0,IF(AD398=0,0,0)))))</f>
        <v>0</v>
      </c>
      <c r="AD398" s="256">
        <f t="shared" si="974"/>
        <v>0</v>
      </c>
      <c r="AE398" s="256">
        <f t="shared" si="968"/>
        <v>0</v>
      </c>
      <c r="AF398" s="256">
        <f t="shared" si="969"/>
        <v>0</v>
      </c>
      <c r="AG398" s="256">
        <f t="shared" si="975"/>
        <v>0</v>
      </c>
      <c r="AH398" s="257" t="str">
        <f>IF(AL391=3,"",IF(AK398="",IF(AI398="","",IF(AI398="",501,501-AI398)),501))</f>
        <v/>
      </c>
      <c r="AI398" s="256" t="str">
        <f>IF(AL391=3,"",IF(F398&gt;1,F398,IF(F398=0,"",IF(F398="","",""))))</f>
        <v/>
      </c>
      <c r="AJ398" s="256" t="str">
        <f>IF(AL391=3,"",IF(G398&gt;8,G398,IF(G398="","","")))</f>
        <v/>
      </c>
      <c r="AK398" s="256" t="str">
        <f>IF(AL391=3,"",IF(H398&gt;1,H398,IF(H398="","","")))</f>
        <v/>
      </c>
      <c r="AL398" s="256" t="str">
        <f>IF(AL391=3,"",IF(I398&gt;0,I398,IF(I398="","","")))</f>
        <v/>
      </c>
      <c r="AM398" s="258" t="str">
        <f>IF(BK398=0,"","X")</f>
        <v/>
      </c>
      <c r="AN398" s="237"/>
      <c r="AO398" s="237"/>
      <c r="AP398" s="258" t="str">
        <f>IF(BM398=0,"","X")</f>
        <v/>
      </c>
      <c r="AQ398" s="236">
        <f>IF(AL391=3,0,IF(AR398=1,1,IF(AR398=3,1,IF(AR398=2,0,IF(AR398=0,0,0)))))</f>
        <v>0</v>
      </c>
      <c r="AR398" s="256">
        <f t="shared" si="977"/>
        <v>0</v>
      </c>
      <c r="AS398" s="256">
        <f t="shared" si="970"/>
        <v>0</v>
      </c>
      <c r="AT398" s="256">
        <f t="shared" si="971"/>
        <v>0</v>
      </c>
      <c r="AU398" s="256">
        <f t="shared" si="978"/>
        <v>0</v>
      </c>
      <c r="AV398" s="257" t="str">
        <f>IF(AY398="",IF(AW398="","",IF(AW398="",501,501-AW398)),501)</f>
        <v/>
      </c>
      <c r="AW398" s="256" t="str">
        <f>IF(AL391=3,"",IF(U398&gt;1,U398,IF(U398=0,"",IF(U398="","",""))))</f>
        <v/>
      </c>
      <c r="AX398" s="256" t="str">
        <f>IF(AL391=3,"",IF(V398&gt;8,V398,IF(V398="","","")))</f>
        <v/>
      </c>
      <c r="AY398" s="256" t="str">
        <f>IF(AL391=3,"",IF(W398&gt;1,W398,IF(W398="","","")))</f>
        <v/>
      </c>
      <c r="AZ398" s="256" t="str">
        <f>IF(AL391=3,"",IF(X398&gt;0,X398,IF(X398="","","")))</f>
        <v/>
      </c>
      <c r="BA398" s="258" t="str">
        <f>IF(BL398=0,"","X")</f>
        <v/>
      </c>
      <c r="BK398" s="251">
        <f>IF(AL391=3,0,SUM(DD398,DV398,EY398,ED398,FF398,BQ398,BS398,AC398))</f>
        <v>0</v>
      </c>
      <c r="BL398" s="251">
        <f>SUM(DE398,DW398,EE398,FT398,GA398,BR398,BT398,AQ398)</f>
        <v>0</v>
      </c>
      <c r="BM398" s="259">
        <f>IF(AL391=3,0,SUM(DC398,BK398:BL398,AC398,AQ398))</f>
        <v>0</v>
      </c>
      <c r="BN398" s="239">
        <f>COUNT(AK398)</f>
        <v>0</v>
      </c>
      <c r="BO398" s="239">
        <f>COUNT(AY398)</f>
        <v>0</v>
      </c>
      <c r="BP398" s="239">
        <f>IF(BN400=0,0,1)</f>
        <v>0</v>
      </c>
      <c r="BQ398" s="260">
        <f>IF(AL398="",0,IF(AL398&gt;2,1,0))</f>
        <v>0</v>
      </c>
      <c r="BR398" s="261">
        <f>IF(AZ398="",0,IF(AZ398&gt;2,1,0))</f>
        <v>0</v>
      </c>
      <c r="BS398" s="262">
        <f>IF(AJ398=9,IF(AK398&lt;141,1,0),0)</f>
        <v>0</v>
      </c>
      <c r="BT398" s="263">
        <f>IF(AX398=9,IF(AY398&lt;141,1,0),0)</f>
        <v>0</v>
      </c>
      <c r="BU398" s="242">
        <f>IF(AL391=3,0,IF(H398,G398,0))</f>
        <v>0</v>
      </c>
      <c r="BV398" s="238">
        <f>IF(BU398&gt;0,AJ398/3,0)</f>
        <v>0</v>
      </c>
      <c r="BW398" s="238">
        <f>ROUNDUP(BV398,0)</f>
        <v>0</v>
      </c>
      <c r="BX398" s="244">
        <f>IF(MOD(BW398,2)=0,BW398,BW398+1)</f>
        <v>0</v>
      </c>
      <c r="BY398" s="238">
        <f>IF(AJ398&lt;9,"",SUM(BX398-BW398))</f>
        <v>0</v>
      </c>
      <c r="BZ398" s="238">
        <f>IF(BY398=1,AK398,0)</f>
        <v>0</v>
      </c>
      <c r="CA398" s="243" t="str">
        <f>IF(BY398=0,AK398,0)</f>
        <v/>
      </c>
      <c r="CB398" s="238"/>
      <c r="CC398" s="238"/>
      <c r="CD398" s="242">
        <f>IF(AL391=3,0,IF(W398,V398,0))</f>
        <v>0</v>
      </c>
      <c r="CE398" s="238">
        <f>IF(CD398&gt;0,AX398/3,0)</f>
        <v>0</v>
      </c>
      <c r="CF398" s="238">
        <f>ROUNDUP(CE398,0)</f>
        <v>0</v>
      </c>
      <c r="CG398" s="244">
        <f>IF(MOD(CF398,2)=0,CF398,CF398+1)</f>
        <v>0</v>
      </c>
      <c r="CH398" s="238">
        <f>IF(AX398&lt;9,"",SUM(CG398-CF398))</f>
        <v>0</v>
      </c>
      <c r="CI398" s="238">
        <f>IF(CH398=1,AY398,0)</f>
        <v>0</v>
      </c>
      <c r="CJ398" s="243" t="str">
        <f>IF(CH398=0,AY398,0)</f>
        <v/>
      </c>
      <c r="CK398" s="238"/>
      <c r="CL398" s="245">
        <f>IF(COUNT(F398,H398)=1,0,1)</f>
        <v>1</v>
      </c>
      <c r="CM398" s="245">
        <f>IF(COUNT(F398,U398)=1,0,1)</f>
        <v>1</v>
      </c>
      <c r="CN398" s="245">
        <f>IF(COUNT(H398,W398)=1,0,1)</f>
        <v>1</v>
      </c>
      <c r="CO398" s="245">
        <f>IF(COUNT(G398,V398)=2,0,1)</f>
        <v>1</v>
      </c>
      <c r="CP398" s="245">
        <f>IF(COUNT(U398,W398)=1,0,1)</f>
        <v>1</v>
      </c>
      <c r="CQ398" s="245">
        <f>IF(SUM(G398-V398)&gt;3,1,0)</f>
        <v>0</v>
      </c>
      <c r="CR398" s="245">
        <f>IF(SUM(G398-V398)&lt;-3,1,0)</f>
        <v>0</v>
      </c>
      <c r="CS398" s="264">
        <f>IF(AJ398=9,IF(AH398&lt;141,1,0),IF(AH398="",0,IF(AH398&gt;1,0,1)))</f>
        <v>0</v>
      </c>
      <c r="CT398" s="264">
        <f>IF(AX398=9,IF(AV398&lt;141,1,0),IF(AV398="",0,IF(AV398&gt;1,0,1)))</f>
        <v>0</v>
      </c>
      <c r="CU398" s="264">
        <f>IF(AI398="",0,IF(AI398&lt;502,0,1))</f>
        <v>0</v>
      </c>
      <c r="CV398" s="264">
        <f>IF(AW398="",0,IF(AW398&lt;502,0,1))</f>
        <v>0</v>
      </c>
      <c r="CW398" s="264">
        <f>IF(AI398="",IF(AJ398&lt;9,1,0),IF(AJ398&lt;9,1,0))</f>
        <v>0</v>
      </c>
      <c r="CX398" s="264">
        <f>IF(AW398="",IF(AX398&lt;9,1,0),IF(AX398&lt;9,1,0))</f>
        <v>0</v>
      </c>
      <c r="CY398" s="374"/>
      <c r="CZ398" s="374"/>
      <c r="DA398" s="374"/>
      <c r="DB398" s="374"/>
      <c r="DC398" s="265">
        <f>IF(AJ398="",0,SUM(CL398:CX398))</f>
        <v>0</v>
      </c>
      <c r="DD398" s="265">
        <f>IF(AJ398="",0,SUM(CL398,CS398,CU398,CW398))</f>
        <v>0</v>
      </c>
      <c r="DE398" s="265">
        <f>IF(AJ398="",0,SUM(CP398,CT398,CV398,CX398))</f>
        <v>0</v>
      </c>
      <c r="DF398" s="238"/>
      <c r="DG398" s="248">
        <f>IF(AL391=3,0,SUM(G398-V398))</f>
        <v>0</v>
      </c>
      <c r="DH398" s="245">
        <f>IF(F398="",0,1)</f>
        <v>0</v>
      </c>
      <c r="DI398" s="245">
        <f t="shared" si="980"/>
        <v>0</v>
      </c>
      <c r="DJ398" s="245">
        <f t="shared" si="981"/>
        <v>0</v>
      </c>
      <c r="DK398" s="245" t="str">
        <f>IF(G398="","",IF(DJ398=1,"*",""))</f>
        <v/>
      </c>
      <c r="DL398" s="245" t="str">
        <f>IF(AL391=3,"",IF(G398="","",IF(DJ398=-1,"*",IF(DJ398=0,"*",""))))</f>
        <v/>
      </c>
      <c r="DM398" s="245">
        <v>5</v>
      </c>
      <c r="DN398" s="245" t="str">
        <f t="shared" si="982"/>
        <v>5</v>
      </c>
      <c r="DO398" s="245" t="str">
        <f t="shared" si="983"/>
        <v>5</v>
      </c>
      <c r="DP398" s="245">
        <f>SUM(DP394)</f>
        <v>0</v>
      </c>
      <c r="DQ398" s="245">
        <f>SUM(DQ394)</f>
        <v>0</v>
      </c>
      <c r="DR398" s="245">
        <f t="shared" si="990"/>
        <v>0</v>
      </c>
      <c r="DS398" s="245">
        <f t="shared" si="991"/>
        <v>0</v>
      </c>
      <c r="DT398" s="245">
        <f t="shared" si="992"/>
        <v>0</v>
      </c>
      <c r="DU398" s="245">
        <f>IF(V398="",0,IF(DQ398=DS398,0,1))</f>
        <v>0</v>
      </c>
      <c r="DV398" s="267">
        <f t="shared" si="993"/>
        <v>0</v>
      </c>
      <c r="DW398" s="267">
        <f>IF(V398="",0,SUM(DU398))</f>
        <v>0</v>
      </c>
      <c r="DX398" s="238">
        <f>IF(AK398="",0,1)</f>
        <v>0</v>
      </c>
      <c r="DY398" s="238">
        <f>IF(DG398=-3,1,0)</f>
        <v>0</v>
      </c>
      <c r="DZ398" s="238">
        <f>SUM(DX398:DY398)</f>
        <v>0</v>
      </c>
      <c r="EA398" s="238">
        <f>IF(AK398="",1,0)</f>
        <v>1</v>
      </c>
      <c r="EB398" s="238">
        <f>IF(DG398=3,1,0)</f>
        <v>0</v>
      </c>
      <c r="EC398" s="238">
        <f>SUM(EA398:EB398)</f>
        <v>1</v>
      </c>
      <c r="ED398" s="267">
        <f>IF(EC398=2,1,0)</f>
        <v>0</v>
      </c>
      <c r="EE398" s="267">
        <f>IF(DZ398=2,1,0)</f>
        <v>0</v>
      </c>
      <c r="EG398" s="166"/>
      <c r="EH398" s="238"/>
      <c r="EI398" s="238"/>
      <c r="EJ398" s="238"/>
      <c r="EK398" s="238"/>
      <c r="EL398" s="238"/>
      <c r="EM398" s="245">
        <f>IF(AK398="",0,1)</f>
        <v>0</v>
      </c>
      <c r="EN398" s="245">
        <f>SUM(AK398)</f>
        <v>0</v>
      </c>
      <c r="EO398" s="268">
        <f>SUM(AJ398)</f>
        <v>0</v>
      </c>
      <c r="EP398" s="268">
        <f>SUM(G398/3)</f>
        <v>0</v>
      </c>
      <c r="EQ398" s="268" t="e">
        <f>SUM(EO398/EP398)</f>
        <v>#DIV/0!</v>
      </c>
      <c r="ER398" s="268">
        <f>ROUNDDOWN(EP398,0)</f>
        <v>0</v>
      </c>
      <c r="ES398" s="268">
        <f>SUM(EO398,-ER398*3)</f>
        <v>0</v>
      </c>
      <c r="ET398" s="269" t="b">
        <f>MOD(EN398/1,2)=0</f>
        <v>1</v>
      </c>
      <c r="EU398" s="245">
        <f>IF(ET398=FALSE,1,0)</f>
        <v>0</v>
      </c>
      <c r="EV398" s="245">
        <f>IF(EN398=50,0,IF(EN398&lt;40,1,0))</f>
        <v>1</v>
      </c>
      <c r="EW398" s="245">
        <f>SUM(EU398:EV398)</f>
        <v>1</v>
      </c>
      <c r="EX398" s="267">
        <f>IF(EN398=1,1,IF(EN398=50,0,IF(ES398=1,IF(EN398&gt;40,1,0),0)))</f>
        <v>0</v>
      </c>
      <c r="EY398" s="267">
        <f>IF(ES398=1,IF(EW398=2,1,0),0)+EX398+FB398+FE398</f>
        <v>0</v>
      </c>
      <c r="EZ398" s="245">
        <f>IF(EN398=109,1,IF(EN398=108,1,IF(EN398=106,1,IF(EN398=105,1,IF(EN398=103,1,IF(EN398=102,1,IF(EN398=99,1,0)))))))</f>
        <v>0</v>
      </c>
      <c r="FA398" s="245">
        <f>IF(EN398&gt;110,1,0)</f>
        <v>0</v>
      </c>
      <c r="FB398" s="267">
        <f>IF(ES398=2,SUM(EZ398:FA398),0)</f>
        <v>0</v>
      </c>
      <c r="FC398" s="245">
        <f>IF(EN398=159,1,IF(EN398=162,1,IF(EN398=163,1,IF(EN398=165,1,IF(EN398=166,1,IF(EN398=168,1,IF(EN398=169,1,0)))))))</f>
        <v>0</v>
      </c>
      <c r="FD398" s="245">
        <f>IF(EN398&gt;170,1,0)</f>
        <v>0</v>
      </c>
      <c r="FE398" s="267">
        <f>IF(ES398=0,SUM(FC398:FD398),0)</f>
        <v>0</v>
      </c>
      <c r="FF398" s="251">
        <f t="shared" si="984"/>
        <v>0</v>
      </c>
      <c r="FG398" s="238"/>
      <c r="FH398" s="245">
        <f>IF(AY398="",0,1)</f>
        <v>0</v>
      </c>
      <c r="FI398" s="245">
        <f>SUM(AY398)</f>
        <v>0</v>
      </c>
      <c r="FJ398" s="268">
        <f>SUM(AX398)</f>
        <v>0</v>
      </c>
      <c r="FK398" s="268">
        <f>SUM(V398/3)</f>
        <v>0</v>
      </c>
      <c r="FL398" s="268" t="e">
        <f>SUM(FJ398/FK398)</f>
        <v>#DIV/0!</v>
      </c>
      <c r="FM398" s="268">
        <f>ROUNDDOWN(FK398,0)</f>
        <v>0</v>
      </c>
      <c r="FN398" s="268">
        <f>SUM(FJ398,-FM398*3)</f>
        <v>0</v>
      </c>
      <c r="FO398" s="269" t="b">
        <f>MOD(FI398/1,2)=0</f>
        <v>1</v>
      </c>
      <c r="FP398" s="245">
        <f>IF(FO398=FALSE,1,0)</f>
        <v>0</v>
      </c>
      <c r="FQ398" s="245">
        <f>IF(FI398=50,0,IF(FI398&lt;40,1,0))</f>
        <v>1</v>
      </c>
      <c r="FR398" s="245">
        <f>SUM(FP398:FQ398)</f>
        <v>1</v>
      </c>
      <c r="FS398" s="267">
        <f>IF(FI398=1,1,IF(FI398=50,0,IF(FN398=1,IF(FI398&gt;40,1,0),0)))</f>
        <v>0</v>
      </c>
      <c r="FT398" s="267">
        <f>IF(FN398=1,IF(FR398=2,1,0),0)+FS398+FW398+FZ398</f>
        <v>0</v>
      </c>
      <c r="FU398" s="245">
        <f>IF(FI398=109,1,IF(FI398=108,1,IF(FI398=106,1,IF(FI398=105,1,IF(FI398=103,1,IF(FI398=102,1,IF(FI398=99,1,0)))))))</f>
        <v>0</v>
      </c>
      <c r="FV398" s="245">
        <f>IF(FI398&gt;110,1,0)</f>
        <v>0</v>
      </c>
      <c r="FW398" s="267">
        <f>IF(FN398=2,SUM(FU398:FV398),0)</f>
        <v>0</v>
      </c>
      <c r="FX398" s="245">
        <f>IF(FI398=159,1,IF(FI398=162,1,IF(FI398=163,1,IF(FI398=165,1,IF(FI398=166,1,IF(FI398=168,1,IF(FI398=169,1,0)))))))</f>
        <v>0</v>
      </c>
      <c r="FY398" s="245">
        <f>IF(FI398&gt;170,1,0)</f>
        <v>0</v>
      </c>
      <c r="FZ398" s="267">
        <f>IF(FN398=0,SUM(FX398:FY398),0)</f>
        <v>0</v>
      </c>
      <c r="GA398" s="251">
        <f t="shared" si="985"/>
        <v>0</v>
      </c>
      <c r="GC398" s="238" t="str">
        <f>VLOOKUP(AH391,Chema!BL:BR,5,FALSE)</f>
        <v/>
      </c>
      <c r="GD398" s="341"/>
      <c r="GE398" s="343" t="str">
        <f>IF(R402="","",SUM(R402))</f>
        <v/>
      </c>
      <c r="GF398" s="340"/>
      <c r="GG398" s="346"/>
      <c r="GH398" s="343">
        <f>IF(GH397&gt;0,1,0)</f>
        <v>0</v>
      </c>
      <c r="GI398" s="346"/>
      <c r="GJ398" s="343"/>
      <c r="GK398" s="346"/>
      <c r="GL398" s="343">
        <f>IF(GL397&gt;0,1,0)</f>
        <v>0</v>
      </c>
      <c r="GM398" s="343"/>
      <c r="GN398" s="343"/>
      <c r="GO398" s="346"/>
      <c r="GP398" s="343">
        <f>IF(GP397&gt;0,1,0)</f>
        <v>0</v>
      </c>
      <c r="GQ398" s="343"/>
      <c r="GR398" s="343"/>
      <c r="GS398" s="346"/>
      <c r="GT398" s="343">
        <f>IF(GT397&gt;0,1,0)</f>
        <v>0</v>
      </c>
      <c r="GU398" s="343"/>
      <c r="GV398" s="343"/>
      <c r="GW398" s="346"/>
      <c r="GX398" s="343">
        <f>IF(GX397&gt;0,1,0)</f>
        <v>0</v>
      </c>
      <c r="GY398" s="340"/>
      <c r="GZ398" s="343"/>
      <c r="HA398" s="343"/>
      <c r="HB398" s="343" t="str">
        <f>IF(GD394=1,P402,"")</f>
        <v/>
      </c>
      <c r="HC398" s="343" t="str">
        <f>IF(GD394=1,X402,"")</f>
        <v/>
      </c>
      <c r="HD398" s="340"/>
      <c r="HE398" s="340"/>
      <c r="HF398" s="340"/>
      <c r="HG398" s="340">
        <f>IF(HG396=HM394,0,IF(HG396=HM398,0,1))</f>
        <v>0</v>
      </c>
      <c r="HH398" s="340">
        <f>IF(HH395=HH397,1,0)</f>
        <v>1</v>
      </c>
      <c r="HI398" s="340"/>
      <c r="HJ398" s="340"/>
      <c r="HK398" s="340"/>
      <c r="HL398" s="340"/>
      <c r="HM398" s="341">
        <f>COUNT(HI397,HJ397,HK397,HL397,HM397)</f>
        <v>0</v>
      </c>
      <c r="HN398" s="341"/>
      <c r="HO398" s="341"/>
      <c r="HP398" s="341"/>
      <c r="HQ398" s="341"/>
      <c r="HR398" s="341"/>
      <c r="HS398" s="238"/>
      <c r="HT398" s="238"/>
      <c r="HU398" s="238"/>
      <c r="HV398" s="238"/>
      <c r="HX398" s="238"/>
      <c r="HY398" s="238"/>
      <c r="ID398" s="238"/>
    </row>
    <row r="399" spans="1:238" s="234" customFormat="1" ht="6.6" customHeight="1">
      <c r="A399" s="235"/>
      <c r="B399" s="231"/>
      <c r="C399" s="310"/>
      <c r="D399" s="310"/>
      <c r="E399" s="310"/>
      <c r="F399" s="310"/>
      <c r="G399" s="313"/>
      <c r="H399" s="310"/>
      <c r="I399" s="310"/>
      <c r="J399" s="273"/>
      <c r="K399" s="313"/>
      <c r="O399" s="118"/>
      <c r="R399" s="310"/>
      <c r="S399" s="310"/>
      <c r="T399" s="310"/>
      <c r="U399" s="310"/>
      <c r="V399" s="313"/>
      <c r="W399" s="310"/>
      <c r="X399" s="310"/>
      <c r="Y399" s="273"/>
      <c r="Z399" s="308"/>
      <c r="AA399" s="274"/>
      <c r="AD399" s="235"/>
      <c r="AE399" s="237">
        <f>IF(AF399=0,0,1)</f>
        <v>0</v>
      </c>
      <c r="AF399" s="237">
        <f>IF(AL399=0,0,SUM(AL401:AL402,-AL400))</f>
        <v>0</v>
      </c>
      <c r="AG399" s="237"/>
      <c r="AH399" s="275">
        <f>SUM(AH394,AH395,AH396,AH397,AH398)</f>
        <v>0</v>
      </c>
      <c r="AI399" s="275">
        <f t="shared" ref="AI399" si="997">SUM(AI394,AI395,AI396,AI397,AI398)</f>
        <v>0</v>
      </c>
      <c r="AJ399" s="275">
        <f t="shared" ref="AJ399" si="998">SUM(AJ394,AJ395,AJ396,AJ397,AJ398)</f>
        <v>0</v>
      </c>
      <c r="AK399" s="275">
        <f>MAX(AK394,AK395,AK396,AK397,AK398)</f>
        <v>0</v>
      </c>
      <c r="AL399" s="275">
        <f t="shared" ref="AL399" si="999">SUM(AL394,AL395,AL396,AL397,AL398)</f>
        <v>0</v>
      </c>
      <c r="AM399" s="275">
        <f>IF(AK391="D",SUM(AL394,AL395,AL396,AL397,AL398,-AL401,-AL402),0)</f>
        <v>0</v>
      </c>
      <c r="AN399" s="235"/>
      <c r="AO399" s="235"/>
      <c r="AP399" s="235"/>
      <c r="AQ399" s="235"/>
      <c r="AR399" s="235"/>
      <c r="AS399" s="237">
        <f>IF(AT399=0,0,1)</f>
        <v>0</v>
      </c>
      <c r="AT399" s="237">
        <f>IF(AZ399=0,0,SUM(AZ401:AZ402,-AZ400))</f>
        <v>0</v>
      </c>
      <c r="AU399" s="237"/>
      <c r="AV399" s="275">
        <f>SUM(AV394,AV395,AV396,AV397,AV398)</f>
        <v>0</v>
      </c>
      <c r="AW399" s="275">
        <f t="shared" ref="AW399" si="1000">SUM(AW394,AW395,AW396,AW397,AW398)</f>
        <v>0</v>
      </c>
      <c r="AX399" s="275">
        <f t="shared" ref="AX399" si="1001">SUM(AX394,AX395,AX396,AX397,AX398)</f>
        <v>0</v>
      </c>
      <c r="AY399" s="275">
        <f>MAX(AY394,AY395,AY396,AY397,AY398)</f>
        <v>0</v>
      </c>
      <c r="AZ399" s="275">
        <f t="shared" ref="AZ399" si="1002">SUM(AZ394,AZ395,AZ396,AZ397,AZ398)</f>
        <v>0</v>
      </c>
      <c r="BA399" s="275">
        <f>IF(AK391="D",SUM(AZ394,AZ395,AZ396,AZ397,AZ398,-AZ401,-AZ402),0)</f>
        <v>0</v>
      </c>
      <c r="BJ399" s="236"/>
      <c r="BK399" s="238"/>
      <c r="BL399" s="238"/>
      <c r="BM399" s="238"/>
      <c r="BP399" s="238"/>
      <c r="BQ399" s="238"/>
      <c r="BR399" s="238"/>
      <c r="BS399" s="238"/>
      <c r="BT399" s="238"/>
      <c r="BU399" s="238"/>
      <c r="BY399" s="238"/>
      <c r="BZ399" s="238">
        <f>MAX(BZ394,BZ395,BZ396,BZ397,BZ398)</f>
        <v>0</v>
      </c>
      <c r="CA399" s="238">
        <f>MAX(CA394,CA395,CA396,CA397,CA398)</f>
        <v>0</v>
      </c>
      <c r="CB399" s="238"/>
      <c r="CC399" s="238"/>
      <c r="CD399" s="238"/>
      <c r="CG399" s="244"/>
      <c r="CH399" s="238"/>
      <c r="CI399" s="238">
        <f>MAX(CI394,CI395,CI396,CI397,CI398)</f>
        <v>0</v>
      </c>
      <c r="CJ399" s="238">
        <f>MAX(CJ394,CJ395,CJ396,CJ397,CJ398)</f>
        <v>0</v>
      </c>
      <c r="CK399" s="238"/>
      <c r="CL399" s="238"/>
      <c r="CM399" s="238"/>
      <c r="CN399" s="238"/>
      <c r="CO399" s="238"/>
      <c r="CP399" s="238"/>
      <c r="CQ399" s="238"/>
      <c r="CR399" s="238"/>
      <c r="CS399" s="238"/>
      <c r="CT399" s="238"/>
      <c r="CU399" s="238"/>
      <c r="CV399" s="238"/>
      <c r="CW399" s="238"/>
      <c r="CX399" s="238"/>
      <c r="CY399" s="238"/>
      <c r="CZ399" s="238"/>
      <c r="DA399" s="238"/>
      <c r="DB399" s="238"/>
      <c r="DC399" s="238"/>
      <c r="DD399" s="238"/>
      <c r="DE399" s="238"/>
      <c r="DF399" s="238"/>
      <c r="DG399" s="238"/>
      <c r="DH399" s="238"/>
      <c r="DI399" s="238"/>
      <c r="DJ399" s="238"/>
      <c r="DK399" s="238"/>
      <c r="DL399" s="238"/>
      <c r="DM399" s="238"/>
      <c r="DN399" s="238"/>
      <c r="DO399" s="238"/>
      <c r="DP399" s="238"/>
      <c r="DQ399" s="238"/>
      <c r="DR399" s="238"/>
      <c r="DS399" s="238"/>
      <c r="DT399" s="238"/>
      <c r="DU399" s="238"/>
      <c r="DV399" s="238"/>
      <c r="DW399" s="238"/>
      <c r="DX399" s="238"/>
      <c r="DY399" s="238"/>
      <c r="DZ399" s="238"/>
      <c r="EA399" s="238"/>
      <c r="EB399" s="238"/>
      <c r="EC399" s="238"/>
      <c r="ED399" s="238"/>
      <c r="EE399" s="238"/>
      <c r="EF399" s="238"/>
      <c r="EG399" s="238"/>
      <c r="EH399" s="238"/>
      <c r="EI399" s="238"/>
      <c r="EJ399" s="238"/>
      <c r="EK399" s="238"/>
      <c r="EL399" s="238"/>
      <c r="EM399" s="166"/>
      <c r="EN399" s="166"/>
      <c r="EO399" s="166"/>
      <c r="EP399" s="238">
        <f>SUM(EN399-EO399)</f>
        <v>0</v>
      </c>
      <c r="EQ399" s="238"/>
      <c r="ER399" s="238"/>
      <c r="ES399" s="238"/>
      <c r="ET399" s="244"/>
      <c r="EU399" s="238"/>
      <c r="EV399" s="238"/>
      <c r="EW399" s="238"/>
      <c r="EX399" s="238"/>
      <c r="EY399" s="238"/>
      <c r="EZ399" s="238"/>
      <c r="FA399" s="238"/>
      <c r="FB399" s="238"/>
      <c r="FC399" s="238"/>
      <c r="FD399" s="238"/>
      <c r="FE399" s="238"/>
      <c r="FF399" s="238"/>
      <c r="FG399" s="238"/>
      <c r="FH399" s="238"/>
      <c r="FI399" s="238"/>
      <c r="FJ399" s="238"/>
      <c r="FK399" s="238"/>
      <c r="FL399" s="238"/>
      <c r="FM399" s="238"/>
      <c r="FN399" s="238"/>
      <c r="FO399" s="244"/>
      <c r="FP399" s="238"/>
      <c r="FQ399" s="238"/>
      <c r="FR399" s="238"/>
      <c r="FS399" s="238"/>
      <c r="FT399" s="238"/>
      <c r="FU399" s="238"/>
      <c r="FV399" s="238"/>
      <c r="FW399" s="238"/>
      <c r="FX399" s="238"/>
      <c r="FY399" s="238"/>
      <c r="FZ399" s="238"/>
      <c r="GA399" s="238"/>
      <c r="GB399" s="238"/>
      <c r="GC399" s="238"/>
      <c r="GD399" s="341"/>
      <c r="GE399" s="340"/>
      <c r="GF399" s="340"/>
      <c r="GG399" s="340"/>
      <c r="GH399" s="340"/>
      <c r="GI399" s="340"/>
      <c r="GJ399" s="340"/>
      <c r="GK399" s="340"/>
      <c r="GL399" s="340"/>
      <c r="GM399" s="340"/>
      <c r="GN399" s="340"/>
      <c r="GO399" s="340"/>
      <c r="GP399" s="340"/>
      <c r="GQ399" s="340"/>
      <c r="GR399" s="340"/>
      <c r="GS399" s="340"/>
      <c r="GT399" s="340"/>
      <c r="GU399" s="340"/>
      <c r="GV399" s="340"/>
      <c r="GW399" s="340"/>
      <c r="GX399" s="340"/>
      <c r="GY399" s="340"/>
      <c r="GZ399" s="340"/>
      <c r="HA399" s="340"/>
      <c r="HB399" s="340"/>
      <c r="HC399" s="340"/>
      <c r="HD399" s="341"/>
      <c r="HE399" s="341"/>
      <c r="HF399" s="341"/>
      <c r="HG399" s="341"/>
      <c r="HH399" s="341"/>
      <c r="HI399" s="341"/>
      <c r="HJ399" s="341"/>
      <c r="HK399" s="341"/>
      <c r="HL399" s="341"/>
      <c r="HM399" s="341"/>
      <c r="HN399" s="341"/>
      <c r="HO399" s="341"/>
      <c r="HP399" s="341"/>
      <c r="HQ399" s="341"/>
      <c r="HR399" s="341"/>
      <c r="HS399" s="238"/>
      <c r="HT399" s="238"/>
      <c r="HU399" s="238"/>
      <c r="HV399" s="238"/>
      <c r="HX399" s="238"/>
      <c r="HY399" s="238"/>
      <c r="ID399" s="238"/>
    </row>
    <row r="400" spans="1:238" s="234" customFormat="1" ht="20.100000000000001" customHeight="1">
      <c r="A400" s="235"/>
      <c r="B400" s="231"/>
      <c r="C400" s="314" t="s">
        <v>771</v>
      </c>
      <c r="D400" s="276" t="str">
        <f>REPT(Sprache!$K$58,1)</f>
        <v>Spieler</v>
      </c>
      <c r="E400" s="277" t="str">
        <f>REPT(Sprache!$K$33,1)</f>
        <v>Name / Vorname</v>
      </c>
      <c r="F400" s="278"/>
      <c r="G400" s="278"/>
      <c r="H400" s="279"/>
      <c r="I400" s="280"/>
      <c r="J400" s="281" t="str">
        <f>REPT(AM400,1)</f>
        <v/>
      </c>
      <c r="L400" s="306" t="s">
        <v>848</v>
      </c>
      <c r="M400" s="238"/>
      <c r="P400" s="306" t="s">
        <v>848</v>
      </c>
      <c r="R400" s="314" t="s">
        <v>771</v>
      </c>
      <c r="S400" s="276" t="str">
        <f>REPT(Sprache!$K$58,1)</f>
        <v>Spieler</v>
      </c>
      <c r="T400" s="277" t="str">
        <f>REPT(Sprache!$K$33,1)</f>
        <v>Name / Vorname</v>
      </c>
      <c r="U400" s="278"/>
      <c r="V400" s="278"/>
      <c r="W400" s="279"/>
      <c r="X400" s="280"/>
      <c r="Y400" s="281" t="str">
        <f>REPT(BA400,1)</f>
        <v/>
      </c>
      <c r="Z400" s="308"/>
      <c r="AD400" s="235"/>
      <c r="AE400" s="235"/>
      <c r="AF400" s="237" t="s">
        <v>771</v>
      </c>
      <c r="AG400" s="282" t="s">
        <v>877</v>
      </c>
      <c r="AH400" s="283" t="str">
        <f>IF(AH399=0,"",AH399)</f>
        <v/>
      </c>
      <c r="AI400" s="283" t="str">
        <f>IF(AI399=0,"",AI399)</f>
        <v/>
      </c>
      <c r="AJ400" s="283" t="str">
        <f>IF(AJ399=0,"",AJ399)</f>
        <v/>
      </c>
      <c r="AK400" s="283" t="str">
        <f>IF(AK399=0,"",AK399)</f>
        <v/>
      </c>
      <c r="AL400" s="283" t="str">
        <f>IF(AL399=0,"",AL399)</f>
        <v/>
      </c>
      <c r="AM400" s="258" t="str">
        <f>IF(AK391="D",IF(AF399=0,"","X"),"")</f>
        <v/>
      </c>
      <c r="AN400" s="235"/>
      <c r="AO400" s="235"/>
      <c r="AP400" s="284"/>
      <c r="AQ400" s="235"/>
      <c r="AR400" s="235"/>
      <c r="AS400" s="235"/>
      <c r="AT400" s="237" t="s">
        <v>771</v>
      </c>
      <c r="AU400" s="282" t="s">
        <v>877</v>
      </c>
      <c r="AV400" s="283" t="str">
        <f>IF(AV399=0,"",AV399)</f>
        <v/>
      </c>
      <c r="AW400" s="283" t="str">
        <f>IF(AW399=0,"",AW399)</f>
        <v/>
      </c>
      <c r="AX400" s="283" t="str">
        <f>IF(AX399=0,"",AX399)</f>
        <v/>
      </c>
      <c r="AY400" s="283" t="str">
        <f>IF(AY399=0,"",AY399)</f>
        <v/>
      </c>
      <c r="AZ400" s="421" t="str">
        <f>IF(AZ399=0,"",AZ399)</f>
        <v/>
      </c>
      <c r="BA400" s="258" t="str">
        <f>IF(AK391="D",IF(AT399=0,"","X"),"")</f>
        <v/>
      </c>
      <c r="BJ400" s="236"/>
      <c r="BK400" s="238"/>
      <c r="BL400" s="244">
        <f>IF(BM400=0,0,1)</f>
        <v>0</v>
      </c>
      <c r="BM400" s="244">
        <f>SUM(BM394,BM395,BM396,BM397,BM398,HH396,AN401,AN402,BB401,BB402)</f>
        <v>0</v>
      </c>
      <c r="BN400" s="166">
        <f t="shared" ref="BN400:BO400" si="1003">SUM(BN394,BN395,BN396,BN397,BN398)</f>
        <v>0</v>
      </c>
      <c r="BO400" s="166">
        <f t="shared" si="1003"/>
        <v>0</v>
      </c>
      <c r="BP400" s="244"/>
      <c r="BQ400" s="238"/>
      <c r="BR400" s="238"/>
      <c r="BS400" s="238"/>
      <c r="BT400" s="238"/>
      <c r="BU400" s="238"/>
      <c r="BV400" s="238"/>
      <c r="BW400" s="238"/>
      <c r="BX400" s="236"/>
      <c r="BY400" s="238"/>
      <c r="BZ400" s="238"/>
      <c r="CA400" s="238"/>
      <c r="CB400" s="238"/>
      <c r="CC400" s="238"/>
      <c r="CD400" s="238"/>
      <c r="CE400" s="238"/>
      <c r="CF400" s="238"/>
      <c r="CG400" s="244"/>
      <c r="CH400" s="238"/>
      <c r="CI400" s="238"/>
      <c r="CJ400" s="238"/>
      <c r="CK400" s="238"/>
      <c r="CL400" s="238"/>
      <c r="CM400" s="238"/>
      <c r="CN400" s="238"/>
      <c r="CO400" s="238"/>
      <c r="CP400" s="238"/>
      <c r="CQ400" s="238"/>
      <c r="CR400" s="238"/>
      <c r="CS400" s="238"/>
      <c r="CT400" s="238"/>
      <c r="CU400" s="238"/>
      <c r="CV400" s="238"/>
      <c r="CW400" s="238"/>
      <c r="CX400" s="238"/>
      <c r="CY400" s="238"/>
      <c r="CZ400" s="238"/>
      <c r="DA400" s="238"/>
      <c r="DB400" s="238"/>
      <c r="DC400" s="238"/>
      <c r="DD400" s="238"/>
      <c r="DE400" s="238"/>
      <c r="DF400" s="238"/>
      <c r="DG400" s="238"/>
      <c r="DH400" s="238"/>
      <c r="DI400" s="238"/>
      <c r="DJ400" s="238"/>
      <c r="DK400" s="238"/>
      <c r="DL400" s="238"/>
      <c r="DM400" s="238"/>
      <c r="DN400" s="238"/>
      <c r="DO400" s="238"/>
      <c r="DP400" s="238"/>
      <c r="DQ400" s="238"/>
      <c r="DR400" s="238"/>
      <c r="DS400" s="238"/>
      <c r="DT400" s="238"/>
      <c r="DU400" s="238"/>
      <c r="DV400" s="238"/>
      <c r="DW400" s="238"/>
      <c r="DX400" s="238"/>
      <c r="DY400" s="238"/>
      <c r="DZ400" s="238"/>
      <c r="EA400" s="238"/>
      <c r="EB400" s="238"/>
      <c r="EC400" s="238"/>
      <c r="ED400" s="238"/>
      <c r="EE400" s="238"/>
      <c r="EF400" s="238"/>
      <c r="EG400" s="238"/>
      <c r="EH400" s="238"/>
      <c r="EI400" s="238"/>
      <c r="EJ400" s="238"/>
      <c r="EK400" s="238"/>
      <c r="EL400" s="238"/>
      <c r="EM400" s="238"/>
      <c r="EN400" s="238"/>
      <c r="EO400" s="238"/>
      <c r="EP400" s="238"/>
      <c r="EQ400" s="238"/>
      <c r="ER400" s="238"/>
      <c r="ES400" s="238"/>
      <c r="ET400" s="244"/>
      <c r="EU400" s="238"/>
      <c r="EV400" s="238"/>
      <c r="EW400" s="238"/>
      <c r="EX400" s="238"/>
      <c r="EY400" s="238"/>
      <c r="EZ400" s="238"/>
      <c r="FA400" s="238"/>
      <c r="FB400" s="238"/>
      <c r="FC400" s="238"/>
      <c r="FD400" s="238"/>
      <c r="FE400" s="238"/>
      <c r="FF400" s="238"/>
      <c r="FG400" s="238"/>
      <c r="FH400" s="238"/>
      <c r="FI400" s="238"/>
      <c r="FJ400" s="238"/>
      <c r="FK400" s="238"/>
      <c r="FL400" s="238"/>
      <c r="FM400" s="238"/>
      <c r="FN400" s="238"/>
      <c r="FO400" s="244"/>
      <c r="FP400" s="238"/>
      <c r="FQ400" s="238"/>
      <c r="FR400" s="238"/>
      <c r="FS400" s="238"/>
      <c r="FT400" s="238"/>
      <c r="FU400" s="238"/>
      <c r="FV400" s="238"/>
      <c r="FW400" s="238"/>
      <c r="FX400" s="238"/>
      <c r="FY400" s="238"/>
      <c r="FZ400" s="238"/>
      <c r="GA400" s="238"/>
      <c r="GB400" s="238"/>
      <c r="GC400" s="238"/>
      <c r="GD400" s="341"/>
      <c r="GE400" s="340"/>
      <c r="GF400" s="340"/>
      <c r="GG400" s="340"/>
      <c r="GH400" s="340"/>
      <c r="GI400" s="340"/>
      <c r="GJ400" s="340"/>
      <c r="GK400" s="340"/>
      <c r="GL400" s="340"/>
      <c r="GM400" s="340"/>
      <c r="GN400" s="340"/>
      <c r="GO400" s="340"/>
      <c r="GP400" s="340"/>
      <c r="GQ400" s="340"/>
      <c r="GR400" s="340"/>
      <c r="GS400" s="340"/>
      <c r="GT400" s="340"/>
      <c r="GU400" s="340"/>
      <c r="GV400" s="340"/>
      <c r="GW400" s="340"/>
      <c r="GX400" s="340"/>
      <c r="GY400" s="340"/>
      <c r="GZ400" s="340"/>
      <c r="HA400" s="340"/>
      <c r="HB400" s="340"/>
      <c r="HC400" s="340"/>
      <c r="HD400" s="341"/>
      <c r="HE400" s="341"/>
      <c r="HF400" s="341"/>
      <c r="HG400" s="341"/>
      <c r="HH400" s="341"/>
      <c r="HI400" s="341"/>
      <c r="HJ400" s="341"/>
      <c r="HK400" s="341"/>
      <c r="HL400" s="341"/>
      <c r="HM400" s="341"/>
      <c r="HN400" s="341"/>
      <c r="HO400" s="341"/>
      <c r="HP400" s="341"/>
      <c r="HQ400" s="341"/>
      <c r="HR400" s="341"/>
      <c r="HS400" s="238"/>
      <c r="HT400" s="238"/>
      <c r="HU400" s="238"/>
      <c r="HV400" s="238"/>
      <c r="HX400" s="238"/>
      <c r="HY400" s="238"/>
      <c r="ID400" s="238"/>
    </row>
    <row r="401" spans="1:238" s="234" customFormat="1" ht="20.100000000000001" customHeight="1">
      <c r="A401" s="235"/>
      <c r="B401" s="231"/>
      <c r="C401" s="285" t="str">
        <f>IF(AF401="","",SUM(AF401))</f>
        <v/>
      </c>
      <c r="D401" s="286" t="str">
        <f>IF(AK391="D",1,"")</f>
        <v/>
      </c>
      <c r="E401" s="287" t="str">
        <f>IF(C401="","",VLOOKUP(C401,Licenses!B:C,2,FALSE))</f>
        <v/>
      </c>
      <c r="F401" s="288"/>
      <c r="G401" s="288"/>
      <c r="H401" s="289"/>
      <c r="I401" s="169"/>
      <c r="J401" s="270" t="str">
        <f>REPT(AM401,1)</f>
        <v/>
      </c>
      <c r="L401" s="290" t="str">
        <f>IF(AK391="D",AK401,IF(AK400="","",AK400))</f>
        <v/>
      </c>
      <c r="M401" s="311"/>
      <c r="P401" s="290" t="str">
        <f>IF(AK391="D",AY401,IF(AY400="","",AY400))</f>
        <v/>
      </c>
      <c r="R401" s="291" t="str">
        <f>IF(AT401="","",SUM(AT401))</f>
        <v/>
      </c>
      <c r="S401" s="286" t="str">
        <f>IF(AK391="D",1,"")</f>
        <v/>
      </c>
      <c r="T401" s="292" t="str">
        <f>IF(R401="","",VLOOKUP(R401,Licenses!B:C,2,FALSE))</f>
        <v/>
      </c>
      <c r="U401" s="293"/>
      <c r="V401" s="293"/>
      <c r="W401" s="294"/>
      <c r="X401" s="169"/>
      <c r="Y401" s="270" t="str">
        <f>REPT(BA401,1)</f>
        <v/>
      </c>
      <c r="Z401" s="308"/>
      <c r="AD401" s="235"/>
      <c r="AE401" s="235"/>
      <c r="AF401" s="256" t="str">
        <f>IF(AM391="","",SUM(AM391))</f>
        <v/>
      </c>
      <c r="AG401" s="237"/>
      <c r="AH401" s="256"/>
      <c r="AI401" s="256"/>
      <c r="AJ401" s="256"/>
      <c r="AK401" s="256" t="str">
        <f>IF(BZ399&gt;1,BZ399,"")</f>
        <v/>
      </c>
      <c r="AL401" s="257">
        <f>IF(AK391="D",SUM(I401),0)</f>
        <v>0</v>
      </c>
      <c r="AM401" s="258" t="str">
        <f>IF(AM399=0,IF(AL401&lt;6,"","X"),"X")</f>
        <v/>
      </c>
      <c r="AN401" s="347" t="str">
        <f>IF(AM399=0,IF(AL401&lt;6,"",1),1)</f>
        <v/>
      </c>
      <c r="AO401" s="235"/>
      <c r="AP401" s="236"/>
      <c r="AQ401" s="235"/>
      <c r="AR401" s="235"/>
      <c r="AS401" s="235"/>
      <c r="AT401" s="256" t="str">
        <f>IF(BA391="","",SUM(BA391))</f>
        <v/>
      </c>
      <c r="AU401" s="237"/>
      <c r="AV401" s="256"/>
      <c r="AW401" s="256"/>
      <c r="AX401" s="256"/>
      <c r="AY401" s="256" t="str">
        <f>IF(CI399&gt;1,CI399,"")</f>
        <v/>
      </c>
      <c r="AZ401" s="257">
        <f>IF(AK391="D",SUM(X401),0)</f>
        <v>0</v>
      </c>
      <c r="BA401" s="258" t="str">
        <f>IF(BA399=0,IF(AZ401&lt;6,"","X"),"X")</f>
        <v/>
      </c>
      <c r="BB401" s="347" t="str">
        <f>IF(BA399=0,IF(AZ401&lt;6,"",1),1)</f>
        <v/>
      </c>
      <c r="BC401" s="236"/>
      <c r="BD401" s="236"/>
      <c r="BE401" s="236"/>
      <c r="BF401" s="236"/>
      <c r="BG401" s="236"/>
      <c r="BH401" s="236"/>
      <c r="BI401" s="236"/>
      <c r="BJ401" s="236"/>
      <c r="BK401" s="238"/>
      <c r="BL401" s="238"/>
      <c r="BM401" s="295"/>
      <c r="BN401" s="295"/>
      <c r="BO401" s="295"/>
      <c r="BP401" s="295"/>
      <c r="BQ401" s="295"/>
      <c r="BR401" s="295"/>
      <c r="BS401" s="295"/>
      <c r="BT401" s="295"/>
      <c r="BU401" s="295"/>
      <c r="BV401" s="295"/>
      <c r="BW401" s="295"/>
      <c r="BX401" s="236"/>
      <c r="BY401" s="295"/>
      <c r="BZ401" s="295"/>
      <c r="CA401" s="295"/>
      <c r="CB401" s="295"/>
      <c r="CC401" s="295"/>
      <c r="CD401" s="295"/>
      <c r="CE401" s="295"/>
      <c r="CF401" s="295"/>
      <c r="CG401" s="296"/>
      <c r="CH401" s="295"/>
      <c r="CI401" s="295"/>
      <c r="CJ401" s="295"/>
      <c r="CK401" s="238"/>
      <c r="CL401" s="238"/>
      <c r="CM401" s="238"/>
      <c r="CN401" s="238"/>
      <c r="CO401" s="238"/>
      <c r="CP401" s="238"/>
      <c r="CQ401" s="238"/>
      <c r="CR401" s="238"/>
      <c r="CS401" s="238"/>
      <c r="CT401" s="238"/>
      <c r="CU401" s="238"/>
      <c r="CV401" s="238"/>
      <c r="CW401" s="238"/>
      <c r="CX401" s="238"/>
      <c r="CY401" s="238"/>
      <c r="CZ401" s="238"/>
      <c r="DA401" s="238"/>
      <c r="DB401" s="238"/>
      <c r="DC401" s="238"/>
      <c r="DD401" s="238"/>
      <c r="DE401" s="238"/>
      <c r="DF401" s="238"/>
      <c r="DG401" s="238"/>
      <c r="DH401" s="238"/>
      <c r="DI401" s="238"/>
      <c r="DJ401" s="238"/>
      <c r="DK401" s="238"/>
      <c r="DL401" s="238"/>
      <c r="DM401" s="238"/>
      <c r="DN401" s="238"/>
      <c r="DO401" s="238"/>
      <c r="DP401" s="238"/>
      <c r="DQ401" s="238"/>
      <c r="DR401" s="238"/>
      <c r="DS401" s="238"/>
      <c r="DT401" s="238"/>
      <c r="DU401" s="238"/>
      <c r="DV401" s="238"/>
      <c r="DW401" s="238"/>
      <c r="DX401" s="238"/>
      <c r="DY401" s="238"/>
      <c r="DZ401" s="238"/>
      <c r="EA401" s="238"/>
      <c r="EB401" s="238"/>
      <c r="EC401" s="238"/>
      <c r="ED401" s="238"/>
      <c r="EE401" s="238"/>
      <c r="EF401" s="238"/>
      <c r="EG401" s="238"/>
      <c r="EH401" s="238"/>
      <c r="EI401" s="238"/>
      <c r="EJ401" s="238"/>
      <c r="EK401" s="238"/>
      <c r="EL401" s="238"/>
      <c r="EM401" s="238"/>
      <c r="EN401" s="238"/>
      <c r="EO401" s="238"/>
      <c r="EP401" s="238"/>
      <c r="EQ401" s="238"/>
      <c r="ER401" s="238"/>
      <c r="ES401" s="238"/>
      <c r="ET401" s="244"/>
      <c r="EU401" s="238"/>
      <c r="EV401" s="238"/>
      <c r="EW401" s="238"/>
      <c r="EX401" s="238"/>
      <c r="EY401" s="238"/>
      <c r="EZ401" s="238"/>
      <c r="FA401" s="238"/>
      <c r="FB401" s="238"/>
      <c r="FC401" s="238"/>
      <c r="FD401" s="238"/>
      <c r="FE401" s="238"/>
      <c r="FF401" s="238"/>
      <c r="FG401" s="238"/>
      <c r="FH401" s="238"/>
      <c r="FI401" s="238"/>
      <c r="FJ401" s="238"/>
      <c r="FK401" s="238"/>
      <c r="FL401" s="238"/>
      <c r="FM401" s="238"/>
      <c r="FN401" s="238"/>
      <c r="FO401" s="244"/>
      <c r="FP401" s="238"/>
      <c r="FQ401" s="238"/>
      <c r="FR401" s="238"/>
      <c r="FS401" s="238"/>
      <c r="FT401" s="238"/>
      <c r="FU401" s="238"/>
      <c r="FV401" s="238"/>
      <c r="FW401" s="238"/>
      <c r="FX401" s="238"/>
      <c r="FY401" s="238"/>
      <c r="FZ401" s="238"/>
      <c r="GA401" s="238"/>
      <c r="GB401" s="238"/>
      <c r="GC401" s="238"/>
      <c r="GD401" s="341"/>
      <c r="GE401" s="340"/>
      <c r="GF401" s="340"/>
      <c r="GG401" s="340"/>
      <c r="GH401" s="340"/>
      <c r="GI401" s="340"/>
      <c r="GJ401" s="340"/>
      <c r="GK401" s="340"/>
      <c r="GL401" s="340"/>
      <c r="GM401" s="340"/>
      <c r="GN401" s="340"/>
      <c r="GO401" s="340"/>
      <c r="GP401" s="340"/>
      <c r="GQ401" s="340"/>
      <c r="GR401" s="340"/>
      <c r="GS401" s="340"/>
      <c r="GT401" s="340"/>
      <c r="GU401" s="340"/>
      <c r="GV401" s="340"/>
      <c r="GW401" s="340"/>
      <c r="GX401" s="340"/>
      <c r="GY401" s="340"/>
      <c r="GZ401" s="340"/>
      <c r="HA401" s="340"/>
      <c r="HB401" s="340"/>
      <c r="HC401" s="340"/>
      <c r="HD401" s="341"/>
      <c r="HE401" s="341"/>
      <c r="HF401" s="341"/>
      <c r="HG401" s="341"/>
      <c r="HH401" s="341"/>
      <c r="HI401" s="341"/>
      <c r="HJ401" s="341"/>
      <c r="HK401" s="341"/>
      <c r="HL401" s="341"/>
      <c r="HM401" s="341"/>
      <c r="HN401" s="341"/>
      <c r="HO401" s="341"/>
      <c r="HP401" s="341"/>
      <c r="HQ401" s="341"/>
      <c r="HR401" s="341"/>
      <c r="HS401" s="238"/>
      <c r="HT401" s="238"/>
      <c r="HU401" s="238"/>
      <c r="HV401" s="238"/>
      <c r="HX401" s="238"/>
      <c r="HY401" s="238"/>
      <c r="ID401" s="238"/>
    </row>
    <row r="402" spans="1:238" s="234" customFormat="1" ht="20.100000000000001" customHeight="1">
      <c r="A402" s="235"/>
      <c r="B402" s="231"/>
      <c r="C402" s="336" t="str">
        <f>IF(AF402="","",SUM(AF402))</f>
        <v/>
      </c>
      <c r="D402" s="333" t="str">
        <f>IF(AK391="D",2,"")</f>
        <v/>
      </c>
      <c r="E402" s="337" t="str">
        <f>IF(C402="","",VLOOKUP(C402,Licenses!B:C,2,FALSE))</f>
        <v/>
      </c>
      <c r="F402" s="290"/>
      <c r="G402" s="290"/>
      <c r="H402" s="338"/>
      <c r="I402" s="331"/>
      <c r="J402" s="272" t="str">
        <f>REPT(AM402,1)</f>
        <v/>
      </c>
      <c r="L402" s="315" t="str">
        <f>IF(AK391="D",AK402,"")</f>
        <v/>
      </c>
      <c r="M402" s="311"/>
      <c r="P402" s="315" t="str">
        <f>IF(AK391="D",AY402,"")</f>
        <v/>
      </c>
      <c r="R402" s="332" t="str">
        <f>IF(AT402="","",SUM(AT402))</f>
        <v/>
      </c>
      <c r="S402" s="333" t="str">
        <f>IF(AK391="D",2,"")</f>
        <v/>
      </c>
      <c r="T402" s="334" t="str">
        <f>IF(R402="","",VLOOKUP(R402,Licenses!B:C,2,FALSE))</f>
        <v/>
      </c>
      <c r="U402" s="297"/>
      <c r="V402" s="297"/>
      <c r="W402" s="335"/>
      <c r="X402" s="331"/>
      <c r="Y402" s="272" t="str">
        <f>REPT(BA402,1)</f>
        <v/>
      </c>
      <c r="Z402" s="308"/>
      <c r="AA402" s="238">
        <f>IF(AK391="D",0,1)</f>
        <v>1</v>
      </c>
      <c r="AD402" s="235"/>
      <c r="AE402" s="235"/>
      <c r="AF402" s="256" t="str">
        <f>IF(AM392="","",SUM(AM392))</f>
        <v/>
      </c>
      <c r="AG402" s="237"/>
      <c r="AH402" s="256"/>
      <c r="AI402" s="256"/>
      <c r="AJ402" s="256"/>
      <c r="AK402" s="256" t="str">
        <f>IF(CA399&gt;1,CA399,"")</f>
        <v/>
      </c>
      <c r="AL402" s="257">
        <f>IF(AK391="D",SUM(I402),0)</f>
        <v>0</v>
      </c>
      <c r="AM402" s="258" t="str">
        <f>IF(AM399=0,IF(AL402&lt;6,"","X"),"X")</f>
        <v/>
      </c>
      <c r="AN402" s="347" t="str">
        <f>IF(AM399=0,IF(AL402&lt;6,"",1),1)</f>
        <v/>
      </c>
      <c r="AO402" s="235"/>
      <c r="AP402" s="236"/>
      <c r="AQ402" s="235"/>
      <c r="AR402" s="235"/>
      <c r="AS402" s="235"/>
      <c r="AT402" s="256" t="str">
        <f>IF(BA392="","",SUM(BA392))</f>
        <v/>
      </c>
      <c r="AU402" s="237"/>
      <c r="AV402" s="256"/>
      <c r="AW402" s="256"/>
      <c r="AX402" s="256"/>
      <c r="AY402" s="256" t="str">
        <f>IF(CJ399&gt;1,CJ399,"")</f>
        <v/>
      </c>
      <c r="AZ402" s="257">
        <f>IF(AK391="D",SUM(X402),0)</f>
        <v>0</v>
      </c>
      <c r="BA402" s="258" t="str">
        <f>IF(BA399=0,IF(AZ402&lt;6,"","X"),"X")</f>
        <v/>
      </c>
      <c r="BB402" s="347" t="str">
        <f>IF(BA399=0,IF(AZ402&lt;6,"",1),1)</f>
        <v/>
      </c>
      <c r="BC402" s="236"/>
      <c r="BD402" s="236"/>
      <c r="BE402" s="236"/>
      <c r="BF402" s="236"/>
      <c r="BG402" s="236"/>
      <c r="BH402" s="236"/>
      <c r="BI402" s="236"/>
      <c r="BJ402" s="236"/>
      <c r="BK402" s="238"/>
      <c r="BM402" s="238"/>
      <c r="BN402" s="238"/>
      <c r="BO402" s="238"/>
      <c r="BP402" s="238"/>
      <c r="BQ402" s="238" t="s">
        <v>899</v>
      </c>
      <c r="BR402" s="238"/>
      <c r="BS402" s="238"/>
      <c r="BT402" s="238"/>
      <c r="BU402" s="238"/>
      <c r="BV402" s="238"/>
      <c r="BW402" s="238"/>
      <c r="BX402" s="236"/>
      <c r="BY402" s="238"/>
      <c r="BZ402" s="238"/>
      <c r="CA402" s="238"/>
      <c r="CB402" s="238"/>
      <c r="CC402" s="238"/>
      <c r="CD402" s="238" t="s">
        <v>899</v>
      </c>
      <c r="CE402" s="238"/>
      <c r="CF402" s="238"/>
      <c r="CG402" s="244"/>
      <c r="CH402" s="238"/>
      <c r="CI402" s="238"/>
      <c r="CJ402" s="238"/>
      <c r="CK402" s="238"/>
      <c r="CL402" s="238"/>
      <c r="CM402" s="238"/>
      <c r="CN402" s="238"/>
      <c r="CO402" s="238"/>
      <c r="CP402" s="238"/>
      <c r="CQ402" s="238"/>
      <c r="CR402" s="238"/>
      <c r="CS402" s="238"/>
      <c r="CT402" s="238"/>
      <c r="CU402" s="238"/>
      <c r="CV402" s="238"/>
      <c r="CW402" s="238"/>
      <c r="CX402" s="238"/>
      <c r="CY402" s="238"/>
      <c r="CZ402" s="238"/>
      <c r="DA402" s="238"/>
      <c r="DB402" s="238"/>
      <c r="DC402" s="238"/>
      <c r="DD402" s="238"/>
      <c r="DE402" s="238"/>
      <c r="DF402" s="238"/>
      <c r="DG402" s="238"/>
      <c r="DH402" s="238"/>
      <c r="DI402" s="238"/>
      <c r="DJ402" s="238"/>
      <c r="DK402" s="238"/>
      <c r="DL402" s="238"/>
      <c r="DM402" s="238"/>
      <c r="DN402" s="238"/>
      <c r="DO402" s="238"/>
      <c r="DP402" s="238"/>
      <c r="DQ402" s="238"/>
      <c r="DR402" s="238"/>
      <c r="DS402" s="238"/>
      <c r="DT402" s="238"/>
      <c r="DU402" s="238"/>
      <c r="DV402" s="238"/>
      <c r="DW402" s="238"/>
      <c r="DX402" s="238"/>
      <c r="DY402" s="238"/>
      <c r="DZ402" s="238"/>
      <c r="EA402" s="238"/>
      <c r="EB402" s="238"/>
      <c r="EC402" s="238"/>
      <c r="ED402" s="238"/>
      <c r="EE402" s="238"/>
      <c r="EF402" s="238"/>
      <c r="EG402" s="238"/>
      <c r="EH402" s="238"/>
      <c r="EI402" s="238"/>
      <c r="EJ402" s="238"/>
      <c r="EK402" s="238"/>
      <c r="EL402" s="238"/>
      <c r="EM402" s="238"/>
      <c r="EN402" s="238"/>
      <c r="EO402" s="238"/>
      <c r="EP402" s="238"/>
      <c r="EQ402" s="238"/>
      <c r="ER402" s="238"/>
      <c r="ES402" s="238"/>
      <c r="ET402" s="244"/>
      <c r="EU402" s="238"/>
      <c r="EV402" s="238"/>
      <c r="EW402" s="238"/>
      <c r="EX402" s="238"/>
      <c r="EY402" s="238"/>
      <c r="EZ402" s="238"/>
      <c r="FA402" s="238"/>
      <c r="FB402" s="238"/>
      <c r="FC402" s="238"/>
      <c r="FD402" s="238"/>
      <c r="FE402" s="238"/>
      <c r="FF402" s="238"/>
      <c r="FG402" s="238"/>
      <c r="FH402" s="238"/>
      <c r="FI402" s="238"/>
      <c r="FJ402" s="238"/>
      <c r="FK402" s="238"/>
      <c r="FL402" s="238"/>
      <c r="FM402" s="238"/>
      <c r="FN402" s="238"/>
      <c r="FO402" s="244"/>
      <c r="FP402" s="238"/>
      <c r="FQ402" s="238"/>
      <c r="FR402" s="238"/>
      <c r="FS402" s="238"/>
      <c r="FT402" s="238"/>
      <c r="FU402" s="238"/>
      <c r="FV402" s="238"/>
      <c r="FW402" s="238"/>
      <c r="FX402" s="238"/>
      <c r="FY402" s="238"/>
      <c r="FZ402" s="238"/>
      <c r="GA402" s="238"/>
      <c r="GB402" s="238"/>
      <c r="GC402" s="238"/>
      <c r="GD402" s="341"/>
      <c r="GE402" s="340"/>
      <c r="GF402" s="340"/>
      <c r="GG402" s="340"/>
      <c r="GH402" s="340"/>
      <c r="GI402" s="340"/>
      <c r="GJ402" s="340"/>
      <c r="GK402" s="340"/>
      <c r="GL402" s="340"/>
      <c r="GM402" s="340"/>
      <c r="GN402" s="340"/>
      <c r="GO402" s="340"/>
      <c r="GP402" s="340"/>
      <c r="GQ402" s="340"/>
      <c r="GR402" s="340"/>
      <c r="GS402" s="340"/>
      <c r="GT402" s="340"/>
      <c r="GU402" s="340"/>
      <c r="GV402" s="340"/>
      <c r="GW402" s="340"/>
      <c r="GX402" s="340"/>
      <c r="GY402" s="340"/>
      <c r="GZ402" s="340"/>
      <c r="HA402" s="340"/>
      <c r="HB402" s="340"/>
      <c r="HC402" s="340"/>
      <c r="HD402" s="341"/>
      <c r="HE402" s="341"/>
      <c r="HF402" s="341"/>
      <c r="HG402" s="341"/>
      <c r="HH402" s="341"/>
      <c r="HI402" s="341"/>
      <c r="HJ402" s="341"/>
      <c r="HK402" s="341"/>
      <c r="HL402" s="341"/>
      <c r="HM402" s="341"/>
      <c r="HN402" s="341"/>
      <c r="HO402" s="341"/>
      <c r="HP402" s="341"/>
      <c r="HQ402" s="341"/>
      <c r="HR402" s="341"/>
      <c r="HS402" s="238"/>
      <c r="HT402" s="238"/>
      <c r="HU402" s="238"/>
      <c r="HV402" s="238"/>
      <c r="HX402" s="238"/>
      <c r="HY402" s="238"/>
      <c r="ID402" s="238"/>
    </row>
    <row r="403" spans="1:238" s="234" customFormat="1" ht="20.100000000000001" customHeight="1">
      <c r="A403" s="235"/>
      <c r="B403" s="316"/>
      <c r="C403" s="317"/>
      <c r="D403" s="317"/>
      <c r="E403" s="318"/>
      <c r="F403" s="318"/>
      <c r="G403" s="318"/>
      <c r="H403" s="318"/>
      <c r="I403" s="318"/>
      <c r="J403" s="318"/>
      <c r="K403" s="319"/>
      <c r="L403" s="319"/>
      <c r="M403" s="319"/>
      <c r="N403" s="319"/>
      <c r="O403" s="319"/>
      <c r="P403" s="320"/>
      <c r="Q403" s="319"/>
      <c r="R403" s="317"/>
      <c r="S403" s="318"/>
      <c r="T403" s="318"/>
      <c r="U403" s="318"/>
      <c r="V403" s="318"/>
      <c r="W403" s="318"/>
      <c r="X403" s="318"/>
      <c r="Y403" s="318"/>
      <c r="Z403" s="321"/>
      <c r="AD403" s="235"/>
      <c r="AE403" s="237"/>
      <c r="AF403" s="237"/>
      <c r="AG403" s="237"/>
      <c r="AH403" s="237" t="s">
        <v>921</v>
      </c>
      <c r="AI403" s="237" t="s">
        <v>922</v>
      </c>
      <c r="AJ403" s="298" t="str">
        <f>IF(BS403="","",SUM(AM403)*3)</f>
        <v/>
      </c>
      <c r="AK403" s="299" t="s">
        <v>923</v>
      </c>
      <c r="AL403" s="256"/>
      <c r="AM403" s="256" t="str">
        <f>IF(BS403="","",SUM(BS403))</f>
        <v/>
      </c>
      <c r="AN403" s="235"/>
      <c r="AO403" s="235"/>
      <c r="AP403" s="236"/>
      <c r="AQ403" s="235"/>
      <c r="AR403" s="235"/>
      <c r="AS403" s="237"/>
      <c r="AT403" s="237"/>
      <c r="AU403" s="237"/>
      <c r="AV403" s="237" t="s">
        <v>921</v>
      </c>
      <c r="AW403" s="237" t="s">
        <v>922</v>
      </c>
      <c r="AX403" s="298" t="str">
        <f>IF(BS403="","",SUM(BA403)*3)</f>
        <v/>
      </c>
      <c r="AY403" s="299" t="s">
        <v>923</v>
      </c>
      <c r="AZ403" s="256"/>
      <c r="BA403" s="256" t="str">
        <f>IF(BS403="","",SUM(CF403))</f>
        <v/>
      </c>
      <c r="BB403" s="236"/>
      <c r="BC403" s="236"/>
      <c r="BD403" s="236"/>
      <c r="BE403" s="236"/>
      <c r="BF403" s="236"/>
      <c r="BG403" s="236"/>
      <c r="BH403" s="236"/>
      <c r="BI403" s="236"/>
      <c r="BJ403" s="236"/>
      <c r="BK403" s="373">
        <f>IF(AL391=BQ403,1,0)</f>
        <v>0</v>
      </c>
      <c r="BL403" s="373">
        <f>IF(AL391=CD403,1,0)</f>
        <v>0</v>
      </c>
      <c r="BM403" s="256">
        <f>IF(BN403&gt;2,1,0)</f>
        <v>0</v>
      </c>
      <c r="BN403" s="256">
        <f>COUNT(AH394,AH395,AH396)</f>
        <v>0</v>
      </c>
      <c r="BO403" s="256" t="str">
        <f>IF(AH400="","",SUM(AH400/AJ400))</f>
        <v/>
      </c>
      <c r="BP403" s="256"/>
      <c r="BQ403" s="300">
        <f>COUNT(AK394,AK395,AK396,AK397,AK398)</f>
        <v>0</v>
      </c>
      <c r="BR403" s="256"/>
      <c r="BS403" s="256" t="str">
        <f>IF(BL400=0,IF(AJ395="","",BO403),"")</f>
        <v/>
      </c>
      <c r="BT403" s="236"/>
      <c r="BU403" s="236"/>
      <c r="BV403" s="236"/>
      <c r="BW403" s="236"/>
      <c r="BX403" s="236"/>
      <c r="BY403" s="256">
        <f>IF(CD403&gt;2,1,0)</f>
        <v>0</v>
      </c>
      <c r="BZ403" s="256">
        <f>IF(CA403&gt;2,1,0)</f>
        <v>0</v>
      </c>
      <c r="CA403" s="256">
        <f>COUNT(AV394,AV395,AV396)</f>
        <v>0</v>
      </c>
      <c r="CB403" s="256" t="str">
        <f>IF(AV400="","",SUM(AV400/AX400))</f>
        <v/>
      </c>
      <c r="CC403" s="256"/>
      <c r="CD403" s="300">
        <f>COUNT(AY394,AY395,AY396,AY397,AY398)</f>
        <v>0</v>
      </c>
      <c r="CE403" s="256"/>
      <c r="CF403" s="256" t="str">
        <f>IF(BL400=0,IF(AX395="","",CB403),"")</f>
        <v/>
      </c>
      <c r="CG403" s="236"/>
      <c r="CH403" s="188"/>
      <c r="CI403" s="188"/>
      <c r="CJ403" s="196"/>
      <c r="CK403" s="196"/>
      <c r="CL403" s="196"/>
      <c r="CM403" s="196"/>
      <c r="CN403" s="196"/>
      <c r="CO403" s="196"/>
      <c r="CP403" s="196"/>
      <c r="CQ403" s="196"/>
      <c r="CR403" s="196"/>
      <c r="CS403" s="196"/>
      <c r="CT403" s="196"/>
      <c r="CU403" s="196"/>
      <c r="CV403" s="196"/>
      <c r="CW403" s="196"/>
      <c r="CX403" s="196"/>
      <c r="CY403" s="196"/>
      <c r="CZ403" s="196"/>
      <c r="DA403" s="196"/>
      <c r="DB403" s="196"/>
      <c r="DC403" s="196"/>
      <c r="DD403" s="196"/>
      <c r="DE403" s="196"/>
      <c r="DF403" s="196"/>
      <c r="DG403" s="196"/>
      <c r="DH403" s="196"/>
      <c r="DI403" s="196"/>
      <c r="DJ403" s="196"/>
      <c r="DK403" s="196"/>
      <c r="DL403" s="196"/>
      <c r="DM403" s="196"/>
      <c r="DN403" s="196"/>
      <c r="DO403" s="196"/>
      <c r="DP403" s="196"/>
      <c r="DQ403" s="196"/>
      <c r="DR403" s="196"/>
      <c r="DS403" s="196"/>
      <c r="DT403" s="196"/>
      <c r="DU403" s="196"/>
      <c r="DV403" s="196"/>
      <c r="DW403" s="196"/>
      <c r="DX403" s="196"/>
      <c r="DY403" s="196"/>
      <c r="DZ403" s="196"/>
      <c r="EA403" s="196"/>
      <c r="EB403" s="196"/>
      <c r="EC403" s="196"/>
      <c r="ED403" s="196"/>
      <c r="EE403" s="196"/>
      <c r="EF403" s="196"/>
      <c r="EG403" s="196"/>
      <c r="EH403" s="196"/>
      <c r="EI403" s="196"/>
      <c r="EJ403" s="196"/>
      <c r="EK403" s="196"/>
      <c r="EL403" s="196"/>
      <c r="EM403" s="196"/>
      <c r="EN403" s="196"/>
      <c r="EO403" s="196"/>
      <c r="EP403" s="196"/>
      <c r="EQ403" s="196"/>
      <c r="ER403" s="196"/>
      <c r="ES403" s="196"/>
      <c r="ET403" s="301"/>
      <c r="EU403" s="196"/>
      <c r="EV403" s="196"/>
      <c r="EW403" s="196"/>
      <c r="EX403" s="196"/>
      <c r="EY403" s="196"/>
      <c r="EZ403" s="196"/>
      <c r="FA403" s="196"/>
      <c r="FB403" s="196"/>
      <c r="FC403" s="196"/>
      <c r="FD403" s="196"/>
      <c r="FE403" s="196"/>
      <c r="FF403" s="196"/>
      <c r="FG403" s="196"/>
      <c r="FH403" s="196"/>
      <c r="FI403" s="196"/>
      <c r="FJ403" s="196"/>
      <c r="FK403" s="196"/>
      <c r="FL403" s="196"/>
      <c r="FM403" s="196"/>
      <c r="FN403" s="196"/>
      <c r="FO403" s="301"/>
      <c r="FP403" s="196"/>
      <c r="FQ403" s="196"/>
      <c r="FR403" s="196"/>
      <c r="FS403" s="196"/>
      <c r="FT403" s="196"/>
      <c r="FU403" s="196"/>
      <c r="FV403" s="196"/>
      <c r="FW403" s="196"/>
      <c r="FX403" s="196"/>
      <c r="FY403" s="196"/>
      <c r="FZ403" s="196"/>
      <c r="GA403" s="196"/>
      <c r="GB403" s="238"/>
      <c r="GC403" s="238"/>
      <c r="GD403" s="341"/>
      <c r="GE403" s="341"/>
      <c r="GF403" s="341"/>
      <c r="GG403" s="341"/>
      <c r="GH403" s="341"/>
      <c r="GI403" s="341"/>
      <c r="GJ403" s="341"/>
      <c r="GK403" s="341"/>
      <c r="GL403" s="341"/>
      <c r="GM403" s="341"/>
      <c r="GN403" s="341"/>
      <c r="GO403" s="341"/>
      <c r="GP403" s="341"/>
      <c r="GQ403" s="341"/>
      <c r="GR403" s="341"/>
      <c r="GS403" s="341"/>
      <c r="GT403" s="341"/>
      <c r="GU403" s="341"/>
      <c r="GV403" s="341"/>
      <c r="GW403" s="341"/>
      <c r="GX403" s="341"/>
      <c r="GY403" s="341"/>
      <c r="GZ403" s="341"/>
      <c r="HA403" s="341"/>
      <c r="HB403" s="341"/>
      <c r="HC403" s="341"/>
      <c r="HD403" s="341"/>
      <c r="HE403" s="341"/>
      <c r="HF403" s="341"/>
      <c r="HG403" s="341"/>
      <c r="HH403" s="341"/>
      <c r="HI403" s="341"/>
      <c r="HJ403" s="341"/>
      <c r="HK403" s="341"/>
      <c r="HL403" s="341"/>
      <c r="HM403" s="341"/>
      <c r="HN403" s="341"/>
      <c r="HO403" s="341"/>
      <c r="HP403" s="341"/>
      <c r="HQ403" s="341"/>
      <c r="HR403" s="341"/>
      <c r="HS403" s="238"/>
      <c r="HT403" s="238"/>
      <c r="HU403" s="238"/>
      <c r="HV403" s="238"/>
      <c r="HX403" s="238"/>
      <c r="HY403" s="238"/>
      <c r="ID403" s="238"/>
    </row>
    <row r="404" spans="1:238" ht="14.1" customHeight="1">
      <c r="B404" s="214"/>
      <c r="C404" s="171"/>
      <c r="D404" s="171"/>
      <c r="E404" s="171"/>
      <c r="F404" s="171"/>
      <c r="G404" s="171"/>
      <c r="H404" s="171"/>
      <c r="I404" s="171"/>
      <c r="J404" s="171"/>
      <c r="K404" s="171"/>
      <c r="L404" s="171"/>
      <c r="M404" s="171"/>
      <c r="N404" s="171"/>
      <c r="O404" s="171"/>
      <c r="P404" s="171"/>
      <c r="Q404" s="171"/>
      <c r="R404" s="171"/>
      <c r="S404" s="171"/>
      <c r="T404" s="171"/>
      <c r="U404" s="171"/>
      <c r="V404" s="171"/>
      <c r="W404" s="171"/>
      <c r="X404" s="171"/>
      <c r="Y404" s="171"/>
      <c r="Z404" s="302"/>
      <c r="AA404" s="215"/>
      <c r="AB404" s="215"/>
      <c r="AC404" s="215"/>
      <c r="AD404" s="215"/>
      <c r="AE404" s="215"/>
      <c r="AF404" s="215"/>
      <c r="BB404" s="215"/>
      <c r="BC404" s="215"/>
      <c r="BD404" s="215"/>
      <c r="BE404" s="215"/>
      <c r="BF404" s="215"/>
      <c r="BG404" s="215"/>
      <c r="BH404" s="215"/>
      <c r="GD404" s="339"/>
      <c r="GE404" s="339"/>
      <c r="GF404" s="339"/>
      <c r="GG404" s="339"/>
      <c r="GH404" s="339"/>
      <c r="GI404" s="339"/>
      <c r="GJ404" s="339"/>
      <c r="GK404" s="339"/>
      <c r="GL404" s="339"/>
      <c r="GM404" s="339"/>
      <c r="GN404" s="339"/>
      <c r="GO404" s="339"/>
      <c r="GP404" s="339"/>
      <c r="GQ404" s="339"/>
      <c r="GR404" s="339"/>
      <c r="GS404" s="339"/>
      <c r="GT404" s="339"/>
      <c r="GU404" s="339"/>
      <c r="GV404" s="339"/>
      <c r="GW404" s="339"/>
      <c r="GX404" s="339"/>
      <c r="GY404" s="339"/>
      <c r="GZ404" s="339"/>
      <c r="HA404" s="339"/>
      <c r="HB404" s="339"/>
      <c r="HC404" s="339"/>
      <c r="HD404" s="339"/>
      <c r="HE404" s="339"/>
      <c r="HF404" s="339"/>
      <c r="HG404" s="339"/>
      <c r="HH404" s="339"/>
      <c r="HI404" s="339"/>
      <c r="HJ404" s="339"/>
      <c r="HK404" s="339"/>
      <c r="HL404" s="339"/>
      <c r="HM404" s="339"/>
      <c r="HN404" s="339"/>
      <c r="HO404" s="339"/>
      <c r="HP404" s="339"/>
      <c r="HQ404" s="339"/>
      <c r="HR404" s="339"/>
    </row>
    <row r="405" spans="1:238" ht="24" customHeight="1">
      <c r="B405" s="216"/>
      <c r="C405" s="181"/>
      <c r="D405" s="181"/>
      <c r="E405" s="181"/>
      <c r="F405" s="181"/>
      <c r="G405" s="181"/>
      <c r="H405" s="181"/>
      <c r="I405" s="181"/>
      <c r="J405" s="181"/>
      <c r="K405" s="185"/>
      <c r="L405" s="217"/>
      <c r="M405" s="218"/>
      <c r="N405" s="327" t="str">
        <f>CONCATENATE(AG405," ",AH405)</f>
        <v>Spiel 29</v>
      </c>
      <c r="O405" s="218"/>
      <c r="P405" s="219"/>
      <c r="Q405" s="185"/>
      <c r="R405" s="181"/>
      <c r="S405" s="181"/>
      <c r="T405" s="181"/>
      <c r="U405" s="181"/>
      <c r="V405" s="181"/>
      <c r="W405" s="181"/>
      <c r="X405" s="181"/>
      <c r="Y405" s="181"/>
      <c r="Z405" s="303"/>
      <c r="AA405" s="200" t="str">
        <f>IF(AH405="",10,"")</f>
        <v/>
      </c>
      <c r="AB405" s="200"/>
      <c r="AC405" s="200"/>
      <c r="AD405" s="200"/>
      <c r="AE405" s="200"/>
      <c r="AF405" s="200"/>
      <c r="AG405" s="200" t="s">
        <v>863</v>
      </c>
      <c r="AH405" s="220">
        <f>IF('Heimmannschaft MAISON'!$A$1=3,"",IF('Heimmannschaft MAISON'!$A$1=1,29,29))</f>
        <v>29</v>
      </c>
      <c r="AI405" s="173">
        <f>IF(AH405="","",VLOOKUP(AH405,Chema!R:T,3,FALSE))</f>
        <v>4.0999999999999996</v>
      </c>
      <c r="AJ405" s="200" t="str">
        <f>VLOOKUP(AH405,Chema!BL:BQ,6,FALSE)</f>
        <v>4.1*</v>
      </c>
      <c r="AK405" s="200" t="str">
        <f>IF(AH405="","",VLOOKUP(AH405,'Matchblatt  FEUILLE DE MATCH'!AI:AJ,2,FALSE))</f>
        <v>D</v>
      </c>
      <c r="AL405" s="200">
        <f>IF(AH405="","",VLOOKUP(AH405,Chema!R:U,4,FALSE))</f>
        <v>3</v>
      </c>
      <c r="AM405" s="215" t="str">
        <f>IF(AH405="","",VLOOKUP(AH405,'Matchblatt  FEUILLE DE MATCH'!AI:AS,10,FALSE))</f>
        <v/>
      </c>
      <c r="AN405" s="215"/>
      <c r="AO405" s="215"/>
      <c r="AP405" s="215"/>
      <c r="AQ405" s="215"/>
      <c r="AR405" s="215"/>
      <c r="AS405" s="215"/>
      <c r="AT405" s="215"/>
      <c r="AU405" s="215"/>
      <c r="AV405" s="215"/>
      <c r="AW405" s="215"/>
      <c r="AX405" s="215"/>
      <c r="AY405" s="215"/>
      <c r="AZ405" s="215"/>
      <c r="BA405" s="215" t="str">
        <f>IF(AH405="","",VLOOKUP(AH405,'Matchblatt  FEUILLE DE MATCH'!AI:AS,11,FALSE))</f>
        <v/>
      </c>
      <c r="BB405" s="200"/>
      <c r="BC405" s="200"/>
      <c r="BD405" s="200"/>
      <c r="BE405" s="200"/>
      <c r="BF405" s="200"/>
      <c r="BG405" s="200"/>
      <c r="BH405" s="200"/>
      <c r="BK405" s="196"/>
      <c r="BL405" s="196"/>
      <c r="BM405" s="196"/>
      <c r="BN405" s="196"/>
      <c r="BO405" s="196"/>
      <c r="BP405" s="196"/>
      <c r="BQ405" s="221" t="s">
        <v>843</v>
      </c>
      <c r="BR405" s="222"/>
      <c r="BS405" s="222"/>
      <c r="BT405" s="223"/>
      <c r="BU405" s="222" t="s">
        <v>843</v>
      </c>
      <c r="BV405" s="222"/>
      <c r="BW405" s="222"/>
      <c r="BX405" s="224"/>
      <c r="BY405" s="222"/>
      <c r="BZ405" s="222"/>
      <c r="CA405" s="222"/>
      <c r="CB405" s="222"/>
      <c r="CC405" s="222"/>
      <c r="CD405" s="222"/>
      <c r="CE405" s="222"/>
      <c r="CF405" s="222"/>
      <c r="CG405" s="224"/>
      <c r="CH405" s="222"/>
      <c r="CI405" s="222"/>
      <c r="CJ405" s="223"/>
      <c r="CK405" s="196"/>
      <c r="CL405" s="196"/>
      <c r="CM405" s="196"/>
      <c r="CN405" s="196"/>
      <c r="CO405" s="196"/>
      <c r="CP405" s="196"/>
      <c r="CQ405" s="196"/>
      <c r="CR405" s="196"/>
      <c r="CS405" s="196"/>
      <c r="CT405" s="196"/>
      <c r="CU405" s="196"/>
      <c r="CV405" s="196"/>
      <c r="CW405" s="196"/>
      <c r="CX405" s="196"/>
      <c r="CY405" s="196"/>
      <c r="CZ405" s="196"/>
      <c r="DA405" s="196"/>
      <c r="DB405" s="196"/>
      <c r="DC405" s="196"/>
      <c r="DD405" s="196"/>
      <c r="DE405" s="196"/>
      <c r="DF405" s="196"/>
      <c r="DG405" s="196"/>
      <c r="DH405" s="196"/>
      <c r="DI405" s="196"/>
      <c r="DJ405" s="196"/>
      <c r="DK405" s="196"/>
      <c r="DL405" s="196"/>
      <c r="DM405" s="196"/>
      <c r="DN405" s="196"/>
      <c r="DO405" s="196"/>
      <c r="DP405" s="196"/>
      <c r="DQ405" s="196"/>
      <c r="DR405" s="196"/>
      <c r="DS405" s="196"/>
      <c r="DT405" s="196"/>
      <c r="DU405" s="196"/>
      <c r="DV405" s="196"/>
      <c r="DW405" s="196"/>
      <c r="DX405" s="196"/>
      <c r="DY405" s="196"/>
      <c r="DZ405" s="196"/>
      <c r="EA405" s="196"/>
      <c r="EB405" s="196"/>
      <c r="EC405" s="196"/>
      <c r="ED405" s="196"/>
      <c r="EE405" s="196"/>
      <c r="EF405" s="196"/>
      <c r="EG405" s="196"/>
      <c r="EH405" s="196"/>
      <c r="EI405" s="196"/>
      <c r="EJ405" s="196"/>
      <c r="EK405" s="196"/>
      <c r="EL405" s="196"/>
      <c r="EM405" s="221" t="s">
        <v>7</v>
      </c>
      <c r="EN405" s="222"/>
      <c r="EO405" s="222"/>
      <c r="EP405" s="222"/>
      <c r="EQ405" s="222"/>
      <c r="ER405" s="222"/>
      <c r="ES405" s="222"/>
      <c r="ET405" s="224"/>
      <c r="EU405" s="222"/>
      <c r="EV405" s="222"/>
      <c r="EW405" s="222"/>
      <c r="EX405" s="222"/>
      <c r="EY405" s="222"/>
      <c r="EZ405" s="222"/>
      <c r="FA405" s="222"/>
      <c r="FB405" s="222"/>
      <c r="FC405" s="222"/>
      <c r="FD405" s="222"/>
      <c r="FE405" s="223"/>
      <c r="FF405" s="196"/>
      <c r="FG405" s="196"/>
      <c r="FH405" s="221" t="s">
        <v>12</v>
      </c>
      <c r="FI405" s="222"/>
      <c r="FJ405" s="222"/>
      <c r="FK405" s="222"/>
      <c r="FL405" s="222"/>
      <c r="FM405" s="222"/>
      <c r="FN405" s="222"/>
      <c r="FO405" s="224"/>
      <c r="FP405" s="222"/>
      <c r="FQ405" s="222"/>
      <c r="FR405" s="222"/>
      <c r="FS405" s="222"/>
      <c r="FT405" s="222"/>
      <c r="FU405" s="222"/>
      <c r="FV405" s="222"/>
      <c r="FW405" s="222"/>
      <c r="FX405" s="222"/>
      <c r="FY405" s="222"/>
      <c r="FZ405" s="223"/>
      <c r="GA405" s="196"/>
      <c r="GD405" s="339"/>
      <c r="GE405" s="339"/>
      <c r="GF405" s="339"/>
      <c r="GG405" s="339"/>
      <c r="GH405" s="339"/>
      <c r="GI405" s="339"/>
      <c r="GJ405" s="339"/>
      <c r="GK405" s="339"/>
      <c r="GL405" s="339"/>
      <c r="GM405" s="339"/>
      <c r="GN405" s="339"/>
      <c r="GO405" s="339"/>
      <c r="GP405" s="339"/>
      <c r="GQ405" s="339"/>
      <c r="GR405" s="339"/>
      <c r="GS405" s="339"/>
      <c r="GT405" s="339"/>
      <c r="GU405" s="339"/>
      <c r="GV405" s="339"/>
      <c r="GW405" s="339"/>
      <c r="GX405" s="339"/>
      <c r="GY405" s="339"/>
      <c r="GZ405" s="339"/>
      <c r="HA405" s="339"/>
      <c r="HB405" s="339"/>
      <c r="HC405" s="339"/>
      <c r="HD405" s="339"/>
      <c r="HE405" s="339"/>
      <c r="HF405" s="339"/>
      <c r="HG405" s="339"/>
      <c r="HH405" s="339"/>
      <c r="HI405" s="339"/>
      <c r="HJ405" s="339"/>
      <c r="HK405" s="339"/>
      <c r="HL405" s="339"/>
      <c r="HM405" s="339"/>
      <c r="HN405" s="339"/>
      <c r="HO405" s="339"/>
      <c r="HP405" s="339"/>
      <c r="HQ405" s="339"/>
      <c r="HR405" s="339"/>
    </row>
    <row r="406" spans="1:238" ht="14.1" customHeight="1">
      <c r="B406" s="225"/>
      <c r="C406" s="304"/>
      <c r="D406" s="304"/>
      <c r="E406" s="304"/>
      <c r="F406" s="304"/>
      <c r="G406" s="304"/>
      <c r="H406" s="304"/>
      <c r="I406" s="304"/>
      <c r="J406" s="304"/>
      <c r="K406" s="166"/>
      <c r="L406" s="166"/>
      <c r="M406" s="166"/>
      <c r="N406" s="304"/>
      <c r="O406" s="304"/>
      <c r="P406" s="166"/>
      <c r="Q406" s="166"/>
      <c r="R406" s="304"/>
      <c r="S406" s="304"/>
      <c r="T406" s="304"/>
      <c r="U406" s="304"/>
      <c r="V406" s="304"/>
      <c r="W406" s="304"/>
      <c r="X406" s="166"/>
      <c r="Y406" s="166"/>
      <c r="Z406" s="305"/>
      <c r="AA406" s="63"/>
      <c r="AB406" s="63"/>
      <c r="AC406" s="63"/>
      <c r="AD406" s="63"/>
      <c r="AE406" s="63"/>
      <c r="AF406" s="63"/>
      <c r="AJ406" s="173" t="str">
        <f>VLOOKUP(AH405,Chema!BL:BR,7,FALSE)</f>
        <v>4.1.2</v>
      </c>
      <c r="AL406" s="200"/>
      <c r="AM406" s="200" t="str">
        <f>IF(AK405="D",VLOOKUP(AJ406,'Matchblatt  FEUILLE DE MATCH'!AK:AS,8,FALSE),"")</f>
        <v/>
      </c>
      <c r="AN406" s="200"/>
      <c r="AO406" s="200"/>
      <c r="AP406" s="200"/>
      <c r="AQ406" s="200"/>
      <c r="AR406" s="200"/>
      <c r="AS406" s="200"/>
      <c r="AT406" s="200"/>
      <c r="AU406" s="200"/>
      <c r="AV406" s="200"/>
      <c r="AW406" s="200"/>
      <c r="AX406" s="200"/>
      <c r="AY406" s="200"/>
      <c r="AZ406" s="200"/>
      <c r="BA406" s="200" t="str">
        <f>IF(AK405="D",VLOOKUP(AJ406,'Matchblatt  FEUILLE DE MATCH'!AK:AS,9,FALSE),"")</f>
        <v/>
      </c>
      <c r="BB406" s="63"/>
      <c r="BC406" s="63"/>
      <c r="BD406" s="63"/>
      <c r="BE406" s="63"/>
      <c r="BF406" s="63"/>
      <c r="BG406" s="63"/>
      <c r="BH406" s="63"/>
      <c r="BK406" s="166" t="s">
        <v>7</v>
      </c>
      <c r="BL406" s="166" t="s">
        <v>12</v>
      </c>
      <c r="BM406" s="166"/>
      <c r="BN406" s="166" t="s">
        <v>7</v>
      </c>
      <c r="BO406" s="166" t="s">
        <v>12</v>
      </c>
      <c r="BP406" s="166"/>
      <c r="BQ406" s="226" t="s">
        <v>894</v>
      </c>
      <c r="BR406" s="227" t="s">
        <v>895</v>
      </c>
      <c r="BS406" s="228" t="s">
        <v>896</v>
      </c>
      <c r="BT406" s="229"/>
      <c r="BU406" s="226" t="s">
        <v>7</v>
      </c>
      <c r="BV406" s="166"/>
      <c r="BW406" s="166"/>
      <c r="BX406" s="230"/>
      <c r="BY406" s="166"/>
      <c r="BZ406" s="166"/>
      <c r="CA406" s="227"/>
      <c r="CB406" s="166"/>
      <c r="CC406" s="166"/>
      <c r="CD406" s="226" t="s">
        <v>12</v>
      </c>
      <c r="CE406" s="166"/>
      <c r="CF406" s="166"/>
      <c r="CG406" s="230"/>
      <c r="CH406" s="166"/>
      <c r="CI406" s="166"/>
      <c r="CJ406" s="227"/>
      <c r="CK406" s="166"/>
      <c r="CL406" s="166" t="s">
        <v>897</v>
      </c>
      <c r="CM406" s="166"/>
      <c r="CN406" s="166"/>
      <c r="CO406" s="166"/>
      <c r="CP406" s="166"/>
      <c r="CQ406" s="166"/>
      <c r="CR406" s="166"/>
      <c r="CS406" s="166"/>
      <c r="CT406" s="166"/>
      <c r="CU406" s="166" t="s">
        <v>843</v>
      </c>
      <c r="CV406" s="166"/>
      <c r="CW406" s="166" t="s">
        <v>843</v>
      </c>
      <c r="CX406" s="166"/>
      <c r="CY406" s="166"/>
      <c r="CZ406" s="166"/>
      <c r="DA406" s="166"/>
      <c r="DB406" s="166"/>
      <c r="DC406" s="166"/>
      <c r="DD406" s="166" t="s">
        <v>894</v>
      </c>
      <c r="DE406" s="166" t="s">
        <v>895</v>
      </c>
      <c r="DF406" s="166"/>
      <c r="DG406" s="166" t="s">
        <v>927</v>
      </c>
      <c r="DH406" s="166"/>
      <c r="DI406" s="166"/>
      <c r="DJ406" s="166"/>
      <c r="DK406" s="166"/>
      <c r="DL406" s="166"/>
      <c r="DM406" s="166"/>
      <c r="DN406" s="166" t="s">
        <v>928</v>
      </c>
      <c r="DO406" s="166" t="s">
        <v>929</v>
      </c>
      <c r="DP406" s="166"/>
      <c r="DQ406" s="166"/>
      <c r="DR406" s="166"/>
      <c r="DS406" s="166"/>
      <c r="DT406" s="166"/>
      <c r="DU406" s="166"/>
      <c r="DV406" s="166" t="s">
        <v>894</v>
      </c>
      <c r="DW406" s="166" t="s">
        <v>895</v>
      </c>
      <c r="DX406" s="166"/>
      <c r="DY406" s="166"/>
      <c r="DZ406" s="166"/>
      <c r="EA406" s="166"/>
      <c r="EB406" s="166"/>
      <c r="EC406" s="166"/>
      <c r="ED406" s="166" t="s">
        <v>894</v>
      </c>
      <c r="EE406" s="166" t="s">
        <v>895</v>
      </c>
      <c r="EF406" s="166"/>
      <c r="EG406" s="166"/>
      <c r="EH406" s="166"/>
      <c r="EI406" s="166"/>
      <c r="EJ406" s="166"/>
      <c r="EK406" s="166"/>
      <c r="EL406" s="166"/>
      <c r="EM406" s="166"/>
      <c r="EN406" s="166"/>
      <c r="EO406" s="166"/>
      <c r="EP406" s="166"/>
      <c r="EQ406" s="166"/>
      <c r="ER406" s="166"/>
      <c r="ES406" s="166"/>
      <c r="ET406" s="230"/>
      <c r="EU406" s="166"/>
      <c r="EV406" s="166"/>
      <c r="EW406" s="166"/>
      <c r="EX406" s="166"/>
      <c r="EY406" s="166"/>
      <c r="EZ406" s="166"/>
      <c r="FA406" s="166"/>
      <c r="FB406" s="166"/>
      <c r="FC406" s="166"/>
      <c r="FD406" s="166"/>
      <c r="FE406" s="166"/>
      <c r="FF406" s="166"/>
      <c r="FG406" s="166"/>
      <c r="FH406" s="166"/>
      <c r="FI406" s="166"/>
      <c r="FJ406" s="166"/>
      <c r="FK406" s="166"/>
      <c r="FL406" s="166"/>
      <c r="FM406" s="166"/>
      <c r="FN406" s="166"/>
      <c r="FO406" s="230"/>
      <c r="FP406" s="166"/>
      <c r="FQ406" s="166"/>
      <c r="FR406" s="166"/>
      <c r="FS406" s="166"/>
      <c r="FT406" s="166"/>
      <c r="FU406" s="166"/>
      <c r="FV406" s="166"/>
      <c r="FW406" s="166"/>
      <c r="FX406" s="166"/>
      <c r="FY406" s="166"/>
      <c r="FZ406" s="166"/>
      <c r="GA406" s="166"/>
      <c r="GD406" s="339"/>
      <c r="GE406" s="339"/>
      <c r="GF406" s="339"/>
      <c r="GG406" s="339"/>
      <c r="GH406" s="339"/>
      <c r="GI406" s="339"/>
      <c r="GJ406" s="339"/>
      <c r="GK406" s="339"/>
      <c r="GL406" s="339"/>
      <c r="GM406" s="339"/>
      <c r="GN406" s="339"/>
      <c r="GO406" s="339"/>
      <c r="GP406" s="339"/>
      <c r="GQ406" s="339"/>
      <c r="GR406" s="339"/>
      <c r="GS406" s="339"/>
      <c r="GT406" s="339"/>
      <c r="GU406" s="339"/>
      <c r="GV406" s="339"/>
      <c r="GW406" s="339"/>
      <c r="GX406" s="339"/>
      <c r="GY406" s="339"/>
      <c r="GZ406" s="339"/>
      <c r="HA406" s="339"/>
      <c r="HB406" s="339"/>
      <c r="HC406" s="339"/>
      <c r="HD406" s="339"/>
      <c r="HE406" s="339"/>
      <c r="HF406" s="339"/>
      <c r="HG406" s="339"/>
      <c r="HH406" s="339"/>
      <c r="HI406" s="339"/>
      <c r="HJ406" s="339"/>
      <c r="HK406" s="339"/>
      <c r="HL406" s="339"/>
      <c r="HM406" s="339"/>
      <c r="HN406" s="339"/>
      <c r="HO406" s="339"/>
      <c r="HP406" s="339"/>
      <c r="HQ406" s="339"/>
      <c r="HR406" s="339"/>
    </row>
    <row r="407" spans="1:238" s="234" customFormat="1" ht="20.100000000000001" customHeight="1">
      <c r="A407" s="235"/>
      <c r="B407" s="231"/>
      <c r="C407" s="232" t="str">
        <f>REPT(Sprache!$K$12,1)</f>
        <v>SPIEL</v>
      </c>
      <c r="D407" s="233" t="s">
        <v>869</v>
      </c>
      <c r="E407" s="233" t="str">
        <f>REPT(Sprache!$K$62,1)</f>
        <v>Punkte</v>
      </c>
      <c r="F407" s="233" t="str">
        <f>REPT(Sprache!$K$61,1)</f>
        <v>Rest</v>
      </c>
      <c r="G407" s="233" t="s">
        <v>898</v>
      </c>
      <c r="H407" s="233" t="s">
        <v>848</v>
      </c>
      <c r="I407" s="233">
        <v>180</v>
      </c>
      <c r="J407" s="233" t="str">
        <f>REPT(Sprache!$K$63,1)</f>
        <v>Fehler</v>
      </c>
      <c r="L407" s="306" t="s">
        <v>923</v>
      </c>
      <c r="M407" s="307"/>
      <c r="P407" s="306" t="s">
        <v>923</v>
      </c>
      <c r="R407" s="232" t="str">
        <f>REPT(Sprache!$K$12,1)</f>
        <v>SPIEL</v>
      </c>
      <c r="S407" s="233" t="s">
        <v>869</v>
      </c>
      <c r="T407" s="233" t="str">
        <f>REPT(Sprache!$K$62,1)</f>
        <v>Punkte</v>
      </c>
      <c r="U407" s="233" t="str">
        <f>REPT(Sprache!$K$61,1)</f>
        <v>Rest</v>
      </c>
      <c r="V407" s="233" t="s">
        <v>898</v>
      </c>
      <c r="W407" s="233" t="s">
        <v>848</v>
      </c>
      <c r="X407" s="233">
        <v>180</v>
      </c>
      <c r="Y407" s="233" t="str">
        <f>REPT(Sprache!$K$63,1)</f>
        <v>Fehler</v>
      </c>
      <c r="Z407" s="308"/>
      <c r="AD407" s="235"/>
      <c r="AE407" s="236" t="s">
        <v>966</v>
      </c>
      <c r="AF407" s="236" t="s">
        <v>967</v>
      </c>
      <c r="AG407" s="236" t="s">
        <v>965</v>
      </c>
      <c r="AH407" s="237" t="str">
        <f>LEFT($BM$6,10)</f>
        <v/>
      </c>
      <c r="AI407" s="237" t="str">
        <f>LEFT($BN$6,10)</f>
        <v/>
      </c>
      <c r="AJ407" s="237" t="s">
        <v>898</v>
      </c>
      <c r="AK407" s="237" t="s">
        <v>848</v>
      </c>
      <c r="AL407" s="237">
        <v>180</v>
      </c>
      <c r="AM407" s="237" t="str">
        <f>LEFT($BL$6,50)</f>
        <v/>
      </c>
      <c r="AN407" s="235"/>
      <c r="AO407" s="235"/>
      <c r="AP407" s="235"/>
      <c r="AQ407" s="235"/>
      <c r="AR407" s="235"/>
      <c r="AS407" s="235"/>
      <c r="AT407" s="235"/>
      <c r="AU407" s="235"/>
      <c r="AV407" s="237" t="str">
        <f>LEFT($BM$6,10)</f>
        <v/>
      </c>
      <c r="AW407" s="237" t="str">
        <f>LEFT($BN$6,10)</f>
        <v/>
      </c>
      <c r="AX407" s="237" t="s">
        <v>898</v>
      </c>
      <c r="AY407" s="237" t="s">
        <v>848</v>
      </c>
      <c r="AZ407" s="237">
        <v>180</v>
      </c>
      <c r="BA407" s="237" t="str">
        <f>LEFT($BL$6,50)</f>
        <v/>
      </c>
      <c r="BI407" s="238"/>
      <c r="BJ407" s="238"/>
      <c r="BK407" s="238" t="s">
        <v>165</v>
      </c>
      <c r="BL407" s="238" t="s">
        <v>165</v>
      </c>
      <c r="BM407" s="239" t="s">
        <v>165</v>
      </c>
      <c r="BN407" s="239" t="s">
        <v>899</v>
      </c>
      <c r="BO407" s="239" t="s">
        <v>899</v>
      </c>
      <c r="BP407" s="239" t="s">
        <v>900</v>
      </c>
      <c r="BQ407" s="240" t="s">
        <v>901</v>
      </c>
      <c r="BR407" s="241"/>
      <c r="BS407" s="242" t="s">
        <v>926</v>
      </c>
      <c r="BT407" s="243"/>
      <c r="BU407" s="242" t="s">
        <v>902</v>
      </c>
      <c r="BV407" s="238"/>
      <c r="BW407" s="238"/>
      <c r="BX407" s="244"/>
      <c r="BY407" s="238"/>
      <c r="BZ407" s="238" t="s">
        <v>903</v>
      </c>
      <c r="CA407" s="243" t="s">
        <v>904</v>
      </c>
      <c r="CB407" s="238"/>
      <c r="CC407" s="238"/>
      <c r="CD407" s="242" t="s">
        <v>902</v>
      </c>
      <c r="CE407" s="238"/>
      <c r="CF407" s="238"/>
      <c r="CG407" s="244"/>
      <c r="CH407" s="238"/>
      <c r="CI407" s="238" t="s">
        <v>903</v>
      </c>
      <c r="CJ407" s="243" t="s">
        <v>904</v>
      </c>
      <c r="CK407" s="238"/>
      <c r="CL407" s="245" t="s">
        <v>905</v>
      </c>
      <c r="CM407" s="245" t="s">
        <v>906</v>
      </c>
      <c r="CN407" s="245" t="s">
        <v>907</v>
      </c>
      <c r="CO407" s="245" t="s">
        <v>908</v>
      </c>
      <c r="CP407" s="245" t="s">
        <v>909</v>
      </c>
      <c r="CQ407" s="246" t="s">
        <v>910</v>
      </c>
      <c r="CR407" s="247"/>
      <c r="CS407" s="246" t="s">
        <v>911</v>
      </c>
      <c r="CT407" s="248"/>
      <c r="CU407" s="246" t="s">
        <v>912</v>
      </c>
      <c r="CV407" s="248"/>
      <c r="CW407" s="246" t="s">
        <v>913</v>
      </c>
      <c r="CX407" s="248"/>
      <c r="CY407" s="238"/>
      <c r="CZ407" s="238"/>
      <c r="DA407" s="238"/>
      <c r="DB407" s="238"/>
      <c r="DC407" s="249" t="s">
        <v>165</v>
      </c>
      <c r="DD407" s="249" t="s">
        <v>165</v>
      </c>
      <c r="DE407" s="249" t="s">
        <v>165</v>
      </c>
      <c r="DF407" s="238"/>
      <c r="DG407" s="238" t="s">
        <v>914</v>
      </c>
      <c r="DH407" s="238" t="s">
        <v>930</v>
      </c>
      <c r="DI407" s="238" t="s">
        <v>931</v>
      </c>
      <c r="DK407" s="238" t="s">
        <v>932</v>
      </c>
      <c r="DL407" s="238" t="s">
        <v>933</v>
      </c>
      <c r="DM407" s="238" t="s">
        <v>869</v>
      </c>
      <c r="DN407" s="230" t="s">
        <v>915</v>
      </c>
      <c r="DO407" s="250" t="s">
        <v>915</v>
      </c>
      <c r="DP407" s="322" t="s">
        <v>934</v>
      </c>
      <c r="DQ407" s="238"/>
      <c r="DR407" s="166" t="s">
        <v>894</v>
      </c>
      <c r="DS407" s="166" t="s">
        <v>895</v>
      </c>
      <c r="DT407" s="166" t="s">
        <v>935</v>
      </c>
      <c r="DU407" s="166" t="s">
        <v>936</v>
      </c>
      <c r="DV407" s="251" t="s">
        <v>165</v>
      </c>
      <c r="DW407" s="251" t="s">
        <v>165</v>
      </c>
      <c r="DX407" s="238" t="s">
        <v>916</v>
      </c>
      <c r="DY407" s="238"/>
      <c r="DZ407" s="238"/>
      <c r="EA407" s="238"/>
      <c r="EB407" s="238"/>
      <c r="EC407" s="238"/>
      <c r="ED407" s="251" t="s">
        <v>165</v>
      </c>
      <c r="EE407" s="251" t="s">
        <v>165</v>
      </c>
      <c r="EF407" s="166"/>
      <c r="EG407" s="238"/>
      <c r="EH407" s="238"/>
      <c r="EI407" s="238"/>
      <c r="EJ407" s="238"/>
      <c r="EK407" s="238"/>
      <c r="EL407" s="238"/>
      <c r="EM407" s="238"/>
      <c r="EN407" s="238"/>
      <c r="EO407" s="246" t="s">
        <v>917</v>
      </c>
      <c r="EP407" s="247"/>
      <c r="EQ407" s="247"/>
      <c r="ER407" s="247"/>
      <c r="ES407" s="247"/>
      <c r="ET407" s="252"/>
      <c r="EU407" s="248"/>
      <c r="EV407" s="246" t="s">
        <v>918</v>
      </c>
      <c r="EW407" s="247"/>
      <c r="EX407" s="248"/>
      <c r="EY407" s="251" t="s">
        <v>165</v>
      </c>
      <c r="EZ407" s="246" t="s">
        <v>919</v>
      </c>
      <c r="FA407" s="247"/>
      <c r="FB407" s="248"/>
      <c r="FC407" s="246" t="s">
        <v>920</v>
      </c>
      <c r="FD407" s="247"/>
      <c r="FE407" s="248"/>
      <c r="FF407" s="238"/>
      <c r="FG407" s="238"/>
      <c r="FH407" s="238"/>
      <c r="FI407" s="238"/>
      <c r="FJ407" s="246" t="s">
        <v>917</v>
      </c>
      <c r="FK407" s="247"/>
      <c r="FL407" s="247"/>
      <c r="FM407" s="247"/>
      <c r="FN407" s="247"/>
      <c r="FO407" s="252"/>
      <c r="FP407" s="248"/>
      <c r="FQ407" s="246" t="s">
        <v>918</v>
      </c>
      <c r="FR407" s="247"/>
      <c r="FS407" s="248"/>
      <c r="FT407" s="251" t="s">
        <v>165</v>
      </c>
      <c r="FU407" s="246" t="s">
        <v>919</v>
      </c>
      <c r="FV407" s="247"/>
      <c r="FW407" s="248"/>
      <c r="FX407" s="246" t="s">
        <v>920</v>
      </c>
      <c r="FY407" s="247"/>
      <c r="FZ407" s="248"/>
      <c r="GD407" s="340"/>
      <c r="GE407" s="340"/>
      <c r="GF407" s="341" t="s">
        <v>968</v>
      </c>
      <c r="GG407" s="340"/>
      <c r="GH407" s="340"/>
      <c r="GI407" s="340"/>
      <c r="GJ407" s="341" t="s">
        <v>972</v>
      </c>
      <c r="GK407" s="340"/>
      <c r="GL407" s="340"/>
      <c r="GM407" s="340"/>
      <c r="GN407" s="341" t="s">
        <v>971</v>
      </c>
      <c r="GO407" s="340"/>
      <c r="GP407" s="340"/>
      <c r="GQ407" s="340"/>
      <c r="GR407" s="341" t="s">
        <v>970</v>
      </c>
      <c r="GS407" s="340"/>
      <c r="GT407" s="340"/>
      <c r="GU407" s="340"/>
      <c r="GV407" s="341" t="s">
        <v>969</v>
      </c>
      <c r="GW407" s="340"/>
      <c r="GX407" s="340"/>
      <c r="GY407" s="340"/>
      <c r="GZ407" s="342" t="s">
        <v>973</v>
      </c>
      <c r="HA407" s="340"/>
      <c r="HB407" s="340"/>
      <c r="HC407" s="340"/>
      <c r="HD407" s="342" t="s">
        <v>974</v>
      </c>
      <c r="HE407" s="340"/>
      <c r="HF407" s="340"/>
      <c r="HG407" s="340"/>
      <c r="HH407" s="340"/>
      <c r="HI407" s="340"/>
      <c r="HJ407" s="340"/>
      <c r="HK407" s="340"/>
      <c r="HL407" s="340"/>
      <c r="HM407" s="341"/>
      <c r="HN407" s="341"/>
      <c r="HO407" s="341"/>
      <c r="HP407" s="341"/>
      <c r="HQ407" s="341"/>
      <c r="HR407" s="341"/>
      <c r="HS407" s="238"/>
      <c r="HT407" s="238"/>
      <c r="HU407" s="238"/>
      <c r="HV407" s="238"/>
      <c r="HX407" s="238"/>
      <c r="HY407" s="238"/>
      <c r="HZ407" s="238"/>
      <c r="ID407" s="238"/>
    </row>
    <row r="408" spans="1:238" s="234" customFormat="1" ht="20.100000000000001" customHeight="1">
      <c r="A408" s="235"/>
      <c r="B408" s="231">
        <f>COUNT(AJ409,AJ408)</f>
        <v>0</v>
      </c>
      <c r="C408" s="325" t="str">
        <f>CONCATENATE(BG408,BE408)</f>
        <v>HD</v>
      </c>
      <c r="D408" s="253" t="str">
        <f>REPT(DN408,1)</f>
        <v>1</v>
      </c>
      <c r="E408" s="254" t="str">
        <f>REPT(AH408,1)</f>
        <v/>
      </c>
      <c r="F408" s="168"/>
      <c r="G408" s="168"/>
      <c r="H408" s="168"/>
      <c r="I408" s="169"/>
      <c r="J408" s="255" t="str">
        <f>REPT(AM408,1)</f>
        <v/>
      </c>
      <c r="L408" s="309">
        <f>SUM(BS417)</f>
        <v>0</v>
      </c>
      <c r="M408" s="238"/>
      <c r="N408" s="255" t="str">
        <f>REPT(AP408,1)</f>
        <v/>
      </c>
      <c r="P408" s="309">
        <f>SUM(CF417)</f>
        <v>0</v>
      </c>
      <c r="Q408" s="310"/>
      <c r="R408" s="323" t="str">
        <f>CONCATENATE(BH408,BE408)</f>
        <v>GD</v>
      </c>
      <c r="S408" s="253" t="str">
        <f>REPT(DO408,1)</f>
        <v>1</v>
      </c>
      <c r="T408" s="254" t="str">
        <f>REPT(AV408,1)</f>
        <v/>
      </c>
      <c r="U408" s="168"/>
      <c r="V408" s="168"/>
      <c r="W408" s="168"/>
      <c r="X408" s="169"/>
      <c r="Y408" s="255" t="str">
        <f>REPT(BA408,1)</f>
        <v/>
      </c>
      <c r="Z408" s="308"/>
      <c r="AB408" s="234">
        <f>IF(AY408="",0,IF(AY408&lt;2,1,""))</f>
        <v>0</v>
      </c>
      <c r="AC408" s="238">
        <f>IF(AD408=1,1,IF(AD408=3,1,IF(AD408=2,0,IF(AD408=0,0,0))))</f>
        <v>0</v>
      </c>
      <c r="AD408" s="256">
        <f>SUM(AE408:AG408)</f>
        <v>0</v>
      </c>
      <c r="AE408" s="256">
        <f t="shared" ref="AE408:AE412" si="1004">IF(F408="",0,1)</f>
        <v>0</v>
      </c>
      <c r="AF408" s="256">
        <f t="shared" ref="AF408:AF412" si="1005">IF(G408="",0,1)</f>
        <v>0</v>
      </c>
      <c r="AG408" s="256">
        <f>IF(H408="",0,1)</f>
        <v>0</v>
      </c>
      <c r="AH408" s="257" t="str">
        <f>IF(AK408="",IF(AI408="","",IF(AI408="",501,501-AI408)),501)</f>
        <v/>
      </c>
      <c r="AI408" s="256" t="str">
        <f>IF(F408&gt;1,F408,IF(F408=0,"",IF(F408="","","")))</f>
        <v/>
      </c>
      <c r="AJ408" s="256" t="str">
        <f>IF(G408&gt;8,G408,IF(G408="","",""))</f>
        <v/>
      </c>
      <c r="AK408" s="256" t="str">
        <f>IF(H408&gt;1,H408,IF(H408="","",""))</f>
        <v/>
      </c>
      <c r="AL408" s="256" t="str">
        <f>IF(I408&gt;0,I408,IF(I408="","",""))</f>
        <v/>
      </c>
      <c r="AM408" s="258" t="str">
        <f>IF(BK408=0,"","X")</f>
        <v/>
      </c>
      <c r="AN408" s="237"/>
      <c r="AO408" s="237"/>
      <c r="AP408" s="258" t="str">
        <f>IF(BM408=0,"","X")</f>
        <v/>
      </c>
      <c r="AQ408" s="236">
        <f>IF(AR408=1,1,IF(AR408=3,1,IF(AR408=2,0,IF(AR408=0,0,0))))</f>
        <v>0</v>
      </c>
      <c r="AR408" s="256">
        <f>SUM(AS408:AU408)</f>
        <v>0</v>
      </c>
      <c r="AS408" s="256">
        <f t="shared" ref="AS408:AS412" si="1006">IF(U408="",0,1)</f>
        <v>0</v>
      </c>
      <c r="AT408" s="256">
        <f t="shared" ref="AT408:AT412" si="1007">IF(V408="",0,1)</f>
        <v>0</v>
      </c>
      <c r="AU408" s="256">
        <f>IF(W408="",0,1)</f>
        <v>0</v>
      </c>
      <c r="AV408" s="257" t="str">
        <f>IF(AY408="",IF(AW408="","",IF(AW408="",501,501-AW408)),501)</f>
        <v/>
      </c>
      <c r="AW408" s="256" t="str">
        <f>IF(U408&gt;1,U408,IF(U408=0,"",IF(U408="","","")))</f>
        <v/>
      </c>
      <c r="AX408" s="256" t="str">
        <f>IF(V408&gt;8,V408,IF(V408="","",""))</f>
        <v/>
      </c>
      <c r="AY408" s="256" t="str">
        <f>IF(W408&gt;1,W408,IF(W408="","",""))</f>
        <v/>
      </c>
      <c r="AZ408" s="256" t="str">
        <f>IF(X408&gt;0,X408,IF(X408="","",""))</f>
        <v/>
      </c>
      <c r="BA408" s="258" t="str">
        <f>IF(BL408=0,"","X")</f>
        <v/>
      </c>
      <c r="BF408" s="238" t="s">
        <v>894</v>
      </c>
      <c r="BG408" s="238" t="str">
        <f>CONCATENATE(BF408,AK405)</f>
        <v>HD</v>
      </c>
      <c r="BH408" s="238" t="str">
        <f>CONCATENATE(BI408,AK405)</f>
        <v>GD</v>
      </c>
      <c r="BI408" s="238" t="s">
        <v>895</v>
      </c>
      <c r="BJ408" s="238"/>
      <c r="BK408" s="251">
        <f>SUM(DD408,DV408,EY408,ED408,FF408,BQ408,BS408,AC408)</f>
        <v>0</v>
      </c>
      <c r="BL408" s="251">
        <f>SUM(DE408,DW408,EE408,FT408,GA408,BR408,BT408,AQ408)</f>
        <v>0</v>
      </c>
      <c r="BM408" s="259">
        <f>SUM(DC408,BK408:BL408,AC408,AQ408)</f>
        <v>0</v>
      </c>
      <c r="BN408" s="239">
        <f>COUNT(AK408)</f>
        <v>0</v>
      </c>
      <c r="BO408" s="239">
        <f>COUNT(AY408)</f>
        <v>0</v>
      </c>
      <c r="BP408" s="239">
        <f>IF(BN410=0,0,1)</f>
        <v>0</v>
      </c>
      <c r="BQ408" s="260">
        <f>IF(AL408="",0,IF(AL408&gt;2,1,0))</f>
        <v>0</v>
      </c>
      <c r="BR408" s="261">
        <f>IF(AZ408="",0,IF(AZ408&gt;2,1,0))</f>
        <v>0</v>
      </c>
      <c r="BS408" s="262">
        <f>IF(AJ408=9,IF(AK408&lt;141,1,0),0)</f>
        <v>0</v>
      </c>
      <c r="BT408" s="263">
        <f>IF(AX408=9,IF(AY408&lt;141,1,0),0)</f>
        <v>0</v>
      </c>
      <c r="BU408" s="242">
        <f>IF(H408,G408,0)</f>
        <v>0</v>
      </c>
      <c r="BV408" s="238">
        <f>IF(BU408&gt;0,AJ408/3,0)</f>
        <v>0</v>
      </c>
      <c r="BW408" s="238">
        <f>ROUNDUP(BV408,0)</f>
        <v>0</v>
      </c>
      <c r="BX408" s="244">
        <f>IF(MOD(BW408,2)=0,BW408,BW408+1)</f>
        <v>0</v>
      </c>
      <c r="BY408" s="238">
        <f>IF(AJ408&lt;9,"",SUM(BX408-BW408))</f>
        <v>0</v>
      </c>
      <c r="BZ408" s="238">
        <f>IF(BY408=1,AK408,0)</f>
        <v>0</v>
      </c>
      <c r="CA408" s="243" t="str">
        <f>IF(BY408=0,AK408,0)</f>
        <v/>
      </c>
      <c r="CB408" s="238"/>
      <c r="CC408" s="238"/>
      <c r="CD408" s="242">
        <f>IF(W408,V408,0)</f>
        <v>0</v>
      </c>
      <c r="CE408" s="238">
        <f>IF(CD408&gt;0,AX408/3,0)</f>
        <v>0</v>
      </c>
      <c r="CF408" s="238">
        <f>ROUNDUP(CE408,0)</f>
        <v>0</v>
      </c>
      <c r="CG408" s="244">
        <f>IF(MOD(CF408,2)=0,CF408,CF408+1)</f>
        <v>0</v>
      </c>
      <c r="CH408" s="238">
        <f>IF(AX408&lt;9,"",SUM(CG408-CF408))</f>
        <v>0</v>
      </c>
      <c r="CI408" s="238">
        <f>IF(CH408=1,AY408,0)</f>
        <v>0</v>
      </c>
      <c r="CJ408" s="243" t="str">
        <f>IF(CH408=0,AY408,0)</f>
        <v/>
      </c>
      <c r="CK408" s="238"/>
      <c r="CL408" s="245">
        <f>IF(COUNT(F408,H408)=1,0,1)</f>
        <v>1</v>
      </c>
      <c r="CM408" s="245">
        <f>IF(COUNT(F408,U408)=1,0,1)</f>
        <v>1</v>
      </c>
      <c r="CN408" s="245">
        <f>IF(COUNT(H408,W408)=1,0,1)</f>
        <v>1</v>
      </c>
      <c r="CO408" s="245">
        <f>IF(COUNT(G408,V408)=2,0,1)</f>
        <v>1</v>
      </c>
      <c r="CP408" s="245">
        <f>IF(COUNT(U408,W408)=1,0,1)</f>
        <v>1</v>
      </c>
      <c r="CQ408" s="245">
        <f>IF(SUM(G408-V408)&gt;3,1,0)</f>
        <v>0</v>
      </c>
      <c r="CR408" s="245">
        <f>IF(SUM(G408-V408)&lt;-3,1,0)</f>
        <v>0</v>
      </c>
      <c r="CS408" s="264">
        <f>IF(AJ408=9,IF(AH408&lt;141,1,0),IF(AH408="",0,IF(AH408&gt;1,0,1)))</f>
        <v>0</v>
      </c>
      <c r="CT408" s="264">
        <f>IF(AX408=9,IF(AV408&lt;141,1,0),IF(AV408="",0,IF(AV408&gt;1,0,1)))</f>
        <v>0</v>
      </c>
      <c r="CU408" s="264">
        <f>IF(AI408="",0,IF(AI408&lt;502,0,1))</f>
        <v>0</v>
      </c>
      <c r="CV408" s="264">
        <f>IF(AW408="",0,IF(AW408&lt;502,0,1))</f>
        <v>0</v>
      </c>
      <c r="CW408" s="264">
        <f>IF(AI408="",IF(AJ408&lt;9,1,0),IF(AJ408&lt;9,1,0))</f>
        <v>0</v>
      </c>
      <c r="CX408" s="264">
        <f>IF(AW408="",IF(AX408&lt;9,1,0),IF(AX408&lt;9,1,0))</f>
        <v>0</v>
      </c>
      <c r="CY408" s="374"/>
      <c r="CZ408" s="374"/>
      <c r="DA408" s="374"/>
      <c r="DB408" s="374"/>
      <c r="DC408" s="265">
        <f>IF(AJ408="",0,SUM(CL408:CX408))</f>
        <v>0</v>
      </c>
      <c r="DD408" s="265">
        <f>IF(AJ408="",0,SUM(CL408,CS408,CU408,CW408))</f>
        <v>0</v>
      </c>
      <c r="DE408" s="265">
        <f>IF(AJ408="",0,SUM(CP408,CT408,CV408,CX408))</f>
        <v>0</v>
      </c>
      <c r="DF408" s="238"/>
      <c r="DG408" s="248" t="str">
        <f>IF(G408="","",SUM(G408-V408))</f>
        <v/>
      </c>
      <c r="DH408" s="245">
        <f>IF(F408="",0,1)</f>
        <v>0</v>
      </c>
      <c r="DI408" s="245" t="str">
        <f>IF(DG408=0,DH408,DG408)</f>
        <v/>
      </c>
      <c r="DJ408" s="245" t="e">
        <f>SIGN(DI408)</f>
        <v>#VALUE!</v>
      </c>
      <c r="DK408" s="245" t="str">
        <f>IF(G408="","",IF(DJ408=1,"*",""))</f>
        <v/>
      </c>
      <c r="DL408" s="245" t="str">
        <f>IF(G408="","",IF(DJ408=-1,"*",IF(DJ408=0,"*","")))</f>
        <v/>
      </c>
      <c r="DM408" s="245">
        <v>1</v>
      </c>
      <c r="DN408" s="245" t="str">
        <f>CONCATENATE(DM408,DK408)</f>
        <v>1</v>
      </c>
      <c r="DO408" s="245" t="str">
        <f>CONCATENATE(DM408,DL408)</f>
        <v>1</v>
      </c>
      <c r="DP408" s="245">
        <f>IF(DK408="*",1,0)</f>
        <v>0</v>
      </c>
      <c r="DQ408" s="245">
        <f>IF(DL408="*",1,0)</f>
        <v>0</v>
      </c>
      <c r="DR408" s="245"/>
      <c r="DS408" s="245"/>
      <c r="DT408" s="245"/>
      <c r="DU408" s="245"/>
      <c r="DV408" s="266"/>
      <c r="DW408" s="266"/>
      <c r="DX408" s="238">
        <f>IF(AK408="",0,1)</f>
        <v>0</v>
      </c>
      <c r="DY408" s="238">
        <f>IF(DG408=-3,1,0)</f>
        <v>0</v>
      </c>
      <c r="DZ408" s="238">
        <f>SUM(DX408:DY408)</f>
        <v>0</v>
      </c>
      <c r="EA408" s="238">
        <f>IF(AK408="",1,0)</f>
        <v>1</v>
      </c>
      <c r="EB408" s="238">
        <f>IF(DG408=3,1,0)</f>
        <v>0</v>
      </c>
      <c r="EC408" s="238">
        <f>SUM(EA408:EB408)</f>
        <v>1</v>
      </c>
      <c r="ED408" s="267">
        <f>IF(EC408=2,1,0)</f>
        <v>0</v>
      </c>
      <c r="EE408" s="267">
        <f>IF(DZ408=2,1,0)</f>
        <v>0</v>
      </c>
      <c r="EG408" s="166"/>
      <c r="EH408" s="238"/>
      <c r="EI408" s="238"/>
      <c r="EJ408" s="238"/>
      <c r="EK408" s="238"/>
      <c r="EL408" s="238"/>
      <c r="EM408" s="245">
        <f>IF(AK408="",0,1)</f>
        <v>0</v>
      </c>
      <c r="EN408" s="245">
        <f>SUM(AK408)</f>
        <v>0</v>
      </c>
      <c r="EO408" s="268">
        <f>SUM(AJ408)</f>
        <v>0</v>
      </c>
      <c r="EP408" s="268">
        <f>SUM(G408/3)</f>
        <v>0</v>
      </c>
      <c r="EQ408" s="268" t="e">
        <f>SUM(EO408/EP408)</f>
        <v>#DIV/0!</v>
      </c>
      <c r="ER408" s="268">
        <f>ROUNDDOWN(EP408,0)</f>
        <v>0</v>
      </c>
      <c r="ES408" s="268">
        <f>SUM(EO408,-ER408*3)</f>
        <v>0</v>
      </c>
      <c r="ET408" s="269" t="b">
        <f>MOD(EN408/1,2)=0</f>
        <v>1</v>
      </c>
      <c r="EU408" s="245">
        <f>IF(ET408=FALSE,1,0)</f>
        <v>0</v>
      </c>
      <c r="EV408" s="245">
        <f>IF(EN408=50,0,IF(EN408&lt;40,1,0))</f>
        <v>1</v>
      </c>
      <c r="EW408" s="245">
        <f>SUM(EU408:EV408)</f>
        <v>1</v>
      </c>
      <c r="EX408" s="267">
        <f>IF(EN408=1,1,IF(EN408=50,0,IF(ES408=1,IF(EN408&gt;40,1,0),0)))</f>
        <v>0</v>
      </c>
      <c r="EY408" s="267">
        <f>IF(ES408=1,IF(EW408=2,1,0),0)+EX408+FB408+FE408</f>
        <v>0</v>
      </c>
      <c r="EZ408" s="245">
        <f>IF(EN408=109,1,IF(EN408=108,1,IF(EN408=106,1,IF(EN408=105,1,IF(EN408=103,1,IF(EN408=102,1,IF(EN408=99,1,0)))))))</f>
        <v>0</v>
      </c>
      <c r="FA408" s="245">
        <f>IF(EN408&gt;110,1,0)</f>
        <v>0</v>
      </c>
      <c r="FB408" s="267">
        <f>IF(ES408=2,SUM(EZ408:FA408),0)</f>
        <v>0</v>
      </c>
      <c r="FC408" s="245">
        <f>IF(EN408=159,1,IF(EN408=162,1,IF(EN408=163,1,IF(EN408=165,1,IF(EN408=166,1,IF(EN408=168,1,IF(EN408=169,1,0)))))))</f>
        <v>0</v>
      </c>
      <c r="FD408" s="245">
        <f>IF(EN408&gt;170,1,0)</f>
        <v>0</v>
      </c>
      <c r="FE408" s="267">
        <f>IF(ES408=0,SUM(FC408:FD408),0)</f>
        <v>0</v>
      </c>
      <c r="FF408" s="251">
        <f>IF(AJ408="",0,IF(AI408="",0,IF(EO408/ER408-3=0,0,1)))</f>
        <v>0</v>
      </c>
      <c r="FG408" s="238"/>
      <c r="FH408" s="245">
        <f>IF(AY408="",0,1)</f>
        <v>0</v>
      </c>
      <c r="FI408" s="245">
        <f>SUM(AY408)</f>
        <v>0</v>
      </c>
      <c r="FJ408" s="268">
        <f>SUM(AX408)</f>
        <v>0</v>
      </c>
      <c r="FK408" s="268">
        <f>SUM(V408/3)</f>
        <v>0</v>
      </c>
      <c r="FL408" s="268" t="e">
        <f>SUM(FJ408/FK408)</f>
        <v>#DIV/0!</v>
      </c>
      <c r="FM408" s="268">
        <f>ROUNDDOWN(FK408,0)</f>
        <v>0</v>
      </c>
      <c r="FN408" s="268">
        <f>SUM(FJ408,-FM408*3)</f>
        <v>0</v>
      </c>
      <c r="FO408" s="269" t="b">
        <f>MOD(FI408/1,2)=0</f>
        <v>1</v>
      </c>
      <c r="FP408" s="245">
        <f>IF(FO408=FALSE,1,0)</f>
        <v>0</v>
      </c>
      <c r="FQ408" s="245">
        <f>IF(FI408=50,0,IF(FI408&lt;40,1,0))</f>
        <v>1</v>
      </c>
      <c r="FR408" s="245">
        <f>SUM(FP408:FQ408)</f>
        <v>1</v>
      </c>
      <c r="FS408" s="267">
        <f>IF(FI408=1,1,IF(FI408=50,0,IF(FN408=1,IF(FI408&gt;40,1,0),0)))</f>
        <v>0</v>
      </c>
      <c r="FT408" s="267">
        <f>IF(FN408=1,IF(FR408=2,1,0),0)+FS408+FW408+FZ408</f>
        <v>0</v>
      </c>
      <c r="FU408" s="245">
        <f>IF(FI408=109,1,IF(FI408=108,1,IF(FI408=106,1,IF(FI408=105,1,IF(FI408=103,1,IF(FI408=102,1,IF(FI408=99,1,0)))))))</f>
        <v>0</v>
      </c>
      <c r="FV408" s="245">
        <f>IF(FI408&gt;110,1,0)</f>
        <v>0</v>
      </c>
      <c r="FW408" s="267">
        <f>IF(FN408=2,SUM(FU408:FV408),0)</f>
        <v>0</v>
      </c>
      <c r="FX408" s="245">
        <f>IF(FI408=159,1,IF(FI408=162,1,IF(FI408=163,1,IF(FI408=165,1,IF(FI408=166,1,IF(FI408=168,1,IF(FI408=169,1,0)))))))</f>
        <v>0</v>
      </c>
      <c r="FY408" s="245">
        <f>IF(FI408&gt;170,1,0)</f>
        <v>0</v>
      </c>
      <c r="FZ408" s="267">
        <f>IF(FN408=0,SUM(FX408:FY408),0)</f>
        <v>0</v>
      </c>
      <c r="GA408" s="251">
        <f>IF(AX408="",0,IF(AW408="",0,IF(FJ408/FM408-3=0,0,1)))</f>
        <v>0</v>
      </c>
      <c r="GD408" s="341">
        <f>IF(AK405="D",1,0)</f>
        <v>1</v>
      </c>
      <c r="GE408" s="343"/>
      <c r="GF408" s="343" t="s">
        <v>866</v>
      </c>
      <c r="GG408" s="343" t="s">
        <v>868</v>
      </c>
      <c r="GH408" s="343" t="s">
        <v>848</v>
      </c>
      <c r="GI408" s="343">
        <v>180</v>
      </c>
      <c r="GJ408" s="343" t="s">
        <v>866</v>
      </c>
      <c r="GK408" s="343" t="s">
        <v>868</v>
      </c>
      <c r="GL408" s="343" t="s">
        <v>848</v>
      </c>
      <c r="GM408" s="343">
        <v>180</v>
      </c>
      <c r="GN408" s="343" t="s">
        <v>866</v>
      </c>
      <c r="GO408" s="343" t="s">
        <v>868</v>
      </c>
      <c r="GP408" s="343" t="s">
        <v>848</v>
      </c>
      <c r="GQ408" s="343">
        <v>180</v>
      </c>
      <c r="GR408" s="343" t="s">
        <v>866</v>
      </c>
      <c r="GS408" s="343" t="s">
        <v>868</v>
      </c>
      <c r="GT408" s="343" t="s">
        <v>848</v>
      </c>
      <c r="GU408" s="343">
        <v>180</v>
      </c>
      <c r="GV408" s="343" t="s">
        <v>866</v>
      </c>
      <c r="GW408" s="343" t="s">
        <v>868</v>
      </c>
      <c r="GX408" s="343" t="s">
        <v>848</v>
      </c>
      <c r="GY408" s="343">
        <v>180</v>
      </c>
      <c r="GZ408" s="343" t="s">
        <v>866</v>
      </c>
      <c r="HA408" s="343" t="s">
        <v>868</v>
      </c>
      <c r="HB408" s="343" t="s">
        <v>848</v>
      </c>
      <c r="HC408" s="343">
        <v>180</v>
      </c>
      <c r="HD408" s="343" t="s">
        <v>866</v>
      </c>
      <c r="HE408" s="343" t="s">
        <v>868</v>
      </c>
      <c r="HF408" s="341" t="s">
        <v>975</v>
      </c>
      <c r="HG408" s="341" t="s">
        <v>976</v>
      </c>
      <c r="HH408" s="341" t="s">
        <v>899</v>
      </c>
      <c r="HJ408" s="238"/>
      <c r="HK408" s="238"/>
      <c r="HL408" s="238"/>
      <c r="HM408" s="238">
        <f>COUNT(HI409,HJ409,HK409,HL409,HM409)</f>
        <v>0</v>
      </c>
      <c r="HN408" s="341"/>
      <c r="HO408" s="341"/>
      <c r="HP408" s="341"/>
      <c r="HQ408" s="341"/>
      <c r="HR408" s="341"/>
      <c r="HS408" s="238"/>
      <c r="HT408" s="238"/>
      <c r="HU408" s="238"/>
      <c r="HV408" s="238"/>
      <c r="HX408" s="238"/>
      <c r="HY408" s="238"/>
      <c r="ID408" s="238"/>
    </row>
    <row r="409" spans="1:238" s="234" customFormat="1" ht="20.100000000000001" customHeight="1">
      <c r="A409" s="235"/>
      <c r="B409" s="231">
        <f>COUNT(AJ410,AJ409)</f>
        <v>0</v>
      </c>
      <c r="C409" s="326">
        <f>IF(DK408="*",AJ405,AI405)</f>
        <v>4.0999999999999996</v>
      </c>
      <c r="D409" s="253" t="str">
        <f>REPT(DN409,1)</f>
        <v>2</v>
      </c>
      <c r="E409" s="254" t="str">
        <f>REPT(AH409,1)</f>
        <v/>
      </c>
      <c r="F409" s="168"/>
      <c r="G409" s="168"/>
      <c r="H409" s="168"/>
      <c r="I409" s="169"/>
      <c r="J409" s="270" t="str">
        <f>REPT(AM409,1)</f>
        <v/>
      </c>
      <c r="L409" s="306" t="s">
        <v>922</v>
      </c>
      <c r="M409" s="311"/>
      <c r="N409" s="270" t="str">
        <f>REPT(AP409,1)</f>
        <v/>
      </c>
      <c r="P409" s="306" t="s">
        <v>922</v>
      </c>
      <c r="Q409" s="310"/>
      <c r="R409" s="324">
        <f>IF(DL408="*",AJ405,AI405)</f>
        <v>4.0999999999999996</v>
      </c>
      <c r="S409" s="253" t="str">
        <f>REPT(DO409,1)</f>
        <v>2</v>
      </c>
      <c r="T409" s="254" t="str">
        <f>REPT(AV409,1)</f>
        <v/>
      </c>
      <c r="U409" s="168"/>
      <c r="V409" s="168"/>
      <c r="W409" s="168"/>
      <c r="X409" s="169"/>
      <c r="Y409" s="270" t="str">
        <f t="shared" ref="Y409:Y411" si="1008">REPT(BA409,1)</f>
        <v/>
      </c>
      <c r="Z409" s="308"/>
      <c r="AB409" s="234">
        <f>IF(AY409="",0,IF(AY409&lt;2,1,""))</f>
        <v>0</v>
      </c>
      <c r="AC409" s="238">
        <f t="shared" ref="AC409:AC410" si="1009">IF(AD409=1,1,IF(AD409=3,1,IF(AD409=2,0,IF(AD409=0,0,0))))</f>
        <v>0</v>
      </c>
      <c r="AD409" s="256">
        <f t="shared" ref="AD409:AD412" si="1010">SUM(AE409:AG409)</f>
        <v>0</v>
      </c>
      <c r="AE409" s="256">
        <f t="shared" si="1004"/>
        <v>0</v>
      </c>
      <c r="AF409" s="256">
        <f t="shared" si="1005"/>
        <v>0</v>
      </c>
      <c r="AG409" s="256">
        <f t="shared" ref="AG409:AG412" si="1011">IF(H409="",0,1)</f>
        <v>0</v>
      </c>
      <c r="AH409" s="257" t="str">
        <f>IF(AK409="",IF(AI409="","",IF(AI409="",501,501-AI409)),501)</f>
        <v/>
      </c>
      <c r="AI409" s="256" t="str">
        <f>IF(F409&gt;1,F409,IF(F409=0,"",IF(F409="","","")))</f>
        <v/>
      </c>
      <c r="AJ409" s="256" t="str">
        <f>IF(G409&gt;8,G409,IF(G409="","",""))</f>
        <v/>
      </c>
      <c r="AK409" s="256" t="str">
        <f>IF(H409&gt;1,H409,IF(H409="","",""))</f>
        <v/>
      </c>
      <c r="AL409" s="256" t="str">
        <f>IF(I409&gt;0,I409,IF(I409="","",""))</f>
        <v/>
      </c>
      <c r="AM409" s="258" t="str">
        <f>IF(BK409=0,"","X")</f>
        <v/>
      </c>
      <c r="AN409" s="237"/>
      <c r="AO409" s="237"/>
      <c r="AP409" s="258" t="str">
        <f>IF(BM409=0,"","X")</f>
        <v/>
      </c>
      <c r="AQ409" s="236">
        <f t="shared" ref="AQ409:AQ410" si="1012">IF(AR409=1,1,IF(AR409=3,1,IF(AR409=2,0,IF(AR409=0,0,0))))</f>
        <v>0</v>
      </c>
      <c r="AR409" s="256">
        <f t="shared" ref="AR409:AR412" si="1013">SUM(AS409:AU409)</f>
        <v>0</v>
      </c>
      <c r="AS409" s="256">
        <f t="shared" si="1006"/>
        <v>0</v>
      </c>
      <c r="AT409" s="256">
        <f t="shared" si="1007"/>
        <v>0</v>
      </c>
      <c r="AU409" s="256">
        <f t="shared" ref="AU409:AU412" si="1014">IF(W409="",0,1)</f>
        <v>0</v>
      </c>
      <c r="AV409" s="257" t="str">
        <f>IF(AY409="",IF(AW409="","",IF(AW409="",501,501-AW409)),501)</f>
        <v/>
      </c>
      <c r="AW409" s="256" t="str">
        <f>IF(U409&gt;1,U409,IF(U409=0,"",IF(U409="","","")))</f>
        <v/>
      </c>
      <c r="AX409" s="256" t="str">
        <f>IF(V409&gt;8,V409,IF(V409="","",""))</f>
        <v/>
      </c>
      <c r="AY409" s="256" t="str">
        <f>IF(W409&gt;1,W409,IF(W409="","",""))</f>
        <v/>
      </c>
      <c r="AZ409" s="256" t="str">
        <f>IF(X409&gt;0,X409,IF(X409="","",""))</f>
        <v/>
      </c>
      <c r="BA409" s="258" t="str">
        <f>IF(BL409=0,"","X")</f>
        <v/>
      </c>
      <c r="BK409" s="251">
        <f>SUM(DD409,DV409,EY409,ED409,FF409,BQ409,BS409,AC409)</f>
        <v>0</v>
      </c>
      <c r="BL409" s="251">
        <f>SUM(DE409,DW409,EE409,FT409,GA409,BR409,BT409,AQ409)</f>
        <v>0</v>
      </c>
      <c r="BM409" s="259">
        <f t="shared" ref="BM409:BM410" si="1015">SUM(DC409,BK409:BL409,AC409,AQ409)</f>
        <v>0</v>
      </c>
      <c r="BN409" s="239">
        <f>COUNT(AK409)</f>
        <v>0</v>
      </c>
      <c r="BO409" s="239">
        <f>COUNT(AY409)</f>
        <v>0</v>
      </c>
      <c r="BP409" s="239">
        <f>IF(BN411=0,0,1)</f>
        <v>0</v>
      </c>
      <c r="BQ409" s="260">
        <f>IF(AL409="",0,IF(AL409&gt;2,1,0))</f>
        <v>0</v>
      </c>
      <c r="BR409" s="261">
        <f>IF(AZ409="",0,IF(AZ409&gt;2,1,0))</f>
        <v>0</v>
      </c>
      <c r="BS409" s="262">
        <f>IF(AJ409=9,IF(AK409&lt;141,1,0),0)</f>
        <v>0</v>
      </c>
      <c r="BT409" s="263">
        <f>IF(AX409=9,IF(AY409&lt;141,1,0),0)</f>
        <v>0</v>
      </c>
      <c r="BU409" s="242">
        <f>IF(H409,G409,0)</f>
        <v>0</v>
      </c>
      <c r="BV409" s="238">
        <f>IF(BU409&gt;0,AJ409/3,0)</f>
        <v>0</v>
      </c>
      <c r="BW409" s="238">
        <f>ROUNDUP(BV409,0)</f>
        <v>0</v>
      </c>
      <c r="BX409" s="244">
        <f>IF(MOD(BW409,2)=0,BW409,BW409+1)</f>
        <v>0</v>
      </c>
      <c r="BY409" s="238">
        <f>IF(AJ409&lt;9,"",SUM(BX409-BW409))</f>
        <v>0</v>
      </c>
      <c r="BZ409" s="238">
        <f>IF(BY409=1,AK409,0)</f>
        <v>0</v>
      </c>
      <c r="CA409" s="243" t="str">
        <f>IF(BY409=0,AK409,0)</f>
        <v/>
      </c>
      <c r="CB409" s="238"/>
      <c r="CC409" s="238"/>
      <c r="CD409" s="242">
        <f>IF(W409,V409,0)</f>
        <v>0</v>
      </c>
      <c r="CE409" s="238">
        <f>IF(CD409&gt;0,AX409/3,0)</f>
        <v>0</v>
      </c>
      <c r="CF409" s="238">
        <f>ROUNDUP(CE409,0)</f>
        <v>0</v>
      </c>
      <c r="CG409" s="244">
        <f>IF(MOD(CF409,2)=0,CF409,CF409+1)</f>
        <v>0</v>
      </c>
      <c r="CH409" s="238">
        <f>IF(AX409&lt;9,"",SUM(CG409-CF409))</f>
        <v>0</v>
      </c>
      <c r="CI409" s="238">
        <f>IF(CH409=1,AY409,0)</f>
        <v>0</v>
      </c>
      <c r="CJ409" s="243" t="str">
        <f>IF(CH409=0,AY409,0)</f>
        <v/>
      </c>
      <c r="CK409" s="238"/>
      <c r="CL409" s="245">
        <f>IF(COUNT(F409,H409)=1,0,1)</f>
        <v>1</v>
      </c>
      <c r="CM409" s="245">
        <f>IF(COUNT(F409,U409)=1,0,1)</f>
        <v>1</v>
      </c>
      <c r="CN409" s="245">
        <f>IF(COUNT(H409,W409)=1,0,1)</f>
        <v>1</v>
      </c>
      <c r="CO409" s="245">
        <f>IF(COUNT(G409,V409)=2,0,1)</f>
        <v>1</v>
      </c>
      <c r="CP409" s="245">
        <f>IF(COUNT(U409,W409)=1,0,1)</f>
        <v>1</v>
      </c>
      <c r="CQ409" s="245">
        <f>IF(SUM(G409-V409)&gt;3,1,0)</f>
        <v>0</v>
      </c>
      <c r="CR409" s="245">
        <f>IF(SUM(G409-V409)&lt;-3,1,0)</f>
        <v>0</v>
      </c>
      <c r="CS409" s="264">
        <f>IF(AJ409=9,IF(AH409&lt;141,1,0),IF(AH409="",0,IF(AH409&gt;1,0,1)))</f>
        <v>0</v>
      </c>
      <c r="CT409" s="264">
        <f>IF(AX409=9,IF(AV409&lt;141,1,0),IF(AV409="",0,IF(AV409&gt;1,0,1)))</f>
        <v>0</v>
      </c>
      <c r="CU409" s="264">
        <f>IF(AI409="",0,IF(AI409&lt;502,0,1))</f>
        <v>0</v>
      </c>
      <c r="CV409" s="264">
        <f>IF(AW409="",0,IF(AW409&lt;502,0,1))</f>
        <v>0</v>
      </c>
      <c r="CW409" s="264">
        <f>IF(AI409="",IF(AJ409&lt;9,1,0),IF(AJ409&lt;9,1,0))</f>
        <v>0</v>
      </c>
      <c r="CX409" s="264">
        <f>IF(AW409="",IF(AX409&lt;9,1,0),IF(AX409&lt;9,1,0))</f>
        <v>0</v>
      </c>
      <c r="CY409" s="374"/>
      <c r="CZ409" s="374"/>
      <c r="DA409" s="374"/>
      <c r="DB409" s="374"/>
      <c r="DC409" s="265">
        <f>IF(AJ409="",0,SUM(CL409:CX409))</f>
        <v>0</v>
      </c>
      <c r="DD409" s="265">
        <f>IF(AJ409="",0,SUM(CL409,CS409,CU409,CW409))</f>
        <v>0</v>
      </c>
      <c r="DE409" s="265">
        <f>IF(AJ409="",0,SUM(CP409,CT409,CV409,CX409))</f>
        <v>0</v>
      </c>
      <c r="DF409" s="238"/>
      <c r="DG409" s="248">
        <f>SUM(G409-V409)</f>
        <v>0</v>
      </c>
      <c r="DH409" s="245">
        <f>IF(F409="",0,1)</f>
        <v>0</v>
      </c>
      <c r="DI409" s="245">
        <f t="shared" ref="DI409:DI412" si="1016">IF(DG409=0,DH409,DG409)</f>
        <v>0</v>
      </c>
      <c r="DJ409" s="245">
        <f t="shared" ref="DJ409:DJ412" si="1017">SIGN(DI409)</f>
        <v>0</v>
      </c>
      <c r="DK409" s="245" t="str">
        <f>IF(G409="","",IF(DJ409=1,"*",""))</f>
        <v/>
      </c>
      <c r="DL409" s="245" t="str">
        <f>IF(G409="","",IF(DJ409=-1,"*",IF(DJ409=0,"*","")))</f>
        <v/>
      </c>
      <c r="DM409" s="245">
        <v>2</v>
      </c>
      <c r="DN409" s="245" t="str">
        <f t="shared" ref="DN409:DN412" si="1018">CONCATENATE(DM409,DK409)</f>
        <v>2</v>
      </c>
      <c r="DO409" s="245" t="str">
        <f t="shared" ref="DO409:DO412" si="1019">CONCATENATE(DM409,DL409)</f>
        <v>2</v>
      </c>
      <c r="DP409" s="245">
        <f>SUM(DQ408)</f>
        <v>0</v>
      </c>
      <c r="DQ409" s="245">
        <f>SUM(DP408)</f>
        <v>0</v>
      </c>
      <c r="DR409" s="245">
        <f>IF(DK409="*",1,0)</f>
        <v>0</v>
      </c>
      <c r="DS409" s="245">
        <f>IF(DL409="*",1,0)</f>
        <v>0</v>
      </c>
      <c r="DT409" s="245">
        <f>IF(H399="",0,IF(DP409=DR409,1,0))</f>
        <v>0</v>
      </c>
      <c r="DU409" s="245">
        <f>IF(V409="",0,IF(DQ409=DS409,0,1))</f>
        <v>0</v>
      </c>
      <c r="DV409" s="267">
        <f>SUM(DT409)</f>
        <v>0</v>
      </c>
      <c r="DW409" s="267">
        <f>IF(V409="",0,SUM(DU409))</f>
        <v>0</v>
      </c>
      <c r="DX409" s="238">
        <f>IF(AK409="",0,1)</f>
        <v>0</v>
      </c>
      <c r="DY409" s="238">
        <f>IF(DG409=-3,1,0)</f>
        <v>0</v>
      </c>
      <c r="DZ409" s="238">
        <f>SUM(DX409:DY409)</f>
        <v>0</v>
      </c>
      <c r="EA409" s="238">
        <f>IF(AK409="",1,0)</f>
        <v>1</v>
      </c>
      <c r="EB409" s="238">
        <f>IF(DG409=3,1,0)</f>
        <v>0</v>
      </c>
      <c r="EC409" s="238">
        <f>SUM(EA409:EB409)</f>
        <v>1</v>
      </c>
      <c r="ED409" s="267">
        <f>IF(EC409=2,1,0)</f>
        <v>0</v>
      </c>
      <c r="EE409" s="267">
        <f>IF(DZ409=2,1,0)</f>
        <v>0</v>
      </c>
      <c r="EG409" s="166"/>
      <c r="EH409" s="238"/>
      <c r="EI409" s="238"/>
      <c r="EJ409" s="238"/>
      <c r="EK409" s="238"/>
      <c r="EL409" s="238"/>
      <c r="EM409" s="245">
        <f>IF(AK409="",0,1)</f>
        <v>0</v>
      </c>
      <c r="EN409" s="245">
        <f>SUM(AK409)</f>
        <v>0</v>
      </c>
      <c r="EO409" s="268">
        <f>SUM(AJ409)</f>
        <v>0</v>
      </c>
      <c r="EP409" s="268">
        <f>SUM(G409/3)</f>
        <v>0</v>
      </c>
      <c r="EQ409" s="268" t="e">
        <f>SUM(EO409/EP409)</f>
        <v>#DIV/0!</v>
      </c>
      <c r="ER409" s="268">
        <f>ROUNDDOWN(EP409,0)</f>
        <v>0</v>
      </c>
      <c r="ES409" s="268">
        <f>SUM(EO409,-ER409*3)</f>
        <v>0</v>
      </c>
      <c r="ET409" s="269" t="b">
        <f>MOD(EN409/1,2)=0</f>
        <v>1</v>
      </c>
      <c r="EU409" s="245">
        <f>IF(ET409=FALSE,1,0)</f>
        <v>0</v>
      </c>
      <c r="EV409" s="245">
        <f>IF(EN409=50,0,IF(EN409&lt;40,1,0))</f>
        <v>1</v>
      </c>
      <c r="EW409" s="245">
        <f>SUM(EU409:EV409)</f>
        <v>1</v>
      </c>
      <c r="EX409" s="267">
        <f>IF(EN409=1,1,IF(EN409=50,0,IF(ES409=1,IF(EN409&gt;40,1,0),0)))</f>
        <v>0</v>
      </c>
      <c r="EY409" s="267">
        <f>IF(ES409=1,IF(EW409=2,1,0),0)+EX409+FB409+FE409</f>
        <v>0</v>
      </c>
      <c r="EZ409" s="245">
        <f>IF(EN409=109,1,IF(EN409=108,1,IF(EN409=106,1,IF(EN409=105,1,IF(EN409=103,1,IF(EN409=102,1,IF(EN409=99,1,0)))))))</f>
        <v>0</v>
      </c>
      <c r="FA409" s="245">
        <f>IF(EN409&gt;110,1,0)</f>
        <v>0</v>
      </c>
      <c r="FB409" s="267">
        <f>IF(ES409=2,SUM(EZ409:FA409),0)</f>
        <v>0</v>
      </c>
      <c r="FC409" s="245">
        <f>IF(EN409=159,1,IF(EN409=162,1,IF(EN409=163,1,IF(EN409=165,1,IF(EN409=166,1,IF(EN409=168,1,IF(EN409=169,1,0)))))))</f>
        <v>0</v>
      </c>
      <c r="FD409" s="245">
        <f>IF(EN409&gt;170,1,0)</f>
        <v>0</v>
      </c>
      <c r="FE409" s="267">
        <f>IF(ES409=0,SUM(FC409:FD409),0)</f>
        <v>0</v>
      </c>
      <c r="FF409" s="251">
        <f t="shared" ref="FF409:FF412" si="1020">IF(AJ409="",0,IF(AI409="",0,IF(EO409/ER409-3=0,0,1)))</f>
        <v>0</v>
      </c>
      <c r="FG409" s="238"/>
      <c r="FH409" s="245">
        <f>IF(AY409="",0,1)</f>
        <v>0</v>
      </c>
      <c r="FI409" s="245">
        <f>SUM(AY409)</f>
        <v>0</v>
      </c>
      <c r="FJ409" s="268">
        <f>SUM(AX409)</f>
        <v>0</v>
      </c>
      <c r="FK409" s="268">
        <f>SUM(V409/3)</f>
        <v>0</v>
      </c>
      <c r="FL409" s="268" t="e">
        <f>SUM(FJ409/FK409)</f>
        <v>#DIV/0!</v>
      </c>
      <c r="FM409" s="268">
        <f>ROUNDDOWN(FK409,0)</f>
        <v>0</v>
      </c>
      <c r="FN409" s="268">
        <f>SUM(FJ409,-FM409*3)</f>
        <v>0</v>
      </c>
      <c r="FO409" s="269" t="b">
        <f>MOD(FI409/1,2)=0</f>
        <v>1</v>
      </c>
      <c r="FP409" s="245">
        <f>IF(FO409=FALSE,1,0)</f>
        <v>0</v>
      </c>
      <c r="FQ409" s="245">
        <f>IF(FI409=50,0,IF(FI409&lt;40,1,0))</f>
        <v>1</v>
      </c>
      <c r="FR409" s="245">
        <f>SUM(FP409:FQ409)</f>
        <v>1</v>
      </c>
      <c r="FS409" s="267">
        <f>IF(FI409=1,1,IF(FI409=50,0,IF(FN409=1,IF(FI409&gt;40,1,0),0)))</f>
        <v>0</v>
      </c>
      <c r="FT409" s="267">
        <f>IF(FN409=1,IF(FR409=2,1,0),0)+FS409+FW409+FZ409</f>
        <v>0</v>
      </c>
      <c r="FU409" s="245">
        <f>IF(FI409=109,1,IF(FI409=108,1,IF(FI409=106,1,IF(FI409=105,1,IF(FI409=103,1,IF(FI409=102,1,IF(FI409=99,1,0)))))))</f>
        <v>0</v>
      </c>
      <c r="FV409" s="245">
        <f>IF(FI409&gt;110,1,0)</f>
        <v>0</v>
      </c>
      <c r="FW409" s="267">
        <f>IF(FN409=2,SUM(FU409:FV409),0)</f>
        <v>0</v>
      </c>
      <c r="FX409" s="245">
        <f>IF(FI409=159,1,IF(FI409=162,1,IF(FI409=163,1,IF(FI409=165,1,IF(FI409=166,1,IF(FI409=168,1,IF(FI409=169,1,0)))))))</f>
        <v>0</v>
      </c>
      <c r="FY409" s="245">
        <f>IF(FI409&gt;170,1,0)</f>
        <v>0</v>
      </c>
      <c r="FZ409" s="267">
        <f>IF(FN409=0,SUM(FX409:FY409),0)</f>
        <v>0</v>
      </c>
      <c r="GA409" s="251">
        <f t="shared" ref="GA409:GA412" si="1021">IF(AX409="",0,IF(AW409="",0,IF(FJ409/FM409-3=0,0,1)))</f>
        <v>0</v>
      </c>
      <c r="GC409" s="238" t="str">
        <f>VLOOKUP(AH405,Chema!BL:BR,2,FALSE)</f>
        <v>HD 4.1</v>
      </c>
      <c r="GD409" s="341">
        <f>IF(E415="FORFAIT",1,0)</f>
        <v>0</v>
      </c>
      <c r="GE409" s="343" t="str">
        <f>IF(C415="","",SUM(C415))</f>
        <v/>
      </c>
      <c r="GF409" s="344">
        <f>SUM(AH408)</f>
        <v>0</v>
      </c>
      <c r="GG409" s="344">
        <f>SUM(AJ408)</f>
        <v>0</v>
      </c>
      <c r="GH409" s="344">
        <f t="shared" ref="GH409" si="1022">SUM(AK408)</f>
        <v>0</v>
      </c>
      <c r="GI409" s="344">
        <f t="shared" ref="GI409" si="1023">SUM(AL408)</f>
        <v>0</v>
      </c>
      <c r="GJ409" s="344">
        <f>SUM(AH409)</f>
        <v>0</v>
      </c>
      <c r="GK409" s="344">
        <f>SUM(AJ409)</f>
        <v>0</v>
      </c>
      <c r="GL409" s="344">
        <f>SUM(AK409)</f>
        <v>0</v>
      </c>
      <c r="GM409" s="344">
        <f>SUM(AL409)</f>
        <v>0</v>
      </c>
      <c r="GN409" s="344">
        <f>SUM(AH410)</f>
        <v>0</v>
      </c>
      <c r="GO409" s="344">
        <f>SUM(AJ410)</f>
        <v>0</v>
      </c>
      <c r="GP409" s="344">
        <f>SUM(AK410)</f>
        <v>0</v>
      </c>
      <c r="GQ409" s="344">
        <f>SUM(AL410)</f>
        <v>0</v>
      </c>
      <c r="GR409" s="344">
        <f>SUM(AH411)</f>
        <v>0</v>
      </c>
      <c r="GS409" s="344">
        <f>SUM(AJ411)</f>
        <v>0</v>
      </c>
      <c r="GT409" s="344">
        <f>SUM(AK411)</f>
        <v>0</v>
      </c>
      <c r="GU409" s="344">
        <f>SUM(AL411)</f>
        <v>0</v>
      </c>
      <c r="GV409" s="344">
        <f>SUM(AH412)</f>
        <v>0</v>
      </c>
      <c r="GW409" s="344">
        <f>SUM(AJ412)</f>
        <v>0</v>
      </c>
      <c r="GX409" s="344">
        <f>SUM(AK412)</f>
        <v>0</v>
      </c>
      <c r="GY409" s="344">
        <f>SUM(AL412)</f>
        <v>0</v>
      </c>
      <c r="GZ409" s="344">
        <f>SUM(GF409,GJ409,GN409,GR409,GV409)</f>
        <v>0</v>
      </c>
      <c r="HA409" s="344">
        <f t="shared" ref="HA409" si="1024">SUM(GG409,GK409,GO409,GS409,GW409)</f>
        <v>0</v>
      </c>
      <c r="HB409" s="344" t="str">
        <f>IF(GD408=1,L415,MAX(GH409,GL409,GP409,GT409,GX409))</f>
        <v/>
      </c>
      <c r="HC409" s="344">
        <f>IF(GD408=1,I415,SUM(GI409,GM409,GQ409,GU409,GY409))</f>
        <v>0</v>
      </c>
      <c r="HD409" s="345">
        <f>IF(GD408=1,0,SUM(GF409,GJ409,GN409,GR409,GV409))</f>
        <v>0</v>
      </c>
      <c r="HE409" s="345">
        <f>IF(GD408=1,0,SUM(GG409,GK409,GO409,GS409,GW409))</f>
        <v>0</v>
      </c>
      <c r="HF409" s="341">
        <f>IF(GD408=1,0,MIN(HI409,HJ409,HK409,HL409,HM409))</f>
        <v>0</v>
      </c>
      <c r="HG409" s="341">
        <f>IF(HF409=0,0,COUNTIF(HI409:HM409,HF409))</f>
        <v>0</v>
      </c>
      <c r="HH409" s="341">
        <f>SUM(GH410,GL410,GP410,GT410,GX410)</f>
        <v>0</v>
      </c>
      <c r="HI409" s="343" t="str">
        <f>IF(GH410=1,GG409,"")</f>
        <v/>
      </c>
      <c r="HJ409" s="343" t="str">
        <f>IF(GL410=1,GK409,"")</f>
        <v/>
      </c>
      <c r="HK409" s="343" t="str">
        <f>IF(GP410=1,GO409,"")</f>
        <v/>
      </c>
      <c r="HL409" s="343" t="str">
        <f>IF(GT410=1,GS409,"")</f>
        <v/>
      </c>
      <c r="HM409" s="343" t="str">
        <f>IF(GX410=1,GW409,"")</f>
        <v/>
      </c>
      <c r="HN409" s="341"/>
      <c r="HO409" s="341" t="s">
        <v>928</v>
      </c>
      <c r="HP409" s="341" t="s">
        <v>982</v>
      </c>
      <c r="HQ409" s="341" t="s">
        <v>983</v>
      </c>
      <c r="HR409" s="341" t="s">
        <v>984</v>
      </c>
      <c r="HS409" s="238" t="s">
        <v>932</v>
      </c>
      <c r="HT409" s="238" t="s">
        <v>933</v>
      </c>
      <c r="HU409" s="238" t="s">
        <v>985</v>
      </c>
      <c r="HV409" s="238" t="s">
        <v>986</v>
      </c>
      <c r="HW409" s="238" t="str">
        <f>IFERROR(IF(GD408=0,SUM(HZ410:IA410),""),"")</f>
        <v/>
      </c>
      <c r="HY409" s="238"/>
      <c r="HZ409" s="238" t="s">
        <v>1132</v>
      </c>
      <c r="IA409" s="238" t="s">
        <v>1133</v>
      </c>
      <c r="IB409" s="238" t="s">
        <v>1132</v>
      </c>
      <c r="IC409" s="238" t="s">
        <v>1133</v>
      </c>
      <c r="ID409" s="238"/>
    </row>
    <row r="410" spans="1:238" s="234" customFormat="1" ht="20.100000000000001" customHeight="1">
      <c r="A410" s="235"/>
      <c r="B410" s="231">
        <f>COUNT(AJ411,AJ410)</f>
        <v>0</v>
      </c>
      <c r="C410" s="235"/>
      <c r="D410" s="271" t="str">
        <f>REPT(DN410,1)</f>
        <v>3</v>
      </c>
      <c r="E410" s="254" t="str">
        <f>REPT(AH410,1)</f>
        <v/>
      </c>
      <c r="F410" s="168"/>
      <c r="G410" s="168"/>
      <c r="H410" s="168"/>
      <c r="I410" s="169"/>
      <c r="J410" s="270" t="str">
        <f t="shared" ref="J410:J411" si="1025">REPT(AM410,1)</f>
        <v/>
      </c>
      <c r="L410" s="312">
        <f>SUM(L408*3)</f>
        <v>0</v>
      </c>
      <c r="M410" s="307"/>
      <c r="N410" s="270" t="str">
        <f>REPT(AP410,1)</f>
        <v/>
      </c>
      <c r="P410" s="312">
        <f>SUM(P408*3)</f>
        <v>0</v>
      </c>
      <c r="Q410" s="310"/>
      <c r="R410" s="235"/>
      <c r="S410" s="271" t="str">
        <f>REPT(DO410,1)</f>
        <v>3</v>
      </c>
      <c r="T410" s="254" t="str">
        <f>REPT(AV410,1)</f>
        <v/>
      </c>
      <c r="U410" s="168"/>
      <c r="V410" s="168"/>
      <c r="W410" s="168"/>
      <c r="X410" s="169"/>
      <c r="Y410" s="270" t="str">
        <f t="shared" si="1008"/>
        <v/>
      </c>
      <c r="Z410" s="308"/>
      <c r="AB410" s="234">
        <f>IF(AY410="",0,IF(AY410&lt;2,1,""))</f>
        <v>0</v>
      </c>
      <c r="AC410" s="238">
        <f t="shared" si="1009"/>
        <v>0</v>
      </c>
      <c r="AD410" s="256">
        <f t="shared" si="1010"/>
        <v>0</v>
      </c>
      <c r="AE410" s="256">
        <f t="shared" si="1004"/>
        <v>0</v>
      </c>
      <c r="AF410" s="256">
        <f t="shared" si="1005"/>
        <v>0</v>
      </c>
      <c r="AG410" s="256">
        <f t="shared" si="1011"/>
        <v>0</v>
      </c>
      <c r="AH410" s="257" t="str">
        <f>IF(AK410="",IF(AI410="","",IF(AI410="",501,501-AI410)),501)</f>
        <v/>
      </c>
      <c r="AI410" s="256" t="str">
        <f>IF(F410&gt;1,F410,IF(F410=0,"",IF(F410="","","")))</f>
        <v/>
      </c>
      <c r="AJ410" s="256" t="str">
        <f>IF(G410&gt;8,G410,IF(G410="","",""))</f>
        <v/>
      </c>
      <c r="AK410" s="256" t="str">
        <f>IF(H410&gt;1,H410,IF(H410="","",""))</f>
        <v/>
      </c>
      <c r="AL410" s="256" t="str">
        <f>IF(I410&gt;0,I410,IF(I410="","",""))</f>
        <v/>
      </c>
      <c r="AM410" s="258" t="str">
        <f>IF(BK410=0,"","X")</f>
        <v/>
      </c>
      <c r="AN410" s="237"/>
      <c r="AO410" s="237"/>
      <c r="AP410" s="258" t="str">
        <f>IF(BM410=0,"","X")</f>
        <v/>
      </c>
      <c r="AQ410" s="236">
        <f t="shared" si="1012"/>
        <v>0</v>
      </c>
      <c r="AR410" s="256">
        <f t="shared" si="1013"/>
        <v>0</v>
      </c>
      <c r="AS410" s="256">
        <f t="shared" si="1006"/>
        <v>0</v>
      </c>
      <c r="AT410" s="256">
        <f t="shared" si="1007"/>
        <v>0</v>
      </c>
      <c r="AU410" s="256">
        <f t="shared" si="1014"/>
        <v>0</v>
      </c>
      <c r="AV410" s="257" t="str">
        <f>IF(AY410="",IF(AW410="","",IF(AW410="",501,501-AW410)),501)</f>
        <v/>
      </c>
      <c r="AW410" s="256" t="str">
        <f>IF(U410&gt;1,U410,IF(U410=0,"",IF(U410="","","")))</f>
        <v/>
      </c>
      <c r="AX410" s="256" t="str">
        <f>IF(V410&gt;8,V410,IF(V410="","",""))</f>
        <v/>
      </c>
      <c r="AY410" s="256" t="str">
        <f>IF(W410&gt;1,W410,IF(W410="","",""))</f>
        <v/>
      </c>
      <c r="AZ410" s="256" t="str">
        <f>IF(X410&gt;0,X410,IF(X410="","",""))</f>
        <v/>
      </c>
      <c r="BA410" s="258" t="str">
        <f>IF(BL410=0,"","X")</f>
        <v/>
      </c>
      <c r="BK410" s="251">
        <f>SUM(DD410,DV410,EY410,ED410,FF410,BQ410,BS410,AC410,BK417)</f>
        <v>0</v>
      </c>
      <c r="BL410" s="251">
        <f>SUM(DE410,DW410,EE410,FT410,GA410,BR410,BT410,AQ410,BL417,CZ410)</f>
        <v>0</v>
      </c>
      <c r="BM410" s="259">
        <f t="shared" si="1015"/>
        <v>0</v>
      </c>
      <c r="BN410" s="239">
        <f>COUNT(AK410)</f>
        <v>0</v>
      </c>
      <c r="BO410" s="239">
        <f>COUNT(AY410)</f>
        <v>0</v>
      </c>
      <c r="BP410" s="239">
        <f>IF(BN412=0,0,1)</f>
        <v>0</v>
      </c>
      <c r="BQ410" s="260">
        <f>IF(AL410="",0,IF(AL410&gt;2,1,0))</f>
        <v>0</v>
      </c>
      <c r="BR410" s="261">
        <f>IF(AZ410="",0,IF(AZ410&gt;2,1,0))</f>
        <v>0</v>
      </c>
      <c r="BS410" s="262">
        <f>IF(AJ410=9,IF(AK410&lt;141,1,0),0)</f>
        <v>0</v>
      </c>
      <c r="BT410" s="263">
        <f>IF(AX410=9,IF(AY410&lt;141,1,0),0)</f>
        <v>0</v>
      </c>
      <c r="BU410" s="242">
        <f>IF(H410,G410,0)</f>
        <v>0</v>
      </c>
      <c r="BV410" s="238">
        <f>IF(BU410&gt;0,AJ410/3,0)</f>
        <v>0</v>
      </c>
      <c r="BW410" s="238">
        <f>ROUNDUP(BV410,0)</f>
        <v>0</v>
      </c>
      <c r="BX410" s="244">
        <f>IF(MOD(BW410,2)=0,BW410,BW410+1)</f>
        <v>0</v>
      </c>
      <c r="BY410" s="238">
        <f>IF(AJ410&lt;9,"",SUM(BX410-BW410))</f>
        <v>0</v>
      </c>
      <c r="BZ410" s="238">
        <f>IF(BY410=1,AK410,0)</f>
        <v>0</v>
      </c>
      <c r="CA410" s="243" t="str">
        <f>IF(BY410=0,AK410,0)</f>
        <v/>
      </c>
      <c r="CB410" s="238"/>
      <c r="CC410" s="238"/>
      <c r="CD410" s="242">
        <f>IF(W410,V410,0)</f>
        <v>0</v>
      </c>
      <c r="CE410" s="238">
        <f>IF(CD410&gt;0,AX410/3,0)</f>
        <v>0</v>
      </c>
      <c r="CF410" s="238">
        <f>ROUNDUP(CE410,0)</f>
        <v>0</v>
      </c>
      <c r="CG410" s="244">
        <f>IF(MOD(CF410,2)=0,CF410,CF410+1)</f>
        <v>0</v>
      </c>
      <c r="CH410" s="238">
        <f>IF(AX410&lt;9,"",SUM(CG410-CF410))</f>
        <v>0</v>
      </c>
      <c r="CI410" s="238">
        <f>IF(CH410=1,AY410,0)</f>
        <v>0</v>
      </c>
      <c r="CJ410" s="243" t="str">
        <f>IF(CH410=0,AY410,0)</f>
        <v/>
      </c>
      <c r="CK410" s="238"/>
      <c r="CL410" s="245">
        <f>IF(COUNT(F410,H410)=1,0,1)</f>
        <v>1</v>
      </c>
      <c r="CM410" s="245">
        <f>IF(COUNT(F410,U410)=1,0,1)</f>
        <v>1</v>
      </c>
      <c r="CN410" s="245">
        <f>IF(COUNT(H410,W410)=1,0,1)</f>
        <v>1</v>
      </c>
      <c r="CO410" s="245">
        <f>IF(COUNT(G410,V410)=2,0,1)</f>
        <v>1</v>
      </c>
      <c r="CP410" s="245">
        <f>IF(COUNT(U410,W410)=1,0,1)</f>
        <v>1</v>
      </c>
      <c r="CQ410" s="245">
        <f>IF(SUM(G410-V410)&gt;3,1,0)</f>
        <v>0</v>
      </c>
      <c r="CR410" s="245">
        <f>IF(SUM(G410-V410)&lt;-3,1,0)</f>
        <v>0</v>
      </c>
      <c r="CS410" s="264">
        <f>IF(AJ410=9,IF(AH410&lt;141,1,0),IF(AH410="",0,IF(AH410&gt;1,0,1)))</f>
        <v>0</v>
      </c>
      <c r="CT410" s="264">
        <f>IF(AX410=9,IF(AV410&lt;141,1,0),IF(AV410="",0,IF(AV410&gt;1,0,1)))</f>
        <v>0</v>
      </c>
      <c r="CU410" s="264">
        <f>IF(AI410="",0,IF(AI410&lt;502,0,1))</f>
        <v>0</v>
      </c>
      <c r="CV410" s="264">
        <f>IF(AW410="",0,IF(AW410&lt;502,0,1))</f>
        <v>0</v>
      </c>
      <c r="CW410" s="264">
        <f>IF(AI410="",IF(AJ410&lt;9,1,0),IF(AJ410&lt;9,1,0))</f>
        <v>0</v>
      </c>
      <c r="CX410" s="264">
        <f>IF(AW410="",IF(AX410&lt;9,1,0),IF(AX410&lt;9,1,0))</f>
        <v>0</v>
      </c>
      <c r="CY410" s="374">
        <f>COUNT(U408,U409,U410)</f>
        <v>0</v>
      </c>
      <c r="CZ410" s="375">
        <f>IF(AL405=3,IF(CY410&gt;2,1,0),0)</f>
        <v>0</v>
      </c>
      <c r="DA410" s="374"/>
      <c r="DB410" s="374"/>
      <c r="DC410" s="265">
        <f>IF(AJ410="",0,SUM(CL410:CX410))</f>
        <v>0</v>
      </c>
      <c r="DD410" s="265">
        <f>IF(AJ410="",0,SUM(CL410,CS410,CU410,CW410))</f>
        <v>0</v>
      </c>
      <c r="DE410" s="265">
        <f>IF(AJ410="",0,SUM(CP410,CT410,CV410,CX410))</f>
        <v>0</v>
      </c>
      <c r="DF410" s="238"/>
      <c r="DG410" s="248">
        <f>SUM(G410-V410)</f>
        <v>0</v>
      </c>
      <c r="DH410" s="245">
        <f>IF(F410="",0,1)</f>
        <v>0</v>
      </c>
      <c r="DI410" s="245">
        <f t="shared" si="1016"/>
        <v>0</v>
      </c>
      <c r="DJ410" s="245">
        <f t="shared" si="1017"/>
        <v>0</v>
      </c>
      <c r="DK410" s="245" t="str">
        <f>IF(G410="","",IF(DJ410=1,"*",""))</f>
        <v/>
      </c>
      <c r="DL410" s="245" t="str">
        <f>IF(G410="","",IF(DJ410=-1,"*",IF(DJ410=0,"*","")))</f>
        <v/>
      </c>
      <c r="DM410" s="245">
        <v>3</v>
      </c>
      <c r="DN410" s="245" t="str">
        <f t="shared" si="1018"/>
        <v>3</v>
      </c>
      <c r="DO410" s="245" t="str">
        <f t="shared" si="1019"/>
        <v>3</v>
      </c>
      <c r="DP410" s="245">
        <f>SUM(DP408)</f>
        <v>0</v>
      </c>
      <c r="DQ410" s="245">
        <f>SUM(DQ408)</f>
        <v>0</v>
      </c>
      <c r="DR410" s="245">
        <f t="shared" ref="DR410:DR412" si="1026">IF(DK410="*",1,0)</f>
        <v>0</v>
      </c>
      <c r="DS410" s="245">
        <f t="shared" ref="DS410:DS412" si="1027">IF(DL410="*",1,0)</f>
        <v>0</v>
      </c>
      <c r="DT410" s="245">
        <f t="shared" ref="DT410:DT412" si="1028">IF(H400="",0,IF(DP410=DR410,1,0))</f>
        <v>0</v>
      </c>
      <c r="DU410" s="245">
        <f>IF(V410="",0,IF(DQ410=DS410,0,1))</f>
        <v>0</v>
      </c>
      <c r="DV410" s="267">
        <f t="shared" ref="DV410:DV412" si="1029">SUM(DT410)</f>
        <v>0</v>
      </c>
      <c r="DW410" s="267">
        <f>IF(V410="",0,SUM(DU410))</f>
        <v>0</v>
      </c>
      <c r="DX410" s="238">
        <f>IF(AK410="",0,1)</f>
        <v>0</v>
      </c>
      <c r="DY410" s="238">
        <f>IF(DG410=-3,1,0)</f>
        <v>0</v>
      </c>
      <c r="DZ410" s="238">
        <f>SUM(DX410:DY410)</f>
        <v>0</v>
      </c>
      <c r="EA410" s="238">
        <f>IF(AK410="",1,0)</f>
        <v>1</v>
      </c>
      <c r="EB410" s="238">
        <f>IF(DG410=3,1,0)</f>
        <v>0</v>
      </c>
      <c r="EC410" s="238">
        <f>SUM(EA410:EB410)</f>
        <v>1</v>
      </c>
      <c r="ED410" s="267">
        <f>IF(EC410=2,1,0)</f>
        <v>0</v>
      </c>
      <c r="EE410" s="267">
        <f>IF(DZ410=2,1,0)</f>
        <v>0</v>
      </c>
      <c r="EG410" s="166"/>
      <c r="EH410" s="238"/>
      <c r="EI410" s="238"/>
      <c r="EJ410" s="238"/>
      <c r="EK410" s="238"/>
      <c r="EL410" s="238"/>
      <c r="EM410" s="245">
        <f>IF(AK410="",0,1)</f>
        <v>0</v>
      </c>
      <c r="EN410" s="245">
        <f>SUM(AK410)</f>
        <v>0</v>
      </c>
      <c r="EO410" s="268">
        <f>SUM(AJ410)</f>
        <v>0</v>
      </c>
      <c r="EP410" s="268">
        <f>SUM(G410/3)</f>
        <v>0</v>
      </c>
      <c r="EQ410" s="268" t="e">
        <f>SUM(EO410/EP410)</f>
        <v>#DIV/0!</v>
      </c>
      <c r="ER410" s="268">
        <f>ROUNDDOWN(EP410,0)</f>
        <v>0</v>
      </c>
      <c r="ES410" s="268">
        <f>SUM(EO410,-ER410*3)</f>
        <v>0</v>
      </c>
      <c r="ET410" s="269" t="b">
        <f>MOD(EN410/1,2)=0</f>
        <v>1</v>
      </c>
      <c r="EU410" s="245">
        <f>IF(ET410=FALSE,1,0)</f>
        <v>0</v>
      </c>
      <c r="EV410" s="245">
        <f>IF(EN410=50,0,IF(EN410&lt;40,1,0))</f>
        <v>1</v>
      </c>
      <c r="EW410" s="245">
        <f>SUM(EU410:EV410)</f>
        <v>1</v>
      </c>
      <c r="EX410" s="267">
        <f>IF(EN410=1,1,IF(EN410=50,0,IF(ES410=1,IF(EN410&gt;40,1,0),0)))</f>
        <v>0</v>
      </c>
      <c r="EY410" s="267">
        <f>IF(ES410=1,IF(EW410=2,1,0),0)+EX410+FB410+FE410</f>
        <v>0</v>
      </c>
      <c r="EZ410" s="245">
        <f>IF(EN410=109,1,IF(EN410=108,1,IF(EN410=106,1,IF(EN410=105,1,IF(EN410=103,1,IF(EN410=102,1,IF(EN410=99,1,0)))))))</f>
        <v>0</v>
      </c>
      <c r="FA410" s="245">
        <f>IF(EN410&gt;110,1,0)</f>
        <v>0</v>
      </c>
      <c r="FB410" s="267">
        <f>IF(ES410=2,SUM(EZ410:FA410),0)</f>
        <v>0</v>
      </c>
      <c r="FC410" s="245">
        <f>IF(EN410=159,1,IF(EN410=162,1,IF(EN410=163,1,IF(EN410=165,1,IF(EN410=166,1,IF(EN410=168,1,IF(EN410=169,1,0)))))))</f>
        <v>0</v>
      </c>
      <c r="FD410" s="245">
        <f>IF(EN410&gt;170,1,0)</f>
        <v>0</v>
      </c>
      <c r="FE410" s="267">
        <f>IF(ES410=0,SUM(FC410:FD410),0)</f>
        <v>0</v>
      </c>
      <c r="FF410" s="251">
        <f t="shared" si="1020"/>
        <v>0</v>
      </c>
      <c r="FG410" s="238"/>
      <c r="FH410" s="245">
        <f>IF(AY410="",0,1)</f>
        <v>0</v>
      </c>
      <c r="FI410" s="245">
        <f>SUM(AY410)</f>
        <v>0</v>
      </c>
      <c r="FJ410" s="268">
        <f>SUM(AX410)</f>
        <v>0</v>
      </c>
      <c r="FK410" s="268">
        <f>SUM(V410/3)</f>
        <v>0</v>
      </c>
      <c r="FL410" s="268" t="e">
        <f>SUM(FJ410/FK410)</f>
        <v>#DIV/0!</v>
      </c>
      <c r="FM410" s="268">
        <f>ROUNDDOWN(FK410,0)</f>
        <v>0</v>
      </c>
      <c r="FN410" s="268">
        <f>SUM(FJ410,-FM410*3)</f>
        <v>0</v>
      </c>
      <c r="FO410" s="269" t="b">
        <f>MOD(FI410/1,2)=0</f>
        <v>1</v>
      </c>
      <c r="FP410" s="245">
        <f>IF(FO410=FALSE,1,0)</f>
        <v>0</v>
      </c>
      <c r="FQ410" s="245">
        <f>IF(FI410=50,0,IF(FI410&lt;40,1,0))</f>
        <v>1</v>
      </c>
      <c r="FR410" s="245">
        <f>SUM(FP410:FQ410)</f>
        <v>1</v>
      </c>
      <c r="FS410" s="267">
        <f>IF(FI410=1,1,IF(FI410=50,0,IF(FN410=1,IF(FI410&gt;40,1,0),0)))</f>
        <v>0</v>
      </c>
      <c r="FT410" s="267">
        <f>IF(FN410=1,IF(FR410=2,1,0),0)+FS410+FW410+FZ410</f>
        <v>0</v>
      </c>
      <c r="FU410" s="245">
        <f>IF(FI410=109,1,IF(FI410=108,1,IF(FI410=106,1,IF(FI410=105,1,IF(FI410=103,1,IF(FI410=102,1,IF(FI410=99,1,0)))))))</f>
        <v>0</v>
      </c>
      <c r="FV410" s="245">
        <f>IF(FI410&gt;110,1,0)</f>
        <v>0</v>
      </c>
      <c r="FW410" s="267">
        <f>IF(FN410=2,SUM(FU410:FV410),0)</f>
        <v>0</v>
      </c>
      <c r="FX410" s="245">
        <f>IF(FI410=159,1,IF(FI410=162,1,IF(FI410=163,1,IF(FI410=165,1,IF(FI410=166,1,IF(FI410=168,1,IF(FI410=169,1,0)))))))</f>
        <v>0</v>
      </c>
      <c r="FY410" s="245">
        <f>IF(FI410&gt;170,1,0)</f>
        <v>0</v>
      </c>
      <c r="FZ410" s="267">
        <f>IF(FN410=0,SUM(FX410:FY410),0)</f>
        <v>0</v>
      </c>
      <c r="GA410" s="251">
        <f t="shared" si="1021"/>
        <v>0</v>
      </c>
      <c r="GC410" s="238" t="str">
        <f>VLOOKUP(AH405,Chema!BL:BR,3,FALSE)</f>
        <v>HD 4.1.2</v>
      </c>
      <c r="GD410" s="341"/>
      <c r="GE410" s="343" t="str">
        <f>IF(C416="","",SUM(C416))</f>
        <v/>
      </c>
      <c r="GF410" s="346"/>
      <c r="GG410" s="340"/>
      <c r="GH410" s="343">
        <f>IF(GH409&gt;0,1,0)</f>
        <v>0</v>
      </c>
      <c r="GI410" s="346"/>
      <c r="GJ410" s="343"/>
      <c r="GK410" s="340"/>
      <c r="GL410" s="343">
        <f>IF(GL409&gt;0,1,0)</f>
        <v>0</v>
      </c>
      <c r="GM410" s="343"/>
      <c r="GN410" s="343"/>
      <c r="GO410" s="340"/>
      <c r="GP410" s="343">
        <f>IF(GP409&gt;0,1,0)</f>
        <v>0</v>
      </c>
      <c r="GQ410" s="343"/>
      <c r="GR410" s="343"/>
      <c r="GS410" s="340"/>
      <c r="GT410" s="343">
        <f>IF(GT409&gt;0,1,0)</f>
        <v>0</v>
      </c>
      <c r="GU410" s="343"/>
      <c r="GV410" s="343"/>
      <c r="GW410" s="340"/>
      <c r="GX410" s="343">
        <f>IF(GX409&gt;0,1,0)</f>
        <v>0</v>
      </c>
      <c r="GY410" s="343"/>
      <c r="GZ410" s="343"/>
      <c r="HA410" s="343"/>
      <c r="HB410" s="343" t="str">
        <f>IF(GD408=1,L416,"")</f>
        <v/>
      </c>
      <c r="HC410" s="343">
        <f>IF(GD408=1,I416,"")</f>
        <v>0</v>
      </c>
      <c r="HD410" s="345"/>
      <c r="HE410" s="340"/>
      <c r="HF410" s="340"/>
      <c r="HG410" s="347">
        <f>IF(GE409="",0,IF(AL405=3,2,IF(AL405=5,3,0)))</f>
        <v>0</v>
      </c>
      <c r="HH410" s="347">
        <f>IF(HK410=0,0,IF(HG412=0,0,1))</f>
        <v>0</v>
      </c>
      <c r="HI410" s="340"/>
      <c r="HJ410" s="340"/>
      <c r="HK410" s="340">
        <f>SUM(HM408,HM412)</f>
        <v>0</v>
      </c>
      <c r="HL410" s="340">
        <f>IF(HK410=0,0,IF(HM408=HG410,1,0))</f>
        <v>0</v>
      </c>
      <c r="HM410" s="340">
        <f>IF(HK410=0,0,IF(HM412=HG410,1,0))</f>
        <v>0</v>
      </c>
      <c r="HN410" s="341" t="str">
        <f>REPT(N405,1)</f>
        <v>Spiel 29</v>
      </c>
      <c r="HO410" s="348" t="str">
        <f>IF(HK410=0,"",IF(HH410=0,SUM(HH409),""))</f>
        <v/>
      </c>
      <c r="HP410" s="348" t="str">
        <f>IF(HK410=0,"",IF(HH410=0,SUM(HH411),""))</f>
        <v/>
      </c>
      <c r="HQ410" s="348" t="e">
        <f>IF(HH410=0,SUM(GZ409/HA409),"")</f>
        <v>#DIV/0!</v>
      </c>
      <c r="HR410" s="348" t="e">
        <f>IF(HH410=0,SUM(GZ411/HA411),"")</f>
        <v>#DIV/0!</v>
      </c>
      <c r="HS410" s="238" t="str">
        <f>REPT(DK408,1)</f>
        <v/>
      </c>
      <c r="HT410" s="238" t="str">
        <f>REPT(DL408,1)</f>
        <v/>
      </c>
      <c r="HU410" s="238">
        <f>IF(HH410=0,HL410,"")</f>
        <v>0</v>
      </c>
      <c r="HV410" s="238">
        <f>IF(HH410=0,HM410,"")</f>
        <v>0</v>
      </c>
      <c r="HW410" s="238" t="s">
        <v>1131</v>
      </c>
      <c r="HY410" s="238"/>
      <c r="HZ410" s="238" t="str">
        <f>IF(AL405=5,IF(HU410=1,SUM(HO410*2-HP410),HO410+HP410-2),"")</f>
        <v/>
      </c>
      <c r="IA410" s="238" t="e">
        <f>IF(AL405=3,IF(HU410=1,SUM(HO410-HP410+3),HO410+HP410-1),"")</f>
        <v>#VALUE!</v>
      </c>
      <c r="IB410" s="238" t="str">
        <f>IF(AL405=5,IF(HV410=1,SUM(HP410*2-HO410),HO410+HP410-2),"")</f>
        <v/>
      </c>
      <c r="IC410" s="238" t="e">
        <f>IF(AL405=3,IF(HV410=1,SUM(HP410-HO410+3),HO410+HP410-1),"")</f>
        <v>#VALUE!</v>
      </c>
      <c r="ID410" s="238">
        <f>SUM(BM414)</f>
        <v>0</v>
      </c>
    </row>
    <row r="411" spans="1:238" s="234" customFormat="1" ht="20.100000000000001" customHeight="1">
      <c r="A411" s="235"/>
      <c r="B411" s="231">
        <f>COUNT(AJ412,AJ411)</f>
        <v>0</v>
      </c>
      <c r="C411" s="235"/>
      <c r="D411" s="328" t="str">
        <f>REPT(DN411,1)</f>
        <v>4</v>
      </c>
      <c r="E411" s="329" t="str">
        <f>REPT(AH411,1)</f>
        <v/>
      </c>
      <c r="F411" s="330"/>
      <c r="G411" s="330"/>
      <c r="H411" s="330"/>
      <c r="I411" s="331"/>
      <c r="J411" s="270" t="str">
        <f t="shared" si="1025"/>
        <v/>
      </c>
      <c r="M411" s="311"/>
      <c r="N411" s="270" t="str">
        <f>REPT(AP411,1)</f>
        <v/>
      </c>
      <c r="Q411" s="310"/>
      <c r="R411" s="235"/>
      <c r="S411" s="328" t="str">
        <f>REPT(DO411,1)</f>
        <v>4</v>
      </c>
      <c r="T411" s="329" t="str">
        <f>REPT(AV411,1)</f>
        <v/>
      </c>
      <c r="U411" s="330"/>
      <c r="V411" s="330"/>
      <c r="W411" s="330"/>
      <c r="X411" s="331"/>
      <c r="Y411" s="270" t="str">
        <f t="shared" si="1008"/>
        <v/>
      </c>
      <c r="Z411" s="308"/>
      <c r="AA411" s="238">
        <f>SUM(AL405)</f>
        <v>3</v>
      </c>
      <c r="AB411" s="234">
        <f>IF(AY411="",0,IF(AY411&lt;2,1,""))</f>
        <v>0</v>
      </c>
      <c r="AC411" s="238">
        <f>IF(AL405=3,0,IF(AD411=1,1,IF(AD411=3,1,IF(AD411=2,0,IF(AD411=0,0,0)))))</f>
        <v>0</v>
      </c>
      <c r="AD411" s="256">
        <f t="shared" si="1010"/>
        <v>0</v>
      </c>
      <c r="AE411" s="256">
        <f t="shared" si="1004"/>
        <v>0</v>
      </c>
      <c r="AF411" s="256">
        <f t="shared" si="1005"/>
        <v>0</v>
      </c>
      <c r="AG411" s="256">
        <f t="shared" si="1011"/>
        <v>0</v>
      </c>
      <c r="AH411" s="257" t="str">
        <f>IF(AL405=3,"",IF(AK411="",IF(AI411="","",IF(AI411="",501,501-AI411)),501))</f>
        <v/>
      </c>
      <c r="AI411" s="256" t="str">
        <f>IF(AL405=3,"",IF(F411&gt;1,F411,IF(F411=0,"",IF(F411="","",""))))</f>
        <v/>
      </c>
      <c r="AJ411" s="256" t="str">
        <f>IF(AL405=3,"",IF(G411&gt;8,G411,IF(G411="","","")))</f>
        <v/>
      </c>
      <c r="AK411" s="256" t="str">
        <f>IF(AL405=3,"",IF(H411&gt;1,H411,IF(H411="","","")))</f>
        <v/>
      </c>
      <c r="AL411" s="256" t="str">
        <f>IF(AL405=3,"",IF(I411&gt;0,I411,IF(I411="","","")))</f>
        <v/>
      </c>
      <c r="AM411" s="258" t="str">
        <f>IF(BK411=0,"","X")</f>
        <v/>
      </c>
      <c r="AN411" s="237"/>
      <c r="AO411" s="237"/>
      <c r="AP411" s="258" t="str">
        <f>IF(BM411=0,"","X")</f>
        <v/>
      </c>
      <c r="AQ411" s="236">
        <f>IF(AL405=3,0,IF(AR411=1,1,IF(AR411=3,1,IF(AR411=2,0,IF(AR411=0,0,0)))))</f>
        <v>0</v>
      </c>
      <c r="AR411" s="256">
        <f t="shared" si="1013"/>
        <v>0</v>
      </c>
      <c r="AS411" s="256">
        <f t="shared" si="1006"/>
        <v>0</v>
      </c>
      <c r="AT411" s="256">
        <f t="shared" si="1007"/>
        <v>0</v>
      </c>
      <c r="AU411" s="256">
        <f t="shared" si="1014"/>
        <v>0</v>
      </c>
      <c r="AV411" s="257" t="str">
        <f>IF(AY411="",IF(AW411="","",IF(AW411="",501,501-AW411)),501)</f>
        <v/>
      </c>
      <c r="AW411" s="256" t="str">
        <f>IF(AL405=3,"",IF(U411&gt;1,U411,IF(U411=0,"",IF(U411="","",""))))</f>
        <v/>
      </c>
      <c r="AX411" s="256" t="str">
        <f>IF(AL405=3,"",IF(V411&gt;8,V411,IF(V411="","","")))</f>
        <v/>
      </c>
      <c r="AY411" s="256" t="str">
        <f>IF(AL405=3,"",IF(W411&gt;1,W411,IF(W411="","","")))</f>
        <v/>
      </c>
      <c r="AZ411" s="256" t="str">
        <f>IF(AL405=3,"",IF(X411&gt;0,X411,IF(X411="","","")))</f>
        <v/>
      </c>
      <c r="BA411" s="258" t="str">
        <f>IF(BL411=0,"","X")</f>
        <v/>
      </c>
      <c r="BK411" s="251">
        <f>IF(AL405=3,0,SUM(DD411,DV411,EY411,ED411,FF411,BQ411,BS411,AC411))</f>
        <v>0</v>
      </c>
      <c r="BL411" s="251">
        <f>IF(AL405=3,0,SUM(DE411,DW411,EE411,FT411,GA411,BR411,BT411,AQ411))</f>
        <v>0</v>
      </c>
      <c r="BM411" s="259">
        <f>IF(AL405=3,0,SUM(DC411,BK411:BL411,AC411,AQ411))</f>
        <v>0</v>
      </c>
      <c r="BN411" s="239">
        <f>COUNT(AK411)</f>
        <v>0</v>
      </c>
      <c r="BO411" s="239">
        <f>COUNT(AY411)</f>
        <v>0</v>
      </c>
      <c r="BP411" s="239">
        <f>IF(BZ413=0,0,1)</f>
        <v>0</v>
      </c>
      <c r="BQ411" s="260">
        <f>IF(AL411="",0,IF(AL411&gt;2,1,0))</f>
        <v>0</v>
      </c>
      <c r="BR411" s="261">
        <f>IF(AZ411="",0,IF(AZ411&gt;2,1,0))</f>
        <v>0</v>
      </c>
      <c r="BS411" s="262">
        <f>IF(AJ411=9,IF(AK411&lt;141,1,0),0)</f>
        <v>0</v>
      </c>
      <c r="BT411" s="263">
        <f>IF(AX411=9,IF(AY411&lt;141,1,0),0)</f>
        <v>0</v>
      </c>
      <c r="BU411" s="242">
        <f>IF(AL405=3,0,IF(H411,G411,0))</f>
        <v>0</v>
      </c>
      <c r="BV411" s="238">
        <f>IF(BU411&gt;0,AJ411/3,0)</f>
        <v>0</v>
      </c>
      <c r="BW411" s="238">
        <f>ROUNDUP(BV411,0)</f>
        <v>0</v>
      </c>
      <c r="BX411" s="244">
        <f>IF(MOD(BW411,2)=0,BW411,BW411+1)</f>
        <v>0</v>
      </c>
      <c r="BY411" s="238">
        <f>IF(AJ411&lt;9,"",SUM(BX411-BW411))</f>
        <v>0</v>
      </c>
      <c r="BZ411" s="238">
        <f>IF(BY411=1,AK411,0)</f>
        <v>0</v>
      </c>
      <c r="CA411" s="243" t="str">
        <f>IF(BY411=0,AK411,0)</f>
        <v/>
      </c>
      <c r="CB411" s="238"/>
      <c r="CC411" s="238"/>
      <c r="CD411" s="242">
        <f>IF(AL405=3,0,IF(W411,V411,0))</f>
        <v>0</v>
      </c>
      <c r="CE411" s="238">
        <f>IF(CD411&gt;0,AX411/3,0)</f>
        <v>0</v>
      </c>
      <c r="CF411" s="238">
        <f>ROUNDUP(CE411,0)</f>
        <v>0</v>
      </c>
      <c r="CG411" s="244">
        <f>IF(MOD(CF411,2)=0,CF411,CF411+1)</f>
        <v>0</v>
      </c>
      <c r="CH411" s="238">
        <f>IF(AX411&lt;9,"",SUM(CG411-CF411))</f>
        <v>0</v>
      </c>
      <c r="CI411" s="238">
        <f>IF(CH411=1,AY411,0)</f>
        <v>0</v>
      </c>
      <c r="CJ411" s="243" t="str">
        <f>IF(CH411=0,AY411,0)</f>
        <v/>
      </c>
      <c r="CK411" s="238"/>
      <c r="CL411" s="245">
        <f>IF(COUNT(F411,H411)=1,0,1)</f>
        <v>1</v>
      </c>
      <c r="CM411" s="245">
        <f>IF(COUNT(F411,U411)=1,0,1)</f>
        <v>1</v>
      </c>
      <c r="CN411" s="245">
        <f>IF(COUNT(H411,W411)=1,0,1)</f>
        <v>1</v>
      </c>
      <c r="CO411" s="245">
        <f>IF(COUNT(G411,V411)=2,0,1)</f>
        <v>1</v>
      </c>
      <c r="CP411" s="245">
        <f>IF(COUNT(U411,W411)=1,0,1)</f>
        <v>1</v>
      </c>
      <c r="CQ411" s="245">
        <f>IF(SUM(G411-V411)&gt;3,1,0)</f>
        <v>0</v>
      </c>
      <c r="CR411" s="245">
        <f>IF(SUM(G411-V411)&lt;-3,1,0)</f>
        <v>0</v>
      </c>
      <c r="CS411" s="264">
        <f>IF(AJ411=9,IF(AH411&lt;141,1,0),IF(AH411="",0,IF(AH411&gt;1,0,1)))</f>
        <v>0</v>
      </c>
      <c r="CT411" s="264">
        <f>IF(AX411=9,IF(AV411&lt;141,1,0),IF(AV411="",0,IF(AV411&gt;1,0,1)))</f>
        <v>0</v>
      </c>
      <c r="CU411" s="264">
        <f>IF(AI411="",0,IF(AI411&lt;502,0,1))</f>
        <v>0</v>
      </c>
      <c r="CV411" s="264">
        <f>IF(AW411="",0,IF(AW411&lt;502,0,1))</f>
        <v>0</v>
      </c>
      <c r="CW411" s="264">
        <f>IF(AI411="",IF(AJ411&lt;9,1,0),IF(AJ411&lt;9,1,0))</f>
        <v>0</v>
      </c>
      <c r="CX411" s="264">
        <f>IF(AW411="",IF(AX411&lt;9,1,0),IF(AX411&lt;9,1,0))</f>
        <v>0</v>
      </c>
      <c r="CY411" s="374"/>
      <c r="CZ411" s="374"/>
      <c r="DA411" s="374"/>
      <c r="DB411" s="374"/>
      <c r="DC411" s="265">
        <f>IF(AJ411="",0,SUM(CL411:CX411))</f>
        <v>0</v>
      </c>
      <c r="DD411" s="265">
        <f>IF(AJ411="",0,SUM(CL411,CS411,CU411,CW411))</f>
        <v>0</v>
      </c>
      <c r="DE411" s="265">
        <f>IF(AJ411="",0,SUM(CP411,CT411,CV411,CX411))</f>
        <v>0</v>
      </c>
      <c r="DF411" s="238"/>
      <c r="DG411" s="248">
        <f>IF(AL405=3,0,SUM(G411-V411))</f>
        <v>0</v>
      </c>
      <c r="DH411" s="245">
        <f>IF(F411="",0,1)</f>
        <v>0</v>
      </c>
      <c r="DI411" s="245">
        <f t="shared" si="1016"/>
        <v>0</v>
      </c>
      <c r="DJ411" s="245">
        <f t="shared" si="1017"/>
        <v>0</v>
      </c>
      <c r="DK411" s="245" t="str">
        <f>IF(G411="","",IF(DJ411=1,"*",""))</f>
        <v/>
      </c>
      <c r="DL411" s="245" t="str">
        <f>IF(AL405=3,"",IF(G411="","",IF(DJ411=-1,"*",IF(DJ411=0,"*",""))))</f>
        <v/>
      </c>
      <c r="DM411" s="245">
        <v>4</v>
      </c>
      <c r="DN411" s="245" t="str">
        <f t="shared" si="1018"/>
        <v>4</v>
      </c>
      <c r="DO411" s="245" t="str">
        <f t="shared" si="1019"/>
        <v>4</v>
      </c>
      <c r="DP411" s="245">
        <f>SUM(DQ408)</f>
        <v>0</v>
      </c>
      <c r="DQ411" s="245">
        <f>SUM(DP408)</f>
        <v>0</v>
      </c>
      <c r="DR411" s="245">
        <f t="shared" si="1026"/>
        <v>0</v>
      </c>
      <c r="DS411" s="245">
        <f t="shared" si="1027"/>
        <v>0</v>
      </c>
      <c r="DT411" s="245">
        <f t="shared" si="1028"/>
        <v>0</v>
      </c>
      <c r="DU411" s="245">
        <f>IF(V411="",0,IF(DQ411=DS411,0,1))</f>
        <v>0</v>
      </c>
      <c r="DV411" s="267">
        <f t="shared" si="1029"/>
        <v>0</v>
      </c>
      <c r="DW411" s="267">
        <f>IF(V411="",0,SUM(DU411))</f>
        <v>0</v>
      </c>
      <c r="DX411" s="238">
        <f>IF(AK411="",0,1)</f>
        <v>0</v>
      </c>
      <c r="DY411" s="238">
        <f>IF(DG411=-3,1,0)</f>
        <v>0</v>
      </c>
      <c r="DZ411" s="238">
        <f>SUM(DX411:DY411)</f>
        <v>0</v>
      </c>
      <c r="EA411" s="238">
        <f>IF(AK411="",1,0)</f>
        <v>1</v>
      </c>
      <c r="EB411" s="238">
        <f>IF(DG411=3,1,0)</f>
        <v>0</v>
      </c>
      <c r="EC411" s="238">
        <f>SUM(EA411:EB411)</f>
        <v>1</v>
      </c>
      <c r="ED411" s="267">
        <f>IF(EC411=2,1,0)</f>
        <v>0</v>
      </c>
      <c r="EE411" s="267">
        <f>IF(DZ411=2,1,0)</f>
        <v>0</v>
      </c>
      <c r="EG411" s="166"/>
      <c r="EH411" s="238"/>
      <c r="EI411" s="238"/>
      <c r="EJ411" s="238"/>
      <c r="EK411" s="238"/>
      <c r="EL411" s="238"/>
      <c r="EM411" s="245">
        <f>IF(AK411="",0,1)</f>
        <v>0</v>
      </c>
      <c r="EN411" s="245">
        <f>SUM(AK411)</f>
        <v>0</v>
      </c>
      <c r="EO411" s="268">
        <f>SUM(AJ411)</f>
        <v>0</v>
      </c>
      <c r="EP411" s="268">
        <f>SUM(G411/3)</f>
        <v>0</v>
      </c>
      <c r="EQ411" s="268" t="e">
        <f>SUM(EO411/EP411)</f>
        <v>#DIV/0!</v>
      </c>
      <c r="ER411" s="268">
        <f>ROUNDDOWN(EP411,0)</f>
        <v>0</v>
      </c>
      <c r="ES411" s="268">
        <f>SUM(EO411,-ER411*3)</f>
        <v>0</v>
      </c>
      <c r="ET411" s="269" t="b">
        <f>MOD(EN411/1,2)=0</f>
        <v>1</v>
      </c>
      <c r="EU411" s="245">
        <f>IF(ET411=FALSE,1,0)</f>
        <v>0</v>
      </c>
      <c r="EV411" s="245">
        <f>IF(EN411=50,0,IF(EN411&lt;40,1,0))</f>
        <v>1</v>
      </c>
      <c r="EW411" s="245">
        <f>SUM(EU411:EV411)</f>
        <v>1</v>
      </c>
      <c r="EX411" s="267">
        <f>IF(EN411=1,1,IF(EN411=50,0,IF(ES411=1,IF(EN411&gt;40,1,0),0)))</f>
        <v>0</v>
      </c>
      <c r="EY411" s="267">
        <f>IF(ES411=1,IF(EW411=2,1,0),0)+EX411+FB411+FE411</f>
        <v>0</v>
      </c>
      <c r="EZ411" s="245">
        <f>IF(EN411=109,1,IF(EN411=108,1,IF(EN411=106,1,IF(EN411=105,1,IF(EN411=103,1,IF(EN411=102,1,IF(EN411=99,1,0)))))))</f>
        <v>0</v>
      </c>
      <c r="FA411" s="245">
        <f>IF(EN411&gt;110,1,0)</f>
        <v>0</v>
      </c>
      <c r="FB411" s="267">
        <f>IF(ES411=2,SUM(EZ411:FA411),0)</f>
        <v>0</v>
      </c>
      <c r="FC411" s="245">
        <f>IF(EN411=159,1,IF(EN411=162,1,IF(EN411=163,1,IF(EN411=165,1,IF(EN411=166,1,IF(EN411=168,1,IF(EN411=169,1,0)))))))</f>
        <v>0</v>
      </c>
      <c r="FD411" s="245">
        <f>IF(EN411&gt;170,1,0)</f>
        <v>0</v>
      </c>
      <c r="FE411" s="267">
        <f>IF(ES411=0,SUM(FC411:FD411),0)</f>
        <v>0</v>
      </c>
      <c r="FF411" s="251">
        <f t="shared" si="1020"/>
        <v>0</v>
      </c>
      <c r="FG411" s="238"/>
      <c r="FH411" s="245">
        <f>IF(AY411="",0,1)</f>
        <v>0</v>
      </c>
      <c r="FI411" s="245">
        <f>SUM(AY411)</f>
        <v>0</v>
      </c>
      <c r="FJ411" s="268">
        <f>SUM(AX411)</f>
        <v>0</v>
      </c>
      <c r="FK411" s="268">
        <f>SUM(V411/3)</f>
        <v>0</v>
      </c>
      <c r="FL411" s="268" t="e">
        <f>SUM(FJ411/FK411)</f>
        <v>#DIV/0!</v>
      </c>
      <c r="FM411" s="268">
        <f>ROUNDDOWN(FK411,0)</f>
        <v>0</v>
      </c>
      <c r="FN411" s="268">
        <f>SUM(FJ411,-FM411*3)</f>
        <v>0</v>
      </c>
      <c r="FO411" s="269" t="b">
        <f>MOD(FI411/1,2)=0</f>
        <v>1</v>
      </c>
      <c r="FP411" s="245">
        <f>IF(FO411=FALSE,1,0)</f>
        <v>0</v>
      </c>
      <c r="FQ411" s="245">
        <f>IF(FI411=50,0,IF(FI411&lt;40,1,0))</f>
        <v>1</v>
      </c>
      <c r="FR411" s="245">
        <f>SUM(FP411:FQ411)</f>
        <v>1</v>
      </c>
      <c r="FS411" s="267">
        <f>IF(FI411=1,1,IF(FI411=50,0,IF(FN411=1,IF(FI411&gt;40,1,0),0)))</f>
        <v>0</v>
      </c>
      <c r="FT411" s="267">
        <f>IF(FN411=1,IF(FR411=2,1,0),0)+FS411+FW411+FZ411</f>
        <v>0</v>
      </c>
      <c r="FU411" s="245">
        <f>IF(FI411=109,1,IF(FI411=108,1,IF(FI411=106,1,IF(FI411=105,1,IF(FI411=103,1,IF(FI411=102,1,IF(FI411=99,1,0)))))))</f>
        <v>0</v>
      </c>
      <c r="FV411" s="245">
        <f>IF(FI411&gt;110,1,0)</f>
        <v>0</v>
      </c>
      <c r="FW411" s="267">
        <f>IF(FN411=2,SUM(FU411:FV411),0)</f>
        <v>0</v>
      </c>
      <c r="FX411" s="245">
        <f>IF(FI411=159,1,IF(FI411=162,1,IF(FI411=163,1,IF(FI411=165,1,IF(FI411=166,1,IF(FI411=168,1,IF(FI411=169,1,0)))))))</f>
        <v>0</v>
      </c>
      <c r="FY411" s="245">
        <f>IF(FI411&gt;170,1,0)</f>
        <v>0</v>
      </c>
      <c r="FZ411" s="267">
        <f>IF(FN411=0,SUM(FX411:FY411),0)</f>
        <v>0</v>
      </c>
      <c r="GA411" s="251">
        <f t="shared" si="1021"/>
        <v>0</v>
      </c>
      <c r="GC411" s="238" t="str">
        <f>VLOOKUP(AH405,Chema!BL:BR,4,FALSE)</f>
        <v>GD 4.1</v>
      </c>
      <c r="GD411" s="341">
        <f>IF(T415="FORFAIT",1,0)</f>
        <v>0</v>
      </c>
      <c r="GE411" s="343" t="str">
        <f>IF(R415="","",SUM(R415))</f>
        <v/>
      </c>
      <c r="GF411" s="344">
        <f>SUM(AV408)</f>
        <v>0</v>
      </c>
      <c r="GG411" s="344">
        <f>SUM(AX408)</f>
        <v>0</v>
      </c>
      <c r="GH411" s="344">
        <f t="shared" ref="GH411" si="1030">SUM(AY408)</f>
        <v>0</v>
      </c>
      <c r="GI411" s="344">
        <f t="shared" ref="GI411" si="1031">SUM(AZ408)</f>
        <v>0</v>
      </c>
      <c r="GJ411" s="344">
        <f>SUM(AV409)</f>
        <v>0</v>
      </c>
      <c r="GK411" s="344">
        <f>SUM(AX409)</f>
        <v>0</v>
      </c>
      <c r="GL411" s="344">
        <f>SUM(AY409)</f>
        <v>0</v>
      </c>
      <c r="GM411" s="344">
        <f>SUM(AZ409)</f>
        <v>0</v>
      </c>
      <c r="GN411" s="344">
        <f>SUM(AV410)</f>
        <v>0</v>
      </c>
      <c r="GO411" s="344">
        <f>SUM(AX410)</f>
        <v>0</v>
      </c>
      <c r="GP411" s="344">
        <f>SUM(AY410)</f>
        <v>0</v>
      </c>
      <c r="GQ411" s="344">
        <f>SUM(AZ410)</f>
        <v>0</v>
      </c>
      <c r="GR411" s="344">
        <f>SUM(AV411)</f>
        <v>0</v>
      </c>
      <c r="GS411" s="344">
        <f>SUM(AX411)</f>
        <v>0</v>
      </c>
      <c r="GT411" s="344">
        <f>SUM(AY411)</f>
        <v>0</v>
      </c>
      <c r="GU411" s="344">
        <f>SUM(AZ411)</f>
        <v>0</v>
      </c>
      <c r="GV411" s="344">
        <f>SUM(AV412)</f>
        <v>0</v>
      </c>
      <c r="GW411" s="344">
        <f>SUM(AX412)</f>
        <v>0</v>
      </c>
      <c r="GX411" s="344">
        <f>SUM(AY412)</f>
        <v>0</v>
      </c>
      <c r="GY411" s="344">
        <f>SUM(AZ412)</f>
        <v>0</v>
      </c>
      <c r="GZ411" s="344">
        <f>SUM(GF411,GJ411,GN411,GR411,GV411)</f>
        <v>0</v>
      </c>
      <c r="HA411" s="344">
        <f t="shared" ref="HA411" si="1032">SUM(GG411,GK411,GO411,GS411,GW411)</f>
        <v>0</v>
      </c>
      <c r="HB411" s="344" t="str">
        <f>IF(GD408=1,P415,MAX(GH411,GL411,GP411,GT411,GX411))</f>
        <v/>
      </c>
      <c r="HC411" s="344">
        <f>IF(GD408=1,X415,SUM(GI411,GM411,GQ411,GU411,GY411))</f>
        <v>0</v>
      </c>
      <c r="HD411" s="345">
        <f>IF(GD408=1,0,SUM(GF411,GJ411,GN411,GR411,GV411))</f>
        <v>0</v>
      </c>
      <c r="HE411" s="345">
        <f>IF(GD408=1,0,SUM(GG411,GK411,GO411,GS411,GW411))</f>
        <v>0</v>
      </c>
      <c r="HF411" s="341">
        <f>IF(GD408=1,0,MIN(HI411,HJ411,HK411,HL411,HM411))</f>
        <v>0</v>
      </c>
      <c r="HG411" s="341">
        <f>IF(HF411=0,0,COUNTIF(HI411:HM411,HF411))</f>
        <v>0</v>
      </c>
      <c r="HH411" s="341">
        <f>SUM(GH412,GL412,GP412,GT412,GX412)</f>
        <v>0</v>
      </c>
      <c r="HI411" s="343" t="str">
        <f>IF(GH412=1,GG411,"")</f>
        <v/>
      </c>
      <c r="HJ411" s="343" t="str">
        <f>IF(GL412=1,GK411,"")</f>
        <v/>
      </c>
      <c r="HK411" s="343" t="str">
        <f>IF(GP412=1,GO411,"")</f>
        <v/>
      </c>
      <c r="HL411" s="343" t="str">
        <f>IF(GT412=1,GS411,"")</f>
        <v/>
      </c>
      <c r="HM411" s="343" t="str">
        <f>IF(GX412=1,GW411,"")</f>
        <v/>
      </c>
      <c r="HN411" s="341"/>
      <c r="HO411" s="341"/>
      <c r="HP411" s="341"/>
      <c r="HQ411" s="341"/>
      <c r="HR411" s="341"/>
      <c r="HS411" s="238"/>
      <c r="HT411" s="238"/>
      <c r="HU411" s="238"/>
      <c r="HV411" s="238"/>
      <c r="HW411" s="238" t="str">
        <f>IFERROR(IF(GD408=0,SUM(IB410:IC410),""),"")</f>
        <v/>
      </c>
      <c r="HY411" s="238"/>
      <c r="ID411" s="238"/>
    </row>
    <row r="412" spans="1:238" s="234" customFormat="1" ht="20.100000000000001" customHeight="1">
      <c r="A412" s="235"/>
      <c r="B412" s="231">
        <f>COUNT(AJ413,AJ412)</f>
        <v>1</v>
      </c>
      <c r="C412" s="235"/>
      <c r="D412" s="271" t="str">
        <f>REPT(DN412,1)</f>
        <v>5</v>
      </c>
      <c r="E412" s="254" t="str">
        <f>REPT(AH412,1)</f>
        <v/>
      </c>
      <c r="F412" s="168"/>
      <c r="G412" s="168"/>
      <c r="H412" s="168"/>
      <c r="I412" s="169"/>
      <c r="J412" s="272" t="str">
        <f>REPT(AM412,1)</f>
        <v/>
      </c>
      <c r="L412" s="310"/>
      <c r="M412" s="310"/>
      <c r="N412" s="272" t="str">
        <f>REPT(AP412,1)</f>
        <v/>
      </c>
      <c r="O412" s="118"/>
      <c r="Q412" s="310"/>
      <c r="R412" s="235"/>
      <c r="S412" s="271" t="str">
        <f>REPT(DO412,1)</f>
        <v>5</v>
      </c>
      <c r="T412" s="254" t="str">
        <f>REPT(AV412,1)</f>
        <v/>
      </c>
      <c r="U412" s="168"/>
      <c r="V412" s="168"/>
      <c r="W412" s="168"/>
      <c r="X412" s="169"/>
      <c r="Y412" s="272" t="str">
        <f>REPT(BA412,1)</f>
        <v/>
      </c>
      <c r="Z412" s="308"/>
      <c r="AA412" s="238">
        <f>SUM(AL405)</f>
        <v>3</v>
      </c>
      <c r="AB412" s="234">
        <f>IF(AY412="",0,IF(AY412&lt;2,1,""))</f>
        <v>0</v>
      </c>
      <c r="AC412" s="238">
        <f>IF(AL405=3,0,IF(AD412=1,1,IF(AD412=3,1,IF(AD412=2,0,IF(AD412=0,0,0)))))</f>
        <v>0</v>
      </c>
      <c r="AD412" s="256">
        <f t="shared" si="1010"/>
        <v>0</v>
      </c>
      <c r="AE412" s="256">
        <f t="shared" si="1004"/>
        <v>0</v>
      </c>
      <c r="AF412" s="256">
        <f t="shared" si="1005"/>
        <v>0</v>
      </c>
      <c r="AG412" s="256">
        <f t="shared" si="1011"/>
        <v>0</v>
      </c>
      <c r="AH412" s="257" t="str">
        <f>IF(AL405=3,"",IF(AK412="",IF(AI412="","",IF(AI412="",501,501-AI412)),501))</f>
        <v/>
      </c>
      <c r="AI412" s="256" t="str">
        <f>IF(AL405=3,"",IF(F412&gt;1,F412,IF(F412=0,"",IF(F412="","",""))))</f>
        <v/>
      </c>
      <c r="AJ412" s="256" t="str">
        <f>IF(AL405=3,"",IF(G412&gt;8,G412,IF(G412="","","")))</f>
        <v/>
      </c>
      <c r="AK412" s="256" t="str">
        <f>IF(AL405=3,"",IF(H412&gt;1,H412,IF(H412="","","")))</f>
        <v/>
      </c>
      <c r="AL412" s="256" t="str">
        <f>IF(AL405=3,"",IF(I412&gt;0,I412,IF(I412="","","")))</f>
        <v/>
      </c>
      <c r="AM412" s="258" t="str">
        <f>IF(BK412=0,"","X")</f>
        <v/>
      </c>
      <c r="AN412" s="237"/>
      <c r="AO412" s="237"/>
      <c r="AP412" s="258" t="str">
        <f>IF(BM412=0,"","X")</f>
        <v/>
      </c>
      <c r="AQ412" s="236">
        <f>IF(AL405=3,0,IF(AR412=1,1,IF(AR412=3,1,IF(AR412=2,0,IF(AR412=0,0,0)))))</f>
        <v>0</v>
      </c>
      <c r="AR412" s="256">
        <f t="shared" si="1013"/>
        <v>0</v>
      </c>
      <c r="AS412" s="256">
        <f t="shared" si="1006"/>
        <v>0</v>
      </c>
      <c r="AT412" s="256">
        <f t="shared" si="1007"/>
        <v>0</v>
      </c>
      <c r="AU412" s="256">
        <f t="shared" si="1014"/>
        <v>0</v>
      </c>
      <c r="AV412" s="257" t="str">
        <f>IF(AY412="",IF(AW412="","",IF(AW412="",501,501-AW412)),501)</f>
        <v/>
      </c>
      <c r="AW412" s="256" t="str">
        <f>IF(AL405=3,"",IF(U412&gt;1,U412,IF(U412=0,"",IF(U412="","",""))))</f>
        <v/>
      </c>
      <c r="AX412" s="256" t="str">
        <f>IF(AL405=3,"",IF(V412&gt;8,V412,IF(V412="","","")))</f>
        <v/>
      </c>
      <c r="AY412" s="256" t="str">
        <f>IF(AL405=3,"",IF(W412&gt;1,W412,IF(W412="","","")))</f>
        <v/>
      </c>
      <c r="AZ412" s="256" t="str">
        <f>IF(AL405=3,"",IF(X412&gt;0,X412,IF(X412="","","")))</f>
        <v/>
      </c>
      <c r="BA412" s="258" t="str">
        <f>IF(BL412=0,"","X")</f>
        <v/>
      </c>
      <c r="BK412" s="251">
        <f>IF(AL405=3,0,SUM(DD412,DV412,EY412,ED412,FF412,BQ412,BS412,AC412))</f>
        <v>0</v>
      </c>
      <c r="BL412" s="251">
        <f>SUM(DE412,DW412,EE412,FT412,GA412,BR412,BT412,AQ412)</f>
        <v>0</v>
      </c>
      <c r="BM412" s="259">
        <f>IF(AL405=3,0,SUM(DC412,BK412:BL412,AC412,AQ412))</f>
        <v>0</v>
      </c>
      <c r="BN412" s="239">
        <f>COUNT(AK412)</f>
        <v>0</v>
      </c>
      <c r="BO412" s="239">
        <f>COUNT(AY412)</f>
        <v>0</v>
      </c>
      <c r="BP412" s="239">
        <f>IF(BN414=0,0,1)</f>
        <v>0</v>
      </c>
      <c r="BQ412" s="260">
        <f>IF(AL412="",0,IF(AL412&gt;2,1,0))</f>
        <v>0</v>
      </c>
      <c r="BR412" s="261">
        <f>IF(AZ412="",0,IF(AZ412&gt;2,1,0))</f>
        <v>0</v>
      </c>
      <c r="BS412" s="262">
        <f>IF(AJ412=9,IF(AK412&lt;141,1,0),0)</f>
        <v>0</v>
      </c>
      <c r="BT412" s="263">
        <f>IF(AX412=9,IF(AY412&lt;141,1,0),0)</f>
        <v>0</v>
      </c>
      <c r="BU412" s="242">
        <f>IF(AL405=3,0,IF(H412,G412,0))</f>
        <v>0</v>
      </c>
      <c r="BV412" s="238">
        <f>IF(BU412&gt;0,AJ412/3,0)</f>
        <v>0</v>
      </c>
      <c r="BW412" s="238">
        <f>ROUNDUP(BV412,0)</f>
        <v>0</v>
      </c>
      <c r="BX412" s="244">
        <f>IF(MOD(BW412,2)=0,BW412,BW412+1)</f>
        <v>0</v>
      </c>
      <c r="BY412" s="238">
        <f>IF(AJ412&lt;9,"",SUM(BX412-BW412))</f>
        <v>0</v>
      </c>
      <c r="BZ412" s="238">
        <f>IF(BY412=1,AK412,0)</f>
        <v>0</v>
      </c>
      <c r="CA412" s="243" t="str">
        <f>IF(BY412=0,AK412,0)</f>
        <v/>
      </c>
      <c r="CB412" s="238"/>
      <c r="CC412" s="238"/>
      <c r="CD412" s="242">
        <f>IF(AL405=3,0,IF(W412,V412,0))</f>
        <v>0</v>
      </c>
      <c r="CE412" s="238">
        <f>IF(CD412&gt;0,AX412/3,0)</f>
        <v>0</v>
      </c>
      <c r="CF412" s="238">
        <f>ROUNDUP(CE412,0)</f>
        <v>0</v>
      </c>
      <c r="CG412" s="244">
        <f>IF(MOD(CF412,2)=0,CF412,CF412+1)</f>
        <v>0</v>
      </c>
      <c r="CH412" s="238">
        <f>IF(AX412&lt;9,"",SUM(CG412-CF412))</f>
        <v>0</v>
      </c>
      <c r="CI412" s="238">
        <f>IF(CH412=1,AY412,0)</f>
        <v>0</v>
      </c>
      <c r="CJ412" s="243" t="str">
        <f>IF(CH412=0,AY412,0)</f>
        <v/>
      </c>
      <c r="CK412" s="238"/>
      <c r="CL412" s="245">
        <f>IF(COUNT(F412,H412)=1,0,1)</f>
        <v>1</v>
      </c>
      <c r="CM412" s="245">
        <f>IF(COUNT(F412,U412)=1,0,1)</f>
        <v>1</v>
      </c>
      <c r="CN412" s="245">
        <f>IF(COUNT(H412,W412)=1,0,1)</f>
        <v>1</v>
      </c>
      <c r="CO412" s="245">
        <f>IF(COUNT(G412,V412)=2,0,1)</f>
        <v>1</v>
      </c>
      <c r="CP412" s="245">
        <f>IF(COUNT(U412,W412)=1,0,1)</f>
        <v>1</v>
      </c>
      <c r="CQ412" s="245">
        <f>IF(SUM(G412-V412)&gt;3,1,0)</f>
        <v>0</v>
      </c>
      <c r="CR412" s="245">
        <f>IF(SUM(G412-V412)&lt;-3,1,0)</f>
        <v>0</v>
      </c>
      <c r="CS412" s="264">
        <f>IF(AJ412=9,IF(AH412&lt;141,1,0),IF(AH412="",0,IF(AH412&gt;1,0,1)))</f>
        <v>0</v>
      </c>
      <c r="CT412" s="264">
        <f>IF(AX412=9,IF(AV412&lt;141,1,0),IF(AV412="",0,IF(AV412&gt;1,0,1)))</f>
        <v>0</v>
      </c>
      <c r="CU412" s="264">
        <f>IF(AI412="",0,IF(AI412&lt;502,0,1))</f>
        <v>0</v>
      </c>
      <c r="CV412" s="264">
        <f>IF(AW412="",0,IF(AW412&lt;502,0,1))</f>
        <v>0</v>
      </c>
      <c r="CW412" s="264">
        <f>IF(AI412="",IF(AJ412&lt;9,1,0),IF(AJ412&lt;9,1,0))</f>
        <v>0</v>
      </c>
      <c r="CX412" s="264">
        <f>IF(AW412="",IF(AX412&lt;9,1,0),IF(AX412&lt;9,1,0))</f>
        <v>0</v>
      </c>
      <c r="CY412" s="374"/>
      <c r="CZ412" s="374"/>
      <c r="DA412" s="374"/>
      <c r="DB412" s="374"/>
      <c r="DC412" s="265">
        <f>IF(AJ412="",0,SUM(CL412:CX412))</f>
        <v>0</v>
      </c>
      <c r="DD412" s="265">
        <f>IF(AJ412="",0,SUM(CL412,CS412,CU412,CW412))</f>
        <v>0</v>
      </c>
      <c r="DE412" s="265">
        <f>IF(AJ412="",0,SUM(CP412,CT412,CV412,CX412))</f>
        <v>0</v>
      </c>
      <c r="DF412" s="238"/>
      <c r="DG412" s="248">
        <f>IF(AL405=3,0,SUM(G412-V412))</f>
        <v>0</v>
      </c>
      <c r="DH412" s="245">
        <f>IF(F412="",0,1)</f>
        <v>0</v>
      </c>
      <c r="DI412" s="245">
        <f t="shared" si="1016"/>
        <v>0</v>
      </c>
      <c r="DJ412" s="245">
        <f t="shared" si="1017"/>
        <v>0</v>
      </c>
      <c r="DK412" s="245" t="str">
        <f>IF(G412="","",IF(DJ412=1,"*",""))</f>
        <v/>
      </c>
      <c r="DL412" s="245" t="str">
        <f>IF(AL405=3,"",IF(G412="","",IF(DJ412=-1,"*",IF(DJ412=0,"*",""))))</f>
        <v/>
      </c>
      <c r="DM412" s="245">
        <v>5</v>
      </c>
      <c r="DN412" s="245" t="str">
        <f t="shared" si="1018"/>
        <v>5</v>
      </c>
      <c r="DO412" s="245" t="str">
        <f t="shared" si="1019"/>
        <v>5</v>
      </c>
      <c r="DP412" s="245">
        <f>SUM(DP408)</f>
        <v>0</v>
      </c>
      <c r="DQ412" s="245">
        <f>SUM(DQ408)</f>
        <v>0</v>
      </c>
      <c r="DR412" s="245">
        <f t="shared" si="1026"/>
        <v>0</v>
      </c>
      <c r="DS412" s="245">
        <f t="shared" si="1027"/>
        <v>0</v>
      </c>
      <c r="DT412" s="245">
        <f t="shared" si="1028"/>
        <v>0</v>
      </c>
      <c r="DU412" s="245">
        <f>IF(V412="",0,IF(DQ412=DS412,0,1))</f>
        <v>0</v>
      </c>
      <c r="DV412" s="267">
        <f t="shared" si="1029"/>
        <v>0</v>
      </c>
      <c r="DW412" s="267">
        <f>IF(V412="",0,SUM(DU412))</f>
        <v>0</v>
      </c>
      <c r="DX412" s="238">
        <f>IF(AK412="",0,1)</f>
        <v>0</v>
      </c>
      <c r="DY412" s="238">
        <f>IF(DG412=-3,1,0)</f>
        <v>0</v>
      </c>
      <c r="DZ412" s="238">
        <f>SUM(DX412:DY412)</f>
        <v>0</v>
      </c>
      <c r="EA412" s="238">
        <f>IF(AK412="",1,0)</f>
        <v>1</v>
      </c>
      <c r="EB412" s="238">
        <f>IF(DG412=3,1,0)</f>
        <v>0</v>
      </c>
      <c r="EC412" s="238">
        <f>SUM(EA412:EB412)</f>
        <v>1</v>
      </c>
      <c r="ED412" s="267">
        <f>IF(EC412=2,1,0)</f>
        <v>0</v>
      </c>
      <c r="EE412" s="267">
        <f>IF(DZ412=2,1,0)</f>
        <v>0</v>
      </c>
      <c r="EG412" s="166"/>
      <c r="EH412" s="238"/>
      <c r="EI412" s="238"/>
      <c r="EJ412" s="238"/>
      <c r="EK412" s="238"/>
      <c r="EL412" s="238"/>
      <c r="EM412" s="245">
        <f>IF(AK412="",0,1)</f>
        <v>0</v>
      </c>
      <c r="EN412" s="245">
        <f>SUM(AK412)</f>
        <v>0</v>
      </c>
      <c r="EO412" s="268">
        <f>SUM(AJ412)</f>
        <v>0</v>
      </c>
      <c r="EP412" s="268">
        <f>SUM(G412/3)</f>
        <v>0</v>
      </c>
      <c r="EQ412" s="268" t="e">
        <f>SUM(EO412/EP412)</f>
        <v>#DIV/0!</v>
      </c>
      <c r="ER412" s="268">
        <f>ROUNDDOWN(EP412,0)</f>
        <v>0</v>
      </c>
      <c r="ES412" s="268">
        <f>SUM(EO412,-ER412*3)</f>
        <v>0</v>
      </c>
      <c r="ET412" s="269" t="b">
        <f>MOD(EN412/1,2)=0</f>
        <v>1</v>
      </c>
      <c r="EU412" s="245">
        <f>IF(ET412=FALSE,1,0)</f>
        <v>0</v>
      </c>
      <c r="EV412" s="245">
        <f>IF(EN412=50,0,IF(EN412&lt;40,1,0))</f>
        <v>1</v>
      </c>
      <c r="EW412" s="245">
        <f>SUM(EU412:EV412)</f>
        <v>1</v>
      </c>
      <c r="EX412" s="267">
        <f>IF(EN412=1,1,IF(EN412=50,0,IF(ES412=1,IF(EN412&gt;40,1,0),0)))</f>
        <v>0</v>
      </c>
      <c r="EY412" s="267">
        <f>IF(ES412=1,IF(EW412=2,1,0),0)+EX412+FB412+FE412</f>
        <v>0</v>
      </c>
      <c r="EZ412" s="245">
        <f>IF(EN412=109,1,IF(EN412=108,1,IF(EN412=106,1,IF(EN412=105,1,IF(EN412=103,1,IF(EN412=102,1,IF(EN412=99,1,0)))))))</f>
        <v>0</v>
      </c>
      <c r="FA412" s="245">
        <f>IF(EN412&gt;110,1,0)</f>
        <v>0</v>
      </c>
      <c r="FB412" s="267">
        <f>IF(ES412=2,SUM(EZ412:FA412),0)</f>
        <v>0</v>
      </c>
      <c r="FC412" s="245">
        <f>IF(EN412=159,1,IF(EN412=162,1,IF(EN412=163,1,IF(EN412=165,1,IF(EN412=166,1,IF(EN412=168,1,IF(EN412=169,1,0)))))))</f>
        <v>0</v>
      </c>
      <c r="FD412" s="245">
        <f>IF(EN412&gt;170,1,0)</f>
        <v>0</v>
      </c>
      <c r="FE412" s="267">
        <f>IF(ES412=0,SUM(FC412:FD412),0)</f>
        <v>0</v>
      </c>
      <c r="FF412" s="251">
        <f t="shared" si="1020"/>
        <v>0</v>
      </c>
      <c r="FG412" s="238"/>
      <c r="FH412" s="245">
        <f>IF(AY412="",0,1)</f>
        <v>0</v>
      </c>
      <c r="FI412" s="245">
        <f>SUM(AY412)</f>
        <v>0</v>
      </c>
      <c r="FJ412" s="268">
        <f>SUM(AX412)</f>
        <v>0</v>
      </c>
      <c r="FK412" s="268">
        <f>SUM(V412/3)</f>
        <v>0</v>
      </c>
      <c r="FL412" s="268" t="e">
        <f>SUM(FJ412/FK412)</f>
        <v>#DIV/0!</v>
      </c>
      <c r="FM412" s="268">
        <f>ROUNDDOWN(FK412,0)</f>
        <v>0</v>
      </c>
      <c r="FN412" s="268">
        <f>SUM(FJ412,-FM412*3)</f>
        <v>0</v>
      </c>
      <c r="FO412" s="269" t="b">
        <f>MOD(FI412/1,2)=0</f>
        <v>1</v>
      </c>
      <c r="FP412" s="245">
        <f>IF(FO412=FALSE,1,0)</f>
        <v>0</v>
      </c>
      <c r="FQ412" s="245">
        <f>IF(FI412=50,0,IF(FI412&lt;40,1,0))</f>
        <v>1</v>
      </c>
      <c r="FR412" s="245">
        <f>SUM(FP412:FQ412)</f>
        <v>1</v>
      </c>
      <c r="FS412" s="267">
        <f>IF(FI412=1,1,IF(FI412=50,0,IF(FN412=1,IF(FI412&gt;40,1,0),0)))</f>
        <v>0</v>
      </c>
      <c r="FT412" s="267">
        <f>IF(FN412=1,IF(FR412=2,1,0),0)+FS412+FW412+FZ412</f>
        <v>0</v>
      </c>
      <c r="FU412" s="245">
        <f>IF(FI412=109,1,IF(FI412=108,1,IF(FI412=106,1,IF(FI412=105,1,IF(FI412=103,1,IF(FI412=102,1,IF(FI412=99,1,0)))))))</f>
        <v>0</v>
      </c>
      <c r="FV412" s="245">
        <f>IF(FI412&gt;110,1,0)</f>
        <v>0</v>
      </c>
      <c r="FW412" s="267">
        <f>IF(FN412=2,SUM(FU412:FV412),0)</f>
        <v>0</v>
      </c>
      <c r="FX412" s="245">
        <f>IF(FI412=159,1,IF(FI412=162,1,IF(FI412=163,1,IF(FI412=165,1,IF(FI412=166,1,IF(FI412=168,1,IF(FI412=169,1,0)))))))</f>
        <v>0</v>
      </c>
      <c r="FY412" s="245">
        <f>IF(FI412&gt;170,1,0)</f>
        <v>0</v>
      </c>
      <c r="FZ412" s="267">
        <f>IF(FN412=0,SUM(FX412:FY412),0)</f>
        <v>0</v>
      </c>
      <c r="GA412" s="251">
        <f t="shared" si="1021"/>
        <v>0</v>
      </c>
      <c r="GC412" s="238" t="str">
        <f>VLOOKUP(AH405,Chema!BL:BR,5,FALSE)</f>
        <v>GD 4.1.2</v>
      </c>
      <c r="GD412" s="341"/>
      <c r="GE412" s="343" t="str">
        <f>IF(R416="","",SUM(R416))</f>
        <v/>
      </c>
      <c r="GF412" s="340"/>
      <c r="GG412" s="346"/>
      <c r="GH412" s="343">
        <f>IF(GH411&gt;0,1,0)</f>
        <v>0</v>
      </c>
      <c r="GI412" s="346"/>
      <c r="GJ412" s="343"/>
      <c r="GK412" s="346"/>
      <c r="GL412" s="343">
        <f>IF(GL411&gt;0,1,0)</f>
        <v>0</v>
      </c>
      <c r="GM412" s="343"/>
      <c r="GN412" s="343"/>
      <c r="GO412" s="346"/>
      <c r="GP412" s="343">
        <f>IF(GP411&gt;0,1,0)</f>
        <v>0</v>
      </c>
      <c r="GQ412" s="343"/>
      <c r="GR412" s="343"/>
      <c r="GS412" s="346"/>
      <c r="GT412" s="343">
        <f>IF(GT411&gt;0,1,0)</f>
        <v>0</v>
      </c>
      <c r="GU412" s="343"/>
      <c r="GV412" s="343"/>
      <c r="GW412" s="346"/>
      <c r="GX412" s="343">
        <f>IF(GX411&gt;0,1,0)</f>
        <v>0</v>
      </c>
      <c r="GY412" s="340"/>
      <c r="GZ412" s="343"/>
      <c r="HA412" s="343"/>
      <c r="HB412" s="343" t="str">
        <f>IF(GD408=1,P416,"")</f>
        <v/>
      </c>
      <c r="HC412" s="343">
        <f>IF(GD408=1,X416,"")</f>
        <v>0</v>
      </c>
      <c r="HD412" s="340"/>
      <c r="HE412" s="340"/>
      <c r="HF412" s="340"/>
      <c r="HG412" s="340">
        <f>IF(HG410=HM408,0,IF(HG410=HM412,0,1))</f>
        <v>0</v>
      </c>
      <c r="HH412" s="340">
        <f>IF(HH409=HH411,1,0)</f>
        <v>1</v>
      </c>
      <c r="HI412" s="340"/>
      <c r="HJ412" s="340"/>
      <c r="HK412" s="340"/>
      <c r="HL412" s="340"/>
      <c r="HM412" s="341">
        <f>COUNT(HI411,HJ411,HK411,HL411,HM411)</f>
        <v>0</v>
      </c>
      <c r="HN412" s="341"/>
      <c r="HO412" s="341"/>
      <c r="HP412" s="341"/>
      <c r="HQ412" s="341"/>
      <c r="HR412" s="341"/>
      <c r="HS412" s="238"/>
      <c r="HT412" s="238"/>
      <c r="HU412" s="238"/>
      <c r="HV412" s="238"/>
      <c r="HX412" s="238"/>
      <c r="HY412" s="238"/>
      <c r="ID412" s="238"/>
    </row>
    <row r="413" spans="1:238" s="234" customFormat="1" ht="6.6" customHeight="1">
      <c r="A413" s="235"/>
      <c r="B413" s="231"/>
      <c r="C413" s="310"/>
      <c r="D413" s="310"/>
      <c r="E413" s="310"/>
      <c r="F413" s="310"/>
      <c r="G413" s="313"/>
      <c r="H413" s="310"/>
      <c r="I413" s="310"/>
      <c r="J413" s="273"/>
      <c r="K413" s="313"/>
      <c r="O413" s="118"/>
      <c r="R413" s="310"/>
      <c r="S413" s="310"/>
      <c r="T413" s="310"/>
      <c r="U413" s="310"/>
      <c r="V413" s="313"/>
      <c r="W413" s="310"/>
      <c r="X413" s="310"/>
      <c r="Y413" s="273"/>
      <c r="Z413" s="308"/>
      <c r="AA413" s="274"/>
      <c r="AD413" s="235"/>
      <c r="AE413" s="237">
        <f>IF(AF413=0,0,1)</f>
        <v>0</v>
      </c>
      <c r="AF413" s="237">
        <f>IF(AL413=0,0,SUM(AL415:AL416,-AL414))</f>
        <v>0</v>
      </c>
      <c r="AG413" s="237"/>
      <c r="AH413" s="275">
        <f>SUM(AH408,AH409,AH410,AH411,AH412)</f>
        <v>0</v>
      </c>
      <c r="AI413" s="275">
        <f t="shared" ref="AI413" si="1033">SUM(AI408,AI409,AI410,AI411,AI412)</f>
        <v>0</v>
      </c>
      <c r="AJ413" s="275">
        <f t="shared" ref="AJ413" si="1034">SUM(AJ408,AJ409,AJ410,AJ411,AJ412)</f>
        <v>0</v>
      </c>
      <c r="AK413" s="275">
        <f>MAX(AK408,AK409,AK410,AK411,AK412)</f>
        <v>0</v>
      </c>
      <c r="AL413" s="275">
        <f t="shared" ref="AL413" si="1035">SUM(AL408,AL409,AL410,AL411,AL412)</f>
        <v>0</v>
      </c>
      <c r="AM413" s="275">
        <f>IF(AK405="D",SUM(AL408,AL409,AL410,AL411,AL412,-AL415,-AL416),0)</f>
        <v>0</v>
      </c>
      <c r="AN413" s="235"/>
      <c r="AO413" s="235"/>
      <c r="AP413" s="235"/>
      <c r="AQ413" s="235"/>
      <c r="AR413" s="235"/>
      <c r="AS413" s="237">
        <f>IF(AT413=0,0,1)</f>
        <v>0</v>
      </c>
      <c r="AT413" s="237">
        <f>IF(AZ413=0,0,SUM(AZ415:AZ416,-AZ414))</f>
        <v>0</v>
      </c>
      <c r="AU413" s="237"/>
      <c r="AV413" s="275">
        <f>SUM(AV408,AV409,AV410,AV411,AV412)</f>
        <v>0</v>
      </c>
      <c r="AW413" s="275">
        <f t="shared" ref="AW413" si="1036">SUM(AW408,AW409,AW410,AW411,AW412)</f>
        <v>0</v>
      </c>
      <c r="AX413" s="275">
        <f t="shared" ref="AX413" si="1037">SUM(AX408,AX409,AX410,AX411,AX412)</f>
        <v>0</v>
      </c>
      <c r="AY413" s="275">
        <f>MAX(AY408,AY409,AY410,AY411,AY412)</f>
        <v>0</v>
      </c>
      <c r="AZ413" s="275">
        <f t="shared" ref="AZ413" si="1038">SUM(AZ408,AZ409,AZ410,AZ411,AZ412)</f>
        <v>0</v>
      </c>
      <c r="BA413" s="275">
        <f>IF(AK405="D",SUM(AZ408,AZ409,AZ410,AZ411,AZ412,-AZ415,-AZ416),0)</f>
        <v>0</v>
      </c>
      <c r="BJ413" s="236"/>
      <c r="BK413" s="238"/>
      <c r="BL413" s="238"/>
      <c r="BM413" s="238"/>
      <c r="BP413" s="238"/>
      <c r="BQ413" s="238"/>
      <c r="BR413" s="238"/>
      <c r="BS413" s="238"/>
      <c r="BT413" s="238"/>
      <c r="BU413" s="238"/>
      <c r="BY413" s="238"/>
      <c r="BZ413" s="238">
        <f>MAX(BZ408,BZ409,BZ410,BZ411,BZ412)</f>
        <v>0</v>
      </c>
      <c r="CA413" s="238">
        <f>MAX(CA408,CA409,CA410,CA411,CA412)</f>
        <v>0</v>
      </c>
      <c r="CB413" s="238"/>
      <c r="CC413" s="238"/>
      <c r="CD413" s="238"/>
      <c r="CG413" s="244"/>
      <c r="CH413" s="238"/>
      <c r="CI413" s="238">
        <f>MAX(CI408,CI409,CI410,CI411,CI412)</f>
        <v>0</v>
      </c>
      <c r="CJ413" s="238">
        <f>MAX(CJ408,CJ409,CJ410,CJ411,CJ412)</f>
        <v>0</v>
      </c>
      <c r="CK413" s="238"/>
      <c r="CL413" s="238"/>
      <c r="CM413" s="238"/>
      <c r="CN413" s="238"/>
      <c r="CO413" s="238"/>
      <c r="CP413" s="238"/>
      <c r="CQ413" s="238"/>
      <c r="CR413" s="238"/>
      <c r="CS413" s="238"/>
      <c r="CT413" s="238"/>
      <c r="CU413" s="238"/>
      <c r="CV413" s="238"/>
      <c r="CW413" s="238"/>
      <c r="CX413" s="238"/>
      <c r="CY413" s="238"/>
      <c r="CZ413" s="238"/>
      <c r="DA413" s="238"/>
      <c r="DB413" s="238"/>
      <c r="DC413" s="238"/>
      <c r="DD413" s="238"/>
      <c r="DE413" s="238"/>
      <c r="DF413" s="238"/>
      <c r="DG413" s="238"/>
      <c r="DH413" s="238"/>
      <c r="DI413" s="238"/>
      <c r="DJ413" s="238"/>
      <c r="DK413" s="238"/>
      <c r="DL413" s="238"/>
      <c r="DM413" s="238"/>
      <c r="DN413" s="238"/>
      <c r="DO413" s="238"/>
      <c r="DP413" s="238"/>
      <c r="DQ413" s="238"/>
      <c r="DR413" s="238"/>
      <c r="DS413" s="238"/>
      <c r="DT413" s="238"/>
      <c r="DU413" s="238"/>
      <c r="DV413" s="238"/>
      <c r="DW413" s="238"/>
      <c r="DX413" s="238"/>
      <c r="DY413" s="238"/>
      <c r="DZ413" s="238"/>
      <c r="EA413" s="238"/>
      <c r="EB413" s="238"/>
      <c r="EC413" s="238"/>
      <c r="ED413" s="238"/>
      <c r="EE413" s="238"/>
      <c r="EF413" s="238"/>
      <c r="EG413" s="238"/>
      <c r="EH413" s="238"/>
      <c r="EI413" s="238"/>
      <c r="EJ413" s="238"/>
      <c r="EK413" s="238"/>
      <c r="EL413" s="238"/>
      <c r="EM413" s="166"/>
      <c r="EN413" s="166"/>
      <c r="EO413" s="166"/>
      <c r="EP413" s="238">
        <f>SUM(EN413-EO413)</f>
        <v>0</v>
      </c>
      <c r="EQ413" s="238"/>
      <c r="ER413" s="238"/>
      <c r="ES413" s="238"/>
      <c r="ET413" s="244"/>
      <c r="EU413" s="238"/>
      <c r="EV413" s="238"/>
      <c r="EW413" s="238"/>
      <c r="EX413" s="238"/>
      <c r="EY413" s="238"/>
      <c r="EZ413" s="238"/>
      <c r="FA413" s="238"/>
      <c r="FB413" s="238"/>
      <c r="FC413" s="238"/>
      <c r="FD413" s="238"/>
      <c r="FE413" s="238"/>
      <c r="FF413" s="238"/>
      <c r="FG413" s="238"/>
      <c r="FH413" s="238"/>
      <c r="FI413" s="238"/>
      <c r="FJ413" s="238"/>
      <c r="FK413" s="238"/>
      <c r="FL413" s="238"/>
      <c r="FM413" s="238"/>
      <c r="FN413" s="238"/>
      <c r="FO413" s="244"/>
      <c r="FP413" s="238"/>
      <c r="FQ413" s="238"/>
      <c r="FR413" s="238"/>
      <c r="FS413" s="238"/>
      <c r="FT413" s="238"/>
      <c r="FU413" s="238"/>
      <c r="FV413" s="238"/>
      <c r="FW413" s="238"/>
      <c r="FX413" s="238"/>
      <c r="FY413" s="238"/>
      <c r="FZ413" s="238"/>
      <c r="GA413" s="238"/>
      <c r="GB413" s="238"/>
      <c r="GC413" s="238"/>
      <c r="GD413" s="341"/>
      <c r="GE413" s="340"/>
      <c r="GF413" s="340"/>
      <c r="GG413" s="340"/>
      <c r="GH413" s="340"/>
      <c r="GI413" s="340"/>
      <c r="GJ413" s="340"/>
      <c r="GK413" s="340"/>
      <c r="GL413" s="340"/>
      <c r="GM413" s="340"/>
      <c r="GN413" s="340"/>
      <c r="GO413" s="340"/>
      <c r="GP413" s="340"/>
      <c r="GQ413" s="340"/>
      <c r="GR413" s="340"/>
      <c r="GS413" s="340"/>
      <c r="GT413" s="340"/>
      <c r="GU413" s="340"/>
      <c r="GV413" s="340"/>
      <c r="GW413" s="340"/>
      <c r="GX413" s="340"/>
      <c r="GY413" s="340"/>
      <c r="GZ413" s="340"/>
      <c r="HA413" s="340"/>
      <c r="HB413" s="340"/>
      <c r="HC413" s="340"/>
      <c r="HD413" s="341"/>
      <c r="HE413" s="341"/>
      <c r="HF413" s="341"/>
      <c r="HG413" s="341"/>
      <c r="HH413" s="341"/>
      <c r="HI413" s="341"/>
      <c r="HJ413" s="341"/>
      <c r="HK413" s="341"/>
      <c r="HL413" s="341"/>
      <c r="HM413" s="341"/>
      <c r="HN413" s="341"/>
      <c r="HO413" s="341"/>
      <c r="HP413" s="341"/>
      <c r="HQ413" s="341"/>
      <c r="HR413" s="341"/>
      <c r="HS413" s="238"/>
      <c r="HT413" s="238"/>
      <c r="HU413" s="238"/>
      <c r="HV413" s="238"/>
      <c r="HX413" s="238"/>
      <c r="HY413" s="238"/>
      <c r="ID413" s="238"/>
    </row>
    <row r="414" spans="1:238" s="234" customFormat="1" ht="20.100000000000001" customHeight="1">
      <c r="A414" s="235"/>
      <c r="B414" s="231"/>
      <c r="C414" s="314" t="s">
        <v>771</v>
      </c>
      <c r="D414" s="276" t="str">
        <f>REPT(Sprache!$K$58,1)</f>
        <v>Spieler</v>
      </c>
      <c r="E414" s="277" t="str">
        <f>REPT(Sprache!$K$33,1)</f>
        <v>Name / Vorname</v>
      </c>
      <c r="F414" s="278"/>
      <c r="G414" s="278"/>
      <c r="H414" s="279"/>
      <c r="I414" s="280"/>
      <c r="J414" s="281" t="str">
        <f>REPT(AM414,1)</f>
        <v/>
      </c>
      <c r="L414" s="306" t="s">
        <v>848</v>
      </c>
      <c r="M414" s="238"/>
      <c r="P414" s="306" t="s">
        <v>848</v>
      </c>
      <c r="R414" s="314" t="s">
        <v>771</v>
      </c>
      <c r="S414" s="276" t="str">
        <f>REPT(Sprache!$K$58,1)</f>
        <v>Spieler</v>
      </c>
      <c r="T414" s="277" t="str">
        <f>REPT(Sprache!$K$33,1)</f>
        <v>Name / Vorname</v>
      </c>
      <c r="U414" s="278"/>
      <c r="V414" s="278"/>
      <c r="W414" s="279"/>
      <c r="X414" s="280"/>
      <c r="Y414" s="281" t="str">
        <f>REPT(BA414,1)</f>
        <v/>
      </c>
      <c r="Z414" s="308"/>
      <c r="AD414" s="235"/>
      <c r="AE414" s="235"/>
      <c r="AF414" s="237" t="s">
        <v>771</v>
      </c>
      <c r="AG414" s="282" t="s">
        <v>877</v>
      </c>
      <c r="AH414" s="283" t="str">
        <f>IF(AH413=0,"",AH413)</f>
        <v/>
      </c>
      <c r="AI414" s="283" t="str">
        <f>IF(AI413=0,"",AI413)</f>
        <v/>
      </c>
      <c r="AJ414" s="283" t="str">
        <f>IF(AJ413=0,"",AJ413)</f>
        <v/>
      </c>
      <c r="AK414" s="283" t="str">
        <f>IF(AK413=0,"",AK413)</f>
        <v/>
      </c>
      <c r="AL414" s="283" t="str">
        <f>IF(AL413=0,"",AL413)</f>
        <v/>
      </c>
      <c r="AM414" s="258" t="str">
        <f>IF(AK405="D",IF(AF413=0,"","X"),"")</f>
        <v/>
      </c>
      <c r="AN414" s="235"/>
      <c r="AO414" s="235"/>
      <c r="AP414" s="284"/>
      <c r="AQ414" s="235"/>
      <c r="AR414" s="235"/>
      <c r="AS414" s="235"/>
      <c r="AT414" s="237" t="s">
        <v>771</v>
      </c>
      <c r="AU414" s="282" t="s">
        <v>877</v>
      </c>
      <c r="AV414" s="283" t="str">
        <f>IF(AV413=0,"",AV413)</f>
        <v/>
      </c>
      <c r="AW414" s="283" t="str">
        <f>IF(AW413=0,"",AW413)</f>
        <v/>
      </c>
      <c r="AX414" s="283" t="str">
        <f>IF(AX413=0,"",AX413)</f>
        <v/>
      </c>
      <c r="AY414" s="283" t="str">
        <f>IF(AY413=0,"",AY413)</f>
        <v/>
      </c>
      <c r="AZ414" s="421" t="str">
        <f>IF(AZ413=0,"",AZ413)</f>
        <v/>
      </c>
      <c r="BA414" s="258" t="str">
        <f>IF(AK405="D",IF(AT413=0,"","X"),"")</f>
        <v/>
      </c>
      <c r="BJ414" s="236"/>
      <c r="BK414" s="238"/>
      <c r="BL414" s="244">
        <f>IF(BM414=0,0,1)</f>
        <v>0</v>
      </c>
      <c r="BM414" s="244">
        <f>SUM(BM408,BM409,BM410,BM411,BM412,HH410,AN415,AN416,BB415,BB416)</f>
        <v>0</v>
      </c>
      <c r="BN414" s="166">
        <f t="shared" ref="BN414:BO414" si="1039">SUM(BN408,BN409,BN410,BN411,BN412)</f>
        <v>0</v>
      </c>
      <c r="BO414" s="166">
        <f t="shared" si="1039"/>
        <v>0</v>
      </c>
      <c r="BP414" s="244"/>
      <c r="BQ414" s="238"/>
      <c r="BR414" s="238"/>
      <c r="BS414" s="238"/>
      <c r="BT414" s="238"/>
      <c r="BU414" s="238"/>
      <c r="BV414" s="238"/>
      <c r="BW414" s="238"/>
      <c r="BX414" s="236"/>
      <c r="BY414" s="238"/>
      <c r="BZ414" s="238"/>
      <c r="CA414" s="238"/>
      <c r="CB414" s="238"/>
      <c r="CC414" s="238"/>
      <c r="CD414" s="238"/>
      <c r="CE414" s="238"/>
      <c r="CF414" s="238"/>
      <c r="CG414" s="244"/>
      <c r="CH414" s="238"/>
      <c r="CI414" s="238"/>
      <c r="CJ414" s="238"/>
      <c r="CK414" s="238"/>
      <c r="CL414" s="238"/>
      <c r="CM414" s="238"/>
      <c r="CN414" s="238"/>
      <c r="CO414" s="238"/>
      <c r="CP414" s="238"/>
      <c r="CQ414" s="238"/>
      <c r="CR414" s="238"/>
      <c r="CS414" s="238"/>
      <c r="CT414" s="238"/>
      <c r="CU414" s="238"/>
      <c r="CV414" s="238"/>
      <c r="CW414" s="238"/>
      <c r="CX414" s="238"/>
      <c r="CY414" s="238"/>
      <c r="CZ414" s="238"/>
      <c r="DA414" s="238"/>
      <c r="DB414" s="238"/>
      <c r="DC414" s="238"/>
      <c r="DD414" s="238"/>
      <c r="DE414" s="238"/>
      <c r="DF414" s="238"/>
      <c r="DG414" s="238"/>
      <c r="DH414" s="238"/>
      <c r="DI414" s="238"/>
      <c r="DJ414" s="238"/>
      <c r="DK414" s="238"/>
      <c r="DL414" s="238"/>
      <c r="DM414" s="238"/>
      <c r="DN414" s="238"/>
      <c r="DO414" s="238"/>
      <c r="DP414" s="238"/>
      <c r="DQ414" s="238"/>
      <c r="DR414" s="238"/>
      <c r="DS414" s="238"/>
      <c r="DT414" s="238"/>
      <c r="DU414" s="238"/>
      <c r="DV414" s="238"/>
      <c r="DW414" s="238"/>
      <c r="DX414" s="238"/>
      <c r="DY414" s="238"/>
      <c r="DZ414" s="238"/>
      <c r="EA414" s="238"/>
      <c r="EB414" s="238"/>
      <c r="EC414" s="238"/>
      <c r="ED414" s="238"/>
      <c r="EE414" s="238"/>
      <c r="EF414" s="238"/>
      <c r="EG414" s="238"/>
      <c r="EH414" s="238"/>
      <c r="EI414" s="238"/>
      <c r="EJ414" s="238"/>
      <c r="EK414" s="238"/>
      <c r="EL414" s="238"/>
      <c r="EM414" s="238"/>
      <c r="EN414" s="238"/>
      <c r="EO414" s="238"/>
      <c r="EP414" s="238"/>
      <c r="EQ414" s="238"/>
      <c r="ER414" s="238"/>
      <c r="ES414" s="238"/>
      <c r="ET414" s="244"/>
      <c r="EU414" s="238"/>
      <c r="EV414" s="238"/>
      <c r="EW414" s="238"/>
      <c r="EX414" s="238"/>
      <c r="EY414" s="238"/>
      <c r="EZ414" s="238"/>
      <c r="FA414" s="238"/>
      <c r="FB414" s="238"/>
      <c r="FC414" s="238"/>
      <c r="FD414" s="238"/>
      <c r="FE414" s="238"/>
      <c r="FF414" s="238"/>
      <c r="FG414" s="238"/>
      <c r="FH414" s="238"/>
      <c r="FI414" s="238"/>
      <c r="FJ414" s="238"/>
      <c r="FK414" s="238"/>
      <c r="FL414" s="238"/>
      <c r="FM414" s="238"/>
      <c r="FN414" s="238"/>
      <c r="FO414" s="244"/>
      <c r="FP414" s="238"/>
      <c r="FQ414" s="238"/>
      <c r="FR414" s="238"/>
      <c r="FS414" s="238"/>
      <c r="FT414" s="238"/>
      <c r="FU414" s="238"/>
      <c r="FV414" s="238"/>
      <c r="FW414" s="238"/>
      <c r="FX414" s="238"/>
      <c r="FY414" s="238"/>
      <c r="FZ414" s="238"/>
      <c r="GA414" s="238"/>
      <c r="GB414" s="238"/>
      <c r="GC414" s="238"/>
      <c r="GD414" s="341"/>
      <c r="GE414" s="340"/>
      <c r="GF414" s="340"/>
      <c r="GG414" s="340"/>
      <c r="GH414" s="340"/>
      <c r="GI414" s="340"/>
      <c r="GJ414" s="340"/>
      <c r="GK414" s="340"/>
      <c r="GL414" s="340"/>
      <c r="GM414" s="340"/>
      <c r="GN414" s="340"/>
      <c r="GO414" s="340"/>
      <c r="GP414" s="340"/>
      <c r="GQ414" s="340"/>
      <c r="GR414" s="340"/>
      <c r="GS414" s="340"/>
      <c r="GT414" s="340"/>
      <c r="GU414" s="340"/>
      <c r="GV414" s="340"/>
      <c r="GW414" s="340"/>
      <c r="GX414" s="340"/>
      <c r="GY414" s="340"/>
      <c r="GZ414" s="340"/>
      <c r="HA414" s="340"/>
      <c r="HB414" s="340"/>
      <c r="HC414" s="340"/>
      <c r="HD414" s="341"/>
      <c r="HE414" s="341"/>
      <c r="HF414" s="341"/>
      <c r="HG414" s="341"/>
      <c r="HH414" s="341"/>
      <c r="HI414" s="341"/>
      <c r="HJ414" s="341"/>
      <c r="HK414" s="341"/>
      <c r="HL414" s="341"/>
      <c r="HM414" s="341"/>
      <c r="HN414" s="341"/>
      <c r="HO414" s="341"/>
      <c r="HP414" s="341"/>
      <c r="HQ414" s="341"/>
      <c r="HR414" s="341"/>
      <c r="HS414" s="238"/>
      <c r="HT414" s="238"/>
      <c r="HU414" s="238"/>
      <c r="HV414" s="238"/>
      <c r="HX414" s="238"/>
      <c r="HY414" s="238"/>
      <c r="ID414" s="238"/>
    </row>
    <row r="415" spans="1:238" s="234" customFormat="1" ht="20.100000000000001" customHeight="1">
      <c r="A415" s="235"/>
      <c r="B415" s="231"/>
      <c r="C415" s="285" t="str">
        <f>IF(AF415="","",SUM(AF415))</f>
        <v/>
      </c>
      <c r="D415" s="286">
        <f>IF(AK405="D",1,"")</f>
        <v>1</v>
      </c>
      <c r="E415" s="287" t="str">
        <f>IF(C415="","",VLOOKUP(C415,Licenses!B:C,2,FALSE))</f>
        <v/>
      </c>
      <c r="F415" s="288"/>
      <c r="G415" s="288"/>
      <c r="H415" s="289"/>
      <c r="I415" s="169"/>
      <c r="J415" s="270" t="str">
        <f>REPT(AM415,1)</f>
        <v/>
      </c>
      <c r="L415" s="290" t="str">
        <f>IF(AK405="D",AK415,IF(AK414="","",AK414))</f>
        <v/>
      </c>
      <c r="M415" s="311"/>
      <c r="P415" s="290" t="str">
        <f>IF(AK405="D",AY415,IF(AY414="","",AY414))</f>
        <v/>
      </c>
      <c r="R415" s="291" t="str">
        <f>IF(AT415="","",SUM(AT415))</f>
        <v/>
      </c>
      <c r="S415" s="286">
        <f>IF(AK405="D",1,"")</f>
        <v>1</v>
      </c>
      <c r="T415" s="292" t="str">
        <f>IF(R415="","",VLOOKUP(R415,Licenses!B:C,2,FALSE))</f>
        <v/>
      </c>
      <c r="U415" s="293"/>
      <c r="V415" s="293"/>
      <c r="W415" s="294"/>
      <c r="X415" s="169"/>
      <c r="Y415" s="270" t="str">
        <f>REPT(BA415,1)</f>
        <v/>
      </c>
      <c r="Z415" s="308"/>
      <c r="AD415" s="235"/>
      <c r="AE415" s="235"/>
      <c r="AF415" s="256" t="str">
        <f>IF(AM405="","",SUM(AM405))</f>
        <v/>
      </c>
      <c r="AG415" s="237"/>
      <c r="AH415" s="256"/>
      <c r="AI415" s="256"/>
      <c r="AJ415" s="256"/>
      <c r="AK415" s="256" t="str">
        <f>IF(BZ413&gt;1,BZ413,"")</f>
        <v/>
      </c>
      <c r="AL415" s="257">
        <f>IF(AK405="D",SUM(I415),0)</f>
        <v>0</v>
      </c>
      <c r="AM415" s="258" t="str">
        <f>IF(AM413=0,IF(AL415&lt;6,"","X"),"X")</f>
        <v/>
      </c>
      <c r="AN415" s="347" t="str">
        <f>IF(AM413=0,IF(AL415&lt;6,"",1),1)</f>
        <v/>
      </c>
      <c r="AO415" s="235"/>
      <c r="AP415" s="236"/>
      <c r="AQ415" s="235"/>
      <c r="AR415" s="235"/>
      <c r="AS415" s="235"/>
      <c r="AT415" s="256" t="str">
        <f>IF(BA405="","",SUM(BA405))</f>
        <v/>
      </c>
      <c r="AU415" s="237"/>
      <c r="AV415" s="256"/>
      <c r="AW415" s="256"/>
      <c r="AX415" s="256"/>
      <c r="AY415" s="256" t="str">
        <f>IF(CI413&gt;1,CI413,"")</f>
        <v/>
      </c>
      <c r="AZ415" s="257">
        <f>IF(AK405="D",SUM(X415),0)</f>
        <v>0</v>
      </c>
      <c r="BA415" s="258" t="str">
        <f>IF(BA413=0,IF(AZ415&lt;6,"","X"),"X")</f>
        <v/>
      </c>
      <c r="BB415" s="347" t="str">
        <f>IF(BA413=0,IF(AZ415&lt;6,"",1),1)</f>
        <v/>
      </c>
      <c r="BC415" s="236"/>
      <c r="BD415" s="236"/>
      <c r="BE415" s="236"/>
      <c r="BF415" s="236"/>
      <c r="BG415" s="236"/>
      <c r="BH415" s="236"/>
      <c r="BI415" s="236"/>
      <c r="BJ415" s="236"/>
      <c r="BK415" s="238"/>
      <c r="BL415" s="238"/>
      <c r="BM415" s="295"/>
      <c r="BN415" s="295"/>
      <c r="BO415" s="295"/>
      <c r="BP415" s="295"/>
      <c r="BQ415" s="295"/>
      <c r="BR415" s="295"/>
      <c r="BS415" s="295"/>
      <c r="BT415" s="295"/>
      <c r="BU415" s="295"/>
      <c r="BV415" s="295"/>
      <c r="BW415" s="295"/>
      <c r="BX415" s="236"/>
      <c r="BY415" s="295"/>
      <c r="BZ415" s="295"/>
      <c r="CA415" s="295"/>
      <c r="CB415" s="295"/>
      <c r="CC415" s="295"/>
      <c r="CD415" s="295"/>
      <c r="CE415" s="295"/>
      <c r="CF415" s="295"/>
      <c r="CG415" s="296"/>
      <c r="CH415" s="295"/>
      <c r="CI415" s="295"/>
      <c r="CJ415" s="295"/>
      <c r="CK415" s="238"/>
      <c r="CL415" s="238"/>
      <c r="CM415" s="238"/>
      <c r="CN415" s="238"/>
      <c r="CO415" s="238"/>
      <c r="CP415" s="238"/>
      <c r="CQ415" s="238"/>
      <c r="CR415" s="238"/>
      <c r="CS415" s="238"/>
      <c r="CT415" s="238"/>
      <c r="CU415" s="238"/>
      <c r="CV415" s="238"/>
      <c r="CW415" s="238"/>
      <c r="CX415" s="238"/>
      <c r="CY415" s="238"/>
      <c r="CZ415" s="238"/>
      <c r="DA415" s="238"/>
      <c r="DB415" s="238"/>
      <c r="DC415" s="238"/>
      <c r="DD415" s="238"/>
      <c r="DE415" s="238"/>
      <c r="DF415" s="238"/>
      <c r="DG415" s="238"/>
      <c r="DH415" s="238"/>
      <c r="DI415" s="238"/>
      <c r="DJ415" s="238"/>
      <c r="DK415" s="238"/>
      <c r="DL415" s="238"/>
      <c r="DM415" s="238"/>
      <c r="DN415" s="238"/>
      <c r="DO415" s="238"/>
      <c r="DP415" s="238"/>
      <c r="DQ415" s="238"/>
      <c r="DR415" s="238"/>
      <c r="DS415" s="238"/>
      <c r="DT415" s="238"/>
      <c r="DU415" s="238"/>
      <c r="DV415" s="238"/>
      <c r="DW415" s="238"/>
      <c r="DX415" s="238"/>
      <c r="DY415" s="238"/>
      <c r="DZ415" s="238"/>
      <c r="EA415" s="238"/>
      <c r="EB415" s="238"/>
      <c r="EC415" s="238"/>
      <c r="ED415" s="238"/>
      <c r="EE415" s="238"/>
      <c r="EF415" s="238"/>
      <c r="EG415" s="238"/>
      <c r="EH415" s="238"/>
      <c r="EI415" s="238"/>
      <c r="EJ415" s="238"/>
      <c r="EK415" s="238"/>
      <c r="EL415" s="238"/>
      <c r="EM415" s="238"/>
      <c r="EN415" s="238"/>
      <c r="EO415" s="238"/>
      <c r="EP415" s="238"/>
      <c r="EQ415" s="238"/>
      <c r="ER415" s="238"/>
      <c r="ES415" s="238"/>
      <c r="ET415" s="244"/>
      <c r="EU415" s="238"/>
      <c r="EV415" s="238"/>
      <c r="EW415" s="238"/>
      <c r="EX415" s="238"/>
      <c r="EY415" s="238"/>
      <c r="EZ415" s="238"/>
      <c r="FA415" s="238"/>
      <c r="FB415" s="238"/>
      <c r="FC415" s="238"/>
      <c r="FD415" s="238"/>
      <c r="FE415" s="238"/>
      <c r="FF415" s="238"/>
      <c r="FG415" s="238"/>
      <c r="FH415" s="238"/>
      <c r="FI415" s="238"/>
      <c r="FJ415" s="238"/>
      <c r="FK415" s="238"/>
      <c r="FL415" s="238"/>
      <c r="FM415" s="238"/>
      <c r="FN415" s="238"/>
      <c r="FO415" s="244"/>
      <c r="FP415" s="238"/>
      <c r="FQ415" s="238"/>
      <c r="FR415" s="238"/>
      <c r="FS415" s="238"/>
      <c r="FT415" s="238"/>
      <c r="FU415" s="238"/>
      <c r="FV415" s="238"/>
      <c r="FW415" s="238"/>
      <c r="FX415" s="238"/>
      <c r="FY415" s="238"/>
      <c r="FZ415" s="238"/>
      <c r="GA415" s="238"/>
      <c r="GB415" s="238"/>
      <c r="GC415" s="238"/>
      <c r="GD415" s="341"/>
      <c r="GE415" s="340"/>
      <c r="GF415" s="340"/>
      <c r="GG415" s="340"/>
      <c r="GH415" s="340"/>
      <c r="GI415" s="340"/>
      <c r="GJ415" s="340"/>
      <c r="GK415" s="340"/>
      <c r="GL415" s="340"/>
      <c r="GM415" s="340"/>
      <c r="GN415" s="340"/>
      <c r="GO415" s="340"/>
      <c r="GP415" s="340"/>
      <c r="GQ415" s="340"/>
      <c r="GR415" s="340"/>
      <c r="GS415" s="340"/>
      <c r="GT415" s="340"/>
      <c r="GU415" s="340"/>
      <c r="GV415" s="340"/>
      <c r="GW415" s="340"/>
      <c r="GX415" s="340"/>
      <c r="GY415" s="340"/>
      <c r="GZ415" s="340"/>
      <c r="HA415" s="340"/>
      <c r="HB415" s="340"/>
      <c r="HC415" s="340"/>
      <c r="HD415" s="341"/>
      <c r="HE415" s="341"/>
      <c r="HF415" s="341"/>
      <c r="HG415" s="341"/>
      <c r="HH415" s="341"/>
      <c r="HI415" s="341"/>
      <c r="HJ415" s="341"/>
      <c r="HK415" s="341"/>
      <c r="HL415" s="341"/>
      <c r="HM415" s="341"/>
      <c r="HN415" s="341"/>
      <c r="HO415" s="341"/>
      <c r="HP415" s="341"/>
      <c r="HQ415" s="341"/>
      <c r="HR415" s="341"/>
      <c r="HS415" s="238"/>
      <c r="HT415" s="238"/>
      <c r="HU415" s="238"/>
      <c r="HV415" s="238"/>
      <c r="HX415" s="238"/>
      <c r="HY415" s="238"/>
      <c r="ID415" s="238"/>
    </row>
    <row r="416" spans="1:238" s="234" customFormat="1" ht="20.100000000000001" customHeight="1">
      <c r="A416" s="235"/>
      <c r="B416" s="231"/>
      <c r="C416" s="336" t="str">
        <f>IF(AF416="","",SUM(AF416))</f>
        <v/>
      </c>
      <c r="D416" s="333">
        <f>IF(AK405="D",2,"")</f>
        <v>2</v>
      </c>
      <c r="E416" s="337" t="str">
        <f>IF(C416="","",VLOOKUP(C416,Licenses!B:C,2,FALSE))</f>
        <v/>
      </c>
      <c r="F416" s="290"/>
      <c r="G416" s="290"/>
      <c r="H416" s="338"/>
      <c r="I416" s="331"/>
      <c r="J416" s="272" t="str">
        <f>REPT(AM416,1)</f>
        <v/>
      </c>
      <c r="L416" s="315" t="str">
        <f>IF(AK405="D",AK416,"")</f>
        <v/>
      </c>
      <c r="M416" s="311"/>
      <c r="P416" s="315" t="str">
        <f>IF(AK405="D",AY416,"")</f>
        <v/>
      </c>
      <c r="R416" s="332" t="str">
        <f>IF(AT416="","",SUM(AT416))</f>
        <v/>
      </c>
      <c r="S416" s="333">
        <f>IF(AK405="D",2,"")</f>
        <v>2</v>
      </c>
      <c r="T416" s="334" t="str">
        <f>IF(R416="","",VLOOKUP(R416,Licenses!B:C,2,FALSE))</f>
        <v/>
      </c>
      <c r="U416" s="297"/>
      <c r="V416" s="297"/>
      <c r="W416" s="335"/>
      <c r="X416" s="331"/>
      <c r="Y416" s="272" t="str">
        <f>REPT(BA416,1)</f>
        <v/>
      </c>
      <c r="Z416" s="308"/>
      <c r="AA416" s="238">
        <f>IF(AK405="D",0,1)</f>
        <v>0</v>
      </c>
      <c r="AD416" s="235"/>
      <c r="AE416" s="235"/>
      <c r="AF416" s="256" t="str">
        <f>IF(AM406="","",SUM(AM406))</f>
        <v/>
      </c>
      <c r="AG416" s="237"/>
      <c r="AH416" s="256"/>
      <c r="AI416" s="256"/>
      <c r="AJ416" s="256"/>
      <c r="AK416" s="256" t="str">
        <f>IF(CA413&gt;1,CA413,"")</f>
        <v/>
      </c>
      <c r="AL416" s="257">
        <f>IF(AK405="D",SUM(I416),0)</f>
        <v>0</v>
      </c>
      <c r="AM416" s="258" t="str">
        <f>IF(AM413=0,IF(AL416&lt;6,"","X"),"X")</f>
        <v/>
      </c>
      <c r="AN416" s="347" t="str">
        <f>IF(AM413=0,IF(AL416&lt;6,"",1),1)</f>
        <v/>
      </c>
      <c r="AO416" s="235"/>
      <c r="AP416" s="236"/>
      <c r="AQ416" s="235"/>
      <c r="AR416" s="235"/>
      <c r="AS416" s="235"/>
      <c r="AT416" s="256" t="str">
        <f>IF(BA406="","",SUM(BA406))</f>
        <v/>
      </c>
      <c r="AU416" s="237"/>
      <c r="AV416" s="256"/>
      <c r="AW416" s="256"/>
      <c r="AX416" s="256"/>
      <c r="AY416" s="256" t="str">
        <f>IF(CJ413&gt;1,CJ413,"")</f>
        <v/>
      </c>
      <c r="AZ416" s="257">
        <f>IF(AK405="D",SUM(X416),0)</f>
        <v>0</v>
      </c>
      <c r="BA416" s="258" t="str">
        <f>IF(BA413=0,IF(AZ416&lt;6,"","X"),"X")</f>
        <v/>
      </c>
      <c r="BB416" s="347" t="str">
        <f>IF(BA413=0,IF(AZ416&lt;6,"",1),1)</f>
        <v/>
      </c>
      <c r="BC416" s="236"/>
      <c r="BD416" s="236"/>
      <c r="BE416" s="236"/>
      <c r="BF416" s="236"/>
      <c r="BG416" s="236"/>
      <c r="BH416" s="236"/>
      <c r="BI416" s="236"/>
      <c r="BJ416" s="236"/>
      <c r="BK416" s="238"/>
      <c r="BM416" s="238"/>
      <c r="BN416" s="238"/>
      <c r="BO416" s="238"/>
      <c r="BP416" s="238"/>
      <c r="BQ416" s="238" t="s">
        <v>899</v>
      </c>
      <c r="BR416" s="238"/>
      <c r="BS416" s="238"/>
      <c r="BT416" s="238"/>
      <c r="BU416" s="238"/>
      <c r="BV416" s="238"/>
      <c r="BW416" s="238"/>
      <c r="BX416" s="236"/>
      <c r="BY416" s="238"/>
      <c r="BZ416" s="238"/>
      <c r="CA416" s="238"/>
      <c r="CB416" s="238"/>
      <c r="CC416" s="238"/>
      <c r="CD416" s="238" t="s">
        <v>899</v>
      </c>
      <c r="CE416" s="238"/>
      <c r="CF416" s="238"/>
      <c r="CG416" s="244"/>
      <c r="CH416" s="238"/>
      <c r="CI416" s="238"/>
      <c r="CJ416" s="238"/>
      <c r="CK416" s="238"/>
      <c r="CL416" s="238"/>
      <c r="CM416" s="238"/>
      <c r="CN416" s="238"/>
      <c r="CO416" s="238"/>
      <c r="CP416" s="238"/>
      <c r="CQ416" s="238"/>
      <c r="CR416" s="238"/>
      <c r="CS416" s="238"/>
      <c r="CT416" s="238"/>
      <c r="CU416" s="238"/>
      <c r="CV416" s="238"/>
      <c r="CW416" s="238"/>
      <c r="CX416" s="238"/>
      <c r="CY416" s="238"/>
      <c r="CZ416" s="238"/>
      <c r="DA416" s="238"/>
      <c r="DB416" s="238"/>
      <c r="DC416" s="238"/>
      <c r="DD416" s="238"/>
      <c r="DE416" s="238"/>
      <c r="DF416" s="238"/>
      <c r="DG416" s="238"/>
      <c r="DH416" s="238"/>
      <c r="DI416" s="238"/>
      <c r="DJ416" s="238"/>
      <c r="DK416" s="238"/>
      <c r="DL416" s="238"/>
      <c r="DM416" s="238"/>
      <c r="DN416" s="238"/>
      <c r="DO416" s="238"/>
      <c r="DP416" s="238"/>
      <c r="DQ416" s="238"/>
      <c r="DR416" s="238"/>
      <c r="DS416" s="238"/>
      <c r="DT416" s="238"/>
      <c r="DU416" s="238"/>
      <c r="DV416" s="238"/>
      <c r="DW416" s="238"/>
      <c r="DX416" s="238"/>
      <c r="DY416" s="238"/>
      <c r="DZ416" s="238"/>
      <c r="EA416" s="238"/>
      <c r="EB416" s="238"/>
      <c r="EC416" s="238"/>
      <c r="ED416" s="238"/>
      <c r="EE416" s="238"/>
      <c r="EF416" s="238"/>
      <c r="EG416" s="238"/>
      <c r="EH416" s="238"/>
      <c r="EI416" s="238"/>
      <c r="EJ416" s="238"/>
      <c r="EK416" s="238"/>
      <c r="EL416" s="238"/>
      <c r="EM416" s="238"/>
      <c r="EN416" s="238"/>
      <c r="EO416" s="238"/>
      <c r="EP416" s="238"/>
      <c r="EQ416" s="238"/>
      <c r="ER416" s="238"/>
      <c r="ES416" s="238"/>
      <c r="ET416" s="244"/>
      <c r="EU416" s="238"/>
      <c r="EV416" s="238"/>
      <c r="EW416" s="238"/>
      <c r="EX416" s="238"/>
      <c r="EY416" s="238"/>
      <c r="EZ416" s="238"/>
      <c r="FA416" s="238"/>
      <c r="FB416" s="238"/>
      <c r="FC416" s="238"/>
      <c r="FD416" s="238"/>
      <c r="FE416" s="238"/>
      <c r="FF416" s="238"/>
      <c r="FG416" s="238"/>
      <c r="FH416" s="238"/>
      <c r="FI416" s="238"/>
      <c r="FJ416" s="238"/>
      <c r="FK416" s="238"/>
      <c r="FL416" s="238"/>
      <c r="FM416" s="238"/>
      <c r="FN416" s="238"/>
      <c r="FO416" s="244"/>
      <c r="FP416" s="238"/>
      <c r="FQ416" s="238"/>
      <c r="FR416" s="238"/>
      <c r="FS416" s="238"/>
      <c r="FT416" s="238"/>
      <c r="FU416" s="238"/>
      <c r="FV416" s="238"/>
      <c r="FW416" s="238"/>
      <c r="FX416" s="238"/>
      <c r="FY416" s="238"/>
      <c r="FZ416" s="238"/>
      <c r="GA416" s="238"/>
      <c r="GB416" s="238"/>
      <c r="GC416" s="238"/>
      <c r="GD416" s="341"/>
      <c r="GE416" s="340"/>
      <c r="GF416" s="340"/>
      <c r="GG416" s="340"/>
      <c r="GH416" s="340"/>
      <c r="GI416" s="340"/>
      <c r="GJ416" s="340"/>
      <c r="GK416" s="340"/>
      <c r="GL416" s="340"/>
      <c r="GM416" s="340"/>
      <c r="GN416" s="340"/>
      <c r="GO416" s="340"/>
      <c r="GP416" s="340"/>
      <c r="GQ416" s="340"/>
      <c r="GR416" s="340"/>
      <c r="GS416" s="340"/>
      <c r="GT416" s="340"/>
      <c r="GU416" s="340"/>
      <c r="GV416" s="340"/>
      <c r="GW416" s="340"/>
      <c r="GX416" s="340"/>
      <c r="GY416" s="340"/>
      <c r="GZ416" s="340"/>
      <c r="HA416" s="340"/>
      <c r="HB416" s="340"/>
      <c r="HC416" s="340"/>
      <c r="HD416" s="341"/>
      <c r="HE416" s="341"/>
      <c r="HF416" s="341"/>
      <c r="HG416" s="341"/>
      <c r="HH416" s="341"/>
      <c r="HI416" s="341"/>
      <c r="HJ416" s="341"/>
      <c r="HK416" s="341"/>
      <c r="HL416" s="341"/>
      <c r="HM416" s="341"/>
      <c r="HN416" s="341"/>
      <c r="HO416" s="341"/>
      <c r="HP416" s="341"/>
      <c r="HQ416" s="341"/>
      <c r="HR416" s="341"/>
      <c r="HS416" s="238"/>
      <c r="HT416" s="238"/>
      <c r="HU416" s="238"/>
      <c r="HV416" s="238"/>
      <c r="HX416" s="238"/>
      <c r="HY416" s="238"/>
      <c r="ID416" s="238"/>
    </row>
    <row r="417" spans="1:238" s="234" customFormat="1" ht="20.100000000000001" customHeight="1">
      <c r="A417" s="235"/>
      <c r="B417" s="316"/>
      <c r="C417" s="317"/>
      <c r="D417" s="317"/>
      <c r="E417" s="318"/>
      <c r="F417" s="318"/>
      <c r="G417" s="318"/>
      <c r="H417" s="318"/>
      <c r="I417" s="318"/>
      <c r="J417" s="318"/>
      <c r="K417" s="319"/>
      <c r="L417" s="319"/>
      <c r="M417" s="319"/>
      <c r="N417" s="319"/>
      <c r="O417" s="319"/>
      <c r="P417" s="320"/>
      <c r="Q417" s="319"/>
      <c r="R417" s="317"/>
      <c r="S417" s="318"/>
      <c r="T417" s="318"/>
      <c r="U417" s="318"/>
      <c r="V417" s="318"/>
      <c r="W417" s="318"/>
      <c r="X417" s="318"/>
      <c r="Y417" s="318"/>
      <c r="Z417" s="321"/>
      <c r="AD417" s="235"/>
      <c r="AE417" s="237"/>
      <c r="AF417" s="237"/>
      <c r="AG417" s="237"/>
      <c r="AH417" s="237" t="s">
        <v>921</v>
      </c>
      <c r="AI417" s="237" t="s">
        <v>922</v>
      </c>
      <c r="AJ417" s="298" t="str">
        <f>IF(BS417="","",SUM(AM417)*3)</f>
        <v/>
      </c>
      <c r="AK417" s="299" t="s">
        <v>923</v>
      </c>
      <c r="AL417" s="256"/>
      <c r="AM417" s="256" t="str">
        <f>IF(BS417="","",SUM(BS417))</f>
        <v/>
      </c>
      <c r="AN417" s="235"/>
      <c r="AO417" s="235"/>
      <c r="AP417" s="236"/>
      <c r="AQ417" s="235"/>
      <c r="AR417" s="235"/>
      <c r="AS417" s="237"/>
      <c r="AT417" s="237"/>
      <c r="AU417" s="237"/>
      <c r="AV417" s="237" t="s">
        <v>921</v>
      </c>
      <c r="AW417" s="237" t="s">
        <v>922</v>
      </c>
      <c r="AX417" s="298" t="str">
        <f>IF(BS417="","",SUM(BA417)*3)</f>
        <v/>
      </c>
      <c r="AY417" s="299" t="s">
        <v>923</v>
      </c>
      <c r="AZ417" s="256"/>
      <c r="BA417" s="256" t="str">
        <f>IF(BS417="","",SUM(CF417))</f>
        <v/>
      </c>
      <c r="BB417" s="236"/>
      <c r="BC417" s="236"/>
      <c r="BD417" s="236"/>
      <c r="BE417" s="236"/>
      <c r="BF417" s="236"/>
      <c r="BG417" s="236"/>
      <c r="BH417" s="236"/>
      <c r="BI417" s="236"/>
      <c r="BJ417" s="236"/>
      <c r="BK417" s="373">
        <f>IF(AL405=BQ417,1,0)</f>
        <v>0</v>
      </c>
      <c r="BL417" s="373">
        <f>IF(AL405=CD417,1,0)</f>
        <v>0</v>
      </c>
      <c r="BM417" s="256">
        <f>IF(BN417&gt;2,1,0)</f>
        <v>0</v>
      </c>
      <c r="BN417" s="256">
        <f>COUNT(AH408,AH409,AH410)</f>
        <v>0</v>
      </c>
      <c r="BO417" s="256" t="str">
        <f>IF(AH414="","",SUM(AH414/AJ414))</f>
        <v/>
      </c>
      <c r="BP417" s="256"/>
      <c r="BQ417" s="300">
        <f>COUNT(AK408,AK409,AK410,AK411,AK412)</f>
        <v>0</v>
      </c>
      <c r="BR417" s="256"/>
      <c r="BS417" s="256" t="str">
        <f>IF(BL414=0,IF(AJ409="","",BO417),"")</f>
        <v/>
      </c>
      <c r="BT417" s="236"/>
      <c r="BU417" s="236"/>
      <c r="BV417" s="236"/>
      <c r="BW417" s="236"/>
      <c r="BX417" s="236"/>
      <c r="BY417" s="256">
        <f>IF(CD417&gt;2,1,0)</f>
        <v>0</v>
      </c>
      <c r="BZ417" s="256">
        <f>IF(CA417&gt;2,1,0)</f>
        <v>0</v>
      </c>
      <c r="CA417" s="256">
        <f>COUNT(AV408,AV409,AV410)</f>
        <v>0</v>
      </c>
      <c r="CB417" s="256" t="str">
        <f>IF(AV414="","",SUM(AV414/AX414))</f>
        <v/>
      </c>
      <c r="CC417" s="256"/>
      <c r="CD417" s="300">
        <f>COUNT(AY408,AY409,AY410,AY411,AY412)</f>
        <v>0</v>
      </c>
      <c r="CE417" s="256"/>
      <c r="CF417" s="256" t="str">
        <f>IF(BL414=0,IF(AX409="","",CB417),"")</f>
        <v/>
      </c>
      <c r="CG417" s="236"/>
      <c r="CH417" s="188"/>
      <c r="CI417" s="188"/>
      <c r="CJ417" s="196"/>
      <c r="CK417" s="196"/>
      <c r="CL417" s="196"/>
      <c r="CM417" s="196"/>
      <c r="CN417" s="196"/>
      <c r="CO417" s="196"/>
      <c r="CP417" s="196"/>
      <c r="CQ417" s="196"/>
      <c r="CR417" s="196"/>
      <c r="CS417" s="196"/>
      <c r="CT417" s="196"/>
      <c r="CU417" s="196"/>
      <c r="CV417" s="196"/>
      <c r="CW417" s="196"/>
      <c r="CX417" s="196"/>
      <c r="CY417" s="196"/>
      <c r="CZ417" s="196"/>
      <c r="DA417" s="196"/>
      <c r="DB417" s="196"/>
      <c r="DC417" s="196"/>
      <c r="DD417" s="196"/>
      <c r="DE417" s="196"/>
      <c r="DF417" s="196"/>
      <c r="DG417" s="196"/>
      <c r="DH417" s="196"/>
      <c r="DI417" s="196"/>
      <c r="DJ417" s="196"/>
      <c r="DK417" s="196"/>
      <c r="DL417" s="196"/>
      <c r="DM417" s="196"/>
      <c r="DN417" s="196"/>
      <c r="DO417" s="196"/>
      <c r="DP417" s="196"/>
      <c r="DQ417" s="196"/>
      <c r="DR417" s="196"/>
      <c r="DS417" s="196"/>
      <c r="DT417" s="196"/>
      <c r="DU417" s="196"/>
      <c r="DV417" s="196"/>
      <c r="DW417" s="196"/>
      <c r="DX417" s="196"/>
      <c r="DY417" s="196"/>
      <c r="DZ417" s="196"/>
      <c r="EA417" s="196"/>
      <c r="EB417" s="196"/>
      <c r="EC417" s="196"/>
      <c r="ED417" s="196"/>
      <c r="EE417" s="196"/>
      <c r="EF417" s="196"/>
      <c r="EG417" s="196"/>
      <c r="EH417" s="196"/>
      <c r="EI417" s="196"/>
      <c r="EJ417" s="196"/>
      <c r="EK417" s="196"/>
      <c r="EL417" s="196"/>
      <c r="EM417" s="196"/>
      <c r="EN417" s="196"/>
      <c r="EO417" s="196"/>
      <c r="EP417" s="196"/>
      <c r="EQ417" s="196"/>
      <c r="ER417" s="196"/>
      <c r="ES417" s="196"/>
      <c r="ET417" s="301"/>
      <c r="EU417" s="196"/>
      <c r="EV417" s="196"/>
      <c r="EW417" s="196"/>
      <c r="EX417" s="196"/>
      <c r="EY417" s="196"/>
      <c r="EZ417" s="196"/>
      <c r="FA417" s="196"/>
      <c r="FB417" s="196"/>
      <c r="FC417" s="196"/>
      <c r="FD417" s="196"/>
      <c r="FE417" s="196"/>
      <c r="FF417" s="196"/>
      <c r="FG417" s="196"/>
      <c r="FH417" s="196"/>
      <c r="FI417" s="196"/>
      <c r="FJ417" s="196"/>
      <c r="FK417" s="196"/>
      <c r="FL417" s="196"/>
      <c r="FM417" s="196"/>
      <c r="FN417" s="196"/>
      <c r="FO417" s="301"/>
      <c r="FP417" s="196"/>
      <c r="FQ417" s="196"/>
      <c r="FR417" s="196"/>
      <c r="FS417" s="196"/>
      <c r="FT417" s="196"/>
      <c r="FU417" s="196"/>
      <c r="FV417" s="196"/>
      <c r="FW417" s="196"/>
      <c r="FX417" s="196"/>
      <c r="FY417" s="196"/>
      <c r="FZ417" s="196"/>
      <c r="GA417" s="196"/>
      <c r="GB417" s="238"/>
      <c r="GC417" s="238"/>
      <c r="GD417" s="341"/>
      <c r="GE417" s="341"/>
      <c r="GF417" s="341"/>
      <c r="GG417" s="341"/>
      <c r="GH417" s="341"/>
      <c r="GI417" s="341"/>
      <c r="GJ417" s="341"/>
      <c r="GK417" s="341"/>
      <c r="GL417" s="341"/>
      <c r="GM417" s="341"/>
      <c r="GN417" s="341"/>
      <c r="GO417" s="341"/>
      <c r="GP417" s="341"/>
      <c r="GQ417" s="341"/>
      <c r="GR417" s="341"/>
      <c r="GS417" s="341"/>
      <c r="GT417" s="341"/>
      <c r="GU417" s="341"/>
      <c r="GV417" s="341"/>
      <c r="GW417" s="341"/>
      <c r="GX417" s="341"/>
      <c r="GY417" s="341"/>
      <c r="GZ417" s="341"/>
      <c r="HA417" s="341"/>
      <c r="HB417" s="341"/>
      <c r="HC417" s="341"/>
      <c r="HD417" s="341"/>
      <c r="HE417" s="341"/>
      <c r="HF417" s="341"/>
      <c r="HG417" s="341"/>
      <c r="HH417" s="341"/>
      <c r="HI417" s="341"/>
      <c r="HJ417" s="341"/>
      <c r="HK417" s="341"/>
      <c r="HL417" s="341"/>
      <c r="HM417" s="341"/>
      <c r="HN417" s="341"/>
      <c r="HO417" s="341"/>
      <c r="HP417" s="341"/>
      <c r="HQ417" s="341"/>
      <c r="HR417" s="341"/>
      <c r="HS417" s="238"/>
      <c r="HT417" s="238"/>
      <c r="HU417" s="238"/>
      <c r="HV417" s="238"/>
      <c r="HX417" s="238"/>
      <c r="HY417" s="238"/>
      <c r="ID417" s="238"/>
    </row>
    <row r="418" spans="1:238" ht="14.1" customHeight="1">
      <c r="B418" s="214"/>
      <c r="C418" s="171"/>
      <c r="D418" s="171"/>
      <c r="E418" s="171"/>
      <c r="F418" s="171"/>
      <c r="G418" s="171"/>
      <c r="H418" s="171"/>
      <c r="I418" s="171"/>
      <c r="J418" s="171"/>
      <c r="K418" s="171"/>
      <c r="L418" s="171"/>
      <c r="M418" s="171"/>
      <c r="N418" s="171"/>
      <c r="O418" s="171"/>
      <c r="P418" s="171"/>
      <c r="Q418" s="171"/>
      <c r="R418" s="171"/>
      <c r="S418" s="171"/>
      <c r="T418" s="171"/>
      <c r="U418" s="171"/>
      <c r="V418" s="171"/>
      <c r="W418" s="171"/>
      <c r="X418" s="171"/>
      <c r="Y418" s="171"/>
      <c r="Z418" s="302"/>
      <c r="AA418" s="215"/>
      <c r="AB418" s="215"/>
      <c r="AC418" s="215"/>
      <c r="AD418" s="215"/>
      <c r="AE418" s="215"/>
      <c r="AF418" s="215"/>
      <c r="BB418" s="215"/>
      <c r="BC418" s="215"/>
      <c r="BD418" s="215"/>
      <c r="BE418" s="215"/>
      <c r="BF418" s="215"/>
      <c r="BG418" s="215"/>
      <c r="BH418" s="215"/>
      <c r="GD418" s="339"/>
      <c r="GE418" s="339"/>
      <c r="GF418" s="339"/>
      <c r="GG418" s="339"/>
      <c r="GH418" s="339"/>
      <c r="GI418" s="339"/>
      <c r="GJ418" s="339"/>
      <c r="GK418" s="339"/>
      <c r="GL418" s="339"/>
      <c r="GM418" s="339"/>
      <c r="GN418" s="339"/>
      <c r="GO418" s="339"/>
      <c r="GP418" s="339"/>
      <c r="GQ418" s="339"/>
      <c r="GR418" s="339"/>
      <c r="GS418" s="339"/>
      <c r="GT418" s="339"/>
      <c r="GU418" s="339"/>
      <c r="GV418" s="339"/>
      <c r="GW418" s="339"/>
      <c r="GX418" s="339"/>
      <c r="GY418" s="339"/>
      <c r="GZ418" s="339"/>
      <c r="HA418" s="339"/>
      <c r="HB418" s="339"/>
      <c r="HC418" s="339"/>
      <c r="HD418" s="339"/>
      <c r="HE418" s="339"/>
      <c r="HF418" s="339"/>
      <c r="HG418" s="339"/>
      <c r="HH418" s="339"/>
      <c r="HI418" s="339"/>
      <c r="HJ418" s="339"/>
      <c r="HK418" s="339"/>
      <c r="HL418" s="339"/>
      <c r="HM418" s="339"/>
      <c r="HN418" s="339"/>
      <c r="HO418" s="339"/>
      <c r="HP418" s="339"/>
      <c r="HQ418" s="339"/>
      <c r="HR418" s="339"/>
    </row>
    <row r="419" spans="1:238" ht="24" customHeight="1">
      <c r="B419" s="216"/>
      <c r="C419" s="181"/>
      <c r="D419" s="181"/>
      <c r="E419" s="181"/>
      <c r="F419" s="181"/>
      <c r="G419" s="181"/>
      <c r="H419" s="181"/>
      <c r="I419" s="181"/>
      <c r="J419" s="181"/>
      <c r="K419" s="185"/>
      <c r="L419" s="217"/>
      <c r="M419" s="218"/>
      <c r="N419" s="327" t="str">
        <f>CONCATENATE(AG419," ",AH419)</f>
        <v xml:space="preserve">Spiel </v>
      </c>
      <c r="O419" s="218"/>
      <c r="P419" s="219"/>
      <c r="Q419" s="185"/>
      <c r="R419" s="181"/>
      <c r="S419" s="181"/>
      <c r="T419" s="181"/>
      <c r="U419" s="181"/>
      <c r="V419" s="181"/>
      <c r="W419" s="181"/>
      <c r="X419" s="181"/>
      <c r="Y419" s="181"/>
      <c r="Z419" s="303"/>
      <c r="AA419" s="200">
        <f>IF(AH419="",10,"")</f>
        <v>10</v>
      </c>
      <c r="AB419" s="200"/>
      <c r="AC419" s="200"/>
      <c r="AD419" s="200"/>
      <c r="AE419" s="200"/>
      <c r="AF419" s="200"/>
      <c r="AG419" s="200" t="s">
        <v>863</v>
      </c>
      <c r="AH419" s="220" t="str">
        <f>IF('Heimmannschaft MAISON'!$A$1=3,"",IF('Heimmannschaft MAISON'!$A$1=1,"",30))</f>
        <v/>
      </c>
      <c r="AI419" s="173" t="str">
        <f>IF(AH419="","",VLOOKUP(AH419,Chema!R:T,3,FALSE))</f>
        <v/>
      </c>
      <c r="AJ419" s="200" t="str">
        <f>VLOOKUP(AH419,Chema!BL:BQ,6,FALSE)</f>
        <v/>
      </c>
      <c r="AK419" s="200" t="str">
        <f>IF(AH419="","",VLOOKUP(AH419,'Matchblatt  FEUILLE DE MATCH'!AI:AJ,2,FALSE))</f>
        <v/>
      </c>
      <c r="AL419" s="200" t="str">
        <f>IF(AH419="","",VLOOKUP(AH419,Chema!R:U,4,FALSE))</f>
        <v/>
      </c>
      <c r="AM419" s="215" t="str">
        <f>IF(AH419="","",VLOOKUP(AH419,'Matchblatt  FEUILLE DE MATCH'!AI:AS,10,FALSE))</f>
        <v/>
      </c>
      <c r="AN419" s="215"/>
      <c r="AO419" s="215"/>
      <c r="AP419" s="215"/>
      <c r="AQ419" s="215"/>
      <c r="AR419" s="215"/>
      <c r="AS419" s="215"/>
      <c r="AT419" s="215"/>
      <c r="AU419" s="215"/>
      <c r="AV419" s="215"/>
      <c r="AW419" s="215"/>
      <c r="AX419" s="215"/>
      <c r="AY419" s="215"/>
      <c r="AZ419" s="215"/>
      <c r="BA419" s="215" t="str">
        <f>IF(AH419="","",VLOOKUP(AH419,'Matchblatt  FEUILLE DE MATCH'!AI:AS,11,FALSE))</f>
        <v/>
      </c>
      <c r="BB419" s="200"/>
      <c r="BC419" s="200"/>
      <c r="BD419" s="200"/>
      <c r="BE419" s="200"/>
      <c r="BF419" s="200"/>
      <c r="BG419" s="200"/>
      <c r="BH419" s="200"/>
      <c r="BK419" s="196"/>
      <c r="BL419" s="196"/>
      <c r="BM419" s="196"/>
      <c r="BN419" s="196"/>
      <c r="BO419" s="196"/>
      <c r="BP419" s="196"/>
      <c r="BQ419" s="221" t="s">
        <v>843</v>
      </c>
      <c r="BR419" s="222"/>
      <c r="BS419" s="222"/>
      <c r="BT419" s="223"/>
      <c r="BU419" s="222" t="s">
        <v>843</v>
      </c>
      <c r="BV419" s="222"/>
      <c r="BW419" s="222"/>
      <c r="BX419" s="224"/>
      <c r="BY419" s="222"/>
      <c r="BZ419" s="222"/>
      <c r="CA419" s="222"/>
      <c r="CB419" s="222"/>
      <c r="CC419" s="222"/>
      <c r="CD419" s="222"/>
      <c r="CE419" s="222"/>
      <c r="CF419" s="222"/>
      <c r="CG419" s="224"/>
      <c r="CH419" s="222"/>
      <c r="CI419" s="222"/>
      <c r="CJ419" s="223"/>
      <c r="CK419" s="196"/>
      <c r="CL419" s="196"/>
      <c r="CM419" s="196"/>
      <c r="CN419" s="196"/>
      <c r="CO419" s="196"/>
      <c r="CP419" s="196"/>
      <c r="CQ419" s="196"/>
      <c r="CR419" s="196"/>
      <c r="CS419" s="196"/>
      <c r="CT419" s="196"/>
      <c r="CU419" s="196"/>
      <c r="CV419" s="196"/>
      <c r="CW419" s="196"/>
      <c r="CX419" s="196"/>
      <c r="CY419" s="196"/>
      <c r="CZ419" s="196"/>
      <c r="DA419" s="196"/>
      <c r="DB419" s="196"/>
      <c r="DC419" s="196"/>
      <c r="DD419" s="196"/>
      <c r="DE419" s="196"/>
      <c r="DF419" s="196"/>
      <c r="DG419" s="196"/>
      <c r="DH419" s="196"/>
      <c r="DI419" s="196"/>
      <c r="DJ419" s="196"/>
      <c r="DK419" s="196"/>
      <c r="DL419" s="196"/>
      <c r="DM419" s="196"/>
      <c r="DN419" s="196"/>
      <c r="DO419" s="196"/>
      <c r="DP419" s="196"/>
      <c r="DQ419" s="196"/>
      <c r="DR419" s="196"/>
      <c r="DS419" s="196"/>
      <c r="DT419" s="196"/>
      <c r="DU419" s="196"/>
      <c r="DV419" s="196"/>
      <c r="DW419" s="196"/>
      <c r="DX419" s="196"/>
      <c r="DY419" s="196"/>
      <c r="DZ419" s="196"/>
      <c r="EA419" s="196"/>
      <c r="EB419" s="196"/>
      <c r="EC419" s="196"/>
      <c r="ED419" s="196"/>
      <c r="EE419" s="196"/>
      <c r="EF419" s="196"/>
      <c r="EG419" s="196"/>
      <c r="EH419" s="196"/>
      <c r="EI419" s="196"/>
      <c r="EJ419" s="196"/>
      <c r="EK419" s="196"/>
      <c r="EL419" s="196"/>
      <c r="EM419" s="221" t="s">
        <v>7</v>
      </c>
      <c r="EN419" s="222"/>
      <c r="EO419" s="222"/>
      <c r="EP419" s="222"/>
      <c r="EQ419" s="222"/>
      <c r="ER419" s="222"/>
      <c r="ES419" s="222"/>
      <c r="ET419" s="224"/>
      <c r="EU419" s="222"/>
      <c r="EV419" s="222"/>
      <c r="EW419" s="222"/>
      <c r="EX419" s="222"/>
      <c r="EY419" s="222"/>
      <c r="EZ419" s="222"/>
      <c r="FA419" s="222"/>
      <c r="FB419" s="222"/>
      <c r="FC419" s="222"/>
      <c r="FD419" s="222"/>
      <c r="FE419" s="223"/>
      <c r="FF419" s="196"/>
      <c r="FG419" s="196"/>
      <c r="FH419" s="221" t="s">
        <v>12</v>
      </c>
      <c r="FI419" s="222"/>
      <c r="FJ419" s="222"/>
      <c r="FK419" s="222"/>
      <c r="FL419" s="222"/>
      <c r="FM419" s="222"/>
      <c r="FN419" s="222"/>
      <c r="FO419" s="224"/>
      <c r="FP419" s="222"/>
      <c r="FQ419" s="222"/>
      <c r="FR419" s="222"/>
      <c r="FS419" s="222"/>
      <c r="FT419" s="222"/>
      <c r="FU419" s="222"/>
      <c r="FV419" s="222"/>
      <c r="FW419" s="222"/>
      <c r="FX419" s="222"/>
      <c r="FY419" s="222"/>
      <c r="FZ419" s="223"/>
      <c r="GA419" s="196"/>
      <c r="GD419" s="339"/>
      <c r="GE419" s="339"/>
      <c r="GF419" s="339"/>
      <c r="GG419" s="339"/>
      <c r="GH419" s="339"/>
      <c r="GI419" s="339"/>
      <c r="GJ419" s="339"/>
      <c r="GK419" s="339"/>
      <c r="GL419" s="339"/>
      <c r="GM419" s="339"/>
      <c r="GN419" s="339"/>
      <c r="GO419" s="339"/>
      <c r="GP419" s="339"/>
      <c r="GQ419" s="339"/>
      <c r="GR419" s="339"/>
      <c r="GS419" s="339"/>
      <c r="GT419" s="339"/>
      <c r="GU419" s="339"/>
      <c r="GV419" s="339"/>
      <c r="GW419" s="339"/>
      <c r="GX419" s="339"/>
      <c r="GY419" s="339"/>
      <c r="GZ419" s="339"/>
      <c r="HA419" s="339"/>
      <c r="HB419" s="339"/>
      <c r="HC419" s="339"/>
      <c r="HD419" s="339"/>
      <c r="HE419" s="339"/>
      <c r="HF419" s="339"/>
      <c r="HG419" s="339"/>
      <c r="HH419" s="339"/>
      <c r="HI419" s="339"/>
      <c r="HJ419" s="339"/>
      <c r="HK419" s="339"/>
      <c r="HL419" s="339"/>
      <c r="HM419" s="339"/>
      <c r="HN419" s="339"/>
      <c r="HO419" s="339"/>
      <c r="HP419" s="339"/>
      <c r="HQ419" s="339"/>
      <c r="HR419" s="339"/>
    </row>
    <row r="420" spans="1:238" ht="14.1" customHeight="1">
      <c r="B420" s="225"/>
      <c r="C420" s="304"/>
      <c r="D420" s="304"/>
      <c r="E420" s="304"/>
      <c r="F420" s="304"/>
      <c r="G420" s="304"/>
      <c r="H420" s="304"/>
      <c r="I420" s="304"/>
      <c r="J420" s="304"/>
      <c r="K420" s="166"/>
      <c r="L420" s="166"/>
      <c r="M420" s="166"/>
      <c r="N420" s="304"/>
      <c r="O420" s="304"/>
      <c r="P420" s="166"/>
      <c r="Q420" s="166"/>
      <c r="R420" s="304"/>
      <c r="S420" s="304"/>
      <c r="T420" s="304"/>
      <c r="U420" s="304"/>
      <c r="V420" s="304"/>
      <c r="W420" s="304"/>
      <c r="X420" s="166"/>
      <c r="Y420" s="166"/>
      <c r="Z420" s="305"/>
      <c r="AA420" s="63"/>
      <c r="AB420" s="63"/>
      <c r="AC420" s="63"/>
      <c r="AD420" s="63"/>
      <c r="AE420" s="63"/>
      <c r="AF420" s="63"/>
      <c r="AJ420" s="173" t="str">
        <f>IF(AH419="","",IF(AK419="D",CONCATENATE(AI419,".",2),""))</f>
        <v/>
      </c>
      <c r="AL420" s="200"/>
      <c r="AM420" s="200" t="str">
        <f>IF(AK419="D",VLOOKUP(AJ420,'Matchblatt  FEUILLE DE MATCH'!AK:AS,8,FALSE),"")</f>
        <v/>
      </c>
      <c r="AN420" s="200"/>
      <c r="AO420" s="200"/>
      <c r="AP420" s="200"/>
      <c r="AQ420" s="200"/>
      <c r="AR420" s="200"/>
      <c r="AS420" s="200"/>
      <c r="AT420" s="200"/>
      <c r="AU420" s="200"/>
      <c r="AV420" s="200"/>
      <c r="AW420" s="200"/>
      <c r="AX420" s="200"/>
      <c r="AY420" s="200"/>
      <c r="AZ420" s="200"/>
      <c r="BA420" s="200" t="str">
        <f>IF(AK419="D",VLOOKUP(AJ420,'Matchblatt  FEUILLE DE MATCH'!AK:AS,9,FALSE),"")</f>
        <v/>
      </c>
      <c r="BB420" s="63"/>
      <c r="BC420" s="63"/>
      <c r="BD420" s="63"/>
      <c r="BE420" s="63"/>
      <c r="BF420" s="63"/>
      <c r="BG420" s="63"/>
      <c r="BH420" s="63"/>
      <c r="BK420" s="166" t="s">
        <v>7</v>
      </c>
      <c r="BL420" s="166" t="s">
        <v>12</v>
      </c>
      <c r="BM420" s="166"/>
      <c r="BN420" s="166" t="s">
        <v>7</v>
      </c>
      <c r="BO420" s="166" t="s">
        <v>12</v>
      </c>
      <c r="BP420" s="166"/>
      <c r="BQ420" s="226" t="s">
        <v>894</v>
      </c>
      <c r="BR420" s="227" t="s">
        <v>895</v>
      </c>
      <c r="BS420" s="228" t="s">
        <v>896</v>
      </c>
      <c r="BT420" s="229"/>
      <c r="BU420" s="226" t="s">
        <v>7</v>
      </c>
      <c r="BV420" s="166"/>
      <c r="BW420" s="166"/>
      <c r="BX420" s="230"/>
      <c r="BY420" s="166"/>
      <c r="BZ420" s="166"/>
      <c r="CA420" s="227"/>
      <c r="CB420" s="166"/>
      <c r="CC420" s="166"/>
      <c r="CD420" s="226" t="s">
        <v>12</v>
      </c>
      <c r="CE420" s="166"/>
      <c r="CF420" s="166"/>
      <c r="CG420" s="230"/>
      <c r="CH420" s="166"/>
      <c r="CI420" s="166"/>
      <c r="CJ420" s="227"/>
      <c r="CK420" s="166"/>
      <c r="CL420" s="166" t="s">
        <v>897</v>
      </c>
      <c r="CM420" s="166"/>
      <c r="CN420" s="166"/>
      <c r="CO420" s="166"/>
      <c r="CP420" s="166"/>
      <c r="CQ420" s="166"/>
      <c r="CR420" s="166"/>
      <c r="CS420" s="166"/>
      <c r="CT420" s="166"/>
      <c r="CU420" s="166" t="s">
        <v>843</v>
      </c>
      <c r="CV420" s="166"/>
      <c r="CW420" s="166" t="s">
        <v>843</v>
      </c>
      <c r="CX420" s="166"/>
      <c r="CY420" s="166"/>
      <c r="CZ420" s="166"/>
      <c r="DA420" s="166"/>
      <c r="DB420" s="166"/>
      <c r="DC420" s="166"/>
      <c r="DD420" s="166" t="s">
        <v>894</v>
      </c>
      <c r="DE420" s="166" t="s">
        <v>895</v>
      </c>
      <c r="DF420" s="166"/>
      <c r="DG420" s="166" t="s">
        <v>927</v>
      </c>
      <c r="DH420" s="166"/>
      <c r="DI420" s="166"/>
      <c r="DJ420" s="166"/>
      <c r="DK420" s="166"/>
      <c r="DL420" s="166"/>
      <c r="DM420" s="166"/>
      <c r="DN420" s="166" t="s">
        <v>928</v>
      </c>
      <c r="DO420" s="166" t="s">
        <v>929</v>
      </c>
      <c r="DP420" s="166"/>
      <c r="DQ420" s="166"/>
      <c r="DR420" s="166"/>
      <c r="DS420" s="166"/>
      <c r="DT420" s="166"/>
      <c r="DU420" s="166"/>
      <c r="DV420" s="166" t="s">
        <v>894</v>
      </c>
      <c r="DW420" s="166" t="s">
        <v>895</v>
      </c>
      <c r="DX420" s="166"/>
      <c r="DY420" s="166"/>
      <c r="DZ420" s="166"/>
      <c r="EA420" s="166"/>
      <c r="EB420" s="166"/>
      <c r="EC420" s="166"/>
      <c r="ED420" s="166" t="s">
        <v>894</v>
      </c>
      <c r="EE420" s="166" t="s">
        <v>895</v>
      </c>
      <c r="EF420" s="166"/>
      <c r="EG420" s="166"/>
      <c r="EH420" s="166"/>
      <c r="EI420" s="166"/>
      <c r="EJ420" s="166"/>
      <c r="EK420" s="166"/>
      <c r="EL420" s="166"/>
      <c r="EM420" s="166"/>
      <c r="EN420" s="166"/>
      <c r="EO420" s="166"/>
      <c r="EP420" s="166"/>
      <c r="EQ420" s="166"/>
      <c r="ER420" s="166"/>
      <c r="ES420" s="166"/>
      <c r="ET420" s="230"/>
      <c r="EU420" s="166"/>
      <c r="EV420" s="166"/>
      <c r="EW420" s="166"/>
      <c r="EX420" s="166"/>
      <c r="EY420" s="166"/>
      <c r="EZ420" s="166"/>
      <c r="FA420" s="166"/>
      <c r="FB420" s="166"/>
      <c r="FC420" s="166"/>
      <c r="FD420" s="166"/>
      <c r="FE420" s="166"/>
      <c r="FF420" s="166"/>
      <c r="FG420" s="166"/>
      <c r="FH420" s="166"/>
      <c r="FI420" s="166"/>
      <c r="FJ420" s="166"/>
      <c r="FK420" s="166"/>
      <c r="FL420" s="166"/>
      <c r="FM420" s="166"/>
      <c r="FN420" s="166"/>
      <c r="FO420" s="230"/>
      <c r="FP420" s="166"/>
      <c r="FQ420" s="166"/>
      <c r="FR420" s="166"/>
      <c r="FS420" s="166"/>
      <c r="FT420" s="166"/>
      <c r="FU420" s="166"/>
      <c r="FV420" s="166"/>
      <c r="FW420" s="166"/>
      <c r="FX420" s="166"/>
      <c r="FY420" s="166"/>
      <c r="FZ420" s="166"/>
      <c r="GA420" s="166"/>
      <c r="GD420" s="339"/>
      <c r="GE420" s="339"/>
      <c r="GF420" s="339"/>
      <c r="GG420" s="339"/>
      <c r="GH420" s="339"/>
      <c r="GI420" s="339"/>
      <c r="GJ420" s="339"/>
      <c r="GK420" s="339"/>
      <c r="GL420" s="339"/>
      <c r="GM420" s="339"/>
      <c r="GN420" s="339"/>
      <c r="GO420" s="339"/>
      <c r="GP420" s="339"/>
      <c r="GQ420" s="339"/>
      <c r="GR420" s="339"/>
      <c r="GS420" s="339"/>
      <c r="GT420" s="339"/>
      <c r="GU420" s="339"/>
      <c r="GV420" s="339"/>
      <c r="GW420" s="339"/>
      <c r="GX420" s="339"/>
      <c r="GY420" s="339"/>
      <c r="GZ420" s="339"/>
      <c r="HA420" s="339"/>
      <c r="HB420" s="339"/>
      <c r="HC420" s="339"/>
      <c r="HD420" s="339"/>
      <c r="HE420" s="339"/>
      <c r="HF420" s="339"/>
      <c r="HG420" s="339"/>
      <c r="HH420" s="339"/>
      <c r="HI420" s="339"/>
      <c r="HJ420" s="339"/>
      <c r="HK420" s="339"/>
      <c r="HL420" s="339"/>
      <c r="HM420" s="339"/>
      <c r="HN420" s="339"/>
      <c r="HO420" s="339"/>
      <c r="HP420" s="339"/>
      <c r="HQ420" s="339"/>
      <c r="HR420" s="339"/>
    </row>
    <row r="421" spans="1:238" s="234" customFormat="1" ht="20.100000000000001" customHeight="1">
      <c r="A421" s="235"/>
      <c r="B421" s="231"/>
      <c r="C421" s="232" t="str">
        <f>REPT(Sprache!$K$12,1)</f>
        <v>SPIEL</v>
      </c>
      <c r="D421" s="233" t="s">
        <v>869</v>
      </c>
      <c r="E421" s="233" t="str">
        <f>REPT(Sprache!$K$62,1)</f>
        <v>Punkte</v>
      </c>
      <c r="F421" s="233" t="str">
        <f>REPT(Sprache!$K$61,1)</f>
        <v>Rest</v>
      </c>
      <c r="G421" s="233" t="s">
        <v>898</v>
      </c>
      <c r="H421" s="233" t="s">
        <v>848</v>
      </c>
      <c r="I421" s="233">
        <v>180</v>
      </c>
      <c r="J421" s="233" t="str">
        <f>REPT(Sprache!$K$63,1)</f>
        <v>Fehler</v>
      </c>
      <c r="L421" s="306" t="s">
        <v>923</v>
      </c>
      <c r="M421" s="307"/>
      <c r="P421" s="306" t="s">
        <v>923</v>
      </c>
      <c r="R421" s="232" t="str">
        <f>REPT(Sprache!$K$12,1)</f>
        <v>SPIEL</v>
      </c>
      <c r="S421" s="233" t="s">
        <v>869</v>
      </c>
      <c r="T421" s="233" t="str">
        <f>REPT(Sprache!$K$62,1)</f>
        <v>Punkte</v>
      </c>
      <c r="U421" s="233" t="str">
        <f>REPT(Sprache!$K$61,1)</f>
        <v>Rest</v>
      </c>
      <c r="V421" s="233" t="s">
        <v>898</v>
      </c>
      <c r="W421" s="233" t="s">
        <v>848</v>
      </c>
      <c r="X421" s="233">
        <v>180</v>
      </c>
      <c r="Y421" s="233" t="str">
        <f>REPT(Sprache!$K$63,1)</f>
        <v>Fehler</v>
      </c>
      <c r="Z421" s="308"/>
      <c r="AD421" s="235"/>
      <c r="AE421" s="236" t="s">
        <v>966</v>
      </c>
      <c r="AF421" s="236" t="s">
        <v>967</v>
      </c>
      <c r="AG421" s="236" t="s">
        <v>965</v>
      </c>
      <c r="AH421" s="237" t="str">
        <f>LEFT($BM$6,10)</f>
        <v/>
      </c>
      <c r="AI421" s="237" t="str">
        <f>LEFT($BN$6,10)</f>
        <v/>
      </c>
      <c r="AJ421" s="237" t="s">
        <v>898</v>
      </c>
      <c r="AK421" s="237" t="s">
        <v>848</v>
      </c>
      <c r="AL421" s="237">
        <v>180</v>
      </c>
      <c r="AM421" s="237" t="str">
        <f>LEFT($BL$6,50)</f>
        <v/>
      </c>
      <c r="AN421" s="235"/>
      <c r="AO421" s="235"/>
      <c r="AP421" s="235"/>
      <c r="AQ421" s="235"/>
      <c r="AR421" s="235"/>
      <c r="AS421" s="235"/>
      <c r="AT421" s="235"/>
      <c r="AU421" s="235"/>
      <c r="AV421" s="237" t="str">
        <f>LEFT($BM$6,10)</f>
        <v/>
      </c>
      <c r="AW421" s="237" t="str">
        <f>LEFT($BN$6,10)</f>
        <v/>
      </c>
      <c r="AX421" s="237" t="s">
        <v>898</v>
      </c>
      <c r="AY421" s="237" t="s">
        <v>848</v>
      </c>
      <c r="AZ421" s="237">
        <v>180</v>
      </c>
      <c r="BA421" s="237" t="str">
        <f>LEFT($BL$6,50)</f>
        <v/>
      </c>
      <c r="BI421" s="238"/>
      <c r="BJ421" s="238"/>
      <c r="BK421" s="238" t="s">
        <v>165</v>
      </c>
      <c r="BL421" s="238" t="s">
        <v>165</v>
      </c>
      <c r="BM421" s="239" t="s">
        <v>165</v>
      </c>
      <c r="BN421" s="239" t="s">
        <v>899</v>
      </c>
      <c r="BO421" s="239" t="s">
        <v>899</v>
      </c>
      <c r="BP421" s="239" t="s">
        <v>900</v>
      </c>
      <c r="BQ421" s="240" t="s">
        <v>901</v>
      </c>
      <c r="BR421" s="241"/>
      <c r="BS421" s="242" t="s">
        <v>926</v>
      </c>
      <c r="BT421" s="243"/>
      <c r="BU421" s="242" t="s">
        <v>902</v>
      </c>
      <c r="BV421" s="238"/>
      <c r="BW421" s="238"/>
      <c r="BX421" s="244"/>
      <c r="BY421" s="238"/>
      <c r="BZ421" s="238" t="s">
        <v>903</v>
      </c>
      <c r="CA421" s="243" t="s">
        <v>904</v>
      </c>
      <c r="CB421" s="238"/>
      <c r="CC421" s="238"/>
      <c r="CD421" s="242" t="s">
        <v>902</v>
      </c>
      <c r="CE421" s="238"/>
      <c r="CF421" s="238"/>
      <c r="CG421" s="244"/>
      <c r="CH421" s="238"/>
      <c r="CI421" s="238" t="s">
        <v>903</v>
      </c>
      <c r="CJ421" s="243" t="s">
        <v>904</v>
      </c>
      <c r="CK421" s="238"/>
      <c r="CL421" s="245" t="s">
        <v>905</v>
      </c>
      <c r="CM421" s="245" t="s">
        <v>906</v>
      </c>
      <c r="CN421" s="245" t="s">
        <v>907</v>
      </c>
      <c r="CO421" s="245" t="s">
        <v>908</v>
      </c>
      <c r="CP421" s="245" t="s">
        <v>909</v>
      </c>
      <c r="CQ421" s="246" t="s">
        <v>910</v>
      </c>
      <c r="CR421" s="247"/>
      <c r="CS421" s="246" t="s">
        <v>911</v>
      </c>
      <c r="CT421" s="248"/>
      <c r="CU421" s="246" t="s">
        <v>912</v>
      </c>
      <c r="CV421" s="248"/>
      <c r="CW421" s="246" t="s">
        <v>913</v>
      </c>
      <c r="CX421" s="248"/>
      <c r="CY421" s="238"/>
      <c r="CZ421" s="238"/>
      <c r="DA421" s="238"/>
      <c r="DB421" s="238"/>
      <c r="DC421" s="249" t="s">
        <v>165</v>
      </c>
      <c r="DD421" s="249" t="s">
        <v>165</v>
      </c>
      <c r="DE421" s="249" t="s">
        <v>165</v>
      </c>
      <c r="DF421" s="238"/>
      <c r="DG421" s="238" t="s">
        <v>914</v>
      </c>
      <c r="DH421" s="238" t="s">
        <v>930</v>
      </c>
      <c r="DI421" s="238" t="s">
        <v>931</v>
      </c>
      <c r="DK421" s="238" t="s">
        <v>932</v>
      </c>
      <c r="DL421" s="238" t="s">
        <v>933</v>
      </c>
      <c r="DM421" s="238" t="s">
        <v>869</v>
      </c>
      <c r="DN421" s="230" t="s">
        <v>915</v>
      </c>
      <c r="DO421" s="250" t="s">
        <v>915</v>
      </c>
      <c r="DP421" s="322" t="s">
        <v>934</v>
      </c>
      <c r="DQ421" s="238"/>
      <c r="DR421" s="166" t="s">
        <v>894</v>
      </c>
      <c r="DS421" s="166" t="s">
        <v>895</v>
      </c>
      <c r="DT421" s="166" t="s">
        <v>935</v>
      </c>
      <c r="DU421" s="166" t="s">
        <v>936</v>
      </c>
      <c r="DV421" s="251" t="s">
        <v>165</v>
      </c>
      <c r="DW421" s="251" t="s">
        <v>165</v>
      </c>
      <c r="DX421" s="238" t="s">
        <v>916</v>
      </c>
      <c r="DY421" s="238"/>
      <c r="DZ421" s="238"/>
      <c r="EA421" s="238"/>
      <c r="EB421" s="238"/>
      <c r="EC421" s="238"/>
      <c r="ED421" s="251" t="s">
        <v>165</v>
      </c>
      <c r="EE421" s="251" t="s">
        <v>165</v>
      </c>
      <c r="EF421" s="166"/>
      <c r="EG421" s="238"/>
      <c r="EH421" s="238"/>
      <c r="EI421" s="238"/>
      <c r="EJ421" s="238"/>
      <c r="EK421" s="238"/>
      <c r="EL421" s="238"/>
      <c r="EM421" s="238"/>
      <c r="EN421" s="238"/>
      <c r="EO421" s="246" t="s">
        <v>917</v>
      </c>
      <c r="EP421" s="247"/>
      <c r="EQ421" s="247"/>
      <c r="ER421" s="247"/>
      <c r="ES421" s="247"/>
      <c r="ET421" s="252"/>
      <c r="EU421" s="248"/>
      <c r="EV421" s="246" t="s">
        <v>918</v>
      </c>
      <c r="EW421" s="247"/>
      <c r="EX421" s="248"/>
      <c r="EY421" s="251" t="s">
        <v>165</v>
      </c>
      <c r="EZ421" s="246" t="s">
        <v>919</v>
      </c>
      <c r="FA421" s="247"/>
      <c r="FB421" s="248"/>
      <c r="FC421" s="246" t="s">
        <v>920</v>
      </c>
      <c r="FD421" s="247"/>
      <c r="FE421" s="248"/>
      <c r="FF421" s="238"/>
      <c r="FG421" s="238"/>
      <c r="FH421" s="238"/>
      <c r="FI421" s="238"/>
      <c r="FJ421" s="246" t="s">
        <v>917</v>
      </c>
      <c r="FK421" s="247"/>
      <c r="FL421" s="247"/>
      <c r="FM421" s="247"/>
      <c r="FN421" s="247"/>
      <c r="FO421" s="252"/>
      <c r="FP421" s="248"/>
      <c r="FQ421" s="246" t="s">
        <v>918</v>
      </c>
      <c r="FR421" s="247"/>
      <c r="FS421" s="248"/>
      <c r="FT421" s="251" t="s">
        <v>165</v>
      </c>
      <c r="FU421" s="246" t="s">
        <v>919</v>
      </c>
      <c r="FV421" s="247"/>
      <c r="FW421" s="248"/>
      <c r="FX421" s="246" t="s">
        <v>920</v>
      </c>
      <c r="FY421" s="247"/>
      <c r="FZ421" s="248"/>
      <c r="GD421" s="340"/>
      <c r="GE421" s="340"/>
      <c r="GF421" s="341" t="s">
        <v>968</v>
      </c>
      <c r="GG421" s="340"/>
      <c r="GH421" s="340"/>
      <c r="GI421" s="340"/>
      <c r="GJ421" s="341" t="s">
        <v>972</v>
      </c>
      <c r="GK421" s="340"/>
      <c r="GL421" s="340"/>
      <c r="GM421" s="340"/>
      <c r="GN421" s="341" t="s">
        <v>971</v>
      </c>
      <c r="GO421" s="340"/>
      <c r="GP421" s="340"/>
      <c r="GQ421" s="340"/>
      <c r="GR421" s="341" t="s">
        <v>970</v>
      </c>
      <c r="GS421" s="340"/>
      <c r="GT421" s="340"/>
      <c r="GU421" s="340"/>
      <c r="GV421" s="341" t="s">
        <v>969</v>
      </c>
      <c r="GW421" s="340"/>
      <c r="GX421" s="340"/>
      <c r="GY421" s="340"/>
      <c r="GZ421" s="342" t="s">
        <v>973</v>
      </c>
      <c r="HA421" s="340"/>
      <c r="HB421" s="340"/>
      <c r="HC421" s="340"/>
      <c r="HD421" s="342" t="s">
        <v>974</v>
      </c>
      <c r="HE421" s="340"/>
      <c r="HF421" s="340"/>
      <c r="HG421" s="340"/>
      <c r="HH421" s="340"/>
      <c r="HI421" s="340"/>
      <c r="HJ421" s="340"/>
      <c r="HK421" s="340"/>
      <c r="HL421" s="340"/>
      <c r="HM421" s="341"/>
      <c r="HN421" s="341"/>
      <c r="HO421" s="341"/>
      <c r="HP421" s="341"/>
      <c r="HQ421" s="341"/>
      <c r="HR421" s="341"/>
      <c r="HS421" s="238"/>
      <c r="HT421" s="238"/>
      <c r="HU421" s="238"/>
      <c r="HV421" s="238"/>
      <c r="HX421" s="238"/>
      <c r="HY421" s="238"/>
      <c r="HZ421" s="238"/>
      <c r="ID421" s="238"/>
    </row>
    <row r="422" spans="1:238" s="234" customFormat="1" ht="20.100000000000001" customHeight="1">
      <c r="A422" s="235"/>
      <c r="B422" s="231">
        <f>COUNT(AJ423,AJ422)</f>
        <v>0</v>
      </c>
      <c r="C422" s="325" t="str">
        <f>CONCATENATE(BG422,BE422)</f>
        <v>H</v>
      </c>
      <c r="D422" s="253" t="str">
        <f>REPT(DN422,1)</f>
        <v>1</v>
      </c>
      <c r="E422" s="254" t="str">
        <f>REPT(AH422,1)</f>
        <v/>
      </c>
      <c r="F422" s="168"/>
      <c r="G422" s="168"/>
      <c r="H422" s="168"/>
      <c r="I422" s="169"/>
      <c r="J422" s="255" t="str">
        <f>REPT(AM422,1)</f>
        <v/>
      </c>
      <c r="L422" s="309">
        <f>SUM(BS431)</f>
        <v>0</v>
      </c>
      <c r="M422" s="238"/>
      <c r="N422" s="255" t="str">
        <f>REPT(AP422,1)</f>
        <v/>
      </c>
      <c r="P422" s="309">
        <f>SUM(CF431)</f>
        <v>0</v>
      </c>
      <c r="Q422" s="310"/>
      <c r="R422" s="323" t="str">
        <f>CONCATENATE(BH422,BE422)</f>
        <v>G</v>
      </c>
      <c r="S422" s="253" t="str">
        <f>REPT(DO422,1)</f>
        <v>1</v>
      </c>
      <c r="T422" s="254" t="str">
        <f>REPT(AV422,1)</f>
        <v/>
      </c>
      <c r="U422" s="168"/>
      <c r="V422" s="168"/>
      <c r="W422" s="168"/>
      <c r="X422" s="169"/>
      <c r="Y422" s="255" t="str">
        <f>REPT(BA422,1)</f>
        <v/>
      </c>
      <c r="Z422" s="308"/>
      <c r="AB422" s="234">
        <f>IF(AY422="",0,IF(AY422&lt;2,1,""))</f>
        <v>0</v>
      </c>
      <c r="AC422" s="238">
        <f>IF(AD422=1,1,IF(AD422=3,1,IF(AD422=2,0,IF(AD422=0,0,0))))</f>
        <v>0</v>
      </c>
      <c r="AD422" s="256">
        <f>SUM(AE422:AG422)</f>
        <v>0</v>
      </c>
      <c r="AE422" s="256">
        <f t="shared" ref="AE422:AE426" si="1040">IF(F422="",0,1)</f>
        <v>0</v>
      </c>
      <c r="AF422" s="256">
        <f t="shared" ref="AF422:AF426" si="1041">IF(G422="",0,1)</f>
        <v>0</v>
      </c>
      <c r="AG422" s="256">
        <f>IF(H422="",0,1)</f>
        <v>0</v>
      </c>
      <c r="AH422" s="257" t="str">
        <f>IF(AK422="",IF(AI422="","",IF(AI422="",501,501-AI422)),501)</f>
        <v/>
      </c>
      <c r="AI422" s="256" t="str">
        <f>IF(F422&gt;1,F422,IF(F422=0,"",IF(F422="","","")))</f>
        <v/>
      </c>
      <c r="AJ422" s="256" t="str">
        <f>IF(G422&gt;8,G422,IF(G422="","",""))</f>
        <v/>
      </c>
      <c r="AK422" s="256" t="str">
        <f>IF(H422&gt;1,H422,IF(H422="","",""))</f>
        <v/>
      </c>
      <c r="AL422" s="256" t="str">
        <f>IF(I422&gt;0,I422,IF(I422="","",""))</f>
        <v/>
      </c>
      <c r="AM422" s="258" t="str">
        <f>IF(BK422=0,"","X")</f>
        <v/>
      </c>
      <c r="AN422" s="237"/>
      <c r="AO422" s="237"/>
      <c r="AP422" s="258" t="str">
        <f>IF(BM422=0,"","X")</f>
        <v/>
      </c>
      <c r="AQ422" s="236">
        <f>IF(AR422=1,1,IF(AR422=3,1,IF(AR422=2,0,IF(AR422=0,0,0))))</f>
        <v>0</v>
      </c>
      <c r="AR422" s="256">
        <f>SUM(AS422:AU422)</f>
        <v>0</v>
      </c>
      <c r="AS422" s="256">
        <f t="shared" ref="AS422:AS426" si="1042">IF(U422="",0,1)</f>
        <v>0</v>
      </c>
      <c r="AT422" s="256">
        <f t="shared" ref="AT422:AT426" si="1043">IF(V422="",0,1)</f>
        <v>0</v>
      </c>
      <c r="AU422" s="256">
        <f>IF(W422="",0,1)</f>
        <v>0</v>
      </c>
      <c r="AV422" s="257" t="str">
        <f>IF(AY422="",IF(AW422="","",IF(AW422="",501,501-AW422)),501)</f>
        <v/>
      </c>
      <c r="AW422" s="256" t="str">
        <f>IF(U422&gt;1,U422,IF(U422=0,"",IF(U422="","","")))</f>
        <v/>
      </c>
      <c r="AX422" s="256" t="str">
        <f>IF(V422&gt;8,V422,IF(V422="","",""))</f>
        <v/>
      </c>
      <c r="AY422" s="256" t="str">
        <f>IF(W422&gt;1,W422,IF(W422="","",""))</f>
        <v/>
      </c>
      <c r="AZ422" s="256" t="str">
        <f>IF(X422&gt;0,X422,IF(X422="","",""))</f>
        <v/>
      </c>
      <c r="BA422" s="258" t="str">
        <f>IF(BL422=0,"","X")</f>
        <v/>
      </c>
      <c r="BF422" s="238" t="s">
        <v>894</v>
      </c>
      <c r="BG422" s="238" t="str">
        <f>CONCATENATE(BF422,AK419)</f>
        <v>H</v>
      </c>
      <c r="BH422" s="238" t="str">
        <f>CONCATENATE(BI422,AK419)</f>
        <v>G</v>
      </c>
      <c r="BI422" s="238" t="s">
        <v>895</v>
      </c>
      <c r="BJ422" s="238"/>
      <c r="BK422" s="251">
        <f>SUM(DD422,DV422,EY422,ED422,FF422,BQ422,BS422,AC422)</f>
        <v>0</v>
      </c>
      <c r="BL422" s="251">
        <f>SUM(DE422,DW422,EE422,FT422,GA422,BR422,BT422,AQ422)</f>
        <v>0</v>
      </c>
      <c r="BM422" s="259">
        <f>SUM(DC422,BK422:BL422,AC422,AQ422)</f>
        <v>0</v>
      </c>
      <c r="BN422" s="239">
        <f>COUNT(AK422)</f>
        <v>0</v>
      </c>
      <c r="BO422" s="239">
        <f>COUNT(AY422)</f>
        <v>0</v>
      </c>
      <c r="BP422" s="239">
        <f>IF(BN424=0,0,1)</f>
        <v>0</v>
      </c>
      <c r="BQ422" s="260">
        <f>IF(AL422="",0,IF(AL422&gt;2,1,0))</f>
        <v>0</v>
      </c>
      <c r="BR422" s="261">
        <f>IF(AZ422="",0,IF(AZ422&gt;2,1,0))</f>
        <v>0</v>
      </c>
      <c r="BS422" s="262">
        <f>IF(AJ422=9,IF(AK422&lt;141,1,0),0)</f>
        <v>0</v>
      </c>
      <c r="BT422" s="263">
        <f>IF(AX422=9,IF(AY422&lt;141,1,0),0)</f>
        <v>0</v>
      </c>
      <c r="BU422" s="242">
        <f>IF(H422,G422,0)</f>
        <v>0</v>
      </c>
      <c r="BV422" s="238">
        <f>IF(BU422&gt;0,AJ422/3,0)</f>
        <v>0</v>
      </c>
      <c r="BW422" s="238">
        <f>ROUNDUP(BV422,0)</f>
        <v>0</v>
      </c>
      <c r="BX422" s="244">
        <f>IF(MOD(BW422,2)=0,BW422,BW422+1)</f>
        <v>0</v>
      </c>
      <c r="BY422" s="238">
        <f>IF(AJ422&lt;9,"",SUM(BX422-BW422))</f>
        <v>0</v>
      </c>
      <c r="BZ422" s="238">
        <f>IF(BY422=1,AK422,0)</f>
        <v>0</v>
      </c>
      <c r="CA422" s="243" t="str">
        <f>IF(BY422=0,AK422,0)</f>
        <v/>
      </c>
      <c r="CB422" s="238"/>
      <c r="CC422" s="238"/>
      <c r="CD422" s="242">
        <f>IF(W422,V422,0)</f>
        <v>0</v>
      </c>
      <c r="CE422" s="238">
        <f>IF(CD422&gt;0,AX422/3,0)</f>
        <v>0</v>
      </c>
      <c r="CF422" s="238">
        <f>ROUNDUP(CE422,0)</f>
        <v>0</v>
      </c>
      <c r="CG422" s="244">
        <f>IF(MOD(CF422,2)=0,CF422,CF422+1)</f>
        <v>0</v>
      </c>
      <c r="CH422" s="238">
        <f>IF(AX422&lt;9,"",SUM(CG422-CF422))</f>
        <v>0</v>
      </c>
      <c r="CI422" s="238">
        <f>IF(CH422=1,AY422,0)</f>
        <v>0</v>
      </c>
      <c r="CJ422" s="243" t="str">
        <f>IF(CH422=0,AY422,0)</f>
        <v/>
      </c>
      <c r="CK422" s="238"/>
      <c r="CL422" s="245">
        <f>IF(COUNT(F422,H422)=1,0,1)</f>
        <v>1</v>
      </c>
      <c r="CM422" s="245">
        <f>IF(COUNT(F422,U422)=1,0,1)</f>
        <v>1</v>
      </c>
      <c r="CN422" s="245">
        <f>IF(COUNT(H422,W422)=1,0,1)</f>
        <v>1</v>
      </c>
      <c r="CO422" s="245">
        <f>IF(COUNT(G422,V422)=2,0,1)</f>
        <v>1</v>
      </c>
      <c r="CP422" s="245">
        <f>IF(COUNT(U422,W422)=1,0,1)</f>
        <v>1</v>
      </c>
      <c r="CQ422" s="245">
        <f>IF(SUM(G422-V422)&gt;3,1,0)</f>
        <v>0</v>
      </c>
      <c r="CR422" s="245">
        <f>IF(SUM(G422-V422)&lt;-3,1,0)</f>
        <v>0</v>
      </c>
      <c r="CS422" s="264">
        <f>IF(AJ422=9,IF(AH422&lt;141,1,0),IF(AH422="",0,IF(AH422&gt;1,0,1)))</f>
        <v>0</v>
      </c>
      <c r="CT422" s="264">
        <f>IF(AX422=9,IF(AV422&lt;141,1,0),IF(AV422="",0,IF(AV422&gt;1,0,1)))</f>
        <v>0</v>
      </c>
      <c r="CU422" s="264">
        <f>IF(AI422="",0,IF(AI422&lt;502,0,1))</f>
        <v>0</v>
      </c>
      <c r="CV422" s="264">
        <f>IF(AW422="",0,IF(AW422&lt;502,0,1))</f>
        <v>0</v>
      </c>
      <c r="CW422" s="264">
        <f>IF(AI422="",IF(AJ422&lt;9,1,0),IF(AJ422&lt;9,1,0))</f>
        <v>0</v>
      </c>
      <c r="CX422" s="264">
        <f>IF(AW422="",IF(AX422&lt;9,1,0),IF(AX422&lt;9,1,0))</f>
        <v>0</v>
      </c>
      <c r="CY422" s="374"/>
      <c r="CZ422" s="374"/>
      <c r="DA422" s="374"/>
      <c r="DB422" s="374"/>
      <c r="DC422" s="265">
        <f>IF(AJ422="",0,SUM(CL422:CX422))</f>
        <v>0</v>
      </c>
      <c r="DD422" s="265">
        <f>IF(AJ422="",0,SUM(CL422,CS422,CU422,CW422))</f>
        <v>0</v>
      </c>
      <c r="DE422" s="265">
        <f>IF(AJ422="",0,SUM(CP422,CT422,CV422,CX422))</f>
        <v>0</v>
      </c>
      <c r="DF422" s="238"/>
      <c r="DG422" s="248" t="str">
        <f>IF(G422="","",SUM(G422-V422))</f>
        <v/>
      </c>
      <c r="DH422" s="245">
        <f>IF(F422="",0,1)</f>
        <v>0</v>
      </c>
      <c r="DI422" s="245" t="str">
        <f>IF(DG422=0,DH422,DG422)</f>
        <v/>
      </c>
      <c r="DJ422" s="245" t="e">
        <f>SIGN(DI422)</f>
        <v>#VALUE!</v>
      </c>
      <c r="DK422" s="245" t="str">
        <f>IF(G422="","",IF(DJ422=1,"*",""))</f>
        <v/>
      </c>
      <c r="DL422" s="245" t="str">
        <f>IF(G422="","",IF(DJ422=-1,"*",IF(DJ422=0,"*","")))</f>
        <v/>
      </c>
      <c r="DM422" s="245">
        <v>1</v>
      </c>
      <c r="DN422" s="245" t="str">
        <f>CONCATENATE(DM422,DK422)</f>
        <v>1</v>
      </c>
      <c r="DO422" s="245" t="str">
        <f>CONCATENATE(DM422,DL422)</f>
        <v>1</v>
      </c>
      <c r="DP422" s="245">
        <f>IF(DK422="*",1,0)</f>
        <v>0</v>
      </c>
      <c r="DQ422" s="245">
        <f>IF(DL422="*",1,0)</f>
        <v>0</v>
      </c>
      <c r="DR422" s="245"/>
      <c r="DS422" s="245"/>
      <c r="DT422" s="245"/>
      <c r="DU422" s="245"/>
      <c r="DV422" s="266"/>
      <c r="DW422" s="266"/>
      <c r="DX422" s="238">
        <f>IF(AK422="",0,1)</f>
        <v>0</v>
      </c>
      <c r="DY422" s="238">
        <f>IF(DG422=-3,1,0)</f>
        <v>0</v>
      </c>
      <c r="DZ422" s="238">
        <f>SUM(DX422:DY422)</f>
        <v>0</v>
      </c>
      <c r="EA422" s="238">
        <f>IF(AK422="",1,0)</f>
        <v>1</v>
      </c>
      <c r="EB422" s="238">
        <f>IF(DG422=3,1,0)</f>
        <v>0</v>
      </c>
      <c r="EC422" s="238">
        <f>SUM(EA422:EB422)</f>
        <v>1</v>
      </c>
      <c r="ED422" s="267">
        <f>IF(EC422=2,1,0)</f>
        <v>0</v>
      </c>
      <c r="EE422" s="267">
        <f>IF(DZ422=2,1,0)</f>
        <v>0</v>
      </c>
      <c r="EG422" s="166"/>
      <c r="EH422" s="238"/>
      <c r="EI422" s="238"/>
      <c r="EJ422" s="238"/>
      <c r="EK422" s="238"/>
      <c r="EL422" s="238"/>
      <c r="EM422" s="245">
        <f>IF(AK422="",0,1)</f>
        <v>0</v>
      </c>
      <c r="EN422" s="245">
        <f>SUM(AK422)</f>
        <v>0</v>
      </c>
      <c r="EO422" s="268">
        <f>SUM(AJ422)</f>
        <v>0</v>
      </c>
      <c r="EP422" s="268">
        <f>SUM(G422/3)</f>
        <v>0</v>
      </c>
      <c r="EQ422" s="268" t="e">
        <f>SUM(EO422/EP422)</f>
        <v>#DIV/0!</v>
      </c>
      <c r="ER422" s="268">
        <f>ROUNDDOWN(EP422,0)</f>
        <v>0</v>
      </c>
      <c r="ES422" s="268">
        <f>SUM(EO422,-ER422*3)</f>
        <v>0</v>
      </c>
      <c r="ET422" s="269" t="b">
        <f>MOD(EN422/1,2)=0</f>
        <v>1</v>
      </c>
      <c r="EU422" s="245">
        <f>IF(ET422=FALSE,1,0)</f>
        <v>0</v>
      </c>
      <c r="EV422" s="245">
        <f>IF(EN422=50,0,IF(EN422&lt;40,1,0))</f>
        <v>1</v>
      </c>
      <c r="EW422" s="245">
        <f>SUM(EU422:EV422)</f>
        <v>1</v>
      </c>
      <c r="EX422" s="267">
        <f>IF(EN422=1,1,IF(EN422=50,0,IF(ES422=1,IF(EN422&gt;40,1,0),0)))</f>
        <v>0</v>
      </c>
      <c r="EY422" s="267">
        <f>IF(ES422=1,IF(EW422=2,1,0),0)+EX422+FB422+FE422</f>
        <v>0</v>
      </c>
      <c r="EZ422" s="245">
        <f>IF(EN422=109,1,IF(EN422=108,1,IF(EN422=106,1,IF(EN422=105,1,IF(EN422=103,1,IF(EN422=102,1,IF(EN422=99,1,0)))))))</f>
        <v>0</v>
      </c>
      <c r="FA422" s="245">
        <f>IF(EN422&gt;110,1,0)</f>
        <v>0</v>
      </c>
      <c r="FB422" s="267">
        <f>IF(ES422=2,SUM(EZ422:FA422),0)</f>
        <v>0</v>
      </c>
      <c r="FC422" s="245">
        <f>IF(EN422=159,1,IF(EN422=162,1,IF(EN422=163,1,IF(EN422=165,1,IF(EN422=166,1,IF(EN422=168,1,IF(EN422=169,1,0)))))))</f>
        <v>0</v>
      </c>
      <c r="FD422" s="245">
        <f>IF(EN422&gt;170,1,0)</f>
        <v>0</v>
      </c>
      <c r="FE422" s="267">
        <f>IF(ES422=0,SUM(FC422:FD422),0)</f>
        <v>0</v>
      </c>
      <c r="FF422" s="251">
        <f>IF(AJ422="",0,IF(AI422="",0,IF(EO422/ER422-3=0,0,1)))</f>
        <v>0</v>
      </c>
      <c r="FG422" s="238"/>
      <c r="FH422" s="245">
        <f>IF(AY422="",0,1)</f>
        <v>0</v>
      </c>
      <c r="FI422" s="245">
        <f>SUM(AY422)</f>
        <v>0</v>
      </c>
      <c r="FJ422" s="268">
        <f>SUM(AX422)</f>
        <v>0</v>
      </c>
      <c r="FK422" s="268">
        <f>SUM(V422/3)</f>
        <v>0</v>
      </c>
      <c r="FL422" s="268" t="e">
        <f>SUM(FJ422/FK422)</f>
        <v>#DIV/0!</v>
      </c>
      <c r="FM422" s="268">
        <f>ROUNDDOWN(FK422,0)</f>
        <v>0</v>
      </c>
      <c r="FN422" s="268">
        <f>SUM(FJ422,-FM422*3)</f>
        <v>0</v>
      </c>
      <c r="FO422" s="269" t="b">
        <f>MOD(FI422/1,2)=0</f>
        <v>1</v>
      </c>
      <c r="FP422" s="245">
        <f>IF(FO422=FALSE,1,0)</f>
        <v>0</v>
      </c>
      <c r="FQ422" s="245">
        <f>IF(FI422=50,0,IF(FI422&lt;40,1,0))</f>
        <v>1</v>
      </c>
      <c r="FR422" s="245">
        <f>SUM(FP422:FQ422)</f>
        <v>1</v>
      </c>
      <c r="FS422" s="267">
        <f>IF(FI422=1,1,IF(FI422=50,0,IF(FN422=1,IF(FI422&gt;40,1,0),0)))</f>
        <v>0</v>
      </c>
      <c r="FT422" s="267">
        <f>IF(FN422=1,IF(FR422=2,1,0),0)+FS422+FW422+FZ422</f>
        <v>0</v>
      </c>
      <c r="FU422" s="245">
        <f>IF(FI422=109,1,IF(FI422=108,1,IF(FI422=106,1,IF(FI422=105,1,IF(FI422=103,1,IF(FI422=102,1,IF(FI422=99,1,0)))))))</f>
        <v>0</v>
      </c>
      <c r="FV422" s="245">
        <f>IF(FI422&gt;110,1,0)</f>
        <v>0</v>
      </c>
      <c r="FW422" s="267">
        <f>IF(FN422=2,SUM(FU422:FV422),0)</f>
        <v>0</v>
      </c>
      <c r="FX422" s="245">
        <f>IF(FI422=159,1,IF(FI422=162,1,IF(FI422=163,1,IF(FI422=165,1,IF(FI422=166,1,IF(FI422=168,1,IF(FI422=169,1,0)))))))</f>
        <v>0</v>
      </c>
      <c r="FY422" s="245">
        <f>IF(FI422&gt;170,1,0)</f>
        <v>0</v>
      </c>
      <c r="FZ422" s="267">
        <f>IF(FN422=0,SUM(FX422:FY422),0)</f>
        <v>0</v>
      </c>
      <c r="GA422" s="251">
        <f>IF(AX422="",0,IF(AW422="",0,IF(FJ422/FM422-3=0,0,1)))</f>
        <v>0</v>
      </c>
      <c r="GD422" s="341">
        <f>IF(AK419="D",1,0)</f>
        <v>0</v>
      </c>
      <c r="GE422" s="343"/>
      <c r="GF422" s="343" t="s">
        <v>866</v>
      </c>
      <c r="GG422" s="343" t="s">
        <v>868</v>
      </c>
      <c r="GH422" s="343" t="s">
        <v>848</v>
      </c>
      <c r="GI422" s="343">
        <v>180</v>
      </c>
      <c r="GJ422" s="343" t="s">
        <v>866</v>
      </c>
      <c r="GK422" s="343" t="s">
        <v>868</v>
      </c>
      <c r="GL422" s="343" t="s">
        <v>848</v>
      </c>
      <c r="GM422" s="343">
        <v>180</v>
      </c>
      <c r="GN422" s="343" t="s">
        <v>866</v>
      </c>
      <c r="GO422" s="343" t="s">
        <v>868</v>
      </c>
      <c r="GP422" s="343" t="s">
        <v>848</v>
      </c>
      <c r="GQ422" s="343">
        <v>180</v>
      </c>
      <c r="GR422" s="343" t="s">
        <v>866</v>
      </c>
      <c r="GS422" s="343" t="s">
        <v>868</v>
      </c>
      <c r="GT422" s="343" t="s">
        <v>848</v>
      </c>
      <c r="GU422" s="343">
        <v>180</v>
      </c>
      <c r="GV422" s="343" t="s">
        <v>866</v>
      </c>
      <c r="GW422" s="343" t="s">
        <v>868</v>
      </c>
      <c r="GX422" s="343" t="s">
        <v>848</v>
      </c>
      <c r="GY422" s="343">
        <v>180</v>
      </c>
      <c r="GZ422" s="343" t="s">
        <v>866</v>
      </c>
      <c r="HA422" s="343" t="s">
        <v>868</v>
      </c>
      <c r="HB422" s="343" t="s">
        <v>848</v>
      </c>
      <c r="HC422" s="343">
        <v>180</v>
      </c>
      <c r="HD422" s="343" t="s">
        <v>866</v>
      </c>
      <c r="HE422" s="343" t="s">
        <v>868</v>
      </c>
      <c r="HF422" s="341" t="s">
        <v>975</v>
      </c>
      <c r="HG422" s="341" t="s">
        <v>976</v>
      </c>
      <c r="HH422" s="341" t="s">
        <v>899</v>
      </c>
      <c r="HJ422" s="238"/>
      <c r="HK422" s="238"/>
      <c r="HL422" s="238"/>
      <c r="HM422" s="238">
        <f>COUNT(HI423,HJ423,HK423,HL423,HM423)</f>
        <v>0</v>
      </c>
      <c r="HN422" s="341"/>
      <c r="HO422" s="341"/>
      <c r="HP422" s="341"/>
      <c r="HQ422" s="341"/>
      <c r="HR422" s="341"/>
      <c r="HS422" s="238"/>
      <c r="HT422" s="238"/>
      <c r="HU422" s="238"/>
      <c r="HV422" s="238"/>
      <c r="HX422" s="238"/>
      <c r="HY422" s="238"/>
      <c r="ID422" s="238"/>
    </row>
    <row r="423" spans="1:238" s="234" customFormat="1" ht="20.100000000000001" customHeight="1">
      <c r="A423" s="235"/>
      <c r="B423" s="231">
        <f>COUNT(AJ424,AJ423)</f>
        <v>0</v>
      </c>
      <c r="C423" s="326" t="str">
        <f>IF(DK422="*",AJ419,AI419)</f>
        <v/>
      </c>
      <c r="D423" s="253" t="str">
        <f>REPT(DN423,1)</f>
        <v>2</v>
      </c>
      <c r="E423" s="254" t="str">
        <f>REPT(AH423,1)</f>
        <v/>
      </c>
      <c r="F423" s="168"/>
      <c r="G423" s="168"/>
      <c r="H423" s="168"/>
      <c r="I423" s="169"/>
      <c r="J423" s="270" t="str">
        <f>REPT(AM423,1)</f>
        <v/>
      </c>
      <c r="L423" s="306" t="s">
        <v>922</v>
      </c>
      <c r="M423" s="311"/>
      <c r="N423" s="270" t="str">
        <f>REPT(AP423,1)</f>
        <v/>
      </c>
      <c r="P423" s="306" t="s">
        <v>922</v>
      </c>
      <c r="Q423" s="310"/>
      <c r="R423" s="324" t="str">
        <f>IF(DL422="*",AJ419,AI419)</f>
        <v/>
      </c>
      <c r="S423" s="253" t="str">
        <f>REPT(DO423,1)</f>
        <v>2</v>
      </c>
      <c r="T423" s="254" t="str">
        <f>REPT(AV423,1)</f>
        <v/>
      </c>
      <c r="U423" s="168"/>
      <c r="V423" s="168"/>
      <c r="W423" s="168"/>
      <c r="X423" s="169"/>
      <c r="Y423" s="270" t="str">
        <f t="shared" ref="Y423:Y425" si="1044">REPT(BA423,1)</f>
        <v/>
      </c>
      <c r="Z423" s="308"/>
      <c r="AB423" s="234">
        <f>IF(AY423="",0,IF(AY423&lt;2,1,""))</f>
        <v>0</v>
      </c>
      <c r="AC423" s="238">
        <f t="shared" ref="AC423:AC424" si="1045">IF(AD423=1,1,IF(AD423=3,1,IF(AD423=2,0,IF(AD423=0,0,0))))</f>
        <v>0</v>
      </c>
      <c r="AD423" s="256">
        <f t="shared" ref="AD423:AD426" si="1046">SUM(AE423:AG423)</f>
        <v>0</v>
      </c>
      <c r="AE423" s="256">
        <f t="shared" si="1040"/>
        <v>0</v>
      </c>
      <c r="AF423" s="256">
        <f t="shared" si="1041"/>
        <v>0</v>
      </c>
      <c r="AG423" s="256">
        <f t="shared" ref="AG423:AG426" si="1047">IF(H423="",0,1)</f>
        <v>0</v>
      </c>
      <c r="AH423" s="257" t="str">
        <f>IF(AK423="",IF(AI423="","",IF(AI423="",501,501-AI423)),501)</f>
        <v/>
      </c>
      <c r="AI423" s="256" t="str">
        <f>IF(F423&gt;1,F423,IF(F423=0,"",IF(F423="","","")))</f>
        <v/>
      </c>
      <c r="AJ423" s="256" t="str">
        <f>IF(G423&gt;8,G423,IF(G423="","",""))</f>
        <v/>
      </c>
      <c r="AK423" s="256" t="str">
        <f>IF(H423&gt;1,H423,IF(H423="","",""))</f>
        <v/>
      </c>
      <c r="AL423" s="256" t="str">
        <f>IF(I423&gt;0,I423,IF(I423="","",""))</f>
        <v/>
      </c>
      <c r="AM423" s="258" t="str">
        <f>IF(BK423=0,"","X")</f>
        <v/>
      </c>
      <c r="AN423" s="237"/>
      <c r="AO423" s="237"/>
      <c r="AP423" s="258" t="str">
        <f>IF(BM423=0,"","X")</f>
        <v/>
      </c>
      <c r="AQ423" s="236">
        <f t="shared" ref="AQ423:AQ424" si="1048">IF(AR423=1,1,IF(AR423=3,1,IF(AR423=2,0,IF(AR423=0,0,0))))</f>
        <v>0</v>
      </c>
      <c r="AR423" s="256">
        <f t="shared" ref="AR423:AR426" si="1049">SUM(AS423:AU423)</f>
        <v>0</v>
      </c>
      <c r="AS423" s="256">
        <f t="shared" si="1042"/>
        <v>0</v>
      </c>
      <c r="AT423" s="256">
        <f t="shared" si="1043"/>
        <v>0</v>
      </c>
      <c r="AU423" s="256">
        <f t="shared" ref="AU423:AU426" si="1050">IF(W423="",0,1)</f>
        <v>0</v>
      </c>
      <c r="AV423" s="257" t="str">
        <f>IF(AY423="",IF(AW423="","",IF(AW423="",501,501-AW423)),501)</f>
        <v/>
      </c>
      <c r="AW423" s="256" t="str">
        <f>IF(U423&gt;1,U423,IF(U423=0,"",IF(U423="","","")))</f>
        <v/>
      </c>
      <c r="AX423" s="256" t="str">
        <f>IF(V423&gt;8,V423,IF(V423="","",""))</f>
        <v/>
      </c>
      <c r="AY423" s="256" t="str">
        <f>IF(W423&gt;1,W423,IF(W423="","",""))</f>
        <v/>
      </c>
      <c r="AZ423" s="256" t="str">
        <f>IF(X423&gt;0,X423,IF(X423="","",""))</f>
        <v/>
      </c>
      <c r="BA423" s="258" t="str">
        <f>IF(BL423=0,"","X")</f>
        <v/>
      </c>
      <c r="BK423" s="251">
        <f>SUM(DD423,DV423,EY423,ED423,FF423,BQ423,BS423,AC423)</f>
        <v>0</v>
      </c>
      <c r="BL423" s="251">
        <f>SUM(DE423,DW423,EE423,FT423,GA423,BR423,BT423,AQ423)</f>
        <v>0</v>
      </c>
      <c r="BM423" s="259">
        <f t="shared" ref="BM423:BM424" si="1051">SUM(DC423,BK423:BL423,AC423,AQ423)</f>
        <v>0</v>
      </c>
      <c r="BN423" s="239">
        <f>COUNT(AK423)</f>
        <v>0</v>
      </c>
      <c r="BO423" s="239">
        <f>COUNT(AY423)</f>
        <v>0</v>
      </c>
      <c r="BP423" s="239">
        <f>IF(BN425=0,0,1)</f>
        <v>0</v>
      </c>
      <c r="BQ423" s="260">
        <f>IF(AL423="",0,IF(AL423&gt;2,1,0))</f>
        <v>0</v>
      </c>
      <c r="BR423" s="261">
        <f>IF(AZ423="",0,IF(AZ423&gt;2,1,0))</f>
        <v>0</v>
      </c>
      <c r="BS423" s="262">
        <f>IF(AJ423=9,IF(AK423&lt;141,1,0),0)</f>
        <v>0</v>
      </c>
      <c r="BT423" s="263">
        <f>IF(AX423=9,IF(AY423&lt;141,1,0),0)</f>
        <v>0</v>
      </c>
      <c r="BU423" s="242">
        <f>IF(H423,G423,0)</f>
        <v>0</v>
      </c>
      <c r="BV423" s="238">
        <f>IF(BU423&gt;0,AJ423/3,0)</f>
        <v>0</v>
      </c>
      <c r="BW423" s="238">
        <f>ROUNDUP(BV423,0)</f>
        <v>0</v>
      </c>
      <c r="BX423" s="244">
        <f>IF(MOD(BW423,2)=0,BW423,BW423+1)</f>
        <v>0</v>
      </c>
      <c r="BY423" s="238">
        <f>IF(AJ423&lt;9,"",SUM(BX423-BW423))</f>
        <v>0</v>
      </c>
      <c r="BZ423" s="238">
        <f>IF(BY423=1,AK423,0)</f>
        <v>0</v>
      </c>
      <c r="CA423" s="243" t="str">
        <f>IF(BY423=0,AK423,0)</f>
        <v/>
      </c>
      <c r="CB423" s="238"/>
      <c r="CC423" s="238"/>
      <c r="CD423" s="242">
        <f>IF(W423,V423,0)</f>
        <v>0</v>
      </c>
      <c r="CE423" s="238">
        <f>IF(CD423&gt;0,AX423/3,0)</f>
        <v>0</v>
      </c>
      <c r="CF423" s="238">
        <f>ROUNDUP(CE423,0)</f>
        <v>0</v>
      </c>
      <c r="CG423" s="244">
        <f>IF(MOD(CF423,2)=0,CF423,CF423+1)</f>
        <v>0</v>
      </c>
      <c r="CH423" s="238">
        <f>IF(AX423&lt;9,"",SUM(CG423-CF423))</f>
        <v>0</v>
      </c>
      <c r="CI423" s="238">
        <f>IF(CH423=1,AY423,0)</f>
        <v>0</v>
      </c>
      <c r="CJ423" s="243" t="str">
        <f>IF(CH423=0,AY423,0)</f>
        <v/>
      </c>
      <c r="CK423" s="238"/>
      <c r="CL423" s="245">
        <f>IF(COUNT(F423,H423)=1,0,1)</f>
        <v>1</v>
      </c>
      <c r="CM423" s="245">
        <f>IF(COUNT(F423,U423)=1,0,1)</f>
        <v>1</v>
      </c>
      <c r="CN423" s="245">
        <f>IF(COUNT(H423,W423)=1,0,1)</f>
        <v>1</v>
      </c>
      <c r="CO423" s="245">
        <f>IF(COUNT(G423,V423)=2,0,1)</f>
        <v>1</v>
      </c>
      <c r="CP423" s="245">
        <f>IF(COUNT(U423,W423)=1,0,1)</f>
        <v>1</v>
      </c>
      <c r="CQ423" s="245">
        <f>IF(SUM(G423-V423)&gt;3,1,0)</f>
        <v>0</v>
      </c>
      <c r="CR423" s="245">
        <f>IF(SUM(G423-V423)&lt;-3,1,0)</f>
        <v>0</v>
      </c>
      <c r="CS423" s="264">
        <f>IF(AJ423=9,IF(AH423&lt;141,1,0),IF(AH423="",0,IF(AH423&gt;1,0,1)))</f>
        <v>0</v>
      </c>
      <c r="CT423" s="264">
        <f>IF(AX423=9,IF(AV423&lt;141,1,0),IF(AV423="",0,IF(AV423&gt;1,0,1)))</f>
        <v>0</v>
      </c>
      <c r="CU423" s="264">
        <f>IF(AI423="",0,IF(AI423&lt;502,0,1))</f>
        <v>0</v>
      </c>
      <c r="CV423" s="264">
        <f>IF(AW423="",0,IF(AW423&lt;502,0,1))</f>
        <v>0</v>
      </c>
      <c r="CW423" s="264">
        <f>IF(AI423="",IF(AJ423&lt;9,1,0),IF(AJ423&lt;9,1,0))</f>
        <v>0</v>
      </c>
      <c r="CX423" s="264">
        <f>IF(AW423="",IF(AX423&lt;9,1,0),IF(AX423&lt;9,1,0))</f>
        <v>0</v>
      </c>
      <c r="CY423" s="374"/>
      <c r="CZ423" s="374"/>
      <c r="DA423" s="374"/>
      <c r="DB423" s="374"/>
      <c r="DC423" s="265">
        <f>IF(AJ423="",0,SUM(CL423:CX423))</f>
        <v>0</v>
      </c>
      <c r="DD423" s="265">
        <f>IF(AJ423="",0,SUM(CL423,CS423,CU423,CW423))</f>
        <v>0</v>
      </c>
      <c r="DE423" s="265">
        <f>IF(AJ423="",0,SUM(CP423,CT423,CV423,CX423))</f>
        <v>0</v>
      </c>
      <c r="DF423" s="238"/>
      <c r="DG423" s="248">
        <f>SUM(G423-V423)</f>
        <v>0</v>
      </c>
      <c r="DH423" s="245">
        <f>IF(F423="",0,1)</f>
        <v>0</v>
      </c>
      <c r="DI423" s="245">
        <f t="shared" ref="DI423:DI426" si="1052">IF(DG423=0,DH423,DG423)</f>
        <v>0</v>
      </c>
      <c r="DJ423" s="245">
        <f t="shared" ref="DJ423:DJ426" si="1053">SIGN(DI423)</f>
        <v>0</v>
      </c>
      <c r="DK423" s="245" t="str">
        <f>IF(G423="","",IF(DJ423=1,"*",""))</f>
        <v/>
      </c>
      <c r="DL423" s="245" t="str">
        <f>IF(G423="","",IF(DJ423=-1,"*",IF(DJ423=0,"*","")))</f>
        <v/>
      </c>
      <c r="DM423" s="245">
        <v>2</v>
      </c>
      <c r="DN423" s="245" t="str">
        <f t="shared" ref="DN423:DN426" si="1054">CONCATENATE(DM423,DK423)</f>
        <v>2</v>
      </c>
      <c r="DO423" s="245" t="str">
        <f t="shared" ref="DO423:DO426" si="1055">CONCATENATE(DM423,DL423)</f>
        <v>2</v>
      </c>
      <c r="DP423" s="245">
        <f>SUM(DQ422)</f>
        <v>0</v>
      </c>
      <c r="DQ423" s="245">
        <f>SUM(DP422)</f>
        <v>0</v>
      </c>
      <c r="DR423" s="245">
        <f>IF(DK423="*",1,0)</f>
        <v>0</v>
      </c>
      <c r="DS423" s="245">
        <f>IF(DL423="*",1,0)</f>
        <v>0</v>
      </c>
      <c r="DT423" s="245">
        <f>IF(H413="",0,IF(DP423=DR423,1,0))</f>
        <v>0</v>
      </c>
      <c r="DU423" s="245">
        <f>IF(V423="",0,IF(DQ423=DS423,0,1))</f>
        <v>0</v>
      </c>
      <c r="DV423" s="267">
        <f>SUM(DT423)</f>
        <v>0</v>
      </c>
      <c r="DW423" s="267">
        <f>IF(V423="",0,SUM(DU423))</f>
        <v>0</v>
      </c>
      <c r="DX423" s="238">
        <f>IF(AK423="",0,1)</f>
        <v>0</v>
      </c>
      <c r="DY423" s="238">
        <f>IF(DG423=-3,1,0)</f>
        <v>0</v>
      </c>
      <c r="DZ423" s="238">
        <f>SUM(DX423:DY423)</f>
        <v>0</v>
      </c>
      <c r="EA423" s="238">
        <f>IF(AK423="",1,0)</f>
        <v>1</v>
      </c>
      <c r="EB423" s="238">
        <f>IF(DG423=3,1,0)</f>
        <v>0</v>
      </c>
      <c r="EC423" s="238">
        <f>SUM(EA423:EB423)</f>
        <v>1</v>
      </c>
      <c r="ED423" s="267">
        <f>IF(EC423=2,1,0)</f>
        <v>0</v>
      </c>
      <c r="EE423" s="267">
        <f>IF(DZ423=2,1,0)</f>
        <v>0</v>
      </c>
      <c r="EG423" s="166"/>
      <c r="EH423" s="238"/>
      <c r="EI423" s="238"/>
      <c r="EJ423" s="238"/>
      <c r="EK423" s="238"/>
      <c r="EL423" s="238"/>
      <c r="EM423" s="245">
        <f>IF(AK423="",0,1)</f>
        <v>0</v>
      </c>
      <c r="EN423" s="245">
        <f>SUM(AK423)</f>
        <v>0</v>
      </c>
      <c r="EO423" s="268">
        <f>SUM(AJ423)</f>
        <v>0</v>
      </c>
      <c r="EP423" s="268">
        <f>SUM(G423/3)</f>
        <v>0</v>
      </c>
      <c r="EQ423" s="268" t="e">
        <f>SUM(EO423/EP423)</f>
        <v>#DIV/0!</v>
      </c>
      <c r="ER423" s="268">
        <f>ROUNDDOWN(EP423,0)</f>
        <v>0</v>
      </c>
      <c r="ES423" s="268">
        <f>SUM(EO423,-ER423*3)</f>
        <v>0</v>
      </c>
      <c r="ET423" s="269" t="b">
        <f>MOD(EN423/1,2)=0</f>
        <v>1</v>
      </c>
      <c r="EU423" s="245">
        <f>IF(ET423=FALSE,1,0)</f>
        <v>0</v>
      </c>
      <c r="EV423" s="245">
        <f>IF(EN423=50,0,IF(EN423&lt;40,1,0))</f>
        <v>1</v>
      </c>
      <c r="EW423" s="245">
        <f>SUM(EU423:EV423)</f>
        <v>1</v>
      </c>
      <c r="EX423" s="267">
        <f>IF(EN423=1,1,IF(EN423=50,0,IF(ES423=1,IF(EN423&gt;40,1,0),0)))</f>
        <v>0</v>
      </c>
      <c r="EY423" s="267">
        <f>IF(ES423=1,IF(EW423=2,1,0),0)+EX423+FB423+FE423</f>
        <v>0</v>
      </c>
      <c r="EZ423" s="245">
        <f>IF(EN423=109,1,IF(EN423=108,1,IF(EN423=106,1,IF(EN423=105,1,IF(EN423=103,1,IF(EN423=102,1,IF(EN423=99,1,0)))))))</f>
        <v>0</v>
      </c>
      <c r="FA423" s="245">
        <f>IF(EN423&gt;110,1,0)</f>
        <v>0</v>
      </c>
      <c r="FB423" s="267">
        <f>IF(ES423=2,SUM(EZ423:FA423),0)</f>
        <v>0</v>
      </c>
      <c r="FC423" s="245">
        <f>IF(EN423=159,1,IF(EN423=162,1,IF(EN423=163,1,IF(EN423=165,1,IF(EN423=166,1,IF(EN423=168,1,IF(EN423=169,1,0)))))))</f>
        <v>0</v>
      </c>
      <c r="FD423" s="245">
        <f>IF(EN423&gt;170,1,0)</f>
        <v>0</v>
      </c>
      <c r="FE423" s="267">
        <f>IF(ES423=0,SUM(FC423:FD423),0)</f>
        <v>0</v>
      </c>
      <c r="FF423" s="251">
        <f t="shared" ref="FF423:FF426" si="1056">IF(AJ423="",0,IF(AI423="",0,IF(EO423/ER423-3=0,0,1)))</f>
        <v>0</v>
      </c>
      <c r="FG423" s="238"/>
      <c r="FH423" s="245">
        <f>IF(AY423="",0,1)</f>
        <v>0</v>
      </c>
      <c r="FI423" s="245">
        <f>SUM(AY423)</f>
        <v>0</v>
      </c>
      <c r="FJ423" s="268">
        <f>SUM(AX423)</f>
        <v>0</v>
      </c>
      <c r="FK423" s="268">
        <f>SUM(V423/3)</f>
        <v>0</v>
      </c>
      <c r="FL423" s="268" t="e">
        <f>SUM(FJ423/FK423)</f>
        <v>#DIV/0!</v>
      </c>
      <c r="FM423" s="268">
        <f>ROUNDDOWN(FK423,0)</f>
        <v>0</v>
      </c>
      <c r="FN423" s="268">
        <f>SUM(FJ423,-FM423*3)</f>
        <v>0</v>
      </c>
      <c r="FO423" s="269" t="b">
        <f>MOD(FI423/1,2)=0</f>
        <v>1</v>
      </c>
      <c r="FP423" s="245">
        <f>IF(FO423=FALSE,1,0)</f>
        <v>0</v>
      </c>
      <c r="FQ423" s="245">
        <f>IF(FI423=50,0,IF(FI423&lt;40,1,0))</f>
        <v>1</v>
      </c>
      <c r="FR423" s="245">
        <f>SUM(FP423:FQ423)</f>
        <v>1</v>
      </c>
      <c r="FS423" s="267">
        <f>IF(FI423=1,1,IF(FI423=50,0,IF(FN423=1,IF(FI423&gt;40,1,0),0)))</f>
        <v>0</v>
      </c>
      <c r="FT423" s="267">
        <f>IF(FN423=1,IF(FR423=2,1,0),0)+FS423+FW423+FZ423</f>
        <v>0</v>
      </c>
      <c r="FU423" s="245">
        <f>IF(FI423=109,1,IF(FI423=108,1,IF(FI423=106,1,IF(FI423=105,1,IF(FI423=103,1,IF(FI423=102,1,IF(FI423=99,1,0)))))))</f>
        <v>0</v>
      </c>
      <c r="FV423" s="245">
        <f>IF(FI423&gt;110,1,0)</f>
        <v>0</v>
      </c>
      <c r="FW423" s="267">
        <f>IF(FN423=2,SUM(FU423:FV423),0)</f>
        <v>0</v>
      </c>
      <c r="FX423" s="245">
        <f>IF(FI423=159,1,IF(FI423=162,1,IF(FI423=163,1,IF(FI423=165,1,IF(FI423=166,1,IF(FI423=168,1,IF(FI423=169,1,0)))))))</f>
        <v>0</v>
      </c>
      <c r="FY423" s="245">
        <f>IF(FI423&gt;170,1,0)</f>
        <v>0</v>
      </c>
      <c r="FZ423" s="267">
        <f>IF(FN423=0,SUM(FX423:FY423),0)</f>
        <v>0</v>
      </c>
      <c r="GA423" s="251">
        <f t="shared" ref="GA423:GA426" si="1057">IF(AX423="",0,IF(AW423="",0,IF(FJ423/FM423-3=0,0,1)))</f>
        <v>0</v>
      </c>
      <c r="GC423" s="238" t="str">
        <f>VLOOKUP(AH419,Chema!BL:BR,2,FALSE)</f>
        <v/>
      </c>
      <c r="GD423" s="341">
        <f>IF(E429="FORFAIT",1,0)</f>
        <v>0</v>
      </c>
      <c r="GE423" s="343" t="str">
        <f>IF(C429="","",SUM(C429))</f>
        <v/>
      </c>
      <c r="GF423" s="344">
        <f>SUM(AH422)</f>
        <v>0</v>
      </c>
      <c r="GG423" s="344">
        <f>SUM(AJ422)</f>
        <v>0</v>
      </c>
      <c r="GH423" s="344">
        <f t="shared" ref="GH423" si="1058">SUM(AK422)</f>
        <v>0</v>
      </c>
      <c r="GI423" s="344">
        <f t="shared" ref="GI423" si="1059">SUM(AL422)</f>
        <v>0</v>
      </c>
      <c r="GJ423" s="344">
        <f>SUM(AH423)</f>
        <v>0</v>
      </c>
      <c r="GK423" s="344">
        <f>SUM(AJ423)</f>
        <v>0</v>
      </c>
      <c r="GL423" s="344">
        <f>SUM(AK423)</f>
        <v>0</v>
      </c>
      <c r="GM423" s="344">
        <f>SUM(AL423)</f>
        <v>0</v>
      </c>
      <c r="GN423" s="344">
        <f>SUM(AH424)</f>
        <v>0</v>
      </c>
      <c r="GO423" s="344">
        <f>SUM(AJ424)</f>
        <v>0</v>
      </c>
      <c r="GP423" s="344">
        <f>SUM(AK424)</f>
        <v>0</v>
      </c>
      <c r="GQ423" s="344">
        <f>SUM(AL424)</f>
        <v>0</v>
      </c>
      <c r="GR423" s="344">
        <f>SUM(AH425)</f>
        <v>0</v>
      </c>
      <c r="GS423" s="344">
        <f>SUM(AJ425)</f>
        <v>0</v>
      </c>
      <c r="GT423" s="344">
        <f>SUM(AK425)</f>
        <v>0</v>
      </c>
      <c r="GU423" s="344">
        <f>SUM(AL425)</f>
        <v>0</v>
      </c>
      <c r="GV423" s="344">
        <f>SUM(AH426)</f>
        <v>0</v>
      </c>
      <c r="GW423" s="344">
        <f>SUM(AJ426)</f>
        <v>0</v>
      </c>
      <c r="GX423" s="344">
        <f>SUM(AK426)</f>
        <v>0</v>
      </c>
      <c r="GY423" s="344">
        <f>SUM(AL426)</f>
        <v>0</v>
      </c>
      <c r="GZ423" s="344">
        <f>SUM(GF423,GJ423,GN423,GR423,GV423)</f>
        <v>0</v>
      </c>
      <c r="HA423" s="344">
        <f t="shared" ref="HA423" si="1060">SUM(GG423,GK423,GO423,GS423,GW423)</f>
        <v>0</v>
      </c>
      <c r="HB423" s="344">
        <f>IF(GD422=1,L429,MAX(GH423,GL423,GP423,GT423,GX423))</f>
        <v>0</v>
      </c>
      <c r="HC423" s="344">
        <f>IF(GD422=1,I429,SUM(GI423,GM423,GQ423,GU423,GY423))</f>
        <v>0</v>
      </c>
      <c r="HD423" s="345">
        <f>IF(GD422=1,0,SUM(GF423,GJ423,GN423,GR423,GV423))</f>
        <v>0</v>
      </c>
      <c r="HE423" s="345">
        <f>IF(GD422=1,0,SUM(GG423,GK423,GO423,GS423,GW423))</f>
        <v>0</v>
      </c>
      <c r="HF423" s="341">
        <f>IF(GD422=1,0,MIN(HI423,HJ423,HK423,HL423,HM423))</f>
        <v>0</v>
      </c>
      <c r="HG423" s="341">
        <f>IF(HF423=0,0,COUNTIF(HI423:HM423,HF423))</f>
        <v>0</v>
      </c>
      <c r="HH423" s="341">
        <f>SUM(GH424,GL424,GP424,GT424,GX424)</f>
        <v>0</v>
      </c>
      <c r="HI423" s="343" t="str">
        <f>IF(GH424=1,GG423,"")</f>
        <v/>
      </c>
      <c r="HJ423" s="343" t="str">
        <f>IF(GL424=1,GK423,"")</f>
        <v/>
      </c>
      <c r="HK423" s="343" t="str">
        <f>IF(GP424=1,GO423,"")</f>
        <v/>
      </c>
      <c r="HL423" s="343" t="str">
        <f>IF(GT424=1,GS423,"")</f>
        <v/>
      </c>
      <c r="HM423" s="343" t="str">
        <f>IF(GX424=1,GW423,"")</f>
        <v/>
      </c>
      <c r="HN423" s="341"/>
      <c r="HO423" s="341" t="s">
        <v>928</v>
      </c>
      <c r="HP423" s="341" t="s">
        <v>982</v>
      </c>
      <c r="HQ423" s="341" t="s">
        <v>983</v>
      </c>
      <c r="HR423" s="341" t="s">
        <v>984</v>
      </c>
      <c r="HS423" s="238" t="s">
        <v>932</v>
      </c>
      <c r="HT423" s="238" t="s">
        <v>933</v>
      </c>
      <c r="HU423" s="238" t="s">
        <v>985</v>
      </c>
      <c r="HV423" s="238" t="s">
        <v>986</v>
      </c>
      <c r="HW423" s="238">
        <f>IFERROR(IF(GD422=0,SUM(HZ424:IA424),""),"")</f>
        <v>0</v>
      </c>
      <c r="HY423" s="238"/>
      <c r="HZ423" s="238" t="s">
        <v>1132</v>
      </c>
      <c r="IA423" s="238" t="s">
        <v>1133</v>
      </c>
      <c r="IB423" s="238" t="s">
        <v>1132</v>
      </c>
      <c r="IC423" s="238" t="s">
        <v>1133</v>
      </c>
      <c r="ID423" s="238"/>
    </row>
    <row r="424" spans="1:238" s="234" customFormat="1" ht="20.100000000000001" customHeight="1">
      <c r="A424" s="235"/>
      <c r="B424" s="231">
        <f>COUNT(AJ425,AJ424)</f>
        <v>0</v>
      </c>
      <c r="C424" s="235"/>
      <c r="D424" s="271" t="str">
        <f>REPT(DN424,1)</f>
        <v>3</v>
      </c>
      <c r="E424" s="254" t="str">
        <f>REPT(AH424,1)</f>
        <v/>
      </c>
      <c r="F424" s="168"/>
      <c r="G424" s="168"/>
      <c r="H424" s="168"/>
      <c r="I424" s="169"/>
      <c r="J424" s="270" t="str">
        <f t="shared" ref="J424:J425" si="1061">REPT(AM424,1)</f>
        <v/>
      </c>
      <c r="L424" s="312">
        <f>SUM(L422*3)</f>
        <v>0</v>
      </c>
      <c r="M424" s="307"/>
      <c r="N424" s="270" t="str">
        <f>REPT(AP424,1)</f>
        <v/>
      </c>
      <c r="P424" s="312">
        <f>SUM(P422*3)</f>
        <v>0</v>
      </c>
      <c r="Q424" s="310"/>
      <c r="R424" s="235"/>
      <c r="S424" s="271" t="str">
        <f>REPT(DO424,1)</f>
        <v>3</v>
      </c>
      <c r="T424" s="254" t="str">
        <f>REPT(AV424,1)</f>
        <v/>
      </c>
      <c r="U424" s="168"/>
      <c r="V424" s="168"/>
      <c r="W424" s="168"/>
      <c r="X424" s="169"/>
      <c r="Y424" s="270" t="str">
        <f t="shared" si="1044"/>
        <v/>
      </c>
      <c r="Z424" s="308"/>
      <c r="AB424" s="234">
        <f>IF(AY424="",0,IF(AY424&lt;2,1,""))</f>
        <v>0</v>
      </c>
      <c r="AC424" s="238">
        <f t="shared" si="1045"/>
        <v>0</v>
      </c>
      <c r="AD424" s="256">
        <f t="shared" si="1046"/>
        <v>0</v>
      </c>
      <c r="AE424" s="256">
        <f t="shared" si="1040"/>
        <v>0</v>
      </c>
      <c r="AF424" s="256">
        <f t="shared" si="1041"/>
        <v>0</v>
      </c>
      <c r="AG424" s="256">
        <f t="shared" si="1047"/>
        <v>0</v>
      </c>
      <c r="AH424" s="257" t="str">
        <f>IF(AK424="",IF(AI424="","",IF(AI424="",501,501-AI424)),501)</f>
        <v/>
      </c>
      <c r="AI424" s="256" t="str">
        <f>IF(F424&gt;1,F424,IF(F424=0,"",IF(F424="","","")))</f>
        <v/>
      </c>
      <c r="AJ424" s="256" t="str">
        <f>IF(G424&gt;8,G424,IF(G424="","",""))</f>
        <v/>
      </c>
      <c r="AK424" s="256" t="str">
        <f>IF(H424&gt;1,H424,IF(H424="","",""))</f>
        <v/>
      </c>
      <c r="AL424" s="256" t="str">
        <f>IF(I424&gt;0,I424,IF(I424="","",""))</f>
        <v/>
      </c>
      <c r="AM424" s="258" t="str">
        <f>IF(BK424=0,"","X")</f>
        <v/>
      </c>
      <c r="AN424" s="237"/>
      <c r="AO424" s="237"/>
      <c r="AP424" s="258" t="str">
        <f>IF(BM424=0,"","X")</f>
        <v/>
      </c>
      <c r="AQ424" s="236">
        <f t="shared" si="1048"/>
        <v>0</v>
      </c>
      <c r="AR424" s="256">
        <f t="shared" si="1049"/>
        <v>0</v>
      </c>
      <c r="AS424" s="256">
        <f t="shared" si="1042"/>
        <v>0</v>
      </c>
      <c r="AT424" s="256">
        <f t="shared" si="1043"/>
        <v>0</v>
      </c>
      <c r="AU424" s="256">
        <f t="shared" si="1050"/>
        <v>0</v>
      </c>
      <c r="AV424" s="257" t="str">
        <f>IF(AY424="",IF(AW424="","",IF(AW424="",501,501-AW424)),501)</f>
        <v/>
      </c>
      <c r="AW424" s="256" t="str">
        <f>IF(U424&gt;1,U424,IF(U424=0,"",IF(U424="","","")))</f>
        <v/>
      </c>
      <c r="AX424" s="256" t="str">
        <f>IF(V424&gt;8,V424,IF(V424="","",""))</f>
        <v/>
      </c>
      <c r="AY424" s="256" t="str">
        <f>IF(W424&gt;1,W424,IF(W424="","",""))</f>
        <v/>
      </c>
      <c r="AZ424" s="256" t="str">
        <f>IF(X424&gt;0,X424,IF(X424="","",""))</f>
        <v/>
      </c>
      <c r="BA424" s="258" t="str">
        <f>IF(BL424=0,"","X")</f>
        <v/>
      </c>
      <c r="BK424" s="251">
        <f>SUM(DD424,DV424,EY424,ED424,FF424,BQ424,BS424,AC424,BK431)</f>
        <v>0</v>
      </c>
      <c r="BL424" s="251">
        <f>SUM(DE424,DW424,EE424,FT424,GA424,BR424,BT424,AQ424,BL431,CZ424)</f>
        <v>0</v>
      </c>
      <c r="BM424" s="259">
        <f t="shared" si="1051"/>
        <v>0</v>
      </c>
      <c r="BN424" s="239">
        <f>COUNT(AK424)</f>
        <v>0</v>
      </c>
      <c r="BO424" s="239">
        <f>COUNT(AY424)</f>
        <v>0</v>
      </c>
      <c r="BP424" s="239">
        <f>IF(BN426=0,0,1)</f>
        <v>0</v>
      </c>
      <c r="BQ424" s="260">
        <f>IF(AL424="",0,IF(AL424&gt;2,1,0))</f>
        <v>0</v>
      </c>
      <c r="BR424" s="261">
        <f>IF(AZ424="",0,IF(AZ424&gt;2,1,0))</f>
        <v>0</v>
      </c>
      <c r="BS424" s="262">
        <f>IF(AJ424=9,IF(AK424&lt;141,1,0),0)</f>
        <v>0</v>
      </c>
      <c r="BT424" s="263">
        <f>IF(AX424=9,IF(AY424&lt;141,1,0),0)</f>
        <v>0</v>
      </c>
      <c r="BU424" s="242">
        <f>IF(H424,G424,0)</f>
        <v>0</v>
      </c>
      <c r="BV424" s="238">
        <f>IF(BU424&gt;0,AJ424/3,0)</f>
        <v>0</v>
      </c>
      <c r="BW424" s="238">
        <f>ROUNDUP(BV424,0)</f>
        <v>0</v>
      </c>
      <c r="BX424" s="244">
        <f>IF(MOD(BW424,2)=0,BW424,BW424+1)</f>
        <v>0</v>
      </c>
      <c r="BY424" s="238">
        <f>IF(AJ424&lt;9,"",SUM(BX424-BW424))</f>
        <v>0</v>
      </c>
      <c r="BZ424" s="238">
        <f>IF(BY424=1,AK424,0)</f>
        <v>0</v>
      </c>
      <c r="CA424" s="243" t="str">
        <f>IF(BY424=0,AK424,0)</f>
        <v/>
      </c>
      <c r="CB424" s="238"/>
      <c r="CC424" s="238"/>
      <c r="CD424" s="242">
        <f>IF(W424,V424,0)</f>
        <v>0</v>
      </c>
      <c r="CE424" s="238">
        <f>IF(CD424&gt;0,AX424/3,0)</f>
        <v>0</v>
      </c>
      <c r="CF424" s="238">
        <f>ROUNDUP(CE424,0)</f>
        <v>0</v>
      </c>
      <c r="CG424" s="244">
        <f>IF(MOD(CF424,2)=0,CF424,CF424+1)</f>
        <v>0</v>
      </c>
      <c r="CH424" s="238">
        <f>IF(AX424&lt;9,"",SUM(CG424-CF424))</f>
        <v>0</v>
      </c>
      <c r="CI424" s="238">
        <f>IF(CH424=1,AY424,0)</f>
        <v>0</v>
      </c>
      <c r="CJ424" s="243" t="str">
        <f>IF(CH424=0,AY424,0)</f>
        <v/>
      </c>
      <c r="CK424" s="238"/>
      <c r="CL424" s="245">
        <f>IF(COUNT(F424,H424)=1,0,1)</f>
        <v>1</v>
      </c>
      <c r="CM424" s="245">
        <f>IF(COUNT(F424,U424)=1,0,1)</f>
        <v>1</v>
      </c>
      <c r="CN424" s="245">
        <f>IF(COUNT(H424,W424)=1,0,1)</f>
        <v>1</v>
      </c>
      <c r="CO424" s="245">
        <f>IF(COUNT(G424,V424)=2,0,1)</f>
        <v>1</v>
      </c>
      <c r="CP424" s="245">
        <f>IF(COUNT(U424,W424)=1,0,1)</f>
        <v>1</v>
      </c>
      <c r="CQ424" s="245">
        <f>IF(SUM(G424-V424)&gt;3,1,0)</f>
        <v>0</v>
      </c>
      <c r="CR424" s="245">
        <f>IF(SUM(G424-V424)&lt;-3,1,0)</f>
        <v>0</v>
      </c>
      <c r="CS424" s="264">
        <f>IF(AJ424=9,IF(AH424&lt;141,1,0),IF(AH424="",0,IF(AH424&gt;1,0,1)))</f>
        <v>0</v>
      </c>
      <c r="CT424" s="264">
        <f>IF(AX424=9,IF(AV424&lt;141,1,0),IF(AV424="",0,IF(AV424&gt;1,0,1)))</f>
        <v>0</v>
      </c>
      <c r="CU424" s="264">
        <f>IF(AI424="",0,IF(AI424&lt;502,0,1))</f>
        <v>0</v>
      </c>
      <c r="CV424" s="264">
        <f>IF(AW424="",0,IF(AW424&lt;502,0,1))</f>
        <v>0</v>
      </c>
      <c r="CW424" s="264">
        <f>IF(AI424="",IF(AJ424&lt;9,1,0),IF(AJ424&lt;9,1,0))</f>
        <v>0</v>
      </c>
      <c r="CX424" s="264">
        <f>IF(AW424="",IF(AX424&lt;9,1,0),IF(AX424&lt;9,1,0))</f>
        <v>0</v>
      </c>
      <c r="CY424" s="374">
        <f>COUNT(U422,U423,U424)</f>
        <v>0</v>
      </c>
      <c r="CZ424" s="375">
        <f>IF(AL419=3,IF(CY424&gt;2,1,0),0)</f>
        <v>0</v>
      </c>
      <c r="DA424" s="374"/>
      <c r="DB424" s="374"/>
      <c r="DC424" s="265">
        <f>IF(AJ424="",0,SUM(CL424:CX424))</f>
        <v>0</v>
      </c>
      <c r="DD424" s="265">
        <f>IF(AJ424="",0,SUM(CL424,CS424,CU424,CW424))</f>
        <v>0</v>
      </c>
      <c r="DE424" s="265">
        <f>IF(AJ424="",0,SUM(CP424,CT424,CV424,CX424))</f>
        <v>0</v>
      </c>
      <c r="DF424" s="238"/>
      <c r="DG424" s="248">
        <f>SUM(G424-V424)</f>
        <v>0</v>
      </c>
      <c r="DH424" s="245">
        <f>IF(F424="",0,1)</f>
        <v>0</v>
      </c>
      <c r="DI424" s="245">
        <f t="shared" si="1052"/>
        <v>0</v>
      </c>
      <c r="DJ424" s="245">
        <f t="shared" si="1053"/>
        <v>0</v>
      </c>
      <c r="DK424" s="245" t="str">
        <f>IF(G424="","",IF(DJ424=1,"*",""))</f>
        <v/>
      </c>
      <c r="DL424" s="245" t="str">
        <f>IF(G424="","",IF(DJ424=-1,"*",IF(DJ424=0,"*","")))</f>
        <v/>
      </c>
      <c r="DM424" s="245">
        <v>3</v>
      </c>
      <c r="DN424" s="245" t="str">
        <f t="shared" si="1054"/>
        <v>3</v>
      </c>
      <c r="DO424" s="245" t="str">
        <f t="shared" si="1055"/>
        <v>3</v>
      </c>
      <c r="DP424" s="245">
        <f>SUM(DP422)</f>
        <v>0</v>
      </c>
      <c r="DQ424" s="245">
        <f>SUM(DQ422)</f>
        <v>0</v>
      </c>
      <c r="DR424" s="245">
        <f t="shared" ref="DR424:DR426" si="1062">IF(DK424="*",1,0)</f>
        <v>0</v>
      </c>
      <c r="DS424" s="245">
        <f t="shared" ref="DS424:DS426" si="1063">IF(DL424="*",1,0)</f>
        <v>0</v>
      </c>
      <c r="DT424" s="245">
        <f t="shared" ref="DT424:DT426" si="1064">IF(H414="",0,IF(DP424=DR424,1,0))</f>
        <v>0</v>
      </c>
      <c r="DU424" s="245">
        <f>IF(V424="",0,IF(DQ424=DS424,0,1))</f>
        <v>0</v>
      </c>
      <c r="DV424" s="267">
        <f t="shared" ref="DV424:DV426" si="1065">SUM(DT424)</f>
        <v>0</v>
      </c>
      <c r="DW424" s="267">
        <f>IF(V424="",0,SUM(DU424))</f>
        <v>0</v>
      </c>
      <c r="DX424" s="238">
        <f>IF(AK424="",0,1)</f>
        <v>0</v>
      </c>
      <c r="DY424" s="238">
        <f>IF(DG424=-3,1,0)</f>
        <v>0</v>
      </c>
      <c r="DZ424" s="238">
        <f>SUM(DX424:DY424)</f>
        <v>0</v>
      </c>
      <c r="EA424" s="238">
        <f>IF(AK424="",1,0)</f>
        <v>1</v>
      </c>
      <c r="EB424" s="238">
        <f>IF(DG424=3,1,0)</f>
        <v>0</v>
      </c>
      <c r="EC424" s="238">
        <f>SUM(EA424:EB424)</f>
        <v>1</v>
      </c>
      <c r="ED424" s="267">
        <f>IF(EC424=2,1,0)</f>
        <v>0</v>
      </c>
      <c r="EE424" s="267">
        <f>IF(DZ424=2,1,0)</f>
        <v>0</v>
      </c>
      <c r="EG424" s="166"/>
      <c r="EH424" s="238"/>
      <c r="EI424" s="238"/>
      <c r="EJ424" s="238"/>
      <c r="EK424" s="238"/>
      <c r="EL424" s="238"/>
      <c r="EM424" s="245">
        <f>IF(AK424="",0,1)</f>
        <v>0</v>
      </c>
      <c r="EN424" s="245">
        <f>SUM(AK424)</f>
        <v>0</v>
      </c>
      <c r="EO424" s="268">
        <f>SUM(AJ424)</f>
        <v>0</v>
      </c>
      <c r="EP424" s="268">
        <f>SUM(G424/3)</f>
        <v>0</v>
      </c>
      <c r="EQ424" s="268" t="e">
        <f>SUM(EO424/EP424)</f>
        <v>#DIV/0!</v>
      </c>
      <c r="ER424" s="268">
        <f>ROUNDDOWN(EP424,0)</f>
        <v>0</v>
      </c>
      <c r="ES424" s="268">
        <f>SUM(EO424,-ER424*3)</f>
        <v>0</v>
      </c>
      <c r="ET424" s="269" t="b">
        <f>MOD(EN424/1,2)=0</f>
        <v>1</v>
      </c>
      <c r="EU424" s="245">
        <f>IF(ET424=FALSE,1,0)</f>
        <v>0</v>
      </c>
      <c r="EV424" s="245">
        <f>IF(EN424=50,0,IF(EN424&lt;40,1,0))</f>
        <v>1</v>
      </c>
      <c r="EW424" s="245">
        <f>SUM(EU424:EV424)</f>
        <v>1</v>
      </c>
      <c r="EX424" s="267">
        <f>IF(EN424=1,1,IF(EN424=50,0,IF(ES424=1,IF(EN424&gt;40,1,0),0)))</f>
        <v>0</v>
      </c>
      <c r="EY424" s="267">
        <f>IF(ES424=1,IF(EW424=2,1,0),0)+EX424+FB424+FE424</f>
        <v>0</v>
      </c>
      <c r="EZ424" s="245">
        <f>IF(EN424=109,1,IF(EN424=108,1,IF(EN424=106,1,IF(EN424=105,1,IF(EN424=103,1,IF(EN424=102,1,IF(EN424=99,1,0)))))))</f>
        <v>0</v>
      </c>
      <c r="FA424" s="245">
        <f>IF(EN424&gt;110,1,0)</f>
        <v>0</v>
      </c>
      <c r="FB424" s="267">
        <f>IF(ES424=2,SUM(EZ424:FA424),0)</f>
        <v>0</v>
      </c>
      <c r="FC424" s="245">
        <f>IF(EN424=159,1,IF(EN424=162,1,IF(EN424=163,1,IF(EN424=165,1,IF(EN424=166,1,IF(EN424=168,1,IF(EN424=169,1,0)))))))</f>
        <v>0</v>
      </c>
      <c r="FD424" s="245">
        <f>IF(EN424&gt;170,1,0)</f>
        <v>0</v>
      </c>
      <c r="FE424" s="267">
        <f>IF(ES424=0,SUM(FC424:FD424),0)</f>
        <v>0</v>
      </c>
      <c r="FF424" s="251">
        <f t="shared" si="1056"/>
        <v>0</v>
      </c>
      <c r="FG424" s="238"/>
      <c r="FH424" s="245">
        <f>IF(AY424="",0,1)</f>
        <v>0</v>
      </c>
      <c r="FI424" s="245">
        <f>SUM(AY424)</f>
        <v>0</v>
      </c>
      <c r="FJ424" s="268">
        <f>SUM(AX424)</f>
        <v>0</v>
      </c>
      <c r="FK424" s="268">
        <f>SUM(V424/3)</f>
        <v>0</v>
      </c>
      <c r="FL424" s="268" t="e">
        <f>SUM(FJ424/FK424)</f>
        <v>#DIV/0!</v>
      </c>
      <c r="FM424" s="268">
        <f>ROUNDDOWN(FK424,0)</f>
        <v>0</v>
      </c>
      <c r="FN424" s="268">
        <f>SUM(FJ424,-FM424*3)</f>
        <v>0</v>
      </c>
      <c r="FO424" s="269" t="b">
        <f>MOD(FI424/1,2)=0</f>
        <v>1</v>
      </c>
      <c r="FP424" s="245">
        <f>IF(FO424=FALSE,1,0)</f>
        <v>0</v>
      </c>
      <c r="FQ424" s="245">
        <f>IF(FI424=50,0,IF(FI424&lt;40,1,0))</f>
        <v>1</v>
      </c>
      <c r="FR424" s="245">
        <f>SUM(FP424:FQ424)</f>
        <v>1</v>
      </c>
      <c r="FS424" s="267">
        <f>IF(FI424=1,1,IF(FI424=50,0,IF(FN424=1,IF(FI424&gt;40,1,0),0)))</f>
        <v>0</v>
      </c>
      <c r="FT424" s="267">
        <f>IF(FN424=1,IF(FR424=2,1,0),0)+FS424+FW424+FZ424</f>
        <v>0</v>
      </c>
      <c r="FU424" s="245">
        <f>IF(FI424=109,1,IF(FI424=108,1,IF(FI424=106,1,IF(FI424=105,1,IF(FI424=103,1,IF(FI424=102,1,IF(FI424=99,1,0)))))))</f>
        <v>0</v>
      </c>
      <c r="FV424" s="245">
        <f>IF(FI424&gt;110,1,0)</f>
        <v>0</v>
      </c>
      <c r="FW424" s="267">
        <f>IF(FN424=2,SUM(FU424:FV424),0)</f>
        <v>0</v>
      </c>
      <c r="FX424" s="245">
        <f>IF(FI424=159,1,IF(FI424=162,1,IF(FI424=163,1,IF(FI424=165,1,IF(FI424=166,1,IF(FI424=168,1,IF(FI424=169,1,0)))))))</f>
        <v>0</v>
      </c>
      <c r="FY424" s="245">
        <f>IF(FI424&gt;170,1,0)</f>
        <v>0</v>
      </c>
      <c r="FZ424" s="267">
        <f>IF(FN424=0,SUM(FX424:FY424),0)</f>
        <v>0</v>
      </c>
      <c r="GA424" s="251">
        <f t="shared" si="1057"/>
        <v>0</v>
      </c>
      <c r="GC424" s="238" t="str">
        <f>VLOOKUP(AH419,Chema!BL:BR,3,FALSE)</f>
        <v/>
      </c>
      <c r="GD424" s="341"/>
      <c r="GE424" s="343" t="str">
        <f>IF(C430="","",SUM(C430))</f>
        <v/>
      </c>
      <c r="GF424" s="346"/>
      <c r="GG424" s="340"/>
      <c r="GH424" s="343">
        <f>IF(GH423&gt;0,1,0)</f>
        <v>0</v>
      </c>
      <c r="GI424" s="346"/>
      <c r="GJ424" s="343"/>
      <c r="GK424" s="340"/>
      <c r="GL424" s="343">
        <f>IF(GL423&gt;0,1,0)</f>
        <v>0</v>
      </c>
      <c r="GM424" s="343"/>
      <c r="GN424" s="343"/>
      <c r="GO424" s="340"/>
      <c r="GP424" s="343">
        <f>IF(GP423&gt;0,1,0)</f>
        <v>0</v>
      </c>
      <c r="GQ424" s="343"/>
      <c r="GR424" s="343"/>
      <c r="GS424" s="340"/>
      <c r="GT424" s="343">
        <f>IF(GT423&gt;0,1,0)</f>
        <v>0</v>
      </c>
      <c r="GU424" s="343"/>
      <c r="GV424" s="343"/>
      <c r="GW424" s="340"/>
      <c r="GX424" s="343">
        <f>IF(GX423&gt;0,1,0)</f>
        <v>0</v>
      </c>
      <c r="GY424" s="343"/>
      <c r="GZ424" s="343"/>
      <c r="HA424" s="343"/>
      <c r="HB424" s="343" t="str">
        <f>IF(GD422=1,L430,"")</f>
        <v/>
      </c>
      <c r="HC424" s="343" t="str">
        <f>IF(GD422=1,I430,"")</f>
        <v/>
      </c>
      <c r="HD424" s="345"/>
      <c r="HE424" s="340"/>
      <c r="HF424" s="340"/>
      <c r="HG424" s="347">
        <f>IF(GE423="",0,IF(AL419=3,2,IF(AL419=5,3,0)))</f>
        <v>0</v>
      </c>
      <c r="HH424" s="347">
        <f>IF(HK424=0,0,IF(HG426=0,0,1))</f>
        <v>0</v>
      </c>
      <c r="HI424" s="340"/>
      <c r="HJ424" s="340"/>
      <c r="HK424" s="340">
        <f>SUM(HM422,HM426)</f>
        <v>0</v>
      </c>
      <c r="HL424" s="340">
        <f>IF(HK424=0,0,IF(HM422=HG424,1,0))</f>
        <v>0</v>
      </c>
      <c r="HM424" s="340">
        <f>IF(HK424=0,0,IF(HM426=HG424,1,0))</f>
        <v>0</v>
      </c>
      <c r="HN424" s="341" t="str">
        <f>REPT(N419,1)</f>
        <v xml:space="preserve">Spiel </v>
      </c>
      <c r="HO424" s="348" t="str">
        <f>IF(HK424=0,"",IF(HH424=0,SUM(HH423),""))</f>
        <v/>
      </c>
      <c r="HP424" s="348" t="str">
        <f>IF(HK424=0,"",IF(HH424=0,SUM(HH425),""))</f>
        <v/>
      </c>
      <c r="HQ424" s="348" t="e">
        <f>IF(HH424=0,SUM(GZ423/HA423),"")</f>
        <v>#DIV/0!</v>
      </c>
      <c r="HR424" s="348" t="e">
        <f>IF(HH424=0,SUM(GZ425/HA425),"")</f>
        <v>#DIV/0!</v>
      </c>
      <c r="HS424" s="238" t="str">
        <f>REPT(DK422,1)</f>
        <v/>
      </c>
      <c r="HT424" s="238" t="str">
        <f>REPT(DL422,1)</f>
        <v/>
      </c>
      <c r="HU424" s="238">
        <f>IF(HH424=0,HL424,"")</f>
        <v>0</v>
      </c>
      <c r="HV424" s="238">
        <f>IF(HH424=0,HM424,"")</f>
        <v>0</v>
      </c>
      <c r="HW424" s="238" t="s">
        <v>1131</v>
      </c>
      <c r="HY424" s="238"/>
      <c r="HZ424" s="238" t="str">
        <f>IF(AL419=5,IF(HU424=1,SUM(HO424*2-HP424),HO424+HP424-2),"")</f>
        <v/>
      </c>
      <c r="IA424" s="238" t="str">
        <f>IF(AL419=3,IF(HU424=1,SUM(HO424-HP424+3),HO424+HP424-1),"")</f>
        <v/>
      </c>
      <c r="IB424" s="238" t="str">
        <f>IF(AL419=5,IF(HV424=1,SUM(HP424*2-HO424),HO424+HP424-2),"")</f>
        <v/>
      </c>
      <c r="IC424" s="238" t="str">
        <f>IF(AL419=3,IF(HV424=1,SUM(HP424-HO424+3),HO424+HP424-1),"")</f>
        <v/>
      </c>
      <c r="ID424" s="238">
        <f>SUM(BM428)</f>
        <v>0</v>
      </c>
    </row>
    <row r="425" spans="1:238" s="234" customFormat="1" ht="20.100000000000001" customHeight="1">
      <c r="A425" s="235"/>
      <c r="B425" s="231">
        <f>COUNT(AJ426,AJ425)</f>
        <v>0</v>
      </c>
      <c r="C425" s="235"/>
      <c r="D425" s="328" t="str">
        <f>REPT(DN425,1)</f>
        <v>4</v>
      </c>
      <c r="E425" s="329" t="str">
        <f>REPT(AH425,1)</f>
        <v/>
      </c>
      <c r="F425" s="330"/>
      <c r="G425" s="330"/>
      <c r="H425" s="330"/>
      <c r="I425" s="331"/>
      <c r="J425" s="270" t="str">
        <f t="shared" si="1061"/>
        <v/>
      </c>
      <c r="M425" s="311"/>
      <c r="N425" s="270" t="str">
        <f>REPT(AP425,1)</f>
        <v/>
      </c>
      <c r="Q425" s="310"/>
      <c r="R425" s="235"/>
      <c r="S425" s="328" t="str">
        <f>REPT(DO425,1)</f>
        <v>4</v>
      </c>
      <c r="T425" s="329" t="str">
        <f>REPT(AV425,1)</f>
        <v/>
      </c>
      <c r="U425" s="330"/>
      <c r="V425" s="330"/>
      <c r="W425" s="330"/>
      <c r="X425" s="331"/>
      <c r="Y425" s="270" t="str">
        <f t="shared" si="1044"/>
        <v/>
      </c>
      <c r="Z425" s="308"/>
      <c r="AA425" s="238">
        <f>SUM(AL419)</f>
        <v>0</v>
      </c>
      <c r="AB425" s="234">
        <f>IF(AY425="",0,IF(AY425&lt;2,1,""))</f>
        <v>0</v>
      </c>
      <c r="AC425" s="238">
        <f>IF(AL419=3,0,IF(AD425=1,1,IF(AD425=3,1,IF(AD425=2,0,IF(AD425=0,0,0)))))</f>
        <v>0</v>
      </c>
      <c r="AD425" s="256">
        <f t="shared" si="1046"/>
        <v>0</v>
      </c>
      <c r="AE425" s="256">
        <f t="shared" si="1040"/>
        <v>0</v>
      </c>
      <c r="AF425" s="256">
        <f t="shared" si="1041"/>
        <v>0</v>
      </c>
      <c r="AG425" s="256">
        <f t="shared" si="1047"/>
        <v>0</v>
      </c>
      <c r="AH425" s="257" t="str">
        <f>IF(AL419=3,"",IF(AK425="",IF(AI425="","",IF(AI425="",501,501-AI425)),501))</f>
        <v/>
      </c>
      <c r="AI425" s="256" t="str">
        <f>IF(AL419=3,"",IF(F425&gt;1,F425,IF(F425=0,"",IF(F425="","",""))))</f>
        <v/>
      </c>
      <c r="AJ425" s="256" t="str">
        <f>IF(AL419=3,"",IF(G425&gt;8,G425,IF(G425="","","")))</f>
        <v/>
      </c>
      <c r="AK425" s="256" t="str">
        <f>IF(AL419=3,"",IF(H425&gt;1,H425,IF(H425="","","")))</f>
        <v/>
      </c>
      <c r="AL425" s="256" t="str">
        <f>IF(AL419=3,"",IF(I425&gt;0,I425,IF(I425="","","")))</f>
        <v/>
      </c>
      <c r="AM425" s="258" t="str">
        <f>IF(BK425=0,"","X")</f>
        <v/>
      </c>
      <c r="AN425" s="237"/>
      <c r="AO425" s="237"/>
      <c r="AP425" s="258" t="str">
        <f>IF(BM425=0,"","X")</f>
        <v/>
      </c>
      <c r="AQ425" s="236">
        <f>IF(AL419=3,0,IF(AR425=1,1,IF(AR425=3,1,IF(AR425=2,0,IF(AR425=0,0,0)))))</f>
        <v>0</v>
      </c>
      <c r="AR425" s="256">
        <f t="shared" si="1049"/>
        <v>0</v>
      </c>
      <c r="AS425" s="256">
        <f t="shared" si="1042"/>
        <v>0</v>
      </c>
      <c r="AT425" s="256">
        <f t="shared" si="1043"/>
        <v>0</v>
      </c>
      <c r="AU425" s="256">
        <f t="shared" si="1050"/>
        <v>0</v>
      </c>
      <c r="AV425" s="257" t="str">
        <f>IF(AY425="",IF(AW425="","",IF(AW425="",501,501-AW425)),501)</f>
        <v/>
      </c>
      <c r="AW425" s="256" t="str">
        <f>IF(AL419=3,"",IF(U425&gt;1,U425,IF(U425=0,"",IF(U425="","",""))))</f>
        <v/>
      </c>
      <c r="AX425" s="256" t="str">
        <f>IF(AL419=3,"",IF(V425&gt;8,V425,IF(V425="","","")))</f>
        <v/>
      </c>
      <c r="AY425" s="256" t="str">
        <f>IF(AL419=3,"",IF(W425&gt;1,W425,IF(W425="","","")))</f>
        <v/>
      </c>
      <c r="AZ425" s="256" t="str">
        <f>IF(AL419=3,"",IF(X425&gt;0,X425,IF(X425="","","")))</f>
        <v/>
      </c>
      <c r="BA425" s="258" t="str">
        <f>IF(BL425=0,"","X")</f>
        <v/>
      </c>
      <c r="BK425" s="251">
        <f>IF(AL419=3,0,SUM(DD425,DV425,EY425,ED425,FF425,BQ425,BS425,AC425))</f>
        <v>0</v>
      </c>
      <c r="BL425" s="251">
        <f>IF(AL419=3,0,SUM(DE425,DW425,EE425,FT425,GA425,BR425,BT425,AQ425))</f>
        <v>0</v>
      </c>
      <c r="BM425" s="259">
        <f>IF(AL419=3,0,SUM(DC425,BK425:BL425,AC425,AQ425))</f>
        <v>0</v>
      </c>
      <c r="BN425" s="239">
        <f>COUNT(AK425)</f>
        <v>0</v>
      </c>
      <c r="BO425" s="239">
        <f>COUNT(AY425)</f>
        <v>0</v>
      </c>
      <c r="BP425" s="239">
        <f>IF(BZ427=0,0,1)</f>
        <v>0</v>
      </c>
      <c r="BQ425" s="260">
        <f>IF(AL425="",0,IF(AL425&gt;2,1,0))</f>
        <v>0</v>
      </c>
      <c r="BR425" s="261">
        <f>IF(AZ425="",0,IF(AZ425&gt;2,1,0))</f>
        <v>0</v>
      </c>
      <c r="BS425" s="262">
        <f>IF(AJ425=9,IF(AK425&lt;141,1,0),0)</f>
        <v>0</v>
      </c>
      <c r="BT425" s="263">
        <f>IF(AX425=9,IF(AY425&lt;141,1,0),0)</f>
        <v>0</v>
      </c>
      <c r="BU425" s="242">
        <f>IF(AL419=3,0,IF(H425,G425,0))</f>
        <v>0</v>
      </c>
      <c r="BV425" s="238">
        <f>IF(BU425&gt;0,AJ425/3,0)</f>
        <v>0</v>
      </c>
      <c r="BW425" s="238">
        <f>ROUNDUP(BV425,0)</f>
        <v>0</v>
      </c>
      <c r="BX425" s="244">
        <f>IF(MOD(BW425,2)=0,BW425,BW425+1)</f>
        <v>0</v>
      </c>
      <c r="BY425" s="238">
        <f>IF(AJ425&lt;9,"",SUM(BX425-BW425))</f>
        <v>0</v>
      </c>
      <c r="BZ425" s="238">
        <f>IF(BY425=1,AK425,0)</f>
        <v>0</v>
      </c>
      <c r="CA425" s="243" t="str">
        <f>IF(BY425=0,AK425,0)</f>
        <v/>
      </c>
      <c r="CB425" s="238"/>
      <c r="CC425" s="238"/>
      <c r="CD425" s="242">
        <f>IF(AL419=3,0,IF(W425,V425,0))</f>
        <v>0</v>
      </c>
      <c r="CE425" s="238">
        <f>IF(CD425&gt;0,AX425/3,0)</f>
        <v>0</v>
      </c>
      <c r="CF425" s="238">
        <f>ROUNDUP(CE425,0)</f>
        <v>0</v>
      </c>
      <c r="CG425" s="244">
        <f>IF(MOD(CF425,2)=0,CF425,CF425+1)</f>
        <v>0</v>
      </c>
      <c r="CH425" s="238">
        <f>IF(AX425&lt;9,"",SUM(CG425-CF425))</f>
        <v>0</v>
      </c>
      <c r="CI425" s="238">
        <f>IF(CH425=1,AY425,0)</f>
        <v>0</v>
      </c>
      <c r="CJ425" s="243" t="str">
        <f>IF(CH425=0,AY425,0)</f>
        <v/>
      </c>
      <c r="CK425" s="238"/>
      <c r="CL425" s="245">
        <f>IF(COUNT(F425,H425)=1,0,1)</f>
        <v>1</v>
      </c>
      <c r="CM425" s="245">
        <f>IF(COUNT(F425,U425)=1,0,1)</f>
        <v>1</v>
      </c>
      <c r="CN425" s="245">
        <f>IF(COUNT(H425,W425)=1,0,1)</f>
        <v>1</v>
      </c>
      <c r="CO425" s="245">
        <f>IF(COUNT(G425,V425)=2,0,1)</f>
        <v>1</v>
      </c>
      <c r="CP425" s="245">
        <f>IF(COUNT(U425,W425)=1,0,1)</f>
        <v>1</v>
      </c>
      <c r="CQ425" s="245">
        <f>IF(SUM(G425-V425)&gt;3,1,0)</f>
        <v>0</v>
      </c>
      <c r="CR425" s="245">
        <f>IF(SUM(G425-V425)&lt;-3,1,0)</f>
        <v>0</v>
      </c>
      <c r="CS425" s="264">
        <f>IF(AJ425=9,IF(AH425&lt;141,1,0),IF(AH425="",0,IF(AH425&gt;1,0,1)))</f>
        <v>0</v>
      </c>
      <c r="CT425" s="264">
        <f>IF(AX425=9,IF(AV425&lt;141,1,0),IF(AV425="",0,IF(AV425&gt;1,0,1)))</f>
        <v>0</v>
      </c>
      <c r="CU425" s="264">
        <f>IF(AI425="",0,IF(AI425&lt;502,0,1))</f>
        <v>0</v>
      </c>
      <c r="CV425" s="264">
        <f>IF(AW425="",0,IF(AW425&lt;502,0,1))</f>
        <v>0</v>
      </c>
      <c r="CW425" s="264">
        <f>IF(AI425="",IF(AJ425&lt;9,1,0),IF(AJ425&lt;9,1,0))</f>
        <v>0</v>
      </c>
      <c r="CX425" s="264">
        <f>IF(AW425="",IF(AX425&lt;9,1,0),IF(AX425&lt;9,1,0))</f>
        <v>0</v>
      </c>
      <c r="CY425" s="374"/>
      <c r="CZ425" s="374"/>
      <c r="DA425" s="374"/>
      <c r="DB425" s="374"/>
      <c r="DC425" s="265">
        <f>IF(AJ425="",0,SUM(CL425:CX425))</f>
        <v>0</v>
      </c>
      <c r="DD425" s="265">
        <f>IF(AJ425="",0,SUM(CL425,CS425,CU425,CW425))</f>
        <v>0</v>
      </c>
      <c r="DE425" s="265">
        <f>IF(AJ425="",0,SUM(CP425,CT425,CV425,CX425))</f>
        <v>0</v>
      </c>
      <c r="DF425" s="238"/>
      <c r="DG425" s="248">
        <f>IF(AL419=3,0,SUM(G425-V425))</f>
        <v>0</v>
      </c>
      <c r="DH425" s="245">
        <f>IF(F425="",0,1)</f>
        <v>0</v>
      </c>
      <c r="DI425" s="245">
        <f t="shared" si="1052"/>
        <v>0</v>
      </c>
      <c r="DJ425" s="245">
        <f t="shared" si="1053"/>
        <v>0</v>
      </c>
      <c r="DK425" s="245" t="str">
        <f>IF(G425="","",IF(DJ425=1,"*",""))</f>
        <v/>
      </c>
      <c r="DL425" s="245" t="str">
        <f>IF(AL419=3,"",IF(G425="","",IF(DJ425=-1,"*",IF(DJ425=0,"*",""))))</f>
        <v/>
      </c>
      <c r="DM425" s="245">
        <v>4</v>
      </c>
      <c r="DN425" s="245" t="str">
        <f t="shared" si="1054"/>
        <v>4</v>
      </c>
      <c r="DO425" s="245" t="str">
        <f t="shared" si="1055"/>
        <v>4</v>
      </c>
      <c r="DP425" s="245">
        <f>SUM(DQ422)</f>
        <v>0</v>
      </c>
      <c r="DQ425" s="245">
        <f>SUM(DP422)</f>
        <v>0</v>
      </c>
      <c r="DR425" s="245">
        <f t="shared" si="1062"/>
        <v>0</v>
      </c>
      <c r="DS425" s="245">
        <f t="shared" si="1063"/>
        <v>0</v>
      </c>
      <c r="DT425" s="245">
        <f t="shared" si="1064"/>
        <v>0</v>
      </c>
      <c r="DU425" s="245">
        <f>IF(V425="",0,IF(DQ425=DS425,0,1))</f>
        <v>0</v>
      </c>
      <c r="DV425" s="267">
        <f t="shared" si="1065"/>
        <v>0</v>
      </c>
      <c r="DW425" s="267">
        <f>IF(V425="",0,SUM(DU425))</f>
        <v>0</v>
      </c>
      <c r="DX425" s="238">
        <f>IF(AK425="",0,1)</f>
        <v>0</v>
      </c>
      <c r="DY425" s="238">
        <f>IF(DG425=-3,1,0)</f>
        <v>0</v>
      </c>
      <c r="DZ425" s="238">
        <f>SUM(DX425:DY425)</f>
        <v>0</v>
      </c>
      <c r="EA425" s="238">
        <f>IF(AK425="",1,0)</f>
        <v>1</v>
      </c>
      <c r="EB425" s="238">
        <f>IF(DG425=3,1,0)</f>
        <v>0</v>
      </c>
      <c r="EC425" s="238">
        <f>SUM(EA425:EB425)</f>
        <v>1</v>
      </c>
      <c r="ED425" s="267">
        <f>IF(EC425=2,1,0)</f>
        <v>0</v>
      </c>
      <c r="EE425" s="267">
        <f>IF(DZ425=2,1,0)</f>
        <v>0</v>
      </c>
      <c r="EG425" s="166"/>
      <c r="EH425" s="238"/>
      <c r="EI425" s="238"/>
      <c r="EJ425" s="238"/>
      <c r="EK425" s="238"/>
      <c r="EL425" s="238"/>
      <c r="EM425" s="245">
        <f>IF(AK425="",0,1)</f>
        <v>0</v>
      </c>
      <c r="EN425" s="245">
        <f>SUM(AK425)</f>
        <v>0</v>
      </c>
      <c r="EO425" s="268">
        <f>SUM(AJ425)</f>
        <v>0</v>
      </c>
      <c r="EP425" s="268">
        <f>SUM(G425/3)</f>
        <v>0</v>
      </c>
      <c r="EQ425" s="268" t="e">
        <f>SUM(EO425/EP425)</f>
        <v>#DIV/0!</v>
      </c>
      <c r="ER425" s="268">
        <f>ROUNDDOWN(EP425,0)</f>
        <v>0</v>
      </c>
      <c r="ES425" s="268">
        <f>SUM(EO425,-ER425*3)</f>
        <v>0</v>
      </c>
      <c r="ET425" s="269" t="b">
        <f>MOD(EN425/1,2)=0</f>
        <v>1</v>
      </c>
      <c r="EU425" s="245">
        <f>IF(ET425=FALSE,1,0)</f>
        <v>0</v>
      </c>
      <c r="EV425" s="245">
        <f>IF(EN425=50,0,IF(EN425&lt;40,1,0))</f>
        <v>1</v>
      </c>
      <c r="EW425" s="245">
        <f>SUM(EU425:EV425)</f>
        <v>1</v>
      </c>
      <c r="EX425" s="267">
        <f>IF(EN425=1,1,IF(EN425=50,0,IF(ES425=1,IF(EN425&gt;40,1,0),0)))</f>
        <v>0</v>
      </c>
      <c r="EY425" s="267">
        <f>IF(ES425=1,IF(EW425=2,1,0),0)+EX425+FB425+FE425</f>
        <v>0</v>
      </c>
      <c r="EZ425" s="245">
        <f>IF(EN425=109,1,IF(EN425=108,1,IF(EN425=106,1,IF(EN425=105,1,IF(EN425=103,1,IF(EN425=102,1,IF(EN425=99,1,0)))))))</f>
        <v>0</v>
      </c>
      <c r="FA425" s="245">
        <f>IF(EN425&gt;110,1,0)</f>
        <v>0</v>
      </c>
      <c r="FB425" s="267">
        <f>IF(ES425=2,SUM(EZ425:FA425),0)</f>
        <v>0</v>
      </c>
      <c r="FC425" s="245">
        <f>IF(EN425=159,1,IF(EN425=162,1,IF(EN425=163,1,IF(EN425=165,1,IF(EN425=166,1,IF(EN425=168,1,IF(EN425=169,1,0)))))))</f>
        <v>0</v>
      </c>
      <c r="FD425" s="245">
        <f>IF(EN425&gt;170,1,0)</f>
        <v>0</v>
      </c>
      <c r="FE425" s="267">
        <f>IF(ES425=0,SUM(FC425:FD425),0)</f>
        <v>0</v>
      </c>
      <c r="FF425" s="251">
        <f t="shared" si="1056"/>
        <v>0</v>
      </c>
      <c r="FG425" s="238"/>
      <c r="FH425" s="245">
        <f>IF(AY425="",0,1)</f>
        <v>0</v>
      </c>
      <c r="FI425" s="245">
        <f>SUM(AY425)</f>
        <v>0</v>
      </c>
      <c r="FJ425" s="268">
        <f>SUM(AX425)</f>
        <v>0</v>
      </c>
      <c r="FK425" s="268">
        <f>SUM(V425/3)</f>
        <v>0</v>
      </c>
      <c r="FL425" s="268" t="e">
        <f>SUM(FJ425/FK425)</f>
        <v>#DIV/0!</v>
      </c>
      <c r="FM425" s="268">
        <f>ROUNDDOWN(FK425,0)</f>
        <v>0</v>
      </c>
      <c r="FN425" s="268">
        <f>SUM(FJ425,-FM425*3)</f>
        <v>0</v>
      </c>
      <c r="FO425" s="269" t="b">
        <f>MOD(FI425/1,2)=0</f>
        <v>1</v>
      </c>
      <c r="FP425" s="245">
        <f>IF(FO425=FALSE,1,0)</f>
        <v>0</v>
      </c>
      <c r="FQ425" s="245">
        <f>IF(FI425=50,0,IF(FI425&lt;40,1,0))</f>
        <v>1</v>
      </c>
      <c r="FR425" s="245">
        <f>SUM(FP425:FQ425)</f>
        <v>1</v>
      </c>
      <c r="FS425" s="267">
        <f>IF(FI425=1,1,IF(FI425=50,0,IF(FN425=1,IF(FI425&gt;40,1,0),0)))</f>
        <v>0</v>
      </c>
      <c r="FT425" s="267">
        <f>IF(FN425=1,IF(FR425=2,1,0),0)+FS425+FW425+FZ425</f>
        <v>0</v>
      </c>
      <c r="FU425" s="245">
        <f>IF(FI425=109,1,IF(FI425=108,1,IF(FI425=106,1,IF(FI425=105,1,IF(FI425=103,1,IF(FI425=102,1,IF(FI425=99,1,0)))))))</f>
        <v>0</v>
      </c>
      <c r="FV425" s="245">
        <f>IF(FI425&gt;110,1,0)</f>
        <v>0</v>
      </c>
      <c r="FW425" s="267">
        <f>IF(FN425=2,SUM(FU425:FV425),0)</f>
        <v>0</v>
      </c>
      <c r="FX425" s="245">
        <f>IF(FI425=159,1,IF(FI425=162,1,IF(FI425=163,1,IF(FI425=165,1,IF(FI425=166,1,IF(FI425=168,1,IF(FI425=169,1,0)))))))</f>
        <v>0</v>
      </c>
      <c r="FY425" s="245">
        <f>IF(FI425&gt;170,1,0)</f>
        <v>0</v>
      </c>
      <c r="FZ425" s="267">
        <f>IF(FN425=0,SUM(FX425:FY425),0)</f>
        <v>0</v>
      </c>
      <c r="GA425" s="251">
        <f t="shared" si="1057"/>
        <v>0</v>
      </c>
      <c r="GC425" s="238" t="str">
        <f>VLOOKUP(AH419,Chema!BL:BR,4,FALSE)</f>
        <v/>
      </c>
      <c r="GD425" s="341">
        <f>IF(T429="FORFAIT",1,0)</f>
        <v>0</v>
      </c>
      <c r="GE425" s="343" t="str">
        <f>IF(R429="","",SUM(R429))</f>
        <v/>
      </c>
      <c r="GF425" s="344">
        <f>SUM(AV422)</f>
        <v>0</v>
      </c>
      <c r="GG425" s="344">
        <f>SUM(AX422)</f>
        <v>0</v>
      </c>
      <c r="GH425" s="344">
        <f t="shared" ref="GH425" si="1066">SUM(AY422)</f>
        <v>0</v>
      </c>
      <c r="GI425" s="344">
        <f t="shared" ref="GI425" si="1067">SUM(AZ422)</f>
        <v>0</v>
      </c>
      <c r="GJ425" s="344">
        <f>SUM(AV423)</f>
        <v>0</v>
      </c>
      <c r="GK425" s="344">
        <f>SUM(AX423)</f>
        <v>0</v>
      </c>
      <c r="GL425" s="344">
        <f>SUM(AY423)</f>
        <v>0</v>
      </c>
      <c r="GM425" s="344">
        <f>SUM(AZ423)</f>
        <v>0</v>
      </c>
      <c r="GN425" s="344">
        <f>SUM(AV424)</f>
        <v>0</v>
      </c>
      <c r="GO425" s="344">
        <f>SUM(AX424)</f>
        <v>0</v>
      </c>
      <c r="GP425" s="344">
        <f>SUM(AY424)</f>
        <v>0</v>
      </c>
      <c r="GQ425" s="344">
        <f>SUM(AZ424)</f>
        <v>0</v>
      </c>
      <c r="GR425" s="344">
        <f>SUM(AV425)</f>
        <v>0</v>
      </c>
      <c r="GS425" s="344">
        <f>SUM(AX425)</f>
        <v>0</v>
      </c>
      <c r="GT425" s="344">
        <f>SUM(AY425)</f>
        <v>0</v>
      </c>
      <c r="GU425" s="344">
        <f>SUM(AZ425)</f>
        <v>0</v>
      </c>
      <c r="GV425" s="344">
        <f>SUM(AV426)</f>
        <v>0</v>
      </c>
      <c r="GW425" s="344">
        <f>SUM(AX426)</f>
        <v>0</v>
      </c>
      <c r="GX425" s="344">
        <f>SUM(AY426)</f>
        <v>0</v>
      </c>
      <c r="GY425" s="344">
        <f>SUM(AZ426)</f>
        <v>0</v>
      </c>
      <c r="GZ425" s="344">
        <f>SUM(GF425,GJ425,GN425,GR425,GV425)</f>
        <v>0</v>
      </c>
      <c r="HA425" s="344">
        <f t="shared" ref="HA425" si="1068">SUM(GG425,GK425,GO425,GS425,GW425)</f>
        <v>0</v>
      </c>
      <c r="HB425" s="344">
        <f>IF(GD422=1,P429,MAX(GH425,GL425,GP425,GT425,GX425))</f>
        <v>0</v>
      </c>
      <c r="HC425" s="344">
        <f>IF(GD422=1,X429,SUM(GI425,GM425,GQ425,GU425,GY425))</f>
        <v>0</v>
      </c>
      <c r="HD425" s="345">
        <f>IF(GD422=1,0,SUM(GF425,GJ425,GN425,GR425,GV425))</f>
        <v>0</v>
      </c>
      <c r="HE425" s="345">
        <f>IF(GD422=1,0,SUM(GG425,GK425,GO425,GS425,GW425))</f>
        <v>0</v>
      </c>
      <c r="HF425" s="341">
        <f>IF(GD422=1,0,MIN(HI425,HJ425,HK425,HL425,HM425))</f>
        <v>0</v>
      </c>
      <c r="HG425" s="341">
        <f>IF(HF425=0,0,COUNTIF(HI425:HM425,HF425))</f>
        <v>0</v>
      </c>
      <c r="HH425" s="341">
        <f>SUM(GH426,GL426,GP426,GT426,GX426)</f>
        <v>0</v>
      </c>
      <c r="HI425" s="343" t="str">
        <f>IF(GH426=1,GG425,"")</f>
        <v/>
      </c>
      <c r="HJ425" s="343" t="str">
        <f>IF(GL426=1,GK425,"")</f>
        <v/>
      </c>
      <c r="HK425" s="343" t="str">
        <f>IF(GP426=1,GO425,"")</f>
        <v/>
      </c>
      <c r="HL425" s="343" t="str">
        <f>IF(GT426=1,GS425,"")</f>
        <v/>
      </c>
      <c r="HM425" s="343" t="str">
        <f>IF(GX426=1,GW425,"")</f>
        <v/>
      </c>
      <c r="HN425" s="341"/>
      <c r="HO425" s="341"/>
      <c r="HP425" s="341"/>
      <c r="HQ425" s="341"/>
      <c r="HR425" s="341"/>
      <c r="HS425" s="238"/>
      <c r="HT425" s="238"/>
      <c r="HU425" s="238"/>
      <c r="HV425" s="238"/>
      <c r="HW425" s="238">
        <f>IFERROR(IF(GD422=0,SUM(IB424:IC424),""),"")</f>
        <v>0</v>
      </c>
      <c r="HY425" s="238"/>
      <c r="ID425" s="238"/>
    </row>
    <row r="426" spans="1:238" s="234" customFormat="1" ht="20.100000000000001" customHeight="1">
      <c r="A426" s="235"/>
      <c r="B426" s="231">
        <f>COUNT(AJ427,AJ426)</f>
        <v>1</v>
      </c>
      <c r="C426" s="235"/>
      <c r="D426" s="271" t="str">
        <f>REPT(DN426,1)</f>
        <v>5</v>
      </c>
      <c r="E426" s="254" t="str">
        <f>REPT(AH426,1)</f>
        <v/>
      </c>
      <c r="F426" s="168"/>
      <c r="G426" s="168"/>
      <c r="H426" s="168"/>
      <c r="I426" s="169"/>
      <c r="J426" s="272" t="str">
        <f>REPT(AM426,1)</f>
        <v/>
      </c>
      <c r="L426" s="310"/>
      <c r="M426" s="310"/>
      <c r="N426" s="272" t="str">
        <f>REPT(AP426,1)</f>
        <v/>
      </c>
      <c r="O426" s="118"/>
      <c r="Q426" s="310"/>
      <c r="R426" s="235"/>
      <c r="S426" s="271" t="str">
        <f>REPT(DO426,1)</f>
        <v>5</v>
      </c>
      <c r="T426" s="254" t="str">
        <f>REPT(AV426,1)</f>
        <v/>
      </c>
      <c r="U426" s="168"/>
      <c r="V426" s="168"/>
      <c r="W426" s="168"/>
      <c r="X426" s="169"/>
      <c r="Y426" s="272" t="str">
        <f>REPT(BA426,1)</f>
        <v/>
      </c>
      <c r="Z426" s="308"/>
      <c r="AA426" s="238">
        <f>SUM(AL419)</f>
        <v>0</v>
      </c>
      <c r="AB426" s="234">
        <f>IF(AY426="",0,IF(AY426&lt;2,1,""))</f>
        <v>0</v>
      </c>
      <c r="AC426" s="238">
        <f>IF(AL419=3,0,IF(AD426=1,1,IF(AD426=3,1,IF(AD426=2,0,IF(AD426=0,0,0)))))</f>
        <v>0</v>
      </c>
      <c r="AD426" s="256">
        <f t="shared" si="1046"/>
        <v>0</v>
      </c>
      <c r="AE426" s="256">
        <f t="shared" si="1040"/>
        <v>0</v>
      </c>
      <c r="AF426" s="256">
        <f t="shared" si="1041"/>
        <v>0</v>
      </c>
      <c r="AG426" s="256">
        <f t="shared" si="1047"/>
        <v>0</v>
      </c>
      <c r="AH426" s="257" t="str">
        <f>IF(AL419=3,"",IF(AK426="",IF(AI426="","",IF(AI426="",501,501-AI426)),501))</f>
        <v/>
      </c>
      <c r="AI426" s="256" t="str">
        <f>IF(AL419=3,"",IF(F426&gt;1,F426,IF(F426=0,"",IF(F426="","",""))))</f>
        <v/>
      </c>
      <c r="AJ426" s="256" t="str">
        <f>IF(AL419=3,"",IF(G426&gt;8,G426,IF(G426="","","")))</f>
        <v/>
      </c>
      <c r="AK426" s="256" t="str">
        <f>IF(AL419=3,"",IF(H426&gt;1,H426,IF(H426="","","")))</f>
        <v/>
      </c>
      <c r="AL426" s="256" t="str">
        <f>IF(AL419=3,"",IF(I426&gt;0,I426,IF(I426="","","")))</f>
        <v/>
      </c>
      <c r="AM426" s="258" t="str">
        <f>IF(BK426=0,"","X")</f>
        <v/>
      </c>
      <c r="AN426" s="237"/>
      <c r="AO426" s="237"/>
      <c r="AP426" s="258" t="str">
        <f>IF(BM426=0,"","X")</f>
        <v/>
      </c>
      <c r="AQ426" s="236">
        <f>IF(AL419=3,0,IF(AR426=1,1,IF(AR426=3,1,IF(AR426=2,0,IF(AR426=0,0,0)))))</f>
        <v>0</v>
      </c>
      <c r="AR426" s="256">
        <f t="shared" si="1049"/>
        <v>0</v>
      </c>
      <c r="AS426" s="256">
        <f t="shared" si="1042"/>
        <v>0</v>
      </c>
      <c r="AT426" s="256">
        <f t="shared" si="1043"/>
        <v>0</v>
      </c>
      <c r="AU426" s="256">
        <f t="shared" si="1050"/>
        <v>0</v>
      </c>
      <c r="AV426" s="257" t="str">
        <f>IF(AY426="",IF(AW426="","",IF(AW426="",501,501-AW426)),501)</f>
        <v/>
      </c>
      <c r="AW426" s="256" t="str">
        <f>IF(AL419=3,"",IF(U426&gt;1,U426,IF(U426=0,"",IF(U426="","",""))))</f>
        <v/>
      </c>
      <c r="AX426" s="256" t="str">
        <f>IF(AL419=3,"",IF(V426&gt;8,V426,IF(V426="","","")))</f>
        <v/>
      </c>
      <c r="AY426" s="256" t="str">
        <f>IF(AL419=3,"",IF(W426&gt;1,W426,IF(W426="","","")))</f>
        <v/>
      </c>
      <c r="AZ426" s="256" t="str">
        <f>IF(AL419=3,"",IF(X426&gt;0,X426,IF(X426="","","")))</f>
        <v/>
      </c>
      <c r="BA426" s="258" t="str">
        <f>IF(BL426=0,"","X")</f>
        <v/>
      </c>
      <c r="BK426" s="251">
        <f>IF(AL419=3,0,SUM(DD426,DV426,EY426,ED426,FF426,BQ426,BS426,AC426))</f>
        <v>0</v>
      </c>
      <c r="BL426" s="251">
        <f>SUM(DE426,DW426,EE426,FT426,GA426,BR426,BT426,AQ426)</f>
        <v>0</v>
      </c>
      <c r="BM426" s="259">
        <f>IF(AL419=3,0,SUM(DC426,BK426:BL426,AC426,AQ426))</f>
        <v>0</v>
      </c>
      <c r="BN426" s="239">
        <f>COUNT(AK426)</f>
        <v>0</v>
      </c>
      <c r="BO426" s="239">
        <f>COUNT(AY426)</f>
        <v>0</v>
      </c>
      <c r="BP426" s="239">
        <f>IF(BN428=0,0,1)</f>
        <v>0</v>
      </c>
      <c r="BQ426" s="260">
        <f>IF(AL426="",0,IF(AL426&gt;2,1,0))</f>
        <v>0</v>
      </c>
      <c r="BR426" s="261">
        <f>IF(AZ426="",0,IF(AZ426&gt;2,1,0))</f>
        <v>0</v>
      </c>
      <c r="BS426" s="262">
        <f>IF(AJ426=9,IF(AK426&lt;141,1,0),0)</f>
        <v>0</v>
      </c>
      <c r="BT426" s="263">
        <f>IF(AX426=9,IF(AY426&lt;141,1,0),0)</f>
        <v>0</v>
      </c>
      <c r="BU426" s="242">
        <f>IF(AL419=3,0,IF(H426,G426,0))</f>
        <v>0</v>
      </c>
      <c r="BV426" s="238">
        <f>IF(BU426&gt;0,AJ426/3,0)</f>
        <v>0</v>
      </c>
      <c r="BW426" s="238">
        <f>ROUNDUP(BV426,0)</f>
        <v>0</v>
      </c>
      <c r="BX426" s="244">
        <f>IF(MOD(BW426,2)=0,BW426,BW426+1)</f>
        <v>0</v>
      </c>
      <c r="BY426" s="238">
        <f>IF(AJ426&lt;9,"",SUM(BX426-BW426))</f>
        <v>0</v>
      </c>
      <c r="BZ426" s="238">
        <f>IF(BY426=1,AK426,0)</f>
        <v>0</v>
      </c>
      <c r="CA426" s="243" t="str">
        <f>IF(BY426=0,AK426,0)</f>
        <v/>
      </c>
      <c r="CB426" s="238"/>
      <c r="CC426" s="238"/>
      <c r="CD426" s="242">
        <f>IF(AL419=3,0,IF(W426,V426,0))</f>
        <v>0</v>
      </c>
      <c r="CE426" s="238">
        <f>IF(CD426&gt;0,AX426/3,0)</f>
        <v>0</v>
      </c>
      <c r="CF426" s="238">
        <f>ROUNDUP(CE426,0)</f>
        <v>0</v>
      </c>
      <c r="CG426" s="244">
        <f>IF(MOD(CF426,2)=0,CF426,CF426+1)</f>
        <v>0</v>
      </c>
      <c r="CH426" s="238">
        <f>IF(AX426&lt;9,"",SUM(CG426-CF426))</f>
        <v>0</v>
      </c>
      <c r="CI426" s="238">
        <f>IF(CH426=1,AY426,0)</f>
        <v>0</v>
      </c>
      <c r="CJ426" s="243" t="str">
        <f>IF(CH426=0,AY426,0)</f>
        <v/>
      </c>
      <c r="CK426" s="238"/>
      <c r="CL426" s="245">
        <f>IF(COUNT(F426,H426)=1,0,1)</f>
        <v>1</v>
      </c>
      <c r="CM426" s="245">
        <f>IF(COUNT(F426,U426)=1,0,1)</f>
        <v>1</v>
      </c>
      <c r="CN426" s="245">
        <f>IF(COUNT(H426,W426)=1,0,1)</f>
        <v>1</v>
      </c>
      <c r="CO426" s="245">
        <f>IF(COUNT(G426,V426)=2,0,1)</f>
        <v>1</v>
      </c>
      <c r="CP426" s="245">
        <f>IF(COUNT(U426,W426)=1,0,1)</f>
        <v>1</v>
      </c>
      <c r="CQ426" s="245">
        <f>IF(SUM(G426-V426)&gt;3,1,0)</f>
        <v>0</v>
      </c>
      <c r="CR426" s="245">
        <f>IF(SUM(G426-V426)&lt;-3,1,0)</f>
        <v>0</v>
      </c>
      <c r="CS426" s="264">
        <f>IF(AJ426=9,IF(AH426&lt;141,1,0),IF(AH426="",0,IF(AH426&gt;1,0,1)))</f>
        <v>0</v>
      </c>
      <c r="CT426" s="264">
        <f>IF(AX426=9,IF(AV426&lt;141,1,0),IF(AV426="",0,IF(AV426&gt;1,0,1)))</f>
        <v>0</v>
      </c>
      <c r="CU426" s="264">
        <f>IF(AI426="",0,IF(AI426&lt;502,0,1))</f>
        <v>0</v>
      </c>
      <c r="CV426" s="264">
        <f>IF(AW426="",0,IF(AW426&lt;502,0,1))</f>
        <v>0</v>
      </c>
      <c r="CW426" s="264">
        <f>IF(AI426="",IF(AJ426&lt;9,1,0),IF(AJ426&lt;9,1,0))</f>
        <v>0</v>
      </c>
      <c r="CX426" s="264">
        <f>IF(AW426="",IF(AX426&lt;9,1,0),IF(AX426&lt;9,1,0))</f>
        <v>0</v>
      </c>
      <c r="CY426" s="374"/>
      <c r="CZ426" s="374"/>
      <c r="DA426" s="374"/>
      <c r="DB426" s="374"/>
      <c r="DC426" s="265">
        <f>IF(AJ426="",0,SUM(CL426:CX426))</f>
        <v>0</v>
      </c>
      <c r="DD426" s="265">
        <f>IF(AJ426="",0,SUM(CL426,CS426,CU426,CW426))</f>
        <v>0</v>
      </c>
      <c r="DE426" s="265">
        <f>IF(AJ426="",0,SUM(CP426,CT426,CV426,CX426))</f>
        <v>0</v>
      </c>
      <c r="DF426" s="238"/>
      <c r="DG426" s="248">
        <f>IF(AL419=3,0,SUM(G426-V426))</f>
        <v>0</v>
      </c>
      <c r="DH426" s="245">
        <f>IF(F426="",0,1)</f>
        <v>0</v>
      </c>
      <c r="DI426" s="245">
        <f t="shared" si="1052"/>
        <v>0</v>
      </c>
      <c r="DJ426" s="245">
        <f t="shared" si="1053"/>
        <v>0</v>
      </c>
      <c r="DK426" s="245" t="str">
        <f>IF(G426="","",IF(DJ426=1,"*",""))</f>
        <v/>
      </c>
      <c r="DL426" s="245" t="str">
        <f>IF(AL419=3,"",IF(G426="","",IF(DJ426=-1,"*",IF(DJ426=0,"*",""))))</f>
        <v/>
      </c>
      <c r="DM426" s="245">
        <v>5</v>
      </c>
      <c r="DN426" s="245" t="str">
        <f t="shared" si="1054"/>
        <v>5</v>
      </c>
      <c r="DO426" s="245" t="str">
        <f t="shared" si="1055"/>
        <v>5</v>
      </c>
      <c r="DP426" s="245">
        <f>SUM(DP422)</f>
        <v>0</v>
      </c>
      <c r="DQ426" s="245">
        <f>SUM(DQ422)</f>
        <v>0</v>
      </c>
      <c r="DR426" s="245">
        <f t="shared" si="1062"/>
        <v>0</v>
      </c>
      <c r="DS426" s="245">
        <f t="shared" si="1063"/>
        <v>0</v>
      </c>
      <c r="DT426" s="245">
        <f t="shared" si="1064"/>
        <v>0</v>
      </c>
      <c r="DU426" s="245">
        <f>IF(V426="",0,IF(DQ426=DS426,0,1))</f>
        <v>0</v>
      </c>
      <c r="DV426" s="267">
        <f t="shared" si="1065"/>
        <v>0</v>
      </c>
      <c r="DW426" s="267">
        <f>IF(V426="",0,SUM(DU426))</f>
        <v>0</v>
      </c>
      <c r="DX426" s="238">
        <f>IF(AK426="",0,1)</f>
        <v>0</v>
      </c>
      <c r="DY426" s="238">
        <f>IF(DG426=-3,1,0)</f>
        <v>0</v>
      </c>
      <c r="DZ426" s="238">
        <f>SUM(DX426:DY426)</f>
        <v>0</v>
      </c>
      <c r="EA426" s="238">
        <f>IF(AK426="",1,0)</f>
        <v>1</v>
      </c>
      <c r="EB426" s="238">
        <f>IF(DG426=3,1,0)</f>
        <v>0</v>
      </c>
      <c r="EC426" s="238">
        <f>SUM(EA426:EB426)</f>
        <v>1</v>
      </c>
      <c r="ED426" s="267">
        <f>IF(EC426=2,1,0)</f>
        <v>0</v>
      </c>
      <c r="EE426" s="267">
        <f>IF(DZ426=2,1,0)</f>
        <v>0</v>
      </c>
      <c r="EG426" s="166"/>
      <c r="EH426" s="238"/>
      <c r="EI426" s="238"/>
      <c r="EJ426" s="238"/>
      <c r="EK426" s="238"/>
      <c r="EL426" s="238"/>
      <c r="EM426" s="245">
        <f>IF(AK426="",0,1)</f>
        <v>0</v>
      </c>
      <c r="EN426" s="245">
        <f>SUM(AK426)</f>
        <v>0</v>
      </c>
      <c r="EO426" s="268">
        <f>SUM(AJ426)</f>
        <v>0</v>
      </c>
      <c r="EP426" s="268">
        <f>SUM(G426/3)</f>
        <v>0</v>
      </c>
      <c r="EQ426" s="268" t="e">
        <f>SUM(EO426/EP426)</f>
        <v>#DIV/0!</v>
      </c>
      <c r="ER426" s="268">
        <f>ROUNDDOWN(EP426,0)</f>
        <v>0</v>
      </c>
      <c r="ES426" s="268">
        <f>SUM(EO426,-ER426*3)</f>
        <v>0</v>
      </c>
      <c r="ET426" s="269" t="b">
        <f>MOD(EN426/1,2)=0</f>
        <v>1</v>
      </c>
      <c r="EU426" s="245">
        <f>IF(ET426=FALSE,1,0)</f>
        <v>0</v>
      </c>
      <c r="EV426" s="245">
        <f>IF(EN426=50,0,IF(EN426&lt;40,1,0))</f>
        <v>1</v>
      </c>
      <c r="EW426" s="245">
        <f>SUM(EU426:EV426)</f>
        <v>1</v>
      </c>
      <c r="EX426" s="267">
        <f>IF(EN426=1,1,IF(EN426=50,0,IF(ES426=1,IF(EN426&gt;40,1,0),0)))</f>
        <v>0</v>
      </c>
      <c r="EY426" s="267">
        <f>IF(ES426=1,IF(EW426=2,1,0),0)+EX426+FB426+FE426</f>
        <v>0</v>
      </c>
      <c r="EZ426" s="245">
        <f>IF(EN426=109,1,IF(EN426=108,1,IF(EN426=106,1,IF(EN426=105,1,IF(EN426=103,1,IF(EN426=102,1,IF(EN426=99,1,0)))))))</f>
        <v>0</v>
      </c>
      <c r="FA426" s="245">
        <f>IF(EN426&gt;110,1,0)</f>
        <v>0</v>
      </c>
      <c r="FB426" s="267">
        <f>IF(ES426=2,SUM(EZ426:FA426),0)</f>
        <v>0</v>
      </c>
      <c r="FC426" s="245">
        <f>IF(EN426=159,1,IF(EN426=162,1,IF(EN426=163,1,IF(EN426=165,1,IF(EN426=166,1,IF(EN426=168,1,IF(EN426=169,1,0)))))))</f>
        <v>0</v>
      </c>
      <c r="FD426" s="245">
        <f>IF(EN426&gt;170,1,0)</f>
        <v>0</v>
      </c>
      <c r="FE426" s="267">
        <f>IF(ES426=0,SUM(FC426:FD426),0)</f>
        <v>0</v>
      </c>
      <c r="FF426" s="251">
        <f t="shared" si="1056"/>
        <v>0</v>
      </c>
      <c r="FG426" s="238"/>
      <c r="FH426" s="245">
        <f>IF(AY426="",0,1)</f>
        <v>0</v>
      </c>
      <c r="FI426" s="245">
        <f>SUM(AY426)</f>
        <v>0</v>
      </c>
      <c r="FJ426" s="268">
        <f>SUM(AX426)</f>
        <v>0</v>
      </c>
      <c r="FK426" s="268">
        <f>SUM(V426/3)</f>
        <v>0</v>
      </c>
      <c r="FL426" s="268" t="e">
        <f>SUM(FJ426/FK426)</f>
        <v>#DIV/0!</v>
      </c>
      <c r="FM426" s="268">
        <f>ROUNDDOWN(FK426,0)</f>
        <v>0</v>
      </c>
      <c r="FN426" s="268">
        <f>SUM(FJ426,-FM426*3)</f>
        <v>0</v>
      </c>
      <c r="FO426" s="269" t="b">
        <f>MOD(FI426/1,2)=0</f>
        <v>1</v>
      </c>
      <c r="FP426" s="245">
        <f>IF(FO426=FALSE,1,0)</f>
        <v>0</v>
      </c>
      <c r="FQ426" s="245">
        <f>IF(FI426=50,0,IF(FI426&lt;40,1,0))</f>
        <v>1</v>
      </c>
      <c r="FR426" s="245">
        <f>SUM(FP426:FQ426)</f>
        <v>1</v>
      </c>
      <c r="FS426" s="267">
        <f>IF(FI426=1,1,IF(FI426=50,0,IF(FN426=1,IF(FI426&gt;40,1,0),0)))</f>
        <v>0</v>
      </c>
      <c r="FT426" s="267">
        <f>IF(FN426=1,IF(FR426=2,1,0),0)+FS426+FW426+FZ426</f>
        <v>0</v>
      </c>
      <c r="FU426" s="245">
        <f>IF(FI426=109,1,IF(FI426=108,1,IF(FI426=106,1,IF(FI426=105,1,IF(FI426=103,1,IF(FI426=102,1,IF(FI426=99,1,0)))))))</f>
        <v>0</v>
      </c>
      <c r="FV426" s="245">
        <f>IF(FI426&gt;110,1,0)</f>
        <v>0</v>
      </c>
      <c r="FW426" s="267">
        <f>IF(FN426=2,SUM(FU426:FV426),0)</f>
        <v>0</v>
      </c>
      <c r="FX426" s="245">
        <f>IF(FI426=159,1,IF(FI426=162,1,IF(FI426=163,1,IF(FI426=165,1,IF(FI426=166,1,IF(FI426=168,1,IF(FI426=169,1,0)))))))</f>
        <v>0</v>
      </c>
      <c r="FY426" s="245">
        <f>IF(FI426&gt;170,1,0)</f>
        <v>0</v>
      </c>
      <c r="FZ426" s="267">
        <f>IF(FN426=0,SUM(FX426:FY426),0)</f>
        <v>0</v>
      </c>
      <c r="GA426" s="251">
        <f t="shared" si="1057"/>
        <v>0</v>
      </c>
      <c r="GC426" s="238" t="str">
        <f>VLOOKUP(AH419,Chema!BL:BR,5,FALSE)</f>
        <v/>
      </c>
      <c r="GD426" s="341"/>
      <c r="GE426" s="343" t="str">
        <f>IF(R430="","",SUM(R430))</f>
        <v/>
      </c>
      <c r="GF426" s="340"/>
      <c r="GG426" s="346"/>
      <c r="GH426" s="343">
        <f>IF(GH425&gt;0,1,0)</f>
        <v>0</v>
      </c>
      <c r="GI426" s="346"/>
      <c r="GJ426" s="343"/>
      <c r="GK426" s="346"/>
      <c r="GL426" s="343">
        <f>IF(GL425&gt;0,1,0)</f>
        <v>0</v>
      </c>
      <c r="GM426" s="343"/>
      <c r="GN426" s="343"/>
      <c r="GO426" s="346"/>
      <c r="GP426" s="343">
        <f>IF(GP425&gt;0,1,0)</f>
        <v>0</v>
      </c>
      <c r="GQ426" s="343"/>
      <c r="GR426" s="343"/>
      <c r="GS426" s="346"/>
      <c r="GT426" s="343">
        <f>IF(GT425&gt;0,1,0)</f>
        <v>0</v>
      </c>
      <c r="GU426" s="343"/>
      <c r="GV426" s="343"/>
      <c r="GW426" s="346"/>
      <c r="GX426" s="343">
        <f>IF(GX425&gt;0,1,0)</f>
        <v>0</v>
      </c>
      <c r="GY426" s="340"/>
      <c r="GZ426" s="343"/>
      <c r="HA426" s="343"/>
      <c r="HB426" s="343" t="str">
        <f>IF(GD422=1,P430,"")</f>
        <v/>
      </c>
      <c r="HC426" s="343" t="str">
        <f>IF(GD422=1,X430,"")</f>
        <v/>
      </c>
      <c r="HD426" s="340"/>
      <c r="HE426" s="340"/>
      <c r="HF426" s="340"/>
      <c r="HG426" s="340">
        <f>IF(HG424=HM422,0,IF(HG424=HM426,0,1))</f>
        <v>0</v>
      </c>
      <c r="HH426" s="340">
        <f>IF(HH423=HH425,1,0)</f>
        <v>1</v>
      </c>
      <c r="HI426" s="340"/>
      <c r="HJ426" s="340"/>
      <c r="HK426" s="340"/>
      <c r="HL426" s="340"/>
      <c r="HM426" s="341">
        <f>COUNT(HI425,HJ425,HK425,HL425,HM425)</f>
        <v>0</v>
      </c>
      <c r="HN426" s="341"/>
      <c r="HO426" s="341"/>
      <c r="HP426" s="341"/>
      <c r="HQ426" s="341"/>
      <c r="HR426" s="341"/>
      <c r="HS426" s="238"/>
      <c r="HT426" s="238"/>
      <c r="HU426" s="238"/>
      <c r="HV426" s="238"/>
      <c r="HX426" s="238"/>
      <c r="HY426" s="238"/>
      <c r="ID426" s="238"/>
    </row>
    <row r="427" spans="1:238" s="234" customFormat="1" ht="6.6" customHeight="1">
      <c r="A427" s="235"/>
      <c r="B427" s="231"/>
      <c r="C427" s="310"/>
      <c r="D427" s="310"/>
      <c r="E427" s="310"/>
      <c r="F427" s="310"/>
      <c r="G427" s="313"/>
      <c r="H427" s="310"/>
      <c r="I427" s="310"/>
      <c r="J427" s="273"/>
      <c r="K427" s="313"/>
      <c r="O427" s="118"/>
      <c r="R427" s="310"/>
      <c r="S427" s="310"/>
      <c r="T427" s="310"/>
      <c r="U427" s="310"/>
      <c r="V427" s="313"/>
      <c r="W427" s="310"/>
      <c r="X427" s="310"/>
      <c r="Y427" s="273"/>
      <c r="Z427" s="308"/>
      <c r="AA427" s="274"/>
      <c r="AD427" s="235"/>
      <c r="AE427" s="237">
        <f>IF(AF427=0,0,1)</f>
        <v>0</v>
      </c>
      <c r="AF427" s="237">
        <f>IF(AL427=0,0,SUM(AL429:AL430,-AL428))</f>
        <v>0</v>
      </c>
      <c r="AG427" s="237"/>
      <c r="AH427" s="275">
        <f>SUM(AH422,AH423,AH424,AH425,AH426)</f>
        <v>0</v>
      </c>
      <c r="AI427" s="275">
        <f t="shared" ref="AI427" si="1069">SUM(AI422,AI423,AI424,AI425,AI426)</f>
        <v>0</v>
      </c>
      <c r="AJ427" s="275">
        <f t="shared" ref="AJ427" si="1070">SUM(AJ422,AJ423,AJ424,AJ425,AJ426)</f>
        <v>0</v>
      </c>
      <c r="AK427" s="275">
        <f>MAX(AK422,AK423,AK424,AK425,AK426)</f>
        <v>0</v>
      </c>
      <c r="AL427" s="275">
        <f t="shared" ref="AL427" si="1071">SUM(AL422,AL423,AL424,AL425,AL426)</f>
        <v>0</v>
      </c>
      <c r="AM427" s="275">
        <f>IF(AK419="D",SUM(AL422,AL423,AL424,AL425,AL426,-AL429,-AL430),0)</f>
        <v>0</v>
      </c>
      <c r="AN427" s="235"/>
      <c r="AO427" s="235"/>
      <c r="AP427" s="235"/>
      <c r="AQ427" s="235"/>
      <c r="AR427" s="235"/>
      <c r="AS427" s="237">
        <f>IF(AT427=0,0,1)</f>
        <v>0</v>
      </c>
      <c r="AT427" s="237">
        <f>IF(AZ427=0,0,SUM(AZ429:AZ430,-AZ428))</f>
        <v>0</v>
      </c>
      <c r="AU427" s="237"/>
      <c r="AV427" s="275">
        <f>SUM(AV422,AV423,AV424,AV425,AV426)</f>
        <v>0</v>
      </c>
      <c r="AW427" s="275">
        <f t="shared" ref="AW427" si="1072">SUM(AW422,AW423,AW424,AW425,AW426)</f>
        <v>0</v>
      </c>
      <c r="AX427" s="275">
        <f t="shared" ref="AX427" si="1073">SUM(AX422,AX423,AX424,AX425,AX426)</f>
        <v>0</v>
      </c>
      <c r="AY427" s="275">
        <f>MAX(AY422,AY423,AY424,AY425,AY426)</f>
        <v>0</v>
      </c>
      <c r="AZ427" s="275">
        <f t="shared" ref="AZ427" si="1074">SUM(AZ422,AZ423,AZ424,AZ425,AZ426)</f>
        <v>0</v>
      </c>
      <c r="BA427" s="275">
        <f>IF(AK419="D",SUM(AZ422,AZ423,AZ424,AZ425,AZ426,-AZ429,-AZ430),0)</f>
        <v>0</v>
      </c>
      <c r="BJ427" s="236"/>
      <c r="BK427" s="238"/>
      <c r="BL427" s="238"/>
      <c r="BM427" s="238"/>
      <c r="BP427" s="238"/>
      <c r="BQ427" s="238"/>
      <c r="BR427" s="238"/>
      <c r="BS427" s="238"/>
      <c r="BT427" s="238"/>
      <c r="BU427" s="238"/>
      <c r="BY427" s="238"/>
      <c r="BZ427" s="238">
        <f>MAX(BZ422,BZ423,BZ424,BZ425,BZ426)</f>
        <v>0</v>
      </c>
      <c r="CA427" s="238">
        <f>MAX(CA422,CA423,CA424,CA425,CA426)</f>
        <v>0</v>
      </c>
      <c r="CB427" s="238"/>
      <c r="CC427" s="238"/>
      <c r="CD427" s="238"/>
      <c r="CG427" s="244"/>
      <c r="CH427" s="238"/>
      <c r="CI427" s="238">
        <f>MAX(CI422,CI423,CI424,CI425,CI426)</f>
        <v>0</v>
      </c>
      <c r="CJ427" s="238">
        <f>MAX(CJ422,CJ423,CJ424,CJ425,CJ426)</f>
        <v>0</v>
      </c>
      <c r="CK427" s="238"/>
      <c r="CL427" s="238"/>
      <c r="CM427" s="238"/>
      <c r="CN427" s="238"/>
      <c r="CO427" s="238"/>
      <c r="CP427" s="238"/>
      <c r="CQ427" s="238"/>
      <c r="CR427" s="238"/>
      <c r="CS427" s="238"/>
      <c r="CT427" s="238"/>
      <c r="CU427" s="238"/>
      <c r="CV427" s="238"/>
      <c r="CW427" s="238"/>
      <c r="CX427" s="238"/>
      <c r="CY427" s="238"/>
      <c r="CZ427" s="238"/>
      <c r="DA427" s="238"/>
      <c r="DB427" s="238"/>
      <c r="DC427" s="238"/>
      <c r="DD427" s="238"/>
      <c r="DE427" s="238"/>
      <c r="DF427" s="238"/>
      <c r="DG427" s="238"/>
      <c r="DH427" s="238"/>
      <c r="DI427" s="238"/>
      <c r="DJ427" s="238"/>
      <c r="DK427" s="238"/>
      <c r="DL427" s="238"/>
      <c r="DM427" s="238"/>
      <c r="DN427" s="238"/>
      <c r="DO427" s="238"/>
      <c r="DP427" s="238"/>
      <c r="DQ427" s="238"/>
      <c r="DR427" s="238"/>
      <c r="DS427" s="238"/>
      <c r="DT427" s="238"/>
      <c r="DU427" s="238"/>
      <c r="DV427" s="238"/>
      <c r="DW427" s="238"/>
      <c r="DX427" s="238"/>
      <c r="DY427" s="238"/>
      <c r="DZ427" s="238"/>
      <c r="EA427" s="238"/>
      <c r="EB427" s="238"/>
      <c r="EC427" s="238"/>
      <c r="ED427" s="238"/>
      <c r="EE427" s="238"/>
      <c r="EF427" s="238"/>
      <c r="EG427" s="238"/>
      <c r="EH427" s="238"/>
      <c r="EI427" s="238"/>
      <c r="EJ427" s="238"/>
      <c r="EK427" s="238"/>
      <c r="EL427" s="238"/>
      <c r="EM427" s="166"/>
      <c r="EN427" s="166"/>
      <c r="EO427" s="166"/>
      <c r="EP427" s="238">
        <f>SUM(EN427-EO427)</f>
        <v>0</v>
      </c>
      <c r="EQ427" s="238"/>
      <c r="ER427" s="238"/>
      <c r="ES427" s="238"/>
      <c r="ET427" s="244"/>
      <c r="EU427" s="238"/>
      <c r="EV427" s="238"/>
      <c r="EW427" s="238"/>
      <c r="EX427" s="238"/>
      <c r="EY427" s="238"/>
      <c r="EZ427" s="238"/>
      <c r="FA427" s="238"/>
      <c r="FB427" s="238"/>
      <c r="FC427" s="238"/>
      <c r="FD427" s="238"/>
      <c r="FE427" s="238"/>
      <c r="FF427" s="238"/>
      <c r="FG427" s="238"/>
      <c r="FH427" s="238"/>
      <c r="FI427" s="238"/>
      <c r="FJ427" s="238"/>
      <c r="FK427" s="238"/>
      <c r="FL427" s="238"/>
      <c r="FM427" s="238"/>
      <c r="FN427" s="238"/>
      <c r="FO427" s="244"/>
      <c r="FP427" s="238"/>
      <c r="FQ427" s="238"/>
      <c r="FR427" s="238"/>
      <c r="FS427" s="238"/>
      <c r="FT427" s="238"/>
      <c r="FU427" s="238"/>
      <c r="FV427" s="238"/>
      <c r="FW427" s="238"/>
      <c r="FX427" s="238"/>
      <c r="FY427" s="238"/>
      <c r="FZ427" s="238"/>
      <c r="GA427" s="238"/>
      <c r="GB427" s="238"/>
      <c r="GC427" s="238"/>
      <c r="GD427" s="341"/>
      <c r="GE427" s="340"/>
      <c r="GF427" s="340"/>
      <c r="GG427" s="340"/>
      <c r="GH427" s="340"/>
      <c r="GI427" s="340"/>
      <c r="GJ427" s="340"/>
      <c r="GK427" s="340"/>
      <c r="GL427" s="340"/>
      <c r="GM427" s="340"/>
      <c r="GN427" s="340"/>
      <c r="GO427" s="340"/>
      <c r="GP427" s="340"/>
      <c r="GQ427" s="340"/>
      <c r="GR427" s="340"/>
      <c r="GS427" s="340"/>
      <c r="GT427" s="340"/>
      <c r="GU427" s="340"/>
      <c r="GV427" s="340"/>
      <c r="GW427" s="340"/>
      <c r="GX427" s="340"/>
      <c r="GY427" s="340"/>
      <c r="GZ427" s="340"/>
      <c r="HA427" s="340"/>
      <c r="HB427" s="340"/>
      <c r="HC427" s="340"/>
      <c r="HD427" s="341"/>
      <c r="HE427" s="341"/>
      <c r="HF427" s="341"/>
      <c r="HG427" s="341"/>
      <c r="HH427" s="341"/>
      <c r="HI427" s="341"/>
      <c r="HJ427" s="341"/>
      <c r="HK427" s="341"/>
      <c r="HL427" s="341"/>
      <c r="HM427" s="341"/>
      <c r="HN427" s="341"/>
      <c r="HO427" s="341"/>
      <c r="HP427" s="341"/>
      <c r="HQ427" s="341"/>
      <c r="HR427" s="341"/>
      <c r="HS427" s="238"/>
      <c r="HT427" s="238"/>
      <c r="HU427" s="238"/>
      <c r="HV427" s="238"/>
      <c r="HX427" s="238"/>
      <c r="HY427" s="238"/>
      <c r="ID427" s="238"/>
    </row>
    <row r="428" spans="1:238" s="234" customFormat="1" ht="20.100000000000001" customHeight="1">
      <c r="A428" s="235"/>
      <c r="B428" s="231"/>
      <c r="C428" s="314" t="s">
        <v>771</v>
      </c>
      <c r="D428" s="276" t="str">
        <f>REPT(Sprache!$K$58,1)</f>
        <v>Spieler</v>
      </c>
      <c r="E428" s="277" t="str">
        <f>REPT(Sprache!$K$33,1)</f>
        <v>Name / Vorname</v>
      </c>
      <c r="F428" s="278"/>
      <c r="G428" s="278"/>
      <c r="H428" s="279"/>
      <c r="I428" s="280"/>
      <c r="J428" s="281" t="str">
        <f>REPT(AM428,1)</f>
        <v/>
      </c>
      <c r="L428" s="306" t="s">
        <v>848</v>
      </c>
      <c r="M428" s="238"/>
      <c r="P428" s="306" t="s">
        <v>848</v>
      </c>
      <c r="R428" s="314" t="s">
        <v>771</v>
      </c>
      <c r="S428" s="276" t="str">
        <f>REPT(Sprache!$K$58,1)</f>
        <v>Spieler</v>
      </c>
      <c r="T428" s="277" t="str">
        <f>REPT(Sprache!$K$33,1)</f>
        <v>Name / Vorname</v>
      </c>
      <c r="U428" s="278"/>
      <c r="V428" s="278"/>
      <c r="W428" s="279"/>
      <c r="X428" s="280"/>
      <c r="Y428" s="281" t="str">
        <f>REPT(BA428,1)</f>
        <v/>
      </c>
      <c r="Z428" s="308"/>
      <c r="AD428" s="235"/>
      <c r="AE428" s="235"/>
      <c r="AF428" s="237" t="s">
        <v>771</v>
      </c>
      <c r="AG428" s="282" t="s">
        <v>877</v>
      </c>
      <c r="AH428" s="283" t="str">
        <f>IF(AH427=0,"",AH427)</f>
        <v/>
      </c>
      <c r="AI428" s="283" t="str">
        <f>IF(AI427=0,"",AI427)</f>
        <v/>
      </c>
      <c r="AJ428" s="283" t="str">
        <f>IF(AJ427=0,"",AJ427)</f>
        <v/>
      </c>
      <c r="AK428" s="283" t="str">
        <f>IF(AK427=0,"",AK427)</f>
        <v/>
      </c>
      <c r="AL428" s="283" t="str">
        <f>IF(AL427=0,"",AL427)</f>
        <v/>
      </c>
      <c r="AM428" s="258" t="str">
        <f>IF(AK419="D",IF(AF427=0,"","X"),"")</f>
        <v/>
      </c>
      <c r="AN428" s="235"/>
      <c r="AO428" s="235"/>
      <c r="AP428" s="284"/>
      <c r="AQ428" s="235"/>
      <c r="AR428" s="235"/>
      <c r="AS428" s="235"/>
      <c r="AT428" s="237" t="s">
        <v>771</v>
      </c>
      <c r="AU428" s="282" t="s">
        <v>877</v>
      </c>
      <c r="AV428" s="283" t="str">
        <f>IF(AV427=0,"",AV427)</f>
        <v/>
      </c>
      <c r="AW428" s="283" t="str">
        <f>IF(AW427=0,"",AW427)</f>
        <v/>
      </c>
      <c r="AX428" s="283" t="str">
        <f>IF(AX427=0,"",AX427)</f>
        <v/>
      </c>
      <c r="AY428" s="283" t="str">
        <f>IF(AY427=0,"",AY427)</f>
        <v/>
      </c>
      <c r="AZ428" s="421" t="str">
        <f>IF(AZ427=0,"",AZ427)</f>
        <v/>
      </c>
      <c r="BA428" s="258" t="str">
        <f>IF(AK419="D",IF(AT427=0,"","X"),"")</f>
        <v/>
      </c>
      <c r="BJ428" s="236"/>
      <c r="BK428" s="238"/>
      <c r="BL428" s="244">
        <f>IF(BM428=0,0,1)</f>
        <v>0</v>
      </c>
      <c r="BM428" s="244">
        <f>SUM(BM422,BM423,BM424,BM425,BM426,HH424,AN429,AN430,BB429,BB430)</f>
        <v>0</v>
      </c>
      <c r="BN428" s="166">
        <f t="shared" ref="BN428:BO428" si="1075">SUM(BN422,BN423,BN424,BN425,BN426)</f>
        <v>0</v>
      </c>
      <c r="BO428" s="166">
        <f t="shared" si="1075"/>
        <v>0</v>
      </c>
      <c r="BP428" s="244"/>
      <c r="BQ428" s="238"/>
      <c r="BR428" s="238"/>
      <c r="BS428" s="238"/>
      <c r="BT428" s="238"/>
      <c r="BU428" s="238"/>
      <c r="BV428" s="238"/>
      <c r="BW428" s="238"/>
      <c r="BX428" s="236"/>
      <c r="BY428" s="238"/>
      <c r="BZ428" s="238"/>
      <c r="CA428" s="238"/>
      <c r="CB428" s="238"/>
      <c r="CC428" s="238"/>
      <c r="CD428" s="238"/>
      <c r="CE428" s="238"/>
      <c r="CF428" s="238"/>
      <c r="CG428" s="244"/>
      <c r="CH428" s="238"/>
      <c r="CI428" s="238"/>
      <c r="CJ428" s="238"/>
      <c r="CK428" s="238"/>
      <c r="CL428" s="238"/>
      <c r="CM428" s="238"/>
      <c r="CN428" s="238"/>
      <c r="CO428" s="238"/>
      <c r="CP428" s="238"/>
      <c r="CQ428" s="238"/>
      <c r="CR428" s="238"/>
      <c r="CS428" s="238"/>
      <c r="CT428" s="238"/>
      <c r="CU428" s="238"/>
      <c r="CV428" s="238"/>
      <c r="CW428" s="238"/>
      <c r="CX428" s="238"/>
      <c r="CY428" s="238"/>
      <c r="CZ428" s="238"/>
      <c r="DA428" s="238"/>
      <c r="DB428" s="238"/>
      <c r="DC428" s="238"/>
      <c r="DD428" s="238"/>
      <c r="DE428" s="238"/>
      <c r="DF428" s="238"/>
      <c r="DG428" s="238"/>
      <c r="DH428" s="238"/>
      <c r="DI428" s="238"/>
      <c r="DJ428" s="238"/>
      <c r="DK428" s="238"/>
      <c r="DL428" s="238"/>
      <c r="DM428" s="238"/>
      <c r="DN428" s="238"/>
      <c r="DO428" s="238"/>
      <c r="DP428" s="238"/>
      <c r="DQ428" s="238"/>
      <c r="DR428" s="238"/>
      <c r="DS428" s="238"/>
      <c r="DT428" s="238"/>
      <c r="DU428" s="238"/>
      <c r="DV428" s="238"/>
      <c r="DW428" s="238"/>
      <c r="DX428" s="238"/>
      <c r="DY428" s="238"/>
      <c r="DZ428" s="238"/>
      <c r="EA428" s="238"/>
      <c r="EB428" s="238"/>
      <c r="EC428" s="238"/>
      <c r="ED428" s="238"/>
      <c r="EE428" s="238"/>
      <c r="EF428" s="238"/>
      <c r="EG428" s="238"/>
      <c r="EH428" s="238"/>
      <c r="EI428" s="238"/>
      <c r="EJ428" s="238"/>
      <c r="EK428" s="238"/>
      <c r="EL428" s="238"/>
      <c r="EM428" s="238"/>
      <c r="EN428" s="238"/>
      <c r="EO428" s="238"/>
      <c r="EP428" s="238"/>
      <c r="EQ428" s="238"/>
      <c r="ER428" s="238"/>
      <c r="ES428" s="238"/>
      <c r="ET428" s="244"/>
      <c r="EU428" s="238"/>
      <c r="EV428" s="238"/>
      <c r="EW428" s="238"/>
      <c r="EX428" s="238"/>
      <c r="EY428" s="238"/>
      <c r="EZ428" s="238"/>
      <c r="FA428" s="238"/>
      <c r="FB428" s="238"/>
      <c r="FC428" s="238"/>
      <c r="FD428" s="238"/>
      <c r="FE428" s="238"/>
      <c r="FF428" s="238"/>
      <c r="FG428" s="238"/>
      <c r="FH428" s="238"/>
      <c r="FI428" s="238"/>
      <c r="FJ428" s="238"/>
      <c r="FK428" s="238"/>
      <c r="FL428" s="238"/>
      <c r="FM428" s="238"/>
      <c r="FN428" s="238"/>
      <c r="FO428" s="244"/>
      <c r="FP428" s="238"/>
      <c r="FQ428" s="238"/>
      <c r="FR428" s="238"/>
      <c r="FS428" s="238"/>
      <c r="FT428" s="238"/>
      <c r="FU428" s="238"/>
      <c r="FV428" s="238"/>
      <c r="FW428" s="238"/>
      <c r="FX428" s="238"/>
      <c r="FY428" s="238"/>
      <c r="FZ428" s="238"/>
      <c r="GA428" s="238"/>
      <c r="GB428" s="238"/>
      <c r="GC428" s="238"/>
      <c r="GD428" s="341"/>
      <c r="GE428" s="340"/>
      <c r="GF428" s="340"/>
      <c r="GG428" s="340"/>
      <c r="GH428" s="340"/>
      <c r="GI428" s="340"/>
      <c r="GJ428" s="340"/>
      <c r="GK428" s="340"/>
      <c r="GL428" s="340"/>
      <c r="GM428" s="340"/>
      <c r="GN428" s="340"/>
      <c r="GO428" s="340"/>
      <c r="GP428" s="340"/>
      <c r="GQ428" s="340"/>
      <c r="GR428" s="340"/>
      <c r="GS428" s="340"/>
      <c r="GT428" s="340"/>
      <c r="GU428" s="340"/>
      <c r="GV428" s="340"/>
      <c r="GW428" s="340"/>
      <c r="GX428" s="340"/>
      <c r="GY428" s="340"/>
      <c r="GZ428" s="340"/>
      <c r="HA428" s="340"/>
      <c r="HB428" s="340"/>
      <c r="HC428" s="340"/>
      <c r="HD428" s="341"/>
      <c r="HE428" s="341"/>
      <c r="HF428" s="341"/>
      <c r="HG428" s="341"/>
      <c r="HH428" s="341"/>
      <c r="HI428" s="341"/>
      <c r="HJ428" s="341"/>
      <c r="HK428" s="341"/>
      <c r="HL428" s="341"/>
      <c r="HM428" s="341"/>
      <c r="HN428" s="341"/>
      <c r="HO428" s="341"/>
      <c r="HP428" s="341"/>
      <c r="HQ428" s="341"/>
      <c r="HR428" s="341"/>
      <c r="HS428" s="238"/>
      <c r="HT428" s="238"/>
      <c r="HU428" s="238"/>
      <c r="HV428" s="238"/>
      <c r="HX428" s="238"/>
      <c r="HY428" s="238"/>
      <c r="ID428" s="238"/>
    </row>
    <row r="429" spans="1:238" s="234" customFormat="1" ht="20.100000000000001" customHeight="1">
      <c r="A429" s="235"/>
      <c r="B429" s="231"/>
      <c r="C429" s="285" t="str">
        <f>IF(AF429="","",SUM(AF429))</f>
        <v/>
      </c>
      <c r="D429" s="286" t="str">
        <f>IF(AK419="D",1,"")</f>
        <v/>
      </c>
      <c r="E429" s="287" t="str">
        <f>IF(C429="","",VLOOKUP(C429,Licenses!B:C,2,FALSE))</f>
        <v/>
      </c>
      <c r="F429" s="288"/>
      <c r="G429" s="288"/>
      <c r="H429" s="289"/>
      <c r="I429" s="169"/>
      <c r="J429" s="270" t="str">
        <f>REPT(AM429,1)</f>
        <v/>
      </c>
      <c r="L429" s="290" t="str">
        <f>IF(AK419="D",AK429,IF(AK428="","",AK428))</f>
        <v/>
      </c>
      <c r="M429" s="311"/>
      <c r="P429" s="290" t="str">
        <f>IF(AK419="D",AY429,IF(AY428="","",AY428))</f>
        <v/>
      </c>
      <c r="R429" s="291" t="str">
        <f>IF(AT429="","",SUM(AT429))</f>
        <v/>
      </c>
      <c r="S429" s="286" t="str">
        <f>IF(AK419="D",1,"")</f>
        <v/>
      </c>
      <c r="T429" s="292" t="str">
        <f>IF(R429="","",VLOOKUP(R429,Licenses!B:C,2,FALSE))</f>
        <v/>
      </c>
      <c r="U429" s="293"/>
      <c r="V429" s="293"/>
      <c r="W429" s="294"/>
      <c r="X429" s="169"/>
      <c r="Y429" s="270" t="str">
        <f>REPT(BA429,1)</f>
        <v/>
      </c>
      <c r="Z429" s="308"/>
      <c r="AD429" s="235"/>
      <c r="AE429" s="235"/>
      <c r="AF429" s="256" t="str">
        <f>IF(AM419="","",SUM(AM419))</f>
        <v/>
      </c>
      <c r="AG429" s="237"/>
      <c r="AH429" s="256"/>
      <c r="AI429" s="256"/>
      <c r="AJ429" s="256"/>
      <c r="AK429" s="256" t="str">
        <f>IF(BZ427&gt;1,BZ427,"")</f>
        <v/>
      </c>
      <c r="AL429" s="257">
        <f>IF(AK419="D",SUM(I429),0)</f>
        <v>0</v>
      </c>
      <c r="AM429" s="258" t="str">
        <f>IF(AM427=0,IF(AL429&lt;6,"","X"),"X")</f>
        <v/>
      </c>
      <c r="AN429" s="347" t="str">
        <f>IF(AM427=0,IF(AL429&lt;6,"",1),1)</f>
        <v/>
      </c>
      <c r="AO429" s="235"/>
      <c r="AP429" s="236"/>
      <c r="AQ429" s="235"/>
      <c r="AR429" s="235"/>
      <c r="AS429" s="235"/>
      <c r="AT429" s="256" t="str">
        <f>IF(BA419="","",SUM(BA419))</f>
        <v/>
      </c>
      <c r="AU429" s="237"/>
      <c r="AV429" s="256"/>
      <c r="AW429" s="256"/>
      <c r="AX429" s="256"/>
      <c r="AY429" s="256" t="str">
        <f>IF(CI427&gt;1,CI427,"")</f>
        <v/>
      </c>
      <c r="AZ429" s="257">
        <f>IF(AK419="D",SUM(X429),0)</f>
        <v>0</v>
      </c>
      <c r="BA429" s="258" t="str">
        <f>IF(BA427=0,IF(AZ429&lt;6,"","X"),"X")</f>
        <v/>
      </c>
      <c r="BB429" s="347" t="str">
        <f>IF(BA427=0,IF(AZ429&lt;6,"",1),1)</f>
        <v/>
      </c>
      <c r="BC429" s="236"/>
      <c r="BD429" s="236"/>
      <c r="BE429" s="236"/>
      <c r="BF429" s="236"/>
      <c r="BG429" s="236"/>
      <c r="BH429" s="236"/>
      <c r="BI429" s="236"/>
      <c r="BJ429" s="236"/>
      <c r="BK429" s="238"/>
      <c r="BL429" s="238"/>
      <c r="BM429" s="295"/>
      <c r="BN429" s="295"/>
      <c r="BO429" s="295"/>
      <c r="BP429" s="295"/>
      <c r="BQ429" s="295"/>
      <c r="BR429" s="295"/>
      <c r="BS429" s="295"/>
      <c r="BT429" s="295"/>
      <c r="BU429" s="295"/>
      <c r="BV429" s="295"/>
      <c r="BW429" s="295"/>
      <c r="BX429" s="236"/>
      <c r="BY429" s="295"/>
      <c r="BZ429" s="295"/>
      <c r="CA429" s="295"/>
      <c r="CB429" s="295"/>
      <c r="CC429" s="295"/>
      <c r="CD429" s="295"/>
      <c r="CE429" s="295"/>
      <c r="CF429" s="295"/>
      <c r="CG429" s="296"/>
      <c r="CH429" s="295"/>
      <c r="CI429" s="295"/>
      <c r="CJ429" s="295"/>
      <c r="CK429" s="238"/>
      <c r="CL429" s="238"/>
      <c r="CM429" s="238"/>
      <c r="CN429" s="238"/>
      <c r="CO429" s="238"/>
      <c r="CP429" s="238"/>
      <c r="CQ429" s="238"/>
      <c r="CR429" s="238"/>
      <c r="CS429" s="238"/>
      <c r="CT429" s="238"/>
      <c r="CU429" s="238"/>
      <c r="CV429" s="238"/>
      <c r="CW429" s="238"/>
      <c r="CX429" s="238"/>
      <c r="CY429" s="238"/>
      <c r="CZ429" s="238"/>
      <c r="DA429" s="238"/>
      <c r="DB429" s="238"/>
      <c r="DC429" s="238"/>
      <c r="DD429" s="238"/>
      <c r="DE429" s="238"/>
      <c r="DF429" s="238"/>
      <c r="DG429" s="238"/>
      <c r="DH429" s="238"/>
      <c r="DI429" s="238"/>
      <c r="DJ429" s="238"/>
      <c r="DK429" s="238"/>
      <c r="DL429" s="238"/>
      <c r="DM429" s="238"/>
      <c r="DN429" s="238"/>
      <c r="DO429" s="238"/>
      <c r="DP429" s="238"/>
      <c r="DQ429" s="238"/>
      <c r="DR429" s="238"/>
      <c r="DS429" s="238"/>
      <c r="DT429" s="238"/>
      <c r="DU429" s="238"/>
      <c r="DV429" s="238"/>
      <c r="DW429" s="238"/>
      <c r="DX429" s="238"/>
      <c r="DY429" s="238"/>
      <c r="DZ429" s="238"/>
      <c r="EA429" s="238"/>
      <c r="EB429" s="238"/>
      <c r="EC429" s="238"/>
      <c r="ED429" s="238"/>
      <c r="EE429" s="238"/>
      <c r="EF429" s="238"/>
      <c r="EG429" s="238"/>
      <c r="EH429" s="238"/>
      <c r="EI429" s="238"/>
      <c r="EJ429" s="238"/>
      <c r="EK429" s="238"/>
      <c r="EL429" s="238"/>
      <c r="EM429" s="238"/>
      <c r="EN429" s="238"/>
      <c r="EO429" s="238"/>
      <c r="EP429" s="238"/>
      <c r="EQ429" s="238"/>
      <c r="ER429" s="238"/>
      <c r="ES429" s="238"/>
      <c r="ET429" s="244"/>
      <c r="EU429" s="238"/>
      <c r="EV429" s="238"/>
      <c r="EW429" s="238"/>
      <c r="EX429" s="238"/>
      <c r="EY429" s="238"/>
      <c r="EZ429" s="238"/>
      <c r="FA429" s="238"/>
      <c r="FB429" s="238"/>
      <c r="FC429" s="238"/>
      <c r="FD429" s="238"/>
      <c r="FE429" s="238"/>
      <c r="FF429" s="238"/>
      <c r="FG429" s="238"/>
      <c r="FH429" s="238"/>
      <c r="FI429" s="238"/>
      <c r="FJ429" s="238"/>
      <c r="FK429" s="238"/>
      <c r="FL429" s="238"/>
      <c r="FM429" s="238"/>
      <c r="FN429" s="238"/>
      <c r="FO429" s="244"/>
      <c r="FP429" s="238"/>
      <c r="FQ429" s="238"/>
      <c r="FR429" s="238"/>
      <c r="FS429" s="238"/>
      <c r="FT429" s="238"/>
      <c r="FU429" s="238"/>
      <c r="FV429" s="238"/>
      <c r="FW429" s="238"/>
      <c r="FX429" s="238"/>
      <c r="FY429" s="238"/>
      <c r="FZ429" s="238"/>
      <c r="GA429" s="238"/>
      <c r="GB429" s="238"/>
      <c r="GC429" s="238"/>
      <c r="GD429" s="341"/>
      <c r="GE429" s="340"/>
      <c r="GF429" s="340"/>
      <c r="GG429" s="340"/>
      <c r="GH429" s="340"/>
      <c r="GI429" s="340"/>
      <c r="GJ429" s="340"/>
      <c r="GK429" s="340"/>
      <c r="GL429" s="340"/>
      <c r="GM429" s="340"/>
      <c r="GN429" s="340"/>
      <c r="GO429" s="340"/>
      <c r="GP429" s="340"/>
      <c r="GQ429" s="340"/>
      <c r="GR429" s="340"/>
      <c r="GS429" s="340"/>
      <c r="GT429" s="340"/>
      <c r="GU429" s="340"/>
      <c r="GV429" s="340"/>
      <c r="GW429" s="340"/>
      <c r="GX429" s="340"/>
      <c r="GY429" s="340"/>
      <c r="GZ429" s="340"/>
      <c r="HA429" s="340"/>
      <c r="HB429" s="340"/>
      <c r="HC429" s="340"/>
      <c r="HD429" s="341"/>
      <c r="HE429" s="341"/>
      <c r="HF429" s="341"/>
      <c r="HG429" s="341"/>
      <c r="HH429" s="341"/>
      <c r="HI429" s="341"/>
      <c r="HJ429" s="341"/>
      <c r="HK429" s="341"/>
      <c r="HL429" s="341"/>
      <c r="HM429" s="341"/>
      <c r="HN429" s="341"/>
      <c r="HO429" s="341"/>
      <c r="HP429" s="341"/>
      <c r="HQ429" s="341"/>
      <c r="HR429" s="341"/>
      <c r="HS429" s="238"/>
      <c r="HT429" s="238"/>
      <c r="HU429" s="238"/>
      <c r="HV429" s="238"/>
      <c r="HX429" s="238"/>
      <c r="HY429" s="238"/>
      <c r="ID429" s="238"/>
    </row>
    <row r="430" spans="1:238" s="234" customFormat="1" ht="20.100000000000001" customHeight="1">
      <c r="A430" s="235"/>
      <c r="B430" s="231"/>
      <c r="C430" s="336" t="str">
        <f>IF(AF430="","",SUM(AF430))</f>
        <v/>
      </c>
      <c r="D430" s="333" t="str">
        <f>IF(AK419="D",2,"")</f>
        <v/>
      </c>
      <c r="E430" s="337" t="str">
        <f>IF(C430="","",VLOOKUP(C430,Licenses!B:C,2,FALSE))</f>
        <v/>
      </c>
      <c r="F430" s="290"/>
      <c r="G430" s="290"/>
      <c r="H430" s="338"/>
      <c r="I430" s="331"/>
      <c r="J430" s="272" t="str">
        <f>REPT(AM430,1)</f>
        <v/>
      </c>
      <c r="L430" s="315" t="str">
        <f>IF(AK419="D",AK430,"")</f>
        <v/>
      </c>
      <c r="M430" s="311"/>
      <c r="P430" s="315" t="str">
        <f>IF(AK419="D",AY430,"")</f>
        <v/>
      </c>
      <c r="R430" s="332" t="str">
        <f>IF(AT430="","",SUM(AT430))</f>
        <v/>
      </c>
      <c r="S430" s="333" t="str">
        <f>IF(AK419="D",2,"")</f>
        <v/>
      </c>
      <c r="T430" s="334" t="str">
        <f>IF(R430="","",VLOOKUP(R430,Licenses!B:C,2,FALSE))</f>
        <v/>
      </c>
      <c r="U430" s="297"/>
      <c r="V430" s="297"/>
      <c r="W430" s="335"/>
      <c r="X430" s="331"/>
      <c r="Y430" s="272" t="str">
        <f>REPT(BA430,1)</f>
        <v/>
      </c>
      <c r="Z430" s="308"/>
      <c r="AA430" s="238">
        <f>IF(AK419="D",0,1)</f>
        <v>1</v>
      </c>
      <c r="AD430" s="235"/>
      <c r="AE430" s="235"/>
      <c r="AF430" s="256" t="str">
        <f>IF(AM420="","",SUM(AM420))</f>
        <v/>
      </c>
      <c r="AG430" s="237"/>
      <c r="AH430" s="256"/>
      <c r="AI430" s="256"/>
      <c r="AJ430" s="256"/>
      <c r="AK430" s="256" t="str">
        <f>IF(CA427&gt;1,CA427,"")</f>
        <v/>
      </c>
      <c r="AL430" s="257">
        <f>IF(AK419="D",SUM(I430),0)</f>
        <v>0</v>
      </c>
      <c r="AM430" s="258" t="str">
        <f>IF(AM427=0,IF(AL430&lt;6,"","X"),"X")</f>
        <v/>
      </c>
      <c r="AN430" s="347" t="str">
        <f>IF(AM427=0,IF(AL430&lt;6,"",1),1)</f>
        <v/>
      </c>
      <c r="AO430" s="235"/>
      <c r="AP430" s="236"/>
      <c r="AQ430" s="235"/>
      <c r="AR430" s="235"/>
      <c r="AS430" s="235"/>
      <c r="AT430" s="256" t="str">
        <f>IF(BA420="","",SUM(BA420))</f>
        <v/>
      </c>
      <c r="AU430" s="237"/>
      <c r="AV430" s="256"/>
      <c r="AW430" s="256"/>
      <c r="AX430" s="256"/>
      <c r="AY430" s="256" t="str">
        <f>IF(CJ427&gt;1,CJ427,"")</f>
        <v/>
      </c>
      <c r="AZ430" s="257">
        <f>IF(AK419="D",SUM(X430),0)</f>
        <v>0</v>
      </c>
      <c r="BA430" s="258" t="str">
        <f>IF(BA427=0,IF(AZ430&lt;6,"","X"),"X")</f>
        <v/>
      </c>
      <c r="BB430" s="347" t="str">
        <f>IF(BA427=0,IF(AZ430&lt;6,"",1),1)</f>
        <v/>
      </c>
      <c r="BC430" s="236"/>
      <c r="BD430" s="236"/>
      <c r="BE430" s="236"/>
      <c r="BF430" s="236"/>
      <c r="BG430" s="236"/>
      <c r="BH430" s="236"/>
      <c r="BI430" s="236"/>
      <c r="BJ430" s="236"/>
      <c r="BK430" s="238"/>
      <c r="BM430" s="238"/>
      <c r="BN430" s="238"/>
      <c r="BO430" s="238"/>
      <c r="BP430" s="238"/>
      <c r="BQ430" s="238" t="s">
        <v>899</v>
      </c>
      <c r="BR430" s="238"/>
      <c r="BS430" s="238"/>
      <c r="BT430" s="238"/>
      <c r="BU430" s="238"/>
      <c r="BV430" s="238"/>
      <c r="BW430" s="238"/>
      <c r="BX430" s="236"/>
      <c r="BY430" s="238"/>
      <c r="BZ430" s="238"/>
      <c r="CA430" s="238"/>
      <c r="CB430" s="238"/>
      <c r="CC430" s="238"/>
      <c r="CD430" s="238" t="s">
        <v>899</v>
      </c>
      <c r="CE430" s="238"/>
      <c r="CF430" s="238"/>
      <c r="CG430" s="244"/>
      <c r="CH430" s="238"/>
      <c r="CI430" s="238"/>
      <c r="CJ430" s="238"/>
      <c r="CK430" s="238"/>
      <c r="CL430" s="238"/>
      <c r="CM430" s="238"/>
      <c r="CN430" s="238"/>
      <c r="CO430" s="238"/>
      <c r="CP430" s="238"/>
      <c r="CQ430" s="238"/>
      <c r="CR430" s="238"/>
      <c r="CS430" s="238"/>
      <c r="CT430" s="238"/>
      <c r="CU430" s="238"/>
      <c r="CV430" s="238"/>
      <c r="CW430" s="238"/>
      <c r="CX430" s="238"/>
      <c r="CY430" s="238"/>
      <c r="CZ430" s="238"/>
      <c r="DA430" s="238"/>
      <c r="DB430" s="238"/>
      <c r="DC430" s="238"/>
      <c r="DD430" s="238"/>
      <c r="DE430" s="238"/>
      <c r="DF430" s="238"/>
      <c r="DG430" s="238"/>
      <c r="DH430" s="238"/>
      <c r="DI430" s="238"/>
      <c r="DJ430" s="238"/>
      <c r="DK430" s="238"/>
      <c r="DL430" s="238"/>
      <c r="DM430" s="238"/>
      <c r="DN430" s="238"/>
      <c r="DO430" s="238"/>
      <c r="DP430" s="238"/>
      <c r="DQ430" s="238"/>
      <c r="DR430" s="238"/>
      <c r="DS430" s="238"/>
      <c r="DT430" s="238"/>
      <c r="DU430" s="238"/>
      <c r="DV430" s="238"/>
      <c r="DW430" s="238"/>
      <c r="DX430" s="238"/>
      <c r="DY430" s="238"/>
      <c r="DZ430" s="238"/>
      <c r="EA430" s="238"/>
      <c r="EB430" s="238"/>
      <c r="EC430" s="238"/>
      <c r="ED430" s="238"/>
      <c r="EE430" s="238"/>
      <c r="EF430" s="238"/>
      <c r="EG430" s="238"/>
      <c r="EH430" s="238"/>
      <c r="EI430" s="238"/>
      <c r="EJ430" s="238"/>
      <c r="EK430" s="238"/>
      <c r="EL430" s="238"/>
      <c r="EM430" s="238"/>
      <c r="EN430" s="238"/>
      <c r="EO430" s="238"/>
      <c r="EP430" s="238"/>
      <c r="EQ430" s="238"/>
      <c r="ER430" s="238"/>
      <c r="ES430" s="238"/>
      <c r="ET430" s="244"/>
      <c r="EU430" s="238"/>
      <c r="EV430" s="238"/>
      <c r="EW430" s="238"/>
      <c r="EX430" s="238"/>
      <c r="EY430" s="238"/>
      <c r="EZ430" s="238"/>
      <c r="FA430" s="238"/>
      <c r="FB430" s="238"/>
      <c r="FC430" s="238"/>
      <c r="FD430" s="238"/>
      <c r="FE430" s="238"/>
      <c r="FF430" s="238"/>
      <c r="FG430" s="238"/>
      <c r="FH430" s="238"/>
      <c r="FI430" s="238"/>
      <c r="FJ430" s="238"/>
      <c r="FK430" s="238"/>
      <c r="FL430" s="238"/>
      <c r="FM430" s="238"/>
      <c r="FN430" s="238"/>
      <c r="FO430" s="244"/>
      <c r="FP430" s="238"/>
      <c r="FQ430" s="238"/>
      <c r="FR430" s="238"/>
      <c r="FS430" s="238"/>
      <c r="FT430" s="238"/>
      <c r="FU430" s="238"/>
      <c r="FV430" s="238"/>
      <c r="FW430" s="238"/>
      <c r="FX430" s="238"/>
      <c r="FY430" s="238"/>
      <c r="FZ430" s="238"/>
      <c r="GA430" s="238"/>
      <c r="GB430" s="238"/>
      <c r="GC430" s="238"/>
      <c r="GD430" s="341"/>
      <c r="GE430" s="340"/>
      <c r="GF430" s="340"/>
      <c r="GG430" s="340"/>
      <c r="GH430" s="340"/>
      <c r="GI430" s="340"/>
      <c r="GJ430" s="340"/>
      <c r="GK430" s="340"/>
      <c r="GL430" s="340"/>
      <c r="GM430" s="340"/>
      <c r="GN430" s="340"/>
      <c r="GO430" s="340"/>
      <c r="GP430" s="340"/>
      <c r="GQ430" s="340"/>
      <c r="GR430" s="340"/>
      <c r="GS430" s="340"/>
      <c r="GT430" s="340"/>
      <c r="GU430" s="340"/>
      <c r="GV430" s="340"/>
      <c r="GW430" s="340"/>
      <c r="GX430" s="340"/>
      <c r="GY430" s="340"/>
      <c r="GZ430" s="340"/>
      <c r="HA430" s="340"/>
      <c r="HB430" s="340"/>
      <c r="HC430" s="340"/>
      <c r="HD430" s="341"/>
      <c r="HE430" s="341"/>
      <c r="HF430" s="341"/>
      <c r="HG430" s="341"/>
      <c r="HH430" s="341"/>
      <c r="HI430" s="341"/>
      <c r="HJ430" s="341"/>
      <c r="HK430" s="341"/>
      <c r="HL430" s="341"/>
      <c r="HM430" s="341"/>
      <c r="HN430" s="341"/>
      <c r="HO430" s="341"/>
      <c r="HP430" s="341"/>
      <c r="HQ430" s="341"/>
      <c r="HR430" s="341"/>
      <c r="HS430" s="238"/>
      <c r="HT430" s="238"/>
      <c r="HU430" s="238"/>
      <c r="HV430" s="238"/>
      <c r="HX430" s="238"/>
      <c r="HY430" s="238"/>
      <c r="ID430" s="238"/>
    </row>
    <row r="431" spans="1:238" s="234" customFormat="1" ht="20.100000000000001" customHeight="1">
      <c r="A431" s="235"/>
      <c r="B431" s="316"/>
      <c r="C431" s="317"/>
      <c r="D431" s="317"/>
      <c r="E431" s="318"/>
      <c r="F431" s="318"/>
      <c r="G431" s="318"/>
      <c r="H431" s="318"/>
      <c r="I431" s="318"/>
      <c r="J431" s="318"/>
      <c r="K431" s="319"/>
      <c r="L431" s="319"/>
      <c r="M431" s="319"/>
      <c r="N431" s="319"/>
      <c r="O431" s="319"/>
      <c r="P431" s="320"/>
      <c r="Q431" s="319"/>
      <c r="R431" s="317"/>
      <c r="S431" s="318"/>
      <c r="T431" s="318"/>
      <c r="U431" s="318"/>
      <c r="V431" s="318"/>
      <c r="W431" s="318"/>
      <c r="X431" s="318"/>
      <c r="Y431" s="318"/>
      <c r="Z431" s="321"/>
      <c r="AD431" s="235"/>
      <c r="AE431" s="237"/>
      <c r="AF431" s="237"/>
      <c r="AG431" s="237"/>
      <c r="AH431" s="237" t="s">
        <v>921</v>
      </c>
      <c r="AI431" s="237" t="s">
        <v>922</v>
      </c>
      <c r="AJ431" s="298" t="str">
        <f>IF(BS431="","",SUM(AM431)*3)</f>
        <v/>
      </c>
      <c r="AK431" s="299" t="s">
        <v>923</v>
      </c>
      <c r="AL431" s="256"/>
      <c r="AM431" s="256" t="str">
        <f>IF(BS431="","",SUM(BS431))</f>
        <v/>
      </c>
      <c r="AN431" s="235"/>
      <c r="AO431" s="235"/>
      <c r="AP431" s="236"/>
      <c r="AQ431" s="235"/>
      <c r="AR431" s="235"/>
      <c r="AS431" s="237"/>
      <c r="AT431" s="237"/>
      <c r="AU431" s="237"/>
      <c r="AV431" s="237" t="s">
        <v>921</v>
      </c>
      <c r="AW431" s="237" t="s">
        <v>922</v>
      </c>
      <c r="AX431" s="298" t="str">
        <f>IF(BS431="","",SUM(BA431)*3)</f>
        <v/>
      </c>
      <c r="AY431" s="299" t="s">
        <v>923</v>
      </c>
      <c r="AZ431" s="256"/>
      <c r="BA431" s="256" t="str">
        <f>IF(BS431="","",SUM(CF431))</f>
        <v/>
      </c>
      <c r="BB431" s="236"/>
      <c r="BC431" s="236"/>
      <c r="BD431" s="236"/>
      <c r="BE431" s="236"/>
      <c r="BF431" s="236"/>
      <c r="BG431" s="236"/>
      <c r="BH431" s="236"/>
      <c r="BI431" s="236"/>
      <c r="BJ431" s="236"/>
      <c r="BK431" s="373">
        <f>IF(AL419=BQ431,1,0)</f>
        <v>0</v>
      </c>
      <c r="BL431" s="373">
        <f>IF(AL419=CD431,1,0)</f>
        <v>0</v>
      </c>
      <c r="BM431" s="256">
        <f>IF(BN431&gt;2,1,0)</f>
        <v>0</v>
      </c>
      <c r="BN431" s="256">
        <f>COUNT(AH422,AH423,AH424)</f>
        <v>0</v>
      </c>
      <c r="BO431" s="256" t="str">
        <f>IF(AH428="","",SUM(AH428/AJ428))</f>
        <v/>
      </c>
      <c r="BP431" s="256"/>
      <c r="BQ431" s="300">
        <f>COUNT(AK422,AK423,AK424,AK425,AK426)</f>
        <v>0</v>
      </c>
      <c r="BR431" s="256"/>
      <c r="BS431" s="256" t="str">
        <f>IF(BL428=0,IF(AJ423="","",BO431),"")</f>
        <v/>
      </c>
      <c r="BT431" s="236"/>
      <c r="BU431" s="236"/>
      <c r="BV431" s="236"/>
      <c r="BW431" s="236"/>
      <c r="BX431" s="236"/>
      <c r="BY431" s="256">
        <f>IF(CD431&gt;2,1,0)</f>
        <v>0</v>
      </c>
      <c r="BZ431" s="256">
        <f>IF(CA431&gt;2,1,0)</f>
        <v>0</v>
      </c>
      <c r="CA431" s="256">
        <f>COUNT(AV422,AV423,AV424)</f>
        <v>0</v>
      </c>
      <c r="CB431" s="256" t="str">
        <f>IF(AV428="","",SUM(AV428/AX428))</f>
        <v/>
      </c>
      <c r="CC431" s="256"/>
      <c r="CD431" s="300">
        <f>COUNT(AY422,AY423,AY424,AY425,AY426)</f>
        <v>0</v>
      </c>
      <c r="CE431" s="256"/>
      <c r="CF431" s="256" t="str">
        <f>IF(BL428=0,IF(AX423="","",CB431),"")</f>
        <v/>
      </c>
      <c r="CG431" s="236"/>
      <c r="CH431" s="188"/>
      <c r="CI431" s="188"/>
      <c r="CJ431" s="196"/>
      <c r="CK431" s="196"/>
      <c r="CL431" s="196"/>
      <c r="CM431" s="196"/>
      <c r="CN431" s="196"/>
      <c r="CO431" s="196"/>
      <c r="CP431" s="196"/>
      <c r="CQ431" s="196"/>
      <c r="CR431" s="196"/>
      <c r="CS431" s="196"/>
      <c r="CT431" s="196"/>
      <c r="CU431" s="196"/>
      <c r="CV431" s="196"/>
      <c r="CW431" s="196"/>
      <c r="CX431" s="196"/>
      <c r="CY431" s="196"/>
      <c r="CZ431" s="196"/>
      <c r="DA431" s="196"/>
      <c r="DB431" s="196"/>
      <c r="DC431" s="196"/>
      <c r="DD431" s="196"/>
      <c r="DE431" s="196"/>
      <c r="DF431" s="196"/>
      <c r="DG431" s="196"/>
      <c r="DH431" s="196"/>
      <c r="DI431" s="196"/>
      <c r="DJ431" s="196"/>
      <c r="DK431" s="196"/>
      <c r="DL431" s="196"/>
      <c r="DM431" s="196"/>
      <c r="DN431" s="196"/>
      <c r="DO431" s="196"/>
      <c r="DP431" s="196"/>
      <c r="DQ431" s="196"/>
      <c r="DR431" s="196"/>
      <c r="DS431" s="196"/>
      <c r="DT431" s="196"/>
      <c r="DU431" s="196"/>
      <c r="DV431" s="196"/>
      <c r="DW431" s="196"/>
      <c r="DX431" s="196"/>
      <c r="DY431" s="196"/>
      <c r="DZ431" s="196"/>
      <c r="EA431" s="196"/>
      <c r="EB431" s="196"/>
      <c r="EC431" s="196"/>
      <c r="ED431" s="196"/>
      <c r="EE431" s="196"/>
      <c r="EF431" s="196"/>
      <c r="EG431" s="196"/>
      <c r="EH431" s="196"/>
      <c r="EI431" s="196"/>
      <c r="EJ431" s="196"/>
      <c r="EK431" s="196"/>
      <c r="EL431" s="196"/>
      <c r="EM431" s="196"/>
      <c r="EN431" s="196"/>
      <c r="EO431" s="196"/>
      <c r="EP431" s="196"/>
      <c r="EQ431" s="196"/>
      <c r="ER431" s="196"/>
      <c r="ES431" s="196"/>
      <c r="ET431" s="301"/>
      <c r="EU431" s="196"/>
      <c r="EV431" s="196"/>
      <c r="EW431" s="196"/>
      <c r="EX431" s="196"/>
      <c r="EY431" s="196"/>
      <c r="EZ431" s="196"/>
      <c r="FA431" s="196"/>
      <c r="FB431" s="196"/>
      <c r="FC431" s="196"/>
      <c r="FD431" s="196"/>
      <c r="FE431" s="196"/>
      <c r="FF431" s="196"/>
      <c r="FG431" s="196"/>
      <c r="FH431" s="196"/>
      <c r="FI431" s="196"/>
      <c r="FJ431" s="196"/>
      <c r="FK431" s="196"/>
      <c r="FL431" s="196"/>
      <c r="FM431" s="196"/>
      <c r="FN431" s="196"/>
      <c r="FO431" s="301"/>
      <c r="FP431" s="196"/>
      <c r="FQ431" s="196"/>
      <c r="FR431" s="196"/>
      <c r="FS431" s="196"/>
      <c r="FT431" s="196"/>
      <c r="FU431" s="196"/>
      <c r="FV431" s="196"/>
      <c r="FW431" s="196"/>
      <c r="FX431" s="196"/>
      <c r="FY431" s="196"/>
      <c r="FZ431" s="196"/>
      <c r="GA431" s="196"/>
      <c r="GB431" s="238"/>
      <c r="GC431" s="238"/>
      <c r="GD431" s="341"/>
      <c r="GE431" s="341"/>
      <c r="GF431" s="341"/>
      <c r="GG431" s="341"/>
      <c r="GH431" s="341"/>
      <c r="GI431" s="341"/>
      <c r="GJ431" s="341"/>
      <c r="GK431" s="341"/>
      <c r="GL431" s="341"/>
      <c r="GM431" s="341"/>
      <c r="GN431" s="341"/>
      <c r="GO431" s="341"/>
      <c r="GP431" s="341"/>
      <c r="GQ431" s="341"/>
      <c r="GR431" s="341"/>
      <c r="GS431" s="341"/>
      <c r="GT431" s="341"/>
      <c r="GU431" s="341"/>
      <c r="GV431" s="341"/>
      <c r="GW431" s="341"/>
      <c r="GX431" s="341"/>
      <c r="GY431" s="341"/>
      <c r="GZ431" s="341"/>
      <c r="HA431" s="341"/>
      <c r="HB431" s="341"/>
      <c r="HC431" s="341"/>
      <c r="HD431" s="341"/>
      <c r="HE431" s="341"/>
      <c r="HF431" s="341"/>
      <c r="HG431" s="341"/>
      <c r="HH431" s="341"/>
      <c r="HI431" s="341"/>
      <c r="HJ431" s="341"/>
      <c r="HK431" s="341"/>
      <c r="HL431" s="341"/>
      <c r="HM431" s="341"/>
      <c r="HN431" s="341"/>
      <c r="HO431" s="341"/>
      <c r="HP431" s="341"/>
      <c r="HQ431" s="341"/>
      <c r="HR431" s="341"/>
      <c r="HS431" s="238"/>
      <c r="HT431" s="238"/>
      <c r="HU431" s="238"/>
      <c r="HV431" s="238"/>
      <c r="HX431" s="238"/>
      <c r="HY431" s="238"/>
      <c r="ID431" s="238"/>
    </row>
    <row r="432" spans="1:238" ht="14.1" customHeight="1">
      <c r="B432" s="214"/>
      <c r="C432" s="171"/>
      <c r="D432" s="171"/>
      <c r="E432" s="171"/>
      <c r="F432" s="171"/>
      <c r="G432" s="171"/>
      <c r="H432" s="171"/>
      <c r="I432" s="171"/>
      <c r="J432" s="171"/>
      <c r="K432" s="171"/>
      <c r="L432" s="171"/>
      <c r="M432" s="171"/>
      <c r="N432" s="171"/>
      <c r="O432" s="171"/>
      <c r="P432" s="171"/>
      <c r="Q432" s="171"/>
      <c r="R432" s="171"/>
      <c r="S432" s="171"/>
      <c r="T432" s="171"/>
      <c r="U432" s="171"/>
      <c r="V432" s="171"/>
      <c r="W432" s="171"/>
      <c r="X432" s="171"/>
      <c r="Y432" s="171"/>
      <c r="Z432" s="302"/>
      <c r="AA432" s="215"/>
      <c r="AB432" s="215"/>
      <c r="AC432" s="215"/>
      <c r="AD432" s="215"/>
      <c r="AE432" s="215"/>
      <c r="AF432" s="215"/>
      <c r="BB432" s="215"/>
      <c r="BC432" s="215"/>
      <c r="BD432" s="215"/>
      <c r="BE432" s="215"/>
      <c r="BF432" s="215"/>
      <c r="BG432" s="215"/>
      <c r="BH432" s="215"/>
      <c r="GD432" s="339"/>
      <c r="GE432" s="339"/>
      <c r="GF432" s="339"/>
      <c r="GG432" s="339"/>
      <c r="GH432" s="339"/>
      <c r="GI432" s="339"/>
      <c r="GJ432" s="339"/>
      <c r="GK432" s="339"/>
      <c r="GL432" s="339"/>
      <c r="GM432" s="339"/>
      <c r="GN432" s="339"/>
      <c r="GO432" s="339"/>
      <c r="GP432" s="339"/>
      <c r="GQ432" s="339"/>
      <c r="GR432" s="339"/>
      <c r="GS432" s="339"/>
      <c r="GT432" s="339"/>
      <c r="GU432" s="339"/>
      <c r="GV432" s="339"/>
      <c r="GW432" s="339"/>
      <c r="GX432" s="339"/>
      <c r="GY432" s="339"/>
      <c r="GZ432" s="339"/>
      <c r="HA432" s="339"/>
      <c r="HB432" s="339"/>
      <c r="HC432" s="339"/>
      <c r="HD432" s="339"/>
      <c r="HE432" s="339"/>
      <c r="HF432" s="339"/>
      <c r="HG432" s="339"/>
      <c r="HH432" s="339"/>
      <c r="HI432" s="339"/>
      <c r="HJ432" s="339"/>
      <c r="HK432" s="339"/>
      <c r="HL432" s="339"/>
      <c r="HM432" s="339"/>
      <c r="HN432" s="339"/>
      <c r="HO432" s="339"/>
      <c r="HP432" s="339"/>
      <c r="HQ432" s="339"/>
      <c r="HR432" s="339"/>
    </row>
    <row r="433" spans="1:238" ht="24" customHeight="1">
      <c r="B433" s="216"/>
      <c r="C433" s="181"/>
      <c r="D433" s="181"/>
      <c r="E433" s="181"/>
      <c r="F433" s="181"/>
      <c r="G433" s="181"/>
      <c r="H433" s="181"/>
      <c r="I433" s="181"/>
      <c r="J433" s="181"/>
      <c r="K433" s="185"/>
      <c r="L433" s="217"/>
      <c r="M433" s="218"/>
      <c r="N433" s="327" t="str">
        <f>CONCATENATE(AG433," ",AH433)</f>
        <v xml:space="preserve">Spiel </v>
      </c>
      <c r="O433" s="218"/>
      <c r="P433" s="219"/>
      <c r="Q433" s="185"/>
      <c r="R433" s="181"/>
      <c r="S433" s="181"/>
      <c r="T433" s="181"/>
      <c r="U433" s="181"/>
      <c r="V433" s="181"/>
      <c r="W433" s="181"/>
      <c r="X433" s="181"/>
      <c r="Y433" s="181"/>
      <c r="Z433" s="303"/>
      <c r="AA433" s="200">
        <f>IF(AH433="",10,"")</f>
        <v>10</v>
      </c>
      <c r="AB433" s="200"/>
      <c r="AC433" s="200"/>
      <c r="AD433" s="200"/>
      <c r="AE433" s="200"/>
      <c r="AF433" s="200"/>
      <c r="AG433" s="200" t="s">
        <v>863</v>
      </c>
      <c r="AH433" s="220" t="str">
        <f>IF('Heimmannschaft MAISON'!$A$1=3,"",IF('Heimmannschaft MAISON'!$A$1=1,"",31))</f>
        <v/>
      </c>
      <c r="AI433" s="173" t="str">
        <f>IF(AH433="","",VLOOKUP(AH433,Chema!R:T,3,FALSE))</f>
        <v/>
      </c>
      <c r="AJ433" s="200" t="str">
        <f>VLOOKUP(AH433,Chema!BL:BQ,6,FALSE)</f>
        <v/>
      </c>
      <c r="AK433" s="200" t="str">
        <f>IF(AH433="","",VLOOKUP(AH433,'Matchblatt  FEUILLE DE MATCH'!AI:AJ,2,FALSE))</f>
        <v/>
      </c>
      <c r="AL433" s="200" t="str">
        <f>IF(AH433="","",VLOOKUP(AH433,Chema!R:U,4,FALSE))</f>
        <v/>
      </c>
      <c r="AM433" s="215" t="str">
        <f>IF(AH433="","",VLOOKUP(AH433,'Matchblatt  FEUILLE DE MATCH'!AI:AS,10,FALSE))</f>
        <v/>
      </c>
      <c r="AN433" s="215"/>
      <c r="AO433" s="215"/>
      <c r="AP433" s="215"/>
      <c r="AQ433" s="215"/>
      <c r="AR433" s="215"/>
      <c r="AS433" s="215"/>
      <c r="AT433" s="215"/>
      <c r="AU433" s="215"/>
      <c r="AV433" s="215"/>
      <c r="AW433" s="215"/>
      <c r="AX433" s="215"/>
      <c r="AY433" s="215"/>
      <c r="AZ433" s="215"/>
      <c r="BA433" s="215" t="str">
        <f>IF(AH433="","",VLOOKUP(AH433,'Matchblatt  FEUILLE DE MATCH'!AI:AS,11,FALSE))</f>
        <v/>
      </c>
      <c r="BB433" s="200"/>
      <c r="BC433" s="200"/>
      <c r="BD433" s="200"/>
      <c r="BE433" s="200"/>
      <c r="BF433" s="200"/>
      <c r="BG433" s="200"/>
      <c r="BH433" s="200"/>
      <c r="BK433" s="196"/>
      <c r="BL433" s="196"/>
      <c r="BM433" s="196"/>
      <c r="BN433" s="196"/>
      <c r="BO433" s="196"/>
      <c r="BP433" s="196"/>
      <c r="BQ433" s="221" t="s">
        <v>843</v>
      </c>
      <c r="BR433" s="222"/>
      <c r="BS433" s="222"/>
      <c r="BT433" s="223"/>
      <c r="BU433" s="222" t="s">
        <v>843</v>
      </c>
      <c r="BV433" s="222"/>
      <c r="BW433" s="222"/>
      <c r="BX433" s="224"/>
      <c r="BY433" s="222"/>
      <c r="BZ433" s="222"/>
      <c r="CA433" s="222"/>
      <c r="CB433" s="222"/>
      <c r="CC433" s="222"/>
      <c r="CD433" s="222"/>
      <c r="CE433" s="222"/>
      <c r="CF433" s="222"/>
      <c r="CG433" s="224"/>
      <c r="CH433" s="222"/>
      <c r="CI433" s="222"/>
      <c r="CJ433" s="223"/>
      <c r="CK433" s="196"/>
      <c r="CL433" s="196"/>
      <c r="CM433" s="196"/>
      <c r="CN433" s="196"/>
      <c r="CO433" s="196"/>
      <c r="CP433" s="196"/>
      <c r="CQ433" s="196"/>
      <c r="CR433" s="196"/>
      <c r="CS433" s="196"/>
      <c r="CT433" s="196"/>
      <c r="CU433" s="196"/>
      <c r="CV433" s="196"/>
      <c r="CW433" s="196"/>
      <c r="CX433" s="196"/>
      <c r="CY433" s="196"/>
      <c r="CZ433" s="196"/>
      <c r="DA433" s="196"/>
      <c r="DB433" s="196"/>
      <c r="DC433" s="196"/>
      <c r="DD433" s="196"/>
      <c r="DE433" s="196"/>
      <c r="DF433" s="196"/>
      <c r="DG433" s="196"/>
      <c r="DH433" s="196"/>
      <c r="DI433" s="196"/>
      <c r="DJ433" s="196"/>
      <c r="DK433" s="196"/>
      <c r="DL433" s="196"/>
      <c r="DM433" s="196"/>
      <c r="DN433" s="196"/>
      <c r="DO433" s="196"/>
      <c r="DP433" s="196"/>
      <c r="DQ433" s="196"/>
      <c r="DR433" s="196"/>
      <c r="DS433" s="196"/>
      <c r="DT433" s="196"/>
      <c r="DU433" s="196"/>
      <c r="DV433" s="196"/>
      <c r="DW433" s="196"/>
      <c r="DX433" s="196"/>
      <c r="DY433" s="196"/>
      <c r="DZ433" s="196"/>
      <c r="EA433" s="196"/>
      <c r="EB433" s="196"/>
      <c r="EC433" s="196"/>
      <c r="ED433" s="196"/>
      <c r="EE433" s="196"/>
      <c r="EF433" s="196"/>
      <c r="EG433" s="196"/>
      <c r="EH433" s="196"/>
      <c r="EI433" s="196"/>
      <c r="EJ433" s="196"/>
      <c r="EK433" s="196"/>
      <c r="EL433" s="196"/>
      <c r="EM433" s="221" t="s">
        <v>7</v>
      </c>
      <c r="EN433" s="222"/>
      <c r="EO433" s="222"/>
      <c r="EP433" s="222"/>
      <c r="EQ433" s="222"/>
      <c r="ER433" s="222"/>
      <c r="ES433" s="222"/>
      <c r="ET433" s="224"/>
      <c r="EU433" s="222"/>
      <c r="EV433" s="222"/>
      <c r="EW433" s="222"/>
      <c r="EX433" s="222"/>
      <c r="EY433" s="222"/>
      <c r="EZ433" s="222"/>
      <c r="FA433" s="222"/>
      <c r="FB433" s="222"/>
      <c r="FC433" s="222"/>
      <c r="FD433" s="222"/>
      <c r="FE433" s="223"/>
      <c r="FF433" s="196"/>
      <c r="FG433" s="196"/>
      <c r="FH433" s="221" t="s">
        <v>12</v>
      </c>
      <c r="FI433" s="222"/>
      <c r="FJ433" s="222"/>
      <c r="FK433" s="222"/>
      <c r="FL433" s="222"/>
      <c r="FM433" s="222"/>
      <c r="FN433" s="222"/>
      <c r="FO433" s="224"/>
      <c r="FP433" s="222"/>
      <c r="FQ433" s="222"/>
      <c r="FR433" s="222"/>
      <c r="FS433" s="222"/>
      <c r="FT433" s="222"/>
      <c r="FU433" s="222"/>
      <c r="FV433" s="222"/>
      <c r="FW433" s="222"/>
      <c r="FX433" s="222"/>
      <c r="FY433" s="222"/>
      <c r="FZ433" s="223"/>
      <c r="GA433" s="196"/>
      <c r="GD433" s="339"/>
      <c r="GE433" s="339"/>
      <c r="GF433" s="339"/>
      <c r="GG433" s="339"/>
      <c r="GH433" s="339"/>
      <c r="GI433" s="339"/>
      <c r="GJ433" s="339"/>
      <c r="GK433" s="339"/>
      <c r="GL433" s="339"/>
      <c r="GM433" s="339"/>
      <c r="GN433" s="339"/>
      <c r="GO433" s="339"/>
      <c r="GP433" s="339"/>
      <c r="GQ433" s="339"/>
      <c r="GR433" s="339"/>
      <c r="GS433" s="339"/>
      <c r="GT433" s="339"/>
      <c r="GU433" s="339"/>
      <c r="GV433" s="339"/>
      <c r="GW433" s="339"/>
      <c r="GX433" s="339"/>
      <c r="GY433" s="339"/>
      <c r="GZ433" s="339"/>
      <c r="HA433" s="339"/>
      <c r="HB433" s="339"/>
      <c r="HC433" s="339"/>
      <c r="HD433" s="339"/>
      <c r="HE433" s="339"/>
      <c r="HF433" s="339"/>
      <c r="HG433" s="339"/>
      <c r="HH433" s="339"/>
      <c r="HI433" s="339"/>
      <c r="HJ433" s="339"/>
      <c r="HK433" s="339"/>
      <c r="HL433" s="339"/>
      <c r="HM433" s="339"/>
      <c r="HN433" s="339"/>
      <c r="HO433" s="339"/>
      <c r="HP433" s="339"/>
      <c r="HQ433" s="339"/>
      <c r="HR433" s="339"/>
    </row>
    <row r="434" spans="1:238" ht="14.1" customHeight="1">
      <c r="B434" s="225"/>
      <c r="C434" s="304"/>
      <c r="D434" s="304"/>
      <c r="E434" s="304"/>
      <c r="F434" s="304"/>
      <c r="G434" s="304"/>
      <c r="H434" s="304"/>
      <c r="I434" s="304"/>
      <c r="J434" s="304"/>
      <c r="K434" s="166"/>
      <c r="L434" s="166"/>
      <c r="M434" s="166"/>
      <c r="N434" s="304"/>
      <c r="O434" s="304"/>
      <c r="P434" s="166"/>
      <c r="Q434" s="166"/>
      <c r="R434" s="304"/>
      <c r="S434" s="304"/>
      <c r="T434" s="304"/>
      <c r="U434" s="304"/>
      <c r="V434" s="304"/>
      <c r="W434" s="304"/>
      <c r="X434" s="166"/>
      <c r="Y434" s="166"/>
      <c r="Z434" s="305"/>
      <c r="AA434" s="63"/>
      <c r="AB434" s="63"/>
      <c r="AC434" s="63"/>
      <c r="AD434" s="63"/>
      <c r="AE434" s="63"/>
      <c r="AF434" s="63"/>
      <c r="AJ434" s="173" t="str">
        <f>IF(AH433="","",IF(AK433="D",CONCATENATE(AI433,".",2),""))</f>
        <v/>
      </c>
      <c r="AL434" s="200"/>
      <c r="AM434" s="200" t="str">
        <f>IF(AK433="D",VLOOKUP(AJ434,'Matchblatt  FEUILLE DE MATCH'!AK:AS,8,FALSE),"")</f>
        <v/>
      </c>
      <c r="AN434" s="200"/>
      <c r="AO434" s="200"/>
      <c r="AP434" s="200"/>
      <c r="AQ434" s="200"/>
      <c r="AR434" s="200"/>
      <c r="AS434" s="200"/>
      <c r="AT434" s="200"/>
      <c r="AU434" s="200"/>
      <c r="AV434" s="200"/>
      <c r="AW434" s="200"/>
      <c r="AX434" s="200"/>
      <c r="AY434" s="200"/>
      <c r="AZ434" s="200"/>
      <c r="BA434" s="200" t="str">
        <f>IF(AK433="D",VLOOKUP(AJ434,'Matchblatt  FEUILLE DE MATCH'!AK:AS,9,FALSE),"")</f>
        <v/>
      </c>
      <c r="BB434" s="63"/>
      <c r="BC434" s="63"/>
      <c r="BD434" s="63"/>
      <c r="BE434" s="63"/>
      <c r="BF434" s="63"/>
      <c r="BG434" s="63"/>
      <c r="BH434" s="63"/>
      <c r="BK434" s="166" t="s">
        <v>7</v>
      </c>
      <c r="BL434" s="166" t="s">
        <v>12</v>
      </c>
      <c r="BM434" s="166"/>
      <c r="BN434" s="166" t="s">
        <v>7</v>
      </c>
      <c r="BO434" s="166" t="s">
        <v>12</v>
      </c>
      <c r="BP434" s="166"/>
      <c r="BQ434" s="226" t="s">
        <v>894</v>
      </c>
      <c r="BR434" s="227" t="s">
        <v>895</v>
      </c>
      <c r="BS434" s="228" t="s">
        <v>896</v>
      </c>
      <c r="BT434" s="229"/>
      <c r="BU434" s="226" t="s">
        <v>7</v>
      </c>
      <c r="BV434" s="166"/>
      <c r="BW434" s="166"/>
      <c r="BX434" s="230"/>
      <c r="BY434" s="166"/>
      <c r="BZ434" s="166"/>
      <c r="CA434" s="227"/>
      <c r="CB434" s="166"/>
      <c r="CC434" s="166"/>
      <c r="CD434" s="226" t="s">
        <v>12</v>
      </c>
      <c r="CE434" s="166"/>
      <c r="CF434" s="166"/>
      <c r="CG434" s="230"/>
      <c r="CH434" s="166"/>
      <c r="CI434" s="166"/>
      <c r="CJ434" s="227"/>
      <c r="CK434" s="166"/>
      <c r="CL434" s="166" t="s">
        <v>897</v>
      </c>
      <c r="CM434" s="166"/>
      <c r="CN434" s="166"/>
      <c r="CO434" s="166"/>
      <c r="CP434" s="166"/>
      <c r="CQ434" s="166"/>
      <c r="CR434" s="166"/>
      <c r="CS434" s="166"/>
      <c r="CT434" s="166"/>
      <c r="CU434" s="166" t="s">
        <v>843</v>
      </c>
      <c r="CV434" s="166"/>
      <c r="CW434" s="166" t="s">
        <v>843</v>
      </c>
      <c r="CX434" s="166"/>
      <c r="CY434" s="166"/>
      <c r="CZ434" s="166"/>
      <c r="DA434" s="166"/>
      <c r="DB434" s="166"/>
      <c r="DC434" s="166"/>
      <c r="DD434" s="166" t="s">
        <v>894</v>
      </c>
      <c r="DE434" s="166" t="s">
        <v>895</v>
      </c>
      <c r="DF434" s="166"/>
      <c r="DG434" s="166" t="s">
        <v>927</v>
      </c>
      <c r="DH434" s="166"/>
      <c r="DI434" s="166"/>
      <c r="DJ434" s="166"/>
      <c r="DK434" s="166"/>
      <c r="DL434" s="166"/>
      <c r="DM434" s="166"/>
      <c r="DN434" s="166" t="s">
        <v>928</v>
      </c>
      <c r="DO434" s="166" t="s">
        <v>929</v>
      </c>
      <c r="DP434" s="166"/>
      <c r="DQ434" s="166"/>
      <c r="DR434" s="166"/>
      <c r="DS434" s="166"/>
      <c r="DT434" s="166"/>
      <c r="DU434" s="166"/>
      <c r="DV434" s="166" t="s">
        <v>894</v>
      </c>
      <c r="DW434" s="166" t="s">
        <v>895</v>
      </c>
      <c r="DX434" s="166"/>
      <c r="DY434" s="166"/>
      <c r="DZ434" s="166"/>
      <c r="EA434" s="166"/>
      <c r="EB434" s="166"/>
      <c r="EC434" s="166"/>
      <c r="ED434" s="166" t="s">
        <v>894</v>
      </c>
      <c r="EE434" s="166" t="s">
        <v>895</v>
      </c>
      <c r="EF434" s="166"/>
      <c r="EG434" s="166"/>
      <c r="EH434" s="166"/>
      <c r="EI434" s="166"/>
      <c r="EJ434" s="166"/>
      <c r="EK434" s="166"/>
      <c r="EL434" s="166"/>
      <c r="EM434" s="166"/>
      <c r="EN434" s="166"/>
      <c r="EO434" s="166"/>
      <c r="EP434" s="166"/>
      <c r="EQ434" s="166"/>
      <c r="ER434" s="166"/>
      <c r="ES434" s="166"/>
      <c r="ET434" s="230"/>
      <c r="EU434" s="166"/>
      <c r="EV434" s="166"/>
      <c r="EW434" s="166"/>
      <c r="EX434" s="166"/>
      <c r="EY434" s="166"/>
      <c r="EZ434" s="166"/>
      <c r="FA434" s="166"/>
      <c r="FB434" s="166"/>
      <c r="FC434" s="166"/>
      <c r="FD434" s="166"/>
      <c r="FE434" s="166"/>
      <c r="FF434" s="166"/>
      <c r="FG434" s="166"/>
      <c r="FH434" s="166"/>
      <c r="FI434" s="166"/>
      <c r="FJ434" s="166"/>
      <c r="FK434" s="166"/>
      <c r="FL434" s="166"/>
      <c r="FM434" s="166"/>
      <c r="FN434" s="166"/>
      <c r="FO434" s="230"/>
      <c r="FP434" s="166"/>
      <c r="FQ434" s="166"/>
      <c r="FR434" s="166"/>
      <c r="FS434" s="166"/>
      <c r="FT434" s="166"/>
      <c r="FU434" s="166"/>
      <c r="FV434" s="166"/>
      <c r="FW434" s="166"/>
      <c r="FX434" s="166"/>
      <c r="FY434" s="166"/>
      <c r="FZ434" s="166"/>
      <c r="GA434" s="166"/>
      <c r="GD434" s="339"/>
      <c r="GE434" s="339"/>
      <c r="GF434" s="339"/>
      <c r="GG434" s="339"/>
      <c r="GH434" s="339"/>
      <c r="GI434" s="339"/>
      <c r="GJ434" s="339"/>
      <c r="GK434" s="339"/>
      <c r="GL434" s="339"/>
      <c r="GM434" s="339"/>
      <c r="GN434" s="339"/>
      <c r="GO434" s="339"/>
      <c r="GP434" s="339"/>
      <c r="GQ434" s="339"/>
      <c r="GR434" s="339"/>
      <c r="GS434" s="339"/>
      <c r="GT434" s="339"/>
      <c r="GU434" s="339"/>
      <c r="GV434" s="339"/>
      <c r="GW434" s="339"/>
      <c r="GX434" s="339"/>
      <c r="GY434" s="339"/>
      <c r="GZ434" s="339"/>
      <c r="HA434" s="339"/>
      <c r="HB434" s="339"/>
      <c r="HC434" s="339"/>
      <c r="HD434" s="339"/>
      <c r="HE434" s="339"/>
      <c r="HF434" s="339"/>
      <c r="HG434" s="339"/>
      <c r="HH434" s="339"/>
      <c r="HI434" s="339"/>
      <c r="HJ434" s="339"/>
      <c r="HK434" s="339"/>
      <c r="HL434" s="339"/>
      <c r="HM434" s="339"/>
      <c r="HN434" s="339"/>
      <c r="HO434" s="339"/>
      <c r="HP434" s="339"/>
      <c r="HQ434" s="339"/>
      <c r="HR434" s="339"/>
    </row>
    <row r="435" spans="1:238" s="234" customFormat="1" ht="20.100000000000001" customHeight="1">
      <c r="A435" s="235"/>
      <c r="B435" s="231"/>
      <c r="C435" s="232" t="str">
        <f>REPT(Sprache!$K$12,1)</f>
        <v>SPIEL</v>
      </c>
      <c r="D435" s="233" t="s">
        <v>869</v>
      </c>
      <c r="E435" s="233" t="str">
        <f>REPT(Sprache!$K$62,1)</f>
        <v>Punkte</v>
      </c>
      <c r="F435" s="233" t="str">
        <f>REPT(Sprache!$K$61,1)</f>
        <v>Rest</v>
      </c>
      <c r="G435" s="233" t="s">
        <v>898</v>
      </c>
      <c r="H435" s="233" t="s">
        <v>848</v>
      </c>
      <c r="I435" s="233">
        <v>180</v>
      </c>
      <c r="J435" s="233" t="str">
        <f>REPT(Sprache!$K$63,1)</f>
        <v>Fehler</v>
      </c>
      <c r="L435" s="306" t="s">
        <v>923</v>
      </c>
      <c r="M435" s="307"/>
      <c r="P435" s="306" t="s">
        <v>923</v>
      </c>
      <c r="R435" s="232" t="str">
        <f>REPT(Sprache!$K$12,1)</f>
        <v>SPIEL</v>
      </c>
      <c r="S435" s="233" t="s">
        <v>869</v>
      </c>
      <c r="T435" s="233" t="str">
        <f>REPT(Sprache!$K$62,1)</f>
        <v>Punkte</v>
      </c>
      <c r="U435" s="233" t="str">
        <f>REPT(Sprache!$K$61,1)</f>
        <v>Rest</v>
      </c>
      <c r="V435" s="233" t="s">
        <v>898</v>
      </c>
      <c r="W435" s="233" t="s">
        <v>848</v>
      </c>
      <c r="X435" s="233">
        <v>180</v>
      </c>
      <c r="Y435" s="233" t="str">
        <f>REPT(Sprache!$K$63,1)</f>
        <v>Fehler</v>
      </c>
      <c r="Z435" s="308"/>
      <c r="AD435" s="235"/>
      <c r="AE435" s="236" t="s">
        <v>966</v>
      </c>
      <c r="AF435" s="236" t="s">
        <v>967</v>
      </c>
      <c r="AG435" s="236" t="s">
        <v>965</v>
      </c>
      <c r="AH435" s="237" t="str">
        <f>LEFT($BM$6,10)</f>
        <v/>
      </c>
      <c r="AI435" s="237" t="str">
        <f>LEFT($BN$6,10)</f>
        <v/>
      </c>
      <c r="AJ435" s="237" t="s">
        <v>898</v>
      </c>
      <c r="AK435" s="237" t="s">
        <v>848</v>
      </c>
      <c r="AL435" s="237">
        <v>180</v>
      </c>
      <c r="AM435" s="237" t="str">
        <f>LEFT($BL$6,50)</f>
        <v/>
      </c>
      <c r="AN435" s="235"/>
      <c r="AO435" s="235"/>
      <c r="AP435" s="235"/>
      <c r="AQ435" s="235"/>
      <c r="AR435" s="235"/>
      <c r="AS435" s="235"/>
      <c r="AT435" s="235"/>
      <c r="AU435" s="235"/>
      <c r="AV435" s="237" t="str">
        <f>LEFT($BM$6,10)</f>
        <v/>
      </c>
      <c r="AW435" s="237" t="str">
        <f>LEFT($BN$6,10)</f>
        <v/>
      </c>
      <c r="AX435" s="237" t="s">
        <v>898</v>
      </c>
      <c r="AY435" s="237" t="s">
        <v>848</v>
      </c>
      <c r="AZ435" s="237">
        <v>180</v>
      </c>
      <c r="BA435" s="237" t="str">
        <f>LEFT($BL$6,50)</f>
        <v/>
      </c>
      <c r="BI435" s="238"/>
      <c r="BJ435" s="238"/>
      <c r="BK435" s="238" t="s">
        <v>165</v>
      </c>
      <c r="BL435" s="238" t="s">
        <v>165</v>
      </c>
      <c r="BM435" s="239" t="s">
        <v>165</v>
      </c>
      <c r="BN435" s="239" t="s">
        <v>899</v>
      </c>
      <c r="BO435" s="239" t="s">
        <v>899</v>
      </c>
      <c r="BP435" s="239" t="s">
        <v>900</v>
      </c>
      <c r="BQ435" s="240" t="s">
        <v>901</v>
      </c>
      <c r="BR435" s="241"/>
      <c r="BS435" s="242" t="s">
        <v>926</v>
      </c>
      <c r="BT435" s="243"/>
      <c r="BU435" s="242" t="s">
        <v>902</v>
      </c>
      <c r="BV435" s="238"/>
      <c r="BW435" s="238"/>
      <c r="BX435" s="244"/>
      <c r="BY435" s="238"/>
      <c r="BZ435" s="238" t="s">
        <v>903</v>
      </c>
      <c r="CA435" s="243" t="s">
        <v>904</v>
      </c>
      <c r="CB435" s="238"/>
      <c r="CC435" s="238"/>
      <c r="CD435" s="242" t="s">
        <v>902</v>
      </c>
      <c r="CE435" s="238"/>
      <c r="CF435" s="238"/>
      <c r="CG435" s="244"/>
      <c r="CH435" s="238"/>
      <c r="CI435" s="238" t="s">
        <v>903</v>
      </c>
      <c r="CJ435" s="243" t="s">
        <v>904</v>
      </c>
      <c r="CK435" s="238"/>
      <c r="CL435" s="245" t="s">
        <v>905</v>
      </c>
      <c r="CM435" s="245" t="s">
        <v>906</v>
      </c>
      <c r="CN435" s="245" t="s">
        <v>907</v>
      </c>
      <c r="CO435" s="245" t="s">
        <v>908</v>
      </c>
      <c r="CP435" s="245" t="s">
        <v>909</v>
      </c>
      <c r="CQ435" s="246" t="s">
        <v>910</v>
      </c>
      <c r="CR435" s="247"/>
      <c r="CS435" s="246" t="s">
        <v>911</v>
      </c>
      <c r="CT435" s="248"/>
      <c r="CU435" s="246" t="s">
        <v>912</v>
      </c>
      <c r="CV435" s="248"/>
      <c r="CW435" s="246" t="s">
        <v>913</v>
      </c>
      <c r="CX435" s="248"/>
      <c r="CY435" s="238"/>
      <c r="CZ435" s="238"/>
      <c r="DA435" s="238"/>
      <c r="DB435" s="238"/>
      <c r="DC435" s="249" t="s">
        <v>165</v>
      </c>
      <c r="DD435" s="249" t="s">
        <v>165</v>
      </c>
      <c r="DE435" s="249" t="s">
        <v>165</v>
      </c>
      <c r="DF435" s="238"/>
      <c r="DG435" s="238" t="s">
        <v>914</v>
      </c>
      <c r="DH435" s="238" t="s">
        <v>930</v>
      </c>
      <c r="DI435" s="238" t="s">
        <v>931</v>
      </c>
      <c r="DK435" s="238" t="s">
        <v>932</v>
      </c>
      <c r="DL435" s="238" t="s">
        <v>933</v>
      </c>
      <c r="DM435" s="238" t="s">
        <v>869</v>
      </c>
      <c r="DN435" s="230" t="s">
        <v>915</v>
      </c>
      <c r="DO435" s="250" t="s">
        <v>915</v>
      </c>
      <c r="DP435" s="322" t="s">
        <v>934</v>
      </c>
      <c r="DQ435" s="238"/>
      <c r="DR435" s="166" t="s">
        <v>894</v>
      </c>
      <c r="DS435" s="166" t="s">
        <v>895</v>
      </c>
      <c r="DT435" s="166" t="s">
        <v>935</v>
      </c>
      <c r="DU435" s="166" t="s">
        <v>936</v>
      </c>
      <c r="DV435" s="251" t="s">
        <v>165</v>
      </c>
      <c r="DW435" s="251" t="s">
        <v>165</v>
      </c>
      <c r="DX435" s="238" t="s">
        <v>916</v>
      </c>
      <c r="DY435" s="238"/>
      <c r="DZ435" s="238"/>
      <c r="EA435" s="238"/>
      <c r="EB435" s="238"/>
      <c r="EC435" s="238"/>
      <c r="ED435" s="251" t="s">
        <v>165</v>
      </c>
      <c r="EE435" s="251" t="s">
        <v>165</v>
      </c>
      <c r="EF435" s="166"/>
      <c r="EG435" s="238"/>
      <c r="EH435" s="238"/>
      <c r="EI435" s="238"/>
      <c r="EJ435" s="238"/>
      <c r="EK435" s="238"/>
      <c r="EL435" s="238"/>
      <c r="EM435" s="238"/>
      <c r="EN435" s="238"/>
      <c r="EO435" s="246" t="s">
        <v>917</v>
      </c>
      <c r="EP435" s="247"/>
      <c r="EQ435" s="247"/>
      <c r="ER435" s="247"/>
      <c r="ES435" s="247"/>
      <c r="ET435" s="252"/>
      <c r="EU435" s="248"/>
      <c r="EV435" s="246" t="s">
        <v>918</v>
      </c>
      <c r="EW435" s="247"/>
      <c r="EX435" s="248"/>
      <c r="EY435" s="251" t="s">
        <v>165</v>
      </c>
      <c r="EZ435" s="246" t="s">
        <v>919</v>
      </c>
      <c r="FA435" s="247"/>
      <c r="FB435" s="248"/>
      <c r="FC435" s="246" t="s">
        <v>920</v>
      </c>
      <c r="FD435" s="247"/>
      <c r="FE435" s="248"/>
      <c r="FF435" s="238"/>
      <c r="FG435" s="238"/>
      <c r="FH435" s="238"/>
      <c r="FI435" s="238"/>
      <c r="FJ435" s="246" t="s">
        <v>917</v>
      </c>
      <c r="FK435" s="247"/>
      <c r="FL435" s="247"/>
      <c r="FM435" s="247"/>
      <c r="FN435" s="247"/>
      <c r="FO435" s="252"/>
      <c r="FP435" s="248"/>
      <c r="FQ435" s="246" t="s">
        <v>918</v>
      </c>
      <c r="FR435" s="247"/>
      <c r="FS435" s="248"/>
      <c r="FT435" s="251" t="s">
        <v>165</v>
      </c>
      <c r="FU435" s="246" t="s">
        <v>919</v>
      </c>
      <c r="FV435" s="247"/>
      <c r="FW435" s="248"/>
      <c r="FX435" s="246" t="s">
        <v>920</v>
      </c>
      <c r="FY435" s="247"/>
      <c r="FZ435" s="248"/>
      <c r="GD435" s="340"/>
      <c r="GE435" s="340"/>
      <c r="GF435" s="341" t="s">
        <v>968</v>
      </c>
      <c r="GG435" s="340"/>
      <c r="GH435" s="340"/>
      <c r="GI435" s="340"/>
      <c r="GJ435" s="341" t="s">
        <v>972</v>
      </c>
      <c r="GK435" s="340"/>
      <c r="GL435" s="340"/>
      <c r="GM435" s="340"/>
      <c r="GN435" s="341" t="s">
        <v>971</v>
      </c>
      <c r="GO435" s="340"/>
      <c r="GP435" s="340"/>
      <c r="GQ435" s="340"/>
      <c r="GR435" s="341" t="s">
        <v>970</v>
      </c>
      <c r="GS435" s="340"/>
      <c r="GT435" s="340"/>
      <c r="GU435" s="340"/>
      <c r="GV435" s="341" t="s">
        <v>969</v>
      </c>
      <c r="GW435" s="340"/>
      <c r="GX435" s="340"/>
      <c r="GY435" s="340"/>
      <c r="GZ435" s="342" t="s">
        <v>973</v>
      </c>
      <c r="HA435" s="340"/>
      <c r="HB435" s="340"/>
      <c r="HC435" s="340"/>
      <c r="HD435" s="342" t="s">
        <v>974</v>
      </c>
      <c r="HE435" s="340"/>
      <c r="HF435" s="340"/>
      <c r="HG435" s="340"/>
      <c r="HH435" s="340"/>
      <c r="HI435" s="340"/>
      <c r="HJ435" s="340"/>
      <c r="HK435" s="340"/>
      <c r="HL435" s="340"/>
      <c r="HM435" s="341"/>
      <c r="HN435" s="341"/>
      <c r="HO435" s="341"/>
      <c r="HP435" s="341"/>
      <c r="HQ435" s="341"/>
      <c r="HR435" s="341"/>
      <c r="HS435" s="238"/>
      <c r="HT435" s="238"/>
      <c r="HU435" s="238"/>
      <c r="HV435" s="238"/>
      <c r="HX435" s="238"/>
      <c r="HY435" s="238"/>
      <c r="HZ435" s="238"/>
      <c r="ID435" s="238"/>
    </row>
    <row r="436" spans="1:238" s="234" customFormat="1" ht="20.100000000000001" customHeight="1">
      <c r="A436" s="235"/>
      <c r="B436" s="231">
        <f>COUNT(AJ437,AJ436)</f>
        <v>0</v>
      </c>
      <c r="C436" s="325" t="str">
        <f>CONCATENATE(BG436,BE436)</f>
        <v>H</v>
      </c>
      <c r="D436" s="253" t="str">
        <f>REPT(DN436,1)</f>
        <v>1</v>
      </c>
      <c r="E436" s="254" t="str">
        <f>REPT(AH436,1)</f>
        <v/>
      </c>
      <c r="F436" s="168"/>
      <c r="G436" s="168"/>
      <c r="H436" s="168"/>
      <c r="I436" s="169"/>
      <c r="J436" s="255" t="str">
        <f>REPT(AM436,1)</f>
        <v/>
      </c>
      <c r="L436" s="309">
        <f>SUM(BS445)</f>
        <v>0</v>
      </c>
      <c r="M436" s="238"/>
      <c r="N436" s="255" t="str">
        <f>REPT(AP436,1)</f>
        <v/>
      </c>
      <c r="P436" s="309">
        <f>SUM(CF445)</f>
        <v>0</v>
      </c>
      <c r="Q436" s="310"/>
      <c r="R436" s="323" t="str">
        <f>CONCATENATE(BH436,BE436)</f>
        <v>G</v>
      </c>
      <c r="S436" s="253" t="str">
        <f>REPT(DO436,1)</f>
        <v>1</v>
      </c>
      <c r="T436" s="254" t="str">
        <f>REPT(AV436,1)</f>
        <v/>
      </c>
      <c r="U436" s="168"/>
      <c r="V436" s="168"/>
      <c r="W436" s="168"/>
      <c r="X436" s="169"/>
      <c r="Y436" s="255" t="str">
        <f>REPT(BA436,1)</f>
        <v/>
      </c>
      <c r="Z436" s="308"/>
      <c r="AB436" s="234">
        <f>IF(AY436="",0,IF(AY436&lt;2,1,""))</f>
        <v>0</v>
      </c>
      <c r="AC436" s="238">
        <f>IF(AD436=1,1,IF(AD436=3,1,IF(AD436=2,0,IF(AD436=0,0,0))))</f>
        <v>0</v>
      </c>
      <c r="AD436" s="256">
        <f>SUM(AE436:AG436)</f>
        <v>0</v>
      </c>
      <c r="AE436" s="256">
        <f t="shared" ref="AE436:AE440" si="1076">IF(F436="",0,1)</f>
        <v>0</v>
      </c>
      <c r="AF436" s="256">
        <f t="shared" ref="AF436:AF440" si="1077">IF(G436="",0,1)</f>
        <v>0</v>
      </c>
      <c r="AG436" s="256">
        <f>IF(H436="",0,1)</f>
        <v>0</v>
      </c>
      <c r="AH436" s="257" t="str">
        <f>IF(AK436="",IF(AI436="","",IF(AI436="",501,501-AI436)),501)</f>
        <v/>
      </c>
      <c r="AI436" s="256" t="str">
        <f>IF(F436&gt;1,F436,IF(F436=0,"",IF(F436="","","")))</f>
        <v/>
      </c>
      <c r="AJ436" s="256" t="str">
        <f>IF(G436&gt;8,G436,IF(G436="","",""))</f>
        <v/>
      </c>
      <c r="AK436" s="256" t="str">
        <f>IF(H436&gt;1,H436,IF(H436="","",""))</f>
        <v/>
      </c>
      <c r="AL436" s="256" t="str">
        <f>IF(I436&gt;0,I436,IF(I436="","",""))</f>
        <v/>
      </c>
      <c r="AM436" s="258" t="str">
        <f>IF(BK436=0,"","X")</f>
        <v/>
      </c>
      <c r="AN436" s="237"/>
      <c r="AO436" s="237"/>
      <c r="AP436" s="258" t="str">
        <f>IF(BM436=0,"","X")</f>
        <v/>
      </c>
      <c r="AQ436" s="236">
        <f>IF(AR436=1,1,IF(AR436=3,1,IF(AR436=2,0,IF(AR436=0,0,0))))</f>
        <v>0</v>
      </c>
      <c r="AR436" s="256">
        <f>SUM(AS436:AU436)</f>
        <v>0</v>
      </c>
      <c r="AS436" s="256">
        <f t="shared" ref="AS436:AS440" si="1078">IF(U436="",0,1)</f>
        <v>0</v>
      </c>
      <c r="AT436" s="256">
        <f t="shared" ref="AT436:AT440" si="1079">IF(V436="",0,1)</f>
        <v>0</v>
      </c>
      <c r="AU436" s="256">
        <f>IF(W436="",0,1)</f>
        <v>0</v>
      </c>
      <c r="AV436" s="257" t="str">
        <f>IF(AY436="",IF(AW436="","",IF(AW436="",501,501-AW436)),501)</f>
        <v/>
      </c>
      <c r="AW436" s="256" t="str">
        <f>IF(U436&gt;1,U436,IF(U436=0,"",IF(U436="","","")))</f>
        <v/>
      </c>
      <c r="AX436" s="256" t="str">
        <f>IF(V436&gt;8,V436,IF(V436="","",""))</f>
        <v/>
      </c>
      <c r="AY436" s="256" t="str">
        <f>IF(W436&gt;1,W436,IF(W436="","",""))</f>
        <v/>
      </c>
      <c r="AZ436" s="256" t="str">
        <f>IF(X436&gt;0,X436,IF(X436="","",""))</f>
        <v/>
      </c>
      <c r="BA436" s="258" t="str">
        <f>IF(BL436=0,"","X")</f>
        <v/>
      </c>
      <c r="BF436" s="238" t="s">
        <v>894</v>
      </c>
      <c r="BG436" s="238" t="str">
        <f>CONCATENATE(BF436,AK433)</f>
        <v>H</v>
      </c>
      <c r="BH436" s="238" t="str">
        <f>CONCATENATE(BI436,AK433)</f>
        <v>G</v>
      </c>
      <c r="BI436" s="238" t="s">
        <v>895</v>
      </c>
      <c r="BJ436" s="238"/>
      <c r="BK436" s="251">
        <f>SUM(DD436,DV436,EY436,ED436,FF436,BQ436,BS436,AC436)</f>
        <v>0</v>
      </c>
      <c r="BL436" s="251">
        <f>SUM(DE436,DW436,EE436,FT436,GA436,BR436,BT436,AQ436)</f>
        <v>0</v>
      </c>
      <c r="BM436" s="259">
        <f>SUM(DC436,BK436:BL436,AC436,AQ436)</f>
        <v>0</v>
      </c>
      <c r="BN436" s="239">
        <f>COUNT(AK436)</f>
        <v>0</v>
      </c>
      <c r="BO436" s="239">
        <f>COUNT(AY436)</f>
        <v>0</v>
      </c>
      <c r="BP436" s="239">
        <f>IF(BN438=0,0,1)</f>
        <v>0</v>
      </c>
      <c r="BQ436" s="260">
        <f>IF(AL436="",0,IF(AL436&gt;2,1,0))</f>
        <v>0</v>
      </c>
      <c r="BR436" s="261">
        <f>IF(AZ436="",0,IF(AZ436&gt;2,1,0))</f>
        <v>0</v>
      </c>
      <c r="BS436" s="262">
        <f>IF(AJ436=9,IF(AK436&lt;141,1,0),0)</f>
        <v>0</v>
      </c>
      <c r="BT436" s="263">
        <f>IF(AX436=9,IF(AY436&lt;141,1,0),0)</f>
        <v>0</v>
      </c>
      <c r="BU436" s="242">
        <f>IF(H436,G436,0)</f>
        <v>0</v>
      </c>
      <c r="BV436" s="238">
        <f>IF(BU436&gt;0,AJ436/3,0)</f>
        <v>0</v>
      </c>
      <c r="BW436" s="238">
        <f>ROUNDUP(BV436,0)</f>
        <v>0</v>
      </c>
      <c r="BX436" s="244">
        <f>IF(MOD(BW436,2)=0,BW436,BW436+1)</f>
        <v>0</v>
      </c>
      <c r="BY436" s="238">
        <f>IF(AJ436&lt;9,"",SUM(BX436-BW436))</f>
        <v>0</v>
      </c>
      <c r="BZ436" s="238">
        <f>IF(BY436=1,AK436,0)</f>
        <v>0</v>
      </c>
      <c r="CA436" s="243" t="str">
        <f>IF(BY436=0,AK436,0)</f>
        <v/>
      </c>
      <c r="CB436" s="238"/>
      <c r="CC436" s="238"/>
      <c r="CD436" s="242">
        <f>IF(W436,V436,0)</f>
        <v>0</v>
      </c>
      <c r="CE436" s="238">
        <f>IF(CD436&gt;0,AX436/3,0)</f>
        <v>0</v>
      </c>
      <c r="CF436" s="238">
        <f>ROUNDUP(CE436,0)</f>
        <v>0</v>
      </c>
      <c r="CG436" s="244">
        <f>IF(MOD(CF436,2)=0,CF436,CF436+1)</f>
        <v>0</v>
      </c>
      <c r="CH436" s="238">
        <f>IF(AX436&lt;9,"",SUM(CG436-CF436))</f>
        <v>0</v>
      </c>
      <c r="CI436" s="238">
        <f>IF(CH436=1,AY436,0)</f>
        <v>0</v>
      </c>
      <c r="CJ436" s="243" t="str">
        <f>IF(CH436=0,AY436,0)</f>
        <v/>
      </c>
      <c r="CK436" s="238"/>
      <c r="CL436" s="245">
        <f>IF(COUNT(F436,H436)=1,0,1)</f>
        <v>1</v>
      </c>
      <c r="CM436" s="245">
        <f>IF(COUNT(F436,U436)=1,0,1)</f>
        <v>1</v>
      </c>
      <c r="CN436" s="245">
        <f>IF(COUNT(H436,W436)=1,0,1)</f>
        <v>1</v>
      </c>
      <c r="CO436" s="245">
        <f>IF(COUNT(G436,V436)=2,0,1)</f>
        <v>1</v>
      </c>
      <c r="CP436" s="245">
        <f>IF(COUNT(U436,W436)=1,0,1)</f>
        <v>1</v>
      </c>
      <c r="CQ436" s="245">
        <f>IF(SUM(G436-V436)&gt;3,1,0)</f>
        <v>0</v>
      </c>
      <c r="CR436" s="245">
        <f>IF(SUM(G436-V436)&lt;-3,1,0)</f>
        <v>0</v>
      </c>
      <c r="CS436" s="264">
        <f>IF(AJ436=9,IF(AH436&lt;141,1,0),IF(AH436="",0,IF(AH436&gt;1,0,1)))</f>
        <v>0</v>
      </c>
      <c r="CT436" s="264">
        <f>IF(AX436=9,IF(AV436&lt;141,1,0),IF(AV436="",0,IF(AV436&gt;1,0,1)))</f>
        <v>0</v>
      </c>
      <c r="CU436" s="264">
        <f>IF(AI436="",0,IF(AI436&lt;502,0,1))</f>
        <v>0</v>
      </c>
      <c r="CV436" s="264">
        <f>IF(AW436="",0,IF(AW436&lt;502,0,1))</f>
        <v>0</v>
      </c>
      <c r="CW436" s="264">
        <f>IF(AI436="",IF(AJ436&lt;9,1,0),IF(AJ436&lt;9,1,0))</f>
        <v>0</v>
      </c>
      <c r="CX436" s="264">
        <f>IF(AW436="",IF(AX436&lt;9,1,0),IF(AX436&lt;9,1,0))</f>
        <v>0</v>
      </c>
      <c r="CY436" s="374"/>
      <c r="CZ436" s="374"/>
      <c r="DA436" s="374"/>
      <c r="DB436" s="374"/>
      <c r="DC436" s="265">
        <f>IF(AJ436="",0,SUM(CL436:CX436))</f>
        <v>0</v>
      </c>
      <c r="DD436" s="265">
        <f>IF(AJ436="",0,SUM(CL436,CS436,CU436,CW436))</f>
        <v>0</v>
      </c>
      <c r="DE436" s="265">
        <f>IF(AJ436="",0,SUM(CP436,CT436,CV436,CX436))</f>
        <v>0</v>
      </c>
      <c r="DF436" s="238"/>
      <c r="DG436" s="248" t="str">
        <f>IF(G436="","",SUM(G436-V436))</f>
        <v/>
      </c>
      <c r="DH436" s="245">
        <f>IF(F436="",0,1)</f>
        <v>0</v>
      </c>
      <c r="DI436" s="245" t="str">
        <f>IF(DG436=0,DH436,DG436)</f>
        <v/>
      </c>
      <c r="DJ436" s="245" t="e">
        <f>SIGN(DI436)</f>
        <v>#VALUE!</v>
      </c>
      <c r="DK436" s="245" t="str">
        <f>IF(G436="","",IF(DJ436=1,"*",""))</f>
        <v/>
      </c>
      <c r="DL436" s="245" t="str">
        <f>IF(G436="","",IF(DJ436=-1,"*",IF(DJ436=0,"*","")))</f>
        <v/>
      </c>
      <c r="DM436" s="245">
        <v>1</v>
      </c>
      <c r="DN436" s="245" t="str">
        <f>CONCATENATE(DM436,DK436)</f>
        <v>1</v>
      </c>
      <c r="DO436" s="245" t="str">
        <f>CONCATENATE(DM436,DL436)</f>
        <v>1</v>
      </c>
      <c r="DP436" s="245">
        <f>IF(DK436="*",1,0)</f>
        <v>0</v>
      </c>
      <c r="DQ436" s="245">
        <f>IF(DL436="*",1,0)</f>
        <v>0</v>
      </c>
      <c r="DR436" s="245"/>
      <c r="DS436" s="245"/>
      <c r="DT436" s="245"/>
      <c r="DU436" s="245"/>
      <c r="DV436" s="266"/>
      <c r="DW436" s="266"/>
      <c r="DX436" s="238">
        <f>IF(AK436="",0,1)</f>
        <v>0</v>
      </c>
      <c r="DY436" s="238">
        <f>IF(DG436=-3,1,0)</f>
        <v>0</v>
      </c>
      <c r="DZ436" s="238">
        <f>SUM(DX436:DY436)</f>
        <v>0</v>
      </c>
      <c r="EA436" s="238">
        <f>IF(AK436="",1,0)</f>
        <v>1</v>
      </c>
      <c r="EB436" s="238">
        <f>IF(DG436=3,1,0)</f>
        <v>0</v>
      </c>
      <c r="EC436" s="238">
        <f>SUM(EA436:EB436)</f>
        <v>1</v>
      </c>
      <c r="ED436" s="267">
        <f>IF(EC436=2,1,0)</f>
        <v>0</v>
      </c>
      <c r="EE436" s="267">
        <f>IF(DZ436=2,1,0)</f>
        <v>0</v>
      </c>
      <c r="EG436" s="166"/>
      <c r="EH436" s="238"/>
      <c r="EI436" s="238"/>
      <c r="EJ436" s="238"/>
      <c r="EK436" s="238"/>
      <c r="EL436" s="238"/>
      <c r="EM436" s="245">
        <f>IF(AK436="",0,1)</f>
        <v>0</v>
      </c>
      <c r="EN436" s="245">
        <f>SUM(AK436)</f>
        <v>0</v>
      </c>
      <c r="EO436" s="268">
        <f>SUM(AJ436)</f>
        <v>0</v>
      </c>
      <c r="EP436" s="268">
        <f>SUM(G436/3)</f>
        <v>0</v>
      </c>
      <c r="EQ436" s="268" t="e">
        <f>SUM(EO436/EP436)</f>
        <v>#DIV/0!</v>
      </c>
      <c r="ER436" s="268">
        <f>ROUNDDOWN(EP436,0)</f>
        <v>0</v>
      </c>
      <c r="ES436" s="268">
        <f>SUM(EO436,-ER436*3)</f>
        <v>0</v>
      </c>
      <c r="ET436" s="269" t="b">
        <f>MOD(EN436/1,2)=0</f>
        <v>1</v>
      </c>
      <c r="EU436" s="245">
        <f>IF(ET436=FALSE,1,0)</f>
        <v>0</v>
      </c>
      <c r="EV436" s="245">
        <f>IF(EN436=50,0,IF(EN436&lt;40,1,0))</f>
        <v>1</v>
      </c>
      <c r="EW436" s="245">
        <f>SUM(EU436:EV436)</f>
        <v>1</v>
      </c>
      <c r="EX436" s="267">
        <f>IF(EN436=1,1,IF(EN436=50,0,IF(ES436=1,IF(EN436&gt;40,1,0),0)))</f>
        <v>0</v>
      </c>
      <c r="EY436" s="267">
        <f>IF(ES436=1,IF(EW436=2,1,0),0)+EX436+FB436+FE436</f>
        <v>0</v>
      </c>
      <c r="EZ436" s="245">
        <f>IF(EN436=109,1,IF(EN436=108,1,IF(EN436=106,1,IF(EN436=105,1,IF(EN436=103,1,IF(EN436=102,1,IF(EN436=99,1,0)))))))</f>
        <v>0</v>
      </c>
      <c r="FA436" s="245">
        <f>IF(EN436&gt;110,1,0)</f>
        <v>0</v>
      </c>
      <c r="FB436" s="267">
        <f>IF(ES436=2,SUM(EZ436:FA436),0)</f>
        <v>0</v>
      </c>
      <c r="FC436" s="245">
        <f>IF(EN436=159,1,IF(EN436=162,1,IF(EN436=163,1,IF(EN436=165,1,IF(EN436=166,1,IF(EN436=168,1,IF(EN436=169,1,0)))))))</f>
        <v>0</v>
      </c>
      <c r="FD436" s="245">
        <f>IF(EN436&gt;170,1,0)</f>
        <v>0</v>
      </c>
      <c r="FE436" s="267">
        <f>IF(ES436=0,SUM(FC436:FD436),0)</f>
        <v>0</v>
      </c>
      <c r="FF436" s="251">
        <f>IF(AJ436="",0,IF(AI436="",0,IF(EO436/ER436-3=0,0,1)))</f>
        <v>0</v>
      </c>
      <c r="FG436" s="238"/>
      <c r="FH436" s="245">
        <f>IF(AY436="",0,1)</f>
        <v>0</v>
      </c>
      <c r="FI436" s="245">
        <f>SUM(AY436)</f>
        <v>0</v>
      </c>
      <c r="FJ436" s="268">
        <f>SUM(AX436)</f>
        <v>0</v>
      </c>
      <c r="FK436" s="268">
        <f>SUM(V436/3)</f>
        <v>0</v>
      </c>
      <c r="FL436" s="268" t="e">
        <f>SUM(FJ436/FK436)</f>
        <v>#DIV/0!</v>
      </c>
      <c r="FM436" s="268">
        <f>ROUNDDOWN(FK436,0)</f>
        <v>0</v>
      </c>
      <c r="FN436" s="268">
        <f>SUM(FJ436,-FM436*3)</f>
        <v>0</v>
      </c>
      <c r="FO436" s="269" t="b">
        <f>MOD(FI436/1,2)=0</f>
        <v>1</v>
      </c>
      <c r="FP436" s="245">
        <f>IF(FO436=FALSE,1,0)</f>
        <v>0</v>
      </c>
      <c r="FQ436" s="245">
        <f>IF(FI436=50,0,IF(FI436&lt;40,1,0))</f>
        <v>1</v>
      </c>
      <c r="FR436" s="245">
        <f>SUM(FP436:FQ436)</f>
        <v>1</v>
      </c>
      <c r="FS436" s="267">
        <f>IF(FI436=1,1,IF(FI436=50,0,IF(FN436=1,IF(FI436&gt;40,1,0),0)))</f>
        <v>0</v>
      </c>
      <c r="FT436" s="267">
        <f>IF(FN436=1,IF(FR436=2,1,0),0)+FS436+FW436+FZ436</f>
        <v>0</v>
      </c>
      <c r="FU436" s="245">
        <f>IF(FI436=109,1,IF(FI436=108,1,IF(FI436=106,1,IF(FI436=105,1,IF(FI436=103,1,IF(FI436=102,1,IF(FI436=99,1,0)))))))</f>
        <v>0</v>
      </c>
      <c r="FV436" s="245">
        <f>IF(FI436&gt;110,1,0)</f>
        <v>0</v>
      </c>
      <c r="FW436" s="267">
        <f>IF(FN436=2,SUM(FU436:FV436),0)</f>
        <v>0</v>
      </c>
      <c r="FX436" s="245">
        <f>IF(FI436=159,1,IF(FI436=162,1,IF(FI436=163,1,IF(FI436=165,1,IF(FI436=166,1,IF(FI436=168,1,IF(FI436=169,1,0)))))))</f>
        <v>0</v>
      </c>
      <c r="FY436" s="245">
        <f>IF(FI436&gt;170,1,0)</f>
        <v>0</v>
      </c>
      <c r="FZ436" s="267">
        <f>IF(FN436=0,SUM(FX436:FY436),0)</f>
        <v>0</v>
      </c>
      <c r="GA436" s="251">
        <f>IF(AX436="",0,IF(AW436="",0,IF(FJ436/FM436-3=0,0,1)))</f>
        <v>0</v>
      </c>
      <c r="GD436" s="341">
        <f>IF(AK433="D",1,0)</f>
        <v>0</v>
      </c>
      <c r="GE436" s="343"/>
      <c r="GF436" s="343" t="s">
        <v>866</v>
      </c>
      <c r="GG436" s="343" t="s">
        <v>868</v>
      </c>
      <c r="GH436" s="343" t="s">
        <v>848</v>
      </c>
      <c r="GI436" s="343">
        <v>180</v>
      </c>
      <c r="GJ436" s="343" t="s">
        <v>866</v>
      </c>
      <c r="GK436" s="343" t="s">
        <v>868</v>
      </c>
      <c r="GL436" s="343" t="s">
        <v>848</v>
      </c>
      <c r="GM436" s="343">
        <v>180</v>
      </c>
      <c r="GN436" s="343" t="s">
        <v>866</v>
      </c>
      <c r="GO436" s="343" t="s">
        <v>868</v>
      </c>
      <c r="GP436" s="343" t="s">
        <v>848</v>
      </c>
      <c r="GQ436" s="343">
        <v>180</v>
      </c>
      <c r="GR436" s="343" t="s">
        <v>866</v>
      </c>
      <c r="GS436" s="343" t="s">
        <v>868</v>
      </c>
      <c r="GT436" s="343" t="s">
        <v>848</v>
      </c>
      <c r="GU436" s="343">
        <v>180</v>
      </c>
      <c r="GV436" s="343" t="s">
        <v>866</v>
      </c>
      <c r="GW436" s="343" t="s">
        <v>868</v>
      </c>
      <c r="GX436" s="343" t="s">
        <v>848</v>
      </c>
      <c r="GY436" s="343">
        <v>180</v>
      </c>
      <c r="GZ436" s="343" t="s">
        <v>866</v>
      </c>
      <c r="HA436" s="343" t="s">
        <v>868</v>
      </c>
      <c r="HB436" s="343" t="s">
        <v>848</v>
      </c>
      <c r="HC436" s="343">
        <v>180</v>
      </c>
      <c r="HD436" s="343" t="s">
        <v>866</v>
      </c>
      <c r="HE436" s="343" t="s">
        <v>868</v>
      </c>
      <c r="HF436" s="341" t="s">
        <v>975</v>
      </c>
      <c r="HG436" s="341" t="s">
        <v>976</v>
      </c>
      <c r="HH436" s="341" t="s">
        <v>899</v>
      </c>
      <c r="HJ436" s="238"/>
      <c r="HK436" s="238"/>
      <c r="HL436" s="238"/>
      <c r="HM436" s="238">
        <f>COUNT(HI437,HJ437,HK437,HL437,HM437)</f>
        <v>0</v>
      </c>
      <c r="HN436" s="341"/>
      <c r="HO436" s="341"/>
      <c r="HP436" s="341"/>
      <c r="HQ436" s="341"/>
      <c r="HR436" s="341"/>
      <c r="HS436" s="238"/>
      <c r="HT436" s="238"/>
      <c r="HU436" s="238"/>
      <c r="HV436" s="238"/>
      <c r="HX436" s="238"/>
      <c r="HY436" s="238"/>
      <c r="ID436" s="238"/>
    </row>
    <row r="437" spans="1:238" s="234" customFormat="1" ht="20.100000000000001" customHeight="1">
      <c r="A437" s="235"/>
      <c r="B437" s="231">
        <f>COUNT(AJ438,AJ437)</f>
        <v>0</v>
      </c>
      <c r="C437" s="326" t="str">
        <f>IF(DK436="*",AJ433,AI433)</f>
        <v/>
      </c>
      <c r="D437" s="253" t="str">
        <f>REPT(DN437,1)</f>
        <v>2</v>
      </c>
      <c r="E437" s="254" t="str">
        <f>REPT(AH437,1)</f>
        <v/>
      </c>
      <c r="F437" s="168"/>
      <c r="G437" s="168"/>
      <c r="H437" s="168"/>
      <c r="I437" s="169"/>
      <c r="J437" s="270" t="str">
        <f>REPT(AM437,1)</f>
        <v/>
      </c>
      <c r="L437" s="306" t="s">
        <v>922</v>
      </c>
      <c r="M437" s="311"/>
      <c r="N437" s="270" t="str">
        <f>REPT(AP437,1)</f>
        <v/>
      </c>
      <c r="P437" s="306" t="s">
        <v>922</v>
      </c>
      <c r="Q437" s="310"/>
      <c r="R437" s="324" t="str">
        <f>IF(DL436="*",AJ433,AI433)</f>
        <v/>
      </c>
      <c r="S437" s="253" t="str">
        <f>REPT(DO437,1)</f>
        <v>2</v>
      </c>
      <c r="T437" s="254" t="str">
        <f>REPT(AV437,1)</f>
        <v/>
      </c>
      <c r="U437" s="168"/>
      <c r="V437" s="168"/>
      <c r="W437" s="168"/>
      <c r="X437" s="169"/>
      <c r="Y437" s="270" t="str">
        <f t="shared" ref="Y437:Y439" si="1080">REPT(BA437,1)</f>
        <v/>
      </c>
      <c r="Z437" s="308"/>
      <c r="AB437" s="234">
        <f>IF(AY437="",0,IF(AY437&lt;2,1,""))</f>
        <v>0</v>
      </c>
      <c r="AC437" s="238">
        <f t="shared" ref="AC437:AC438" si="1081">IF(AD437=1,1,IF(AD437=3,1,IF(AD437=2,0,IF(AD437=0,0,0))))</f>
        <v>0</v>
      </c>
      <c r="AD437" s="256">
        <f t="shared" ref="AD437:AD440" si="1082">SUM(AE437:AG437)</f>
        <v>0</v>
      </c>
      <c r="AE437" s="256">
        <f t="shared" si="1076"/>
        <v>0</v>
      </c>
      <c r="AF437" s="256">
        <f t="shared" si="1077"/>
        <v>0</v>
      </c>
      <c r="AG437" s="256">
        <f t="shared" ref="AG437:AG440" si="1083">IF(H437="",0,1)</f>
        <v>0</v>
      </c>
      <c r="AH437" s="257" t="str">
        <f>IF(AK437="",IF(AI437="","",IF(AI437="",501,501-AI437)),501)</f>
        <v/>
      </c>
      <c r="AI437" s="256" t="str">
        <f>IF(F437&gt;1,F437,IF(F437=0,"",IF(F437="","","")))</f>
        <v/>
      </c>
      <c r="AJ437" s="256" t="str">
        <f>IF(G437&gt;8,G437,IF(G437="","",""))</f>
        <v/>
      </c>
      <c r="AK437" s="256" t="str">
        <f>IF(H437&gt;1,H437,IF(H437="","",""))</f>
        <v/>
      </c>
      <c r="AL437" s="256" t="str">
        <f>IF(I437&gt;0,I437,IF(I437="","",""))</f>
        <v/>
      </c>
      <c r="AM437" s="258" t="str">
        <f>IF(BK437=0,"","X")</f>
        <v/>
      </c>
      <c r="AN437" s="237"/>
      <c r="AO437" s="237"/>
      <c r="AP437" s="258" t="str">
        <f>IF(BM437=0,"","X")</f>
        <v/>
      </c>
      <c r="AQ437" s="236">
        <f t="shared" ref="AQ437:AQ438" si="1084">IF(AR437=1,1,IF(AR437=3,1,IF(AR437=2,0,IF(AR437=0,0,0))))</f>
        <v>0</v>
      </c>
      <c r="AR437" s="256">
        <f t="shared" ref="AR437:AR440" si="1085">SUM(AS437:AU437)</f>
        <v>0</v>
      </c>
      <c r="AS437" s="256">
        <f t="shared" si="1078"/>
        <v>0</v>
      </c>
      <c r="AT437" s="256">
        <f t="shared" si="1079"/>
        <v>0</v>
      </c>
      <c r="AU437" s="256">
        <f t="shared" ref="AU437:AU440" si="1086">IF(W437="",0,1)</f>
        <v>0</v>
      </c>
      <c r="AV437" s="257" t="str">
        <f>IF(AY437="",IF(AW437="","",IF(AW437="",501,501-AW437)),501)</f>
        <v/>
      </c>
      <c r="AW437" s="256" t="str">
        <f>IF(U437&gt;1,U437,IF(U437=0,"",IF(U437="","","")))</f>
        <v/>
      </c>
      <c r="AX437" s="256" t="str">
        <f>IF(V437&gt;8,V437,IF(V437="","",""))</f>
        <v/>
      </c>
      <c r="AY437" s="256" t="str">
        <f>IF(W437&gt;1,W437,IF(W437="","",""))</f>
        <v/>
      </c>
      <c r="AZ437" s="256" t="str">
        <f>IF(X437&gt;0,X437,IF(X437="","",""))</f>
        <v/>
      </c>
      <c r="BA437" s="258" t="str">
        <f>IF(BL437=0,"","X")</f>
        <v/>
      </c>
      <c r="BK437" s="251">
        <f>SUM(DD437,DV437,EY437,ED437,FF437,BQ437,BS437,AC437)</f>
        <v>0</v>
      </c>
      <c r="BL437" s="251">
        <f>SUM(DE437,DW437,EE437,FT437,GA437,BR437,BT437,AQ437)</f>
        <v>0</v>
      </c>
      <c r="BM437" s="259">
        <f t="shared" ref="BM437:BM438" si="1087">SUM(DC437,BK437:BL437,AC437,AQ437)</f>
        <v>0</v>
      </c>
      <c r="BN437" s="239">
        <f>COUNT(AK437)</f>
        <v>0</v>
      </c>
      <c r="BO437" s="239">
        <f>COUNT(AY437)</f>
        <v>0</v>
      </c>
      <c r="BP437" s="239">
        <f>IF(BN439=0,0,1)</f>
        <v>0</v>
      </c>
      <c r="BQ437" s="260">
        <f>IF(AL437="",0,IF(AL437&gt;2,1,0))</f>
        <v>0</v>
      </c>
      <c r="BR437" s="261">
        <f>IF(AZ437="",0,IF(AZ437&gt;2,1,0))</f>
        <v>0</v>
      </c>
      <c r="BS437" s="262">
        <f>IF(AJ437=9,IF(AK437&lt;141,1,0),0)</f>
        <v>0</v>
      </c>
      <c r="BT437" s="263">
        <f>IF(AX437=9,IF(AY437&lt;141,1,0),0)</f>
        <v>0</v>
      </c>
      <c r="BU437" s="242">
        <f>IF(H437,G437,0)</f>
        <v>0</v>
      </c>
      <c r="BV437" s="238">
        <f>IF(BU437&gt;0,AJ437/3,0)</f>
        <v>0</v>
      </c>
      <c r="BW437" s="238">
        <f>ROUNDUP(BV437,0)</f>
        <v>0</v>
      </c>
      <c r="BX437" s="244">
        <f>IF(MOD(BW437,2)=0,BW437,BW437+1)</f>
        <v>0</v>
      </c>
      <c r="BY437" s="238">
        <f>IF(AJ437&lt;9,"",SUM(BX437-BW437))</f>
        <v>0</v>
      </c>
      <c r="BZ437" s="238">
        <f>IF(BY437=1,AK437,0)</f>
        <v>0</v>
      </c>
      <c r="CA437" s="243" t="str">
        <f>IF(BY437=0,AK437,0)</f>
        <v/>
      </c>
      <c r="CB437" s="238"/>
      <c r="CC437" s="238"/>
      <c r="CD437" s="242">
        <f>IF(W437,V437,0)</f>
        <v>0</v>
      </c>
      <c r="CE437" s="238">
        <f>IF(CD437&gt;0,AX437/3,0)</f>
        <v>0</v>
      </c>
      <c r="CF437" s="238">
        <f>ROUNDUP(CE437,0)</f>
        <v>0</v>
      </c>
      <c r="CG437" s="244">
        <f>IF(MOD(CF437,2)=0,CF437,CF437+1)</f>
        <v>0</v>
      </c>
      <c r="CH437" s="238">
        <f>IF(AX437&lt;9,"",SUM(CG437-CF437))</f>
        <v>0</v>
      </c>
      <c r="CI437" s="238">
        <f>IF(CH437=1,AY437,0)</f>
        <v>0</v>
      </c>
      <c r="CJ437" s="243" t="str">
        <f>IF(CH437=0,AY437,0)</f>
        <v/>
      </c>
      <c r="CK437" s="238"/>
      <c r="CL437" s="245">
        <f>IF(COUNT(F437,H437)=1,0,1)</f>
        <v>1</v>
      </c>
      <c r="CM437" s="245">
        <f>IF(COUNT(F437,U437)=1,0,1)</f>
        <v>1</v>
      </c>
      <c r="CN437" s="245">
        <f>IF(COUNT(H437,W437)=1,0,1)</f>
        <v>1</v>
      </c>
      <c r="CO437" s="245">
        <f>IF(COUNT(G437,V437)=2,0,1)</f>
        <v>1</v>
      </c>
      <c r="CP437" s="245">
        <f>IF(COUNT(U437,W437)=1,0,1)</f>
        <v>1</v>
      </c>
      <c r="CQ437" s="245">
        <f>IF(SUM(G437-V437)&gt;3,1,0)</f>
        <v>0</v>
      </c>
      <c r="CR437" s="245">
        <f>IF(SUM(G437-V437)&lt;-3,1,0)</f>
        <v>0</v>
      </c>
      <c r="CS437" s="264">
        <f>IF(AJ437=9,IF(AH437&lt;141,1,0),IF(AH437="",0,IF(AH437&gt;1,0,1)))</f>
        <v>0</v>
      </c>
      <c r="CT437" s="264">
        <f>IF(AX437=9,IF(AV437&lt;141,1,0),IF(AV437="",0,IF(AV437&gt;1,0,1)))</f>
        <v>0</v>
      </c>
      <c r="CU437" s="264">
        <f>IF(AI437="",0,IF(AI437&lt;502,0,1))</f>
        <v>0</v>
      </c>
      <c r="CV437" s="264">
        <f>IF(AW437="",0,IF(AW437&lt;502,0,1))</f>
        <v>0</v>
      </c>
      <c r="CW437" s="264">
        <f>IF(AI437="",IF(AJ437&lt;9,1,0),IF(AJ437&lt;9,1,0))</f>
        <v>0</v>
      </c>
      <c r="CX437" s="264">
        <f>IF(AW437="",IF(AX437&lt;9,1,0),IF(AX437&lt;9,1,0))</f>
        <v>0</v>
      </c>
      <c r="CY437" s="374"/>
      <c r="CZ437" s="374"/>
      <c r="DA437" s="374"/>
      <c r="DB437" s="374"/>
      <c r="DC437" s="265">
        <f>IF(AJ437="",0,SUM(CL437:CX437))</f>
        <v>0</v>
      </c>
      <c r="DD437" s="265">
        <f>IF(AJ437="",0,SUM(CL437,CS437,CU437,CW437))</f>
        <v>0</v>
      </c>
      <c r="DE437" s="265">
        <f>IF(AJ437="",0,SUM(CP437,CT437,CV437,CX437))</f>
        <v>0</v>
      </c>
      <c r="DF437" s="238"/>
      <c r="DG437" s="248">
        <f>SUM(G437-V437)</f>
        <v>0</v>
      </c>
      <c r="DH437" s="245">
        <f>IF(F437="",0,1)</f>
        <v>0</v>
      </c>
      <c r="DI437" s="245">
        <f t="shared" ref="DI437:DI440" si="1088">IF(DG437=0,DH437,DG437)</f>
        <v>0</v>
      </c>
      <c r="DJ437" s="245">
        <f t="shared" ref="DJ437:DJ440" si="1089">SIGN(DI437)</f>
        <v>0</v>
      </c>
      <c r="DK437" s="245" t="str">
        <f>IF(G437="","",IF(DJ437=1,"*",""))</f>
        <v/>
      </c>
      <c r="DL437" s="245" t="str">
        <f>IF(G437="","",IF(DJ437=-1,"*",IF(DJ437=0,"*","")))</f>
        <v/>
      </c>
      <c r="DM437" s="245">
        <v>2</v>
      </c>
      <c r="DN437" s="245" t="str">
        <f t="shared" ref="DN437:DN440" si="1090">CONCATENATE(DM437,DK437)</f>
        <v>2</v>
      </c>
      <c r="DO437" s="245" t="str">
        <f t="shared" ref="DO437:DO440" si="1091">CONCATENATE(DM437,DL437)</f>
        <v>2</v>
      </c>
      <c r="DP437" s="245">
        <f>SUM(DQ436)</f>
        <v>0</v>
      </c>
      <c r="DQ437" s="245">
        <f>SUM(DP436)</f>
        <v>0</v>
      </c>
      <c r="DR437" s="245">
        <f>IF(DK437="*",1,0)</f>
        <v>0</v>
      </c>
      <c r="DS437" s="245">
        <f>IF(DL437="*",1,0)</f>
        <v>0</v>
      </c>
      <c r="DT437" s="245">
        <f>IF(H427="",0,IF(DP437=DR437,1,0))</f>
        <v>0</v>
      </c>
      <c r="DU437" s="245">
        <f>IF(V437="",0,IF(DQ437=DS437,0,1))</f>
        <v>0</v>
      </c>
      <c r="DV437" s="267">
        <f>SUM(DT437)</f>
        <v>0</v>
      </c>
      <c r="DW437" s="267">
        <f>IF(V437="",0,SUM(DU437))</f>
        <v>0</v>
      </c>
      <c r="DX437" s="238">
        <f>IF(AK437="",0,1)</f>
        <v>0</v>
      </c>
      <c r="DY437" s="238">
        <f>IF(DG437=-3,1,0)</f>
        <v>0</v>
      </c>
      <c r="DZ437" s="238">
        <f>SUM(DX437:DY437)</f>
        <v>0</v>
      </c>
      <c r="EA437" s="238">
        <f>IF(AK437="",1,0)</f>
        <v>1</v>
      </c>
      <c r="EB437" s="238">
        <f>IF(DG437=3,1,0)</f>
        <v>0</v>
      </c>
      <c r="EC437" s="238">
        <f>SUM(EA437:EB437)</f>
        <v>1</v>
      </c>
      <c r="ED437" s="267">
        <f>IF(EC437=2,1,0)</f>
        <v>0</v>
      </c>
      <c r="EE437" s="267">
        <f>IF(DZ437=2,1,0)</f>
        <v>0</v>
      </c>
      <c r="EG437" s="166"/>
      <c r="EH437" s="238"/>
      <c r="EI437" s="238"/>
      <c r="EJ437" s="238"/>
      <c r="EK437" s="238"/>
      <c r="EL437" s="238"/>
      <c r="EM437" s="245">
        <f>IF(AK437="",0,1)</f>
        <v>0</v>
      </c>
      <c r="EN437" s="245">
        <f>SUM(AK437)</f>
        <v>0</v>
      </c>
      <c r="EO437" s="268">
        <f>SUM(AJ437)</f>
        <v>0</v>
      </c>
      <c r="EP437" s="268">
        <f>SUM(G437/3)</f>
        <v>0</v>
      </c>
      <c r="EQ437" s="268" t="e">
        <f>SUM(EO437/EP437)</f>
        <v>#DIV/0!</v>
      </c>
      <c r="ER437" s="268">
        <f>ROUNDDOWN(EP437,0)</f>
        <v>0</v>
      </c>
      <c r="ES437" s="268">
        <f>SUM(EO437,-ER437*3)</f>
        <v>0</v>
      </c>
      <c r="ET437" s="269" t="b">
        <f>MOD(EN437/1,2)=0</f>
        <v>1</v>
      </c>
      <c r="EU437" s="245">
        <f>IF(ET437=FALSE,1,0)</f>
        <v>0</v>
      </c>
      <c r="EV437" s="245">
        <f>IF(EN437=50,0,IF(EN437&lt;40,1,0))</f>
        <v>1</v>
      </c>
      <c r="EW437" s="245">
        <f>SUM(EU437:EV437)</f>
        <v>1</v>
      </c>
      <c r="EX437" s="267">
        <f>IF(EN437=1,1,IF(EN437=50,0,IF(ES437=1,IF(EN437&gt;40,1,0),0)))</f>
        <v>0</v>
      </c>
      <c r="EY437" s="267">
        <f>IF(ES437=1,IF(EW437=2,1,0),0)+EX437+FB437+FE437</f>
        <v>0</v>
      </c>
      <c r="EZ437" s="245">
        <f>IF(EN437=109,1,IF(EN437=108,1,IF(EN437=106,1,IF(EN437=105,1,IF(EN437=103,1,IF(EN437=102,1,IF(EN437=99,1,0)))))))</f>
        <v>0</v>
      </c>
      <c r="FA437" s="245">
        <f>IF(EN437&gt;110,1,0)</f>
        <v>0</v>
      </c>
      <c r="FB437" s="267">
        <f>IF(ES437=2,SUM(EZ437:FA437),0)</f>
        <v>0</v>
      </c>
      <c r="FC437" s="245">
        <f>IF(EN437=159,1,IF(EN437=162,1,IF(EN437=163,1,IF(EN437=165,1,IF(EN437=166,1,IF(EN437=168,1,IF(EN437=169,1,0)))))))</f>
        <v>0</v>
      </c>
      <c r="FD437" s="245">
        <f>IF(EN437&gt;170,1,0)</f>
        <v>0</v>
      </c>
      <c r="FE437" s="267">
        <f>IF(ES437=0,SUM(FC437:FD437),0)</f>
        <v>0</v>
      </c>
      <c r="FF437" s="251">
        <f t="shared" ref="FF437:FF440" si="1092">IF(AJ437="",0,IF(AI437="",0,IF(EO437/ER437-3=0,0,1)))</f>
        <v>0</v>
      </c>
      <c r="FG437" s="238"/>
      <c r="FH437" s="245">
        <f>IF(AY437="",0,1)</f>
        <v>0</v>
      </c>
      <c r="FI437" s="245">
        <f>SUM(AY437)</f>
        <v>0</v>
      </c>
      <c r="FJ437" s="268">
        <f>SUM(AX437)</f>
        <v>0</v>
      </c>
      <c r="FK437" s="268">
        <f>SUM(V437/3)</f>
        <v>0</v>
      </c>
      <c r="FL437" s="268" t="e">
        <f>SUM(FJ437/FK437)</f>
        <v>#DIV/0!</v>
      </c>
      <c r="FM437" s="268">
        <f>ROUNDDOWN(FK437,0)</f>
        <v>0</v>
      </c>
      <c r="FN437" s="268">
        <f>SUM(FJ437,-FM437*3)</f>
        <v>0</v>
      </c>
      <c r="FO437" s="269" t="b">
        <f>MOD(FI437/1,2)=0</f>
        <v>1</v>
      </c>
      <c r="FP437" s="245">
        <f>IF(FO437=FALSE,1,0)</f>
        <v>0</v>
      </c>
      <c r="FQ437" s="245">
        <f>IF(FI437=50,0,IF(FI437&lt;40,1,0))</f>
        <v>1</v>
      </c>
      <c r="FR437" s="245">
        <f>SUM(FP437:FQ437)</f>
        <v>1</v>
      </c>
      <c r="FS437" s="267">
        <f>IF(FI437=1,1,IF(FI437=50,0,IF(FN437=1,IF(FI437&gt;40,1,0),0)))</f>
        <v>0</v>
      </c>
      <c r="FT437" s="267">
        <f>IF(FN437=1,IF(FR437=2,1,0),0)+FS437+FW437+FZ437</f>
        <v>0</v>
      </c>
      <c r="FU437" s="245">
        <f>IF(FI437=109,1,IF(FI437=108,1,IF(FI437=106,1,IF(FI437=105,1,IF(FI437=103,1,IF(FI437=102,1,IF(FI437=99,1,0)))))))</f>
        <v>0</v>
      </c>
      <c r="FV437" s="245">
        <f>IF(FI437&gt;110,1,0)</f>
        <v>0</v>
      </c>
      <c r="FW437" s="267">
        <f>IF(FN437=2,SUM(FU437:FV437),0)</f>
        <v>0</v>
      </c>
      <c r="FX437" s="245">
        <f>IF(FI437=159,1,IF(FI437=162,1,IF(FI437=163,1,IF(FI437=165,1,IF(FI437=166,1,IF(FI437=168,1,IF(FI437=169,1,0)))))))</f>
        <v>0</v>
      </c>
      <c r="FY437" s="245">
        <f>IF(FI437&gt;170,1,0)</f>
        <v>0</v>
      </c>
      <c r="FZ437" s="267">
        <f>IF(FN437=0,SUM(FX437:FY437),0)</f>
        <v>0</v>
      </c>
      <c r="GA437" s="251">
        <f t="shared" ref="GA437:GA440" si="1093">IF(AX437="",0,IF(AW437="",0,IF(FJ437/FM437-3=0,0,1)))</f>
        <v>0</v>
      </c>
      <c r="GC437" s="238" t="str">
        <f>VLOOKUP(AH433,Chema!BL:BR,2,FALSE)</f>
        <v/>
      </c>
      <c r="GD437" s="341">
        <f>IF(E443="FORFAIT",1,0)</f>
        <v>0</v>
      </c>
      <c r="GE437" s="343" t="str">
        <f>IF(C443="","",SUM(C443))</f>
        <v/>
      </c>
      <c r="GF437" s="344">
        <f>SUM(AH436)</f>
        <v>0</v>
      </c>
      <c r="GG437" s="344">
        <f>SUM(AJ436)</f>
        <v>0</v>
      </c>
      <c r="GH437" s="344">
        <f t="shared" ref="GH437" si="1094">SUM(AK436)</f>
        <v>0</v>
      </c>
      <c r="GI437" s="344">
        <f t="shared" ref="GI437" si="1095">SUM(AL436)</f>
        <v>0</v>
      </c>
      <c r="GJ437" s="344">
        <f>SUM(AH437)</f>
        <v>0</v>
      </c>
      <c r="GK437" s="344">
        <f>SUM(AJ437)</f>
        <v>0</v>
      </c>
      <c r="GL437" s="344">
        <f>SUM(AK437)</f>
        <v>0</v>
      </c>
      <c r="GM437" s="344">
        <f>SUM(AL437)</f>
        <v>0</v>
      </c>
      <c r="GN437" s="344">
        <f>SUM(AH438)</f>
        <v>0</v>
      </c>
      <c r="GO437" s="344">
        <f>SUM(AJ438)</f>
        <v>0</v>
      </c>
      <c r="GP437" s="344">
        <f>SUM(AK438)</f>
        <v>0</v>
      </c>
      <c r="GQ437" s="344">
        <f>SUM(AL438)</f>
        <v>0</v>
      </c>
      <c r="GR437" s="344">
        <f>SUM(AH439)</f>
        <v>0</v>
      </c>
      <c r="GS437" s="344">
        <f>SUM(AJ439)</f>
        <v>0</v>
      </c>
      <c r="GT437" s="344">
        <f>SUM(AK439)</f>
        <v>0</v>
      </c>
      <c r="GU437" s="344">
        <f>SUM(AL439)</f>
        <v>0</v>
      </c>
      <c r="GV437" s="344">
        <f>SUM(AH440)</f>
        <v>0</v>
      </c>
      <c r="GW437" s="344">
        <f>SUM(AJ440)</f>
        <v>0</v>
      </c>
      <c r="GX437" s="344">
        <f>SUM(AK440)</f>
        <v>0</v>
      </c>
      <c r="GY437" s="344">
        <f>SUM(AL440)</f>
        <v>0</v>
      </c>
      <c r="GZ437" s="344">
        <f>SUM(GF437,GJ437,GN437,GR437,GV437)</f>
        <v>0</v>
      </c>
      <c r="HA437" s="344">
        <f t="shared" ref="HA437" si="1096">SUM(GG437,GK437,GO437,GS437,GW437)</f>
        <v>0</v>
      </c>
      <c r="HB437" s="344">
        <f>IF(GD436=1,L443,MAX(GH437,GL437,GP437,GT437,GX437))</f>
        <v>0</v>
      </c>
      <c r="HC437" s="344">
        <f>IF(GD436=1,I443,SUM(GI437,GM437,GQ437,GU437,GY437))</f>
        <v>0</v>
      </c>
      <c r="HD437" s="345">
        <f>IF(GD436=1,0,SUM(GF437,GJ437,GN437,GR437,GV437))</f>
        <v>0</v>
      </c>
      <c r="HE437" s="345">
        <f>IF(GD436=1,0,SUM(GG437,GK437,GO437,GS437,GW437))</f>
        <v>0</v>
      </c>
      <c r="HF437" s="341">
        <f>IF(GD436=1,0,MIN(HI437,HJ437,HK437,HL437,HM437))</f>
        <v>0</v>
      </c>
      <c r="HG437" s="341">
        <f>IF(HF437=0,0,COUNTIF(HI437:HM437,HF437))</f>
        <v>0</v>
      </c>
      <c r="HH437" s="341">
        <f>SUM(GH438,GL438,GP438,GT438,GX438)</f>
        <v>0</v>
      </c>
      <c r="HI437" s="343" t="str">
        <f>IF(GH438=1,GG437,"")</f>
        <v/>
      </c>
      <c r="HJ437" s="343" t="str">
        <f>IF(GL438=1,GK437,"")</f>
        <v/>
      </c>
      <c r="HK437" s="343" t="str">
        <f>IF(GP438=1,GO437,"")</f>
        <v/>
      </c>
      <c r="HL437" s="343" t="str">
        <f>IF(GT438=1,GS437,"")</f>
        <v/>
      </c>
      <c r="HM437" s="343" t="str">
        <f>IF(GX438=1,GW437,"")</f>
        <v/>
      </c>
      <c r="HN437" s="341"/>
      <c r="HO437" s="341" t="s">
        <v>928</v>
      </c>
      <c r="HP437" s="341" t="s">
        <v>982</v>
      </c>
      <c r="HQ437" s="341" t="s">
        <v>983</v>
      </c>
      <c r="HR437" s="341" t="s">
        <v>984</v>
      </c>
      <c r="HS437" s="238" t="s">
        <v>932</v>
      </c>
      <c r="HT437" s="238" t="s">
        <v>933</v>
      </c>
      <c r="HU437" s="238" t="s">
        <v>985</v>
      </c>
      <c r="HV437" s="238" t="s">
        <v>986</v>
      </c>
      <c r="HW437" s="238">
        <f>IFERROR(IF(GD436=0,SUM(HZ438:IA438),""),"")</f>
        <v>0</v>
      </c>
      <c r="HY437" s="238"/>
      <c r="HZ437" s="238" t="s">
        <v>1132</v>
      </c>
      <c r="IA437" s="238" t="s">
        <v>1133</v>
      </c>
      <c r="IB437" s="238" t="s">
        <v>1132</v>
      </c>
      <c r="IC437" s="238" t="s">
        <v>1133</v>
      </c>
      <c r="ID437" s="238"/>
    </row>
    <row r="438" spans="1:238" s="234" customFormat="1" ht="20.100000000000001" customHeight="1">
      <c r="A438" s="235"/>
      <c r="B438" s="231">
        <f>COUNT(AJ439,AJ438)</f>
        <v>0</v>
      </c>
      <c r="C438" s="235"/>
      <c r="D438" s="271" t="str">
        <f>REPT(DN438,1)</f>
        <v>3</v>
      </c>
      <c r="E438" s="254" t="str">
        <f>REPT(AH438,1)</f>
        <v/>
      </c>
      <c r="F438" s="168"/>
      <c r="G438" s="168"/>
      <c r="H438" s="168"/>
      <c r="I438" s="169"/>
      <c r="J438" s="270" t="str">
        <f t="shared" ref="J438:J439" si="1097">REPT(AM438,1)</f>
        <v/>
      </c>
      <c r="L438" s="312">
        <f>SUM(L436*3)</f>
        <v>0</v>
      </c>
      <c r="M438" s="307"/>
      <c r="N438" s="270" t="str">
        <f>REPT(AP438,1)</f>
        <v/>
      </c>
      <c r="P438" s="312">
        <f>SUM(P436*3)</f>
        <v>0</v>
      </c>
      <c r="Q438" s="310"/>
      <c r="R438" s="235"/>
      <c r="S438" s="271" t="str">
        <f>REPT(DO438,1)</f>
        <v>3</v>
      </c>
      <c r="T438" s="254" t="str">
        <f>REPT(AV438,1)</f>
        <v/>
      </c>
      <c r="U438" s="168"/>
      <c r="V438" s="168"/>
      <c r="W438" s="168"/>
      <c r="X438" s="169"/>
      <c r="Y438" s="270" t="str">
        <f t="shared" si="1080"/>
        <v/>
      </c>
      <c r="Z438" s="308"/>
      <c r="AB438" s="234">
        <f>IF(AY438="",0,IF(AY438&lt;2,1,""))</f>
        <v>0</v>
      </c>
      <c r="AC438" s="238">
        <f t="shared" si="1081"/>
        <v>0</v>
      </c>
      <c r="AD438" s="256">
        <f t="shared" si="1082"/>
        <v>0</v>
      </c>
      <c r="AE438" s="256">
        <f t="shared" si="1076"/>
        <v>0</v>
      </c>
      <c r="AF438" s="256">
        <f t="shared" si="1077"/>
        <v>0</v>
      </c>
      <c r="AG438" s="256">
        <f t="shared" si="1083"/>
        <v>0</v>
      </c>
      <c r="AH438" s="257" t="str">
        <f>IF(AK438="",IF(AI438="","",IF(AI438="",501,501-AI438)),501)</f>
        <v/>
      </c>
      <c r="AI438" s="256" t="str">
        <f>IF(F438&gt;1,F438,IF(F438=0,"",IF(F438="","","")))</f>
        <v/>
      </c>
      <c r="AJ438" s="256" t="str">
        <f>IF(G438&gt;8,G438,IF(G438="","",""))</f>
        <v/>
      </c>
      <c r="AK438" s="256" t="str">
        <f>IF(H438&gt;1,H438,IF(H438="","",""))</f>
        <v/>
      </c>
      <c r="AL438" s="256" t="str">
        <f>IF(I438&gt;0,I438,IF(I438="","",""))</f>
        <v/>
      </c>
      <c r="AM438" s="258" t="str">
        <f>IF(BK438=0,"","X")</f>
        <v/>
      </c>
      <c r="AN438" s="237"/>
      <c r="AO438" s="237"/>
      <c r="AP438" s="258" t="str">
        <f>IF(BM438=0,"","X")</f>
        <v/>
      </c>
      <c r="AQ438" s="236">
        <f t="shared" si="1084"/>
        <v>0</v>
      </c>
      <c r="AR438" s="256">
        <f t="shared" si="1085"/>
        <v>0</v>
      </c>
      <c r="AS438" s="256">
        <f t="shared" si="1078"/>
        <v>0</v>
      </c>
      <c r="AT438" s="256">
        <f t="shared" si="1079"/>
        <v>0</v>
      </c>
      <c r="AU438" s="256">
        <f t="shared" si="1086"/>
        <v>0</v>
      </c>
      <c r="AV438" s="257" t="str">
        <f>IF(AY438="",IF(AW438="","",IF(AW438="",501,501-AW438)),501)</f>
        <v/>
      </c>
      <c r="AW438" s="256" t="str">
        <f>IF(U438&gt;1,U438,IF(U438=0,"",IF(U438="","","")))</f>
        <v/>
      </c>
      <c r="AX438" s="256" t="str">
        <f>IF(V438&gt;8,V438,IF(V438="","",""))</f>
        <v/>
      </c>
      <c r="AY438" s="256" t="str">
        <f>IF(W438&gt;1,W438,IF(W438="","",""))</f>
        <v/>
      </c>
      <c r="AZ438" s="256" t="str">
        <f>IF(X438&gt;0,X438,IF(X438="","",""))</f>
        <v/>
      </c>
      <c r="BA438" s="258" t="str">
        <f>IF(BL438=0,"","X")</f>
        <v/>
      </c>
      <c r="BK438" s="251">
        <f>SUM(DD438,DV438,EY438,ED438,FF438,BQ438,BS438,AC438,BK445)</f>
        <v>0</v>
      </c>
      <c r="BL438" s="251">
        <f>SUM(DE438,DW438,EE438,FT438,GA438,BR438,BT438,AQ438,BL445,CZ438)</f>
        <v>0</v>
      </c>
      <c r="BM438" s="259">
        <f t="shared" si="1087"/>
        <v>0</v>
      </c>
      <c r="BN438" s="239">
        <f>COUNT(AK438)</f>
        <v>0</v>
      </c>
      <c r="BO438" s="239">
        <f>COUNT(AY438)</f>
        <v>0</v>
      </c>
      <c r="BP438" s="239">
        <f>IF(BN440=0,0,1)</f>
        <v>0</v>
      </c>
      <c r="BQ438" s="260">
        <f>IF(AL438="",0,IF(AL438&gt;2,1,0))</f>
        <v>0</v>
      </c>
      <c r="BR438" s="261">
        <f>IF(AZ438="",0,IF(AZ438&gt;2,1,0))</f>
        <v>0</v>
      </c>
      <c r="BS438" s="262">
        <f>IF(AJ438=9,IF(AK438&lt;141,1,0),0)</f>
        <v>0</v>
      </c>
      <c r="BT438" s="263">
        <f>IF(AX438=9,IF(AY438&lt;141,1,0),0)</f>
        <v>0</v>
      </c>
      <c r="BU438" s="242">
        <f>IF(H438,G438,0)</f>
        <v>0</v>
      </c>
      <c r="BV438" s="238">
        <f>IF(BU438&gt;0,AJ438/3,0)</f>
        <v>0</v>
      </c>
      <c r="BW438" s="238">
        <f>ROUNDUP(BV438,0)</f>
        <v>0</v>
      </c>
      <c r="BX438" s="244">
        <f>IF(MOD(BW438,2)=0,BW438,BW438+1)</f>
        <v>0</v>
      </c>
      <c r="BY438" s="238">
        <f>IF(AJ438&lt;9,"",SUM(BX438-BW438))</f>
        <v>0</v>
      </c>
      <c r="BZ438" s="238">
        <f>IF(BY438=1,AK438,0)</f>
        <v>0</v>
      </c>
      <c r="CA438" s="243" t="str">
        <f>IF(BY438=0,AK438,0)</f>
        <v/>
      </c>
      <c r="CB438" s="238"/>
      <c r="CC438" s="238"/>
      <c r="CD438" s="242">
        <f>IF(W438,V438,0)</f>
        <v>0</v>
      </c>
      <c r="CE438" s="238">
        <f>IF(CD438&gt;0,AX438/3,0)</f>
        <v>0</v>
      </c>
      <c r="CF438" s="238">
        <f>ROUNDUP(CE438,0)</f>
        <v>0</v>
      </c>
      <c r="CG438" s="244">
        <f>IF(MOD(CF438,2)=0,CF438,CF438+1)</f>
        <v>0</v>
      </c>
      <c r="CH438" s="238">
        <f>IF(AX438&lt;9,"",SUM(CG438-CF438))</f>
        <v>0</v>
      </c>
      <c r="CI438" s="238">
        <f>IF(CH438=1,AY438,0)</f>
        <v>0</v>
      </c>
      <c r="CJ438" s="243" t="str">
        <f>IF(CH438=0,AY438,0)</f>
        <v/>
      </c>
      <c r="CK438" s="238"/>
      <c r="CL438" s="245">
        <f>IF(COUNT(F438,H438)=1,0,1)</f>
        <v>1</v>
      </c>
      <c r="CM438" s="245">
        <f>IF(COUNT(F438,U438)=1,0,1)</f>
        <v>1</v>
      </c>
      <c r="CN438" s="245">
        <f>IF(COUNT(H438,W438)=1,0,1)</f>
        <v>1</v>
      </c>
      <c r="CO438" s="245">
        <f>IF(COUNT(G438,V438)=2,0,1)</f>
        <v>1</v>
      </c>
      <c r="CP438" s="245">
        <f>IF(COUNT(U438,W438)=1,0,1)</f>
        <v>1</v>
      </c>
      <c r="CQ438" s="245">
        <f>IF(SUM(G438-V438)&gt;3,1,0)</f>
        <v>0</v>
      </c>
      <c r="CR438" s="245">
        <f>IF(SUM(G438-V438)&lt;-3,1,0)</f>
        <v>0</v>
      </c>
      <c r="CS438" s="264">
        <f>IF(AJ438=9,IF(AH438&lt;141,1,0),IF(AH438="",0,IF(AH438&gt;1,0,1)))</f>
        <v>0</v>
      </c>
      <c r="CT438" s="264">
        <f>IF(AX438=9,IF(AV438&lt;141,1,0),IF(AV438="",0,IF(AV438&gt;1,0,1)))</f>
        <v>0</v>
      </c>
      <c r="CU438" s="264">
        <f>IF(AI438="",0,IF(AI438&lt;502,0,1))</f>
        <v>0</v>
      </c>
      <c r="CV438" s="264">
        <f>IF(AW438="",0,IF(AW438&lt;502,0,1))</f>
        <v>0</v>
      </c>
      <c r="CW438" s="264">
        <f>IF(AI438="",IF(AJ438&lt;9,1,0),IF(AJ438&lt;9,1,0))</f>
        <v>0</v>
      </c>
      <c r="CX438" s="264">
        <f>IF(AW438="",IF(AX438&lt;9,1,0),IF(AX438&lt;9,1,0))</f>
        <v>0</v>
      </c>
      <c r="CY438" s="374">
        <f>COUNT(U436,U437,U438)</f>
        <v>0</v>
      </c>
      <c r="CZ438" s="375">
        <f>IF(AL433=3,IF(CY438&gt;2,1,0),0)</f>
        <v>0</v>
      </c>
      <c r="DA438" s="374"/>
      <c r="DB438" s="374"/>
      <c r="DC438" s="265">
        <f>IF(AJ438="",0,SUM(CL438:CX438))</f>
        <v>0</v>
      </c>
      <c r="DD438" s="265">
        <f>IF(AJ438="",0,SUM(CL438,CS438,CU438,CW438))</f>
        <v>0</v>
      </c>
      <c r="DE438" s="265">
        <f>IF(AJ438="",0,SUM(CP438,CT438,CV438,CX438))</f>
        <v>0</v>
      </c>
      <c r="DF438" s="238"/>
      <c r="DG438" s="248">
        <f>SUM(G438-V438)</f>
        <v>0</v>
      </c>
      <c r="DH438" s="245">
        <f>IF(F438="",0,1)</f>
        <v>0</v>
      </c>
      <c r="DI438" s="245">
        <f t="shared" si="1088"/>
        <v>0</v>
      </c>
      <c r="DJ438" s="245">
        <f t="shared" si="1089"/>
        <v>0</v>
      </c>
      <c r="DK438" s="245" t="str">
        <f>IF(G438="","",IF(DJ438=1,"*",""))</f>
        <v/>
      </c>
      <c r="DL438" s="245" t="str">
        <f>IF(G438="","",IF(DJ438=-1,"*",IF(DJ438=0,"*","")))</f>
        <v/>
      </c>
      <c r="DM438" s="245">
        <v>3</v>
      </c>
      <c r="DN438" s="245" t="str">
        <f t="shared" si="1090"/>
        <v>3</v>
      </c>
      <c r="DO438" s="245" t="str">
        <f t="shared" si="1091"/>
        <v>3</v>
      </c>
      <c r="DP438" s="245">
        <f>SUM(DP436)</f>
        <v>0</v>
      </c>
      <c r="DQ438" s="245">
        <f>SUM(DQ436)</f>
        <v>0</v>
      </c>
      <c r="DR438" s="245">
        <f t="shared" ref="DR438:DR440" si="1098">IF(DK438="*",1,0)</f>
        <v>0</v>
      </c>
      <c r="DS438" s="245">
        <f t="shared" ref="DS438:DS440" si="1099">IF(DL438="*",1,0)</f>
        <v>0</v>
      </c>
      <c r="DT438" s="245">
        <f t="shared" ref="DT438:DT440" si="1100">IF(H428="",0,IF(DP438=DR438,1,0))</f>
        <v>0</v>
      </c>
      <c r="DU438" s="245">
        <f>IF(V438="",0,IF(DQ438=DS438,0,1))</f>
        <v>0</v>
      </c>
      <c r="DV438" s="267">
        <f t="shared" ref="DV438:DV440" si="1101">SUM(DT438)</f>
        <v>0</v>
      </c>
      <c r="DW438" s="267">
        <f>IF(V438="",0,SUM(DU438))</f>
        <v>0</v>
      </c>
      <c r="DX438" s="238">
        <f>IF(AK438="",0,1)</f>
        <v>0</v>
      </c>
      <c r="DY438" s="238">
        <f>IF(DG438=-3,1,0)</f>
        <v>0</v>
      </c>
      <c r="DZ438" s="238">
        <f>SUM(DX438:DY438)</f>
        <v>0</v>
      </c>
      <c r="EA438" s="238">
        <f>IF(AK438="",1,0)</f>
        <v>1</v>
      </c>
      <c r="EB438" s="238">
        <f>IF(DG438=3,1,0)</f>
        <v>0</v>
      </c>
      <c r="EC438" s="238">
        <f>SUM(EA438:EB438)</f>
        <v>1</v>
      </c>
      <c r="ED438" s="267">
        <f>IF(EC438=2,1,0)</f>
        <v>0</v>
      </c>
      <c r="EE438" s="267">
        <f>IF(DZ438=2,1,0)</f>
        <v>0</v>
      </c>
      <c r="EG438" s="166"/>
      <c r="EH438" s="238"/>
      <c r="EI438" s="238"/>
      <c r="EJ438" s="238"/>
      <c r="EK438" s="238"/>
      <c r="EL438" s="238"/>
      <c r="EM438" s="245">
        <f>IF(AK438="",0,1)</f>
        <v>0</v>
      </c>
      <c r="EN438" s="245">
        <f>SUM(AK438)</f>
        <v>0</v>
      </c>
      <c r="EO438" s="268">
        <f>SUM(AJ438)</f>
        <v>0</v>
      </c>
      <c r="EP438" s="268">
        <f>SUM(G438/3)</f>
        <v>0</v>
      </c>
      <c r="EQ438" s="268" t="e">
        <f>SUM(EO438/EP438)</f>
        <v>#DIV/0!</v>
      </c>
      <c r="ER438" s="268">
        <f>ROUNDDOWN(EP438,0)</f>
        <v>0</v>
      </c>
      <c r="ES438" s="268">
        <f>SUM(EO438,-ER438*3)</f>
        <v>0</v>
      </c>
      <c r="ET438" s="269" t="b">
        <f>MOD(EN438/1,2)=0</f>
        <v>1</v>
      </c>
      <c r="EU438" s="245">
        <f>IF(ET438=FALSE,1,0)</f>
        <v>0</v>
      </c>
      <c r="EV438" s="245">
        <f>IF(EN438=50,0,IF(EN438&lt;40,1,0))</f>
        <v>1</v>
      </c>
      <c r="EW438" s="245">
        <f>SUM(EU438:EV438)</f>
        <v>1</v>
      </c>
      <c r="EX438" s="267">
        <f>IF(EN438=1,1,IF(EN438=50,0,IF(ES438=1,IF(EN438&gt;40,1,0),0)))</f>
        <v>0</v>
      </c>
      <c r="EY438" s="267">
        <f>IF(ES438=1,IF(EW438=2,1,0),0)+EX438+FB438+FE438</f>
        <v>0</v>
      </c>
      <c r="EZ438" s="245">
        <f>IF(EN438=109,1,IF(EN438=108,1,IF(EN438=106,1,IF(EN438=105,1,IF(EN438=103,1,IF(EN438=102,1,IF(EN438=99,1,0)))))))</f>
        <v>0</v>
      </c>
      <c r="FA438" s="245">
        <f>IF(EN438&gt;110,1,0)</f>
        <v>0</v>
      </c>
      <c r="FB438" s="267">
        <f>IF(ES438=2,SUM(EZ438:FA438),0)</f>
        <v>0</v>
      </c>
      <c r="FC438" s="245">
        <f>IF(EN438=159,1,IF(EN438=162,1,IF(EN438=163,1,IF(EN438=165,1,IF(EN438=166,1,IF(EN438=168,1,IF(EN438=169,1,0)))))))</f>
        <v>0</v>
      </c>
      <c r="FD438" s="245">
        <f>IF(EN438&gt;170,1,0)</f>
        <v>0</v>
      </c>
      <c r="FE438" s="267">
        <f>IF(ES438=0,SUM(FC438:FD438),0)</f>
        <v>0</v>
      </c>
      <c r="FF438" s="251">
        <f t="shared" si="1092"/>
        <v>0</v>
      </c>
      <c r="FG438" s="238"/>
      <c r="FH438" s="245">
        <f>IF(AY438="",0,1)</f>
        <v>0</v>
      </c>
      <c r="FI438" s="245">
        <f>SUM(AY438)</f>
        <v>0</v>
      </c>
      <c r="FJ438" s="268">
        <f>SUM(AX438)</f>
        <v>0</v>
      </c>
      <c r="FK438" s="268">
        <f>SUM(V438/3)</f>
        <v>0</v>
      </c>
      <c r="FL438" s="268" t="e">
        <f>SUM(FJ438/FK438)</f>
        <v>#DIV/0!</v>
      </c>
      <c r="FM438" s="268">
        <f>ROUNDDOWN(FK438,0)</f>
        <v>0</v>
      </c>
      <c r="FN438" s="268">
        <f>SUM(FJ438,-FM438*3)</f>
        <v>0</v>
      </c>
      <c r="FO438" s="269" t="b">
        <f>MOD(FI438/1,2)=0</f>
        <v>1</v>
      </c>
      <c r="FP438" s="245">
        <f>IF(FO438=FALSE,1,0)</f>
        <v>0</v>
      </c>
      <c r="FQ438" s="245">
        <f>IF(FI438=50,0,IF(FI438&lt;40,1,0))</f>
        <v>1</v>
      </c>
      <c r="FR438" s="245">
        <f>SUM(FP438:FQ438)</f>
        <v>1</v>
      </c>
      <c r="FS438" s="267">
        <f>IF(FI438=1,1,IF(FI438=50,0,IF(FN438=1,IF(FI438&gt;40,1,0),0)))</f>
        <v>0</v>
      </c>
      <c r="FT438" s="267">
        <f>IF(FN438=1,IF(FR438=2,1,0),0)+FS438+FW438+FZ438</f>
        <v>0</v>
      </c>
      <c r="FU438" s="245">
        <f>IF(FI438=109,1,IF(FI438=108,1,IF(FI438=106,1,IF(FI438=105,1,IF(FI438=103,1,IF(FI438=102,1,IF(FI438=99,1,0)))))))</f>
        <v>0</v>
      </c>
      <c r="FV438" s="245">
        <f>IF(FI438&gt;110,1,0)</f>
        <v>0</v>
      </c>
      <c r="FW438" s="267">
        <f>IF(FN438=2,SUM(FU438:FV438),0)</f>
        <v>0</v>
      </c>
      <c r="FX438" s="245">
        <f>IF(FI438=159,1,IF(FI438=162,1,IF(FI438=163,1,IF(FI438=165,1,IF(FI438=166,1,IF(FI438=168,1,IF(FI438=169,1,0)))))))</f>
        <v>0</v>
      </c>
      <c r="FY438" s="245">
        <f>IF(FI438&gt;170,1,0)</f>
        <v>0</v>
      </c>
      <c r="FZ438" s="267">
        <f>IF(FN438=0,SUM(FX438:FY438),0)</f>
        <v>0</v>
      </c>
      <c r="GA438" s="251">
        <f t="shared" si="1093"/>
        <v>0</v>
      </c>
      <c r="GC438" s="238" t="str">
        <f>VLOOKUP(AH433,Chema!BL:BR,3,FALSE)</f>
        <v/>
      </c>
      <c r="GD438" s="341"/>
      <c r="GE438" s="343" t="str">
        <f>IF(C444="","",SUM(C444))</f>
        <v/>
      </c>
      <c r="GF438" s="346"/>
      <c r="GG438" s="340"/>
      <c r="GH438" s="343">
        <f>IF(GH437&gt;0,1,0)</f>
        <v>0</v>
      </c>
      <c r="GI438" s="346"/>
      <c r="GJ438" s="343"/>
      <c r="GK438" s="340"/>
      <c r="GL438" s="343">
        <f>IF(GL437&gt;0,1,0)</f>
        <v>0</v>
      </c>
      <c r="GM438" s="343"/>
      <c r="GN438" s="343"/>
      <c r="GO438" s="340"/>
      <c r="GP438" s="343">
        <f>IF(GP437&gt;0,1,0)</f>
        <v>0</v>
      </c>
      <c r="GQ438" s="343"/>
      <c r="GR438" s="343"/>
      <c r="GS438" s="340"/>
      <c r="GT438" s="343">
        <f>IF(GT437&gt;0,1,0)</f>
        <v>0</v>
      </c>
      <c r="GU438" s="343"/>
      <c r="GV438" s="343"/>
      <c r="GW438" s="340"/>
      <c r="GX438" s="343">
        <f>IF(GX437&gt;0,1,0)</f>
        <v>0</v>
      </c>
      <c r="GY438" s="343"/>
      <c r="GZ438" s="343"/>
      <c r="HA438" s="343"/>
      <c r="HB438" s="343" t="str">
        <f>IF(GD436=1,L444,"")</f>
        <v/>
      </c>
      <c r="HC438" s="343" t="str">
        <f>IF(GD436=1,I444,"")</f>
        <v/>
      </c>
      <c r="HD438" s="345"/>
      <c r="HE438" s="340"/>
      <c r="HF438" s="340"/>
      <c r="HG438" s="347">
        <f>IF(GE437="",0,IF(AL433=3,2,IF(AL433=5,3,0)))</f>
        <v>0</v>
      </c>
      <c r="HH438" s="347">
        <f>IF(HK438=0,0,IF(HG440=0,0,1))</f>
        <v>0</v>
      </c>
      <c r="HI438" s="340"/>
      <c r="HJ438" s="340"/>
      <c r="HK438" s="340">
        <f>SUM(HM436,HM440)</f>
        <v>0</v>
      </c>
      <c r="HL438" s="340">
        <f>IF(HK438=0,0,IF(HM436=HG438,1,0))</f>
        <v>0</v>
      </c>
      <c r="HM438" s="340">
        <f>IF(HK438=0,0,IF(HM440=HG438,1,0))</f>
        <v>0</v>
      </c>
      <c r="HN438" s="341" t="str">
        <f>REPT(N433,1)</f>
        <v xml:space="preserve">Spiel </v>
      </c>
      <c r="HO438" s="348" t="str">
        <f>IF(HK438=0,"",IF(HH438=0,SUM(HH437),""))</f>
        <v/>
      </c>
      <c r="HP438" s="348" t="str">
        <f>IF(HK438=0,"",IF(HH438=0,SUM(HH439),""))</f>
        <v/>
      </c>
      <c r="HQ438" s="348" t="e">
        <f>IF(HH438=0,SUM(GZ437/HA437),"")</f>
        <v>#DIV/0!</v>
      </c>
      <c r="HR438" s="348" t="e">
        <f>IF(HH438=0,SUM(GZ439/HA439),"")</f>
        <v>#DIV/0!</v>
      </c>
      <c r="HS438" s="238" t="str">
        <f>REPT(DK436,1)</f>
        <v/>
      </c>
      <c r="HT438" s="238" t="str">
        <f>REPT(DL436,1)</f>
        <v/>
      </c>
      <c r="HU438" s="238">
        <f>IF(HH438=0,HL438,"")</f>
        <v>0</v>
      </c>
      <c r="HV438" s="238">
        <f>IF(HH438=0,HM438,"")</f>
        <v>0</v>
      </c>
      <c r="HW438" s="238" t="s">
        <v>1131</v>
      </c>
      <c r="HY438" s="238"/>
      <c r="HZ438" s="238" t="str">
        <f>IF(AL433=5,IF(HU438=1,SUM(HO438*2-HP438),HO438+HP438-2),"")</f>
        <v/>
      </c>
      <c r="IA438" s="238" t="str">
        <f>IF(AL433=3,IF(HU438=1,SUM(HO438-HP438+3),HO438+HP438-1),"")</f>
        <v/>
      </c>
      <c r="IB438" s="238" t="str">
        <f>IF(AL433=5,IF(HV438=1,SUM(HP438*2-HO438),HO438+HP438-2),"")</f>
        <v/>
      </c>
      <c r="IC438" s="238" t="str">
        <f>IF(AL433=3,IF(HV438=1,SUM(HP438-HO438+3),HO438+HP438-1),"")</f>
        <v/>
      </c>
      <c r="ID438" s="238">
        <f>SUM(BM442)</f>
        <v>0</v>
      </c>
    </row>
    <row r="439" spans="1:238" s="234" customFormat="1" ht="20.100000000000001" customHeight="1">
      <c r="A439" s="235"/>
      <c r="B439" s="231">
        <f>COUNT(AJ440,AJ439)</f>
        <v>0</v>
      </c>
      <c r="C439" s="235"/>
      <c r="D439" s="328" t="str">
        <f>REPT(DN439,1)</f>
        <v>4</v>
      </c>
      <c r="E439" s="329" t="str">
        <f>REPT(AH439,1)</f>
        <v/>
      </c>
      <c r="F439" s="330"/>
      <c r="G439" s="330"/>
      <c r="H439" s="330"/>
      <c r="I439" s="331"/>
      <c r="J439" s="270" t="str">
        <f t="shared" si="1097"/>
        <v/>
      </c>
      <c r="M439" s="311"/>
      <c r="N439" s="270" t="str">
        <f>REPT(AP439,1)</f>
        <v/>
      </c>
      <c r="Q439" s="310"/>
      <c r="R439" s="235"/>
      <c r="S439" s="328" t="str">
        <f>REPT(DO439,1)</f>
        <v>4</v>
      </c>
      <c r="T439" s="329" t="str">
        <f>REPT(AV439,1)</f>
        <v/>
      </c>
      <c r="U439" s="330"/>
      <c r="V439" s="330"/>
      <c r="W439" s="330"/>
      <c r="X439" s="331"/>
      <c r="Y439" s="270" t="str">
        <f t="shared" si="1080"/>
        <v/>
      </c>
      <c r="Z439" s="308"/>
      <c r="AA439" s="238">
        <f>SUM(AL433)</f>
        <v>0</v>
      </c>
      <c r="AB439" s="234">
        <f>IF(AY439="",0,IF(AY439&lt;2,1,""))</f>
        <v>0</v>
      </c>
      <c r="AC439" s="238">
        <f>IF(AL433=3,0,IF(AD439=1,1,IF(AD439=3,1,IF(AD439=2,0,IF(AD439=0,0,0)))))</f>
        <v>0</v>
      </c>
      <c r="AD439" s="256">
        <f t="shared" si="1082"/>
        <v>0</v>
      </c>
      <c r="AE439" s="256">
        <f t="shared" si="1076"/>
        <v>0</v>
      </c>
      <c r="AF439" s="256">
        <f t="shared" si="1077"/>
        <v>0</v>
      </c>
      <c r="AG439" s="256">
        <f t="shared" si="1083"/>
        <v>0</v>
      </c>
      <c r="AH439" s="257" t="str">
        <f>IF(AL433=3,"",IF(AK439="",IF(AI439="","",IF(AI439="",501,501-AI439)),501))</f>
        <v/>
      </c>
      <c r="AI439" s="256" t="str">
        <f>IF(AL433=3,"",IF(F439&gt;1,F439,IF(F439=0,"",IF(F439="","",""))))</f>
        <v/>
      </c>
      <c r="AJ439" s="256" t="str">
        <f>IF(AL433=3,"",IF(G439&gt;8,G439,IF(G439="","","")))</f>
        <v/>
      </c>
      <c r="AK439" s="256" t="str">
        <f>IF(AL433=3,"",IF(H439&gt;1,H439,IF(H439="","","")))</f>
        <v/>
      </c>
      <c r="AL439" s="256" t="str">
        <f>IF(AL433=3,"",IF(I439&gt;0,I439,IF(I439="","","")))</f>
        <v/>
      </c>
      <c r="AM439" s="258" t="str">
        <f>IF(BK439=0,"","X")</f>
        <v/>
      </c>
      <c r="AN439" s="237"/>
      <c r="AO439" s="237"/>
      <c r="AP439" s="258" t="str">
        <f>IF(BM439=0,"","X")</f>
        <v/>
      </c>
      <c r="AQ439" s="236">
        <f>IF(AL433=3,0,IF(AR439=1,1,IF(AR439=3,1,IF(AR439=2,0,IF(AR439=0,0,0)))))</f>
        <v>0</v>
      </c>
      <c r="AR439" s="256">
        <f t="shared" si="1085"/>
        <v>0</v>
      </c>
      <c r="AS439" s="256">
        <f t="shared" si="1078"/>
        <v>0</v>
      </c>
      <c r="AT439" s="256">
        <f t="shared" si="1079"/>
        <v>0</v>
      </c>
      <c r="AU439" s="256">
        <f t="shared" si="1086"/>
        <v>0</v>
      </c>
      <c r="AV439" s="257" t="str">
        <f>IF(AY439="",IF(AW439="","",IF(AW439="",501,501-AW439)),501)</f>
        <v/>
      </c>
      <c r="AW439" s="256" t="str">
        <f>IF(AL433=3,"",IF(U439&gt;1,U439,IF(U439=0,"",IF(U439="","",""))))</f>
        <v/>
      </c>
      <c r="AX439" s="256" t="str">
        <f>IF(AL433=3,"",IF(V439&gt;8,V439,IF(V439="","","")))</f>
        <v/>
      </c>
      <c r="AY439" s="256" t="str">
        <f>IF(AL433=3,"",IF(W439&gt;1,W439,IF(W439="","","")))</f>
        <v/>
      </c>
      <c r="AZ439" s="256" t="str">
        <f>IF(AL433=3,"",IF(X439&gt;0,X439,IF(X439="","","")))</f>
        <v/>
      </c>
      <c r="BA439" s="258" t="str">
        <f>IF(BL439=0,"","X")</f>
        <v/>
      </c>
      <c r="BK439" s="251">
        <f>IF(AL433=3,0,SUM(DD439,DV439,EY439,ED439,FF439,BQ439,BS439,AC439))</f>
        <v>0</v>
      </c>
      <c r="BL439" s="251">
        <f>IF(AL433=3,0,SUM(DE439,DW439,EE439,FT439,GA439,BR439,BT439,AQ439))</f>
        <v>0</v>
      </c>
      <c r="BM439" s="259">
        <f>IF(AL433=3,0,SUM(DC439,BK439:BL439,AC439,AQ439))</f>
        <v>0</v>
      </c>
      <c r="BN439" s="239">
        <f>COUNT(AK439)</f>
        <v>0</v>
      </c>
      <c r="BO439" s="239">
        <f>COUNT(AY439)</f>
        <v>0</v>
      </c>
      <c r="BP439" s="239">
        <f>IF(BZ441=0,0,1)</f>
        <v>0</v>
      </c>
      <c r="BQ439" s="260">
        <f>IF(AL439="",0,IF(AL439&gt;2,1,0))</f>
        <v>0</v>
      </c>
      <c r="BR439" s="261">
        <f>IF(AZ439="",0,IF(AZ439&gt;2,1,0))</f>
        <v>0</v>
      </c>
      <c r="BS439" s="262">
        <f>IF(AJ439=9,IF(AK439&lt;141,1,0),0)</f>
        <v>0</v>
      </c>
      <c r="BT439" s="263">
        <f>IF(AX439=9,IF(AY439&lt;141,1,0),0)</f>
        <v>0</v>
      </c>
      <c r="BU439" s="242">
        <f>IF(AL433=3,0,IF(H439,G439,0))</f>
        <v>0</v>
      </c>
      <c r="BV439" s="238">
        <f>IF(BU439&gt;0,AJ439/3,0)</f>
        <v>0</v>
      </c>
      <c r="BW439" s="238">
        <f>ROUNDUP(BV439,0)</f>
        <v>0</v>
      </c>
      <c r="BX439" s="244">
        <f>IF(MOD(BW439,2)=0,BW439,BW439+1)</f>
        <v>0</v>
      </c>
      <c r="BY439" s="238">
        <f>IF(AJ439&lt;9,"",SUM(BX439-BW439))</f>
        <v>0</v>
      </c>
      <c r="BZ439" s="238">
        <f>IF(BY439=1,AK439,0)</f>
        <v>0</v>
      </c>
      <c r="CA439" s="243" t="str">
        <f>IF(BY439=0,AK439,0)</f>
        <v/>
      </c>
      <c r="CB439" s="238"/>
      <c r="CC439" s="238"/>
      <c r="CD439" s="242">
        <f>IF(AL433=3,0,IF(W439,V439,0))</f>
        <v>0</v>
      </c>
      <c r="CE439" s="238">
        <f>IF(CD439&gt;0,AX439/3,0)</f>
        <v>0</v>
      </c>
      <c r="CF439" s="238">
        <f>ROUNDUP(CE439,0)</f>
        <v>0</v>
      </c>
      <c r="CG439" s="244">
        <f>IF(MOD(CF439,2)=0,CF439,CF439+1)</f>
        <v>0</v>
      </c>
      <c r="CH439" s="238">
        <f>IF(AX439&lt;9,"",SUM(CG439-CF439))</f>
        <v>0</v>
      </c>
      <c r="CI439" s="238">
        <f>IF(CH439=1,AY439,0)</f>
        <v>0</v>
      </c>
      <c r="CJ439" s="243" t="str">
        <f>IF(CH439=0,AY439,0)</f>
        <v/>
      </c>
      <c r="CK439" s="238"/>
      <c r="CL439" s="245">
        <f>IF(COUNT(F439,H439)=1,0,1)</f>
        <v>1</v>
      </c>
      <c r="CM439" s="245">
        <f>IF(COUNT(F439,U439)=1,0,1)</f>
        <v>1</v>
      </c>
      <c r="CN439" s="245">
        <f>IF(COUNT(H439,W439)=1,0,1)</f>
        <v>1</v>
      </c>
      <c r="CO439" s="245">
        <f>IF(COUNT(G439,V439)=2,0,1)</f>
        <v>1</v>
      </c>
      <c r="CP439" s="245">
        <f>IF(COUNT(U439,W439)=1,0,1)</f>
        <v>1</v>
      </c>
      <c r="CQ439" s="245">
        <f>IF(SUM(G439-V439)&gt;3,1,0)</f>
        <v>0</v>
      </c>
      <c r="CR439" s="245">
        <f>IF(SUM(G439-V439)&lt;-3,1,0)</f>
        <v>0</v>
      </c>
      <c r="CS439" s="264">
        <f>IF(AJ439=9,IF(AH439&lt;141,1,0),IF(AH439="",0,IF(AH439&gt;1,0,1)))</f>
        <v>0</v>
      </c>
      <c r="CT439" s="264">
        <f>IF(AX439=9,IF(AV439&lt;141,1,0),IF(AV439="",0,IF(AV439&gt;1,0,1)))</f>
        <v>0</v>
      </c>
      <c r="CU439" s="264">
        <f>IF(AI439="",0,IF(AI439&lt;502,0,1))</f>
        <v>0</v>
      </c>
      <c r="CV439" s="264">
        <f>IF(AW439="",0,IF(AW439&lt;502,0,1))</f>
        <v>0</v>
      </c>
      <c r="CW439" s="264">
        <f>IF(AI439="",IF(AJ439&lt;9,1,0),IF(AJ439&lt;9,1,0))</f>
        <v>0</v>
      </c>
      <c r="CX439" s="264">
        <f>IF(AW439="",IF(AX439&lt;9,1,0),IF(AX439&lt;9,1,0))</f>
        <v>0</v>
      </c>
      <c r="CY439" s="374"/>
      <c r="CZ439" s="374"/>
      <c r="DA439" s="374"/>
      <c r="DB439" s="374"/>
      <c r="DC439" s="265">
        <f>IF(AJ439="",0,SUM(CL439:CX439))</f>
        <v>0</v>
      </c>
      <c r="DD439" s="265">
        <f>IF(AJ439="",0,SUM(CL439,CS439,CU439,CW439))</f>
        <v>0</v>
      </c>
      <c r="DE439" s="265">
        <f>IF(AJ439="",0,SUM(CP439,CT439,CV439,CX439))</f>
        <v>0</v>
      </c>
      <c r="DF439" s="238"/>
      <c r="DG439" s="248">
        <f>IF(AL433=3,0,SUM(G439-V439))</f>
        <v>0</v>
      </c>
      <c r="DH439" s="245">
        <f>IF(F439="",0,1)</f>
        <v>0</v>
      </c>
      <c r="DI439" s="245">
        <f t="shared" si="1088"/>
        <v>0</v>
      </c>
      <c r="DJ439" s="245">
        <f t="shared" si="1089"/>
        <v>0</v>
      </c>
      <c r="DK439" s="245" t="str">
        <f>IF(G439="","",IF(DJ439=1,"*",""))</f>
        <v/>
      </c>
      <c r="DL439" s="245" t="str">
        <f>IF(AL433=3,"",IF(G439="","",IF(DJ439=-1,"*",IF(DJ439=0,"*",""))))</f>
        <v/>
      </c>
      <c r="DM439" s="245">
        <v>4</v>
      </c>
      <c r="DN439" s="245" t="str">
        <f t="shared" si="1090"/>
        <v>4</v>
      </c>
      <c r="DO439" s="245" t="str">
        <f t="shared" si="1091"/>
        <v>4</v>
      </c>
      <c r="DP439" s="245">
        <f>SUM(DQ436)</f>
        <v>0</v>
      </c>
      <c r="DQ439" s="245">
        <f>SUM(DP436)</f>
        <v>0</v>
      </c>
      <c r="DR439" s="245">
        <f t="shared" si="1098"/>
        <v>0</v>
      </c>
      <c r="DS439" s="245">
        <f t="shared" si="1099"/>
        <v>0</v>
      </c>
      <c r="DT439" s="245">
        <f t="shared" si="1100"/>
        <v>0</v>
      </c>
      <c r="DU439" s="245">
        <f>IF(V439="",0,IF(DQ439=DS439,0,1))</f>
        <v>0</v>
      </c>
      <c r="DV439" s="267">
        <f t="shared" si="1101"/>
        <v>0</v>
      </c>
      <c r="DW439" s="267">
        <f>IF(V439="",0,SUM(DU439))</f>
        <v>0</v>
      </c>
      <c r="DX439" s="238">
        <f>IF(AK439="",0,1)</f>
        <v>0</v>
      </c>
      <c r="DY439" s="238">
        <f>IF(DG439=-3,1,0)</f>
        <v>0</v>
      </c>
      <c r="DZ439" s="238">
        <f>SUM(DX439:DY439)</f>
        <v>0</v>
      </c>
      <c r="EA439" s="238">
        <f>IF(AK439="",1,0)</f>
        <v>1</v>
      </c>
      <c r="EB439" s="238">
        <f>IF(DG439=3,1,0)</f>
        <v>0</v>
      </c>
      <c r="EC439" s="238">
        <f>SUM(EA439:EB439)</f>
        <v>1</v>
      </c>
      <c r="ED439" s="267">
        <f>IF(EC439=2,1,0)</f>
        <v>0</v>
      </c>
      <c r="EE439" s="267">
        <f>IF(DZ439=2,1,0)</f>
        <v>0</v>
      </c>
      <c r="EG439" s="166"/>
      <c r="EH439" s="238"/>
      <c r="EI439" s="238"/>
      <c r="EJ439" s="238"/>
      <c r="EK439" s="238"/>
      <c r="EL439" s="238"/>
      <c r="EM439" s="245">
        <f>IF(AK439="",0,1)</f>
        <v>0</v>
      </c>
      <c r="EN439" s="245">
        <f>SUM(AK439)</f>
        <v>0</v>
      </c>
      <c r="EO439" s="268">
        <f>SUM(AJ439)</f>
        <v>0</v>
      </c>
      <c r="EP439" s="268">
        <f>SUM(G439/3)</f>
        <v>0</v>
      </c>
      <c r="EQ439" s="268" t="e">
        <f>SUM(EO439/EP439)</f>
        <v>#DIV/0!</v>
      </c>
      <c r="ER439" s="268">
        <f>ROUNDDOWN(EP439,0)</f>
        <v>0</v>
      </c>
      <c r="ES439" s="268">
        <f>SUM(EO439,-ER439*3)</f>
        <v>0</v>
      </c>
      <c r="ET439" s="269" t="b">
        <f>MOD(EN439/1,2)=0</f>
        <v>1</v>
      </c>
      <c r="EU439" s="245">
        <f>IF(ET439=FALSE,1,0)</f>
        <v>0</v>
      </c>
      <c r="EV439" s="245">
        <f>IF(EN439=50,0,IF(EN439&lt;40,1,0))</f>
        <v>1</v>
      </c>
      <c r="EW439" s="245">
        <f>SUM(EU439:EV439)</f>
        <v>1</v>
      </c>
      <c r="EX439" s="267">
        <f>IF(EN439=1,1,IF(EN439=50,0,IF(ES439=1,IF(EN439&gt;40,1,0),0)))</f>
        <v>0</v>
      </c>
      <c r="EY439" s="267">
        <f>IF(ES439=1,IF(EW439=2,1,0),0)+EX439+FB439+FE439</f>
        <v>0</v>
      </c>
      <c r="EZ439" s="245">
        <f>IF(EN439=109,1,IF(EN439=108,1,IF(EN439=106,1,IF(EN439=105,1,IF(EN439=103,1,IF(EN439=102,1,IF(EN439=99,1,0)))))))</f>
        <v>0</v>
      </c>
      <c r="FA439" s="245">
        <f>IF(EN439&gt;110,1,0)</f>
        <v>0</v>
      </c>
      <c r="FB439" s="267">
        <f>IF(ES439=2,SUM(EZ439:FA439),0)</f>
        <v>0</v>
      </c>
      <c r="FC439" s="245">
        <f>IF(EN439=159,1,IF(EN439=162,1,IF(EN439=163,1,IF(EN439=165,1,IF(EN439=166,1,IF(EN439=168,1,IF(EN439=169,1,0)))))))</f>
        <v>0</v>
      </c>
      <c r="FD439" s="245">
        <f>IF(EN439&gt;170,1,0)</f>
        <v>0</v>
      </c>
      <c r="FE439" s="267">
        <f>IF(ES439=0,SUM(FC439:FD439),0)</f>
        <v>0</v>
      </c>
      <c r="FF439" s="251">
        <f t="shared" si="1092"/>
        <v>0</v>
      </c>
      <c r="FG439" s="238"/>
      <c r="FH439" s="245">
        <f>IF(AY439="",0,1)</f>
        <v>0</v>
      </c>
      <c r="FI439" s="245">
        <f>SUM(AY439)</f>
        <v>0</v>
      </c>
      <c r="FJ439" s="268">
        <f>SUM(AX439)</f>
        <v>0</v>
      </c>
      <c r="FK439" s="268">
        <f>SUM(V439/3)</f>
        <v>0</v>
      </c>
      <c r="FL439" s="268" t="e">
        <f>SUM(FJ439/FK439)</f>
        <v>#DIV/0!</v>
      </c>
      <c r="FM439" s="268">
        <f>ROUNDDOWN(FK439,0)</f>
        <v>0</v>
      </c>
      <c r="FN439" s="268">
        <f>SUM(FJ439,-FM439*3)</f>
        <v>0</v>
      </c>
      <c r="FO439" s="269" t="b">
        <f>MOD(FI439/1,2)=0</f>
        <v>1</v>
      </c>
      <c r="FP439" s="245">
        <f>IF(FO439=FALSE,1,0)</f>
        <v>0</v>
      </c>
      <c r="FQ439" s="245">
        <f>IF(FI439=50,0,IF(FI439&lt;40,1,0))</f>
        <v>1</v>
      </c>
      <c r="FR439" s="245">
        <f>SUM(FP439:FQ439)</f>
        <v>1</v>
      </c>
      <c r="FS439" s="267">
        <f>IF(FI439=1,1,IF(FI439=50,0,IF(FN439=1,IF(FI439&gt;40,1,0),0)))</f>
        <v>0</v>
      </c>
      <c r="FT439" s="267">
        <f>IF(FN439=1,IF(FR439=2,1,0),0)+FS439+FW439+FZ439</f>
        <v>0</v>
      </c>
      <c r="FU439" s="245">
        <f>IF(FI439=109,1,IF(FI439=108,1,IF(FI439=106,1,IF(FI439=105,1,IF(FI439=103,1,IF(FI439=102,1,IF(FI439=99,1,0)))))))</f>
        <v>0</v>
      </c>
      <c r="FV439" s="245">
        <f>IF(FI439&gt;110,1,0)</f>
        <v>0</v>
      </c>
      <c r="FW439" s="267">
        <f>IF(FN439=2,SUM(FU439:FV439),0)</f>
        <v>0</v>
      </c>
      <c r="FX439" s="245">
        <f>IF(FI439=159,1,IF(FI439=162,1,IF(FI439=163,1,IF(FI439=165,1,IF(FI439=166,1,IF(FI439=168,1,IF(FI439=169,1,0)))))))</f>
        <v>0</v>
      </c>
      <c r="FY439" s="245">
        <f>IF(FI439&gt;170,1,0)</f>
        <v>0</v>
      </c>
      <c r="FZ439" s="267">
        <f>IF(FN439=0,SUM(FX439:FY439),0)</f>
        <v>0</v>
      </c>
      <c r="GA439" s="251">
        <f t="shared" si="1093"/>
        <v>0</v>
      </c>
      <c r="GC439" s="238" t="str">
        <f>VLOOKUP(AH433,Chema!BL:BR,4,FALSE)</f>
        <v/>
      </c>
      <c r="GD439" s="341">
        <f>IF(T443="FORFAIT",1,0)</f>
        <v>0</v>
      </c>
      <c r="GE439" s="343" t="str">
        <f>IF(R443="","",SUM(R443))</f>
        <v/>
      </c>
      <c r="GF439" s="344">
        <f>SUM(AV436)</f>
        <v>0</v>
      </c>
      <c r="GG439" s="344">
        <f>SUM(AX436)</f>
        <v>0</v>
      </c>
      <c r="GH439" s="344">
        <f t="shared" ref="GH439" si="1102">SUM(AY436)</f>
        <v>0</v>
      </c>
      <c r="GI439" s="344">
        <f t="shared" ref="GI439" si="1103">SUM(AZ436)</f>
        <v>0</v>
      </c>
      <c r="GJ439" s="344">
        <f>SUM(AV437)</f>
        <v>0</v>
      </c>
      <c r="GK439" s="344">
        <f>SUM(AX437)</f>
        <v>0</v>
      </c>
      <c r="GL439" s="344">
        <f>SUM(AY437)</f>
        <v>0</v>
      </c>
      <c r="GM439" s="344">
        <f>SUM(AZ437)</f>
        <v>0</v>
      </c>
      <c r="GN439" s="344">
        <f>SUM(AV438)</f>
        <v>0</v>
      </c>
      <c r="GO439" s="344">
        <f>SUM(AX438)</f>
        <v>0</v>
      </c>
      <c r="GP439" s="344">
        <f>SUM(AY438)</f>
        <v>0</v>
      </c>
      <c r="GQ439" s="344">
        <f>SUM(AZ438)</f>
        <v>0</v>
      </c>
      <c r="GR439" s="344">
        <f>SUM(AV439)</f>
        <v>0</v>
      </c>
      <c r="GS439" s="344">
        <f>SUM(AX439)</f>
        <v>0</v>
      </c>
      <c r="GT439" s="344">
        <f>SUM(AY439)</f>
        <v>0</v>
      </c>
      <c r="GU439" s="344">
        <f>SUM(AZ439)</f>
        <v>0</v>
      </c>
      <c r="GV439" s="344">
        <f>SUM(AV440)</f>
        <v>0</v>
      </c>
      <c r="GW439" s="344">
        <f>SUM(AX440)</f>
        <v>0</v>
      </c>
      <c r="GX439" s="344">
        <f>SUM(AY440)</f>
        <v>0</v>
      </c>
      <c r="GY439" s="344">
        <f>SUM(AZ440)</f>
        <v>0</v>
      </c>
      <c r="GZ439" s="344">
        <f>SUM(GF439,GJ439,GN439,GR439,GV439)</f>
        <v>0</v>
      </c>
      <c r="HA439" s="344">
        <f t="shared" ref="HA439" si="1104">SUM(GG439,GK439,GO439,GS439,GW439)</f>
        <v>0</v>
      </c>
      <c r="HB439" s="344">
        <f>IF(GD436=1,P443,MAX(GH439,GL439,GP439,GT439,GX439))</f>
        <v>0</v>
      </c>
      <c r="HC439" s="344">
        <f>IF(GD436=1,X443,SUM(GI439,GM439,GQ439,GU439,GY439))</f>
        <v>0</v>
      </c>
      <c r="HD439" s="345">
        <f>IF(GD436=1,0,SUM(GF439,GJ439,GN439,GR439,GV439))</f>
        <v>0</v>
      </c>
      <c r="HE439" s="345">
        <f>IF(GD436=1,0,SUM(GG439,GK439,GO439,GS439,GW439))</f>
        <v>0</v>
      </c>
      <c r="HF439" s="341">
        <f>IF(GD436=1,0,MIN(HI439,HJ439,HK439,HL439,HM439))</f>
        <v>0</v>
      </c>
      <c r="HG439" s="341">
        <f>IF(HF439=0,0,COUNTIF(HI439:HM439,HF439))</f>
        <v>0</v>
      </c>
      <c r="HH439" s="341">
        <f>SUM(GH440,GL440,GP440,GT440,GX440)</f>
        <v>0</v>
      </c>
      <c r="HI439" s="343" t="str">
        <f>IF(GH440=1,GG439,"")</f>
        <v/>
      </c>
      <c r="HJ439" s="343" t="str">
        <f>IF(GL440=1,GK439,"")</f>
        <v/>
      </c>
      <c r="HK439" s="343" t="str">
        <f>IF(GP440=1,GO439,"")</f>
        <v/>
      </c>
      <c r="HL439" s="343" t="str">
        <f>IF(GT440=1,GS439,"")</f>
        <v/>
      </c>
      <c r="HM439" s="343" t="str">
        <f>IF(GX440=1,GW439,"")</f>
        <v/>
      </c>
      <c r="HN439" s="341"/>
      <c r="HO439" s="341"/>
      <c r="HP439" s="341"/>
      <c r="HQ439" s="341"/>
      <c r="HR439" s="341"/>
      <c r="HS439" s="238"/>
      <c r="HT439" s="238"/>
      <c r="HU439" s="238"/>
      <c r="HV439" s="238"/>
      <c r="HW439" s="238">
        <f>IFERROR(IF(GD436=0,SUM(IB438:IC438),""),"")</f>
        <v>0</v>
      </c>
      <c r="HY439" s="238"/>
      <c r="ID439" s="238"/>
    </row>
    <row r="440" spans="1:238" s="234" customFormat="1" ht="20.100000000000001" customHeight="1">
      <c r="A440" s="235"/>
      <c r="B440" s="231">
        <f>COUNT(AJ441,AJ440)</f>
        <v>1</v>
      </c>
      <c r="C440" s="235"/>
      <c r="D440" s="271" t="str">
        <f>REPT(DN440,1)</f>
        <v>5</v>
      </c>
      <c r="E440" s="254" t="str">
        <f>REPT(AH440,1)</f>
        <v/>
      </c>
      <c r="F440" s="168"/>
      <c r="G440" s="168"/>
      <c r="H440" s="168"/>
      <c r="I440" s="169"/>
      <c r="J440" s="272" t="str">
        <f>REPT(AM440,1)</f>
        <v/>
      </c>
      <c r="L440" s="310"/>
      <c r="M440" s="310"/>
      <c r="N440" s="272" t="str">
        <f>REPT(AP440,1)</f>
        <v/>
      </c>
      <c r="O440" s="118"/>
      <c r="Q440" s="310"/>
      <c r="R440" s="235"/>
      <c r="S440" s="271" t="str">
        <f>REPT(DO440,1)</f>
        <v>5</v>
      </c>
      <c r="T440" s="254" t="str">
        <f>REPT(AV440,1)</f>
        <v/>
      </c>
      <c r="U440" s="168"/>
      <c r="V440" s="168"/>
      <c r="W440" s="168"/>
      <c r="X440" s="169"/>
      <c r="Y440" s="272" t="str">
        <f>REPT(BA440,1)</f>
        <v/>
      </c>
      <c r="Z440" s="308"/>
      <c r="AA440" s="238">
        <f>SUM(AL433)</f>
        <v>0</v>
      </c>
      <c r="AB440" s="234">
        <f>IF(AY440="",0,IF(AY440&lt;2,1,""))</f>
        <v>0</v>
      </c>
      <c r="AC440" s="238">
        <f>IF(AL433=3,0,IF(AD440=1,1,IF(AD440=3,1,IF(AD440=2,0,IF(AD440=0,0,0)))))</f>
        <v>0</v>
      </c>
      <c r="AD440" s="256">
        <f t="shared" si="1082"/>
        <v>0</v>
      </c>
      <c r="AE440" s="256">
        <f t="shared" si="1076"/>
        <v>0</v>
      </c>
      <c r="AF440" s="256">
        <f t="shared" si="1077"/>
        <v>0</v>
      </c>
      <c r="AG440" s="256">
        <f t="shared" si="1083"/>
        <v>0</v>
      </c>
      <c r="AH440" s="257" t="str">
        <f>IF(AL433=3,"",IF(AK440="",IF(AI440="","",IF(AI440="",501,501-AI440)),501))</f>
        <v/>
      </c>
      <c r="AI440" s="256" t="str">
        <f>IF(AL433=3,"",IF(F440&gt;1,F440,IF(F440=0,"",IF(F440="","",""))))</f>
        <v/>
      </c>
      <c r="AJ440" s="256" t="str">
        <f>IF(AL433=3,"",IF(G440&gt;8,G440,IF(G440="","","")))</f>
        <v/>
      </c>
      <c r="AK440" s="256" t="str">
        <f>IF(AL433=3,"",IF(H440&gt;1,H440,IF(H440="","","")))</f>
        <v/>
      </c>
      <c r="AL440" s="256" t="str">
        <f>IF(AL433=3,"",IF(I440&gt;0,I440,IF(I440="","","")))</f>
        <v/>
      </c>
      <c r="AM440" s="258" t="str">
        <f>IF(BK440=0,"","X")</f>
        <v/>
      </c>
      <c r="AN440" s="237"/>
      <c r="AO440" s="237"/>
      <c r="AP440" s="258" t="str">
        <f>IF(BM440=0,"","X")</f>
        <v/>
      </c>
      <c r="AQ440" s="236">
        <f>IF(AL433=3,0,IF(AR440=1,1,IF(AR440=3,1,IF(AR440=2,0,IF(AR440=0,0,0)))))</f>
        <v>0</v>
      </c>
      <c r="AR440" s="256">
        <f t="shared" si="1085"/>
        <v>0</v>
      </c>
      <c r="AS440" s="256">
        <f t="shared" si="1078"/>
        <v>0</v>
      </c>
      <c r="AT440" s="256">
        <f t="shared" si="1079"/>
        <v>0</v>
      </c>
      <c r="AU440" s="256">
        <f t="shared" si="1086"/>
        <v>0</v>
      </c>
      <c r="AV440" s="257" t="str">
        <f>IF(AY440="",IF(AW440="","",IF(AW440="",501,501-AW440)),501)</f>
        <v/>
      </c>
      <c r="AW440" s="256" t="str">
        <f>IF(AL433=3,"",IF(U440&gt;1,U440,IF(U440=0,"",IF(U440="","",""))))</f>
        <v/>
      </c>
      <c r="AX440" s="256" t="str">
        <f>IF(AL433=3,"",IF(V440&gt;8,V440,IF(V440="","","")))</f>
        <v/>
      </c>
      <c r="AY440" s="256" t="str">
        <f>IF(AL433=3,"",IF(W440&gt;1,W440,IF(W440="","","")))</f>
        <v/>
      </c>
      <c r="AZ440" s="256" t="str">
        <f>IF(AL433=3,"",IF(X440&gt;0,X440,IF(X440="","","")))</f>
        <v/>
      </c>
      <c r="BA440" s="258" t="str">
        <f>IF(BL440=0,"","X")</f>
        <v/>
      </c>
      <c r="BK440" s="251">
        <f>IF(AL433=3,0,SUM(DD440,DV440,EY440,ED440,FF440,BQ440,BS440,AC440))</f>
        <v>0</v>
      </c>
      <c r="BL440" s="251">
        <f>SUM(DE440,DW440,EE440,FT440,GA440,BR440,BT440,AQ440)</f>
        <v>0</v>
      </c>
      <c r="BM440" s="259">
        <f>IF(AL433=3,0,SUM(DC440,BK440:BL440,AC440,AQ440))</f>
        <v>0</v>
      </c>
      <c r="BN440" s="239">
        <f>COUNT(AK440)</f>
        <v>0</v>
      </c>
      <c r="BO440" s="239">
        <f>COUNT(AY440)</f>
        <v>0</v>
      </c>
      <c r="BP440" s="239">
        <f>IF(BN442=0,0,1)</f>
        <v>0</v>
      </c>
      <c r="BQ440" s="260">
        <f>IF(AL440="",0,IF(AL440&gt;2,1,0))</f>
        <v>0</v>
      </c>
      <c r="BR440" s="261">
        <f>IF(AZ440="",0,IF(AZ440&gt;2,1,0))</f>
        <v>0</v>
      </c>
      <c r="BS440" s="262">
        <f>IF(AJ440=9,IF(AK440&lt;141,1,0),0)</f>
        <v>0</v>
      </c>
      <c r="BT440" s="263">
        <f>IF(AX440=9,IF(AY440&lt;141,1,0),0)</f>
        <v>0</v>
      </c>
      <c r="BU440" s="242">
        <f>IF(AL433=3,0,IF(H440,G440,0))</f>
        <v>0</v>
      </c>
      <c r="BV440" s="238">
        <f>IF(BU440&gt;0,AJ440/3,0)</f>
        <v>0</v>
      </c>
      <c r="BW440" s="238">
        <f>ROUNDUP(BV440,0)</f>
        <v>0</v>
      </c>
      <c r="BX440" s="244">
        <f>IF(MOD(BW440,2)=0,BW440,BW440+1)</f>
        <v>0</v>
      </c>
      <c r="BY440" s="238">
        <f>IF(AJ440&lt;9,"",SUM(BX440-BW440))</f>
        <v>0</v>
      </c>
      <c r="BZ440" s="238">
        <f>IF(BY440=1,AK440,0)</f>
        <v>0</v>
      </c>
      <c r="CA440" s="243" t="str">
        <f>IF(BY440=0,AK440,0)</f>
        <v/>
      </c>
      <c r="CB440" s="238"/>
      <c r="CC440" s="238"/>
      <c r="CD440" s="242">
        <f>IF(AL433=3,0,IF(W440,V440,0))</f>
        <v>0</v>
      </c>
      <c r="CE440" s="238">
        <f>IF(CD440&gt;0,AX440/3,0)</f>
        <v>0</v>
      </c>
      <c r="CF440" s="238">
        <f>ROUNDUP(CE440,0)</f>
        <v>0</v>
      </c>
      <c r="CG440" s="244">
        <f>IF(MOD(CF440,2)=0,CF440,CF440+1)</f>
        <v>0</v>
      </c>
      <c r="CH440" s="238">
        <f>IF(AX440&lt;9,"",SUM(CG440-CF440))</f>
        <v>0</v>
      </c>
      <c r="CI440" s="238">
        <f>IF(CH440=1,AY440,0)</f>
        <v>0</v>
      </c>
      <c r="CJ440" s="243" t="str">
        <f>IF(CH440=0,AY440,0)</f>
        <v/>
      </c>
      <c r="CK440" s="238"/>
      <c r="CL440" s="245">
        <f>IF(COUNT(F440,H440)=1,0,1)</f>
        <v>1</v>
      </c>
      <c r="CM440" s="245">
        <f>IF(COUNT(F440,U440)=1,0,1)</f>
        <v>1</v>
      </c>
      <c r="CN440" s="245">
        <f>IF(COUNT(H440,W440)=1,0,1)</f>
        <v>1</v>
      </c>
      <c r="CO440" s="245">
        <f>IF(COUNT(G440,V440)=2,0,1)</f>
        <v>1</v>
      </c>
      <c r="CP440" s="245">
        <f>IF(COUNT(U440,W440)=1,0,1)</f>
        <v>1</v>
      </c>
      <c r="CQ440" s="245">
        <f>IF(SUM(G440-V440)&gt;3,1,0)</f>
        <v>0</v>
      </c>
      <c r="CR440" s="245">
        <f>IF(SUM(G440-V440)&lt;-3,1,0)</f>
        <v>0</v>
      </c>
      <c r="CS440" s="264">
        <f>IF(AJ440=9,IF(AH440&lt;141,1,0),IF(AH440="",0,IF(AH440&gt;1,0,1)))</f>
        <v>0</v>
      </c>
      <c r="CT440" s="264">
        <f>IF(AX440=9,IF(AV440&lt;141,1,0),IF(AV440="",0,IF(AV440&gt;1,0,1)))</f>
        <v>0</v>
      </c>
      <c r="CU440" s="264">
        <f>IF(AI440="",0,IF(AI440&lt;502,0,1))</f>
        <v>0</v>
      </c>
      <c r="CV440" s="264">
        <f>IF(AW440="",0,IF(AW440&lt;502,0,1))</f>
        <v>0</v>
      </c>
      <c r="CW440" s="264">
        <f>IF(AI440="",IF(AJ440&lt;9,1,0),IF(AJ440&lt;9,1,0))</f>
        <v>0</v>
      </c>
      <c r="CX440" s="264">
        <f>IF(AW440="",IF(AX440&lt;9,1,0),IF(AX440&lt;9,1,0))</f>
        <v>0</v>
      </c>
      <c r="CY440" s="374"/>
      <c r="CZ440" s="374"/>
      <c r="DA440" s="374"/>
      <c r="DB440" s="374"/>
      <c r="DC440" s="265">
        <f>IF(AJ440="",0,SUM(CL440:CX440))</f>
        <v>0</v>
      </c>
      <c r="DD440" s="265">
        <f>IF(AJ440="",0,SUM(CL440,CS440,CU440,CW440))</f>
        <v>0</v>
      </c>
      <c r="DE440" s="265">
        <f>IF(AJ440="",0,SUM(CP440,CT440,CV440,CX440))</f>
        <v>0</v>
      </c>
      <c r="DF440" s="238"/>
      <c r="DG440" s="248">
        <f>IF(AL433=3,0,SUM(G440-V440))</f>
        <v>0</v>
      </c>
      <c r="DH440" s="245">
        <f>IF(F440="",0,1)</f>
        <v>0</v>
      </c>
      <c r="DI440" s="245">
        <f t="shared" si="1088"/>
        <v>0</v>
      </c>
      <c r="DJ440" s="245">
        <f t="shared" si="1089"/>
        <v>0</v>
      </c>
      <c r="DK440" s="245" t="str">
        <f>IF(G440="","",IF(DJ440=1,"*",""))</f>
        <v/>
      </c>
      <c r="DL440" s="245" t="str">
        <f>IF(AL433=3,"",IF(G440="","",IF(DJ440=-1,"*",IF(DJ440=0,"*",""))))</f>
        <v/>
      </c>
      <c r="DM440" s="245">
        <v>5</v>
      </c>
      <c r="DN440" s="245" t="str">
        <f t="shared" si="1090"/>
        <v>5</v>
      </c>
      <c r="DO440" s="245" t="str">
        <f t="shared" si="1091"/>
        <v>5</v>
      </c>
      <c r="DP440" s="245">
        <f>SUM(DP436)</f>
        <v>0</v>
      </c>
      <c r="DQ440" s="245">
        <f>SUM(DQ436)</f>
        <v>0</v>
      </c>
      <c r="DR440" s="245">
        <f t="shared" si="1098"/>
        <v>0</v>
      </c>
      <c r="DS440" s="245">
        <f t="shared" si="1099"/>
        <v>0</v>
      </c>
      <c r="DT440" s="245">
        <f t="shared" si="1100"/>
        <v>0</v>
      </c>
      <c r="DU440" s="245">
        <f>IF(V440="",0,IF(DQ440=DS440,0,1))</f>
        <v>0</v>
      </c>
      <c r="DV440" s="267">
        <f t="shared" si="1101"/>
        <v>0</v>
      </c>
      <c r="DW440" s="267">
        <f>IF(V440="",0,SUM(DU440))</f>
        <v>0</v>
      </c>
      <c r="DX440" s="238">
        <f>IF(AK440="",0,1)</f>
        <v>0</v>
      </c>
      <c r="DY440" s="238">
        <f>IF(DG440=-3,1,0)</f>
        <v>0</v>
      </c>
      <c r="DZ440" s="238">
        <f>SUM(DX440:DY440)</f>
        <v>0</v>
      </c>
      <c r="EA440" s="238">
        <f>IF(AK440="",1,0)</f>
        <v>1</v>
      </c>
      <c r="EB440" s="238">
        <f>IF(DG440=3,1,0)</f>
        <v>0</v>
      </c>
      <c r="EC440" s="238">
        <f>SUM(EA440:EB440)</f>
        <v>1</v>
      </c>
      <c r="ED440" s="267">
        <f>IF(EC440=2,1,0)</f>
        <v>0</v>
      </c>
      <c r="EE440" s="267">
        <f>IF(DZ440=2,1,0)</f>
        <v>0</v>
      </c>
      <c r="EG440" s="166"/>
      <c r="EH440" s="238"/>
      <c r="EI440" s="238"/>
      <c r="EJ440" s="238"/>
      <c r="EK440" s="238"/>
      <c r="EL440" s="238"/>
      <c r="EM440" s="245">
        <f>IF(AK440="",0,1)</f>
        <v>0</v>
      </c>
      <c r="EN440" s="245">
        <f>SUM(AK440)</f>
        <v>0</v>
      </c>
      <c r="EO440" s="268">
        <f>SUM(AJ440)</f>
        <v>0</v>
      </c>
      <c r="EP440" s="268">
        <f>SUM(G440/3)</f>
        <v>0</v>
      </c>
      <c r="EQ440" s="268" t="e">
        <f>SUM(EO440/EP440)</f>
        <v>#DIV/0!</v>
      </c>
      <c r="ER440" s="268">
        <f>ROUNDDOWN(EP440,0)</f>
        <v>0</v>
      </c>
      <c r="ES440" s="268">
        <f>SUM(EO440,-ER440*3)</f>
        <v>0</v>
      </c>
      <c r="ET440" s="269" t="b">
        <f>MOD(EN440/1,2)=0</f>
        <v>1</v>
      </c>
      <c r="EU440" s="245">
        <f>IF(ET440=FALSE,1,0)</f>
        <v>0</v>
      </c>
      <c r="EV440" s="245">
        <f>IF(EN440=50,0,IF(EN440&lt;40,1,0))</f>
        <v>1</v>
      </c>
      <c r="EW440" s="245">
        <f>SUM(EU440:EV440)</f>
        <v>1</v>
      </c>
      <c r="EX440" s="267">
        <f>IF(EN440=1,1,IF(EN440=50,0,IF(ES440=1,IF(EN440&gt;40,1,0),0)))</f>
        <v>0</v>
      </c>
      <c r="EY440" s="267">
        <f>IF(ES440=1,IF(EW440=2,1,0),0)+EX440+FB440+FE440</f>
        <v>0</v>
      </c>
      <c r="EZ440" s="245">
        <f>IF(EN440=109,1,IF(EN440=108,1,IF(EN440=106,1,IF(EN440=105,1,IF(EN440=103,1,IF(EN440=102,1,IF(EN440=99,1,0)))))))</f>
        <v>0</v>
      </c>
      <c r="FA440" s="245">
        <f>IF(EN440&gt;110,1,0)</f>
        <v>0</v>
      </c>
      <c r="FB440" s="267">
        <f>IF(ES440=2,SUM(EZ440:FA440),0)</f>
        <v>0</v>
      </c>
      <c r="FC440" s="245">
        <f>IF(EN440=159,1,IF(EN440=162,1,IF(EN440=163,1,IF(EN440=165,1,IF(EN440=166,1,IF(EN440=168,1,IF(EN440=169,1,0)))))))</f>
        <v>0</v>
      </c>
      <c r="FD440" s="245">
        <f>IF(EN440&gt;170,1,0)</f>
        <v>0</v>
      </c>
      <c r="FE440" s="267">
        <f>IF(ES440=0,SUM(FC440:FD440),0)</f>
        <v>0</v>
      </c>
      <c r="FF440" s="251">
        <f t="shared" si="1092"/>
        <v>0</v>
      </c>
      <c r="FG440" s="238"/>
      <c r="FH440" s="245">
        <f>IF(AY440="",0,1)</f>
        <v>0</v>
      </c>
      <c r="FI440" s="245">
        <f>SUM(AY440)</f>
        <v>0</v>
      </c>
      <c r="FJ440" s="268">
        <f>SUM(AX440)</f>
        <v>0</v>
      </c>
      <c r="FK440" s="268">
        <f>SUM(V440/3)</f>
        <v>0</v>
      </c>
      <c r="FL440" s="268" t="e">
        <f>SUM(FJ440/FK440)</f>
        <v>#DIV/0!</v>
      </c>
      <c r="FM440" s="268">
        <f>ROUNDDOWN(FK440,0)</f>
        <v>0</v>
      </c>
      <c r="FN440" s="268">
        <f>SUM(FJ440,-FM440*3)</f>
        <v>0</v>
      </c>
      <c r="FO440" s="269" t="b">
        <f>MOD(FI440/1,2)=0</f>
        <v>1</v>
      </c>
      <c r="FP440" s="245">
        <f>IF(FO440=FALSE,1,0)</f>
        <v>0</v>
      </c>
      <c r="FQ440" s="245">
        <f>IF(FI440=50,0,IF(FI440&lt;40,1,0))</f>
        <v>1</v>
      </c>
      <c r="FR440" s="245">
        <f>SUM(FP440:FQ440)</f>
        <v>1</v>
      </c>
      <c r="FS440" s="267">
        <f>IF(FI440=1,1,IF(FI440=50,0,IF(FN440=1,IF(FI440&gt;40,1,0),0)))</f>
        <v>0</v>
      </c>
      <c r="FT440" s="267">
        <f>IF(FN440=1,IF(FR440=2,1,0),0)+FS440+FW440+FZ440</f>
        <v>0</v>
      </c>
      <c r="FU440" s="245">
        <f>IF(FI440=109,1,IF(FI440=108,1,IF(FI440=106,1,IF(FI440=105,1,IF(FI440=103,1,IF(FI440=102,1,IF(FI440=99,1,0)))))))</f>
        <v>0</v>
      </c>
      <c r="FV440" s="245">
        <f>IF(FI440&gt;110,1,0)</f>
        <v>0</v>
      </c>
      <c r="FW440" s="267">
        <f>IF(FN440=2,SUM(FU440:FV440),0)</f>
        <v>0</v>
      </c>
      <c r="FX440" s="245">
        <f>IF(FI440=159,1,IF(FI440=162,1,IF(FI440=163,1,IF(FI440=165,1,IF(FI440=166,1,IF(FI440=168,1,IF(FI440=169,1,0)))))))</f>
        <v>0</v>
      </c>
      <c r="FY440" s="245">
        <f>IF(FI440&gt;170,1,0)</f>
        <v>0</v>
      </c>
      <c r="FZ440" s="267">
        <f>IF(FN440=0,SUM(FX440:FY440),0)</f>
        <v>0</v>
      </c>
      <c r="GA440" s="251">
        <f t="shared" si="1093"/>
        <v>0</v>
      </c>
      <c r="GC440" s="238" t="str">
        <f>VLOOKUP(AH433,Chema!BL:BR,5,FALSE)</f>
        <v/>
      </c>
      <c r="GD440" s="341"/>
      <c r="GE440" s="343" t="str">
        <f>IF(R444="","",SUM(R444))</f>
        <v/>
      </c>
      <c r="GF440" s="340"/>
      <c r="GG440" s="346"/>
      <c r="GH440" s="343">
        <f>IF(GH439&gt;0,1,0)</f>
        <v>0</v>
      </c>
      <c r="GI440" s="346"/>
      <c r="GJ440" s="343"/>
      <c r="GK440" s="346"/>
      <c r="GL440" s="343">
        <f>IF(GL439&gt;0,1,0)</f>
        <v>0</v>
      </c>
      <c r="GM440" s="343"/>
      <c r="GN440" s="343"/>
      <c r="GO440" s="346"/>
      <c r="GP440" s="343">
        <f>IF(GP439&gt;0,1,0)</f>
        <v>0</v>
      </c>
      <c r="GQ440" s="343"/>
      <c r="GR440" s="343"/>
      <c r="GS440" s="346"/>
      <c r="GT440" s="343">
        <f>IF(GT439&gt;0,1,0)</f>
        <v>0</v>
      </c>
      <c r="GU440" s="343"/>
      <c r="GV440" s="343"/>
      <c r="GW440" s="346"/>
      <c r="GX440" s="343">
        <f>IF(GX439&gt;0,1,0)</f>
        <v>0</v>
      </c>
      <c r="GY440" s="340"/>
      <c r="GZ440" s="343"/>
      <c r="HA440" s="343"/>
      <c r="HB440" s="343" t="str">
        <f>IF(GD436=1,P444,"")</f>
        <v/>
      </c>
      <c r="HC440" s="343" t="str">
        <f>IF(GD436=1,X444,"")</f>
        <v/>
      </c>
      <c r="HD440" s="340"/>
      <c r="HE440" s="340"/>
      <c r="HF440" s="340"/>
      <c r="HG440" s="340">
        <f>IF(HG438=HM436,0,IF(HG438=HM440,0,1))</f>
        <v>0</v>
      </c>
      <c r="HH440" s="340">
        <f>IF(HH437=HH439,1,0)</f>
        <v>1</v>
      </c>
      <c r="HI440" s="340"/>
      <c r="HJ440" s="340"/>
      <c r="HK440" s="340"/>
      <c r="HL440" s="340"/>
      <c r="HM440" s="341">
        <f>COUNT(HI439,HJ439,HK439,HL439,HM439)</f>
        <v>0</v>
      </c>
      <c r="HN440" s="341"/>
      <c r="HO440" s="341"/>
      <c r="HP440" s="341"/>
      <c r="HQ440" s="341"/>
      <c r="HR440" s="341"/>
      <c r="HS440" s="238"/>
      <c r="HT440" s="238"/>
      <c r="HU440" s="238"/>
      <c r="HV440" s="238"/>
      <c r="HX440" s="238"/>
      <c r="HY440" s="238"/>
      <c r="ID440" s="238"/>
    </row>
    <row r="441" spans="1:238" s="234" customFormat="1" ht="6.6" customHeight="1">
      <c r="A441" s="235"/>
      <c r="B441" s="231"/>
      <c r="C441" s="310"/>
      <c r="D441" s="310"/>
      <c r="E441" s="310"/>
      <c r="F441" s="310"/>
      <c r="G441" s="313"/>
      <c r="H441" s="310"/>
      <c r="I441" s="310"/>
      <c r="J441" s="273"/>
      <c r="K441" s="313"/>
      <c r="O441" s="118"/>
      <c r="R441" s="310"/>
      <c r="S441" s="310"/>
      <c r="T441" s="310"/>
      <c r="U441" s="310"/>
      <c r="V441" s="313"/>
      <c r="W441" s="310"/>
      <c r="X441" s="310"/>
      <c r="Y441" s="273"/>
      <c r="Z441" s="308"/>
      <c r="AA441" s="274"/>
      <c r="AD441" s="235"/>
      <c r="AE441" s="237">
        <f>IF(AF441=0,0,1)</f>
        <v>0</v>
      </c>
      <c r="AF441" s="237">
        <f>IF(AL441=0,0,SUM(AL443:AL444,-AL442))</f>
        <v>0</v>
      </c>
      <c r="AG441" s="237"/>
      <c r="AH441" s="275">
        <f>SUM(AH436,AH437,AH438,AH439,AH440)</f>
        <v>0</v>
      </c>
      <c r="AI441" s="275">
        <f t="shared" ref="AI441" si="1105">SUM(AI436,AI437,AI438,AI439,AI440)</f>
        <v>0</v>
      </c>
      <c r="AJ441" s="275">
        <f t="shared" ref="AJ441" si="1106">SUM(AJ436,AJ437,AJ438,AJ439,AJ440)</f>
        <v>0</v>
      </c>
      <c r="AK441" s="275">
        <f>MAX(AK436,AK437,AK438,AK439,AK440)</f>
        <v>0</v>
      </c>
      <c r="AL441" s="275">
        <f t="shared" ref="AL441" si="1107">SUM(AL436,AL437,AL438,AL439,AL440)</f>
        <v>0</v>
      </c>
      <c r="AM441" s="275">
        <f>IF(AK433="D",SUM(AL436,AL437,AL438,AL439,AL440,-AL443,-AL444),0)</f>
        <v>0</v>
      </c>
      <c r="AN441" s="235"/>
      <c r="AO441" s="235"/>
      <c r="AP441" s="235"/>
      <c r="AQ441" s="235"/>
      <c r="AR441" s="235"/>
      <c r="AS441" s="237">
        <f>IF(AT441=0,0,1)</f>
        <v>0</v>
      </c>
      <c r="AT441" s="237">
        <f>IF(AZ441=0,0,SUM(AZ443:AZ444,-AZ442))</f>
        <v>0</v>
      </c>
      <c r="AU441" s="237"/>
      <c r="AV441" s="275">
        <f>SUM(AV436,AV437,AV438,AV439,AV440)</f>
        <v>0</v>
      </c>
      <c r="AW441" s="275">
        <f t="shared" ref="AW441" si="1108">SUM(AW436,AW437,AW438,AW439,AW440)</f>
        <v>0</v>
      </c>
      <c r="AX441" s="275">
        <f t="shared" ref="AX441" si="1109">SUM(AX436,AX437,AX438,AX439,AX440)</f>
        <v>0</v>
      </c>
      <c r="AY441" s="275">
        <f>MAX(AY436,AY437,AY438,AY439,AY440)</f>
        <v>0</v>
      </c>
      <c r="AZ441" s="275">
        <f t="shared" ref="AZ441" si="1110">SUM(AZ436,AZ437,AZ438,AZ439,AZ440)</f>
        <v>0</v>
      </c>
      <c r="BA441" s="275">
        <f>IF(AK433="D",SUM(AZ436,AZ437,AZ438,AZ439,AZ440,-AZ443,-AZ444),0)</f>
        <v>0</v>
      </c>
      <c r="BJ441" s="236"/>
      <c r="BK441" s="238"/>
      <c r="BL441" s="238"/>
      <c r="BM441" s="238"/>
      <c r="BP441" s="238"/>
      <c r="BQ441" s="238"/>
      <c r="BR441" s="238"/>
      <c r="BS441" s="238"/>
      <c r="BT441" s="238"/>
      <c r="BU441" s="238"/>
      <c r="BY441" s="238"/>
      <c r="BZ441" s="238">
        <f>MAX(BZ436,BZ437,BZ438,BZ439,BZ440)</f>
        <v>0</v>
      </c>
      <c r="CA441" s="238">
        <f>MAX(CA436,CA437,CA438,CA439,CA440)</f>
        <v>0</v>
      </c>
      <c r="CB441" s="238"/>
      <c r="CC441" s="238"/>
      <c r="CD441" s="238"/>
      <c r="CG441" s="244"/>
      <c r="CH441" s="238"/>
      <c r="CI441" s="238">
        <f>MAX(CI436,CI437,CI438,CI439,CI440)</f>
        <v>0</v>
      </c>
      <c r="CJ441" s="238">
        <f>MAX(CJ436,CJ437,CJ438,CJ439,CJ440)</f>
        <v>0</v>
      </c>
      <c r="CK441" s="238"/>
      <c r="CL441" s="238"/>
      <c r="CM441" s="238"/>
      <c r="CN441" s="238"/>
      <c r="CO441" s="238"/>
      <c r="CP441" s="238"/>
      <c r="CQ441" s="238"/>
      <c r="CR441" s="238"/>
      <c r="CS441" s="238"/>
      <c r="CT441" s="238"/>
      <c r="CU441" s="238"/>
      <c r="CV441" s="238"/>
      <c r="CW441" s="238"/>
      <c r="CX441" s="238"/>
      <c r="CY441" s="238"/>
      <c r="CZ441" s="238"/>
      <c r="DA441" s="238"/>
      <c r="DB441" s="238"/>
      <c r="DC441" s="238"/>
      <c r="DD441" s="238"/>
      <c r="DE441" s="238"/>
      <c r="DF441" s="238"/>
      <c r="DG441" s="238"/>
      <c r="DH441" s="238"/>
      <c r="DI441" s="238"/>
      <c r="DJ441" s="238"/>
      <c r="DK441" s="238"/>
      <c r="DL441" s="238"/>
      <c r="DM441" s="238"/>
      <c r="DN441" s="238"/>
      <c r="DO441" s="238"/>
      <c r="DP441" s="238"/>
      <c r="DQ441" s="238"/>
      <c r="DR441" s="238"/>
      <c r="DS441" s="238"/>
      <c r="DT441" s="238"/>
      <c r="DU441" s="238"/>
      <c r="DV441" s="238"/>
      <c r="DW441" s="238"/>
      <c r="DX441" s="238"/>
      <c r="DY441" s="238"/>
      <c r="DZ441" s="238"/>
      <c r="EA441" s="238"/>
      <c r="EB441" s="238"/>
      <c r="EC441" s="238"/>
      <c r="ED441" s="238"/>
      <c r="EE441" s="238"/>
      <c r="EF441" s="238"/>
      <c r="EG441" s="238"/>
      <c r="EH441" s="238"/>
      <c r="EI441" s="238"/>
      <c r="EJ441" s="238"/>
      <c r="EK441" s="238"/>
      <c r="EL441" s="238"/>
      <c r="EM441" s="166"/>
      <c r="EN441" s="166"/>
      <c r="EO441" s="166"/>
      <c r="EP441" s="238">
        <f>SUM(EN441-EO441)</f>
        <v>0</v>
      </c>
      <c r="EQ441" s="238"/>
      <c r="ER441" s="238"/>
      <c r="ES441" s="238"/>
      <c r="ET441" s="244"/>
      <c r="EU441" s="238"/>
      <c r="EV441" s="238"/>
      <c r="EW441" s="238"/>
      <c r="EX441" s="238"/>
      <c r="EY441" s="238"/>
      <c r="EZ441" s="238"/>
      <c r="FA441" s="238"/>
      <c r="FB441" s="238"/>
      <c r="FC441" s="238"/>
      <c r="FD441" s="238"/>
      <c r="FE441" s="238"/>
      <c r="FF441" s="238"/>
      <c r="FG441" s="238"/>
      <c r="FH441" s="238"/>
      <c r="FI441" s="238"/>
      <c r="FJ441" s="238"/>
      <c r="FK441" s="238"/>
      <c r="FL441" s="238"/>
      <c r="FM441" s="238"/>
      <c r="FN441" s="238"/>
      <c r="FO441" s="244"/>
      <c r="FP441" s="238"/>
      <c r="FQ441" s="238"/>
      <c r="FR441" s="238"/>
      <c r="FS441" s="238"/>
      <c r="FT441" s="238"/>
      <c r="FU441" s="238"/>
      <c r="FV441" s="238"/>
      <c r="FW441" s="238"/>
      <c r="FX441" s="238"/>
      <c r="FY441" s="238"/>
      <c r="FZ441" s="238"/>
      <c r="GA441" s="238"/>
      <c r="GB441" s="238"/>
      <c r="GC441" s="238"/>
      <c r="GD441" s="341"/>
      <c r="GE441" s="340"/>
      <c r="GF441" s="340"/>
      <c r="GG441" s="340"/>
      <c r="GH441" s="340"/>
      <c r="GI441" s="340"/>
      <c r="GJ441" s="340"/>
      <c r="GK441" s="340"/>
      <c r="GL441" s="340"/>
      <c r="GM441" s="340"/>
      <c r="GN441" s="340"/>
      <c r="GO441" s="340"/>
      <c r="GP441" s="340"/>
      <c r="GQ441" s="340"/>
      <c r="GR441" s="340"/>
      <c r="GS441" s="340"/>
      <c r="GT441" s="340"/>
      <c r="GU441" s="340"/>
      <c r="GV441" s="340"/>
      <c r="GW441" s="340"/>
      <c r="GX441" s="340"/>
      <c r="GY441" s="340"/>
      <c r="GZ441" s="340"/>
      <c r="HA441" s="340"/>
      <c r="HB441" s="340"/>
      <c r="HC441" s="340"/>
      <c r="HD441" s="341"/>
      <c r="HE441" s="341"/>
      <c r="HF441" s="341"/>
      <c r="HG441" s="341"/>
      <c r="HH441" s="341"/>
      <c r="HI441" s="341"/>
      <c r="HJ441" s="341"/>
      <c r="HK441" s="341"/>
      <c r="HL441" s="341"/>
      <c r="HM441" s="341"/>
      <c r="HN441" s="341"/>
      <c r="HO441" s="341"/>
      <c r="HP441" s="341"/>
      <c r="HQ441" s="341"/>
      <c r="HR441" s="341"/>
      <c r="HS441" s="238"/>
      <c r="HT441" s="238"/>
      <c r="HU441" s="238"/>
      <c r="HV441" s="238"/>
      <c r="HX441" s="238"/>
      <c r="HY441" s="238"/>
      <c r="ID441" s="238"/>
    </row>
    <row r="442" spans="1:238" s="234" customFormat="1" ht="20.100000000000001" customHeight="1">
      <c r="A442" s="235"/>
      <c r="B442" s="231"/>
      <c r="C442" s="314" t="s">
        <v>771</v>
      </c>
      <c r="D442" s="276" t="str">
        <f>REPT(Sprache!$K$58,1)</f>
        <v>Spieler</v>
      </c>
      <c r="E442" s="277" t="str">
        <f>REPT(Sprache!$K$33,1)</f>
        <v>Name / Vorname</v>
      </c>
      <c r="F442" s="278"/>
      <c r="G442" s="278"/>
      <c r="H442" s="279"/>
      <c r="I442" s="280"/>
      <c r="J442" s="281" t="str">
        <f>REPT(AM442,1)</f>
        <v/>
      </c>
      <c r="L442" s="306" t="s">
        <v>848</v>
      </c>
      <c r="M442" s="238"/>
      <c r="P442" s="306" t="s">
        <v>848</v>
      </c>
      <c r="R442" s="314" t="s">
        <v>771</v>
      </c>
      <c r="S442" s="276" t="str">
        <f>REPT(Sprache!$K$58,1)</f>
        <v>Spieler</v>
      </c>
      <c r="T442" s="277" t="str">
        <f>REPT(Sprache!$K$33,1)</f>
        <v>Name / Vorname</v>
      </c>
      <c r="U442" s="278"/>
      <c r="V442" s="278"/>
      <c r="W442" s="279"/>
      <c r="X442" s="280"/>
      <c r="Y442" s="281" t="str">
        <f>REPT(BA442,1)</f>
        <v/>
      </c>
      <c r="Z442" s="308"/>
      <c r="AD442" s="235"/>
      <c r="AE442" s="235"/>
      <c r="AF442" s="237" t="s">
        <v>771</v>
      </c>
      <c r="AG442" s="282" t="s">
        <v>877</v>
      </c>
      <c r="AH442" s="283" t="str">
        <f>IF(AH441=0,"",AH441)</f>
        <v/>
      </c>
      <c r="AI442" s="283" t="str">
        <f>IF(AI441=0,"",AI441)</f>
        <v/>
      </c>
      <c r="AJ442" s="283" t="str">
        <f>IF(AJ441=0,"",AJ441)</f>
        <v/>
      </c>
      <c r="AK442" s="283" t="str">
        <f>IF(AK441=0,"",AK441)</f>
        <v/>
      </c>
      <c r="AL442" s="283" t="str">
        <f>IF(AL441=0,"",AL441)</f>
        <v/>
      </c>
      <c r="AM442" s="258" t="str">
        <f>IF(AK433="D",IF(AF441=0,"","X"),"")</f>
        <v/>
      </c>
      <c r="AN442" s="235"/>
      <c r="AO442" s="235"/>
      <c r="AP442" s="284"/>
      <c r="AQ442" s="235"/>
      <c r="AR442" s="235"/>
      <c r="AS442" s="235"/>
      <c r="AT442" s="237" t="s">
        <v>771</v>
      </c>
      <c r="AU442" s="282" t="s">
        <v>877</v>
      </c>
      <c r="AV442" s="283" t="str">
        <f>IF(AV441=0,"",AV441)</f>
        <v/>
      </c>
      <c r="AW442" s="283" t="str">
        <f>IF(AW441=0,"",AW441)</f>
        <v/>
      </c>
      <c r="AX442" s="283" t="str">
        <f>IF(AX441=0,"",AX441)</f>
        <v/>
      </c>
      <c r="AY442" s="283" t="str">
        <f>IF(AY441=0,"",AY441)</f>
        <v/>
      </c>
      <c r="AZ442" s="421" t="str">
        <f>IF(AZ441=0,"",AZ441)</f>
        <v/>
      </c>
      <c r="BA442" s="258" t="str">
        <f>IF(AK433="D",IF(AT441=0,"","X"),"")</f>
        <v/>
      </c>
      <c r="BJ442" s="236"/>
      <c r="BK442" s="238"/>
      <c r="BL442" s="244">
        <f>IF(BM442=0,0,1)</f>
        <v>0</v>
      </c>
      <c r="BM442" s="244">
        <f>SUM(BM436,BM437,BM438,BM439,BM440,HH438,AN443,AN444,BB443,BB444)</f>
        <v>0</v>
      </c>
      <c r="BN442" s="166">
        <f t="shared" ref="BN442:BO442" si="1111">SUM(BN436,BN437,BN438,BN439,BN440)</f>
        <v>0</v>
      </c>
      <c r="BO442" s="166">
        <f t="shared" si="1111"/>
        <v>0</v>
      </c>
      <c r="BP442" s="244"/>
      <c r="BQ442" s="238"/>
      <c r="BR442" s="238"/>
      <c r="BS442" s="238"/>
      <c r="BT442" s="238"/>
      <c r="BU442" s="238"/>
      <c r="BV442" s="238"/>
      <c r="BW442" s="238"/>
      <c r="BX442" s="236"/>
      <c r="BY442" s="238"/>
      <c r="BZ442" s="238"/>
      <c r="CA442" s="238"/>
      <c r="CB442" s="238"/>
      <c r="CC442" s="238"/>
      <c r="CD442" s="238"/>
      <c r="CE442" s="238"/>
      <c r="CF442" s="238"/>
      <c r="CG442" s="244"/>
      <c r="CH442" s="238"/>
      <c r="CI442" s="238"/>
      <c r="CJ442" s="238"/>
      <c r="CK442" s="238"/>
      <c r="CL442" s="238"/>
      <c r="CM442" s="238"/>
      <c r="CN442" s="238"/>
      <c r="CO442" s="238"/>
      <c r="CP442" s="238"/>
      <c r="CQ442" s="238"/>
      <c r="CR442" s="238"/>
      <c r="CS442" s="238"/>
      <c r="CT442" s="238"/>
      <c r="CU442" s="238"/>
      <c r="CV442" s="238"/>
      <c r="CW442" s="238"/>
      <c r="CX442" s="238"/>
      <c r="CY442" s="238"/>
      <c r="CZ442" s="238"/>
      <c r="DA442" s="238"/>
      <c r="DB442" s="238"/>
      <c r="DC442" s="238"/>
      <c r="DD442" s="238"/>
      <c r="DE442" s="238"/>
      <c r="DF442" s="238"/>
      <c r="DG442" s="238"/>
      <c r="DH442" s="238"/>
      <c r="DI442" s="238"/>
      <c r="DJ442" s="238"/>
      <c r="DK442" s="238"/>
      <c r="DL442" s="238"/>
      <c r="DM442" s="238"/>
      <c r="DN442" s="238"/>
      <c r="DO442" s="238"/>
      <c r="DP442" s="238"/>
      <c r="DQ442" s="238"/>
      <c r="DR442" s="238"/>
      <c r="DS442" s="238"/>
      <c r="DT442" s="238"/>
      <c r="DU442" s="238"/>
      <c r="DV442" s="238"/>
      <c r="DW442" s="238"/>
      <c r="DX442" s="238"/>
      <c r="DY442" s="238"/>
      <c r="DZ442" s="238"/>
      <c r="EA442" s="238"/>
      <c r="EB442" s="238"/>
      <c r="EC442" s="238"/>
      <c r="ED442" s="238"/>
      <c r="EE442" s="238"/>
      <c r="EF442" s="238"/>
      <c r="EG442" s="238"/>
      <c r="EH442" s="238"/>
      <c r="EI442" s="238"/>
      <c r="EJ442" s="238"/>
      <c r="EK442" s="238"/>
      <c r="EL442" s="238"/>
      <c r="EM442" s="238"/>
      <c r="EN442" s="238"/>
      <c r="EO442" s="238"/>
      <c r="EP442" s="238"/>
      <c r="EQ442" s="238"/>
      <c r="ER442" s="238"/>
      <c r="ES442" s="238"/>
      <c r="ET442" s="244"/>
      <c r="EU442" s="238"/>
      <c r="EV442" s="238"/>
      <c r="EW442" s="238"/>
      <c r="EX442" s="238"/>
      <c r="EY442" s="238"/>
      <c r="EZ442" s="238"/>
      <c r="FA442" s="238"/>
      <c r="FB442" s="238"/>
      <c r="FC442" s="238"/>
      <c r="FD442" s="238"/>
      <c r="FE442" s="238"/>
      <c r="FF442" s="238"/>
      <c r="FG442" s="238"/>
      <c r="FH442" s="238"/>
      <c r="FI442" s="238"/>
      <c r="FJ442" s="238"/>
      <c r="FK442" s="238"/>
      <c r="FL442" s="238"/>
      <c r="FM442" s="238"/>
      <c r="FN442" s="238"/>
      <c r="FO442" s="244"/>
      <c r="FP442" s="238"/>
      <c r="FQ442" s="238"/>
      <c r="FR442" s="238"/>
      <c r="FS442" s="238"/>
      <c r="FT442" s="238"/>
      <c r="FU442" s="238"/>
      <c r="FV442" s="238"/>
      <c r="FW442" s="238"/>
      <c r="FX442" s="238"/>
      <c r="FY442" s="238"/>
      <c r="FZ442" s="238"/>
      <c r="GA442" s="238"/>
      <c r="GB442" s="238"/>
      <c r="GC442" s="238"/>
      <c r="GD442" s="341"/>
      <c r="GE442" s="340"/>
      <c r="GF442" s="340"/>
      <c r="GG442" s="340"/>
      <c r="GH442" s="340"/>
      <c r="GI442" s="340"/>
      <c r="GJ442" s="340"/>
      <c r="GK442" s="340"/>
      <c r="GL442" s="340"/>
      <c r="GM442" s="340"/>
      <c r="GN442" s="340"/>
      <c r="GO442" s="340"/>
      <c r="GP442" s="340"/>
      <c r="GQ442" s="340"/>
      <c r="GR442" s="340"/>
      <c r="GS442" s="340"/>
      <c r="GT442" s="340"/>
      <c r="GU442" s="340"/>
      <c r="GV442" s="340"/>
      <c r="GW442" s="340"/>
      <c r="GX442" s="340"/>
      <c r="GY442" s="340"/>
      <c r="GZ442" s="340"/>
      <c r="HA442" s="340"/>
      <c r="HB442" s="340"/>
      <c r="HC442" s="340"/>
      <c r="HD442" s="341"/>
      <c r="HE442" s="341"/>
      <c r="HF442" s="341"/>
      <c r="HG442" s="341"/>
      <c r="HH442" s="341"/>
      <c r="HI442" s="341"/>
      <c r="HJ442" s="341"/>
      <c r="HK442" s="341"/>
      <c r="HL442" s="341"/>
      <c r="HM442" s="341"/>
      <c r="HN442" s="341"/>
      <c r="HO442" s="341"/>
      <c r="HP442" s="341"/>
      <c r="HQ442" s="341"/>
      <c r="HR442" s="341"/>
      <c r="HS442" s="238"/>
      <c r="HT442" s="238"/>
      <c r="HU442" s="238"/>
      <c r="HV442" s="238"/>
      <c r="HX442" s="238"/>
      <c r="HY442" s="238"/>
      <c r="ID442" s="238"/>
    </row>
    <row r="443" spans="1:238" s="234" customFormat="1" ht="20.100000000000001" customHeight="1">
      <c r="A443" s="235"/>
      <c r="B443" s="231"/>
      <c r="C443" s="285" t="str">
        <f>IF(AF443="","",SUM(AF443))</f>
        <v/>
      </c>
      <c r="D443" s="286" t="str">
        <f>IF(AK433="D",1,"")</f>
        <v/>
      </c>
      <c r="E443" s="287" t="str">
        <f>IF(C443="","",VLOOKUP(C443,Licenses!B:C,2,FALSE))</f>
        <v/>
      </c>
      <c r="F443" s="288"/>
      <c r="G443" s="288"/>
      <c r="H443" s="289"/>
      <c r="I443" s="169"/>
      <c r="J443" s="270" t="str">
        <f>REPT(AM443,1)</f>
        <v/>
      </c>
      <c r="L443" s="290" t="str">
        <f>IF(AK433="D",AK443,IF(AK442="","",AK442))</f>
        <v/>
      </c>
      <c r="M443" s="311"/>
      <c r="P443" s="290" t="str">
        <f>IF(AK433="D",AY443,IF(AY442="","",AY442))</f>
        <v/>
      </c>
      <c r="R443" s="291" t="str">
        <f>IF(AT443="","",SUM(AT443))</f>
        <v/>
      </c>
      <c r="S443" s="286" t="str">
        <f>IF(AK433="D",1,"")</f>
        <v/>
      </c>
      <c r="T443" s="292" t="str">
        <f>IF(R443="","",VLOOKUP(R443,Licenses!B:C,2,FALSE))</f>
        <v/>
      </c>
      <c r="U443" s="293"/>
      <c r="V443" s="293"/>
      <c r="W443" s="294"/>
      <c r="X443" s="169"/>
      <c r="Y443" s="270" t="str">
        <f>REPT(BA443,1)</f>
        <v/>
      </c>
      <c r="Z443" s="308"/>
      <c r="AD443" s="235"/>
      <c r="AE443" s="235"/>
      <c r="AF443" s="256" t="str">
        <f>IF(AM433="","",SUM(AM433))</f>
        <v/>
      </c>
      <c r="AG443" s="237"/>
      <c r="AH443" s="256"/>
      <c r="AI443" s="256"/>
      <c r="AJ443" s="256"/>
      <c r="AK443" s="256" t="str">
        <f>IF(BZ441&gt;1,BZ441,"")</f>
        <v/>
      </c>
      <c r="AL443" s="257">
        <f>IF(AK433="D",SUM(I443),0)</f>
        <v>0</v>
      </c>
      <c r="AM443" s="258" t="str">
        <f>IF(AM441=0,IF(AL443&lt;6,"","X"),"X")</f>
        <v/>
      </c>
      <c r="AN443" s="347" t="str">
        <f>IF(AM441=0,IF(AL443&lt;6,"",1),1)</f>
        <v/>
      </c>
      <c r="AO443" s="235"/>
      <c r="AP443" s="236"/>
      <c r="AQ443" s="235"/>
      <c r="AR443" s="235"/>
      <c r="AS443" s="235"/>
      <c r="AT443" s="256" t="str">
        <f>IF(BA433="","",SUM(BA433))</f>
        <v/>
      </c>
      <c r="AU443" s="237"/>
      <c r="AV443" s="256"/>
      <c r="AW443" s="256"/>
      <c r="AX443" s="256"/>
      <c r="AY443" s="256" t="str">
        <f>IF(CI441&gt;1,CI441,"")</f>
        <v/>
      </c>
      <c r="AZ443" s="257">
        <f>IF(AK433="D",SUM(X443),0)</f>
        <v>0</v>
      </c>
      <c r="BA443" s="258" t="str">
        <f>IF(BA441=0,IF(AZ443&lt;6,"","X"),"X")</f>
        <v/>
      </c>
      <c r="BB443" s="347" t="str">
        <f>IF(BA441=0,IF(AZ443&lt;6,"",1),1)</f>
        <v/>
      </c>
      <c r="BC443" s="236"/>
      <c r="BD443" s="236"/>
      <c r="BE443" s="236"/>
      <c r="BF443" s="236"/>
      <c r="BG443" s="236"/>
      <c r="BH443" s="236"/>
      <c r="BI443" s="236"/>
      <c r="BJ443" s="236"/>
      <c r="BK443" s="238"/>
      <c r="BL443" s="238"/>
      <c r="BM443" s="295"/>
      <c r="BN443" s="295"/>
      <c r="BO443" s="295"/>
      <c r="BP443" s="295"/>
      <c r="BQ443" s="295"/>
      <c r="BR443" s="295"/>
      <c r="BS443" s="295"/>
      <c r="BT443" s="295"/>
      <c r="BU443" s="295"/>
      <c r="BV443" s="295"/>
      <c r="BW443" s="295"/>
      <c r="BX443" s="236"/>
      <c r="BY443" s="295"/>
      <c r="BZ443" s="295"/>
      <c r="CA443" s="295"/>
      <c r="CB443" s="295"/>
      <c r="CC443" s="295"/>
      <c r="CD443" s="295"/>
      <c r="CE443" s="295"/>
      <c r="CF443" s="295"/>
      <c r="CG443" s="296"/>
      <c r="CH443" s="295"/>
      <c r="CI443" s="295"/>
      <c r="CJ443" s="295"/>
      <c r="CK443" s="238"/>
      <c r="CL443" s="238"/>
      <c r="CM443" s="238"/>
      <c r="CN443" s="238"/>
      <c r="CO443" s="238"/>
      <c r="CP443" s="238"/>
      <c r="CQ443" s="238"/>
      <c r="CR443" s="238"/>
      <c r="CS443" s="238"/>
      <c r="CT443" s="238"/>
      <c r="CU443" s="238"/>
      <c r="CV443" s="238"/>
      <c r="CW443" s="238"/>
      <c r="CX443" s="238"/>
      <c r="CY443" s="238"/>
      <c r="CZ443" s="238"/>
      <c r="DA443" s="238"/>
      <c r="DB443" s="238"/>
      <c r="DC443" s="238"/>
      <c r="DD443" s="238"/>
      <c r="DE443" s="238"/>
      <c r="DF443" s="238"/>
      <c r="DG443" s="238"/>
      <c r="DH443" s="238"/>
      <c r="DI443" s="238"/>
      <c r="DJ443" s="238"/>
      <c r="DK443" s="238"/>
      <c r="DL443" s="238"/>
      <c r="DM443" s="238"/>
      <c r="DN443" s="238"/>
      <c r="DO443" s="238"/>
      <c r="DP443" s="238"/>
      <c r="DQ443" s="238"/>
      <c r="DR443" s="238"/>
      <c r="DS443" s="238"/>
      <c r="DT443" s="238"/>
      <c r="DU443" s="238"/>
      <c r="DV443" s="238"/>
      <c r="DW443" s="238"/>
      <c r="DX443" s="238"/>
      <c r="DY443" s="238"/>
      <c r="DZ443" s="238"/>
      <c r="EA443" s="238"/>
      <c r="EB443" s="238"/>
      <c r="EC443" s="238"/>
      <c r="ED443" s="238"/>
      <c r="EE443" s="238"/>
      <c r="EF443" s="238"/>
      <c r="EG443" s="238"/>
      <c r="EH443" s="238"/>
      <c r="EI443" s="238"/>
      <c r="EJ443" s="238"/>
      <c r="EK443" s="238"/>
      <c r="EL443" s="238"/>
      <c r="EM443" s="238"/>
      <c r="EN443" s="238"/>
      <c r="EO443" s="238"/>
      <c r="EP443" s="238"/>
      <c r="EQ443" s="238"/>
      <c r="ER443" s="238"/>
      <c r="ES443" s="238"/>
      <c r="ET443" s="244"/>
      <c r="EU443" s="238"/>
      <c r="EV443" s="238"/>
      <c r="EW443" s="238"/>
      <c r="EX443" s="238"/>
      <c r="EY443" s="238"/>
      <c r="EZ443" s="238"/>
      <c r="FA443" s="238"/>
      <c r="FB443" s="238"/>
      <c r="FC443" s="238"/>
      <c r="FD443" s="238"/>
      <c r="FE443" s="238"/>
      <c r="FF443" s="238"/>
      <c r="FG443" s="238"/>
      <c r="FH443" s="238"/>
      <c r="FI443" s="238"/>
      <c r="FJ443" s="238"/>
      <c r="FK443" s="238"/>
      <c r="FL443" s="238"/>
      <c r="FM443" s="238"/>
      <c r="FN443" s="238"/>
      <c r="FO443" s="244"/>
      <c r="FP443" s="238"/>
      <c r="FQ443" s="238"/>
      <c r="FR443" s="238"/>
      <c r="FS443" s="238"/>
      <c r="FT443" s="238"/>
      <c r="FU443" s="238"/>
      <c r="FV443" s="238"/>
      <c r="FW443" s="238"/>
      <c r="FX443" s="238"/>
      <c r="FY443" s="238"/>
      <c r="FZ443" s="238"/>
      <c r="GA443" s="238"/>
      <c r="GB443" s="238"/>
      <c r="GC443" s="238"/>
      <c r="GD443" s="341"/>
      <c r="GE443" s="340"/>
      <c r="GF443" s="340"/>
      <c r="GG443" s="340"/>
      <c r="GH443" s="340"/>
      <c r="GI443" s="340"/>
      <c r="GJ443" s="340"/>
      <c r="GK443" s="340"/>
      <c r="GL443" s="340"/>
      <c r="GM443" s="340"/>
      <c r="GN443" s="340"/>
      <c r="GO443" s="340"/>
      <c r="GP443" s="340"/>
      <c r="GQ443" s="340"/>
      <c r="GR443" s="340"/>
      <c r="GS443" s="340"/>
      <c r="GT443" s="340"/>
      <c r="GU443" s="340"/>
      <c r="GV443" s="340"/>
      <c r="GW443" s="340"/>
      <c r="GX443" s="340"/>
      <c r="GY443" s="340"/>
      <c r="GZ443" s="340"/>
      <c r="HA443" s="340"/>
      <c r="HB443" s="340"/>
      <c r="HC443" s="340"/>
      <c r="HD443" s="341"/>
      <c r="HE443" s="341"/>
      <c r="HF443" s="341"/>
      <c r="HG443" s="341"/>
      <c r="HH443" s="341"/>
      <c r="HI443" s="341"/>
      <c r="HJ443" s="341"/>
      <c r="HK443" s="341"/>
      <c r="HL443" s="341"/>
      <c r="HM443" s="341"/>
      <c r="HN443" s="341"/>
      <c r="HO443" s="341"/>
      <c r="HP443" s="341"/>
      <c r="HQ443" s="341"/>
      <c r="HR443" s="341"/>
      <c r="HS443" s="238"/>
      <c r="HT443" s="238"/>
      <c r="HU443" s="238"/>
      <c r="HV443" s="238"/>
      <c r="HX443" s="238"/>
      <c r="HY443" s="238"/>
      <c r="ID443" s="238"/>
    </row>
    <row r="444" spans="1:238" s="234" customFormat="1" ht="20.100000000000001" customHeight="1">
      <c r="A444" s="235"/>
      <c r="B444" s="231"/>
      <c r="C444" s="336" t="str">
        <f>IF(AF444="","",SUM(AF444))</f>
        <v/>
      </c>
      <c r="D444" s="333" t="str">
        <f>IF(AK433="D",2,"")</f>
        <v/>
      </c>
      <c r="E444" s="337" t="str">
        <f>IF(C444="","",VLOOKUP(C444,Licenses!B:C,2,FALSE))</f>
        <v/>
      </c>
      <c r="F444" s="290"/>
      <c r="G444" s="290"/>
      <c r="H444" s="338"/>
      <c r="I444" s="331"/>
      <c r="J444" s="272" t="str">
        <f>REPT(AM444,1)</f>
        <v/>
      </c>
      <c r="L444" s="315" t="str">
        <f>IF(AK433="D",AK444,"")</f>
        <v/>
      </c>
      <c r="M444" s="311"/>
      <c r="P444" s="315" t="str">
        <f>IF(AK433="D",AY444,"")</f>
        <v/>
      </c>
      <c r="R444" s="332" t="str">
        <f>IF(AT444="","",SUM(AT444))</f>
        <v/>
      </c>
      <c r="S444" s="333" t="str">
        <f>IF(AK433="D",2,"")</f>
        <v/>
      </c>
      <c r="T444" s="334" t="str">
        <f>IF(R444="","",VLOOKUP(R444,Licenses!B:C,2,FALSE))</f>
        <v/>
      </c>
      <c r="U444" s="297"/>
      <c r="V444" s="297"/>
      <c r="W444" s="335"/>
      <c r="X444" s="331"/>
      <c r="Y444" s="272" t="str">
        <f>REPT(BA444,1)</f>
        <v/>
      </c>
      <c r="Z444" s="308"/>
      <c r="AA444" s="238">
        <f>IF(AK433="D",0,1)</f>
        <v>1</v>
      </c>
      <c r="AD444" s="235"/>
      <c r="AE444" s="235"/>
      <c r="AF444" s="256" t="str">
        <f>IF(AM434="","",SUM(AM434))</f>
        <v/>
      </c>
      <c r="AG444" s="237"/>
      <c r="AH444" s="256"/>
      <c r="AI444" s="256"/>
      <c r="AJ444" s="256"/>
      <c r="AK444" s="256" t="str">
        <f>IF(CA441&gt;1,CA441,"")</f>
        <v/>
      </c>
      <c r="AL444" s="257">
        <f>IF(AK433="D",SUM(I444),0)</f>
        <v>0</v>
      </c>
      <c r="AM444" s="258" t="str">
        <f>IF(AM441=0,IF(AL444&lt;6,"","X"),"X")</f>
        <v/>
      </c>
      <c r="AN444" s="347" t="str">
        <f>IF(AM441=0,IF(AL444&lt;6,"",1),1)</f>
        <v/>
      </c>
      <c r="AO444" s="235"/>
      <c r="AP444" s="236"/>
      <c r="AQ444" s="235"/>
      <c r="AR444" s="235"/>
      <c r="AS444" s="235"/>
      <c r="AT444" s="256" t="str">
        <f>IF(BA434="","",SUM(BA434))</f>
        <v/>
      </c>
      <c r="AU444" s="237"/>
      <c r="AV444" s="256"/>
      <c r="AW444" s="256"/>
      <c r="AX444" s="256"/>
      <c r="AY444" s="256" t="str">
        <f>IF(CJ441&gt;1,CJ441,"")</f>
        <v/>
      </c>
      <c r="AZ444" s="257">
        <f>IF(AK433="D",SUM(X444),0)</f>
        <v>0</v>
      </c>
      <c r="BA444" s="258" t="str">
        <f>IF(BA441=0,IF(AZ444&lt;6,"","X"),"X")</f>
        <v/>
      </c>
      <c r="BB444" s="347" t="str">
        <f>IF(BA441=0,IF(AZ444&lt;6,"",1),1)</f>
        <v/>
      </c>
      <c r="BC444" s="236"/>
      <c r="BD444" s="236"/>
      <c r="BE444" s="236"/>
      <c r="BF444" s="236"/>
      <c r="BG444" s="236"/>
      <c r="BH444" s="236"/>
      <c r="BI444" s="236"/>
      <c r="BJ444" s="236"/>
      <c r="BK444" s="238"/>
      <c r="BM444" s="238"/>
      <c r="BN444" s="238"/>
      <c r="BO444" s="238"/>
      <c r="BP444" s="238"/>
      <c r="BQ444" s="238" t="s">
        <v>899</v>
      </c>
      <c r="BR444" s="238"/>
      <c r="BS444" s="238"/>
      <c r="BT444" s="238"/>
      <c r="BU444" s="238"/>
      <c r="BV444" s="238"/>
      <c r="BW444" s="238"/>
      <c r="BX444" s="236"/>
      <c r="BY444" s="238"/>
      <c r="BZ444" s="238"/>
      <c r="CA444" s="238"/>
      <c r="CB444" s="238"/>
      <c r="CC444" s="238"/>
      <c r="CD444" s="238" t="s">
        <v>899</v>
      </c>
      <c r="CE444" s="238"/>
      <c r="CF444" s="238"/>
      <c r="CG444" s="244"/>
      <c r="CH444" s="238"/>
      <c r="CI444" s="238"/>
      <c r="CJ444" s="238"/>
      <c r="CK444" s="238"/>
      <c r="CL444" s="238"/>
      <c r="CM444" s="238"/>
      <c r="CN444" s="238"/>
      <c r="CO444" s="238"/>
      <c r="CP444" s="238"/>
      <c r="CQ444" s="238"/>
      <c r="CR444" s="238"/>
      <c r="CS444" s="238"/>
      <c r="CT444" s="238"/>
      <c r="CU444" s="238"/>
      <c r="CV444" s="238"/>
      <c r="CW444" s="238"/>
      <c r="CX444" s="238"/>
      <c r="CY444" s="238"/>
      <c r="CZ444" s="238"/>
      <c r="DA444" s="238"/>
      <c r="DB444" s="238"/>
      <c r="DC444" s="238"/>
      <c r="DD444" s="238"/>
      <c r="DE444" s="238"/>
      <c r="DF444" s="238"/>
      <c r="DG444" s="238"/>
      <c r="DH444" s="238"/>
      <c r="DI444" s="238"/>
      <c r="DJ444" s="238"/>
      <c r="DK444" s="238"/>
      <c r="DL444" s="238"/>
      <c r="DM444" s="238"/>
      <c r="DN444" s="238"/>
      <c r="DO444" s="238"/>
      <c r="DP444" s="238"/>
      <c r="DQ444" s="238"/>
      <c r="DR444" s="238"/>
      <c r="DS444" s="238"/>
      <c r="DT444" s="238"/>
      <c r="DU444" s="238"/>
      <c r="DV444" s="238"/>
      <c r="DW444" s="238"/>
      <c r="DX444" s="238"/>
      <c r="DY444" s="238"/>
      <c r="DZ444" s="238"/>
      <c r="EA444" s="238"/>
      <c r="EB444" s="238"/>
      <c r="EC444" s="238"/>
      <c r="ED444" s="238"/>
      <c r="EE444" s="238"/>
      <c r="EF444" s="238"/>
      <c r="EG444" s="238"/>
      <c r="EH444" s="238"/>
      <c r="EI444" s="238"/>
      <c r="EJ444" s="238"/>
      <c r="EK444" s="238"/>
      <c r="EL444" s="238"/>
      <c r="EM444" s="238"/>
      <c r="EN444" s="238"/>
      <c r="EO444" s="238"/>
      <c r="EP444" s="238"/>
      <c r="EQ444" s="238"/>
      <c r="ER444" s="238"/>
      <c r="ES444" s="238"/>
      <c r="ET444" s="244"/>
      <c r="EU444" s="238"/>
      <c r="EV444" s="238"/>
      <c r="EW444" s="238"/>
      <c r="EX444" s="238"/>
      <c r="EY444" s="238"/>
      <c r="EZ444" s="238"/>
      <c r="FA444" s="238"/>
      <c r="FB444" s="238"/>
      <c r="FC444" s="238"/>
      <c r="FD444" s="238"/>
      <c r="FE444" s="238"/>
      <c r="FF444" s="238"/>
      <c r="FG444" s="238"/>
      <c r="FH444" s="238"/>
      <c r="FI444" s="238"/>
      <c r="FJ444" s="238"/>
      <c r="FK444" s="238"/>
      <c r="FL444" s="238"/>
      <c r="FM444" s="238"/>
      <c r="FN444" s="238"/>
      <c r="FO444" s="244"/>
      <c r="FP444" s="238"/>
      <c r="FQ444" s="238"/>
      <c r="FR444" s="238"/>
      <c r="FS444" s="238"/>
      <c r="FT444" s="238"/>
      <c r="FU444" s="238"/>
      <c r="FV444" s="238"/>
      <c r="FW444" s="238"/>
      <c r="FX444" s="238"/>
      <c r="FY444" s="238"/>
      <c r="FZ444" s="238"/>
      <c r="GA444" s="238"/>
      <c r="GB444" s="238"/>
      <c r="GC444" s="238"/>
      <c r="GD444" s="341"/>
      <c r="GE444" s="340"/>
      <c r="GF444" s="340"/>
      <c r="GG444" s="340"/>
      <c r="GH444" s="340"/>
      <c r="GI444" s="340"/>
      <c r="GJ444" s="340"/>
      <c r="GK444" s="340"/>
      <c r="GL444" s="340"/>
      <c r="GM444" s="340"/>
      <c r="GN444" s="340"/>
      <c r="GO444" s="340"/>
      <c r="GP444" s="340"/>
      <c r="GQ444" s="340"/>
      <c r="GR444" s="340"/>
      <c r="GS444" s="340"/>
      <c r="GT444" s="340"/>
      <c r="GU444" s="340"/>
      <c r="GV444" s="340"/>
      <c r="GW444" s="340"/>
      <c r="GX444" s="340"/>
      <c r="GY444" s="340"/>
      <c r="GZ444" s="340"/>
      <c r="HA444" s="340"/>
      <c r="HB444" s="340"/>
      <c r="HC444" s="340"/>
      <c r="HD444" s="341"/>
      <c r="HE444" s="341"/>
      <c r="HF444" s="341"/>
      <c r="HG444" s="341"/>
      <c r="HH444" s="341"/>
      <c r="HI444" s="341"/>
      <c r="HJ444" s="341"/>
      <c r="HK444" s="341"/>
      <c r="HL444" s="341"/>
      <c r="HM444" s="341"/>
      <c r="HN444" s="341"/>
      <c r="HO444" s="341"/>
      <c r="HP444" s="341"/>
      <c r="HQ444" s="341"/>
      <c r="HR444" s="341"/>
      <c r="HS444" s="238"/>
      <c r="HT444" s="238"/>
      <c r="HU444" s="238"/>
      <c r="HV444" s="238"/>
      <c r="HX444" s="238"/>
      <c r="HY444" s="238"/>
      <c r="ID444" s="238"/>
    </row>
    <row r="445" spans="1:238" s="234" customFormat="1" ht="20.100000000000001" customHeight="1">
      <c r="A445" s="235"/>
      <c r="B445" s="316"/>
      <c r="C445" s="317"/>
      <c r="D445" s="317"/>
      <c r="E445" s="318"/>
      <c r="F445" s="318"/>
      <c r="G445" s="318"/>
      <c r="H445" s="318"/>
      <c r="I445" s="318"/>
      <c r="J445" s="318"/>
      <c r="K445" s="319"/>
      <c r="L445" s="319"/>
      <c r="M445" s="319"/>
      <c r="N445" s="319"/>
      <c r="O445" s="319"/>
      <c r="P445" s="320"/>
      <c r="Q445" s="319"/>
      <c r="R445" s="317"/>
      <c r="S445" s="318"/>
      <c r="T445" s="318"/>
      <c r="U445" s="318"/>
      <c r="V445" s="318"/>
      <c r="W445" s="318"/>
      <c r="X445" s="318"/>
      <c r="Y445" s="318"/>
      <c r="Z445" s="321"/>
      <c r="AD445" s="235"/>
      <c r="AE445" s="237"/>
      <c r="AF445" s="237"/>
      <c r="AG445" s="237"/>
      <c r="AH445" s="237" t="s">
        <v>921</v>
      </c>
      <c r="AI445" s="237" t="s">
        <v>922</v>
      </c>
      <c r="AJ445" s="298" t="str">
        <f>IF(BS445="","",SUM(AM445)*3)</f>
        <v/>
      </c>
      <c r="AK445" s="299" t="s">
        <v>923</v>
      </c>
      <c r="AL445" s="256"/>
      <c r="AM445" s="256" t="str">
        <f>IF(BS445="","",SUM(BS445))</f>
        <v/>
      </c>
      <c r="AN445" s="235"/>
      <c r="AO445" s="235"/>
      <c r="AP445" s="236"/>
      <c r="AQ445" s="235"/>
      <c r="AR445" s="235"/>
      <c r="AS445" s="237"/>
      <c r="AT445" s="237"/>
      <c r="AU445" s="237"/>
      <c r="AV445" s="237" t="s">
        <v>921</v>
      </c>
      <c r="AW445" s="237" t="s">
        <v>922</v>
      </c>
      <c r="AX445" s="298" t="str">
        <f>IF(BS445="","",SUM(BA445)*3)</f>
        <v/>
      </c>
      <c r="AY445" s="299" t="s">
        <v>923</v>
      </c>
      <c r="AZ445" s="256"/>
      <c r="BA445" s="256" t="str">
        <f>IF(BS445="","",SUM(CF445))</f>
        <v/>
      </c>
      <c r="BB445" s="236"/>
      <c r="BC445" s="236"/>
      <c r="BD445" s="236"/>
      <c r="BE445" s="236"/>
      <c r="BF445" s="236"/>
      <c r="BG445" s="236"/>
      <c r="BH445" s="236"/>
      <c r="BI445" s="236"/>
      <c r="BJ445" s="236"/>
      <c r="BK445" s="373">
        <f>IF(AL433=BQ445,1,0)</f>
        <v>0</v>
      </c>
      <c r="BL445" s="373">
        <f>IF(AL433=CD445,1,0)</f>
        <v>0</v>
      </c>
      <c r="BM445" s="256">
        <f>IF(BN445&gt;2,1,0)</f>
        <v>0</v>
      </c>
      <c r="BN445" s="256">
        <f>COUNT(AH436,AH437,AH438)</f>
        <v>0</v>
      </c>
      <c r="BO445" s="256" t="str">
        <f>IF(AH442="","",SUM(AH442/AJ442))</f>
        <v/>
      </c>
      <c r="BP445" s="256"/>
      <c r="BQ445" s="300">
        <f>COUNT(AK436,AK437,AK438,AK439,AK440)</f>
        <v>0</v>
      </c>
      <c r="BR445" s="256"/>
      <c r="BS445" s="256" t="str">
        <f>IF(BL442=0,IF(AJ437="","",BO445),"")</f>
        <v/>
      </c>
      <c r="BT445" s="236"/>
      <c r="BU445" s="236"/>
      <c r="BV445" s="236"/>
      <c r="BW445" s="236"/>
      <c r="BX445" s="236"/>
      <c r="BY445" s="256">
        <f>IF(CD445&gt;2,1,0)</f>
        <v>0</v>
      </c>
      <c r="BZ445" s="256">
        <f>IF(CA445&gt;2,1,0)</f>
        <v>0</v>
      </c>
      <c r="CA445" s="256">
        <f>COUNT(AV436,AV437,AV438)</f>
        <v>0</v>
      </c>
      <c r="CB445" s="256" t="str">
        <f>IF(AV442="","",SUM(AV442/AX442))</f>
        <v/>
      </c>
      <c r="CC445" s="256"/>
      <c r="CD445" s="300">
        <f>COUNT(AY436,AY437,AY438,AY439,AY440)</f>
        <v>0</v>
      </c>
      <c r="CE445" s="256"/>
      <c r="CF445" s="256" t="str">
        <f>IF(BL442=0,IF(AX437="","",CB445),"")</f>
        <v/>
      </c>
      <c r="CG445" s="236"/>
      <c r="CH445" s="188"/>
      <c r="CI445" s="188"/>
      <c r="CJ445" s="196"/>
      <c r="CK445" s="196"/>
      <c r="CL445" s="196"/>
      <c r="CM445" s="196"/>
      <c r="CN445" s="196"/>
      <c r="CO445" s="196"/>
      <c r="CP445" s="196"/>
      <c r="CQ445" s="196"/>
      <c r="CR445" s="196"/>
      <c r="CS445" s="196"/>
      <c r="CT445" s="196"/>
      <c r="CU445" s="196"/>
      <c r="CV445" s="196"/>
      <c r="CW445" s="196"/>
      <c r="CX445" s="196"/>
      <c r="CY445" s="196"/>
      <c r="CZ445" s="196"/>
      <c r="DA445" s="196"/>
      <c r="DB445" s="196"/>
      <c r="DC445" s="196"/>
      <c r="DD445" s="196"/>
      <c r="DE445" s="196"/>
      <c r="DF445" s="196"/>
      <c r="DG445" s="196"/>
      <c r="DH445" s="196"/>
      <c r="DI445" s="196"/>
      <c r="DJ445" s="196"/>
      <c r="DK445" s="196"/>
      <c r="DL445" s="196"/>
      <c r="DM445" s="196"/>
      <c r="DN445" s="196"/>
      <c r="DO445" s="196"/>
      <c r="DP445" s="196"/>
      <c r="DQ445" s="196"/>
      <c r="DR445" s="196"/>
      <c r="DS445" s="196"/>
      <c r="DT445" s="196"/>
      <c r="DU445" s="196"/>
      <c r="DV445" s="196"/>
      <c r="DW445" s="196"/>
      <c r="DX445" s="196"/>
      <c r="DY445" s="196"/>
      <c r="DZ445" s="196"/>
      <c r="EA445" s="196"/>
      <c r="EB445" s="196"/>
      <c r="EC445" s="196"/>
      <c r="ED445" s="196"/>
      <c r="EE445" s="196"/>
      <c r="EF445" s="196"/>
      <c r="EG445" s="196"/>
      <c r="EH445" s="196"/>
      <c r="EI445" s="196"/>
      <c r="EJ445" s="196"/>
      <c r="EK445" s="196"/>
      <c r="EL445" s="196"/>
      <c r="EM445" s="196"/>
      <c r="EN445" s="196"/>
      <c r="EO445" s="196"/>
      <c r="EP445" s="196"/>
      <c r="EQ445" s="196"/>
      <c r="ER445" s="196"/>
      <c r="ES445" s="196"/>
      <c r="ET445" s="301"/>
      <c r="EU445" s="196"/>
      <c r="EV445" s="196"/>
      <c r="EW445" s="196"/>
      <c r="EX445" s="196"/>
      <c r="EY445" s="196"/>
      <c r="EZ445" s="196"/>
      <c r="FA445" s="196"/>
      <c r="FB445" s="196"/>
      <c r="FC445" s="196"/>
      <c r="FD445" s="196"/>
      <c r="FE445" s="196"/>
      <c r="FF445" s="196"/>
      <c r="FG445" s="196"/>
      <c r="FH445" s="196"/>
      <c r="FI445" s="196"/>
      <c r="FJ445" s="196"/>
      <c r="FK445" s="196"/>
      <c r="FL445" s="196"/>
      <c r="FM445" s="196"/>
      <c r="FN445" s="196"/>
      <c r="FO445" s="301"/>
      <c r="FP445" s="196"/>
      <c r="FQ445" s="196"/>
      <c r="FR445" s="196"/>
      <c r="FS445" s="196"/>
      <c r="FT445" s="196"/>
      <c r="FU445" s="196"/>
      <c r="FV445" s="196"/>
      <c r="FW445" s="196"/>
      <c r="FX445" s="196"/>
      <c r="FY445" s="196"/>
      <c r="FZ445" s="196"/>
      <c r="GA445" s="196"/>
      <c r="GB445" s="238"/>
      <c r="GC445" s="238"/>
      <c r="GD445" s="341"/>
      <c r="GE445" s="341"/>
      <c r="GF445" s="341"/>
      <c r="GG445" s="341"/>
      <c r="GH445" s="341"/>
      <c r="GI445" s="341"/>
      <c r="GJ445" s="341"/>
      <c r="GK445" s="341"/>
      <c r="GL445" s="341"/>
      <c r="GM445" s="341"/>
      <c r="GN445" s="341"/>
      <c r="GO445" s="341"/>
      <c r="GP445" s="341"/>
      <c r="GQ445" s="341"/>
      <c r="GR445" s="341"/>
      <c r="GS445" s="341"/>
      <c r="GT445" s="341"/>
      <c r="GU445" s="341"/>
      <c r="GV445" s="341"/>
      <c r="GW445" s="341"/>
      <c r="GX445" s="341"/>
      <c r="GY445" s="341"/>
      <c r="GZ445" s="341"/>
      <c r="HA445" s="341"/>
      <c r="HB445" s="341"/>
      <c r="HC445" s="341"/>
      <c r="HD445" s="341"/>
      <c r="HE445" s="341"/>
      <c r="HF445" s="341"/>
      <c r="HG445" s="341"/>
      <c r="HH445" s="341"/>
      <c r="HI445" s="341"/>
      <c r="HJ445" s="341"/>
      <c r="HK445" s="341"/>
      <c r="HL445" s="341"/>
      <c r="HM445" s="341"/>
      <c r="HN445" s="341"/>
      <c r="HO445" s="341"/>
      <c r="HP445" s="341"/>
      <c r="HQ445" s="341"/>
      <c r="HR445" s="341"/>
      <c r="HS445" s="238"/>
      <c r="HT445" s="238"/>
      <c r="HU445" s="238"/>
      <c r="HV445" s="238"/>
      <c r="HX445" s="238"/>
      <c r="HY445" s="238"/>
      <c r="ID445" s="238"/>
    </row>
    <row r="446" spans="1:238" ht="14.1" customHeight="1">
      <c r="B446" s="214"/>
      <c r="C446" s="171"/>
      <c r="D446" s="171"/>
      <c r="E446" s="171"/>
      <c r="F446" s="171"/>
      <c r="G446" s="171"/>
      <c r="H446" s="171"/>
      <c r="I446" s="171"/>
      <c r="J446" s="171"/>
      <c r="K446" s="171"/>
      <c r="L446" s="171"/>
      <c r="M446" s="171"/>
      <c r="N446" s="171"/>
      <c r="O446" s="171"/>
      <c r="P446" s="171"/>
      <c r="Q446" s="171"/>
      <c r="R446" s="171"/>
      <c r="S446" s="171"/>
      <c r="T446" s="171"/>
      <c r="U446" s="171"/>
      <c r="V446" s="171"/>
      <c r="W446" s="171"/>
      <c r="X446" s="171"/>
      <c r="Y446" s="171"/>
      <c r="Z446" s="302"/>
      <c r="AA446" s="215"/>
      <c r="AB446" s="215"/>
      <c r="AC446" s="215"/>
      <c r="AD446" s="215"/>
      <c r="AE446" s="215"/>
      <c r="AF446" s="215"/>
      <c r="BB446" s="215"/>
      <c r="BC446" s="215"/>
      <c r="BD446" s="215"/>
      <c r="BE446" s="215"/>
      <c r="BF446" s="215"/>
      <c r="BG446" s="215"/>
      <c r="BH446" s="215"/>
      <c r="GD446" s="339"/>
      <c r="GE446" s="339"/>
      <c r="GF446" s="339"/>
      <c r="GG446" s="339"/>
      <c r="GH446" s="339"/>
      <c r="GI446" s="339"/>
      <c r="GJ446" s="339"/>
      <c r="GK446" s="339"/>
      <c r="GL446" s="339"/>
      <c r="GM446" s="339"/>
      <c r="GN446" s="339"/>
      <c r="GO446" s="339"/>
      <c r="GP446" s="339"/>
      <c r="GQ446" s="339"/>
      <c r="GR446" s="339"/>
      <c r="GS446" s="339"/>
      <c r="GT446" s="339"/>
      <c r="GU446" s="339"/>
      <c r="GV446" s="339"/>
      <c r="GW446" s="339"/>
      <c r="GX446" s="339"/>
      <c r="GY446" s="339"/>
      <c r="GZ446" s="339"/>
      <c r="HA446" s="339"/>
      <c r="HB446" s="339"/>
      <c r="HC446" s="339"/>
      <c r="HD446" s="339"/>
      <c r="HE446" s="339"/>
      <c r="HF446" s="339"/>
      <c r="HG446" s="339"/>
      <c r="HH446" s="339"/>
      <c r="HI446" s="339"/>
      <c r="HJ446" s="339"/>
      <c r="HK446" s="339"/>
      <c r="HL446" s="339"/>
      <c r="HM446" s="339"/>
      <c r="HN446" s="339"/>
      <c r="HO446" s="339"/>
      <c r="HP446" s="339"/>
      <c r="HQ446" s="339"/>
      <c r="HR446" s="339"/>
    </row>
    <row r="447" spans="1:238" ht="24" customHeight="1">
      <c r="B447" s="216"/>
      <c r="C447" s="181"/>
      <c r="D447" s="181"/>
      <c r="E447" s="181"/>
      <c r="F447" s="181"/>
      <c r="G447" s="181"/>
      <c r="H447" s="181"/>
      <c r="I447" s="181"/>
      <c r="J447" s="181"/>
      <c r="K447" s="185"/>
      <c r="L447" s="217"/>
      <c r="M447" s="218"/>
      <c r="N447" s="327" t="str">
        <f>CONCATENATE(AG447," ",AH447)</f>
        <v xml:space="preserve">Spiel </v>
      </c>
      <c r="O447" s="218"/>
      <c r="P447" s="219"/>
      <c r="Q447" s="185"/>
      <c r="R447" s="181"/>
      <c r="S447" s="181"/>
      <c r="T447" s="181"/>
      <c r="U447" s="181"/>
      <c r="V447" s="181"/>
      <c r="W447" s="181"/>
      <c r="X447" s="181"/>
      <c r="Y447" s="181"/>
      <c r="Z447" s="303"/>
      <c r="AA447" s="200">
        <f>IF(AH447="",10,"")</f>
        <v>10</v>
      </c>
      <c r="AB447" s="200"/>
      <c r="AC447" s="200"/>
      <c r="AD447" s="200"/>
      <c r="AE447" s="200"/>
      <c r="AF447" s="200"/>
      <c r="AG447" s="200" t="s">
        <v>863</v>
      </c>
      <c r="AH447" s="220" t="str">
        <f>IF('Heimmannschaft MAISON'!$A$1=3,"",IF('Heimmannschaft MAISON'!$A$1=1,"",32))</f>
        <v/>
      </c>
      <c r="AI447" s="173" t="str">
        <f>IF(AH447="","",VLOOKUP(AH447,Chema!R:T,3,FALSE))</f>
        <v/>
      </c>
      <c r="AJ447" s="200" t="str">
        <f>VLOOKUP(AH447,Chema!BL:BQ,6,FALSE)</f>
        <v/>
      </c>
      <c r="AK447" s="200" t="str">
        <f>IF(AH447="","",VLOOKUP(AH447,'Matchblatt  FEUILLE DE MATCH'!AI:AJ,2,FALSE))</f>
        <v/>
      </c>
      <c r="AL447" s="200" t="str">
        <f>IF(AH447="","",VLOOKUP(AH447,Chema!R:U,4,FALSE))</f>
        <v/>
      </c>
      <c r="AM447" s="215" t="str">
        <f>IF(AH447="","",VLOOKUP(AH447,'Matchblatt  FEUILLE DE MATCH'!AI:AS,10,FALSE))</f>
        <v/>
      </c>
      <c r="AN447" s="215"/>
      <c r="AO447" s="215"/>
      <c r="AP447" s="215"/>
      <c r="AQ447" s="215"/>
      <c r="AR447" s="215"/>
      <c r="AS447" s="215"/>
      <c r="AT447" s="215"/>
      <c r="AU447" s="215"/>
      <c r="AV447" s="215"/>
      <c r="AW447" s="215"/>
      <c r="AX447" s="215"/>
      <c r="AY447" s="215"/>
      <c r="AZ447" s="215"/>
      <c r="BA447" s="215" t="str">
        <f>IF(AH447="","",VLOOKUP(AH447,'Matchblatt  FEUILLE DE MATCH'!AI:AS,11,FALSE))</f>
        <v/>
      </c>
      <c r="BB447" s="200"/>
      <c r="BC447" s="200"/>
      <c r="BD447" s="200"/>
      <c r="BE447" s="200"/>
      <c r="BF447" s="200"/>
      <c r="BG447" s="200"/>
      <c r="BH447" s="200"/>
      <c r="BK447" s="196"/>
      <c r="BL447" s="196"/>
      <c r="BM447" s="196"/>
      <c r="BN447" s="196"/>
      <c r="BO447" s="196"/>
      <c r="BP447" s="196"/>
      <c r="BQ447" s="221" t="s">
        <v>843</v>
      </c>
      <c r="BR447" s="222"/>
      <c r="BS447" s="222"/>
      <c r="BT447" s="223"/>
      <c r="BU447" s="222" t="s">
        <v>843</v>
      </c>
      <c r="BV447" s="222"/>
      <c r="BW447" s="222"/>
      <c r="BX447" s="224"/>
      <c r="BY447" s="222"/>
      <c r="BZ447" s="222"/>
      <c r="CA447" s="222"/>
      <c r="CB447" s="222"/>
      <c r="CC447" s="222"/>
      <c r="CD447" s="222"/>
      <c r="CE447" s="222"/>
      <c r="CF447" s="222"/>
      <c r="CG447" s="224"/>
      <c r="CH447" s="222"/>
      <c r="CI447" s="222"/>
      <c r="CJ447" s="223"/>
      <c r="CK447" s="196"/>
      <c r="CL447" s="196"/>
      <c r="CM447" s="196"/>
      <c r="CN447" s="196"/>
      <c r="CO447" s="196"/>
      <c r="CP447" s="196"/>
      <c r="CQ447" s="196"/>
      <c r="CR447" s="196"/>
      <c r="CS447" s="196"/>
      <c r="CT447" s="196"/>
      <c r="CU447" s="196"/>
      <c r="CV447" s="196"/>
      <c r="CW447" s="196"/>
      <c r="CX447" s="196"/>
      <c r="CY447" s="196"/>
      <c r="CZ447" s="196"/>
      <c r="DA447" s="196"/>
      <c r="DB447" s="196"/>
      <c r="DC447" s="196"/>
      <c r="DD447" s="196"/>
      <c r="DE447" s="196"/>
      <c r="DF447" s="196"/>
      <c r="DG447" s="196"/>
      <c r="DH447" s="196"/>
      <c r="DI447" s="196"/>
      <c r="DJ447" s="196"/>
      <c r="DK447" s="196"/>
      <c r="DL447" s="196"/>
      <c r="DM447" s="196"/>
      <c r="DN447" s="196"/>
      <c r="DO447" s="196"/>
      <c r="DP447" s="196"/>
      <c r="DQ447" s="196"/>
      <c r="DR447" s="196"/>
      <c r="DS447" s="196"/>
      <c r="DT447" s="196"/>
      <c r="DU447" s="196"/>
      <c r="DV447" s="196"/>
      <c r="DW447" s="196"/>
      <c r="DX447" s="196"/>
      <c r="DY447" s="196"/>
      <c r="DZ447" s="196"/>
      <c r="EA447" s="196"/>
      <c r="EB447" s="196"/>
      <c r="EC447" s="196"/>
      <c r="ED447" s="196"/>
      <c r="EE447" s="196"/>
      <c r="EF447" s="196"/>
      <c r="EG447" s="196"/>
      <c r="EH447" s="196"/>
      <c r="EI447" s="196"/>
      <c r="EJ447" s="196"/>
      <c r="EK447" s="196"/>
      <c r="EL447" s="196"/>
      <c r="EM447" s="221" t="s">
        <v>7</v>
      </c>
      <c r="EN447" s="222"/>
      <c r="EO447" s="222"/>
      <c r="EP447" s="222"/>
      <c r="EQ447" s="222"/>
      <c r="ER447" s="222"/>
      <c r="ES447" s="222"/>
      <c r="ET447" s="224"/>
      <c r="EU447" s="222"/>
      <c r="EV447" s="222"/>
      <c r="EW447" s="222"/>
      <c r="EX447" s="222"/>
      <c r="EY447" s="222"/>
      <c r="EZ447" s="222"/>
      <c r="FA447" s="222"/>
      <c r="FB447" s="222"/>
      <c r="FC447" s="222"/>
      <c r="FD447" s="222"/>
      <c r="FE447" s="223"/>
      <c r="FF447" s="196"/>
      <c r="FG447" s="196"/>
      <c r="FH447" s="221" t="s">
        <v>12</v>
      </c>
      <c r="FI447" s="222"/>
      <c r="FJ447" s="222"/>
      <c r="FK447" s="222"/>
      <c r="FL447" s="222"/>
      <c r="FM447" s="222"/>
      <c r="FN447" s="222"/>
      <c r="FO447" s="224"/>
      <c r="FP447" s="222"/>
      <c r="FQ447" s="222"/>
      <c r="FR447" s="222"/>
      <c r="FS447" s="222"/>
      <c r="FT447" s="222"/>
      <c r="FU447" s="222"/>
      <c r="FV447" s="222"/>
      <c r="FW447" s="222"/>
      <c r="FX447" s="222"/>
      <c r="FY447" s="222"/>
      <c r="FZ447" s="223"/>
      <c r="GA447" s="196"/>
      <c r="GD447" s="339"/>
      <c r="GE447" s="339"/>
      <c r="GF447" s="339"/>
      <c r="GG447" s="339"/>
      <c r="GH447" s="339"/>
      <c r="GI447" s="339"/>
      <c r="GJ447" s="339"/>
      <c r="GK447" s="339"/>
      <c r="GL447" s="339"/>
      <c r="GM447" s="339"/>
      <c r="GN447" s="339"/>
      <c r="GO447" s="339"/>
      <c r="GP447" s="339"/>
      <c r="GQ447" s="339"/>
      <c r="GR447" s="339"/>
      <c r="GS447" s="339"/>
      <c r="GT447" s="339"/>
      <c r="GU447" s="339"/>
      <c r="GV447" s="339"/>
      <c r="GW447" s="339"/>
      <c r="GX447" s="339"/>
      <c r="GY447" s="339"/>
      <c r="GZ447" s="339"/>
      <c r="HA447" s="339"/>
      <c r="HB447" s="339"/>
      <c r="HC447" s="339"/>
      <c r="HD447" s="339"/>
      <c r="HE447" s="339"/>
      <c r="HF447" s="339"/>
      <c r="HG447" s="339"/>
      <c r="HH447" s="339"/>
      <c r="HI447" s="339"/>
      <c r="HJ447" s="339"/>
      <c r="HK447" s="339"/>
      <c r="HL447" s="339"/>
      <c r="HM447" s="339"/>
      <c r="HN447" s="339"/>
      <c r="HO447" s="339"/>
      <c r="HP447" s="339"/>
      <c r="HQ447" s="339"/>
      <c r="HR447" s="339"/>
    </row>
    <row r="448" spans="1:238" ht="14.1" customHeight="1">
      <c r="B448" s="225"/>
      <c r="C448" s="304"/>
      <c r="D448" s="304"/>
      <c r="E448" s="304"/>
      <c r="F448" s="304"/>
      <c r="G448" s="304"/>
      <c r="H448" s="304"/>
      <c r="I448" s="304"/>
      <c r="J448" s="304"/>
      <c r="K448" s="166"/>
      <c r="L448" s="166"/>
      <c r="M448" s="166"/>
      <c r="N448" s="304"/>
      <c r="O448" s="304"/>
      <c r="P448" s="166"/>
      <c r="Q448" s="166"/>
      <c r="R448" s="304"/>
      <c r="S448" s="304"/>
      <c r="T448" s="304"/>
      <c r="U448" s="304"/>
      <c r="V448" s="304"/>
      <c r="W448" s="304"/>
      <c r="X448" s="166"/>
      <c r="Y448" s="166"/>
      <c r="Z448" s="305"/>
      <c r="AA448" s="63"/>
      <c r="AB448" s="63"/>
      <c r="AC448" s="63"/>
      <c r="AD448" s="63"/>
      <c r="AE448" s="63"/>
      <c r="AF448" s="63"/>
      <c r="AJ448" s="173" t="str">
        <f>IF(AH447="","",IF(AK447="D",CONCATENATE(AI447,".",2),""))</f>
        <v/>
      </c>
      <c r="AL448" s="200"/>
      <c r="AM448" s="200" t="str">
        <f>IF(AK447="D",VLOOKUP(AJ448,'Matchblatt  FEUILLE DE MATCH'!AK:AS,8,FALSE),"")</f>
        <v/>
      </c>
      <c r="AN448" s="200"/>
      <c r="AO448" s="200"/>
      <c r="AP448" s="200"/>
      <c r="AQ448" s="200"/>
      <c r="AR448" s="200"/>
      <c r="AS448" s="200"/>
      <c r="AT448" s="200"/>
      <c r="AU448" s="200"/>
      <c r="AV448" s="200"/>
      <c r="AW448" s="200"/>
      <c r="AX448" s="200"/>
      <c r="AY448" s="200"/>
      <c r="AZ448" s="200"/>
      <c r="BA448" s="200" t="str">
        <f>IF(AK447="D",VLOOKUP(AJ448,'Matchblatt  FEUILLE DE MATCH'!AK:AS,9,FALSE),"")</f>
        <v/>
      </c>
      <c r="BB448" s="63"/>
      <c r="BC448" s="63"/>
      <c r="BD448" s="63"/>
      <c r="BE448" s="63"/>
      <c r="BF448" s="63"/>
      <c r="BG448" s="63"/>
      <c r="BH448" s="63"/>
      <c r="BK448" s="166" t="s">
        <v>7</v>
      </c>
      <c r="BL448" s="166" t="s">
        <v>12</v>
      </c>
      <c r="BM448" s="166"/>
      <c r="BN448" s="166" t="s">
        <v>7</v>
      </c>
      <c r="BO448" s="166" t="s">
        <v>12</v>
      </c>
      <c r="BP448" s="166"/>
      <c r="BQ448" s="226" t="s">
        <v>894</v>
      </c>
      <c r="BR448" s="227" t="s">
        <v>895</v>
      </c>
      <c r="BS448" s="228" t="s">
        <v>896</v>
      </c>
      <c r="BT448" s="229"/>
      <c r="BU448" s="226" t="s">
        <v>7</v>
      </c>
      <c r="BV448" s="166"/>
      <c r="BW448" s="166"/>
      <c r="BX448" s="230"/>
      <c r="BY448" s="166"/>
      <c r="BZ448" s="166"/>
      <c r="CA448" s="227"/>
      <c r="CB448" s="166"/>
      <c r="CC448" s="166"/>
      <c r="CD448" s="226" t="s">
        <v>12</v>
      </c>
      <c r="CE448" s="166"/>
      <c r="CF448" s="166"/>
      <c r="CG448" s="230"/>
      <c r="CH448" s="166"/>
      <c r="CI448" s="166"/>
      <c r="CJ448" s="227"/>
      <c r="CK448" s="166"/>
      <c r="CL448" s="166" t="s">
        <v>897</v>
      </c>
      <c r="CM448" s="166"/>
      <c r="CN448" s="166"/>
      <c r="CO448" s="166"/>
      <c r="CP448" s="166"/>
      <c r="CQ448" s="166"/>
      <c r="CR448" s="166"/>
      <c r="CS448" s="166"/>
      <c r="CT448" s="166"/>
      <c r="CU448" s="166" t="s">
        <v>843</v>
      </c>
      <c r="CV448" s="166"/>
      <c r="CW448" s="166" t="s">
        <v>843</v>
      </c>
      <c r="CX448" s="166"/>
      <c r="CY448" s="166"/>
      <c r="CZ448" s="166"/>
      <c r="DA448" s="166"/>
      <c r="DB448" s="166"/>
      <c r="DC448" s="166"/>
      <c r="DD448" s="166" t="s">
        <v>894</v>
      </c>
      <c r="DE448" s="166" t="s">
        <v>895</v>
      </c>
      <c r="DF448" s="166"/>
      <c r="DG448" s="166" t="s">
        <v>927</v>
      </c>
      <c r="DH448" s="166"/>
      <c r="DI448" s="166"/>
      <c r="DJ448" s="166"/>
      <c r="DK448" s="166"/>
      <c r="DL448" s="166"/>
      <c r="DM448" s="166"/>
      <c r="DN448" s="166" t="s">
        <v>928</v>
      </c>
      <c r="DO448" s="166" t="s">
        <v>929</v>
      </c>
      <c r="DP448" s="166"/>
      <c r="DQ448" s="166"/>
      <c r="DR448" s="166"/>
      <c r="DS448" s="166"/>
      <c r="DT448" s="166"/>
      <c r="DU448" s="166"/>
      <c r="DV448" s="166" t="s">
        <v>894</v>
      </c>
      <c r="DW448" s="166" t="s">
        <v>895</v>
      </c>
      <c r="DX448" s="166"/>
      <c r="DY448" s="166"/>
      <c r="DZ448" s="166"/>
      <c r="EA448" s="166"/>
      <c r="EB448" s="166"/>
      <c r="EC448" s="166"/>
      <c r="ED448" s="166" t="s">
        <v>894</v>
      </c>
      <c r="EE448" s="166" t="s">
        <v>895</v>
      </c>
      <c r="EF448" s="166"/>
      <c r="EG448" s="166"/>
      <c r="EH448" s="166"/>
      <c r="EI448" s="166"/>
      <c r="EJ448" s="166"/>
      <c r="EK448" s="166"/>
      <c r="EL448" s="166"/>
      <c r="EM448" s="166"/>
      <c r="EN448" s="166"/>
      <c r="EO448" s="166"/>
      <c r="EP448" s="166"/>
      <c r="EQ448" s="166"/>
      <c r="ER448" s="166"/>
      <c r="ES448" s="166"/>
      <c r="ET448" s="230"/>
      <c r="EU448" s="166"/>
      <c r="EV448" s="166"/>
      <c r="EW448" s="166"/>
      <c r="EX448" s="166"/>
      <c r="EY448" s="166"/>
      <c r="EZ448" s="166"/>
      <c r="FA448" s="166"/>
      <c r="FB448" s="166"/>
      <c r="FC448" s="166"/>
      <c r="FD448" s="166"/>
      <c r="FE448" s="166"/>
      <c r="FF448" s="166"/>
      <c r="FG448" s="166"/>
      <c r="FH448" s="166"/>
      <c r="FI448" s="166"/>
      <c r="FJ448" s="166"/>
      <c r="FK448" s="166"/>
      <c r="FL448" s="166"/>
      <c r="FM448" s="166"/>
      <c r="FN448" s="166"/>
      <c r="FO448" s="230"/>
      <c r="FP448" s="166"/>
      <c r="FQ448" s="166"/>
      <c r="FR448" s="166"/>
      <c r="FS448" s="166"/>
      <c r="FT448" s="166"/>
      <c r="FU448" s="166"/>
      <c r="FV448" s="166"/>
      <c r="FW448" s="166"/>
      <c r="FX448" s="166"/>
      <c r="FY448" s="166"/>
      <c r="FZ448" s="166"/>
      <c r="GA448" s="166"/>
      <c r="GD448" s="339"/>
      <c r="GE448" s="339"/>
      <c r="GF448" s="339"/>
      <c r="GG448" s="339"/>
      <c r="GH448" s="339"/>
      <c r="GI448" s="339"/>
      <c r="GJ448" s="339"/>
      <c r="GK448" s="339"/>
      <c r="GL448" s="339"/>
      <c r="GM448" s="339"/>
      <c r="GN448" s="339"/>
      <c r="GO448" s="339"/>
      <c r="GP448" s="339"/>
      <c r="GQ448" s="339"/>
      <c r="GR448" s="339"/>
      <c r="GS448" s="339"/>
      <c r="GT448" s="339"/>
      <c r="GU448" s="339"/>
      <c r="GV448" s="339"/>
      <c r="GW448" s="339"/>
      <c r="GX448" s="339"/>
      <c r="GY448" s="339"/>
      <c r="GZ448" s="339"/>
      <c r="HA448" s="339"/>
      <c r="HB448" s="339"/>
      <c r="HC448" s="339"/>
      <c r="HD448" s="339"/>
      <c r="HE448" s="339"/>
      <c r="HF448" s="339"/>
      <c r="HG448" s="339"/>
      <c r="HH448" s="339"/>
      <c r="HI448" s="339"/>
      <c r="HJ448" s="339"/>
      <c r="HK448" s="339"/>
      <c r="HL448" s="339"/>
      <c r="HM448" s="339"/>
      <c r="HN448" s="339"/>
      <c r="HO448" s="339"/>
      <c r="HP448" s="339"/>
      <c r="HQ448" s="339"/>
      <c r="HR448" s="339"/>
    </row>
    <row r="449" spans="1:238" s="234" customFormat="1" ht="20.100000000000001" customHeight="1">
      <c r="A449" s="235"/>
      <c r="B449" s="231"/>
      <c r="C449" s="232" t="str">
        <f>REPT(Sprache!$K$12,1)</f>
        <v>SPIEL</v>
      </c>
      <c r="D449" s="233" t="s">
        <v>869</v>
      </c>
      <c r="E449" s="233" t="str">
        <f>REPT(Sprache!$K$62,1)</f>
        <v>Punkte</v>
      </c>
      <c r="F449" s="233" t="str">
        <f>REPT(Sprache!$K$61,1)</f>
        <v>Rest</v>
      </c>
      <c r="G449" s="233" t="s">
        <v>898</v>
      </c>
      <c r="H449" s="233" t="s">
        <v>848</v>
      </c>
      <c r="I449" s="233">
        <v>180</v>
      </c>
      <c r="J449" s="233" t="str">
        <f>REPT(Sprache!$K$63,1)</f>
        <v>Fehler</v>
      </c>
      <c r="L449" s="306" t="s">
        <v>923</v>
      </c>
      <c r="M449" s="307"/>
      <c r="P449" s="306" t="s">
        <v>923</v>
      </c>
      <c r="R449" s="232" t="str">
        <f>REPT(Sprache!$K$12,1)</f>
        <v>SPIEL</v>
      </c>
      <c r="S449" s="233" t="s">
        <v>869</v>
      </c>
      <c r="T449" s="233" t="str">
        <f>REPT(Sprache!$K$62,1)</f>
        <v>Punkte</v>
      </c>
      <c r="U449" s="233" t="str">
        <f>REPT(Sprache!$K$61,1)</f>
        <v>Rest</v>
      </c>
      <c r="V449" s="233" t="s">
        <v>898</v>
      </c>
      <c r="W449" s="233" t="s">
        <v>848</v>
      </c>
      <c r="X449" s="233">
        <v>180</v>
      </c>
      <c r="Y449" s="233" t="str">
        <f>REPT(Sprache!$K$63,1)</f>
        <v>Fehler</v>
      </c>
      <c r="Z449" s="308"/>
      <c r="AD449" s="235"/>
      <c r="AE449" s="236" t="s">
        <v>966</v>
      </c>
      <c r="AF449" s="236" t="s">
        <v>967</v>
      </c>
      <c r="AG449" s="236" t="s">
        <v>965</v>
      </c>
      <c r="AH449" s="237" t="str">
        <f>LEFT($BM$6,10)</f>
        <v/>
      </c>
      <c r="AI449" s="237" t="str">
        <f>LEFT($BN$6,10)</f>
        <v/>
      </c>
      <c r="AJ449" s="237" t="s">
        <v>898</v>
      </c>
      <c r="AK449" s="237" t="s">
        <v>848</v>
      </c>
      <c r="AL449" s="237">
        <v>180</v>
      </c>
      <c r="AM449" s="237" t="str">
        <f>LEFT($BL$6,50)</f>
        <v/>
      </c>
      <c r="AN449" s="235"/>
      <c r="AO449" s="235"/>
      <c r="AP449" s="235"/>
      <c r="AQ449" s="235"/>
      <c r="AR449" s="235"/>
      <c r="AS449" s="235"/>
      <c r="AT449" s="235"/>
      <c r="AU449" s="235"/>
      <c r="AV449" s="237" t="str">
        <f>LEFT($BM$6,10)</f>
        <v/>
      </c>
      <c r="AW449" s="237" t="str">
        <f>LEFT($BN$6,10)</f>
        <v/>
      </c>
      <c r="AX449" s="237" t="s">
        <v>898</v>
      </c>
      <c r="AY449" s="237" t="s">
        <v>848</v>
      </c>
      <c r="AZ449" s="237">
        <v>180</v>
      </c>
      <c r="BA449" s="237" t="str">
        <f>LEFT($BL$6,50)</f>
        <v/>
      </c>
      <c r="BI449" s="238"/>
      <c r="BJ449" s="238"/>
      <c r="BK449" s="238" t="s">
        <v>165</v>
      </c>
      <c r="BL449" s="238" t="s">
        <v>165</v>
      </c>
      <c r="BM449" s="239" t="s">
        <v>165</v>
      </c>
      <c r="BN449" s="239" t="s">
        <v>899</v>
      </c>
      <c r="BO449" s="239" t="s">
        <v>899</v>
      </c>
      <c r="BP449" s="239" t="s">
        <v>900</v>
      </c>
      <c r="BQ449" s="240" t="s">
        <v>901</v>
      </c>
      <c r="BR449" s="241"/>
      <c r="BS449" s="242" t="s">
        <v>926</v>
      </c>
      <c r="BT449" s="243"/>
      <c r="BU449" s="242" t="s">
        <v>902</v>
      </c>
      <c r="BV449" s="238"/>
      <c r="BW449" s="238"/>
      <c r="BX449" s="244"/>
      <c r="BY449" s="238"/>
      <c r="BZ449" s="238" t="s">
        <v>903</v>
      </c>
      <c r="CA449" s="243" t="s">
        <v>904</v>
      </c>
      <c r="CB449" s="238"/>
      <c r="CC449" s="238"/>
      <c r="CD449" s="242" t="s">
        <v>902</v>
      </c>
      <c r="CE449" s="238"/>
      <c r="CF449" s="238"/>
      <c r="CG449" s="244"/>
      <c r="CH449" s="238"/>
      <c r="CI449" s="238" t="s">
        <v>903</v>
      </c>
      <c r="CJ449" s="243" t="s">
        <v>904</v>
      </c>
      <c r="CK449" s="238"/>
      <c r="CL449" s="245" t="s">
        <v>905</v>
      </c>
      <c r="CM449" s="245" t="s">
        <v>906</v>
      </c>
      <c r="CN449" s="245" t="s">
        <v>907</v>
      </c>
      <c r="CO449" s="245" t="s">
        <v>908</v>
      </c>
      <c r="CP449" s="245" t="s">
        <v>909</v>
      </c>
      <c r="CQ449" s="246" t="s">
        <v>910</v>
      </c>
      <c r="CR449" s="247"/>
      <c r="CS449" s="246" t="s">
        <v>911</v>
      </c>
      <c r="CT449" s="248"/>
      <c r="CU449" s="246" t="s">
        <v>912</v>
      </c>
      <c r="CV449" s="248"/>
      <c r="CW449" s="246" t="s">
        <v>913</v>
      </c>
      <c r="CX449" s="248"/>
      <c r="CY449" s="238"/>
      <c r="CZ449" s="238"/>
      <c r="DA449" s="238"/>
      <c r="DB449" s="238"/>
      <c r="DC449" s="249" t="s">
        <v>165</v>
      </c>
      <c r="DD449" s="249" t="s">
        <v>165</v>
      </c>
      <c r="DE449" s="249" t="s">
        <v>165</v>
      </c>
      <c r="DF449" s="238"/>
      <c r="DG449" s="238" t="s">
        <v>914</v>
      </c>
      <c r="DH449" s="238" t="s">
        <v>930</v>
      </c>
      <c r="DI449" s="238" t="s">
        <v>931</v>
      </c>
      <c r="DK449" s="238" t="s">
        <v>932</v>
      </c>
      <c r="DL449" s="238" t="s">
        <v>933</v>
      </c>
      <c r="DM449" s="238" t="s">
        <v>869</v>
      </c>
      <c r="DN449" s="230" t="s">
        <v>915</v>
      </c>
      <c r="DO449" s="250" t="s">
        <v>915</v>
      </c>
      <c r="DP449" s="322" t="s">
        <v>934</v>
      </c>
      <c r="DQ449" s="238"/>
      <c r="DR449" s="166" t="s">
        <v>894</v>
      </c>
      <c r="DS449" s="166" t="s">
        <v>895</v>
      </c>
      <c r="DT449" s="166" t="s">
        <v>935</v>
      </c>
      <c r="DU449" s="166" t="s">
        <v>936</v>
      </c>
      <c r="DV449" s="251" t="s">
        <v>165</v>
      </c>
      <c r="DW449" s="251" t="s">
        <v>165</v>
      </c>
      <c r="DX449" s="238" t="s">
        <v>916</v>
      </c>
      <c r="DY449" s="238"/>
      <c r="DZ449" s="238"/>
      <c r="EA449" s="238"/>
      <c r="EB449" s="238"/>
      <c r="EC449" s="238"/>
      <c r="ED449" s="251" t="s">
        <v>165</v>
      </c>
      <c r="EE449" s="251" t="s">
        <v>165</v>
      </c>
      <c r="EF449" s="166"/>
      <c r="EG449" s="238"/>
      <c r="EH449" s="238"/>
      <c r="EI449" s="238"/>
      <c r="EJ449" s="238"/>
      <c r="EK449" s="238"/>
      <c r="EL449" s="238"/>
      <c r="EM449" s="238"/>
      <c r="EN449" s="238"/>
      <c r="EO449" s="246" t="s">
        <v>917</v>
      </c>
      <c r="EP449" s="247"/>
      <c r="EQ449" s="247"/>
      <c r="ER449" s="247"/>
      <c r="ES449" s="247"/>
      <c r="ET449" s="252"/>
      <c r="EU449" s="248"/>
      <c r="EV449" s="246" t="s">
        <v>918</v>
      </c>
      <c r="EW449" s="247"/>
      <c r="EX449" s="248"/>
      <c r="EY449" s="251" t="s">
        <v>165</v>
      </c>
      <c r="EZ449" s="246" t="s">
        <v>919</v>
      </c>
      <c r="FA449" s="247"/>
      <c r="FB449" s="248"/>
      <c r="FC449" s="246" t="s">
        <v>920</v>
      </c>
      <c r="FD449" s="247"/>
      <c r="FE449" s="248"/>
      <c r="FF449" s="238"/>
      <c r="FG449" s="238"/>
      <c r="FH449" s="238"/>
      <c r="FI449" s="238"/>
      <c r="FJ449" s="246" t="s">
        <v>917</v>
      </c>
      <c r="FK449" s="247"/>
      <c r="FL449" s="247"/>
      <c r="FM449" s="247"/>
      <c r="FN449" s="247"/>
      <c r="FO449" s="252"/>
      <c r="FP449" s="248"/>
      <c r="FQ449" s="246" t="s">
        <v>918</v>
      </c>
      <c r="FR449" s="247"/>
      <c r="FS449" s="248"/>
      <c r="FT449" s="251" t="s">
        <v>165</v>
      </c>
      <c r="FU449" s="246" t="s">
        <v>919</v>
      </c>
      <c r="FV449" s="247"/>
      <c r="FW449" s="248"/>
      <c r="FX449" s="246" t="s">
        <v>920</v>
      </c>
      <c r="FY449" s="247"/>
      <c r="FZ449" s="248"/>
      <c r="GD449" s="340"/>
      <c r="GE449" s="340"/>
      <c r="GF449" s="341" t="s">
        <v>968</v>
      </c>
      <c r="GG449" s="340"/>
      <c r="GH449" s="340"/>
      <c r="GI449" s="340"/>
      <c r="GJ449" s="341" t="s">
        <v>972</v>
      </c>
      <c r="GK449" s="340"/>
      <c r="GL449" s="340"/>
      <c r="GM449" s="340"/>
      <c r="GN449" s="341" t="s">
        <v>971</v>
      </c>
      <c r="GO449" s="340"/>
      <c r="GP449" s="340"/>
      <c r="GQ449" s="340"/>
      <c r="GR449" s="341" t="s">
        <v>970</v>
      </c>
      <c r="GS449" s="340"/>
      <c r="GT449" s="340"/>
      <c r="GU449" s="340"/>
      <c r="GV449" s="341" t="s">
        <v>969</v>
      </c>
      <c r="GW449" s="340"/>
      <c r="GX449" s="340"/>
      <c r="GY449" s="340"/>
      <c r="GZ449" s="342" t="s">
        <v>973</v>
      </c>
      <c r="HA449" s="340"/>
      <c r="HB449" s="340"/>
      <c r="HC449" s="340"/>
      <c r="HD449" s="342" t="s">
        <v>974</v>
      </c>
      <c r="HE449" s="340"/>
      <c r="HF449" s="340"/>
      <c r="HG449" s="340"/>
      <c r="HH449" s="340"/>
      <c r="HI449" s="340"/>
      <c r="HJ449" s="340"/>
      <c r="HK449" s="340"/>
      <c r="HL449" s="340"/>
      <c r="HM449" s="341"/>
      <c r="HN449" s="341"/>
      <c r="HO449" s="341"/>
      <c r="HP449" s="341"/>
      <c r="HQ449" s="341"/>
      <c r="HR449" s="341"/>
      <c r="HS449" s="238"/>
      <c r="HT449" s="238"/>
      <c r="HU449" s="238"/>
      <c r="HV449" s="238"/>
      <c r="HX449" s="238"/>
      <c r="HY449" s="238"/>
      <c r="HZ449" s="238"/>
      <c r="ID449" s="238"/>
    </row>
    <row r="450" spans="1:238" s="234" customFormat="1" ht="20.100000000000001" customHeight="1">
      <c r="A450" s="235"/>
      <c r="B450" s="231">
        <f>COUNT(AJ451,AJ450)</f>
        <v>0</v>
      </c>
      <c r="C450" s="325" t="str">
        <f>CONCATENATE(BG450,BE450)</f>
        <v>H</v>
      </c>
      <c r="D450" s="253" t="str">
        <f>REPT(DN450,1)</f>
        <v>1</v>
      </c>
      <c r="E450" s="254" t="str">
        <f>REPT(AH450,1)</f>
        <v/>
      </c>
      <c r="F450" s="168"/>
      <c r="G450" s="168"/>
      <c r="H450" s="168"/>
      <c r="I450" s="169"/>
      <c r="J450" s="255" t="str">
        <f>REPT(AM450,1)</f>
        <v/>
      </c>
      <c r="L450" s="309">
        <f>SUM(BS459)</f>
        <v>0</v>
      </c>
      <c r="M450" s="238"/>
      <c r="N450" s="255" t="str">
        <f>REPT(AP450,1)</f>
        <v/>
      </c>
      <c r="P450" s="309">
        <f>SUM(CF459)</f>
        <v>0</v>
      </c>
      <c r="Q450" s="310"/>
      <c r="R450" s="323" t="str">
        <f>CONCATENATE(BH450,BE450)</f>
        <v>G</v>
      </c>
      <c r="S450" s="253" t="str">
        <f>REPT(DO450,1)</f>
        <v>1</v>
      </c>
      <c r="T450" s="254" t="str">
        <f>REPT(AV450,1)</f>
        <v/>
      </c>
      <c r="U450" s="168"/>
      <c r="V450" s="168"/>
      <c r="W450" s="168"/>
      <c r="X450" s="169"/>
      <c r="Y450" s="255" t="str">
        <f>REPT(BA450,1)</f>
        <v/>
      </c>
      <c r="Z450" s="308"/>
      <c r="AB450" s="234">
        <f>IF(AY450="",0,IF(AY450&lt;2,1,""))</f>
        <v>0</v>
      </c>
      <c r="AC450" s="238">
        <f>IF(AD450=1,1,IF(AD450=3,1,IF(AD450=2,0,IF(AD450=0,0,0))))</f>
        <v>0</v>
      </c>
      <c r="AD450" s="256">
        <f>SUM(AE450:AG450)</f>
        <v>0</v>
      </c>
      <c r="AE450" s="256">
        <f t="shared" ref="AE450:AE454" si="1112">IF(F450="",0,1)</f>
        <v>0</v>
      </c>
      <c r="AF450" s="256">
        <f t="shared" ref="AF450:AF454" si="1113">IF(G450="",0,1)</f>
        <v>0</v>
      </c>
      <c r="AG450" s="256">
        <f>IF(H450="",0,1)</f>
        <v>0</v>
      </c>
      <c r="AH450" s="257" t="str">
        <f>IF(AK450="",IF(AI450="","",IF(AI450="",501,501-AI450)),501)</f>
        <v/>
      </c>
      <c r="AI450" s="256" t="str">
        <f>IF(F450&gt;1,F450,IF(F450=0,"",IF(F450="","","")))</f>
        <v/>
      </c>
      <c r="AJ450" s="256" t="str">
        <f>IF(G450&gt;8,G450,IF(G450="","",""))</f>
        <v/>
      </c>
      <c r="AK450" s="256" t="str">
        <f>IF(H450&gt;1,H450,IF(H450="","",""))</f>
        <v/>
      </c>
      <c r="AL450" s="256" t="str">
        <f>IF(I450&gt;0,I450,IF(I450="","",""))</f>
        <v/>
      </c>
      <c r="AM450" s="258" t="str">
        <f>IF(BK450=0,"","X")</f>
        <v/>
      </c>
      <c r="AN450" s="237"/>
      <c r="AO450" s="237"/>
      <c r="AP450" s="258" t="str">
        <f>IF(BM450=0,"","X")</f>
        <v/>
      </c>
      <c r="AQ450" s="236">
        <f>IF(AR450=1,1,IF(AR450=3,1,IF(AR450=2,0,IF(AR450=0,0,0))))</f>
        <v>0</v>
      </c>
      <c r="AR450" s="256">
        <f>SUM(AS450:AU450)</f>
        <v>0</v>
      </c>
      <c r="AS450" s="256">
        <f t="shared" ref="AS450:AS454" si="1114">IF(U450="",0,1)</f>
        <v>0</v>
      </c>
      <c r="AT450" s="256">
        <f t="shared" ref="AT450:AT454" si="1115">IF(V450="",0,1)</f>
        <v>0</v>
      </c>
      <c r="AU450" s="256">
        <f>IF(W450="",0,1)</f>
        <v>0</v>
      </c>
      <c r="AV450" s="257" t="str">
        <f>IF(AY450="",IF(AW450="","",IF(AW450="",501,501-AW450)),501)</f>
        <v/>
      </c>
      <c r="AW450" s="256" t="str">
        <f>IF(U450&gt;1,U450,IF(U450=0,"",IF(U450="","","")))</f>
        <v/>
      </c>
      <c r="AX450" s="256" t="str">
        <f>IF(V450&gt;8,V450,IF(V450="","",""))</f>
        <v/>
      </c>
      <c r="AY450" s="256" t="str">
        <f>IF(W450&gt;1,W450,IF(W450="","",""))</f>
        <v/>
      </c>
      <c r="AZ450" s="256" t="str">
        <f>IF(X450&gt;0,X450,IF(X450="","",""))</f>
        <v/>
      </c>
      <c r="BA450" s="258" t="str">
        <f>IF(BL450=0,"","X")</f>
        <v/>
      </c>
      <c r="BF450" s="238" t="s">
        <v>894</v>
      </c>
      <c r="BG450" s="238" t="str">
        <f>CONCATENATE(BF450,AK447)</f>
        <v>H</v>
      </c>
      <c r="BH450" s="238" t="str">
        <f>CONCATENATE(BI450,AK447)</f>
        <v>G</v>
      </c>
      <c r="BI450" s="238" t="s">
        <v>895</v>
      </c>
      <c r="BJ450" s="238"/>
      <c r="BK450" s="251">
        <f>SUM(DD450,DV450,EY450,ED450,FF450,BQ450,BS450,AC450)</f>
        <v>0</v>
      </c>
      <c r="BL450" s="251">
        <f>SUM(DE450,DW450,EE450,FT450,GA450,BR450,BT450,AQ450)</f>
        <v>0</v>
      </c>
      <c r="BM450" s="259">
        <f>SUM(DC450,BK450:BL450,AC450,AQ450)</f>
        <v>0</v>
      </c>
      <c r="BN450" s="239">
        <f>COUNT(AK450)</f>
        <v>0</v>
      </c>
      <c r="BO450" s="239">
        <f>COUNT(AY450)</f>
        <v>0</v>
      </c>
      <c r="BP450" s="239">
        <f>IF(BN452=0,0,1)</f>
        <v>0</v>
      </c>
      <c r="BQ450" s="260">
        <f>IF(AL450="",0,IF(AL450&gt;2,1,0))</f>
        <v>0</v>
      </c>
      <c r="BR450" s="261">
        <f>IF(AZ450="",0,IF(AZ450&gt;2,1,0))</f>
        <v>0</v>
      </c>
      <c r="BS450" s="262">
        <f>IF(AJ450=9,IF(AK450&lt;141,1,0),0)</f>
        <v>0</v>
      </c>
      <c r="BT450" s="263">
        <f>IF(AX450=9,IF(AY450&lt;141,1,0),0)</f>
        <v>0</v>
      </c>
      <c r="BU450" s="242">
        <f>IF(H450,G450,0)</f>
        <v>0</v>
      </c>
      <c r="BV450" s="238">
        <f>IF(BU450&gt;0,AJ450/3,0)</f>
        <v>0</v>
      </c>
      <c r="BW450" s="238">
        <f>ROUNDUP(BV450,0)</f>
        <v>0</v>
      </c>
      <c r="BX450" s="244">
        <f>IF(MOD(BW450,2)=0,BW450,BW450+1)</f>
        <v>0</v>
      </c>
      <c r="BY450" s="238">
        <f>IF(AJ450&lt;9,"",SUM(BX450-BW450))</f>
        <v>0</v>
      </c>
      <c r="BZ450" s="238">
        <f>IF(BY450=1,AK450,0)</f>
        <v>0</v>
      </c>
      <c r="CA450" s="243" t="str">
        <f>IF(BY450=0,AK450,0)</f>
        <v/>
      </c>
      <c r="CB450" s="238"/>
      <c r="CC450" s="238"/>
      <c r="CD450" s="242">
        <f>IF(W450,V450,0)</f>
        <v>0</v>
      </c>
      <c r="CE450" s="238">
        <f>IF(CD450&gt;0,AX450/3,0)</f>
        <v>0</v>
      </c>
      <c r="CF450" s="238">
        <f>ROUNDUP(CE450,0)</f>
        <v>0</v>
      </c>
      <c r="CG450" s="244">
        <f>IF(MOD(CF450,2)=0,CF450,CF450+1)</f>
        <v>0</v>
      </c>
      <c r="CH450" s="238">
        <f>IF(AX450&lt;9,"",SUM(CG450-CF450))</f>
        <v>0</v>
      </c>
      <c r="CI450" s="238">
        <f>IF(CH450=1,AY450,0)</f>
        <v>0</v>
      </c>
      <c r="CJ450" s="243" t="str">
        <f>IF(CH450=0,AY450,0)</f>
        <v/>
      </c>
      <c r="CK450" s="238"/>
      <c r="CL450" s="245">
        <f>IF(COUNT(F450,H450)=1,0,1)</f>
        <v>1</v>
      </c>
      <c r="CM450" s="245">
        <f>IF(COUNT(F450,U450)=1,0,1)</f>
        <v>1</v>
      </c>
      <c r="CN450" s="245">
        <f>IF(COUNT(H450,W450)=1,0,1)</f>
        <v>1</v>
      </c>
      <c r="CO450" s="245">
        <f>IF(COUNT(G450,V450)=2,0,1)</f>
        <v>1</v>
      </c>
      <c r="CP450" s="245">
        <f>IF(COUNT(U450,W450)=1,0,1)</f>
        <v>1</v>
      </c>
      <c r="CQ450" s="245">
        <f>IF(SUM(G450-V450)&gt;3,1,0)</f>
        <v>0</v>
      </c>
      <c r="CR450" s="245">
        <f>IF(SUM(G450-V450)&lt;-3,1,0)</f>
        <v>0</v>
      </c>
      <c r="CS450" s="264">
        <f>IF(AJ450=9,IF(AH450&lt;141,1,0),IF(AH450="",0,IF(AH450&gt;1,0,1)))</f>
        <v>0</v>
      </c>
      <c r="CT450" s="264">
        <f>IF(AX450=9,IF(AV450&lt;141,1,0),IF(AV450="",0,IF(AV450&gt;1,0,1)))</f>
        <v>0</v>
      </c>
      <c r="CU450" s="264">
        <f>IF(AI450="",0,IF(AI450&lt;502,0,1))</f>
        <v>0</v>
      </c>
      <c r="CV450" s="264">
        <f>IF(AW450="",0,IF(AW450&lt;502,0,1))</f>
        <v>0</v>
      </c>
      <c r="CW450" s="264">
        <f>IF(AI450="",IF(AJ450&lt;9,1,0),IF(AJ450&lt;9,1,0))</f>
        <v>0</v>
      </c>
      <c r="CX450" s="264">
        <f>IF(AW450="",IF(AX450&lt;9,1,0),IF(AX450&lt;9,1,0))</f>
        <v>0</v>
      </c>
      <c r="CY450" s="374"/>
      <c r="CZ450" s="374"/>
      <c r="DA450" s="374"/>
      <c r="DB450" s="374"/>
      <c r="DC450" s="265">
        <f>IF(AJ450="",0,SUM(CL450:CX450))</f>
        <v>0</v>
      </c>
      <c r="DD450" s="265">
        <f>IF(AJ450="",0,SUM(CL450,CS450,CU450,CW450))</f>
        <v>0</v>
      </c>
      <c r="DE450" s="265">
        <f>IF(AJ450="",0,SUM(CP450,CT450,CV450,CX450))</f>
        <v>0</v>
      </c>
      <c r="DF450" s="238"/>
      <c r="DG450" s="248" t="str">
        <f>IF(G450="","",SUM(G450-V450))</f>
        <v/>
      </c>
      <c r="DH450" s="245">
        <f>IF(F450="",0,1)</f>
        <v>0</v>
      </c>
      <c r="DI450" s="245" t="str">
        <f>IF(DG450=0,DH450,DG450)</f>
        <v/>
      </c>
      <c r="DJ450" s="245" t="e">
        <f>SIGN(DI450)</f>
        <v>#VALUE!</v>
      </c>
      <c r="DK450" s="245" t="str">
        <f>IF(G450="","",IF(DJ450=1,"*",""))</f>
        <v/>
      </c>
      <c r="DL450" s="245" t="str">
        <f>IF(G450="","",IF(DJ450=-1,"*",IF(DJ450=0,"*","")))</f>
        <v/>
      </c>
      <c r="DM450" s="245">
        <v>1</v>
      </c>
      <c r="DN450" s="245" t="str">
        <f>CONCATENATE(DM450,DK450)</f>
        <v>1</v>
      </c>
      <c r="DO450" s="245" t="str">
        <f>CONCATENATE(DM450,DL450)</f>
        <v>1</v>
      </c>
      <c r="DP450" s="245">
        <f>IF(DK450="*",1,0)</f>
        <v>0</v>
      </c>
      <c r="DQ450" s="245">
        <f>IF(DL450="*",1,0)</f>
        <v>0</v>
      </c>
      <c r="DR450" s="245"/>
      <c r="DS450" s="245"/>
      <c r="DT450" s="245"/>
      <c r="DU450" s="245"/>
      <c r="DV450" s="266"/>
      <c r="DW450" s="266"/>
      <c r="DX450" s="238">
        <f>IF(AK450="",0,1)</f>
        <v>0</v>
      </c>
      <c r="DY450" s="238">
        <f>IF(DG450=-3,1,0)</f>
        <v>0</v>
      </c>
      <c r="DZ450" s="238">
        <f>SUM(DX450:DY450)</f>
        <v>0</v>
      </c>
      <c r="EA450" s="238">
        <f>IF(AK450="",1,0)</f>
        <v>1</v>
      </c>
      <c r="EB450" s="238">
        <f>IF(DG450=3,1,0)</f>
        <v>0</v>
      </c>
      <c r="EC450" s="238">
        <f>SUM(EA450:EB450)</f>
        <v>1</v>
      </c>
      <c r="ED450" s="267">
        <f>IF(EC450=2,1,0)</f>
        <v>0</v>
      </c>
      <c r="EE450" s="267">
        <f>IF(DZ450=2,1,0)</f>
        <v>0</v>
      </c>
      <c r="EG450" s="166"/>
      <c r="EH450" s="238"/>
      <c r="EI450" s="238"/>
      <c r="EJ450" s="238"/>
      <c r="EK450" s="238"/>
      <c r="EL450" s="238"/>
      <c r="EM450" s="245">
        <f>IF(AK450="",0,1)</f>
        <v>0</v>
      </c>
      <c r="EN450" s="245">
        <f>SUM(AK450)</f>
        <v>0</v>
      </c>
      <c r="EO450" s="268">
        <f>SUM(AJ450)</f>
        <v>0</v>
      </c>
      <c r="EP450" s="268">
        <f>SUM(G450/3)</f>
        <v>0</v>
      </c>
      <c r="EQ450" s="268" t="e">
        <f>SUM(EO450/EP450)</f>
        <v>#DIV/0!</v>
      </c>
      <c r="ER450" s="268">
        <f>ROUNDDOWN(EP450,0)</f>
        <v>0</v>
      </c>
      <c r="ES450" s="268">
        <f>SUM(EO450,-ER450*3)</f>
        <v>0</v>
      </c>
      <c r="ET450" s="269" t="b">
        <f>MOD(EN450/1,2)=0</f>
        <v>1</v>
      </c>
      <c r="EU450" s="245">
        <f>IF(ET450=FALSE,1,0)</f>
        <v>0</v>
      </c>
      <c r="EV450" s="245">
        <f>IF(EN450=50,0,IF(EN450&lt;40,1,0))</f>
        <v>1</v>
      </c>
      <c r="EW450" s="245">
        <f>SUM(EU450:EV450)</f>
        <v>1</v>
      </c>
      <c r="EX450" s="267">
        <f>IF(EN450=1,1,IF(EN450=50,0,IF(ES450=1,IF(EN450&gt;40,1,0),0)))</f>
        <v>0</v>
      </c>
      <c r="EY450" s="267">
        <f>IF(ES450=1,IF(EW450=2,1,0),0)+EX450+FB450+FE450</f>
        <v>0</v>
      </c>
      <c r="EZ450" s="245">
        <f>IF(EN450=109,1,IF(EN450=108,1,IF(EN450=106,1,IF(EN450=105,1,IF(EN450=103,1,IF(EN450=102,1,IF(EN450=99,1,0)))))))</f>
        <v>0</v>
      </c>
      <c r="FA450" s="245">
        <f>IF(EN450&gt;110,1,0)</f>
        <v>0</v>
      </c>
      <c r="FB450" s="267">
        <f>IF(ES450=2,SUM(EZ450:FA450),0)</f>
        <v>0</v>
      </c>
      <c r="FC450" s="245">
        <f>IF(EN450=159,1,IF(EN450=162,1,IF(EN450=163,1,IF(EN450=165,1,IF(EN450=166,1,IF(EN450=168,1,IF(EN450=169,1,0)))))))</f>
        <v>0</v>
      </c>
      <c r="FD450" s="245">
        <f>IF(EN450&gt;170,1,0)</f>
        <v>0</v>
      </c>
      <c r="FE450" s="267">
        <f>IF(ES450=0,SUM(FC450:FD450),0)</f>
        <v>0</v>
      </c>
      <c r="FF450" s="251">
        <f>IF(AJ450="",0,IF(AI450="",0,IF(EO450/ER450-3=0,0,1)))</f>
        <v>0</v>
      </c>
      <c r="FG450" s="238"/>
      <c r="FH450" s="245">
        <f>IF(AY450="",0,1)</f>
        <v>0</v>
      </c>
      <c r="FI450" s="245">
        <f>SUM(AY450)</f>
        <v>0</v>
      </c>
      <c r="FJ450" s="268">
        <f>SUM(AX450)</f>
        <v>0</v>
      </c>
      <c r="FK450" s="268">
        <f>SUM(V450/3)</f>
        <v>0</v>
      </c>
      <c r="FL450" s="268" t="e">
        <f>SUM(FJ450/FK450)</f>
        <v>#DIV/0!</v>
      </c>
      <c r="FM450" s="268">
        <f>ROUNDDOWN(FK450,0)</f>
        <v>0</v>
      </c>
      <c r="FN450" s="268">
        <f>SUM(FJ450,-FM450*3)</f>
        <v>0</v>
      </c>
      <c r="FO450" s="269" t="b">
        <f>MOD(FI450/1,2)=0</f>
        <v>1</v>
      </c>
      <c r="FP450" s="245">
        <f>IF(FO450=FALSE,1,0)</f>
        <v>0</v>
      </c>
      <c r="FQ450" s="245">
        <f>IF(FI450=50,0,IF(FI450&lt;40,1,0))</f>
        <v>1</v>
      </c>
      <c r="FR450" s="245">
        <f>SUM(FP450:FQ450)</f>
        <v>1</v>
      </c>
      <c r="FS450" s="267">
        <f>IF(FI450=1,1,IF(FI450=50,0,IF(FN450=1,IF(FI450&gt;40,1,0),0)))</f>
        <v>0</v>
      </c>
      <c r="FT450" s="267">
        <f>IF(FN450=1,IF(FR450=2,1,0),0)+FS450+FW450+FZ450</f>
        <v>0</v>
      </c>
      <c r="FU450" s="245">
        <f>IF(FI450=109,1,IF(FI450=108,1,IF(FI450=106,1,IF(FI450=105,1,IF(FI450=103,1,IF(FI450=102,1,IF(FI450=99,1,0)))))))</f>
        <v>0</v>
      </c>
      <c r="FV450" s="245">
        <f>IF(FI450&gt;110,1,0)</f>
        <v>0</v>
      </c>
      <c r="FW450" s="267">
        <f>IF(FN450=2,SUM(FU450:FV450),0)</f>
        <v>0</v>
      </c>
      <c r="FX450" s="245">
        <f>IF(FI450=159,1,IF(FI450=162,1,IF(FI450=163,1,IF(FI450=165,1,IF(FI450=166,1,IF(FI450=168,1,IF(FI450=169,1,0)))))))</f>
        <v>0</v>
      </c>
      <c r="FY450" s="245">
        <f>IF(FI450&gt;170,1,0)</f>
        <v>0</v>
      </c>
      <c r="FZ450" s="267">
        <f>IF(FN450=0,SUM(FX450:FY450),0)</f>
        <v>0</v>
      </c>
      <c r="GA450" s="251">
        <f>IF(AX450="",0,IF(AW450="",0,IF(FJ450/FM450-3=0,0,1)))</f>
        <v>0</v>
      </c>
      <c r="GD450" s="341">
        <f>IF(AK447="D",1,0)</f>
        <v>0</v>
      </c>
      <c r="GE450" s="343"/>
      <c r="GF450" s="343" t="s">
        <v>866</v>
      </c>
      <c r="GG450" s="343" t="s">
        <v>868</v>
      </c>
      <c r="GH450" s="343" t="s">
        <v>848</v>
      </c>
      <c r="GI450" s="343">
        <v>180</v>
      </c>
      <c r="GJ450" s="343" t="s">
        <v>866</v>
      </c>
      <c r="GK450" s="343" t="s">
        <v>868</v>
      </c>
      <c r="GL450" s="343" t="s">
        <v>848</v>
      </c>
      <c r="GM450" s="343">
        <v>180</v>
      </c>
      <c r="GN450" s="343" t="s">
        <v>866</v>
      </c>
      <c r="GO450" s="343" t="s">
        <v>868</v>
      </c>
      <c r="GP450" s="343" t="s">
        <v>848</v>
      </c>
      <c r="GQ450" s="343">
        <v>180</v>
      </c>
      <c r="GR450" s="343" t="s">
        <v>866</v>
      </c>
      <c r="GS450" s="343" t="s">
        <v>868</v>
      </c>
      <c r="GT450" s="343" t="s">
        <v>848</v>
      </c>
      <c r="GU450" s="343">
        <v>180</v>
      </c>
      <c r="GV450" s="343" t="s">
        <v>866</v>
      </c>
      <c r="GW450" s="343" t="s">
        <v>868</v>
      </c>
      <c r="GX450" s="343" t="s">
        <v>848</v>
      </c>
      <c r="GY450" s="343">
        <v>180</v>
      </c>
      <c r="GZ450" s="343" t="s">
        <v>866</v>
      </c>
      <c r="HA450" s="343" t="s">
        <v>868</v>
      </c>
      <c r="HB450" s="343" t="s">
        <v>848</v>
      </c>
      <c r="HC450" s="343">
        <v>180</v>
      </c>
      <c r="HD450" s="343" t="s">
        <v>866</v>
      </c>
      <c r="HE450" s="343" t="s">
        <v>868</v>
      </c>
      <c r="HF450" s="341" t="s">
        <v>975</v>
      </c>
      <c r="HG450" s="341" t="s">
        <v>976</v>
      </c>
      <c r="HH450" s="341" t="s">
        <v>899</v>
      </c>
      <c r="HJ450" s="238"/>
      <c r="HK450" s="238"/>
      <c r="HL450" s="238"/>
      <c r="HM450" s="238">
        <f>COUNT(HI451,HJ451,HK451,HL451,HM451)</f>
        <v>0</v>
      </c>
      <c r="HN450" s="341"/>
      <c r="HO450" s="341"/>
      <c r="HP450" s="341"/>
      <c r="HQ450" s="341"/>
      <c r="HR450" s="341"/>
      <c r="HS450" s="238"/>
      <c r="HT450" s="238"/>
      <c r="HU450" s="238"/>
      <c r="HV450" s="238"/>
      <c r="HX450" s="238"/>
      <c r="HY450" s="238"/>
      <c r="ID450" s="238"/>
    </row>
    <row r="451" spans="1:238" s="234" customFormat="1" ht="20.100000000000001" customHeight="1">
      <c r="A451" s="235"/>
      <c r="B451" s="231">
        <f>COUNT(AJ452,AJ451)</f>
        <v>0</v>
      </c>
      <c r="C451" s="326" t="str">
        <f>IF(DK450="*",AJ447,AI447)</f>
        <v/>
      </c>
      <c r="D451" s="253" t="str">
        <f>REPT(DN451,1)</f>
        <v>2</v>
      </c>
      <c r="E451" s="254" t="str">
        <f>REPT(AH451,1)</f>
        <v/>
      </c>
      <c r="F451" s="168"/>
      <c r="G451" s="168"/>
      <c r="H451" s="168"/>
      <c r="I451" s="169"/>
      <c r="J451" s="270" t="str">
        <f>REPT(AM451,1)</f>
        <v/>
      </c>
      <c r="L451" s="306" t="s">
        <v>922</v>
      </c>
      <c r="M451" s="311"/>
      <c r="N451" s="270" t="str">
        <f>REPT(AP451,1)</f>
        <v/>
      </c>
      <c r="P451" s="306" t="s">
        <v>922</v>
      </c>
      <c r="Q451" s="310"/>
      <c r="R451" s="324" t="str">
        <f>IF(DL450="*",AJ447,AI447)</f>
        <v/>
      </c>
      <c r="S451" s="253" t="str">
        <f>REPT(DO451,1)</f>
        <v>2</v>
      </c>
      <c r="T451" s="254" t="str">
        <f>REPT(AV451,1)</f>
        <v/>
      </c>
      <c r="U451" s="168"/>
      <c r="V451" s="168"/>
      <c r="W451" s="168"/>
      <c r="X451" s="169"/>
      <c r="Y451" s="270" t="str">
        <f t="shared" ref="Y451:Y453" si="1116">REPT(BA451,1)</f>
        <v/>
      </c>
      <c r="Z451" s="308"/>
      <c r="AB451" s="234">
        <f>IF(AY451="",0,IF(AY451&lt;2,1,""))</f>
        <v>0</v>
      </c>
      <c r="AC451" s="238">
        <f t="shared" ref="AC451:AC452" si="1117">IF(AD451=1,1,IF(AD451=3,1,IF(AD451=2,0,IF(AD451=0,0,0))))</f>
        <v>0</v>
      </c>
      <c r="AD451" s="256">
        <f t="shared" ref="AD451:AD454" si="1118">SUM(AE451:AG451)</f>
        <v>0</v>
      </c>
      <c r="AE451" s="256">
        <f t="shared" si="1112"/>
        <v>0</v>
      </c>
      <c r="AF451" s="256">
        <f t="shared" si="1113"/>
        <v>0</v>
      </c>
      <c r="AG451" s="256">
        <f t="shared" ref="AG451:AG454" si="1119">IF(H451="",0,1)</f>
        <v>0</v>
      </c>
      <c r="AH451" s="257" t="str">
        <f>IF(AK451="",IF(AI451="","",IF(AI451="",501,501-AI451)),501)</f>
        <v/>
      </c>
      <c r="AI451" s="256" t="str">
        <f>IF(F451&gt;1,F451,IF(F451=0,"",IF(F451="","","")))</f>
        <v/>
      </c>
      <c r="AJ451" s="256" t="str">
        <f>IF(G451&gt;8,G451,IF(G451="","",""))</f>
        <v/>
      </c>
      <c r="AK451" s="256" t="str">
        <f>IF(H451&gt;1,H451,IF(H451="","",""))</f>
        <v/>
      </c>
      <c r="AL451" s="256" t="str">
        <f>IF(I451&gt;0,I451,IF(I451="","",""))</f>
        <v/>
      </c>
      <c r="AM451" s="258" t="str">
        <f>IF(BK451=0,"","X")</f>
        <v/>
      </c>
      <c r="AN451" s="237"/>
      <c r="AO451" s="237"/>
      <c r="AP451" s="258" t="str">
        <f>IF(BM451=0,"","X")</f>
        <v/>
      </c>
      <c r="AQ451" s="236">
        <f t="shared" ref="AQ451:AQ452" si="1120">IF(AR451=1,1,IF(AR451=3,1,IF(AR451=2,0,IF(AR451=0,0,0))))</f>
        <v>0</v>
      </c>
      <c r="AR451" s="256">
        <f t="shared" ref="AR451:AR454" si="1121">SUM(AS451:AU451)</f>
        <v>0</v>
      </c>
      <c r="AS451" s="256">
        <f t="shared" si="1114"/>
        <v>0</v>
      </c>
      <c r="AT451" s="256">
        <f t="shared" si="1115"/>
        <v>0</v>
      </c>
      <c r="AU451" s="256">
        <f t="shared" ref="AU451:AU454" si="1122">IF(W451="",0,1)</f>
        <v>0</v>
      </c>
      <c r="AV451" s="257" t="str">
        <f>IF(AY451="",IF(AW451="","",IF(AW451="",501,501-AW451)),501)</f>
        <v/>
      </c>
      <c r="AW451" s="256" t="str">
        <f>IF(U451&gt;1,U451,IF(U451=0,"",IF(U451="","","")))</f>
        <v/>
      </c>
      <c r="AX451" s="256" t="str">
        <f>IF(V451&gt;8,V451,IF(V451="","",""))</f>
        <v/>
      </c>
      <c r="AY451" s="256" t="str">
        <f>IF(W451&gt;1,W451,IF(W451="","",""))</f>
        <v/>
      </c>
      <c r="AZ451" s="256" t="str">
        <f>IF(X451&gt;0,X451,IF(X451="","",""))</f>
        <v/>
      </c>
      <c r="BA451" s="258" t="str">
        <f>IF(BL451=0,"","X")</f>
        <v/>
      </c>
      <c r="BK451" s="251">
        <f>SUM(DD451,DV451,EY451,ED451,FF451,BQ451,BS451,AC451)</f>
        <v>0</v>
      </c>
      <c r="BL451" s="251">
        <f>SUM(DE451,DW451,EE451,FT451,GA451,BR451,BT451,AQ451)</f>
        <v>0</v>
      </c>
      <c r="BM451" s="259">
        <f t="shared" ref="BM451:BM452" si="1123">SUM(DC451,BK451:BL451,AC451,AQ451)</f>
        <v>0</v>
      </c>
      <c r="BN451" s="239">
        <f>COUNT(AK451)</f>
        <v>0</v>
      </c>
      <c r="BO451" s="239">
        <f>COUNT(AY451)</f>
        <v>0</v>
      </c>
      <c r="BP451" s="239">
        <f>IF(BN453=0,0,1)</f>
        <v>0</v>
      </c>
      <c r="BQ451" s="260">
        <f>IF(AL451="",0,IF(AL451&gt;2,1,0))</f>
        <v>0</v>
      </c>
      <c r="BR451" s="261">
        <f>IF(AZ451="",0,IF(AZ451&gt;2,1,0))</f>
        <v>0</v>
      </c>
      <c r="BS451" s="262">
        <f>IF(AJ451=9,IF(AK451&lt;141,1,0),0)</f>
        <v>0</v>
      </c>
      <c r="BT451" s="263">
        <f>IF(AX451=9,IF(AY451&lt;141,1,0),0)</f>
        <v>0</v>
      </c>
      <c r="BU451" s="242">
        <f>IF(H451,G451,0)</f>
        <v>0</v>
      </c>
      <c r="BV451" s="238">
        <f>IF(BU451&gt;0,AJ451/3,0)</f>
        <v>0</v>
      </c>
      <c r="BW451" s="238">
        <f>ROUNDUP(BV451,0)</f>
        <v>0</v>
      </c>
      <c r="BX451" s="244">
        <f>IF(MOD(BW451,2)=0,BW451,BW451+1)</f>
        <v>0</v>
      </c>
      <c r="BY451" s="238">
        <f>IF(AJ451&lt;9,"",SUM(BX451-BW451))</f>
        <v>0</v>
      </c>
      <c r="BZ451" s="238">
        <f>IF(BY451=1,AK451,0)</f>
        <v>0</v>
      </c>
      <c r="CA451" s="243" t="str">
        <f>IF(BY451=0,AK451,0)</f>
        <v/>
      </c>
      <c r="CB451" s="238"/>
      <c r="CC451" s="238"/>
      <c r="CD451" s="242">
        <f>IF(W451,V451,0)</f>
        <v>0</v>
      </c>
      <c r="CE451" s="238">
        <f>IF(CD451&gt;0,AX451/3,0)</f>
        <v>0</v>
      </c>
      <c r="CF451" s="238">
        <f>ROUNDUP(CE451,0)</f>
        <v>0</v>
      </c>
      <c r="CG451" s="244">
        <f>IF(MOD(CF451,2)=0,CF451,CF451+1)</f>
        <v>0</v>
      </c>
      <c r="CH451" s="238">
        <f>IF(AX451&lt;9,"",SUM(CG451-CF451))</f>
        <v>0</v>
      </c>
      <c r="CI451" s="238">
        <f>IF(CH451=1,AY451,0)</f>
        <v>0</v>
      </c>
      <c r="CJ451" s="243" t="str">
        <f>IF(CH451=0,AY451,0)</f>
        <v/>
      </c>
      <c r="CK451" s="238"/>
      <c r="CL451" s="245">
        <f>IF(COUNT(F451,H451)=1,0,1)</f>
        <v>1</v>
      </c>
      <c r="CM451" s="245">
        <f>IF(COUNT(F451,U451)=1,0,1)</f>
        <v>1</v>
      </c>
      <c r="CN451" s="245">
        <f>IF(COUNT(H451,W451)=1,0,1)</f>
        <v>1</v>
      </c>
      <c r="CO451" s="245">
        <f>IF(COUNT(G451,V451)=2,0,1)</f>
        <v>1</v>
      </c>
      <c r="CP451" s="245">
        <f>IF(COUNT(U451,W451)=1,0,1)</f>
        <v>1</v>
      </c>
      <c r="CQ451" s="245">
        <f>IF(SUM(G451-V451)&gt;3,1,0)</f>
        <v>0</v>
      </c>
      <c r="CR451" s="245">
        <f>IF(SUM(G451-V451)&lt;-3,1,0)</f>
        <v>0</v>
      </c>
      <c r="CS451" s="264">
        <f>IF(AJ451=9,IF(AH451&lt;141,1,0),IF(AH451="",0,IF(AH451&gt;1,0,1)))</f>
        <v>0</v>
      </c>
      <c r="CT451" s="264">
        <f>IF(AX451=9,IF(AV451&lt;141,1,0),IF(AV451="",0,IF(AV451&gt;1,0,1)))</f>
        <v>0</v>
      </c>
      <c r="CU451" s="264">
        <f>IF(AI451="",0,IF(AI451&lt;502,0,1))</f>
        <v>0</v>
      </c>
      <c r="CV451" s="264">
        <f>IF(AW451="",0,IF(AW451&lt;502,0,1))</f>
        <v>0</v>
      </c>
      <c r="CW451" s="264">
        <f>IF(AI451="",IF(AJ451&lt;9,1,0),IF(AJ451&lt;9,1,0))</f>
        <v>0</v>
      </c>
      <c r="CX451" s="264">
        <f>IF(AW451="",IF(AX451&lt;9,1,0),IF(AX451&lt;9,1,0))</f>
        <v>0</v>
      </c>
      <c r="CY451" s="374"/>
      <c r="CZ451" s="374"/>
      <c r="DA451" s="374"/>
      <c r="DB451" s="374"/>
      <c r="DC451" s="265">
        <f>IF(AJ451="",0,SUM(CL451:CX451))</f>
        <v>0</v>
      </c>
      <c r="DD451" s="265">
        <f>IF(AJ451="",0,SUM(CL451,CS451,CU451,CW451))</f>
        <v>0</v>
      </c>
      <c r="DE451" s="265">
        <f>IF(AJ451="",0,SUM(CP451,CT451,CV451,CX451))</f>
        <v>0</v>
      </c>
      <c r="DF451" s="238"/>
      <c r="DG451" s="248">
        <f>SUM(G451-V451)</f>
        <v>0</v>
      </c>
      <c r="DH451" s="245">
        <f>IF(F451="",0,1)</f>
        <v>0</v>
      </c>
      <c r="DI451" s="245">
        <f t="shared" ref="DI451:DI454" si="1124">IF(DG451=0,DH451,DG451)</f>
        <v>0</v>
      </c>
      <c r="DJ451" s="245">
        <f t="shared" ref="DJ451:DJ454" si="1125">SIGN(DI451)</f>
        <v>0</v>
      </c>
      <c r="DK451" s="245" t="str">
        <f>IF(G451="","",IF(DJ451=1,"*",""))</f>
        <v/>
      </c>
      <c r="DL451" s="245" t="str">
        <f>IF(G451="","",IF(DJ451=-1,"*",IF(DJ451=0,"*","")))</f>
        <v/>
      </c>
      <c r="DM451" s="245">
        <v>2</v>
      </c>
      <c r="DN451" s="245" t="str">
        <f t="shared" ref="DN451:DN454" si="1126">CONCATENATE(DM451,DK451)</f>
        <v>2</v>
      </c>
      <c r="DO451" s="245" t="str">
        <f t="shared" ref="DO451:DO454" si="1127">CONCATENATE(DM451,DL451)</f>
        <v>2</v>
      </c>
      <c r="DP451" s="245">
        <f>SUM(DQ450)</f>
        <v>0</v>
      </c>
      <c r="DQ451" s="245">
        <f>SUM(DP450)</f>
        <v>0</v>
      </c>
      <c r="DR451" s="245">
        <f>IF(DK451="*",1,0)</f>
        <v>0</v>
      </c>
      <c r="DS451" s="245">
        <f>IF(DL451="*",1,0)</f>
        <v>0</v>
      </c>
      <c r="DT451" s="245">
        <f>IF(H441="",0,IF(DP451=DR451,1,0))</f>
        <v>0</v>
      </c>
      <c r="DU451" s="245">
        <f>IF(V451="",0,IF(DQ451=DS451,0,1))</f>
        <v>0</v>
      </c>
      <c r="DV451" s="267">
        <f>SUM(DT451)</f>
        <v>0</v>
      </c>
      <c r="DW451" s="267">
        <f>IF(V451="",0,SUM(DU451))</f>
        <v>0</v>
      </c>
      <c r="DX451" s="238">
        <f>IF(AK451="",0,1)</f>
        <v>0</v>
      </c>
      <c r="DY451" s="238">
        <f>IF(DG451=-3,1,0)</f>
        <v>0</v>
      </c>
      <c r="DZ451" s="238">
        <f>SUM(DX451:DY451)</f>
        <v>0</v>
      </c>
      <c r="EA451" s="238">
        <f>IF(AK451="",1,0)</f>
        <v>1</v>
      </c>
      <c r="EB451" s="238">
        <f>IF(DG451=3,1,0)</f>
        <v>0</v>
      </c>
      <c r="EC451" s="238">
        <f>SUM(EA451:EB451)</f>
        <v>1</v>
      </c>
      <c r="ED451" s="267">
        <f>IF(EC451=2,1,0)</f>
        <v>0</v>
      </c>
      <c r="EE451" s="267">
        <f>IF(DZ451=2,1,0)</f>
        <v>0</v>
      </c>
      <c r="EG451" s="166"/>
      <c r="EH451" s="238"/>
      <c r="EI451" s="238"/>
      <c r="EJ451" s="238"/>
      <c r="EK451" s="238"/>
      <c r="EL451" s="238"/>
      <c r="EM451" s="245">
        <f>IF(AK451="",0,1)</f>
        <v>0</v>
      </c>
      <c r="EN451" s="245">
        <f>SUM(AK451)</f>
        <v>0</v>
      </c>
      <c r="EO451" s="268">
        <f>SUM(AJ451)</f>
        <v>0</v>
      </c>
      <c r="EP451" s="268">
        <f>SUM(G451/3)</f>
        <v>0</v>
      </c>
      <c r="EQ451" s="268" t="e">
        <f>SUM(EO451/EP451)</f>
        <v>#DIV/0!</v>
      </c>
      <c r="ER451" s="268">
        <f>ROUNDDOWN(EP451,0)</f>
        <v>0</v>
      </c>
      <c r="ES451" s="268">
        <f>SUM(EO451,-ER451*3)</f>
        <v>0</v>
      </c>
      <c r="ET451" s="269" t="b">
        <f>MOD(EN451/1,2)=0</f>
        <v>1</v>
      </c>
      <c r="EU451" s="245">
        <f>IF(ET451=FALSE,1,0)</f>
        <v>0</v>
      </c>
      <c r="EV451" s="245">
        <f>IF(EN451=50,0,IF(EN451&lt;40,1,0))</f>
        <v>1</v>
      </c>
      <c r="EW451" s="245">
        <f>SUM(EU451:EV451)</f>
        <v>1</v>
      </c>
      <c r="EX451" s="267">
        <f>IF(EN451=1,1,IF(EN451=50,0,IF(ES451=1,IF(EN451&gt;40,1,0),0)))</f>
        <v>0</v>
      </c>
      <c r="EY451" s="267">
        <f>IF(ES451=1,IF(EW451=2,1,0),0)+EX451+FB451+FE451</f>
        <v>0</v>
      </c>
      <c r="EZ451" s="245">
        <f>IF(EN451=109,1,IF(EN451=108,1,IF(EN451=106,1,IF(EN451=105,1,IF(EN451=103,1,IF(EN451=102,1,IF(EN451=99,1,0)))))))</f>
        <v>0</v>
      </c>
      <c r="FA451" s="245">
        <f>IF(EN451&gt;110,1,0)</f>
        <v>0</v>
      </c>
      <c r="FB451" s="267">
        <f>IF(ES451=2,SUM(EZ451:FA451),0)</f>
        <v>0</v>
      </c>
      <c r="FC451" s="245">
        <f>IF(EN451=159,1,IF(EN451=162,1,IF(EN451=163,1,IF(EN451=165,1,IF(EN451=166,1,IF(EN451=168,1,IF(EN451=169,1,0)))))))</f>
        <v>0</v>
      </c>
      <c r="FD451" s="245">
        <f>IF(EN451&gt;170,1,0)</f>
        <v>0</v>
      </c>
      <c r="FE451" s="267">
        <f>IF(ES451=0,SUM(FC451:FD451),0)</f>
        <v>0</v>
      </c>
      <c r="FF451" s="251">
        <f t="shared" ref="FF451:FF454" si="1128">IF(AJ451="",0,IF(AI451="",0,IF(EO451/ER451-3=0,0,1)))</f>
        <v>0</v>
      </c>
      <c r="FG451" s="238"/>
      <c r="FH451" s="245">
        <f>IF(AY451="",0,1)</f>
        <v>0</v>
      </c>
      <c r="FI451" s="245">
        <f>SUM(AY451)</f>
        <v>0</v>
      </c>
      <c r="FJ451" s="268">
        <f>SUM(AX451)</f>
        <v>0</v>
      </c>
      <c r="FK451" s="268">
        <f>SUM(V451/3)</f>
        <v>0</v>
      </c>
      <c r="FL451" s="268" t="e">
        <f>SUM(FJ451/FK451)</f>
        <v>#DIV/0!</v>
      </c>
      <c r="FM451" s="268">
        <f>ROUNDDOWN(FK451,0)</f>
        <v>0</v>
      </c>
      <c r="FN451" s="268">
        <f>SUM(FJ451,-FM451*3)</f>
        <v>0</v>
      </c>
      <c r="FO451" s="269" t="b">
        <f>MOD(FI451/1,2)=0</f>
        <v>1</v>
      </c>
      <c r="FP451" s="245">
        <f>IF(FO451=FALSE,1,0)</f>
        <v>0</v>
      </c>
      <c r="FQ451" s="245">
        <f>IF(FI451=50,0,IF(FI451&lt;40,1,0))</f>
        <v>1</v>
      </c>
      <c r="FR451" s="245">
        <f>SUM(FP451:FQ451)</f>
        <v>1</v>
      </c>
      <c r="FS451" s="267">
        <f>IF(FI451=1,1,IF(FI451=50,0,IF(FN451=1,IF(FI451&gt;40,1,0),0)))</f>
        <v>0</v>
      </c>
      <c r="FT451" s="267">
        <f>IF(FN451=1,IF(FR451=2,1,0),0)+FS451+FW451+FZ451</f>
        <v>0</v>
      </c>
      <c r="FU451" s="245">
        <f>IF(FI451=109,1,IF(FI451=108,1,IF(FI451=106,1,IF(FI451=105,1,IF(FI451=103,1,IF(FI451=102,1,IF(FI451=99,1,0)))))))</f>
        <v>0</v>
      </c>
      <c r="FV451" s="245">
        <f>IF(FI451&gt;110,1,0)</f>
        <v>0</v>
      </c>
      <c r="FW451" s="267">
        <f>IF(FN451=2,SUM(FU451:FV451),0)</f>
        <v>0</v>
      </c>
      <c r="FX451" s="245">
        <f>IF(FI451=159,1,IF(FI451=162,1,IF(FI451=163,1,IF(FI451=165,1,IF(FI451=166,1,IF(FI451=168,1,IF(FI451=169,1,0)))))))</f>
        <v>0</v>
      </c>
      <c r="FY451" s="245">
        <f>IF(FI451&gt;170,1,0)</f>
        <v>0</v>
      </c>
      <c r="FZ451" s="267">
        <f>IF(FN451=0,SUM(FX451:FY451),0)</f>
        <v>0</v>
      </c>
      <c r="GA451" s="251">
        <f t="shared" ref="GA451:GA454" si="1129">IF(AX451="",0,IF(AW451="",0,IF(FJ451/FM451-3=0,0,1)))</f>
        <v>0</v>
      </c>
      <c r="GC451" s="238" t="str">
        <f>VLOOKUP(AH447,Chema!BL:BR,2,FALSE)</f>
        <v/>
      </c>
      <c r="GD451" s="341">
        <f>IF(E457="FORFAIT",1,0)</f>
        <v>0</v>
      </c>
      <c r="GE451" s="343" t="str">
        <f>IF(C457="","",SUM(C457))</f>
        <v/>
      </c>
      <c r="GF451" s="344">
        <f>SUM(AH450)</f>
        <v>0</v>
      </c>
      <c r="GG451" s="344">
        <f>SUM(AJ450)</f>
        <v>0</v>
      </c>
      <c r="GH451" s="344">
        <f t="shared" ref="GH451" si="1130">SUM(AK450)</f>
        <v>0</v>
      </c>
      <c r="GI451" s="344">
        <f t="shared" ref="GI451" si="1131">SUM(AL450)</f>
        <v>0</v>
      </c>
      <c r="GJ451" s="344">
        <f>SUM(AH451)</f>
        <v>0</v>
      </c>
      <c r="GK451" s="344">
        <f>SUM(AJ451)</f>
        <v>0</v>
      </c>
      <c r="GL451" s="344">
        <f>SUM(AK451)</f>
        <v>0</v>
      </c>
      <c r="GM451" s="344">
        <f>SUM(AL451)</f>
        <v>0</v>
      </c>
      <c r="GN451" s="344">
        <f>SUM(AH452)</f>
        <v>0</v>
      </c>
      <c r="GO451" s="344">
        <f>SUM(AJ452)</f>
        <v>0</v>
      </c>
      <c r="GP451" s="344">
        <f>SUM(AK452)</f>
        <v>0</v>
      </c>
      <c r="GQ451" s="344">
        <f>SUM(AL452)</f>
        <v>0</v>
      </c>
      <c r="GR451" s="344">
        <f>SUM(AH453)</f>
        <v>0</v>
      </c>
      <c r="GS451" s="344">
        <f>SUM(AJ453)</f>
        <v>0</v>
      </c>
      <c r="GT451" s="344">
        <f>SUM(AK453)</f>
        <v>0</v>
      </c>
      <c r="GU451" s="344">
        <f>SUM(AL453)</f>
        <v>0</v>
      </c>
      <c r="GV451" s="344">
        <f>SUM(AH454)</f>
        <v>0</v>
      </c>
      <c r="GW451" s="344">
        <f>SUM(AJ454)</f>
        <v>0</v>
      </c>
      <c r="GX451" s="344">
        <f>SUM(AK454)</f>
        <v>0</v>
      </c>
      <c r="GY451" s="344">
        <f>SUM(AL454)</f>
        <v>0</v>
      </c>
      <c r="GZ451" s="344">
        <f>SUM(GF451,GJ451,GN451,GR451,GV451)</f>
        <v>0</v>
      </c>
      <c r="HA451" s="344">
        <f t="shared" ref="HA451" si="1132">SUM(GG451,GK451,GO451,GS451,GW451)</f>
        <v>0</v>
      </c>
      <c r="HB451" s="344">
        <f>IF(GD450=1,L457,MAX(GH451,GL451,GP451,GT451,GX451))</f>
        <v>0</v>
      </c>
      <c r="HC451" s="344">
        <f>IF(GD450=1,I457,SUM(GI451,GM451,GQ451,GU451,GY451))</f>
        <v>0</v>
      </c>
      <c r="HD451" s="345">
        <f>IF(GD450=1,0,SUM(GF451,GJ451,GN451,GR451,GV451))</f>
        <v>0</v>
      </c>
      <c r="HE451" s="345">
        <f>IF(GD450=1,0,SUM(GG451,GK451,GO451,GS451,GW451))</f>
        <v>0</v>
      </c>
      <c r="HF451" s="341">
        <f>IF(GD450=1,0,MIN(HI451,HJ451,HK451,HL451,HM451))</f>
        <v>0</v>
      </c>
      <c r="HG451" s="341">
        <f>IF(HF451=0,0,COUNTIF(HI451:HM451,HF451))</f>
        <v>0</v>
      </c>
      <c r="HH451" s="341">
        <f>SUM(GH452,GL452,GP452,GT452,GX452)</f>
        <v>0</v>
      </c>
      <c r="HI451" s="343" t="str">
        <f>IF(GH452=1,GG451,"")</f>
        <v/>
      </c>
      <c r="HJ451" s="343" t="str">
        <f>IF(GL452=1,GK451,"")</f>
        <v/>
      </c>
      <c r="HK451" s="343" t="str">
        <f>IF(GP452=1,GO451,"")</f>
        <v/>
      </c>
      <c r="HL451" s="343" t="str">
        <f>IF(GT452=1,GS451,"")</f>
        <v/>
      </c>
      <c r="HM451" s="343" t="str">
        <f>IF(GX452=1,GW451,"")</f>
        <v/>
      </c>
      <c r="HN451" s="341"/>
      <c r="HO451" s="341" t="s">
        <v>928</v>
      </c>
      <c r="HP451" s="341" t="s">
        <v>982</v>
      </c>
      <c r="HQ451" s="341" t="s">
        <v>983</v>
      </c>
      <c r="HR451" s="341" t="s">
        <v>984</v>
      </c>
      <c r="HS451" s="238" t="s">
        <v>932</v>
      </c>
      <c r="HT451" s="238" t="s">
        <v>933</v>
      </c>
      <c r="HU451" s="238" t="s">
        <v>985</v>
      </c>
      <c r="HV451" s="238" t="s">
        <v>986</v>
      </c>
      <c r="HW451" s="238">
        <f>IFERROR(IF(GD450=0,SUM(HZ452:IA452),""),"")</f>
        <v>0</v>
      </c>
      <c r="HY451" s="238"/>
      <c r="HZ451" s="238" t="s">
        <v>1132</v>
      </c>
      <c r="IA451" s="238" t="s">
        <v>1133</v>
      </c>
      <c r="IB451" s="238" t="s">
        <v>1132</v>
      </c>
      <c r="IC451" s="238" t="s">
        <v>1133</v>
      </c>
      <c r="ID451" s="238"/>
    </row>
    <row r="452" spans="1:238" s="234" customFormat="1" ht="20.100000000000001" customHeight="1">
      <c r="A452" s="235"/>
      <c r="B452" s="231">
        <f>COUNT(AJ453,AJ452)</f>
        <v>0</v>
      </c>
      <c r="C452" s="235"/>
      <c r="D452" s="271" t="str">
        <f>REPT(DN452,1)</f>
        <v>3</v>
      </c>
      <c r="E452" s="254" t="str">
        <f>REPT(AH452,1)</f>
        <v/>
      </c>
      <c r="F452" s="168"/>
      <c r="G452" s="168"/>
      <c r="H452" s="168"/>
      <c r="I452" s="169"/>
      <c r="J452" s="270" t="str">
        <f t="shared" ref="J452:J453" si="1133">REPT(AM452,1)</f>
        <v/>
      </c>
      <c r="L452" s="312">
        <f>SUM(L450*3)</f>
        <v>0</v>
      </c>
      <c r="M452" s="307"/>
      <c r="N452" s="270" t="str">
        <f>REPT(AP452,1)</f>
        <v/>
      </c>
      <c r="P452" s="312">
        <f>SUM(P450*3)</f>
        <v>0</v>
      </c>
      <c r="Q452" s="310"/>
      <c r="R452" s="235"/>
      <c r="S452" s="271" t="str">
        <f>REPT(DO452,1)</f>
        <v>3</v>
      </c>
      <c r="T452" s="254" t="str">
        <f>REPT(AV452,1)</f>
        <v/>
      </c>
      <c r="U452" s="168"/>
      <c r="V452" s="168"/>
      <c r="W452" s="168"/>
      <c r="X452" s="169"/>
      <c r="Y452" s="270" t="str">
        <f t="shared" si="1116"/>
        <v/>
      </c>
      <c r="Z452" s="308"/>
      <c r="AB452" s="234">
        <f>IF(AY452="",0,IF(AY452&lt;2,1,""))</f>
        <v>0</v>
      </c>
      <c r="AC452" s="238">
        <f t="shared" si="1117"/>
        <v>0</v>
      </c>
      <c r="AD452" s="256">
        <f t="shared" si="1118"/>
        <v>0</v>
      </c>
      <c r="AE452" s="256">
        <f t="shared" si="1112"/>
        <v>0</v>
      </c>
      <c r="AF452" s="256">
        <f t="shared" si="1113"/>
        <v>0</v>
      </c>
      <c r="AG452" s="256">
        <f t="shared" si="1119"/>
        <v>0</v>
      </c>
      <c r="AH452" s="257" t="str">
        <f>IF(AK452="",IF(AI452="","",IF(AI452="",501,501-AI452)),501)</f>
        <v/>
      </c>
      <c r="AI452" s="256" t="str">
        <f>IF(F452&gt;1,F452,IF(F452=0,"",IF(F452="","","")))</f>
        <v/>
      </c>
      <c r="AJ452" s="256" t="str">
        <f>IF(G452&gt;8,G452,IF(G452="","",""))</f>
        <v/>
      </c>
      <c r="AK452" s="256" t="str">
        <f>IF(H452&gt;1,H452,IF(H452="","",""))</f>
        <v/>
      </c>
      <c r="AL452" s="256" t="str">
        <f>IF(I452&gt;0,I452,IF(I452="","",""))</f>
        <v/>
      </c>
      <c r="AM452" s="258" t="str">
        <f>IF(BK452=0,"","X")</f>
        <v/>
      </c>
      <c r="AN452" s="237"/>
      <c r="AO452" s="237"/>
      <c r="AP452" s="258" t="str">
        <f>IF(BM452=0,"","X")</f>
        <v/>
      </c>
      <c r="AQ452" s="236">
        <f t="shared" si="1120"/>
        <v>0</v>
      </c>
      <c r="AR452" s="256">
        <f t="shared" si="1121"/>
        <v>0</v>
      </c>
      <c r="AS452" s="256">
        <f t="shared" si="1114"/>
        <v>0</v>
      </c>
      <c r="AT452" s="256">
        <f t="shared" si="1115"/>
        <v>0</v>
      </c>
      <c r="AU452" s="256">
        <f t="shared" si="1122"/>
        <v>0</v>
      </c>
      <c r="AV452" s="257" t="str">
        <f>IF(AY452="",IF(AW452="","",IF(AW452="",501,501-AW452)),501)</f>
        <v/>
      </c>
      <c r="AW452" s="256" t="str">
        <f>IF(U452&gt;1,U452,IF(U452=0,"",IF(U452="","","")))</f>
        <v/>
      </c>
      <c r="AX452" s="256" t="str">
        <f>IF(V452&gt;8,V452,IF(V452="","",""))</f>
        <v/>
      </c>
      <c r="AY452" s="256" t="str">
        <f>IF(W452&gt;1,W452,IF(W452="","",""))</f>
        <v/>
      </c>
      <c r="AZ452" s="256" t="str">
        <f>IF(X452&gt;0,X452,IF(X452="","",""))</f>
        <v/>
      </c>
      <c r="BA452" s="258" t="str">
        <f>IF(BL452=0,"","X")</f>
        <v/>
      </c>
      <c r="BK452" s="251">
        <f>SUM(DD452,DV452,EY452,ED452,FF452,BQ452,BS452,AC452,BK459)</f>
        <v>0</v>
      </c>
      <c r="BL452" s="251">
        <f>SUM(DE452,DW452,EE452,FT452,GA452,BR452,BT452,AQ452,BL459,CZ452)</f>
        <v>0</v>
      </c>
      <c r="BM452" s="259">
        <f t="shared" si="1123"/>
        <v>0</v>
      </c>
      <c r="BN452" s="239">
        <f>COUNT(AK452)</f>
        <v>0</v>
      </c>
      <c r="BO452" s="239">
        <f>COUNT(AY452)</f>
        <v>0</v>
      </c>
      <c r="BP452" s="239">
        <f>IF(BN454=0,0,1)</f>
        <v>0</v>
      </c>
      <c r="BQ452" s="260">
        <f>IF(AL452="",0,IF(AL452&gt;2,1,0))</f>
        <v>0</v>
      </c>
      <c r="BR452" s="261">
        <f>IF(AZ452="",0,IF(AZ452&gt;2,1,0))</f>
        <v>0</v>
      </c>
      <c r="BS452" s="262">
        <f>IF(AJ452=9,IF(AK452&lt;141,1,0),0)</f>
        <v>0</v>
      </c>
      <c r="BT452" s="263">
        <f>IF(AX452=9,IF(AY452&lt;141,1,0),0)</f>
        <v>0</v>
      </c>
      <c r="BU452" s="242">
        <f>IF(H452,G452,0)</f>
        <v>0</v>
      </c>
      <c r="BV452" s="238">
        <f>IF(BU452&gt;0,AJ452/3,0)</f>
        <v>0</v>
      </c>
      <c r="BW452" s="238">
        <f>ROUNDUP(BV452,0)</f>
        <v>0</v>
      </c>
      <c r="BX452" s="244">
        <f>IF(MOD(BW452,2)=0,BW452,BW452+1)</f>
        <v>0</v>
      </c>
      <c r="BY452" s="238">
        <f>IF(AJ452&lt;9,"",SUM(BX452-BW452))</f>
        <v>0</v>
      </c>
      <c r="BZ452" s="238">
        <f>IF(BY452=1,AK452,0)</f>
        <v>0</v>
      </c>
      <c r="CA452" s="243" t="str">
        <f>IF(BY452=0,AK452,0)</f>
        <v/>
      </c>
      <c r="CB452" s="238"/>
      <c r="CC452" s="238"/>
      <c r="CD452" s="242">
        <f>IF(W452,V452,0)</f>
        <v>0</v>
      </c>
      <c r="CE452" s="238">
        <f>IF(CD452&gt;0,AX452/3,0)</f>
        <v>0</v>
      </c>
      <c r="CF452" s="238">
        <f>ROUNDUP(CE452,0)</f>
        <v>0</v>
      </c>
      <c r="CG452" s="244">
        <f>IF(MOD(CF452,2)=0,CF452,CF452+1)</f>
        <v>0</v>
      </c>
      <c r="CH452" s="238">
        <f>IF(AX452&lt;9,"",SUM(CG452-CF452))</f>
        <v>0</v>
      </c>
      <c r="CI452" s="238">
        <f>IF(CH452=1,AY452,0)</f>
        <v>0</v>
      </c>
      <c r="CJ452" s="243" t="str">
        <f>IF(CH452=0,AY452,0)</f>
        <v/>
      </c>
      <c r="CK452" s="238"/>
      <c r="CL452" s="245">
        <f>IF(COUNT(F452,H452)=1,0,1)</f>
        <v>1</v>
      </c>
      <c r="CM452" s="245">
        <f>IF(COUNT(F452,U452)=1,0,1)</f>
        <v>1</v>
      </c>
      <c r="CN452" s="245">
        <f>IF(COUNT(H452,W452)=1,0,1)</f>
        <v>1</v>
      </c>
      <c r="CO452" s="245">
        <f>IF(COUNT(G452,V452)=2,0,1)</f>
        <v>1</v>
      </c>
      <c r="CP452" s="245">
        <f>IF(COUNT(U452,W452)=1,0,1)</f>
        <v>1</v>
      </c>
      <c r="CQ452" s="245">
        <f>IF(SUM(G452-V452)&gt;3,1,0)</f>
        <v>0</v>
      </c>
      <c r="CR452" s="245">
        <f>IF(SUM(G452-V452)&lt;-3,1,0)</f>
        <v>0</v>
      </c>
      <c r="CS452" s="264">
        <f>IF(AJ452=9,IF(AH452&lt;141,1,0),IF(AH452="",0,IF(AH452&gt;1,0,1)))</f>
        <v>0</v>
      </c>
      <c r="CT452" s="264">
        <f>IF(AX452=9,IF(AV452&lt;141,1,0),IF(AV452="",0,IF(AV452&gt;1,0,1)))</f>
        <v>0</v>
      </c>
      <c r="CU452" s="264">
        <f>IF(AI452="",0,IF(AI452&lt;502,0,1))</f>
        <v>0</v>
      </c>
      <c r="CV452" s="264">
        <f>IF(AW452="",0,IF(AW452&lt;502,0,1))</f>
        <v>0</v>
      </c>
      <c r="CW452" s="264">
        <f>IF(AI452="",IF(AJ452&lt;9,1,0),IF(AJ452&lt;9,1,0))</f>
        <v>0</v>
      </c>
      <c r="CX452" s="264">
        <f>IF(AW452="",IF(AX452&lt;9,1,0),IF(AX452&lt;9,1,0))</f>
        <v>0</v>
      </c>
      <c r="CY452" s="374">
        <f>COUNT(U450,U451,U452)</f>
        <v>0</v>
      </c>
      <c r="CZ452" s="375">
        <f>IF(AL447=3,IF(CY452&gt;2,1,0),0)</f>
        <v>0</v>
      </c>
      <c r="DA452" s="374"/>
      <c r="DB452" s="374"/>
      <c r="DC452" s="265">
        <f>IF(AJ452="",0,SUM(CL452:CX452))</f>
        <v>0</v>
      </c>
      <c r="DD452" s="265">
        <f>IF(AJ452="",0,SUM(CL452,CS452,CU452,CW452))</f>
        <v>0</v>
      </c>
      <c r="DE452" s="265">
        <f>IF(AJ452="",0,SUM(CP452,CT452,CV452,CX452))</f>
        <v>0</v>
      </c>
      <c r="DF452" s="238"/>
      <c r="DG452" s="248">
        <f>SUM(G452-V452)</f>
        <v>0</v>
      </c>
      <c r="DH452" s="245">
        <f>IF(F452="",0,1)</f>
        <v>0</v>
      </c>
      <c r="DI452" s="245">
        <f t="shared" si="1124"/>
        <v>0</v>
      </c>
      <c r="DJ452" s="245">
        <f t="shared" si="1125"/>
        <v>0</v>
      </c>
      <c r="DK452" s="245" t="str">
        <f>IF(G452="","",IF(DJ452=1,"*",""))</f>
        <v/>
      </c>
      <c r="DL452" s="245" t="str">
        <f>IF(G452="","",IF(DJ452=-1,"*",IF(DJ452=0,"*","")))</f>
        <v/>
      </c>
      <c r="DM452" s="245">
        <v>3</v>
      </c>
      <c r="DN452" s="245" t="str">
        <f t="shared" si="1126"/>
        <v>3</v>
      </c>
      <c r="DO452" s="245" t="str">
        <f t="shared" si="1127"/>
        <v>3</v>
      </c>
      <c r="DP452" s="245">
        <f>SUM(DP450)</f>
        <v>0</v>
      </c>
      <c r="DQ452" s="245">
        <f>SUM(DQ450)</f>
        <v>0</v>
      </c>
      <c r="DR452" s="245">
        <f t="shared" ref="DR452:DR454" si="1134">IF(DK452="*",1,0)</f>
        <v>0</v>
      </c>
      <c r="DS452" s="245">
        <f t="shared" ref="DS452:DS454" si="1135">IF(DL452="*",1,0)</f>
        <v>0</v>
      </c>
      <c r="DT452" s="245">
        <f t="shared" ref="DT452:DT454" si="1136">IF(H442="",0,IF(DP452=DR452,1,0))</f>
        <v>0</v>
      </c>
      <c r="DU452" s="245">
        <f>IF(V452="",0,IF(DQ452=DS452,0,1))</f>
        <v>0</v>
      </c>
      <c r="DV452" s="267">
        <f t="shared" ref="DV452:DV454" si="1137">SUM(DT452)</f>
        <v>0</v>
      </c>
      <c r="DW452" s="267">
        <f>IF(V452="",0,SUM(DU452))</f>
        <v>0</v>
      </c>
      <c r="DX452" s="238">
        <f>IF(AK452="",0,1)</f>
        <v>0</v>
      </c>
      <c r="DY452" s="238">
        <f>IF(DG452=-3,1,0)</f>
        <v>0</v>
      </c>
      <c r="DZ452" s="238">
        <f>SUM(DX452:DY452)</f>
        <v>0</v>
      </c>
      <c r="EA452" s="238">
        <f>IF(AK452="",1,0)</f>
        <v>1</v>
      </c>
      <c r="EB452" s="238">
        <f>IF(DG452=3,1,0)</f>
        <v>0</v>
      </c>
      <c r="EC452" s="238">
        <f>SUM(EA452:EB452)</f>
        <v>1</v>
      </c>
      <c r="ED452" s="267">
        <f>IF(EC452=2,1,0)</f>
        <v>0</v>
      </c>
      <c r="EE452" s="267">
        <f>IF(DZ452=2,1,0)</f>
        <v>0</v>
      </c>
      <c r="EG452" s="166"/>
      <c r="EH452" s="238"/>
      <c r="EI452" s="238"/>
      <c r="EJ452" s="238"/>
      <c r="EK452" s="238"/>
      <c r="EL452" s="238"/>
      <c r="EM452" s="245">
        <f>IF(AK452="",0,1)</f>
        <v>0</v>
      </c>
      <c r="EN452" s="245">
        <f>SUM(AK452)</f>
        <v>0</v>
      </c>
      <c r="EO452" s="268">
        <f>SUM(AJ452)</f>
        <v>0</v>
      </c>
      <c r="EP452" s="268">
        <f>SUM(G452/3)</f>
        <v>0</v>
      </c>
      <c r="EQ452" s="268" t="e">
        <f>SUM(EO452/EP452)</f>
        <v>#DIV/0!</v>
      </c>
      <c r="ER452" s="268">
        <f>ROUNDDOWN(EP452,0)</f>
        <v>0</v>
      </c>
      <c r="ES452" s="268">
        <f>SUM(EO452,-ER452*3)</f>
        <v>0</v>
      </c>
      <c r="ET452" s="269" t="b">
        <f>MOD(EN452/1,2)=0</f>
        <v>1</v>
      </c>
      <c r="EU452" s="245">
        <f>IF(ET452=FALSE,1,0)</f>
        <v>0</v>
      </c>
      <c r="EV452" s="245">
        <f>IF(EN452=50,0,IF(EN452&lt;40,1,0))</f>
        <v>1</v>
      </c>
      <c r="EW452" s="245">
        <f>SUM(EU452:EV452)</f>
        <v>1</v>
      </c>
      <c r="EX452" s="267">
        <f>IF(EN452=1,1,IF(EN452=50,0,IF(ES452=1,IF(EN452&gt;40,1,0),0)))</f>
        <v>0</v>
      </c>
      <c r="EY452" s="267">
        <f>IF(ES452=1,IF(EW452=2,1,0),0)+EX452+FB452+FE452</f>
        <v>0</v>
      </c>
      <c r="EZ452" s="245">
        <f>IF(EN452=109,1,IF(EN452=108,1,IF(EN452=106,1,IF(EN452=105,1,IF(EN452=103,1,IF(EN452=102,1,IF(EN452=99,1,0)))))))</f>
        <v>0</v>
      </c>
      <c r="FA452" s="245">
        <f>IF(EN452&gt;110,1,0)</f>
        <v>0</v>
      </c>
      <c r="FB452" s="267">
        <f>IF(ES452=2,SUM(EZ452:FA452),0)</f>
        <v>0</v>
      </c>
      <c r="FC452" s="245">
        <f>IF(EN452=159,1,IF(EN452=162,1,IF(EN452=163,1,IF(EN452=165,1,IF(EN452=166,1,IF(EN452=168,1,IF(EN452=169,1,0)))))))</f>
        <v>0</v>
      </c>
      <c r="FD452" s="245">
        <f>IF(EN452&gt;170,1,0)</f>
        <v>0</v>
      </c>
      <c r="FE452" s="267">
        <f>IF(ES452=0,SUM(FC452:FD452),0)</f>
        <v>0</v>
      </c>
      <c r="FF452" s="251">
        <f t="shared" si="1128"/>
        <v>0</v>
      </c>
      <c r="FG452" s="238"/>
      <c r="FH452" s="245">
        <f>IF(AY452="",0,1)</f>
        <v>0</v>
      </c>
      <c r="FI452" s="245">
        <f>SUM(AY452)</f>
        <v>0</v>
      </c>
      <c r="FJ452" s="268">
        <f>SUM(AX452)</f>
        <v>0</v>
      </c>
      <c r="FK452" s="268">
        <f>SUM(V452/3)</f>
        <v>0</v>
      </c>
      <c r="FL452" s="268" t="e">
        <f>SUM(FJ452/FK452)</f>
        <v>#DIV/0!</v>
      </c>
      <c r="FM452" s="268">
        <f>ROUNDDOWN(FK452,0)</f>
        <v>0</v>
      </c>
      <c r="FN452" s="268">
        <f>SUM(FJ452,-FM452*3)</f>
        <v>0</v>
      </c>
      <c r="FO452" s="269" t="b">
        <f>MOD(FI452/1,2)=0</f>
        <v>1</v>
      </c>
      <c r="FP452" s="245">
        <f>IF(FO452=FALSE,1,0)</f>
        <v>0</v>
      </c>
      <c r="FQ452" s="245">
        <f>IF(FI452=50,0,IF(FI452&lt;40,1,0))</f>
        <v>1</v>
      </c>
      <c r="FR452" s="245">
        <f>SUM(FP452:FQ452)</f>
        <v>1</v>
      </c>
      <c r="FS452" s="267">
        <f>IF(FI452=1,1,IF(FI452=50,0,IF(FN452=1,IF(FI452&gt;40,1,0),0)))</f>
        <v>0</v>
      </c>
      <c r="FT452" s="267">
        <f>IF(FN452=1,IF(FR452=2,1,0),0)+FS452+FW452+FZ452</f>
        <v>0</v>
      </c>
      <c r="FU452" s="245">
        <f>IF(FI452=109,1,IF(FI452=108,1,IF(FI452=106,1,IF(FI452=105,1,IF(FI452=103,1,IF(FI452=102,1,IF(FI452=99,1,0)))))))</f>
        <v>0</v>
      </c>
      <c r="FV452" s="245">
        <f>IF(FI452&gt;110,1,0)</f>
        <v>0</v>
      </c>
      <c r="FW452" s="267">
        <f>IF(FN452=2,SUM(FU452:FV452),0)</f>
        <v>0</v>
      </c>
      <c r="FX452" s="245">
        <f>IF(FI452=159,1,IF(FI452=162,1,IF(FI452=163,1,IF(FI452=165,1,IF(FI452=166,1,IF(FI452=168,1,IF(FI452=169,1,0)))))))</f>
        <v>0</v>
      </c>
      <c r="FY452" s="245">
        <f>IF(FI452&gt;170,1,0)</f>
        <v>0</v>
      </c>
      <c r="FZ452" s="267">
        <f>IF(FN452=0,SUM(FX452:FY452),0)</f>
        <v>0</v>
      </c>
      <c r="GA452" s="251">
        <f t="shared" si="1129"/>
        <v>0</v>
      </c>
      <c r="GC452" s="238" t="str">
        <f>VLOOKUP(AH447,Chema!BL:BR,3,FALSE)</f>
        <v/>
      </c>
      <c r="GD452" s="341"/>
      <c r="GE452" s="343" t="str">
        <f>IF(C458="","",SUM(C458))</f>
        <v/>
      </c>
      <c r="GF452" s="346"/>
      <c r="GG452" s="340"/>
      <c r="GH452" s="343">
        <f>IF(GH451&gt;0,1,0)</f>
        <v>0</v>
      </c>
      <c r="GI452" s="346"/>
      <c r="GJ452" s="343"/>
      <c r="GK452" s="340"/>
      <c r="GL452" s="343">
        <f>IF(GL451&gt;0,1,0)</f>
        <v>0</v>
      </c>
      <c r="GM452" s="343"/>
      <c r="GN452" s="343"/>
      <c r="GO452" s="340"/>
      <c r="GP452" s="343">
        <f>IF(GP451&gt;0,1,0)</f>
        <v>0</v>
      </c>
      <c r="GQ452" s="343"/>
      <c r="GR452" s="343"/>
      <c r="GS452" s="340"/>
      <c r="GT452" s="343">
        <f>IF(GT451&gt;0,1,0)</f>
        <v>0</v>
      </c>
      <c r="GU452" s="343"/>
      <c r="GV452" s="343"/>
      <c r="GW452" s="340"/>
      <c r="GX452" s="343">
        <f>IF(GX451&gt;0,1,0)</f>
        <v>0</v>
      </c>
      <c r="GY452" s="343"/>
      <c r="GZ452" s="343"/>
      <c r="HA452" s="343"/>
      <c r="HB452" s="343" t="str">
        <f>IF(GD450=1,L458,"")</f>
        <v/>
      </c>
      <c r="HC452" s="343" t="str">
        <f>IF(GD450=1,I458,"")</f>
        <v/>
      </c>
      <c r="HD452" s="345"/>
      <c r="HE452" s="340"/>
      <c r="HF452" s="340"/>
      <c r="HG452" s="347">
        <f>IF(GE451="",0,IF(AL447=3,2,IF(AL447=5,3,0)))</f>
        <v>0</v>
      </c>
      <c r="HH452" s="347">
        <f>IF(HK452=0,0,IF(HG454=0,0,1))</f>
        <v>0</v>
      </c>
      <c r="HI452" s="340"/>
      <c r="HJ452" s="340"/>
      <c r="HK452" s="340">
        <f>SUM(HM450,HM454)</f>
        <v>0</v>
      </c>
      <c r="HL452" s="340">
        <f>IF(HK452=0,0,IF(HM450=HG452,1,0))</f>
        <v>0</v>
      </c>
      <c r="HM452" s="340">
        <f>IF(HK452=0,0,IF(HM454=HG452,1,0))</f>
        <v>0</v>
      </c>
      <c r="HN452" s="341" t="str">
        <f>REPT(N447,1)</f>
        <v xml:space="preserve">Spiel </v>
      </c>
      <c r="HO452" s="348" t="str">
        <f>IF(HK452=0,"",IF(HH452=0,SUM(HH451),""))</f>
        <v/>
      </c>
      <c r="HP452" s="348" t="str">
        <f>IF(HK452=0,"",IF(HH452=0,SUM(HH453),""))</f>
        <v/>
      </c>
      <c r="HQ452" s="348" t="e">
        <f>IF(HH452=0,SUM(GZ451/HA451),"")</f>
        <v>#DIV/0!</v>
      </c>
      <c r="HR452" s="348" t="e">
        <f>IF(HH452=0,SUM(GZ453/HA453),"")</f>
        <v>#DIV/0!</v>
      </c>
      <c r="HS452" s="238" t="str">
        <f>REPT(DK450,1)</f>
        <v/>
      </c>
      <c r="HT452" s="238" t="str">
        <f>REPT(DL450,1)</f>
        <v/>
      </c>
      <c r="HU452" s="238">
        <f>IF(HH452=0,HL452,"")</f>
        <v>0</v>
      </c>
      <c r="HV452" s="238">
        <f>IF(HH452=0,HM452,"")</f>
        <v>0</v>
      </c>
      <c r="HW452" s="238" t="s">
        <v>1131</v>
      </c>
      <c r="HY452" s="238"/>
      <c r="HZ452" s="238" t="str">
        <f>IF(AL447=5,IF(HU452=1,SUM(HO452*2-HP452),HO452+HP452-2),"")</f>
        <v/>
      </c>
      <c r="IA452" s="238" t="str">
        <f>IF(AL447=3,IF(HU452=1,SUM(HO452-HP452+3),HO452+HP452-1),"")</f>
        <v/>
      </c>
      <c r="IB452" s="238" t="str">
        <f>IF(AL447=5,IF(HV452=1,SUM(HP452*2-HO452),HO452+HP452-2),"")</f>
        <v/>
      </c>
      <c r="IC452" s="238" t="str">
        <f>IF(AL447=3,IF(HV452=1,SUM(HP452-HO452+3),HO452+HP452-1),"")</f>
        <v/>
      </c>
      <c r="ID452" s="238">
        <f>SUM(BM456)</f>
        <v>0</v>
      </c>
    </row>
    <row r="453" spans="1:238" s="234" customFormat="1" ht="20.100000000000001" customHeight="1">
      <c r="A453" s="235"/>
      <c r="B453" s="231">
        <f>COUNT(AJ454,AJ453)</f>
        <v>0</v>
      </c>
      <c r="C453" s="235"/>
      <c r="D453" s="328" t="str">
        <f>REPT(DN453,1)</f>
        <v>4</v>
      </c>
      <c r="E453" s="329" t="str">
        <f>REPT(AH453,1)</f>
        <v/>
      </c>
      <c r="F453" s="330"/>
      <c r="G453" s="330"/>
      <c r="H453" s="330"/>
      <c r="I453" s="331"/>
      <c r="J453" s="270" t="str">
        <f t="shared" si="1133"/>
        <v/>
      </c>
      <c r="M453" s="311"/>
      <c r="N453" s="270" t="str">
        <f>REPT(AP453,1)</f>
        <v/>
      </c>
      <c r="Q453" s="310"/>
      <c r="R453" s="235"/>
      <c r="S453" s="328" t="str">
        <f>REPT(DO453,1)</f>
        <v>4</v>
      </c>
      <c r="T453" s="329" t="str">
        <f>REPT(AV453,1)</f>
        <v/>
      </c>
      <c r="U453" s="330"/>
      <c r="V453" s="330"/>
      <c r="W453" s="330"/>
      <c r="X453" s="331"/>
      <c r="Y453" s="270" t="str">
        <f t="shared" si="1116"/>
        <v/>
      </c>
      <c r="Z453" s="308"/>
      <c r="AA453" s="238">
        <f>SUM(AL447)</f>
        <v>0</v>
      </c>
      <c r="AB453" s="234">
        <f>IF(AY453="",0,IF(AY453&lt;2,1,""))</f>
        <v>0</v>
      </c>
      <c r="AC453" s="238">
        <f>IF(AL447=3,0,IF(AD453=1,1,IF(AD453=3,1,IF(AD453=2,0,IF(AD453=0,0,0)))))</f>
        <v>0</v>
      </c>
      <c r="AD453" s="256">
        <f t="shared" si="1118"/>
        <v>0</v>
      </c>
      <c r="AE453" s="256">
        <f t="shared" si="1112"/>
        <v>0</v>
      </c>
      <c r="AF453" s="256">
        <f t="shared" si="1113"/>
        <v>0</v>
      </c>
      <c r="AG453" s="256">
        <f t="shared" si="1119"/>
        <v>0</v>
      </c>
      <c r="AH453" s="257" t="str">
        <f>IF(AL447=3,"",IF(AK453="",IF(AI453="","",IF(AI453="",501,501-AI453)),501))</f>
        <v/>
      </c>
      <c r="AI453" s="256" t="str">
        <f>IF(AL447=3,"",IF(F453&gt;1,F453,IF(F453=0,"",IF(F453="","",""))))</f>
        <v/>
      </c>
      <c r="AJ453" s="256" t="str">
        <f>IF(AL447=3,"",IF(G453&gt;8,G453,IF(G453="","","")))</f>
        <v/>
      </c>
      <c r="AK453" s="256" t="str">
        <f>IF(AL447=3,"",IF(H453&gt;1,H453,IF(H453="","","")))</f>
        <v/>
      </c>
      <c r="AL453" s="256" t="str">
        <f>IF(AL447=3,"",IF(I453&gt;0,I453,IF(I453="","","")))</f>
        <v/>
      </c>
      <c r="AM453" s="258" t="str">
        <f>IF(BK453=0,"","X")</f>
        <v/>
      </c>
      <c r="AN453" s="237"/>
      <c r="AO453" s="237"/>
      <c r="AP453" s="258" t="str">
        <f>IF(BM453=0,"","X")</f>
        <v/>
      </c>
      <c r="AQ453" s="236">
        <f>IF(AL447=3,0,IF(AR453=1,1,IF(AR453=3,1,IF(AR453=2,0,IF(AR453=0,0,0)))))</f>
        <v>0</v>
      </c>
      <c r="AR453" s="256">
        <f t="shared" si="1121"/>
        <v>0</v>
      </c>
      <c r="AS453" s="256">
        <f t="shared" si="1114"/>
        <v>0</v>
      </c>
      <c r="AT453" s="256">
        <f t="shared" si="1115"/>
        <v>0</v>
      </c>
      <c r="AU453" s="256">
        <f t="shared" si="1122"/>
        <v>0</v>
      </c>
      <c r="AV453" s="257" t="str">
        <f>IF(AY453="",IF(AW453="","",IF(AW453="",501,501-AW453)),501)</f>
        <v/>
      </c>
      <c r="AW453" s="256" t="str">
        <f>IF(AL447=3,"",IF(U453&gt;1,U453,IF(U453=0,"",IF(U453="","",""))))</f>
        <v/>
      </c>
      <c r="AX453" s="256" t="str">
        <f>IF(AL447=3,"",IF(V453&gt;8,V453,IF(V453="","","")))</f>
        <v/>
      </c>
      <c r="AY453" s="256" t="str">
        <f>IF(AL447=3,"",IF(W453&gt;1,W453,IF(W453="","","")))</f>
        <v/>
      </c>
      <c r="AZ453" s="256" t="str">
        <f>IF(AL447=3,"",IF(X453&gt;0,X453,IF(X453="","","")))</f>
        <v/>
      </c>
      <c r="BA453" s="258" t="str">
        <f>IF(BL453=0,"","X")</f>
        <v/>
      </c>
      <c r="BK453" s="251">
        <f>IF(AL447=3,0,SUM(DD453,DV453,EY453,ED453,FF453,BQ453,BS453,AC453))</f>
        <v>0</v>
      </c>
      <c r="BL453" s="251">
        <f>IF(AL447=3,0,SUM(DE453,DW453,EE453,FT453,GA453,BR453,BT453,AQ453))</f>
        <v>0</v>
      </c>
      <c r="BM453" s="259">
        <f>IF(AL447=3,0,SUM(DC453,BK453:BL453,AC453,AQ453))</f>
        <v>0</v>
      </c>
      <c r="BN453" s="239">
        <f>COUNT(AK453)</f>
        <v>0</v>
      </c>
      <c r="BO453" s="239">
        <f>COUNT(AY453)</f>
        <v>0</v>
      </c>
      <c r="BP453" s="239">
        <f>IF(BZ455=0,0,1)</f>
        <v>0</v>
      </c>
      <c r="BQ453" s="260">
        <f>IF(AL453="",0,IF(AL453&gt;2,1,0))</f>
        <v>0</v>
      </c>
      <c r="BR453" s="261">
        <f>IF(AZ453="",0,IF(AZ453&gt;2,1,0))</f>
        <v>0</v>
      </c>
      <c r="BS453" s="262">
        <f>IF(AJ453=9,IF(AK453&lt;141,1,0),0)</f>
        <v>0</v>
      </c>
      <c r="BT453" s="263">
        <f>IF(AX453=9,IF(AY453&lt;141,1,0),0)</f>
        <v>0</v>
      </c>
      <c r="BU453" s="242">
        <f>IF(AL447=3,0,IF(H453,G453,0))</f>
        <v>0</v>
      </c>
      <c r="BV453" s="238">
        <f>IF(BU453&gt;0,AJ453/3,0)</f>
        <v>0</v>
      </c>
      <c r="BW453" s="238">
        <f>ROUNDUP(BV453,0)</f>
        <v>0</v>
      </c>
      <c r="BX453" s="244">
        <f>IF(MOD(BW453,2)=0,BW453,BW453+1)</f>
        <v>0</v>
      </c>
      <c r="BY453" s="238">
        <f>IF(AJ453&lt;9,"",SUM(BX453-BW453))</f>
        <v>0</v>
      </c>
      <c r="BZ453" s="238">
        <f>IF(BY453=1,AK453,0)</f>
        <v>0</v>
      </c>
      <c r="CA453" s="243" t="str">
        <f>IF(BY453=0,AK453,0)</f>
        <v/>
      </c>
      <c r="CB453" s="238"/>
      <c r="CC453" s="238"/>
      <c r="CD453" s="242">
        <f>IF(AL447=3,0,IF(W453,V453,0))</f>
        <v>0</v>
      </c>
      <c r="CE453" s="238">
        <f>IF(CD453&gt;0,AX453/3,0)</f>
        <v>0</v>
      </c>
      <c r="CF453" s="238">
        <f>ROUNDUP(CE453,0)</f>
        <v>0</v>
      </c>
      <c r="CG453" s="244">
        <f>IF(MOD(CF453,2)=0,CF453,CF453+1)</f>
        <v>0</v>
      </c>
      <c r="CH453" s="238">
        <f>IF(AX453&lt;9,"",SUM(CG453-CF453))</f>
        <v>0</v>
      </c>
      <c r="CI453" s="238">
        <f>IF(CH453=1,AY453,0)</f>
        <v>0</v>
      </c>
      <c r="CJ453" s="243" t="str">
        <f>IF(CH453=0,AY453,0)</f>
        <v/>
      </c>
      <c r="CK453" s="238"/>
      <c r="CL453" s="245">
        <f>IF(COUNT(F453,H453)=1,0,1)</f>
        <v>1</v>
      </c>
      <c r="CM453" s="245">
        <f>IF(COUNT(F453,U453)=1,0,1)</f>
        <v>1</v>
      </c>
      <c r="CN453" s="245">
        <f>IF(COUNT(H453,W453)=1,0,1)</f>
        <v>1</v>
      </c>
      <c r="CO453" s="245">
        <f>IF(COUNT(G453,V453)=2,0,1)</f>
        <v>1</v>
      </c>
      <c r="CP453" s="245">
        <f>IF(COUNT(U453,W453)=1,0,1)</f>
        <v>1</v>
      </c>
      <c r="CQ453" s="245">
        <f>IF(SUM(G453-V453)&gt;3,1,0)</f>
        <v>0</v>
      </c>
      <c r="CR453" s="245">
        <f>IF(SUM(G453-V453)&lt;-3,1,0)</f>
        <v>0</v>
      </c>
      <c r="CS453" s="264">
        <f>IF(AJ453=9,IF(AH453&lt;141,1,0),IF(AH453="",0,IF(AH453&gt;1,0,1)))</f>
        <v>0</v>
      </c>
      <c r="CT453" s="264">
        <f>IF(AX453=9,IF(AV453&lt;141,1,0),IF(AV453="",0,IF(AV453&gt;1,0,1)))</f>
        <v>0</v>
      </c>
      <c r="CU453" s="264">
        <f>IF(AI453="",0,IF(AI453&lt;502,0,1))</f>
        <v>0</v>
      </c>
      <c r="CV453" s="264">
        <f>IF(AW453="",0,IF(AW453&lt;502,0,1))</f>
        <v>0</v>
      </c>
      <c r="CW453" s="264">
        <f>IF(AI453="",IF(AJ453&lt;9,1,0),IF(AJ453&lt;9,1,0))</f>
        <v>0</v>
      </c>
      <c r="CX453" s="264">
        <f>IF(AW453="",IF(AX453&lt;9,1,0),IF(AX453&lt;9,1,0))</f>
        <v>0</v>
      </c>
      <c r="CY453" s="374"/>
      <c r="CZ453" s="374"/>
      <c r="DA453" s="374"/>
      <c r="DB453" s="374"/>
      <c r="DC453" s="265">
        <f>IF(AJ453="",0,SUM(CL453:CX453))</f>
        <v>0</v>
      </c>
      <c r="DD453" s="265">
        <f>IF(AJ453="",0,SUM(CL453,CS453,CU453,CW453))</f>
        <v>0</v>
      </c>
      <c r="DE453" s="265">
        <f>IF(AJ453="",0,SUM(CP453,CT453,CV453,CX453))</f>
        <v>0</v>
      </c>
      <c r="DF453" s="238"/>
      <c r="DG453" s="248">
        <f>IF(AL447=3,0,SUM(G453-V453))</f>
        <v>0</v>
      </c>
      <c r="DH453" s="245">
        <f>IF(F453="",0,1)</f>
        <v>0</v>
      </c>
      <c r="DI453" s="245">
        <f t="shared" si="1124"/>
        <v>0</v>
      </c>
      <c r="DJ453" s="245">
        <f t="shared" si="1125"/>
        <v>0</v>
      </c>
      <c r="DK453" s="245" t="str">
        <f>IF(G453="","",IF(DJ453=1,"*",""))</f>
        <v/>
      </c>
      <c r="DL453" s="245" t="str">
        <f>IF(AL447=3,"",IF(G453="","",IF(DJ453=-1,"*",IF(DJ453=0,"*",""))))</f>
        <v/>
      </c>
      <c r="DM453" s="245">
        <v>4</v>
      </c>
      <c r="DN453" s="245" t="str">
        <f t="shared" si="1126"/>
        <v>4</v>
      </c>
      <c r="DO453" s="245" t="str">
        <f t="shared" si="1127"/>
        <v>4</v>
      </c>
      <c r="DP453" s="245">
        <f>SUM(DQ450)</f>
        <v>0</v>
      </c>
      <c r="DQ453" s="245">
        <f>SUM(DP450)</f>
        <v>0</v>
      </c>
      <c r="DR453" s="245">
        <f t="shared" si="1134"/>
        <v>0</v>
      </c>
      <c r="DS453" s="245">
        <f t="shared" si="1135"/>
        <v>0</v>
      </c>
      <c r="DT453" s="245">
        <f t="shared" si="1136"/>
        <v>0</v>
      </c>
      <c r="DU453" s="245">
        <f>IF(V453="",0,IF(DQ453=DS453,0,1))</f>
        <v>0</v>
      </c>
      <c r="DV453" s="267">
        <f t="shared" si="1137"/>
        <v>0</v>
      </c>
      <c r="DW453" s="267">
        <f>IF(V453="",0,SUM(DU453))</f>
        <v>0</v>
      </c>
      <c r="DX453" s="238">
        <f>IF(AK453="",0,1)</f>
        <v>0</v>
      </c>
      <c r="DY453" s="238">
        <f>IF(DG453=-3,1,0)</f>
        <v>0</v>
      </c>
      <c r="DZ453" s="238">
        <f>SUM(DX453:DY453)</f>
        <v>0</v>
      </c>
      <c r="EA453" s="238">
        <f>IF(AK453="",1,0)</f>
        <v>1</v>
      </c>
      <c r="EB453" s="238">
        <f>IF(DG453=3,1,0)</f>
        <v>0</v>
      </c>
      <c r="EC453" s="238">
        <f>SUM(EA453:EB453)</f>
        <v>1</v>
      </c>
      <c r="ED453" s="267">
        <f>IF(EC453=2,1,0)</f>
        <v>0</v>
      </c>
      <c r="EE453" s="267">
        <f>IF(DZ453=2,1,0)</f>
        <v>0</v>
      </c>
      <c r="EG453" s="166"/>
      <c r="EH453" s="238"/>
      <c r="EI453" s="238"/>
      <c r="EJ453" s="238"/>
      <c r="EK453" s="238"/>
      <c r="EL453" s="238"/>
      <c r="EM453" s="245">
        <f>IF(AK453="",0,1)</f>
        <v>0</v>
      </c>
      <c r="EN453" s="245">
        <f>SUM(AK453)</f>
        <v>0</v>
      </c>
      <c r="EO453" s="268">
        <f>SUM(AJ453)</f>
        <v>0</v>
      </c>
      <c r="EP453" s="268">
        <f>SUM(G453/3)</f>
        <v>0</v>
      </c>
      <c r="EQ453" s="268" t="e">
        <f>SUM(EO453/EP453)</f>
        <v>#DIV/0!</v>
      </c>
      <c r="ER453" s="268">
        <f>ROUNDDOWN(EP453,0)</f>
        <v>0</v>
      </c>
      <c r="ES453" s="268">
        <f>SUM(EO453,-ER453*3)</f>
        <v>0</v>
      </c>
      <c r="ET453" s="269" t="b">
        <f>MOD(EN453/1,2)=0</f>
        <v>1</v>
      </c>
      <c r="EU453" s="245">
        <f>IF(ET453=FALSE,1,0)</f>
        <v>0</v>
      </c>
      <c r="EV453" s="245">
        <f>IF(EN453=50,0,IF(EN453&lt;40,1,0))</f>
        <v>1</v>
      </c>
      <c r="EW453" s="245">
        <f>SUM(EU453:EV453)</f>
        <v>1</v>
      </c>
      <c r="EX453" s="267">
        <f>IF(EN453=1,1,IF(EN453=50,0,IF(ES453=1,IF(EN453&gt;40,1,0),0)))</f>
        <v>0</v>
      </c>
      <c r="EY453" s="267">
        <f>IF(ES453=1,IF(EW453=2,1,0),0)+EX453+FB453+FE453</f>
        <v>0</v>
      </c>
      <c r="EZ453" s="245">
        <f>IF(EN453=109,1,IF(EN453=108,1,IF(EN453=106,1,IF(EN453=105,1,IF(EN453=103,1,IF(EN453=102,1,IF(EN453=99,1,0)))))))</f>
        <v>0</v>
      </c>
      <c r="FA453" s="245">
        <f>IF(EN453&gt;110,1,0)</f>
        <v>0</v>
      </c>
      <c r="FB453" s="267">
        <f>IF(ES453=2,SUM(EZ453:FA453),0)</f>
        <v>0</v>
      </c>
      <c r="FC453" s="245">
        <f>IF(EN453=159,1,IF(EN453=162,1,IF(EN453=163,1,IF(EN453=165,1,IF(EN453=166,1,IF(EN453=168,1,IF(EN453=169,1,0)))))))</f>
        <v>0</v>
      </c>
      <c r="FD453" s="245">
        <f>IF(EN453&gt;170,1,0)</f>
        <v>0</v>
      </c>
      <c r="FE453" s="267">
        <f>IF(ES453=0,SUM(FC453:FD453),0)</f>
        <v>0</v>
      </c>
      <c r="FF453" s="251">
        <f t="shared" si="1128"/>
        <v>0</v>
      </c>
      <c r="FG453" s="238"/>
      <c r="FH453" s="245">
        <f>IF(AY453="",0,1)</f>
        <v>0</v>
      </c>
      <c r="FI453" s="245">
        <f>SUM(AY453)</f>
        <v>0</v>
      </c>
      <c r="FJ453" s="268">
        <f>SUM(AX453)</f>
        <v>0</v>
      </c>
      <c r="FK453" s="268">
        <f>SUM(V453/3)</f>
        <v>0</v>
      </c>
      <c r="FL453" s="268" t="e">
        <f>SUM(FJ453/FK453)</f>
        <v>#DIV/0!</v>
      </c>
      <c r="FM453" s="268">
        <f>ROUNDDOWN(FK453,0)</f>
        <v>0</v>
      </c>
      <c r="FN453" s="268">
        <f>SUM(FJ453,-FM453*3)</f>
        <v>0</v>
      </c>
      <c r="FO453" s="269" t="b">
        <f>MOD(FI453/1,2)=0</f>
        <v>1</v>
      </c>
      <c r="FP453" s="245">
        <f>IF(FO453=FALSE,1,0)</f>
        <v>0</v>
      </c>
      <c r="FQ453" s="245">
        <f>IF(FI453=50,0,IF(FI453&lt;40,1,0))</f>
        <v>1</v>
      </c>
      <c r="FR453" s="245">
        <f>SUM(FP453:FQ453)</f>
        <v>1</v>
      </c>
      <c r="FS453" s="267">
        <f>IF(FI453=1,1,IF(FI453=50,0,IF(FN453=1,IF(FI453&gt;40,1,0),0)))</f>
        <v>0</v>
      </c>
      <c r="FT453" s="267">
        <f>IF(FN453=1,IF(FR453=2,1,0),0)+FS453+FW453+FZ453</f>
        <v>0</v>
      </c>
      <c r="FU453" s="245">
        <f>IF(FI453=109,1,IF(FI453=108,1,IF(FI453=106,1,IF(FI453=105,1,IF(FI453=103,1,IF(FI453=102,1,IF(FI453=99,1,0)))))))</f>
        <v>0</v>
      </c>
      <c r="FV453" s="245">
        <f>IF(FI453&gt;110,1,0)</f>
        <v>0</v>
      </c>
      <c r="FW453" s="267">
        <f>IF(FN453=2,SUM(FU453:FV453),0)</f>
        <v>0</v>
      </c>
      <c r="FX453" s="245">
        <f>IF(FI453=159,1,IF(FI453=162,1,IF(FI453=163,1,IF(FI453=165,1,IF(FI453=166,1,IF(FI453=168,1,IF(FI453=169,1,0)))))))</f>
        <v>0</v>
      </c>
      <c r="FY453" s="245">
        <f>IF(FI453&gt;170,1,0)</f>
        <v>0</v>
      </c>
      <c r="FZ453" s="267">
        <f>IF(FN453=0,SUM(FX453:FY453),0)</f>
        <v>0</v>
      </c>
      <c r="GA453" s="251">
        <f t="shared" si="1129"/>
        <v>0</v>
      </c>
      <c r="GC453" s="238" t="str">
        <f>VLOOKUP(AH447,Chema!BL:BR,4,FALSE)</f>
        <v/>
      </c>
      <c r="GD453" s="341">
        <f>IF(T457="FORFAIT",1,0)</f>
        <v>0</v>
      </c>
      <c r="GE453" s="343" t="str">
        <f>IF(R457="","",SUM(R457))</f>
        <v/>
      </c>
      <c r="GF453" s="344">
        <f>SUM(AV450)</f>
        <v>0</v>
      </c>
      <c r="GG453" s="344">
        <f>SUM(AX450)</f>
        <v>0</v>
      </c>
      <c r="GH453" s="344">
        <f t="shared" ref="GH453" si="1138">SUM(AY450)</f>
        <v>0</v>
      </c>
      <c r="GI453" s="344">
        <f t="shared" ref="GI453" si="1139">SUM(AZ450)</f>
        <v>0</v>
      </c>
      <c r="GJ453" s="344">
        <f>SUM(AV451)</f>
        <v>0</v>
      </c>
      <c r="GK453" s="344">
        <f>SUM(AX451)</f>
        <v>0</v>
      </c>
      <c r="GL453" s="344">
        <f>SUM(AY451)</f>
        <v>0</v>
      </c>
      <c r="GM453" s="344">
        <f>SUM(AZ451)</f>
        <v>0</v>
      </c>
      <c r="GN453" s="344">
        <f>SUM(AV452)</f>
        <v>0</v>
      </c>
      <c r="GO453" s="344">
        <f>SUM(AX452)</f>
        <v>0</v>
      </c>
      <c r="GP453" s="344">
        <f>SUM(AY452)</f>
        <v>0</v>
      </c>
      <c r="GQ453" s="344">
        <f>SUM(AZ452)</f>
        <v>0</v>
      </c>
      <c r="GR453" s="344">
        <f>SUM(AV453)</f>
        <v>0</v>
      </c>
      <c r="GS453" s="344">
        <f>SUM(AX453)</f>
        <v>0</v>
      </c>
      <c r="GT453" s="344">
        <f>SUM(AY453)</f>
        <v>0</v>
      </c>
      <c r="GU453" s="344">
        <f>SUM(AZ453)</f>
        <v>0</v>
      </c>
      <c r="GV453" s="344">
        <f>SUM(AV454)</f>
        <v>0</v>
      </c>
      <c r="GW453" s="344">
        <f>SUM(AX454)</f>
        <v>0</v>
      </c>
      <c r="GX453" s="344">
        <f>SUM(AY454)</f>
        <v>0</v>
      </c>
      <c r="GY453" s="344">
        <f>SUM(AZ454)</f>
        <v>0</v>
      </c>
      <c r="GZ453" s="344">
        <f>SUM(GF453,GJ453,GN453,GR453,GV453)</f>
        <v>0</v>
      </c>
      <c r="HA453" s="344">
        <f t="shared" ref="HA453" si="1140">SUM(GG453,GK453,GO453,GS453,GW453)</f>
        <v>0</v>
      </c>
      <c r="HB453" s="344">
        <f>IF(GD450=1,P457,MAX(GH453,GL453,GP453,GT453,GX453))</f>
        <v>0</v>
      </c>
      <c r="HC453" s="344">
        <f>IF(GD450=1,X457,SUM(GI453,GM453,GQ453,GU453,GY453))</f>
        <v>0</v>
      </c>
      <c r="HD453" s="345">
        <f>IF(GD450=1,0,SUM(GF453,GJ453,GN453,GR453,GV453))</f>
        <v>0</v>
      </c>
      <c r="HE453" s="345">
        <f>IF(GD450=1,0,SUM(GG453,GK453,GO453,GS453,GW453))</f>
        <v>0</v>
      </c>
      <c r="HF453" s="341">
        <f>IF(GD450=1,0,MIN(HI453,HJ453,HK453,HL453,HM453))</f>
        <v>0</v>
      </c>
      <c r="HG453" s="341">
        <f>IF(HF453=0,0,COUNTIF(HI453:HM453,HF453))</f>
        <v>0</v>
      </c>
      <c r="HH453" s="341">
        <f>SUM(GH454,GL454,GP454,GT454,GX454)</f>
        <v>0</v>
      </c>
      <c r="HI453" s="343" t="str">
        <f>IF(GH454=1,GG453,"")</f>
        <v/>
      </c>
      <c r="HJ453" s="343" t="str">
        <f>IF(GL454=1,GK453,"")</f>
        <v/>
      </c>
      <c r="HK453" s="343" t="str">
        <f>IF(GP454=1,GO453,"")</f>
        <v/>
      </c>
      <c r="HL453" s="343" t="str">
        <f>IF(GT454=1,GS453,"")</f>
        <v/>
      </c>
      <c r="HM453" s="343" t="str">
        <f>IF(GX454=1,GW453,"")</f>
        <v/>
      </c>
      <c r="HN453" s="341"/>
      <c r="HO453" s="341"/>
      <c r="HP453" s="341"/>
      <c r="HQ453" s="341"/>
      <c r="HR453" s="341"/>
      <c r="HS453" s="238"/>
      <c r="HT453" s="238"/>
      <c r="HU453" s="238"/>
      <c r="HV453" s="238"/>
      <c r="HW453" s="238">
        <f>IFERROR(IF(GD450=0,SUM(IB452:IC452),""),"")</f>
        <v>0</v>
      </c>
      <c r="HY453" s="238"/>
      <c r="ID453" s="238"/>
    </row>
    <row r="454" spans="1:238" s="234" customFormat="1" ht="20.100000000000001" customHeight="1">
      <c r="A454" s="235"/>
      <c r="B454" s="231">
        <f>COUNT(AJ455,AJ454)</f>
        <v>1</v>
      </c>
      <c r="C454" s="235"/>
      <c r="D454" s="271" t="str">
        <f>REPT(DN454,1)</f>
        <v>5</v>
      </c>
      <c r="E454" s="254" t="str">
        <f>REPT(AH454,1)</f>
        <v/>
      </c>
      <c r="F454" s="168"/>
      <c r="G454" s="168"/>
      <c r="H454" s="168"/>
      <c r="I454" s="169"/>
      <c r="J454" s="272" t="str">
        <f>REPT(AM454,1)</f>
        <v/>
      </c>
      <c r="L454" s="310"/>
      <c r="M454" s="310"/>
      <c r="N454" s="272" t="str">
        <f>REPT(AP454,1)</f>
        <v/>
      </c>
      <c r="O454" s="118"/>
      <c r="Q454" s="310"/>
      <c r="R454" s="235"/>
      <c r="S454" s="271" t="str">
        <f>REPT(DO454,1)</f>
        <v>5</v>
      </c>
      <c r="T454" s="254" t="str">
        <f>REPT(AV454,1)</f>
        <v/>
      </c>
      <c r="U454" s="168"/>
      <c r="V454" s="168"/>
      <c r="W454" s="168"/>
      <c r="X454" s="169"/>
      <c r="Y454" s="272" t="str">
        <f>REPT(BA454,1)</f>
        <v/>
      </c>
      <c r="Z454" s="308"/>
      <c r="AA454" s="238">
        <f>SUM(AL447)</f>
        <v>0</v>
      </c>
      <c r="AB454" s="234">
        <f>IF(AY454="",0,IF(AY454&lt;2,1,""))</f>
        <v>0</v>
      </c>
      <c r="AC454" s="238">
        <f>IF(AL447=3,0,IF(AD454=1,1,IF(AD454=3,1,IF(AD454=2,0,IF(AD454=0,0,0)))))</f>
        <v>0</v>
      </c>
      <c r="AD454" s="256">
        <f t="shared" si="1118"/>
        <v>0</v>
      </c>
      <c r="AE454" s="256">
        <f t="shared" si="1112"/>
        <v>0</v>
      </c>
      <c r="AF454" s="256">
        <f t="shared" si="1113"/>
        <v>0</v>
      </c>
      <c r="AG454" s="256">
        <f t="shared" si="1119"/>
        <v>0</v>
      </c>
      <c r="AH454" s="257" t="str">
        <f>IF(AL447=3,"",IF(AK454="",IF(AI454="","",IF(AI454="",501,501-AI454)),501))</f>
        <v/>
      </c>
      <c r="AI454" s="256" t="str">
        <f>IF(AL447=3,"",IF(F454&gt;1,F454,IF(F454=0,"",IF(F454="","",""))))</f>
        <v/>
      </c>
      <c r="AJ454" s="256" t="str">
        <f>IF(AL447=3,"",IF(G454&gt;8,G454,IF(G454="","","")))</f>
        <v/>
      </c>
      <c r="AK454" s="256" t="str">
        <f>IF(AL447=3,"",IF(H454&gt;1,H454,IF(H454="","","")))</f>
        <v/>
      </c>
      <c r="AL454" s="256" t="str">
        <f>IF(AL447=3,"",IF(I454&gt;0,I454,IF(I454="","","")))</f>
        <v/>
      </c>
      <c r="AM454" s="258" t="str">
        <f>IF(BK454=0,"","X")</f>
        <v/>
      </c>
      <c r="AN454" s="237"/>
      <c r="AO454" s="237"/>
      <c r="AP454" s="258" t="str">
        <f>IF(BM454=0,"","X")</f>
        <v/>
      </c>
      <c r="AQ454" s="236">
        <f>IF(AL447=3,0,IF(AR454=1,1,IF(AR454=3,1,IF(AR454=2,0,IF(AR454=0,0,0)))))</f>
        <v>0</v>
      </c>
      <c r="AR454" s="256">
        <f t="shared" si="1121"/>
        <v>0</v>
      </c>
      <c r="AS454" s="256">
        <f t="shared" si="1114"/>
        <v>0</v>
      </c>
      <c r="AT454" s="256">
        <f t="shared" si="1115"/>
        <v>0</v>
      </c>
      <c r="AU454" s="256">
        <f t="shared" si="1122"/>
        <v>0</v>
      </c>
      <c r="AV454" s="257" t="str">
        <f>IF(AY454="",IF(AW454="","",IF(AW454="",501,501-AW454)),501)</f>
        <v/>
      </c>
      <c r="AW454" s="256" t="str">
        <f>IF(AL447=3,"",IF(U454&gt;1,U454,IF(U454=0,"",IF(U454="","",""))))</f>
        <v/>
      </c>
      <c r="AX454" s="256" t="str">
        <f>IF(AL447=3,"",IF(V454&gt;8,V454,IF(V454="","","")))</f>
        <v/>
      </c>
      <c r="AY454" s="256" t="str">
        <f>IF(AL447=3,"",IF(W454&gt;1,W454,IF(W454="","","")))</f>
        <v/>
      </c>
      <c r="AZ454" s="256" t="str">
        <f>IF(AL447=3,"",IF(X454&gt;0,X454,IF(X454="","","")))</f>
        <v/>
      </c>
      <c r="BA454" s="258" t="str">
        <f>IF(BL454=0,"","X")</f>
        <v/>
      </c>
      <c r="BK454" s="251">
        <f>IF(AL447=3,0,SUM(DD454,DV454,EY454,ED454,FF454,BQ454,BS454,AC454))</f>
        <v>0</v>
      </c>
      <c r="BL454" s="251">
        <f>SUM(DE454,DW454,EE454,FT454,GA454,BR454,BT454,AQ454)</f>
        <v>0</v>
      </c>
      <c r="BM454" s="259">
        <f>IF(AL447=3,0,SUM(DC454,BK454:BL454,AC454,AQ454))</f>
        <v>0</v>
      </c>
      <c r="BN454" s="239">
        <f>COUNT(AK454)</f>
        <v>0</v>
      </c>
      <c r="BO454" s="239">
        <f>COUNT(AY454)</f>
        <v>0</v>
      </c>
      <c r="BP454" s="239">
        <f>IF(BN456=0,0,1)</f>
        <v>0</v>
      </c>
      <c r="BQ454" s="260">
        <f>IF(AL454="",0,IF(AL454&gt;2,1,0))</f>
        <v>0</v>
      </c>
      <c r="BR454" s="261">
        <f>IF(AZ454="",0,IF(AZ454&gt;2,1,0))</f>
        <v>0</v>
      </c>
      <c r="BS454" s="262">
        <f>IF(AJ454=9,IF(AK454&lt;141,1,0),0)</f>
        <v>0</v>
      </c>
      <c r="BT454" s="263">
        <f>IF(AX454=9,IF(AY454&lt;141,1,0),0)</f>
        <v>0</v>
      </c>
      <c r="BU454" s="242">
        <f>IF(AL447=3,0,IF(H454,G454,0))</f>
        <v>0</v>
      </c>
      <c r="BV454" s="238">
        <f>IF(BU454&gt;0,AJ454/3,0)</f>
        <v>0</v>
      </c>
      <c r="BW454" s="238">
        <f>ROUNDUP(BV454,0)</f>
        <v>0</v>
      </c>
      <c r="BX454" s="244">
        <f>IF(MOD(BW454,2)=0,BW454,BW454+1)</f>
        <v>0</v>
      </c>
      <c r="BY454" s="238">
        <f>IF(AJ454&lt;9,"",SUM(BX454-BW454))</f>
        <v>0</v>
      </c>
      <c r="BZ454" s="238">
        <f>IF(BY454=1,AK454,0)</f>
        <v>0</v>
      </c>
      <c r="CA454" s="243" t="str">
        <f>IF(BY454=0,AK454,0)</f>
        <v/>
      </c>
      <c r="CB454" s="238"/>
      <c r="CC454" s="238"/>
      <c r="CD454" s="242">
        <f>IF(AL447=3,0,IF(W454,V454,0))</f>
        <v>0</v>
      </c>
      <c r="CE454" s="238">
        <f>IF(CD454&gt;0,AX454/3,0)</f>
        <v>0</v>
      </c>
      <c r="CF454" s="238">
        <f>ROUNDUP(CE454,0)</f>
        <v>0</v>
      </c>
      <c r="CG454" s="244">
        <f>IF(MOD(CF454,2)=0,CF454,CF454+1)</f>
        <v>0</v>
      </c>
      <c r="CH454" s="238">
        <f>IF(AX454&lt;9,"",SUM(CG454-CF454))</f>
        <v>0</v>
      </c>
      <c r="CI454" s="238">
        <f>IF(CH454=1,AY454,0)</f>
        <v>0</v>
      </c>
      <c r="CJ454" s="243" t="str">
        <f>IF(CH454=0,AY454,0)</f>
        <v/>
      </c>
      <c r="CK454" s="238"/>
      <c r="CL454" s="245">
        <f>IF(COUNT(F454,H454)=1,0,1)</f>
        <v>1</v>
      </c>
      <c r="CM454" s="245">
        <f>IF(COUNT(F454,U454)=1,0,1)</f>
        <v>1</v>
      </c>
      <c r="CN454" s="245">
        <f>IF(COUNT(H454,W454)=1,0,1)</f>
        <v>1</v>
      </c>
      <c r="CO454" s="245">
        <f>IF(COUNT(G454,V454)=2,0,1)</f>
        <v>1</v>
      </c>
      <c r="CP454" s="245">
        <f>IF(COUNT(U454,W454)=1,0,1)</f>
        <v>1</v>
      </c>
      <c r="CQ454" s="245">
        <f>IF(SUM(G454-V454)&gt;3,1,0)</f>
        <v>0</v>
      </c>
      <c r="CR454" s="245">
        <f>IF(SUM(G454-V454)&lt;-3,1,0)</f>
        <v>0</v>
      </c>
      <c r="CS454" s="264">
        <f>IF(AJ454=9,IF(AH454&lt;141,1,0),IF(AH454="",0,IF(AH454&gt;1,0,1)))</f>
        <v>0</v>
      </c>
      <c r="CT454" s="264">
        <f>IF(AX454=9,IF(AV454&lt;141,1,0),IF(AV454="",0,IF(AV454&gt;1,0,1)))</f>
        <v>0</v>
      </c>
      <c r="CU454" s="264">
        <f>IF(AI454="",0,IF(AI454&lt;502,0,1))</f>
        <v>0</v>
      </c>
      <c r="CV454" s="264">
        <f>IF(AW454="",0,IF(AW454&lt;502,0,1))</f>
        <v>0</v>
      </c>
      <c r="CW454" s="264">
        <f>IF(AI454="",IF(AJ454&lt;9,1,0),IF(AJ454&lt;9,1,0))</f>
        <v>0</v>
      </c>
      <c r="CX454" s="264">
        <f>IF(AW454="",IF(AX454&lt;9,1,0),IF(AX454&lt;9,1,0))</f>
        <v>0</v>
      </c>
      <c r="CY454" s="374"/>
      <c r="CZ454" s="374"/>
      <c r="DA454" s="374"/>
      <c r="DB454" s="374"/>
      <c r="DC454" s="265">
        <f>IF(AJ454="",0,SUM(CL454:CX454))</f>
        <v>0</v>
      </c>
      <c r="DD454" s="265">
        <f>IF(AJ454="",0,SUM(CL454,CS454,CU454,CW454))</f>
        <v>0</v>
      </c>
      <c r="DE454" s="265">
        <f>IF(AJ454="",0,SUM(CP454,CT454,CV454,CX454))</f>
        <v>0</v>
      </c>
      <c r="DF454" s="238"/>
      <c r="DG454" s="248">
        <f>IF(AL447=3,0,SUM(G454-V454))</f>
        <v>0</v>
      </c>
      <c r="DH454" s="245">
        <f>IF(F454="",0,1)</f>
        <v>0</v>
      </c>
      <c r="DI454" s="245">
        <f t="shared" si="1124"/>
        <v>0</v>
      </c>
      <c r="DJ454" s="245">
        <f t="shared" si="1125"/>
        <v>0</v>
      </c>
      <c r="DK454" s="245" t="str">
        <f>IF(G454="","",IF(DJ454=1,"*",""))</f>
        <v/>
      </c>
      <c r="DL454" s="245" t="str">
        <f>IF(AL447=3,"",IF(G454="","",IF(DJ454=-1,"*",IF(DJ454=0,"*",""))))</f>
        <v/>
      </c>
      <c r="DM454" s="245">
        <v>5</v>
      </c>
      <c r="DN454" s="245" t="str">
        <f t="shared" si="1126"/>
        <v>5</v>
      </c>
      <c r="DO454" s="245" t="str">
        <f t="shared" si="1127"/>
        <v>5</v>
      </c>
      <c r="DP454" s="245">
        <f>SUM(DP450)</f>
        <v>0</v>
      </c>
      <c r="DQ454" s="245">
        <f>SUM(DQ450)</f>
        <v>0</v>
      </c>
      <c r="DR454" s="245">
        <f t="shared" si="1134"/>
        <v>0</v>
      </c>
      <c r="DS454" s="245">
        <f t="shared" si="1135"/>
        <v>0</v>
      </c>
      <c r="DT454" s="245">
        <f t="shared" si="1136"/>
        <v>0</v>
      </c>
      <c r="DU454" s="245">
        <f>IF(V454="",0,IF(DQ454=DS454,0,1))</f>
        <v>0</v>
      </c>
      <c r="DV454" s="267">
        <f t="shared" si="1137"/>
        <v>0</v>
      </c>
      <c r="DW454" s="267">
        <f>IF(V454="",0,SUM(DU454))</f>
        <v>0</v>
      </c>
      <c r="DX454" s="238">
        <f>IF(AK454="",0,1)</f>
        <v>0</v>
      </c>
      <c r="DY454" s="238">
        <f>IF(DG454=-3,1,0)</f>
        <v>0</v>
      </c>
      <c r="DZ454" s="238">
        <f>SUM(DX454:DY454)</f>
        <v>0</v>
      </c>
      <c r="EA454" s="238">
        <f>IF(AK454="",1,0)</f>
        <v>1</v>
      </c>
      <c r="EB454" s="238">
        <f>IF(DG454=3,1,0)</f>
        <v>0</v>
      </c>
      <c r="EC454" s="238">
        <f>SUM(EA454:EB454)</f>
        <v>1</v>
      </c>
      <c r="ED454" s="267">
        <f>IF(EC454=2,1,0)</f>
        <v>0</v>
      </c>
      <c r="EE454" s="267">
        <f>IF(DZ454=2,1,0)</f>
        <v>0</v>
      </c>
      <c r="EG454" s="166"/>
      <c r="EH454" s="238"/>
      <c r="EI454" s="238"/>
      <c r="EJ454" s="238"/>
      <c r="EK454" s="238"/>
      <c r="EL454" s="238"/>
      <c r="EM454" s="245">
        <f>IF(AK454="",0,1)</f>
        <v>0</v>
      </c>
      <c r="EN454" s="245">
        <f>SUM(AK454)</f>
        <v>0</v>
      </c>
      <c r="EO454" s="268">
        <f>SUM(AJ454)</f>
        <v>0</v>
      </c>
      <c r="EP454" s="268">
        <f>SUM(G454/3)</f>
        <v>0</v>
      </c>
      <c r="EQ454" s="268" t="e">
        <f>SUM(EO454/EP454)</f>
        <v>#DIV/0!</v>
      </c>
      <c r="ER454" s="268">
        <f>ROUNDDOWN(EP454,0)</f>
        <v>0</v>
      </c>
      <c r="ES454" s="268">
        <f>SUM(EO454,-ER454*3)</f>
        <v>0</v>
      </c>
      <c r="ET454" s="269" t="b">
        <f>MOD(EN454/1,2)=0</f>
        <v>1</v>
      </c>
      <c r="EU454" s="245">
        <f>IF(ET454=FALSE,1,0)</f>
        <v>0</v>
      </c>
      <c r="EV454" s="245">
        <f>IF(EN454=50,0,IF(EN454&lt;40,1,0))</f>
        <v>1</v>
      </c>
      <c r="EW454" s="245">
        <f>SUM(EU454:EV454)</f>
        <v>1</v>
      </c>
      <c r="EX454" s="267">
        <f>IF(EN454=1,1,IF(EN454=50,0,IF(ES454=1,IF(EN454&gt;40,1,0),0)))</f>
        <v>0</v>
      </c>
      <c r="EY454" s="267">
        <f>IF(ES454=1,IF(EW454=2,1,0),0)+EX454+FB454+FE454</f>
        <v>0</v>
      </c>
      <c r="EZ454" s="245">
        <f>IF(EN454=109,1,IF(EN454=108,1,IF(EN454=106,1,IF(EN454=105,1,IF(EN454=103,1,IF(EN454=102,1,IF(EN454=99,1,0)))))))</f>
        <v>0</v>
      </c>
      <c r="FA454" s="245">
        <f>IF(EN454&gt;110,1,0)</f>
        <v>0</v>
      </c>
      <c r="FB454" s="267">
        <f>IF(ES454=2,SUM(EZ454:FA454),0)</f>
        <v>0</v>
      </c>
      <c r="FC454" s="245">
        <f>IF(EN454=159,1,IF(EN454=162,1,IF(EN454=163,1,IF(EN454=165,1,IF(EN454=166,1,IF(EN454=168,1,IF(EN454=169,1,0)))))))</f>
        <v>0</v>
      </c>
      <c r="FD454" s="245">
        <f>IF(EN454&gt;170,1,0)</f>
        <v>0</v>
      </c>
      <c r="FE454" s="267">
        <f>IF(ES454=0,SUM(FC454:FD454),0)</f>
        <v>0</v>
      </c>
      <c r="FF454" s="251">
        <f t="shared" si="1128"/>
        <v>0</v>
      </c>
      <c r="FG454" s="238"/>
      <c r="FH454" s="245">
        <f>IF(AY454="",0,1)</f>
        <v>0</v>
      </c>
      <c r="FI454" s="245">
        <f>SUM(AY454)</f>
        <v>0</v>
      </c>
      <c r="FJ454" s="268">
        <f>SUM(AX454)</f>
        <v>0</v>
      </c>
      <c r="FK454" s="268">
        <f>SUM(V454/3)</f>
        <v>0</v>
      </c>
      <c r="FL454" s="268" t="e">
        <f>SUM(FJ454/FK454)</f>
        <v>#DIV/0!</v>
      </c>
      <c r="FM454" s="268">
        <f>ROUNDDOWN(FK454,0)</f>
        <v>0</v>
      </c>
      <c r="FN454" s="268">
        <f>SUM(FJ454,-FM454*3)</f>
        <v>0</v>
      </c>
      <c r="FO454" s="269" t="b">
        <f>MOD(FI454/1,2)=0</f>
        <v>1</v>
      </c>
      <c r="FP454" s="245">
        <f>IF(FO454=FALSE,1,0)</f>
        <v>0</v>
      </c>
      <c r="FQ454" s="245">
        <f>IF(FI454=50,0,IF(FI454&lt;40,1,0))</f>
        <v>1</v>
      </c>
      <c r="FR454" s="245">
        <f>SUM(FP454:FQ454)</f>
        <v>1</v>
      </c>
      <c r="FS454" s="267">
        <f>IF(FI454=1,1,IF(FI454=50,0,IF(FN454=1,IF(FI454&gt;40,1,0),0)))</f>
        <v>0</v>
      </c>
      <c r="FT454" s="267">
        <f>IF(FN454=1,IF(FR454=2,1,0),0)+FS454+FW454+FZ454</f>
        <v>0</v>
      </c>
      <c r="FU454" s="245">
        <f>IF(FI454=109,1,IF(FI454=108,1,IF(FI454=106,1,IF(FI454=105,1,IF(FI454=103,1,IF(FI454=102,1,IF(FI454=99,1,0)))))))</f>
        <v>0</v>
      </c>
      <c r="FV454" s="245">
        <f>IF(FI454&gt;110,1,0)</f>
        <v>0</v>
      </c>
      <c r="FW454" s="267">
        <f>IF(FN454=2,SUM(FU454:FV454),0)</f>
        <v>0</v>
      </c>
      <c r="FX454" s="245">
        <f>IF(FI454=159,1,IF(FI454=162,1,IF(FI454=163,1,IF(FI454=165,1,IF(FI454=166,1,IF(FI454=168,1,IF(FI454=169,1,0)))))))</f>
        <v>0</v>
      </c>
      <c r="FY454" s="245">
        <f>IF(FI454&gt;170,1,0)</f>
        <v>0</v>
      </c>
      <c r="FZ454" s="267">
        <f>IF(FN454=0,SUM(FX454:FY454),0)</f>
        <v>0</v>
      </c>
      <c r="GA454" s="251">
        <f t="shared" si="1129"/>
        <v>0</v>
      </c>
      <c r="GC454" s="238" t="str">
        <f>VLOOKUP(AH447,Chema!BL:BR,5,FALSE)</f>
        <v/>
      </c>
      <c r="GD454" s="341"/>
      <c r="GE454" s="343" t="str">
        <f>IF(R458="","",SUM(R458))</f>
        <v/>
      </c>
      <c r="GF454" s="340"/>
      <c r="GG454" s="346"/>
      <c r="GH454" s="343">
        <f>IF(GH453&gt;0,1,0)</f>
        <v>0</v>
      </c>
      <c r="GI454" s="346"/>
      <c r="GJ454" s="343"/>
      <c r="GK454" s="346"/>
      <c r="GL454" s="343">
        <f>IF(GL453&gt;0,1,0)</f>
        <v>0</v>
      </c>
      <c r="GM454" s="343"/>
      <c r="GN454" s="343"/>
      <c r="GO454" s="346"/>
      <c r="GP454" s="343">
        <f>IF(GP453&gt;0,1,0)</f>
        <v>0</v>
      </c>
      <c r="GQ454" s="343"/>
      <c r="GR454" s="343"/>
      <c r="GS454" s="346"/>
      <c r="GT454" s="343">
        <f>IF(GT453&gt;0,1,0)</f>
        <v>0</v>
      </c>
      <c r="GU454" s="343"/>
      <c r="GV454" s="343"/>
      <c r="GW454" s="346"/>
      <c r="GX454" s="343">
        <f>IF(GX453&gt;0,1,0)</f>
        <v>0</v>
      </c>
      <c r="GY454" s="340"/>
      <c r="GZ454" s="343"/>
      <c r="HA454" s="343"/>
      <c r="HB454" s="343" t="str">
        <f>IF(GD450=1,P458,"")</f>
        <v/>
      </c>
      <c r="HC454" s="343" t="str">
        <f>IF(GD450=1,X458,"")</f>
        <v/>
      </c>
      <c r="HD454" s="340"/>
      <c r="HE454" s="340"/>
      <c r="HF454" s="340"/>
      <c r="HG454" s="340">
        <f>IF(HG452=HM450,0,IF(HG452=HM454,0,1))</f>
        <v>0</v>
      </c>
      <c r="HH454" s="340">
        <f>IF(HH451=HH453,1,0)</f>
        <v>1</v>
      </c>
      <c r="HI454" s="340"/>
      <c r="HJ454" s="340"/>
      <c r="HK454" s="340"/>
      <c r="HL454" s="340"/>
      <c r="HM454" s="341">
        <f>COUNT(HI453,HJ453,HK453,HL453,HM453)</f>
        <v>0</v>
      </c>
      <c r="HN454" s="341"/>
      <c r="HO454" s="341"/>
      <c r="HP454" s="341"/>
      <c r="HQ454" s="341"/>
      <c r="HR454" s="341"/>
      <c r="HS454" s="238"/>
      <c r="HT454" s="238"/>
      <c r="HU454" s="238"/>
      <c r="HV454" s="238"/>
      <c r="HX454" s="238"/>
      <c r="HY454" s="238"/>
      <c r="ID454" s="238"/>
    </row>
    <row r="455" spans="1:238" s="234" customFormat="1" ht="6.6" customHeight="1">
      <c r="A455" s="235"/>
      <c r="B455" s="231"/>
      <c r="C455" s="310"/>
      <c r="D455" s="310"/>
      <c r="E455" s="310"/>
      <c r="F455" s="310"/>
      <c r="G455" s="313"/>
      <c r="H455" s="310"/>
      <c r="I455" s="310"/>
      <c r="J455" s="273"/>
      <c r="K455" s="313"/>
      <c r="O455" s="118"/>
      <c r="R455" s="310"/>
      <c r="S455" s="310"/>
      <c r="T455" s="310"/>
      <c r="U455" s="310"/>
      <c r="V455" s="313"/>
      <c r="W455" s="310"/>
      <c r="X455" s="310"/>
      <c r="Y455" s="273"/>
      <c r="Z455" s="308"/>
      <c r="AA455" s="274"/>
      <c r="AD455" s="235"/>
      <c r="AE455" s="237">
        <f>IF(AF455=0,0,1)</f>
        <v>0</v>
      </c>
      <c r="AF455" s="237">
        <f>IF(AL455=0,0,SUM(AL457:AL458,-AL456))</f>
        <v>0</v>
      </c>
      <c r="AG455" s="237"/>
      <c r="AH455" s="275">
        <f>SUM(AH450,AH451,AH452,AH453,AH454)</f>
        <v>0</v>
      </c>
      <c r="AI455" s="275">
        <f t="shared" ref="AI455" si="1141">SUM(AI450,AI451,AI452,AI453,AI454)</f>
        <v>0</v>
      </c>
      <c r="AJ455" s="275">
        <f t="shared" ref="AJ455" si="1142">SUM(AJ450,AJ451,AJ452,AJ453,AJ454)</f>
        <v>0</v>
      </c>
      <c r="AK455" s="275">
        <f>MAX(AK450,AK451,AK452,AK453,AK454)</f>
        <v>0</v>
      </c>
      <c r="AL455" s="275">
        <f t="shared" ref="AL455" si="1143">SUM(AL450,AL451,AL452,AL453,AL454)</f>
        <v>0</v>
      </c>
      <c r="AM455" s="275">
        <f>IF(AK447="D",SUM(AL450,AL451,AL452,AL453,AL454,-AL457,-AL458),0)</f>
        <v>0</v>
      </c>
      <c r="AN455" s="235"/>
      <c r="AO455" s="235"/>
      <c r="AP455" s="235"/>
      <c r="AQ455" s="235"/>
      <c r="AR455" s="235"/>
      <c r="AS455" s="237">
        <f>IF(AT455=0,0,1)</f>
        <v>0</v>
      </c>
      <c r="AT455" s="237">
        <f>IF(AZ455=0,0,SUM(AZ457:AZ458,-AZ456))</f>
        <v>0</v>
      </c>
      <c r="AU455" s="237"/>
      <c r="AV455" s="275">
        <f>SUM(AV450,AV451,AV452,AV453,AV454)</f>
        <v>0</v>
      </c>
      <c r="AW455" s="275">
        <f t="shared" ref="AW455" si="1144">SUM(AW450,AW451,AW452,AW453,AW454)</f>
        <v>0</v>
      </c>
      <c r="AX455" s="275">
        <f t="shared" ref="AX455" si="1145">SUM(AX450,AX451,AX452,AX453,AX454)</f>
        <v>0</v>
      </c>
      <c r="AY455" s="275">
        <f>MAX(AY450,AY451,AY452,AY453,AY454)</f>
        <v>0</v>
      </c>
      <c r="AZ455" s="275">
        <f t="shared" ref="AZ455" si="1146">SUM(AZ450,AZ451,AZ452,AZ453,AZ454)</f>
        <v>0</v>
      </c>
      <c r="BA455" s="275">
        <f>IF(AK447="D",SUM(AZ450,AZ451,AZ452,AZ453,AZ454,-AZ457,-AZ458),0)</f>
        <v>0</v>
      </c>
      <c r="BJ455" s="236"/>
      <c r="BK455" s="238"/>
      <c r="BL455" s="238"/>
      <c r="BM455" s="238"/>
      <c r="BP455" s="238"/>
      <c r="BQ455" s="238"/>
      <c r="BR455" s="238"/>
      <c r="BS455" s="238"/>
      <c r="BT455" s="238"/>
      <c r="BU455" s="238"/>
      <c r="BY455" s="238"/>
      <c r="BZ455" s="238">
        <f>MAX(BZ450,BZ451,BZ452,BZ453,BZ454)</f>
        <v>0</v>
      </c>
      <c r="CA455" s="238">
        <f>MAX(CA450,CA451,CA452,CA453,CA454)</f>
        <v>0</v>
      </c>
      <c r="CB455" s="238"/>
      <c r="CC455" s="238"/>
      <c r="CD455" s="238"/>
      <c r="CG455" s="244"/>
      <c r="CH455" s="238"/>
      <c r="CI455" s="238">
        <f>MAX(CI450,CI451,CI452,CI453,CI454)</f>
        <v>0</v>
      </c>
      <c r="CJ455" s="238">
        <f>MAX(CJ450,CJ451,CJ452,CJ453,CJ454)</f>
        <v>0</v>
      </c>
      <c r="CK455" s="238"/>
      <c r="CL455" s="238"/>
      <c r="CM455" s="238"/>
      <c r="CN455" s="238"/>
      <c r="CO455" s="238"/>
      <c r="CP455" s="238"/>
      <c r="CQ455" s="238"/>
      <c r="CR455" s="238"/>
      <c r="CS455" s="238"/>
      <c r="CT455" s="238"/>
      <c r="CU455" s="238"/>
      <c r="CV455" s="238"/>
      <c r="CW455" s="238"/>
      <c r="CX455" s="238"/>
      <c r="CY455" s="238"/>
      <c r="CZ455" s="238"/>
      <c r="DA455" s="238"/>
      <c r="DB455" s="238"/>
      <c r="DC455" s="238"/>
      <c r="DD455" s="238"/>
      <c r="DE455" s="238"/>
      <c r="DF455" s="238"/>
      <c r="DG455" s="238"/>
      <c r="DH455" s="238"/>
      <c r="DI455" s="238"/>
      <c r="DJ455" s="238"/>
      <c r="DK455" s="238"/>
      <c r="DL455" s="238"/>
      <c r="DM455" s="238"/>
      <c r="DN455" s="238"/>
      <c r="DO455" s="238"/>
      <c r="DP455" s="238"/>
      <c r="DQ455" s="238"/>
      <c r="DR455" s="238"/>
      <c r="DS455" s="238"/>
      <c r="DT455" s="238"/>
      <c r="DU455" s="238"/>
      <c r="DV455" s="238"/>
      <c r="DW455" s="238"/>
      <c r="DX455" s="238"/>
      <c r="DY455" s="238"/>
      <c r="DZ455" s="238"/>
      <c r="EA455" s="238"/>
      <c r="EB455" s="238"/>
      <c r="EC455" s="238"/>
      <c r="ED455" s="238"/>
      <c r="EE455" s="238"/>
      <c r="EF455" s="238"/>
      <c r="EG455" s="238"/>
      <c r="EH455" s="238"/>
      <c r="EI455" s="238"/>
      <c r="EJ455" s="238"/>
      <c r="EK455" s="238"/>
      <c r="EL455" s="238"/>
      <c r="EM455" s="166"/>
      <c r="EN455" s="166"/>
      <c r="EO455" s="166"/>
      <c r="EP455" s="238">
        <f>SUM(EN455-EO455)</f>
        <v>0</v>
      </c>
      <c r="EQ455" s="238"/>
      <c r="ER455" s="238"/>
      <c r="ES455" s="238"/>
      <c r="ET455" s="244"/>
      <c r="EU455" s="238"/>
      <c r="EV455" s="238"/>
      <c r="EW455" s="238"/>
      <c r="EX455" s="238"/>
      <c r="EY455" s="238"/>
      <c r="EZ455" s="238"/>
      <c r="FA455" s="238"/>
      <c r="FB455" s="238"/>
      <c r="FC455" s="238"/>
      <c r="FD455" s="238"/>
      <c r="FE455" s="238"/>
      <c r="FF455" s="238"/>
      <c r="FG455" s="238"/>
      <c r="FH455" s="238"/>
      <c r="FI455" s="238"/>
      <c r="FJ455" s="238"/>
      <c r="FK455" s="238"/>
      <c r="FL455" s="238"/>
      <c r="FM455" s="238"/>
      <c r="FN455" s="238"/>
      <c r="FO455" s="244"/>
      <c r="FP455" s="238"/>
      <c r="FQ455" s="238"/>
      <c r="FR455" s="238"/>
      <c r="FS455" s="238"/>
      <c r="FT455" s="238"/>
      <c r="FU455" s="238"/>
      <c r="FV455" s="238"/>
      <c r="FW455" s="238"/>
      <c r="FX455" s="238"/>
      <c r="FY455" s="238"/>
      <c r="FZ455" s="238"/>
      <c r="GA455" s="238"/>
      <c r="GB455" s="238"/>
      <c r="GC455" s="238"/>
      <c r="GD455" s="341"/>
      <c r="GE455" s="340"/>
      <c r="GF455" s="340"/>
      <c r="GG455" s="340"/>
      <c r="GH455" s="340"/>
      <c r="GI455" s="340"/>
      <c r="GJ455" s="340"/>
      <c r="GK455" s="340"/>
      <c r="GL455" s="340"/>
      <c r="GM455" s="340"/>
      <c r="GN455" s="340"/>
      <c r="GO455" s="340"/>
      <c r="GP455" s="340"/>
      <c r="GQ455" s="340"/>
      <c r="GR455" s="340"/>
      <c r="GS455" s="340"/>
      <c r="GT455" s="340"/>
      <c r="GU455" s="340"/>
      <c r="GV455" s="340"/>
      <c r="GW455" s="340"/>
      <c r="GX455" s="340"/>
      <c r="GY455" s="340"/>
      <c r="GZ455" s="340"/>
      <c r="HA455" s="340"/>
      <c r="HB455" s="340"/>
      <c r="HC455" s="340"/>
      <c r="HD455" s="341"/>
      <c r="HE455" s="341"/>
      <c r="HF455" s="341"/>
      <c r="HG455" s="341"/>
      <c r="HH455" s="341"/>
      <c r="HI455" s="341"/>
      <c r="HJ455" s="341"/>
      <c r="HK455" s="341"/>
      <c r="HL455" s="341"/>
      <c r="HM455" s="341"/>
      <c r="HN455" s="341"/>
      <c r="HO455" s="341"/>
      <c r="HP455" s="341"/>
      <c r="HQ455" s="341"/>
      <c r="HR455" s="341"/>
      <c r="HS455" s="238"/>
      <c r="HT455" s="238"/>
      <c r="HU455" s="238"/>
      <c r="HV455" s="238"/>
      <c r="HX455" s="238"/>
      <c r="HY455" s="238"/>
      <c r="ID455" s="238"/>
    </row>
    <row r="456" spans="1:238" s="234" customFormat="1" ht="20.100000000000001" customHeight="1">
      <c r="A456" s="235"/>
      <c r="B456" s="231"/>
      <c r="C456" s="314" t="s">
        <v>771</v>
      </c>
      <c r="D456" s="276" t="str">
        <f>REPT(Sprache!$K$58,1)</f>
        <v>Spieler</v>
      </c>
      <c r="E456" s="277" t="str">
        <f>REPT(Sprache!$K$33,1)</f>
        <v>Name / Vorname</v>
      </c>
      <c r="F456" s="278"/>
      <c r="G456" s="278"/>
      <c r="H456" s="279"/>
      <c r="I456" s="280"/>
      <c r="J456" s="281" t="str">
        <f>REPT(AM456,1)</f>
        <v/>
      </c>
      <c r="L456" s="306" t="s">
        <v>848</v>
      </c>
      <c r="M456" s="238"/>
      <c r="P456" s="306" t="s">
        <v>848</v>
      </c>
      <c r="R456" s="314" t="s">
        <v>771</v>
      </c>
      <c r="S456" s="276" t="str">
        <f>REPT(Sprache!$K$58,1)</f>
        <v>Spieler</v>
      </c>
      <c r="T456" s="277" t="str">
        <f>REPT(Sprache!$K$33,1)</f>
        <v>Name / Vorname</v>
      </c>
      <c r="U456" s="278"/>
      <c r="V456" s="278"/>
      <c r="W456" s="279"/>
      <c r="X456" s="280"/>
      <c r="Y456" s="281" t="str">
        <f>REPT(BA456,1)</f>
        <v/>
      </c>
      <c r="Z456" s="308"/>
      <c r="AD456" s="235"/>
      <c r="AE456" s="235"/>
      <c r="AF456" s="237" t="s">
        <v>771</v>
      </c>
      <c r="AG456" s="282" t="s">
        <v>877</v>
      </c>
      <c r="AH456" s="283" t="str">
        <f>IF(AH455=0,"",AH455)</f>
        <v/>
      </c>
      <c r="AI456" s="283" t="str">
        <f>IF(AI455=0,"",AI455)</f>
        <v/>
      </c>
      <c r="AJ456" s="283" t="str">
        <f>IF(AJ455=0,"",AJ455)</f>
        <v/>
      </c>
      <c r="AK456" s="283" t="str">
        <f>IF(AK455=0,"",AK455)</f>
        <v/>
      </c>
      <c r="AL456" s="283" t="str">
        <f>IF(AL455=0,"",AL455)</f>
        <v/>
      </c>
      <c r="AM456" s="258" t="str">
        <f>IF(AK447="D",IF(AF455=0,"","X"),"")</f>
        <v/>
      </c>
      <c r="AN456" s="235"/>
      <c r="AO456" s="235"/>
      <c r="AP456" s="284"/>
      <c r="AQ456" s="235"/>
      <c r="AR456" s="235"/>
      <c r="AS456" s="235"/>
      <c r="AT456" s="237" t="s">
        <v>771</v>
      </c>
      <c r="AU456" s="282" t="s">
        <v>877</v>
      </c>
      <c r="AV456" s="283" t="str">
        <f>IF(AV455=0,"",AV455)</f>
        <v/>
      </c>
      <c r="AW456" s="283" t="str">
        <f>IF(AW455=0,"",AW455)</f>
        <v/>
      </c>
      <c r="AX456" s="283" t="str">
        <f>IF(AX455=0,"",AX455)</f>
        <v/>
      </c>
      <c r="AY456" s="283" t="str">
        <f>IF(AY455=0,"",AY455)</f>
        <v/>
      </c>
      <c r="AZ456" s="421" t="str">
        <f>IF(AZ455=0,"",AZ455)</f>
        <v/>
      </c>
      <c r="BA456" s="258" t="str">
        <f>IF(AK447="D",IF(AT455=0,"","X"),"")</f>
        <v/>
      </c>
      <c r="BJ456" s="236"/>
      <c r="BK456" s="238"/>
      <c r="BL456" s="244">
        <f>IF(BM456=0,0,1)</f>
        <v>0</v>
      </c>
      <c r="BM456" s="244">
        <f>SUM(BM450,BM451,BM452,BM453,BM454,HH452,AN457,AN458,BB457,BB458)</f>
        <v>0</v>
      </c>
      <c r="BN456" s="166">
        <f t="shared" ref="BN456:BO456" si="1147">SUM(BN450,BN451,BN452,BN453,BN454)</f>
        <v>0</v>
      </c>
      <c r="BO456" s="166">
        <f t="shared" si="1147"/>
        <v>0</v>
      </c>
      <c r="BP456" s="244"/>
      <c r="BQ456" s="238"/>
      <c r="BR456" s="238"/>
      <c r="BS456" s="238"/>
      <c r="BT456" s="238"/>
      <c r="BU456" s="238"/>
      <c r="BV456" s="238"/>
      <c r="BW456" s="238"/>
      <c r="BX456" s="236"/>
      <c r="BY456" s="238"/>
      <c r="BZ456" s="238"/>
      <c r="CA456" s="238"/>
      <c r="CB456" s="238"/>
      <c r="CC456" s="238"/>
      <c r="CD456" s="238"/>
      <c r="CE456" s="238"/>
      <c r="CF456" s="238"/>
      <c r="CG456" s="244"/>
      <c r="CH456" s="238"/>
      <c r="CI456" s="238"/>
      <c r="CJ456" s="238"/>
      <c r="CK456" s="238"/>
      <c r="CL456" s="238"/>
      <c r="CM456" s="238"/>
      <c r="CN456" s="238"/>
      <c r="CO456" s="238"/>
      <c r="CP456" s="238"/>
      <c r="CQ456" s="238"/>
      <c r="CR456" s="238"/>
      <c r="CS456" s="238"/>
      <c r="CT456" s="238"/>
      <c r="CU456" s="238"/>
      <c r="CV456" s="238"/>
      <c r="CW456" s="238"/>
      <c r="CX456" s="238"/>
      <c r="CY456" s="238"/>
      <c r="CZ456" s="238"/>
      <c r="DA456" s="238"/>
      <c r="DB456" s="238"/>
      <c r="DC456" s="238"/>
      <c r="DD456" s="238"/>
      <c r="DE456" s="238"/>
      <c r="DF456" s="238"/>
      <c r="DG456" s="238"/>
      <c r="DH456" s="238"/>
      <c r="DI456" s="238"/>
      <c r="DJ456" s="238"/>
      <c r="DK456" s="238"/>
      <c r="DL456" s="238"/>
      <c r="DM456" s="238"/>
      <c r="DN456" s="238"/>
      <c r="DO456" s="238"/>
      <c r="DP456" s="238"/>
      <c r="DQ456" s="238"/>
      <c r="DR456" s="238"/>
      <c r="DS456" s="238"/>
      <c r="DT456" s="238"/>
      <c r="DU456" s="238"/>
      <c r="DV456" s="238"/>
      <c r="DW456" s="238"/>
      <c r="DX456" s="238"/>
      <c r="DY456" s="238"/>
      <c r="DZ456" s="238"/>
      <c r="EA456" s="238"/>
      <c r="EB456" s="238"/>
      <c r="EC456" s="238"/>
      <c r="ED456" s="238"/>
      <c r="EE456" s="238"/>
      <c r="EF456" s="238"/>
      <c r="EG456" s="238"/>
      <c r="EH456" s="238"/>
      <c r="EI456" s="238"/>
      <c r="EJ456" s="238"/>
      <c r="EK456" s="238"/>
      <c r="EL456" s="238"/>
      <c r="EM456" s="238"/>
      <c r="EN456" s="238"/>
      <c r="EO456" s="238"/>
      <c r="EP456" s="238"/>
      <c r="EQ456" s="238"/>
      <c r="ER456" s="238"/>
      <c r="ES456" s="238"/>
      <c r="ET456" s="244"/>
      <c r="EU456" s="238"/>
      <c r="EV456" s="238"/>
      <c r="EW456" s="238"/>
      <c r="EX456" s="238"/>
      <c r="EY456" s="238"/>
      <c r="EZ456" s="238"/>
      <c r="FA456" s="238"/>
      <c r="FB456" s="238"/>
      <c r="FC456" s="238"/>
      <c r="FD456" s="238"/>
      <c r="FE456" s="238"/>
      <c r="FF456" s="238"/>
      <c r="FG456" s="238"/>
      <c r="FH456" s="238"/>
      <c r="FI456" s="238"/>
      <c r="FJ456" s="238"/>
      <c r="FK456" s="238"/>
      <c r="FL456" s="238"/>
      <c r="FM456" s="238"/>
      <c r="FN456" s="238"/>
      <c r="FO456" s="244"/>
      <c r="FP456" s="238"/>
      <c r="FQ456" s="238"/>
      <c r="FR456" s="238"/>
      <c r="FS456" s="238"/>
      <c r="FT456" s="238"/>
      <c r="FU456" s="238"/>
      <c r="FV456" s="238"/>
      <c r="FW456" s="238"/>
      <c r="FX456" s="238"/>
      <c r="FY456" s="238"/>
      <c r="FZ456" s="238"/>
      <c r="GA456" s="238"/>
      <c r="GB456" s="238"/>
      <c r="GC456" s="238"/>
      <c r="GD456" s="341"/>
      <c r="GE456" s="340"/>
      <c r="GF456" s="340"/>
      <c r="GG456" s="340"/>
      <c r="GH456" s="340"/>
      <c r="GI456" s="340"/>
      <c r="GJ456" s="340"/>
      <c r="GK456" s="340"/>
      <c r="GL456" s="340"/>
      <c r="GM456" s="340"/>
      <c r="GN456" s="340"/>
      <c r="GO456" s="340"/>
      <c r="GP456" s="340"/>
      <c r="GQ456" s="340"/>
      <c r="GR456" s="340"/>
      <c r="GS456" s="340"/>
      <c r="GT456" s="340"/>
      <c r="GU456" s="340"/>
      <c r="GV456" s="340"/>
      <c r="GW456" s="340"/>
      <c r="GX456" s="340"/>
      <c r="GY456" s="340"/>
      <c r="GZ456" s="340"/>
      <c r="HA456" s="340"/>
      <c r="HB456" s="340"/>
      <c r="HC456" s="340"/>
      <c r="HD456" s="341"/>
      <c r="HE456" s="341"/>
      <c r="HF456" s="341"/>
      <c r="HG456" s="341"/>
      <c r="HH456" s="341"/>
      <c r="HI456" s="341"/>
      <c r="HJ456" s="341"/>
      <c r="HK456" s="341"/>
      <c r="HL456" s="341"/>
      <c r="HM456" s="341"/>
      <c r="HN456" s="341"/>
      <c r="HO456" s="341"/>
      <c r="HP456" s="341"/>
      <c r="HQ456" s="341"/>
      <c r="HR456" s="341"/>
      <c r="HS456" s="238"/>
      <c r="HT456" s="238"/>
      <c r="HU456" s="238"/>
      <c r="HV456" s="238"/>
      <c r="HX456" s="238"/>
      <c r="HY456" s="238"/>
      <c r="ID456" s="238"/>
    </row>
    <row r="457" spans="1:238" s="234" customFormat="1" ht="20.100000000000001" customHeight="1">
      <c r="A457" s="235"/>
      <c r="B457" s="231"/>
      <c r="C457" s="285" t="str">
        <f>IF(AF457="","",SUM(AF457))</f>
        <v/>
      </c>
      <c r="D457" s="286" t="str">
        <f>IF(AK447="D",1,"")</f>
        <v/>
      </c>
      <c r="E457" s="287" t="str">
        <f>IF(C457="","",VLOOKUP(C457,Licenses!B:C,2,FALSE))</f>
        <v/>
      </c>
      <c r="F457" s="288"/>
      <c r="G457" s="288"/>
      <c r="H457" s="289"/>
      <c r="I457" s="169"/>
      <c r="J457" s="270" t="str">
        <f>REPT(AM457,1)</f>
        <v/>
      </c>
      <c r="L457" s="290" t="str">
        <f>IF(AK447="D",AK457,IF(AK456="","",AK456))</f>
        <v/>
      </c>
      <c r="M457" s="311"/>
      <c r="P457" s="290" t="str">
        <f>IF(AK447="D",AY457,IF(AY456="","",AY456))</f>
        <v/>
      </c>
      <c r="R457" s="291" t="str">
        <f>IF(AT457="","",SUM(AT457))</f>
        <v/>
      </c>
      <c r="S457" s="286" t="str">
        <f>IF(AK447="D",1,"")</f>
        <v/>
      </c>
      <c r="T457" s="292" t="str">
        <f>IF(R457="","",VLOOKUP(R457,Licenses!B:C,2,FALSE))</f>
        <v/>
      </c>
      <c r="U457" s="293"/>
      <c r="V457" s="293"/>
      <c r="W457" s="294"/>
      <c r="X457" s="169"/>
      <c r="Y457" s="270" t="str">
        <f>REPT(BA457,1)</f>
        <v/>
      </c>
      <c r="Z457" s="308"/>
      <c r="AD457" s="235"/>
      <c r="AE457" s="235"/>
      <c r="AF457" s="256" t="str">
        <f>IF(AM447="","",SUM(AM447))</f>
        <v/>
      </c>
      <c r="AG457" s="237"/>
      <c r="AH457" s="256"/>
      <c r="AI457" s="256"/>
      <c r="AJ457" s="256"/>
      <c r="AK457" s="256" t="str">
        <f>IF(BZ455&gt;1,BZ455,"")</f>
        <v/>
      </c>
      <c r="AL457" s="257">
        <f>IF(AK447="D",SUM(I457),0)</f>
        <v>0</v>
      </c>
      <c r="AM457" s="258" t="str">
        <f>IF(AM455=0,IF(AL457&lt;6,"","X"),"X")</f>
        <v/>
      </c>
      <c r="AN457" s="347" t="str">
        <f>IF(AM455=0,IF(AL457&lt;6,"",1),1)</f>
        <v/>
      </c>
      <c r="AO457" s="235"/>
      <c r="AP457" s="236"/>
      <c r="AQ457" s="235"/>
      <c r="AR457" s="235"/>
      <c r="AS457" s="235"/>
      <c r="AT457" s="256" t="str">
        <f>IF(BA447="","",SUM(BA447))</f>
        <v/>
      </c>
      <c r="AU457" s="237"/>
      <c r="AV457" s="256"/>
      <c r="AW457" s="256"/>
      <c r="AX457" s="256"/>
      <c r="AY457" s="256" t="str">
        <f>IF(CI455&gt;1,CI455,"")</f>
        <v/>
      </c>
      <c r="AZ457" s="257">
        <f>IF(AK447="D",SUM(X457),0)</f>
        <v>0</v>
      </c>
      <c r="BA457" s="258" t="str">
        <f>IF(BA455=0,IF(AZ457&lt;6,"","X"),"X")</f>
        <v/>
      </c>
      <c r="BB457" s="347" t="str">
        <f>IF(BA455=0,IF(AZ457&lt;6,"",1),1)</f>
        <v/>
      </c>
      <c r="BC457" s="236"/>
      <c r="BD457" s="236"/>
      <c r="BE457" s="236"/>
      <c r="BF457" s="236"/>
      <c r="BG457" s="236"/>
      <c r="BH457" s="236"/>
      <c r="BI457" s="236"/>
      <c r="BJ457" s="236"/>
      <c r="BK457" s="238"/>
      <c r="BL457" s="238"/>
      <c r="BM457" s="295"/>
      <c r="BN457" s="295"/>
      <c r="BO457" s="295"/>
      <c r="BP457" s="295"/>
      <c r="BQ457" s="295"/>
      <c r="BR457" s="295"/>
      <c r="BS457" s="295"/>
      <c r="BT457" s="295"/>
      <c r="BU457" s="295"/>
      <c r="BV457" s="295"/>
      <c r="BW457" s="295"/>
      <c r="BX457" s="236"/>
      <c r="BY457" s="295"/>
      <c r="BZ457" s="295"/>
      <c r="CA457" s="295"/>
      <c r="CB457" s="295"/>
      <c r="CC457" s="295"/>
      <c r="CD457" s="295"/>
      <c r="CE457" s="295"/>
      <c r="CF457" s="295"/>
      <c r="CG457" s="296"/>
      <c r="CH457" s="295"/>
      <c r="CI457" s="295"/>
      <c r="CJ457" s="295"/>
      <c r="CK457" s="238"/>
      <c r="CL457" s="238"/>
      <c r="CM457" s="238"/>
      <c r="CN457" s="238"/>
      <c r="CO457" s="238"/>
      <c r="CP457" s="238"/>
      <c r="CQ457" s="238"/>
      <c r="CR457" s="238"/>
      <c r="CS457" s="238"/>
      <c r="CT457" s="238"/>
      <c r="CU457" s="238"/>
      <c r="CV457" s="238"/>
      <c r="CW457" s="238"/>
      <c r="CX457" s="238"/>
      <c r="CY457" s="238"/>
      <c r="CZ457" s="238"/>
      <c r="DA457" s="238"/>
      <c r="DB457" s="238"/>
      <c r="DC457" s="238"/>
      <c r="DD457" s="238"/>
      <c r="DE457" s="238"/>
      <c r="DF457" s="238"/>
      <c r="DG457" s="238"/>
      <c r="DH457" s="238"/>
      <c r="DI457" s="238"/>
      <c r="DJ457" s="238"/>
      <c r="DK457" s="238"/>
      <c r="DL457" s="238"/>
      <c r="DM457" s="238"/>
      <c r="DN457" s="238"/>
      <c r="DO457" s="238"/>
      <c r="DP457" s="238"/>
      <c r="DQ457" s="238"/>
      <c r="DR457" s="238"/>
      <c r="DS457" s="238"/>
      <c r="DT457" s="238"/>
      <c r="DU457" s="238"/>
      <c r="DV457" s="238"/>
      <c r="DW457" s="238"/>
      <c r="DX457" s="238"/>
      <c r="DY457" s="238"/>
      <c r="DZ457" s="238"/>
      <c r="EA457" s="238"/>
      <c r="EB457" s="238"/>
      <c r="EC457" s="238"/>
      <c r="ED457" s="238"/>
      <c r="EE457" s="238"/>
      <c r="EF457" s="238"/>
      <c r="EG457" s="238"/>
      <c r="EH457" s="238"/>
      <c r="EI457" s="238"/>
      <c r="EJ457" s="238"/>
      <c r="EK457" s="238"/>
      <c r="EL457" s="238"/>
      <c r="EM457" s="238"/>
      <c r="EN457" s="238"/>
      <c r="EO457" s="238"/>
      <c r="EP457" s="238"/>
      <c r="EQ457" s="238"/>
      <c r="ER457" s="238"/>
      <c r="ES457" s="238"/>
      <c r="ET457" s="244"/>
      <c r="EU457" s="238"/>
      <c r="EV457" s="238"/>
      <c r="EW457" s="238"/>
      <c r="EX457" s="238"/>
      <c r="EY457" s="238"/>
      <c r="EZ457" s="238"/>
      <c r="FA457" s="238"/>
      <c r="FB457" s="238"/>
      <c r="FC457" s="238"/>
      <c r="FD457" s="238"/>
      <c r="FE457" s="238"/>
      <c r="FF457" s="238"/>
      <c r="FG457" s="238"/>
      <c r="FH457" s="238"/>
      <c r="FI457" s="238"/>
      <c r="FJ457" s="238"/>
      <c r="FK457" s="238"/>
      <c r="FL457" s="238"/>
      <c r="FM457" s="238"/>
      <c r="FN457" s="238"/>
      <c r="FO457" s="244"/>
      <c r="FP457" s="238"/>
      <c r="FQ457" s="238"/>
      <c r="FR457" s="238"/>
      <c r="FS457" s="238"/>
      <c r="FT457" s="238"/>
      <c r="FU457" s="238"/>
      <c r="FV457" s="238"/>
      <c r="FW457" s="238"/>
      <c r="FX457" s="238"/>
      <c r="FY457" s="238"/>
      <c r="FZ457" s="238"/>
      <c r="GA457" s="238"/>
      <c r="GB457" s="238"/>
      <c r="GC457" s="238"/>
      <c r="GD457" s="341"/>
      <c r="GE457" s="340"/>
      <c r="GF457" s="340"/>
      <c r="GG457" s="340"/>
      <c r="GH457" s="340"/>
      <c r="GI457" s="340"/>
      <c r="GJ457" s="340"/>
      <c r="GK457" s="340"/>
      <c r="GL457" s="340"/>
      <c r="GM457" s="340"/>
      <c r="GN457" s="340"/>
      <c r="GO457" s="340"/>
      <c r="GP457" s="340"/>
      <c r="GQ457" s="340"/>
      <c r="GR457" s="340"/>
      <c r="GS457" s="340"/>
      <c r="GT457" s="340"/>
      <c r="GU457" s="340"/>
      <c r="GV457" s="340"/>
      <c r="GW457" s="340"/>
      <c r="GX457" s="340"/>
      <c r="GY457" s="340"/>
      <c r="GZ457" s="340"/>
      <c r="HA457" s="340"/>
      <c r="HB457" s="340"/>
      <c r="HC457" s="340"/>
      <c r="HD457" s="341"/>
      <c r="HE457" s="341"/>
      <c r="HF457" s="341"/>
      <c r="HG457" s="341"/>
      <c r="HH457" s="341"/>
      <c r="HI457" s="341"/>
      <c r="HJ457" s="341"/>
      <c r="HK457" s="341"/>
      <c r="HL457" s="341"/>
      <c r="HM457" s="341"/>
      <c r="HN457" s="341"/>
      <c r="HO457" s="341"/>
      <c r="HP457" s="341"/>
      <c r="HQ457" s="341"/>
      <c r="HR457" s="341"/>
      <c r="HS457" s="238"/>
      <c r="HT457" s="238"/>
      <c r="HU457" s="238"/>
      <c r="HV457" s="238"/>
      <c r="HX457" s="238"/>
      <c r="HY457" s="238"/>
      <c r="ID457" s="238"/>
    </row>
    <row r="458" spans="1:238" s="234" customFormat="1" ht="20.100000000000001" customHeight="1">
      <c r="A458" s="235"/>
      <c r="B458" s="231"/>
      <c r="C458" s="336" t="str">
        <f>IF(AF458="","",SUM(AF458))</f>
        <v/>
      </c>
      <c r="D458" s="333" t="str">
        <f>IF(AK447="D",2,"")</f>
        <v/>
      </c>
      <c r="E458" s="337" t="str">
        <f>IF(C458="","",VLOOKUP(C458,Licenses!B:C,2,FALSE))</f>
        <v/>
      </c>
      <c r="F458" s="290"/>
      <c r="G458" s="290"/>
      <c r="H458" s="338"/>
      <c r="I458" s="331"/>
      <c r="J458" s="272" t="str">
        <f>REPT(AM458,1)</f>
        <v/>
      </c>
      <c r="L458" s="315" t="str">
        <f>IF(AK447="D",AK458,"")</f>
        <v/>
      </c>
      <c r="M458" s="311"/>
      <c r="P458" s="315" t="str">
        <f>IF(AK447="D",AY458,"")</f>
        <v/>
      </c>
      <c r="R458" s="332" t="str">
        <f>IF(AT458="","",SUM(AT458))</f>
        <v/>
      </c>
      <c r="S458" s="333" t="str">
        <f>IF(AK447="D",2,"")</f>
        <v/>
      </c>
      <c r="T458" s="334" t="str">
        <f>IF(R458="","",VLOOKUP(R458,Licenses!B:C,2,FALSE))</f>
        <v/>
      </c>
      <c r="U458" s="297"/>
      <c r="V458" s="297"/>
      <c r="W458" s="335"/>
      <c r="X458" s="331"/>
      <c r="Y458" s="272" t="str">
        <f>REPT(BA458,1)</f>
        <v/>
      </c>
      <c r="Z458" s="308"/>
      <c r="AA458" s="238">
        <f>IF(AK447="D",0,1)</f>
        <v>1</v>
      </c>
      <c r="AD458" s="235"/>
      <c r="AE458" s="235"/>
      <c r="AF458" s="256" t="str">
        <f>IF(AM448="","",SUM(AM448))</f>
        <v/>
      </c>
      <c r="AG458" s="237"/>
      <c r="AH458" s="256"/>
      <c r="AI458" s="256"/>
      <c r="AJ458" s="256"/>
      <c r="AK458" s="256" t="str">
        <f>IF(CA455&gt;1,CA455,"")</f>
        <v/>
      </c>
      <c r="AL458" s="257">
        <f>IF(AK447="D",SUM(I458),0)</f>
        <v>0</v>
      </c>
      <c r="AM458" s="258" t="str">
        <f>IF(AM455=0,IF(AL458&lt;6,"","X"),"X")</f>
        <v/>
      </c>
      <c r="AN458" s="347" t="str">
        <f>IF(AM455=0,IF(AL458&lt;6,"",1),1)</f>
        <v/>
      </c>
      <c r="AO458" s="235"/>
      <c r="AP458" s="236"/>
      <c r="AQ458" s="235"/>
      <c r="AR458" s="235"/>
      <c r="AS458" s="235"/>
      <c r="AT458" s="256" t="str">
        <f>IF(BA448="","",SUM(BA448))</f>
        <v/>
      </c>
      <c r="AU458" s="237"/>
      <c r="AV458" s="256"/>
      <c r="AW458" s="256"/>
      <c r="AX458" s="256"/>
      <c r="AY458" s="256" t="str">
        <f>IF(CJ455&gt;1,CJ455,"")</f>
        <v/>
      </c>
      <c r="AZ458" s="257">
        <f>IF(AK447="D",SUM(X458),0)</f>
        <v>0</v>
      </c>
      <c r="BA458" s="258" t="str">
        <f>IF(BA455=0,IF(AZ458&lt;6,"","X"),"X")</f>
        <v/>
      </c>
      <c r="BB458" s="347" t="str">
        <f>IF(BA455=0,IF(AZ458&lt;6,"",1),1)</f>
        <v/>
      </c>
      <c r="BC458" s="236"/>
      <c r="BD458" s="236"/>
      <c r="BE458" s="236"/>
      <c r="BF458" s="236"/>
      <c r="BG458" s="236"/>
      <c r="BH458" s="236"/>
      <c r="BI458" s="236"/>
      <c r="BJ458" s="236"/>
      <c r="BK458" s="238"/>
      <c r="BM458" s="238"/>
      <c r="BN458" s="238"/>
      <c r="BO458" s="238"/>
      <c r="BP458" s="238"/>
      <c r="BQ458" s="238" t="s">
        <v>899</v>
      </c>
      <c r="BR458" s="238"/>
      <c r="BS458" s="238"/>
      <c r="BT458" s="238"/>
      <c r="BU458" s="238"/>
      <c r="BV458" s="238"/>
      <c r="BW458" s="238"/>
      <c r="BX458" s="236"/>
      <c r="BY458" s="238"/>
      <c r="BZ458" s="238"/>
      <c r="CA458" s="238"/>
      <c r="CB458" s="238"/>
      <c r="CC458" s="238"/>
      <c r="CD458" s="238" t="s">
        <v>899</v>
      </c>
      <c r="CE458" s="238"/>
      <c r="CF458" s="238"/>
      <c r="CG458" s="244"/>
      <c r="CH458" s="238"/>
      <c r="CI458" s="238"/>
      <c r="CJ458" s="238"/>
      <c r="CK458" s="238"/>
      <c r="CL458" s="238"/>
      <c r="CM458" s="238"/>
      <c r="CN458" s="238"/>
      <c r="CO458" s="238"/>
      <c r="CP458" s="238"/>
      <c r="CQ458" s="238"/>
      <c r="CR458" s="238"/>
      <c r="CS458" s="238"/>
      <c r="CT458" s="238"/>
      <c r="CU458" s="238"/>
      <c r="CV458" s="238"/>
      <c r="CW458" s="238"/>
      <c r="CX458" s="238"/>
      <c r="CY458" s="238"/>
      <c r="CZ458" s="238"/>
      <c r="DA458" s="238"/>
      <c r="DB458" s="238"/>
      <c r="DC458" s="238"/>
      <c r="DD458" s="238"/>
      <c r="DE458" s="238"/>
      <c r="DF458" s="238"/>
      <c r="DG458" s="238"/>
      <c r="DH458" s="238"/>
      <c r="DI458" s="238"/>
      <c r="DJ458" s="238"/>
      <c r="DK458" s="238"/>
      <c r="DL458" s="238"/>
      <c r="DM458" s="238"/>
      <c r="DN458" s="238"/>
      <c r="DO458" s="238"/>
      <c r="DP458" s="238"/>
      <c r="DQ458" s="238"/>
      <c r="DR458" s="238"/>
      <c r="DS458" s="238"/>
      <c r="DT458" s="238"/>
      <c r="DU458" s="238"/>
      <c r="DV458" s="238"/>
      <c r="DW458" s="238"/>
      <c r="DX458" s="238"/>
      <c r="DY458" s="238"/>
      <c r="DZ458" s="238"/>
      <c r="EA458" s="238"/>
      <c r="EB458" s="238"/>
      <c r="EC458" s="238"/>
      <c r="ED458" s="238"/>
      <c r="EE458" s="238"/>
      <c r="EF458" s="238"/>
      <c r="EG458" s="238"/>
      <c r="EH458" s="238"/>
      <c r="EI458" s="238"/>
      <c r="EJ458" s="238"/>
      <c r="EK458" s="238"/>
      <c r="EL458" s="238"/>
      <c r="EM458" s="238"/>
      <c r="EN458" s="238"/>
      <c r="EO458" s="238"/>
      <c r="EP458" s="238"/>
      <c r="EQ458" s="238"/>
      <c r="ER458" s="238"/>
      <c r="ES458" s="238"/>
      <c r="ET458" s="244"/>
      <c r="EU458" s="238"/>
      <c r="EV458" s="238"/>
      <c r="EW458" s="238"/>
      <c r="EX458" s="238"/>
      <c r="EY458" s="238"/>
      <c r="EZ458" s="238"/>
      <c r="FA458" s="238"/>
      <c r="FB458" s="238"/>
      <c r="FC458" s="238"/>
      <c r="FD458" s="238"/>
      <c r="FE458" s="238"/>
      <c r="FF458" s="238"/>
      <c r="FG458" s="238"/>
      <c r="FH458" s="238"/>
      <c r="FI458" s="238"/>
      <c r="FJ458" s="238"/>
      <c r="FK458" s="238"/>
      <c r="FL458" s="238"/>
      <c r="FM458" s="238"/>
      <c r="FN458" s="238"/>
      <c r="FO458" s="244"/>
      <c r="FP458" s="238"/>
      <c r="FQ458" s="238"/>
      <c r="FR458" s="238"/>
      <c r="FS458" s="238"/>
      <c r="FT458" s="238"/>
      <c r="FU458" s="238"/>
      <c r="FV458" s="238"/>
      <c r="FW458" s="238"/>
      <c r="FX458" s="238"/>
      <c r="FY458" s="238"/>
      <c r="FZ458" s="238"/>
      <c r="GA458" s="238"/>
      <c r="GB458" s="238"/>
      <c r="GC458" s="238"/>
      <c r="GD458" s="341"/>
      <c r="GE458" s="340"/>
      <c r="GF458" s="340"/>
      <c r="GG458" s="340"/>
      <c r="GH458" s="340"/>
      <c r="GI458" s="340"/>
      <c r="GJ458" s="340"/>
      <c r="GK458" s="340"/>
      <c r="GL458" s="340"/>
      <c r="GM458" s="340"/>
      <c r="GN458" s="340"/>
      <c r="GO458" s="340"/>
      <c r="GP458" s="340"/>
      <c r="GQ458" s="340"/>
      <c r="GR458" s="340"/>
      <c r="GS458" s="340"/>
      <c r="GT458" s="340"/>
      <c r="GU458" s="340"/>
      <c r="GV458" s="340"/>
      <c r="GW458" s="340"/>
      <c r="GX458" s="340"/>
      <c r="GY458" s="340"/>
      <c r="GZ458" s="340"/>
      <c r="HA458" s="340"/>
      <c r="HB458" s="340"/>
      <c r="HC458" s="340"/>
      <c r="HD458" s="341"/>
      <c r="HE458" s="341"/>
      <c r="HF458" s="341"/>
      <c r="HG458" s="341"/>
      <c r="HH458" s="341"/>
      <c r="HI458" s="341"/>
      <c r="HJ458" s="341"/>
      <c r="HK458" s="341"/>
      <c r="HL458" s="341"/>
      <c r="HM458" s="341"/>
      <c r="HN458" s="341"/>
      <c r="HO458" s="341"/>
      <c r="HP458" s="341"/>
      <c r="HQ458" s="341"/>
      <c r="HR458" s="341"/>
      <c r="HS458" s="238"/>
      <c r="HT458" s="238"/>
      <c r="HU458" s="238"/>
      <c r="HV458" s="238"/>
      <c r="HX458" s="238"/>
      <c r="HY458" s="238"/>
      <c r="ID458" s="238"/>
    </row>
    <row r="459" spans="1:238" s="234" customFormat="1" ht="20.100000000000001" customHeight="1">
      <c r="A459" s="235"/>
      <c r="B459" s="316"/>
      <c r="C459" s="317"/>
      <c r="D459" s="317"/>
      <c r="E459" s="318"/>
      <c r="F459" s="318"/>
      <c r="G459" s="318"/>
      <c r="H459" s="318"/>
      <c r="I459" s="318"/>
      <c r="J459" s="318"/>
      <c r="K459" s="319"/>
      <c r="L459" s="319"/>
      <c r="M459" s="319"/>
      <c r="N459" s="319"/>
      <c r="O459" s="319"/>
      <c r="P459" s="320"/>
      <c r="Q459" s="319"/>
      <c r="R459" s="317"/>
      <c r="S459" s="318"/>
      <c r="T459" s="318"/>
      <c r="U459" s="318"/>
      <c r="V459" s="318"/>
      <c r="W459" s="318"/>
      <c r="X459" s="318"/>
      <c r="Y459" s="318"/>
      <c r="Z459" s="321"/>
      <c r="AD459" s="235"/>
      <c r="AE459" s="237"/>
      <c r="AF459" s="237"/>
      <c r="AG459" s="237"/>
      <c r="AH459" s="237" t="s">
        <v>921</v>
      </c>
      <c r="AI459" s="237" t="s">
        <v>922</v>
      </c>
      <c r="AJ459" s="298" t="str">
        <f>IF(BS459="","",SUM(AM459)*3)</f>
        <v/>
      </c>
      <c r="AK459" s="299" t="s">
        <v>923</v>
      </c>
      <c r="AL459" s="256"/>
      <c r="AM459" s="256" t="str">
        <f>IF(BS459="","",SUM(BS459))</f>
        <v/>
      </c>
      <c r="AN459" s="235"/>
      <c r="AO459" s="235"/>
      <c r="AP459" s="236"/>
      <c r="AQ459" s="235"/>
      <c r="AR459" s="235"/>
      <c r="AS459" s="237"/>
      <c r="AT459" s="237"/>
      <c r="AU459" s="237"/>
      <c r="AV459" s="237" t="s">
        <v>921</v>
      </c>
      <c r="AW459" s="237" t="s">
        <v>922</v>
      </c>
      <c r="AX459" s="298" t="str">
        <f>IF(BS459="","",SUM(BA459)*3)</f>
        <v/>
      </c>
      <c r="AY459" s="299" t="s">
        <v>923</v>
      </c>
      <c r="AZ459" s="256"/>
      <c r="BA459" s="256" t="str">
        <f>IF(BS459="","",SUM(CF459))</f>
        <v/>
      </c>
      <c r="BB459" s="236"/>
      <c r="BC459" s="236"/>
      <c r="BD459" s="236"/>
      <c r="BE459" s="236"/>
      <c r="BF459" s="236"/>
      <c r="BG459" s="236"/>
      <c r="BH459" s="236"/>
      <c r="BI459" s="236"/>
      <c r="BJ459" s="236"/>
      <c r="BK459" s="373">
        <f>IF(AL447=BQ459,1,0)</f>
        <v>0</v>
      </c>
      <c r="BL459" s="373">
        <f>IF(AL447=CD459,1,0)</f>
        <v>0</v>
      </c>
      <c r="BM459" s="256">
        <f>IF(BN459&gt;2,1,0)</f>
        <v>0</v>
      </c>
      <c r="BN459" s="256">
        <f>COUNT(AH450,AH451,AH452)</f>
        <v>0</v>
      </c>
      <c r="BO459" s="256" t="str">
        <f>IF(AH456="","",SUM(AH456/AJ456))</f>
        <v/>
      </c>
      <c r="BP459" s="256"/>
      <c r="BQ459" s="300">
        <f>COUNT(AK450,AK451,AK452,AK453,AK454)</f>
        <v>0</v>
      </c>
      <c r="BR459" s="256"/>
      <c r="BS459" s="256" t="str">
        <f>IF(BL456=0,IF(AJ451="","",BO459),"")</f>
        <v/>
      </c>
      <c r="BT459" s="236"/>
      <c r="BU459" s="236"/>
      <c r="BV459" s="236"/>
      <c r="BW459" s="236"/>
      <c r="BX459" s="236"/>
      <c r="BY459" s="256">
        <f>IF(CD459&gt;2,1,0)</f>
        <v>0</v>
      </c>
      <c r="BZ459" s="256">
        <f>IF(CA459&gt;2,1,0)</f>
        <v>0</v>
      </c>
      <c r="CA459" s="256">
        <f>COUNT(AV450,AV451,AV452)</f>
        <v>0</v>
      </c>
      <c r="CB459" s="256" t="str">
        <f>IF(AV456="","",SUM(AV456/AX456))</f>
        <v/>
      </c>
      <c r="CC459" s="256"/>
      <c r="CD459" s="300">
        <f>COUNT(AY450,AY451,AY452,AY453,AY454)</f>
        <v>0</v>
      </c>
      <c r="CE459" s="256"/>
      <c r="CF459" s="256" t="str">
        <f>IF(BL456=0,IF(AX451="","",CB459),"")</f>
        <v/>
      </c>
      <c r="CG459" s="236"/>
      <c r="CH459" s="188"/>
      <c r="CI459" s="188"/>
      <c r="CJ459" s="196"/>
      <c r="CK459" s="196"/>
      <c r="CL459" s="196"/>
      <c r="CM459" s="196"/>
      <c r="CN459" s="196"/>
      <c r="CO459" s="196"/>
      <c r="CP459" s="196"/>
      <c r="CQ459" s="196"/>
      <c r="CR459" s="196"/>
      <c r="CS459" s="196"/>
      <c r="CT459" s="196"/>
      <c r="CU459" s="196"/>
      <c r="CV459" s="196"/>
      <c r="CW459" s="196"/>
      <c r="CX459" s="196"/>
      <c r="CY459" s="196"/>
      <c r="CZ459" s="196"/>
      <c r="DA459" s="196"/>
      <c r="DB459" s="196"/>
      <c r="DC459" s="196"/>
      <c r="DD459" s="196"/>
      <c r="DE459" s="196"/>
      <c r="DF459" s="196"/>
      <c r="DG459" s="196"/>
      <c r="DH459" s="196"/>
      <c r="DI459" s="196"/>
      <c r="DJ459" s="196"/>
      <c r="DK459" s="196"/>
      <c r="DL459" s="196"/>
      <c r="DM459" s="196"/>
      <c r="DN459" s="196"/>
      <c r="DO459" s="196"/>
      <c r="DP459" s="196"/>
      <c r="DQ459" s="196"/>
      <c r="DR459" s="196"/>
      <c r="DS459" s="196"/>
      <c r="DT459" s="196"/>
      <c r="DU459" s="196"/>
      <c r="DV459" s="196"/>
      <c r="DW459" s="196"/>
      <c r="DX459" s="196"/>
      <c r="DY459" s="196"/>
      <c r="DZ459" s="196"/>
      <c r="EA459" s="196"/>
      <c r="EB459" s="196"/>
      <c r="EC459" s="196"/>
      <c r="ED459" s="196"/>
      <c r="EE459" s="196"/>
      <c r="EF459" s="196"/>
      <c r="EG459" s="196"/>
      <c r="EH459" s="196"/>
      <c r="EI459" s="196"/>
      <c r="EJ459" s="196"/>
      <c r="EK459" s="196"/>
      <c r="EL459" s="196"/>
      <c r="EM459" s="196"/>
      <c r="EN459" s="196"/>
      <c r="EO459" s="196"/>
      <c r="EP459" s="196"/>
      <c r="EQ459" s="196"/>
      <c r="ER459" s="196"/>
      <c r="ES459" s="196"/>
      <c r="ET459" s="301"/>
      <c r="EU459" s="196"/>
      <c r="EV459" s="196"/>
      <c r="EW459" s="196"/>
      <c r="EX459" s="196"/>
      <c r="EY459" s="196"/>
      <c r="EZ459" s="196"/>
      <c r="FA459" s="196"/>
      <c r="FB459" s="196"/>
      <c r="FC459" s="196"/>
      <c r="FD459" s="196"/>
      <c r="FE459" s="196"/>
      <c r="FF459" s="196"/>
      <c r="FG459" s="196"/>
      <c r="FH459" s="196"/>
      <c r="FI459" s="196"/>
      <c r="FJ459" s="196"/>
      <c r="FK459" s="196"/>
      <c r="FL459" s="196"/>
      <c r="FM459" s="196"/>
      <c r="FN459" s="196"/>
      <c r="FO459" s="301"/>
      <c r="FP459" s="196"/>
      <c r="FQ459" s="196"/>
      <c r="FR459" s="196"/>
      <c r="FS459" s="196"/>
      <c r="FT459" s="196"/>
      <c r="FU459" s="196"/>
      <c r="FV459" s="196"/>
      <c r="FW459" s="196"/>
      <c r="FX459" s="196"/>
      <c r="FY459" s="196"/>
      <c r="FZ459" s="196"/>
      <c r="GA459" s="196"/>
      <c r="GB459" s="238"/>
      <c r="GC459" s="238"/>
      <c r="GD459" s="341"/>
      <c r="GE459" s="341"/>
      <c r="GF459" s="341"/>
      <c r="GG459" s="341"/>
      <c r="GH459" s="341"/>
      <c r="GI459" s="341"/>
      <c r="GJ459" s="341"/>
      <c r="GK459" s="341"/>
      <c r="GL459" s="341"/>
      <c r="GM459" s="341"/>
      <c r="GN459" s="341"/>
      <c r="GO459" s="341"/>
      <c r="GP459" s="341"/>
      <c r="GQ459" s="341"/>
      <c r="GR459" s="341"/>
      <c r="GS459" s="341"/>
      <c r="GT459" s="341"/>
      <c r="GU459" s="341"/>
      <c r="GV459" s="341"/>
      <c r="GW459" s="341"/>
      <c r="GX459" s="341"/>
      <c r="GY459" s="341"/>
      <c r="GZ459" s="341"/>
      <c r="HA459" s="341"/>
      <c r="HB459" s="341"/>
      <c r="HC459" s="341"/>
      <c r="HD459" s="341"/>
      <c r="HE459" s="341"/>
      <c r="HF459" s="341"/>
      <c r="HG459" s="341"/>
      <c r="HH459" s="341"/>
      <c r="HI459" s="341"/>
      <c r="HJ459" s="341"/>
      <c r="HK459" s="341"/>
      <c r="HL459" s="341"/>
      <c r="HM459" s="341"/>
      <c r="HN459" s="341"/>
      <c r="HO459" s="341"/>
      <c r="HP459" s="341"/>
      <c r="HQ459" s="341"/>
      <c r="HR459" s="341"/>
      <c r="HS459" s="238"/>
      <c r="HT459" s="238"/>
      <c r="HU459" s="238"/>
      <c r="HV459" s="238"/>
      <c r="HX459" s="238"/>
      <c r="HY459" s="238"/>
      <c r="ID459" s="238"/>
    </row>
    <row r="460" spans="1:238" ht="14.1" customHeight="1">
      <c r="B460" s="214"/>
      <c r="C460" s="171"/>
      <c r="D460" s="171"/>
      <c r="E460" s="171"/>
      <c r="F460" s="171"/>
      <c r="G460" s="171"/>
      <c r="H460" s="171"/>
      <c r="I460" s="171"/>
      <c r="J460" s="171"/>
      <c r="K460" s="171"/>
      <c r="L460" s="171"/>
      <c r="M460" s="171"/>
      <c r="N460" s="171"/>
      <c r="O460" s="171"/>
      <c r="P460" s="171"/>
      <c r="Q460" s="171"/>
      <c r="R460" s="171"/>
      <c r="S460" s="171"/>
      <c r="T460" s="171"/>
      <c r="U460" s="171"/>
      <c r="V460" s="171"/>
      <c r="W460" s="171"/>
      <c r="X460" s="171"/>
      <c r="Y460" s="171"/>
      <c r="Z460" s="302"/>
      <c r="AA460" s="215"/>
      <c r="AB460" s="215"/>
      <c r="AC460" s="215"/>
      <c r="AD460" s="215"/>
      <c r="AE460" s="215"/>
      <c r="AF460" s="215"/>
      <c r="BB460" s="215"/>
      <c r="BC460" s="215"/>
      <c r="BD460" s="215"/>
      <c r="BE460" s="215"/>
      <c r="BF460" s="215"/>
      <c r="BG460" s="215"/>
      <c r="BH460" s="215"/>
      <c r="GD460" s="339"/>
      <c r="GE460" s="339"/>
      <c r="GF460" s="339"/>
      <c r="GG460" s="339"/>
      <c r="GH460" s="339"/>
      <c r="GI460" s="339"/>
      <c r="GJ460" s="339"/>
      <c r="GK460" s="339"/>
      <c r="GL460" s="339"/>
      <c r="GM460" s="339"/>
      <c r="GN460" s="339"/>
      <c r="GO460" s="339"/>
      <c r="GP460" s="339"/>
      <c r="GQ460" s="339"/>
      <c r="GR460" s="339"/>
      <c r="GS460" s="339"/>
      <c r="GT460" s="339"/>
      <c r="GU460" s="339"/>
      <c r="GV460" s="339"/>
      <c r="GW460" s="339"/>
      <c r="GX460" s="339"/>
      <c r="GY460" s="339"/>
      <c r="GZ460" s="339"/>
      <c r="HA460" s="339"/>
      <c r="HB460" s="339"/>
      <c r="HC460" s="339"/>
      <c r="HD460" s="339"/>
      <c r="HE460" s="339"/>
      <c r="HF460" s="339"/>
      <c r="HG460" s="339"/>
      <c r="HH460" s="339"/>
      <c r="HI460" s="339"/>
      <c r="HJ460" s="339"/>
      <c r="HK460" s="339"/>
      <c r="HL460" s="339"/>
      <c r="HM460" s="339"/>
      <c r="HN460" s="339"/>
      <c r="HO460" s="339"/>
      <c r="HP460" s="339"/>
      <c r="HQ460" s="339"/>
      <c r="HR460" s="339"/>
    </row>
    <row r="461" spans="1:238" ht="24" customHeight="1">
      <c r="B461" s="216"/>
      <c r="C461" s="181"/>
      <c r="D461" s="181"/>
      <c r="E461" s="181"/>
      <c r="F461" s="181"/>
      <c r="G461" s="181"/>
      <c r="H461" s="181"/>
      <c r="I461" s="181"/>
      <c r="J461" s="181"/>
      <c r="K461" s="185"/>
      <c r="L461" s="217"/>
      <c r="M461" s="218"/>
      <c r="N461" s="327" t="str">
        <f>CONCATENATE(AG461," ",AH461)</f>
        <v xml:space="preserve">Spiel </v>
      </c>
      <c r="O461" s="218"/>
      <c r="P461" s="219"/>
      <c r="Q461" s="185"/>
      <c r="R461" s="181"/>
      <c r="S461" s="181"/>
      <c r="T461" s="181"/>
      <c r="U461" s="181"/>
      <c r="V461" s="181"/>
      <c r="W461" s="181"/>
      <c r="X461" s="181"/>
      <c r="Y461" s="181"/>
      <c r="Z461" s="303"/>
      <c r="AA461" s="200">
        <f>IF(AH461="",10,"")</f>
        <v>10</v>
      </c>
      <c r="AB461" s="200"/>
      <c r="AC461" s="200"/>
      <c r="AD461" s="200"/>
      <c r="AE461" s="200"/>
      <c r="AF461" s="200"/>
      <c r="AG461" s="200" t="s">
        <v>863</v>
      </c>
      <c r="AH461" s="220" t="str">
        <f>IF('Heimmannschaft MAISON'!$A$1=3,"",IF('Heimmannschaft MAISON'!$A$1=1,"",33))</f>
        <v/>
      </c>
      <c r="AI461" s="173" t="str">
        <f>IF(AH461="","",VLOOKUP(AH461,Chema!R:T,3,FALSE))</f>
        <v/>
      </c>
      <c r="AJ461" s="200" t="str">
        <f>VLOOKUP(AH461,Chema!BL:BQ,6,FALSE)</f>
        <v/>
      </c>
      <c r="AK461" s="200" t="str">
        <f>IF(AH461="","",VLOOKUP(AH461,'Matchblatt  FEUILLE DE MATCH'!AI:AJ,2,FALSE))</f>
        <v/>
      </c>
      <c r="AL461" s="200" t="str">
        <f>IF(AH461="","",VLOOKUP(AH461,Chema!R:U,4,FALSE))</f>
        <v/>
      </c>
      <c r="AM461" s="215" t="str">
        <f>IF(AH461="","",VLOOKUP(AH461,'Matchblatt  FEUILLE DE MATCH'!AI:AS,10,FALSE))</f>
        <v/>
      </c>
      <c r="AN461" s="215"/>
      <c r="AO461" s="215"/>
      <c r="AP461" s="215"/>
      <c r="AQ461" s="215"/>
      <c r="AR461" s="215"/>
      <c r="AS461" s="215"/>
      <c r="AT461" s="215"/>
      <c r="AU461" s="215"/>
      <c r="AV461" s="215"/>
      <c r="AW461" s="215"/>
      <c r="AX461" s="215"/>
      <c r="AY461" s="215"/>
      <c r="AZ461" s="215"/>
      <c r="BA461" s="215" t="str">
        <f>IF(AH461="","",VLOOKUP(AH461,'Matchblatt  FEUILLE DE MATCH'!AI:AS,11,FALSE))</f>
        <v/>
      </c>
      <c r="BB461" s="200"/>
      <c r="BC461" s="200"/>
      <c r="BD461" s="200"/>
      <c r="BE461" s="200"/>
      <c r="BF461" s="200"/>
      <c r="BG461" s="200"/>
      <c r="BH461" s="200"/>
      <c r="BK461" s="196"/>
      <c r="BL461" s="196"/>
      <c r="BM461" s="196"/>
      <c r="BN461" s="196"/>
      <c r="BO461" s="196"/>
      <c r="BP461" s="196"/>
      <c r="BQ461" s="221" t="s">
        <v>843</v>
      </c>
      <c r="BR461" s="222"/>
      <c r="BS461" s="222"/>
      <c r="BT461" s="223"/>
      <c r="BU461" s="222" t="s">
        <v>843</v>
      </c>
      <c r="BV461" s="222"/>
      <c r="BW461" s="222"/>
      <c r="BX461" s="224"/>
      <c r="BY461" s="222"/>
      <c r="BZ461" s="222"/>
      <c r="CA461" s="222"/>
      <c r="CB461" s="222"/>
      <c r="CC461" s="222"/>
      <c r="CD461" s="222"/>
      <c r="CE461" s="222"/>
      <c r="CF461" s="222"/>
      <c r="CG461" s="224"/>
      <c r="CH461" s="222"/>
      <c r="CI461" s="222"/>
      <c r="CJ461" s="223"/>
      <c r="CK461" s="196"/>
      <c r="CL461" s="196"/>
      <c r="CM461" s="196"/>
      <c r="CN461" s="196"/>
      <c r="CO461" s="196"/>
      <c r="CP461" s="196"/>
      <c r="CQ461" s="196"/>
      <c r="CR461" s="196"/>
      <c r="CS461" s="196"/>
      <c r="CT461" s="196"/>
      <c r="CU461" s="196"/>
      <c r="CV461" s="196"/>
      <c r="CW461" s="196"/>
      <c r="CX461" s="196"/>
      <c r="CY461" s="196"/>
      <c r="CZ461" s="196"/>
      <c r="DA461" s="196"/>
      <c r="DB461" s="196"/>
      <c r="DC461" s="196"/>
      <c r="DD461" s="196"/>
      <c r="DE461" s="196"/>
      <c r="DF461" s="196"/>
      <c r="DG461" s="196"/>
      <c r="DH461" s="196"/>
      <c r="DI461" s="196"/>
      <c r="DJ461" s="196"/>
      <c r="DK461" s="196"/>
      <c r="DL461" s="196"/>
      <c r="DM461" s="196"/>
      <c r="DN461" s="196"/>
      <c r="DO461" s="196"/>
      <c r="DP461" s="196"/>
      <c r="DQ461" s="196"/>
      <c r="DR461" s="196"/>
      <c r="DS461" s="196"/>
      <c r="DT461" s="196"/>
      <c r="DU461" s="196"/>
      <c r="DV461" s="196"/>
      <c r="DW461" s="196"/>
      <c r="DX461" s="196"/>
      <c r="DY461" s="196"/>
      <c r="DZ461" s="196"/>
      <c r="EA461" s="196"/>
      <c r="EB461" s="196"/>
      <c r="EC461" s="196"/>
      <c r="ED461" s="196"/>
      <c r="EE461" s="196"/>
      <c r="EF461" s="196"/>
      <c r="EG461" s="196"/>
      <c r="EH461" s="196"/>
      <c r="EI461" s="196"/>
      <c r="EJ461" s="196"/>
      <c r="EK461" s="196"/>
      <c r="EL461" s="196"/>
      <c r="EM461" s="221" t="s">
        <v>7</v>
      </c>
      <c r="EN461" s="222"/>
      <c r="EO461" s="222"/>
      <c r="EP461" s="222"/>
      <c r="EQ461" s="222"/>
      <c r="ER461" s="222"/>
      <c r="ES461" s="222"/>
      <c r="ET461" s="224"/>
      <c r="EU461" s="222"/>
      <c r="EV461" s="222"/>
      <c r="EW461" s="222"/>
      <c r="EX461" s="222"/>
      <c r="EY461" s="222"/>
      <c r="EZ461" s="222"/>
      <c r="FA461" s="222"/>
      <c r="FB461" s="222"/>
      <c r="FC461" s="222"/>
      <c r="FD461" s="222"/>
      <c r="FE461" s="223"/>
      <c r="FF461" s="196"/>
      <c r="FG461" s="196"/>
      <c r="FH461" s="221" t="s">
        <v>12</v>
      </c>
      <c r="FI461" s="222"/>
      <c r="FJ461" s="222"/>
      <c r="FK461" s="222"/>
      <c r="FL461" s="222"/>
      <c r="FM461" s="222"/>
      <c r="FN461" s="222"/>
      <c r="FO461" s="224"/>
      <c r="FP461" s="222"/>
      <c r="FQ461" s="222"/>
      <c r="FR461" s="222"/>
      <c r="FS461" s="222"/>
      <c r="FT461" s="222"/>
      <c r="FU461" s="222"/>
      <c r="FV461" s="222"/>
      <c r="FW461" s="222"/>
      <c r="FX461" s="222"/>
      <c r="FY461" s="222"/>
      <c r="FZ461" s="223"/>
      <c r="GA461" s="196"/>
      <c r="GD461" s="339"/>
      <c r="GE461" s="339"/>
      <c r="GF461" s="339"/>
      <c r="GG461" s="339"/>
      <c r="GH461" s="339"/>
      <c r="GI461" s="339"/>
      <c r="GJ461" s="339"/>
      <c r="GK461" s="339"/>
      <c r="GL461" s="339"/>
      <c r="GM461" s="339"/>
      <c r="GN461" s="339"/>
      <c r="GO461" s="339"/>
      <c r="GP461" s="339"/>
      <c r="GQ461" s="339"/>
      <c r="GR461" s="339"/>
      <c r="GS461" s="339"/>
      <c r="GT461" s="339"/>
      <c r="GU461" s="339"/>
      <c r="GV461" s="339"/>
      <c r="GW461" s="339"/>
      <c r="GX461" s="339"/>
      <c r="GY461" s="339"/>
      <c r="GZ461" s="339"/>
      <c r="HA461" s="339"/>
      <c r="HB461" s="339"/>
      <c r="HC461" s="339"/>
      <c r="HD461" s="339"/>
      <c r="HE461" s="339"/>
      <c r="HF461" s="339"/>
      <c r="HG461" s="339"/>
      <c r="HH461" s="339"/>
      <c r="HI461" s="339"/>
      <c r="HJ461" s="339"/>
      <c r="HK461" s="339"/>
      <c r="HL461" s="339"/>
      <c r="HM461" s="339"/>
      <c r="HN461" s="339"/>
      <c r="HO461" s="339"/>
      <c r="HP461" s="339"/>
      <c r="HQ461" s="339"/>
      <c r="HR461" s="339"/>
    </row>
    <row r="462" spans="1:238" ht="14.1" customHeight="1">
      <c r="B462" s="225"/>
      <c r="C462" s="304"/>
      <c r="D462" s="304"/>
      <c r="E462" s="304"/>
      <c r="F462" s="304"/>
      <c r="G462" s="304"/>
      <c r="H462" s="304"/>
      <c r="I462" s="304"/>
      <c r="J462" s="304"/>
      <c r="K462" s="166"/>
      <c r="L462" s="166"/>
      <c r="M462" s="166"/>
      <c r="N462" s="304"/>
      <c r="O462" s="304"/>
      <c r="P462" s="166"/>
      <c r="Q462" s="166"/>
      <c r="R462" s="304"/>
      <c r="S462" s="304"/>
      <c r="T462" s="304"/>
      <c r="U462" s="304"/>
      <c r="V462" s="304"/>
      <c r="W462" s="304"/>
      <c r="X462" s="166"/>
      <c r="Y462" s="166"/>
      <c r="Z462" s="305"/>
      <c r="AA462" s="63"/>
      <c r="AB462" s="63"/>
      <c r="AC462" s="63"/>
      <c r="AD462" s="63"/>
      <c r="AE462" s="63"/>
      <c r="AF462" s="63"/>
      <c r="AJ462" s="173" t="str">
        <f>VLOOKUP(AH461,Chema!BL:BR,7,FALSE)</f>
        <v/>
      </c>
      <c r="AL462" s="200"/>
      <c r="AM462" s="200" t="str">
        <f>IF(AK461="D",VLOOKUP(AJ462,'Matchblatt  FEUILLE DE MATCH'!AK:AS,8,FALSE),"")</f>
        <v/>
      </c>
      <c r="AN462" s="200"/>
      <c r="AO462" s="200"/>
      <c r="AP462" s="200"/>
      <c r="AQ462" s="200"/>
      <c r="AR462" s="200"/>
      <c r="AS462" s="200"/>
      <c r="AT462" s="200"/>
      <c r="AU462" s="200"/>
      <c r="AV462" s="200"/>
      <c r="AW462" s="200"/>
      <c r="AX462" s="200"/>
      <c r="AY462" s="200"/>
      <c r="AZ462" s="200"/>
      <c r="BA462" s="200" t="str">
        <f>IF(AK461="D",VLOOKUP(AJ462,'Matchblatt  FEUILLE DE MATCH'!AK:AS,9,FALSE),"")</f>
        <v/>
      </c>
      <c r="BB462" s="63"/>
      <c r="BC462" s="63"/>
      <c r="BD462" s="63"/>
      <c r="BE462" s="63"/>
      <c r="BF462" s="63"/>
      <c r="BG462" s="63"/>
      <c r="BH462" s="63"/>
      <c r="BK462" s="166" t="s">
        <v>7</v>
      </c>
      <c r="BL462" s="166" t="s">
        <v>12</v>
      </c>
      <c r="BM462" s="166"/>
      <c r="BN462" s="166" t="s">
        <v>7</v>
      </c>
      <c r="BO462" s="166" t="s">
        <v>12</v>
      </c>
      <c r="BP462" s="166"/>
      <c r="BQ462" s="226" t="s">
        <v>894</v>
      </c>
      <c r="BR462" s="227" t="s">
        <v>895</v>
      </c>
      <c r="BS462" s="228" t="s">
        <v>896</v>
      </c>
      <c r="BT462" s="229"/>
      <c r="BU462" s="226" t="s">
        <v>7</v>
      </c>
      <c r="BV462" s="166"/>
      <c r="BW462" s="166"/>
      <c r="BX462" s="230"/>
      <c r="BY462" s="166"/>
      <c r="BZ462" s="166"/>
      <c r="CA462" s="227"/>
      <c r="CB462" s="166"/>
      <c r="CC462" s="166"/>
      <c r="CD462" s="226" t="s">
        <v>12</v>
      </c>
      <c r="CE462" s="166"/>
      <c r="CF462" s="166"/>
      <c r="CG462" s="230"/>
      <c r="CH462" s="166"/>
      <c r="CI462" s="166"/>
      <c r="CJ462" s="227"/>
      <c r="CK462" s="166"/>
      <c r="CL462" s="166" t="s">
        <v>897</v>
      </c>
      <c r="CM462" s="166"/>
      <c r="CN462" s="166"/>
      <c r="CO462" s="166"/>
      <c r="CP462" s="166"/>
      <c r="CQ462" s="166"/>
      <c r="CR462" s="166"/>
      <c r="CS462" s="166"/>
      <c r="CT462" s="166"/>
      <c r="CU462" s="166" t="s">
        <v>843</v>
      </c>
      <c r="CV462" s="166"/>
      <c r="CW462" s="166" t="s">
        <v>843</v>
      </c>
      <c r="CX462" s="166"/>
      <c r="CY462" s="166"/>
      <c r="CZ462" s="166"/>
      <c r="DA462" s="166"/>
      <c r="DB462" s="166"/>
      <c r="DC462" s="166"/>
      <c r="DD462" s="166" t="s">
        <v>894</v>
      </c>
      <c r="DE462" s="166" t="s">
        <v>895</v>
      </c>
      <c r="DF462" s="166"/>
      <c r="DG462" s="166" t="s">
        <v>927</v>
      </c>
      <c r="DH462" s="166"/>
      <c r="DI462" s="166"/>
      <c r="DJ462" s="166"/>
      <c r="DK462" s="166"/>
      <c r="DL462" s="166"/>
      <c r="DM462" s="166"/>
      <c r="DN462" s="166" t="s">
        <v>928</v>
      </c>
      <c r="DO462" s="166" t="s">
        <v>929</v>
      </c>
      <c r="DP462" s="166"/>
      <c r="DQ462" s="166"/>
      <c r="DR462" s="166"/>
      <c r="DS462" s="166"/>
      <c r="DT462" s="166"/>
      <c r="DU462" s="166"/>
      <c r="DV462" s="166" t="s">
        <v>894</v>
      </c>
      <c r="DW462" s="166" t="s">
        <v>895</v>
      </c>
      <c r="DX462" s="166"/>
      <c r="DY462" s="166"/>
      <c r="DZ462" s="166"/>
      <c r="EA462" s="166"/>
      <c r="EB462" s="166"/>
      <c r="EC462" s="166"/>
      <c r="ED462" s="166" t="s">
        <v>894</v>
      </c>
      <c r="EE462" s="166" t="s">
        <v>895</v>
      </c>
      <c r="EF462" s="166"/>
      <c r="EG462" s="166"/>
      <c r="EH462" s="166"/>
      <c r="EI462" s="166"/>
      <c r="EJ462" s="166"/>
      <c r="EK462" s="166"/>
      <c r="EL462" s="166"/>
      <c r="EM462" s="166"/>
      <c r="EN462" s="166"/>
      <c r="EO462" s="166"/>
      <c r="EP462" s="166"/>
      <c r="EQ462" s="166"/>
      <c r="ER462" s="166"/>
      <c r="ES462" s="166"/>
      <c r="ET462" s="230"/>
      <c r="EU462" s="166"/>
      <c r="EV462" s="166"/>
      <c r="EW462" s="166"/>
      <c r="EX462" s="166"/>
      <c r="EY462" s="166"/>
      <c r="EZ462" s="166"/>
      <c r="FA462" s="166"/>
      <c r="FB462" s="166"/>
      <c r="FC462" s="166"/>
      <c r="FD462" s="166"/>
      <c r="FE462" s="166"/>
      <c r="FF462" s="166"/>
      <c r="FG462" s="166"/>
      <c r="FH462" s="166"/>
      <c r="FI462" s="166"/>
      <c r="FJ462" s="166"/>
      <c r="FK462" s="166"/>
      <c r="FL462" s="166"/>
      <c r="FM462" s="166"/>
      <c r="FN462" s="166"/>
      <c r="FO462" s="230"/>
      <c r="FP462" s="166"/>
      <c r="FQ462" s="166"/>
      <c r="FR462" s="166"/>
      <c r="FS462" s="166"/>
      <c r="FT462" s="166"/>
      <c r="FU462" s="166"/>
      <c r="FV462" s="166"/>
      <c r="FW462" s="166"/>
      <c r="FX462" s="166"/>
      <c r="FY462" s="166"/>
      <c r="FZ462" s="166"/>
      <c r="GA462" s="166"/>
      <c r="GD462" s="339"/>
      <c r="GE462" s="339"/>
      <c r="GF462" s="339"/>
      <c r="GG462" s="339"/>
      <c r="GH462" s="339"/>
      <c r="GI462" s="339"/>
      <c r="GJ462" s="339"/>
      <c r="GK462" s="339"/>
      <c r="GL462" s="339"/>
      <c r="GM462" s="339"/>
      <c r="GN462" s="339"/>
      <c r="GO462" s="339"/>
      <c r="GP462" s="339"/>
      <c r="GQ462" s="339"/>
      <c r="GR462" s="339"/>
      <c r="GS462" s="339"/>
      <c r="GT462" s="339"/>
      <c r="GU462" s="339"/>
      <c r="GV462" s="339"/>
      <c r="GW462" s="339"/>
      <c r="GX462" s="339"/>
      <c r="GY462" s="339"/>
      <c r="GZ462" s="339"/>
      <c r="HA462" s="339"/>
      <c r="HB462" s="339"/>
      <c r="HC462" s="339"/>
      <c r="HD462" s="339"/>
      <c r="HE462" s="339"/>
      <c r="HF462" s="339"/>
      <c r="HG462" s="339"/>
      <c r="HH462" s="339"/>
      <c r="HI462" s="339"/>
      <c r="HJ462" s="339"/>
      <c r="HK462" s="339"/>
      <c r="HL462" s="339"/>
      <c r="HM462" s="339"/>
      <c r="HN462" s="339"/>
      <c r="HO462" s="339"/>
      <c r="HP462" s="339"/>
      <c r="HQ462" s="339"/>
      <c r="HR462" s="339"/>
    </row>
    <row r="463" spans="1:238" s="234" customFormat="1" ht="20.100000000000001" customHeight="1">
      <c r="A463" s="235"/>
      <c r="B463" s="231"/>
      <c r="C463" s="232" t="str">
        <f>REPT(Sprache!$K$12,1)</f>
        <v>SPIEL</v>
      </c>
      <c r="D463" s="233" t="s">
        <v>869</v>
      </c>
      <c r="E463" s="233" t="str">
        <f>REPT(Sprache!$K$62,1)</f>
        <v>Punkte</v>
      </c>
      <c r="F463" s="233" t="str">
        <f>REPT(Sprache!$K$61,1)</f>
        <v>Rest</v>
      </c>
      <c r="G463" s="233" t="s">
        <v>898</v>
      </c>
      <c r="H463" s="233" t="s">
        <v>848</v>
      </c>
      <c r="I463" s="233">
        <v>180</v>
      </c>
      <c r="J463" s="233" t="str">
        <f>REPT(Sprache!$K$63,1)</f>
        <v>Fehler</v>
      </c>
      <c r="L463" s="306" t="s">
        <v>923</v>
      </c>
      <c r="M463" s="307"/>
      <c r="P463" s="306" t="s">
        <v>923</v>
      </c>
      <c r="R463" s="232" t="str">
        <f>REPT(Sprache!$K$12,1)</f>
        <v>SPIEL</v>
      </c>
      <c r="S463" s="233" t="s">
        <v>869</v>
      </c>
      <c r="T463" s="233" t="str">
        <f>REPT(Sprache!$K$62,1)</f>
        <v>Punkte</v>
      </c>
      <c r="U463" s="233" t="str">
        <f>REPT(Sprache!$K$61,1)</f>
        <v>Rest</v>
      </c>
      <c r="V463" s="233" t="s">
        <v>898</v>
      </c>
      <c r="W463" s="233" t="s">
        <v>848</v>
      </c>
      <c r="X463" s="233">
        <v>180</v>
      </c>
      <c r="Y463" s="233" t="str">
        <f>REPT(Sprache!$K$63,1)</f>
        <v>Fehler</v>
      </c>
      <c r="Z463" s="308"/>
      <c r="AD463" s="235"/>
      <c r="AE463" s="236" t="s">
        <v>966</v>
      </c>
      <c r="AF463" s="236" t="s">
        <v>967</v>
      </c>
      <c r="AG463" s="236" t="s">
        <v>965</v>
      </c>
      <c r="AH463" s="237" t="str">
        <f>LEFT($BM$6,10)</f>
        <v/>
      </c>
      <c r="AI463" s="237" t="str">
        <f>LEFT($BN$6,10)</f>
        <v/>
      </c>
      <c r="AJ463" s="237" t="s">
        <v>898</v>
      </c>
      <c r="AK463" s="237" t="s">
        <v>848</v>
      </c>
      <c r="AL463" s="237">
        <v>180</v>
      </c>
      <c r="AM463" s="237" t="str">
        <f>LEFT($BL$6,50)</f>
        <v/>
      </c>
      <c r="AN463" s="235"/>
      <c r="AO463" s="235"/>
      <c r="AP463" s="235"/>
      <c r="AQ463" s="235"/>
      <c r="AR463" s="235"/>
      <c r="AS463" s="235"/>
      <c r="AT463" s="235"/>
      <c r="AU463" s="235"/>
      <c r="AV463" s="237" t="str">
        <f>LEFT($BM$6,10)</f>
        <v/>
      </c>
      <c r="AW463" s="237" t="str">
        <f>LEFT($BN$6,10)</f>
        <v/>
      </c>
      <c r="AX463" s="237" t="s">
        <v>898</v>
      </c>
      <c r="AY463" s="237" t="s">
        <v>848</v>
      </c>
      <c r="AZ463" s="237">
        <v>180</v>
      </c>
      <c r="BA463" s="237" t="str">
        <f>LEFT($BL$6,50)</f>
        <v/>
      </c>
      <c r="BI463" s="238"/>
      <c r="BJ463" s="238"/>
      <c r="BK463" s="238" t="s">
        <v>165</v>
      </c>
      <c r="BL463" s="238" t="s">
        <v>165</v>
      </c>
      <c r="BM463" s="239" t="s">
        <v>165</v>
      </c>
      <c r="BN463" s="239" t="s">
        <v>899</v>
      </c>
      <c r="BO463" s="239" t="s">
        <v>899</v>
      </c>
      <c r="BP463" s="239" t="s">
        <v>900</v>
      </c>
      <c r="BQ463" s="240" t="s">
        <v>901</v>
      </c>
      <c r="BR463" s="241"/>
      <c r="BS463" s="242" t="s">
        <v>926</v>
      </c>
      <c r="BT463" s="243"/>
      <c r="BU463" s="242" t="s">
        <v>902</v>
      </c>
      <c r="BV463" s="238"/>
      <c r="BW463" s="238"/>
      <c r="BX463" s="244"/>
      <c r="BY463" s="238"/>
      <c r="BZ463" s="238" t="s">
        <v>903</v>
      </c>
      <c r="CA463" s="243" t="s">
        <v>904</v>
      </c>
      <c r="CB463" s="238"/>
      <c r="CC463" s="238"/>
      <c r="CD463" s="242" t="s">
        <v>902</v>
      </c>
      <c r="CE463" s="238"/>
      <c r="CF463" s="238"/>
      <c r="CG463" s="244"/>
      <c r="CH463" s="238"/>
      <c r="CI463" s="238" t="s">
        <v>903</v>
      </c>
      <c r="CJ463" s="243" t="s">
        <v>904</v>
      </c>
      <c r="CK463" s="238"/>
      <c r="CL463" s="245" t="s">
        <v>905</v>
      </c>
      <c r="CM463" s="245" t="s">
        <v>906</v>
      </c>
      <c r="CN463" s="245" t="s">
        <v>907</v>
      </c>
      <c r="CO463" s="245" t="s">
        <v>908</v>
      </c>
      <c r="CP463" s="245" t="s">
        <v>909</v>
      </c>
      <c r="CQ463" s="246" t="s">
        <v>910</v>
      </c>
      <c r="CR463" s="247"/>
      <c r="CS463" s="246" t="s">
        <v>911</v>
      </c>
      <c r="CT463" s="248"/>
      <c r="CU463" s="246" t="s">
        <v>912</v>
      </c>
      <c r="CV463" s="248"/>
      <c r="CW463" s="246" t="s">
        <v>913</v>
      </c>
      <c r="CX463" s="248"/>
      <c r="CY463" s="238"/>
      <c r="CZ463" s="238"/>
      <c r="DA463" s="238"/>
      <c r="DB463" s="238"/>
      <c r="DC463" s="249" t="s">
        <v>165</v>
      </c>
      <c r="DD463" s="249" t="s">
        <v>165</v>
      </c>
      <c r="DE463" s="249" t="s">
        <v>165</v>
      </c>
      <c r="DF463" s="238"/>
      <c r="DG463" s="238" t="s">
        <v>914</v>
      </c>
      <c r="DH463" s="238" t="s">
        <v>930</v>
      </c>
      <c r="DI463" s="238" t="s">
        <v>931</v>
      </c>
      <c r="DK463" s="238" t="s">
        <v>932</v>
      </c>
      <c r="DL463" s="238" t="s">
        <v>933</v>
      </c>
      <c r="DM463" s="238" t="s">
        <v>869</v>
      </c>
      <c r="DN463" s="230" t="s">
        <v>915</v>
      </c>
      <c r="DO463" s="250" t="s">
        <v>915</v>
      </c>
      <c r="DP463" s="322" t="s">
        <v>934</v>
      </c>
      <c r="DQ463" s="238"/>
      <c r="DR463" s="166" t="s">
        <v>894</v>
      </c>
      <c r="DS463" s="166" t="s">
        <v>895</v>
      </c>
      <c r="DT463" s="166" t="s">
        <v>935</v>
      </c>
      <c r="DU463" s="166" t="s">
        <v>936</v>
      </c>
      <c r="DV463" s="251" t="s">
        <v>165</v>
      </c>
      <c r="DW463" s="251" t="s">
        <v>165</v>
      </c>
      <c r="DX463" s="238" t="s">
        <v>916</v>
      </c>
      <c r="DY463" s="238"/>
      <c r="DZ463" s="238"/>
      <c r="EA463" s="238"/>
      <c r="EB463" s="238"/>
      <c r="EC463" s="238"/>
      <c r="ED463" s="251" t="s">
        <v>165</v>
      </c>
      <c r="EE463" s="251" t="s">
        <v>165</v>
      </c>
      <c r="EF463" s="166"/>
      <c r="EG463" s="238"/>
      <c r="EH463" s="238"/>
      <c r="EI463" s="238"/>
      <c r="EJ463" s="238"/>
      <c r="EK463" s="238"/>
      <c r="EL463" s="238"/>
      <c r="EM463" s="238"/>
      <c r="EN463" s="238"/>
      <c r="EO463" s="246" t="s">
        <v>917</v>
      </c>
      <c r="EP463" s="247"/>
      <c r="EQ463" s="247"/>
      <c r="ER463" s="247"/>
      <c r="ES463" s="247"/>
      <c r="ET463" s="252"/>
      <c r="EU463" s="248"/>
      <c r="EV463" s="246" t="s">
        <v>918</v>
      </c>
      <c r="EW463" s="247"/>
      <c r="EX463" s="248"/>
      <c r="EY463" s="251" t="s">
        <v>165</v>
      </c>
      <c r="EZ463" s="246" t="s">
        <v>919</v>
      </c>
      <c r="FA463" s="247"/>
      <c r="FB463" s="248"/>
      <c r="FC463" s="246" t="s">
        <v>920</v>
      </c>
      <c r="FD463" s="247"/>
      <c r="FE463" s="248"/>
      <c r="FF463" s="238"/>
      <c r="FG463" s="238"/>
      <c r="FH463" s="238"/>
      <c r="FI463" s="238"/>
      <c r="FJ463" s="246" t="s">
        <v>917</v>
      </c>
      <c r="FK463" s="247"/>
      <c r="FL463" s="247"/>
      <c r="FM463" s="247"/>
      <c r="FN463" s="247"/>
      <c r="FO463" s="252"/>
      <c r="FP463" s="248"/>
      <c r="FQ463" s="246" t="s">
        <v>918</v>
      </c>
      <c r="FR463" s="247"/>
      <c r="FS463" s="248"/>
      <c r="FT463" s="251" t="s">
        <v>165</v>
      </c>
      <c r="FU463" s="246" t="s">
        <v>919</v>
      </c>
      <c r="FV463" s="247"/>
      <c r="FW463" s="248"/>
      <c r="FX463" s="246" t="s">
        <v>920</v>
      </c>
      <c r="FY463" s="247"/>
      <c r="FZ463" s="248"/>
      <c r="GD463" s="340"/>
      <c r="GE463" s="340"/>
      <c r="GF463" s="341" t="s">
        <v>968</v>
      </c>
      <c r="GG463" s="340"/>
      <c r="GH463" s="340"/>
      <c r="GI463" s="340"/>
      <c r="GJ463" s="341" t="s">
        <v>972</v>
      </c>
      <c r="GK463" s="340"/>
      <c r="GL463" s="340"/>
      <c r="GM463" s="340"/>
      <c r="GN463" s="341" t="s">
        <v>971</v>
      </c>
      <c r="GO463" s="340"/>
      <c r="GP463" s="340"/>
      <c r="GQ463" s="340"/>
      <c r="GR463" s="341" t="s">
        <v>970</v>
      </c>
      <c r="GS463" s="340"/>
      <c r="GT463" s="340"/>
      <c r="GU463" s="340"/>
      <c r="GV463" s="341" t="s">
        <v>969</v>
      </c>
      <c r="GW463" s="340"/>
      <c r="GX463" s="340"/>
      <c r="GY463" s="340"/>
      <c r="GZ463" s="342" t="s">
        <v>973</v>
      </c>
      <c r="HA463" s="340"/>
      <c r="HB463" s="340"/>
      <c r="HC463" s="340"/>
      <c r="HD463" s="342" t="s">
        <v>974</v>
      </c>
      <c r="HE463" s="340"/>
      <c r="HF463" s="340"/>
      <c r="HG463" s="340"/>
      <c r="HH463" s="340"/>
      <c r="HI463" s="340"/>
      <c r="HJ463" s="340"/>
      <c r="HK463" s="340"/>
      <c r="HL463" s="340"/>
      <c r="HM463" s="341"/>
      <c r="HN463" s="341"/>
      <c r="HO463" s="341"/>
      <c r="HP463" s="341"/>
      <c r="HQ463" s="341"/>
      <c r="HR463" s="341"/>
      <c r="HS463" s="238"/>
      <c r="HT463" s="238"/>
      <c r="HU463" s="238"/>
      <c r="HV463" s="238"/>
      <c r="HX463" s="238"/>
      <c r="HY463" s="238"/>
      <c r="HZ463" s="238"/>
      <c r="ID463" s="238"/>
    </row>
    <row r="464" spans="1:238" s="234" customFormat="1" ht="20.100000000000001" customHeight="1">
      <c r="A464" s="235"/>
      <c r="B464" s="231">
        <f>COUNT(AJ465,AJ464)</f>
        <v>0</v>
      </c>
      <c r="C464" s="325" t="str">
        <f>CONCATENATE(BG464,BE464)</f>
        <v>H</v>
      </c>
      <c r="D464" s="253" t="str">
        <f>REPT(DN464,1)</f>
        <v>1</v>
      </c>
      <c r="E464" s="254" t="str">
        <f>REPT(AH464,1)</f>
        <v/>
      </c>
      <c r="F464" s="168"/>
      <c r="G464" s="168"/>
      <c r="H464" s="168"/>
      <c r="I464" s="169"/>
      <c r="J464" s="255" t="str">
        <f>REPT(AM464,1)</f>
        <v/>
      </c>
      <c r="L464" s="309">
        <f>SUM(BS473)</f>
        <v>0</v>
      </c>
      <c r="M464" s="238"/>
      <c r="N464" s="255" t="str">
        <f>REPT(AP464,1)</f>
        <v/>
      </c>
      <c r="P464" s="309">
        <f>SUM(CF473)</f>
        <v>0</v>
      </c>
      <c r="Q464" s="310"/>
      <c r="R464" s="323" t="str">
        <f>CONCATENATE(BH464,BE464)</f>
        <v>G</v>
      </c>
      <c r="S464" s="253" t="str">
        <f>REPT(DO464,1)</f>
        <v>1</v>
      </c>
      <c r="T464" s="254" t="str">
        <f>REPT(AV464,1)</f>
        <v/>
      </c>
      <c r="U464" s="168"/>
      <c r="V464" s="168"/>
      <c r="W464" s="168"/>
      <c r="X464" s="169"/>
      <c r="Y464" s="255" t="str">
        <f>REPT(BA464,1)</f>
        <v/>
      </c>
      <c r="Z464" s="308"/>
      <c r="AB464" s="234">
        <f>IF(AY464="",0,IF(AY464&lt;2,1,""))</f>
        <v>0</v>
      </c>
      <c r="AC464" s="238">
        <f>IF(AD464=1,1,IF(AD464=3,1,IF(AD464=2,0,IF(AD464=0,0,0))))</f>
        <v>0</v>
      </c>
      <c r="AD464" s="256">
        <f>SUM(AE464:AG464)</f>
        <v>0</v>
      </c>
      <c r="AE464" s="256">
        <f t="shared" ref="AE464:AE468" si="1148">IF(F464="",0,1)</f>
        <v>0</v>
      </c>
      <c r="AF464" s="256">
        <f t="shared" ref="AF464:AF468" si="1149">IF(G464="",0,1)</f>
        <v>0</v>
      </c>
      <c r="AG464" s="256">
        <f>IF(H464="",0,1)</f>
        <v>0</v>
      </c>
      <c r="AH464" s="257" t="str">
        <f>IF(AK464="",IF(AI464="","",IF(AI464="",501,501-AI464)),501)</f>
        <v/>
      </c>
      <c r="AI464" s="256" t="str">
        <f>IF(F464&gt;1,F464,IF(F464=0,"",IF(F464="","","")))</f>
        <v/>
      </c>
      <c r="AJ464" s="256" t="str">
        <f>IF(G464&gt;8,G464,IF(G464="","",""))</f>
        <v/>
      </c>
      <c r="AK464" s="256" t="str">
        <f>IF(H464&gt;1,H464,IF(H464="","",""))</f>
        <v/>
      </c>
      <c r="AL464" s="256" t="str">
        <f>IF(I464&gt;0,I464,IF(I464="","",""))</f>
        <v/>
      </c>
      <c r="AM464" s="258" t="str">
        <f>IF(BK464=0,"","X")</f>
        <v/>
      </c>
      <c r="AN464" s="237"/>
      <c r="AO464" s="237"/>
      <c r="AP464" s="258" t="str">
        <f>IF(BM464=0,"","X")</f>
        <v/>
      </c>
      <c r="AQ464" s="236">
        <f>IF(AR464=1,1,IF(AR464=3,1,IF(AR464=2,0,IF(AR464=0,0,0))))</f>
        <v>0</v>
      </c>
      <c r="AR464" s="256">
        <f>SUM(AS464:AU464)</f>
        <v>0</v>
      </c>
      <c r="AS464" s="256">
        <f t="shared" ref="AS464:AS468" si="1150">IF(U464="",0,1)</f>
        <v>0</v>
      </c>
      <c r="AT464" s="256">
        <f t="shared" ref="AT464:AT468" si="1151">IF(V464="",0,1)</f>
        <v>0</v>
      </c>
      <c r="AU464" s="256">
        <f>IF(W464="",0,1)</f>
        <v>0</v>
      </c>
      <c r="AV464" s="257" t="str">
        <f>IF(AY464="",IF(AW464="","",IF(AW464="",501,501-AW464)),501)</f>
        <v/>
      </c>
      <c r="AW464" s="256" t="str">
        <f>IF(U464&gt;1,U464,IF(U464=0,"",IF(U464="","","")))</f>
        <v/>
      </c>
      <c r="AX464" s="256" t="str">
        <f>IF(V464&gt;8,V464,IF(V464="","",""))</f>
        <v/>
      </c>
      <c r="AY464" s="256" t="str">
        <f>IF(W464&gt;1,W464,IF(W464="","",""))</f>
        <v/>
      </c>
      <c r="AZ464" s="256" t="str">
        <f>IF(X464&gt;0,X464,IF(X464="","",""))</f>
        <v/>
      </c>
      <c r="BA464" s="258" t="str">
        <f>IF(BL464=0,"","X")</f>
        <v/>
      </c>
      <c r="BF464" s="238" t="s">
        <v>894</v>
      </c>
      <c r="BG464" s="238" t="str">
        <f>CONCATENATE(BF464,AK461)</f>
        <v>H</v>
      </c>
      <c r="BH464" s="238" t="str">
        <f>CONCATENATE(BI464,AK461)</f>
        <v>G</v>
      </c>
      <c r="BI464" s="238" t="s">
        <v>895</v>
      </c>
      <c r="BJ464" s="238"/>
      <c r="BK464" s="251">
        <f>SUM(DD464,DV464,EY464,ED464,FF464,BQ464,BS464,AC464)</f>
        <v>0</v>
      </c>
      <c r="BL464" s="251">
        <f>SUM(DE464,DW464,EE464,FT464,GA464,BR464,BT464,AQ464)</f>
        <v>0</v>
      </c>
      <c r="BM464" s="259">
        <f>SUM(DC464,BK464:BL464,AC464,AQ464)</f>
        <v>0</v>
      </c>
      <c r="BN464" s="239">
        <f>COUNT(AK464)</f>
        <v>0</v>
      </c>
      <c r="BO464" s="239">
        <f>COUNT(AY464)</f>
        <v>0</v>
      </c>
      <c r="BP464" s="239">
        <f>IF(BN466=0,0,1)</f>
        <v>0</v>
      </c>
      <c r="BQ464" s="260">
        <f>IF(AL464="",0,IF(AL464&gt;2,1,0))</f>
        <v>0</v>
      </c>
      <c r="BR464" s="261">
        <f>IF(AZ464="",0,IF(AZ464&gt;2,1,0))</f>
        <v>0</v>
      </c>
      <c r="BS464" s="262">
        <f>IF(AJ464=9,IF(AK464&lt;141,1,0),0)</f>
        <v>0</v>
      </c>
      <c r="BT464" s="263">
        <f>IF(AX464=9,IF(AY464&lt;141,1,0),0)</f>
        <v>0</v>
      </c>
      <c r="BU464" s="242">
        <f>IF(H464,G464,0)</f>
        <v>0</v>
      </c>
      <c r="BV464" s="238">
        <f>IF(BU464&gt;0,AJ464/3,0)</f>
        <v>0</v>
      </c>
      <c r="BW464" s="238">
        <f>ROUNDUP(BV464,0)</f>
        <v>0</v>
      </c>
      <c r="BX464" s="244">
        <f>IF(MOD(BW464,2)=0,BW464,BW464+1)</f>
        <v>0</v>
      </c>
      <c r="BY464" s="238">
        <f>IF(AJ464&lt;9,"",SUM(BX464-BW464))</f>
        <v>0</v>
      </c>
      <c r="BZ464" s="238">
        <f>IF(BY464=1,AK464,0)</f>
        <v>0</v>
      </c>
      <c r="CA464" s="243" t="str">
        <f>IF(BY464=0,AK464,0)</f>
        <v/>
      </c>
      <c r="CB464" s="238"/>
      <c r="CC464" s="238"/>
      <c r="CD464" s="242">
        <f>IF(W464,V464,0)</f>
        <v>0</v>
      </c>
      <c r="CE464" s="238">
        <f>IF(CD464&gt;0,AX464/3,0)</f>
        <v>0</v>
      </c>
      <c r="CF464" s="238">
        <f>ROUNDUP(CE464,0)</f>
        <v>0</v>
      </c>
      <c r="CG464" s="244">
        <f>IF(MOD(CF464,2)=0,CF464,CF464+1)</f>
        <v>0</v>
      </c>
      <c r="CH464" s="238">
        <f>IF(AX464&lt;9,"",SUM(CG464-CF464))</f>
        <v>0</v>
      </c>
      <c r="CI464" s="238">
        <f>IF(CH464=1,AY464,0)</f>
        <v>0</v>
      </c>
      <c r="CJ464" s="243" t="str">
        <f>IF(CH464=0,AY464,0)</f>
        <v/>
      </c>
      <c r="CK464" s="238"/>
      <c r="CL464" s="245">
        <f>IF(COUNT(F464,H464)=1,0,1)</f>
        <v>1</v>
      </c>
      <c r="CM464" s="245">
        <f>IF(COUNT(F464,U464)=1,0,1)</f>
        <v>1</v>
      </c>
      <c r="CN464" s="245">
        <f>IF(COUNT(H464,W464)=1,0,1)</f>
        <v>1</v>
      </c>
      <c r="CO464" s="245">
        <f>IF(COUNT(G464,V464)=2,0,1)</f>
        <v>1</v>
      </c>
      <c r="CP464" s="245">
        <f>IF(COUNT(U464,W464)=1,0,1)</f>
        <v>1</v>
      </c>
      <c r="CQ464" s="245">
        <f>IF(SUM(G464-V464)&gt;3,1,0)</f>
        <v>0</v>
      </c>
      <c r="CR464" s="245">
        <f>IF(SUM(G464-V464)&lt;-3,1,0)</f>
        <v>0</v>
      </c>
      <c r="CS464" s="264">
        <f>IF(AJ464=9,IF(AH464&lt;141,1,0),IF(AH464="",0,IF(AH464&gt;1,0,1)))</f>
        <v>0</v>
      </c>
      <c r="CT464" s="264">
        <f>IF(AX464=9,IF(AV464&lt;141,1,0),IF(AV464="",0,IF(AV464&gt;1,0,1)))</f>
        <v>0</v>
      </c>
      <c r="CU464" s="264">
        <f>IF(AI464="",0,IF(AI464&lt;502,0,1))</f>
        <v>0</v>
      </c>
      <c r="CV464" s="264">
        <f>IF(AW464="",0,IF(AW464&lt;502,0,1))</f>
        <v>0</v>
      </c>
      <c r="CW464" s="264">
        <f>IF(AI464="",IF(AJ464&lt;9,1,0),IF(AJ464&lt;9,1,0))</f>
        <v>0</v>
      </c>
      <c r="CX464" s="264">
        <f>IF(AW464="",IF(AX464&lt;9,1,0),IF(AX464&lt;9,1,0))</f>
        <v>0</v>
      </c>
      <c r="CY464" s="374"/>
      <c r="CZ464" s="374"/>
      <c r="DA464" s="374"/>
      <c r="DB464" s="374"/>
      <c r="DC464" s="265">
        <f>IF(AJ464="",0,SUM(CL464:CX464))</f>
        <v>0</v>
      </c>
      <c r="DD464" s="265">
        <f>IF(AJ464="",0,SUM(CL464,CS464,CU464,CW464))</f>
        <v>0</v>
      </c>
      <c r="DE464" s="265">
        <f>IF(AJ464="",0,SUM(CP464,CT464,CV464,CX464))</f>
        <v>0</v>
      </c>
      <c r="DF464" s="238"/>
      <c r="DG464" s="248" t="str">
        <f>IF(G464="","",SUM(G464-V464))</f>
        <v/>
      </c>
      <c r="DH464" s="245">
        <f>IF(F464="",0,1)</f>
        <v>0</v>
      </c>
      <c r="DI464" s="245" t="str">
        <f>IF(DG464=0,DH464,DG464)</f>
        <v/>
      </c>
      <c r="DJ464" s="245" t="e">
        <f>SIGN(DI464)</f>
        <v>#VALUE!</v>
      </c>
      <c r="DK464" s="245" t="str">
        <f>IF(G464="","",IF(DJ464=1,"*",""))</f>
        <v/>
      </c>
      <c r="DL464" s="245" t="str">
        <f>IF(G464="","",IF(DJ464=-1,"*",IF(DJ464=0,"*","")))</f>
        <v/>
      </c>
      <c r="DM464" s="245">
        <v>1</v>
      </c>
      <c r="DN464" s="245" t="str">
        <f>CONCATENATE(DM464,DK464)</f>
        <v>1</v>
      </c>
      <c r="DO464" s="245" t="str">
        <f>CONCATENATE(DM464,DL464)</f>
        <v>1</v>
      </c>
      <c r="DP464" s="245">
        <f>IF(DK464="*",1,0)</f>
        <v>0</v>
      </c>
      <c r="DQ464" s="245">
        <f>IF(DL464="*",1,0)</f>
        <v>0</v>
      </c>
      <c r="DR464" s="245"/>
      <c r="DS464" s="245"/>
      <c r="DT464" s="245"/>
      <c r="DU464" s="245"/>
      <c r="DV464" s="266"/>
      <c r="DW464" s="266"/>
      <c r="DX464" s="238">
        <f>IF(AK464="",0,1)</f>
        <v>0</v>
      </c>
      <c r="DY464" s="238">
        <f>IF(DG464=-3,1,0)</f>
        <v>0</v>
      </c>
      <c r="DZ464" s="238">
        <f>SUM(DX464:DY464)</f>
        <v>0</v>
      </c>
      <c r="EA464" s="238">
        <f>IF(AK464="",1,0)</f>
        <v>1</v>
      </c>
      <c r="EB464" s="238">
        <f>IF(DG464=3,1,0)</f>
        <v>0</v>
      </c>
      <c r="EC464" s="238">
        <f>SUM(EA464:EB464)</f>
        <v>1</v>
      </c>
      <c r="ED464" s="267">
        <f>IF(EC464=2,1,0)</f>
        <v>0</v>
      </c>
      <c r="EE464" s="267">
        <f>IF(DZ464=2,1,0)</f>
        <v>0</v>
      </c>
      <c r="EG464" s="166"/>
      <c r="EH464" s="238"/>
      <c r="EI464" s="238"/>
      <c r="EJ464" s="238"/>
      <c r="EK464" s="238"/>
      <c r="EL464" s="238"/>
      <c r="EM464" s="245">
        <f>IF(AK464="",0,1)</f>
        <v>0</v>
      </c>
      <c r="EN464" s="245">
        <f>SUM(AK464)</f>
        <v>0</v>
      </c>
      <c r="EO464" s="268">
        <f>SUM(AJ464)</f>
        <v>0</v>
      </c>
      <c r="EP464" s="268">
        <f>SUM(G464/3)</f>
        <v>0</v>
      </c>
      <c r="EQ464" s="268" t="e">
        <f>SUM(EO464/EP464)</f>
        <v>#DIV/0!</v>
      </c>
      <c r="ER464" s="268">
        <f>ROUNDDOWN(EP464,0)</f>
        <v>0</v>
      </c>
      <c r="ES464" s="268">
        <f>SUM(EO464,-ER464*3)</f>
        <v>0</v>
      </c>
      <c r="ET464" s="269" t="b">
        <f>MOD(EN464/1,2)=0</f>
        <v>1</v>
      </c>
      <c r="EU464" s="245">
        <f>IF(ET464=FALSE,1,0)</f>
        <v>0</v>
      </c>
      <c r="EV464" s="245">
        <f>IF(EN464=50,0,IF(EN464&lt;40,1,0))</f>
        <v>1</v>
      </c>
      <c r="EW464" s="245">
        <f>SUM(EU464:EV464)</f>
        <v>1</v>
      </c>
      <c r="EX464" s="267">
        <f>IF(EN464=1,1,IF(EN464=50,0,IF(ES464=1,IF(EN464&gt;40,1,0),0)))</f>
        <v>0</v>
      </c>
      <c r="EY464" s="267">
        <f>IF(ES464=1,IF(EW464=2,1,0),0)+EX464+FB464+FE464</f>
        <v>0</v>
      </c>
      <c r="EZ464" s="245">
        <f>IF(EN464=109,1,IF(EN464=108,1,IF(EN464=106,1,IF(EN464=105,1,IF(EN464=103,1,IF(EN464=102,1,IF(EN464=99,1,0)))))))</f>
        <v>0</v>
      </c>
      <c r="FA464" s="245">
        <f>IF(EN464&gt;110,1,0)</f>
        <v>0</v>
      </c>
      <c r="FB464" s="267">
        <f>IF(ES464=2,SUM(EZ464:FA464),0)</f>
        <v>0</v>
      </c>
      <c r="FC464" s="245">
        <f>IF(EN464=159,1,IF(EN464=162,1,IF(EN464=163,1,IF(EN464=165,1,IF(EN464=166,1,IF(EN464=168,1,IF(EN464=169,1,0)))))))</f>
        <v>0</v>
      </c>
      <c r="FD464" s="245">
        <f>IF(EN464&gt;170,1,0)</f>
        <v>0</v>
      </c>
      <c r="FE464" s="267">
        <f>IF(ES464=0,SUM(FC464:FD464),0)</f>
        <v>0</v>
      </c>
      <c r="FF464" s="251">
        <f>IF(AJ464="",0,IF(AI464="",0,IF(EO464/ER464-3=0,0,1)))</f>
        <v>0</v>
      </c>
      <c r="FG464" s="238"/>
      <c r="FH464" s="245">
        <f>IF(AY464="",0,1)</f>
        <v>0</v>
      </c>
      <c r="FI464" s="245">
        <f>SUM(AY464)</f>
        <v>0</v>
      </c>
      <c r="FJ464" s="268">
        <f>SUM(AX464)</f>
        <v>0</v>
      </c>
      <c r="FK464" s="268">
        <f>SUM(V464/3)</f>
        <v>0</v>
      </c>
      <c r="FL464" s="268" t="e">
        <f>SUM(FJ464/FK464)</f>
        <v>#DIV/0!</v>
      </c>
      <c r="FM464" s="268">
        <f>ROUNDDOWN(FK464,0)</f>
        <v>0</v>
      </c>
      <c r="FN464" s="268">
        <f>SUM(FJ464,-FM464*3)</f>
        <v>0</v>
      </c>
      <c r="FO464" s="269" t="b">
        <f>MOD(FI464/1,2)=0</f>
        <v>1</v>
      </c>
      <c r="FP464" s="245">
        <f>IF(FO464=FALSE,1,0)</f>
        <v>0</v>
      </c>
      <c r="FQ464" s="245">
        <f>IF(FI464=50,0,IF(FI464&lt;40,1,0))</f>
        <v>1</v>
      </c>
      <c r="FR464" s="245">
        <f>SUM(FP464:FQ464)</f>
        <v>1</v>
      </c>
      <c r="FS464" s="267">
        <f>IF(FI464=1,1,IF(FI464=50,0,IF(FN464=1,IF(FI464&gt;40,1,0),0)))</f>
        <v>0</v>
      </c>
      <c r="FT464" s="267">
        <f>IF(FN464=1,IF(FR464=2,1,0),0)+FS464+FW464+FZ464</f>
        <v>0</v>
      </c>
      <c r="FU464" s="245">
        <f>IF(FI464=109,1,IF(FI464=108,1,IF(FI464=106,1,IF(FI464=105,1,IF(FI464=103,1,IF(FI464=102,1,IF(FI464=99,1,0)))))))</f>
        <v>0</v>
      </c>
      <c r="FV464" s="245">
        <f>IF(FI464&gt;110,1,0)</f>
        <v>0</v>
      </c>
      <c r="FW464" s="267">
        <f>IF(FN464=2,SUM(FU464:FV464),0)</f>
        <v>0</v>
      </c>
      <c r="FX464" s="245">
        <f>IF(FI464=159,1,IF(FI464=162,1,IF(FI464=163,1,IF(FI464=165,1,IF(FI464=166,1,IF(FI464=168,1,IF(FI464=169,1,0)))))))</f>
        <v>0</v>
      </c>
      <c r="FY464" s="245">
        <f>IF(FI464&gt;170,1,0)</f>
        <v>0</v>
      </c>
      <c r="FZ464" s="267">
        <f>IF(FN464=0,SUM(FX464:FY464),0)</f>
        <v>0</v>
      </c>
      <c r="GA464" s="251">
        <f>IF(AX464="",0,IF(AW464="",0,IF(FJ464/FM464-3=0,0,1)))</f>
        <v>0</v>
      </c>
      <c r="GD464" s="341">
        <f>IF(AK461="D",1,0)</f>
        <v>0</v>
      </c>
      <c r="GE464" s="343"/>
      <c r="GF464" s="343" t="s">
        <v>866</v>
      </c>
      <c r="GG464" s="343" t="s">
        <v>868</v>
      </c>
      <c r="GH464" s="343" t="s">
        <v>848</v>
      </c>
      <c r="GI464" s="343">
        <v>180</v>
      </c>
      <c r="GJ464" s="343" t="s">
        <v>866</v>
      </c>
      <c r="GK464" s="343" t="s">
        <v>868</v>
      </c>
      <c r="GL464" s="343" t="s">
        <v>848</v>
      </c>
      <c r="GM464" s="343">
        <v>180</v>
      </c>
      <c r="GN464" s="343" t="s">
        <v>866</v>
      </c>
      <c r="GO464" s="343" t="s">
        <v>868</v>
      </c>
      <c r="GP464" s="343" t="s">
        <v>848</v>
      </c>
      <c r="GQ464" s="343">
        <v>180</v>
      </c>
      <c r="GR464" s="343" t="s">
        <v>866</v>
      </c>
      <c r="GS464" s="343" t="s">
        <v>868</v>
      </c>
      <c r="GT464" s="343" t="s">
        <v>848</v>
      </c>
      <c r="GU464" s="343">
        <v>180</v>
      </c>
      <c r="GV464" s="343" t="s">
        <v>866</v>
      </c>
      <c r="GW464" s="343" t="s">
        <v>868</v>
      </c>
      <c r="GX464" s="343" t="s">
        <v>848</v>
      </c>
      <c r="GY464" s="343">
        <v>180</v>
      </c>
      <c r="GZ464" s="343" t="s">
        <v>866</v>
      </c>
      <c r="HA464" s="343" t="s">
        <v>868</v>
      </c>
      <c r="HB464" s="343" t="s">
        <v>848</v>
      </c>
      <c r="HC464" s="343">
        <v>180</v>
      </c>
      <c r="HD464" s="343" t="s">
        <v>866</v>
      </c>
      <c r="HE464" s="343" t="s">
        <v>868</v>
      </c>
      <c r="HF464" s="341" t="s">
        <v>975</v>
      </c>
      <c r="HG464" s="341" t="s">
        <v>976</v>
      </c>
      <c r="HH464" s="341" t="s">
        <v>899</v>
      </c>
      <c r="HJ464" s="238"/>
      <c r="HK464" s="238"/>
      <c r="HL464" s="238"/>
      <c r="HM464" s="238">
        <f>COUNT(HI465,HJ465,HK465,HL465,HM465)</f>
        <v>0</v>
      </c>
      <c r="HN464" s="341"/>
      <c r="HO464" s="341"/>
      <c r="HP464" s="341"/>
      <c r="HQ464" s="341"/>
      <c r="HR464" s="341"/>
      <c r="HS464" s="238"/>
      <c r="HT464" s="238"/>
      <c r="HU464" s="238"/>
      <c r="HV464" s="238"/>
      <c r="HX464" s="238"/>
      <c r="HY464" s="238"/>
      <c r="ID464" s="238"/>
    </row>
    <row r="465" spans="1:238" s="234" customFormat="1" ht="20.100000000000001" customHeight="1">
      <c r="A465" s="235"/>
      <c r="B465" s="231">
        <f>COUNT(AJ466,AJ465)</f>
        <v>0</v>
      </c>
      <c r="C465" s="326" t="str">
        <f>IF(DK464="*",AJ461,AI461)</f>
        <v/>
      </c>
      <c r="D465" s="253" t="str">
        <f>REPT(DN465,1)</f>
        <v>2</v>
      </c>
      <c r="E465" s="254" t="str">
        <f>REPT(AH465,1)</f>
        <v/>
      </c>
      <c r="F465" s="168"/>
      <c r="G465" s="168"/>
      <c r="H465" s="168"/>
      <c r="I465" s="169"/>
      <c r="J465" s="270" t="str">
        <f>REPT(AM465,1)</f>
        <v/>
      </c>
      <c r="L465" s="306" t="s">
        <v>922</v>
      </c>
      <c r="M465" s="311"/>
      <c r="N465" s="270" t="str">
        <f>REPT(AP465,1)</f>
        <v/>
      </c>
      <c r="P465" s="306" t="s">
        <v>922</v>
      </c>
      <c r="Q465" s="310"/>
      <c r="R465" s="324" t="str">
        <f>IF(DL464="*",AJ461,AI461)</f>
        <v/>
      </c>
      <c r="S465" s="253" t="str">
        <f>REPT(DO465,1)</f>
        <v>2</v>
      </c>
      <c r="T465" s="254" t="str">
        <f>REPT(AV465,1)</f>
        <v/>
      </c>
      <c r="U465" s="168"/>
      <c r="V465" s="168"/>
      <c r="W465" s="168"/>
      <c r="X465" s="169"/>
      <c r="Y465" s="270" t="str">
        <f t="shared" ref="Y465:Y467" si="1152">REPT(BA465,1)</f>
        <v/>
      </c>
      <c r="Z465" s="308"/>
      <c r="AB465" s="234">
        <f>IF(AY465="",0,IF(AY465&lt;2,1,""))</f>
        <v>0</v>
      </c>
      <c r="AC465" s="238">
        <f t="shared" ref="AC465:AC466" si="1153">IF(AD465=1,1,IF(AD465=3,1,IF(AD465=2,0,IF(AD465=0,0,0))))</f>
        <v>0</v>
      </c>
      <c r="AD465" s="256">
        <f t="shared" ref="AD465:AD468" si="1154">SUM(AE465:AG465)</f>
        <v>0</v>
      </c>
      <c r="AE465" s="256">
        <f t="shared" si="1148"/>
        <v>0</v>
      </c>
      <c r="AF465" s="256">
        <f t="shared" si="1149"/>
        <v>0</v>
      </c>
      <c r="AG465" s="256">
        <f t="shared" ref="AG465:AG468" si="1155">IF(H465="",0,1)</f>
        <v>0</v>
      </c>
      <c r="AH465" s="257" t="str">
        <f>IF(AK465="",IF(AI465="","",IF(AI465="",501,501-AI465)),501)</f>
        <v/>
      </c>
      <c r="AI465" s="256" t="str">
        <f>IF(F465&gt;1,F465,IF(F465=0,"",IF(F465="","","")))</f>
        <v/>
      </c>
      <c r="AJ465" s="256" t="str">
        <f>IF(G465&gt;8,G465,IF(G465="","",""))</f>
        <v/>
      </c>
      <c r="AK465" s="256" t="str">
        <f>IF(H465&gt;1,H465,IF(H465="","",""))</f>
        <v/>
      </c>
      <c r="AL465" s="256" t="str">
        <f>IF(I465&gt;0,I465,IF(I465="","",""))</f>
        <v/>
      </c>
      <c r="AM465" s="258" t="str">
        <f>IF(BK465=0,"","X")</f>
        <v/>
      </c>
      <c r="AN465" s="237"/>
      <c r="AO465" s="237"/>
      <c r="AP465" s="258" t="str">
        <f>IF(BM465=0,"","X")</f>
        <v/>
      </c>
      <c r="AQ465" s="236">
        <f t="shared" ref="AQ465:AQ466" si="1156">IF(AR465=1,1,IF(AR465=3,1,IF(AR465=2,0,IF(AR465=0,0,0))))</f>
        <v>0</v>
      </c>
      <c r="AR465" s="256">
        <f t="shared" ref="AR465:AR468" si="1157">SUM(AS465:AU465)</f>
        <v>0</v>
      </c>
      <c r="AS465" s="256">
        <f t="shared" si="1150"/>
        <v>0</v>
      </c>
      <c r="AT465" s="256">
        <f t="shared" si="1151"/>
        <v>0</v>
      </c>
      <c r="AU465" s="256">
        <f t="shared" ref="AU465:AU468" si="1158">IF(W465="",0,1)</f>
        <v>0</v>
      </c>
      <c r="AV465" s="257" t="str">
        <f>IF(AY465="",IF(AW465="","",IF(AW465="",501,501-AW465)),501)</f>
        <v/>
      </c>
      <c r="AW465" s="256" t="str">
        <f>IF(U465&gt;1,U465,IF(U465=0,"",IF(U465="","","")))</f>
        <v/>
      </c>
      <c r="AX465" s="256" t="str">
        <f>IF(V465&gt;8,V465,IF(V465="","",""))</f>
        <v/>
      </c>
      <c r="AY465" s="256" t="str">
        <f>IF(W465&gt;1,W465,IF(W465="","",""))</f>
        <v/>
      </c>
      <c r="AZ465" s="256" t="str">
        <f>IF(X465&gt;0,X465,IF(X465="","",""))</f>
        <v/>
      </c>
      <c r="BA465" s="258" t="str">
        <f>IF(BL465=0,"","X")</f>
        <v/>
      </c>
      <c r="BK465" s="251">
        <f>SUM(DD465,DV465,EY465,ED465,FF465,BQ465,BS465,AC465)</f>
        <v>0</v>
      </c>
      <c r="BL465" s="251">
        <f>SUM(DE465,DW465,EE465,FT465,GA465,BR465,BT465,AQ465)</f>
        <v>0</v>
      </c>
      <c r="BM465" s="259">
        <f t="shared" ref="BM465:BM466" si="1159">SUM(DC465,BK465:BL465,AC465,AQ465)</f>
        <v>0</v>
      </c>
      <c r="BN465" s="239">
        <f>COUNT(AK465)</f>
        <v>0</v>
      </c>
      <c r="BO465" s="239">
        <f>COUNT(AY465)</f>
        <v>0</v>
      </c>
      <c r="BP465" s="239">
        <f>IF(BN467=0,0,1)</f>
        <v>0</v>
      </c>
      <c r="BQ465" s="260">
        <f>IF(AL465="",0,IF(AL465&gt;2,1,0))</f>
        <v>0</v>
      </c>
      <c r="BR465" s="261">
        <f>IF(AZ465="",0,IF(AZ465&gt;2,1,0))</f>
        <v>0</v>
      </c>
      <c r="BS465" s="262">
        <f>IF(AJ465=9,IF(AK465&lt;141,1,0),0)</f>
        <v>0</v>
      </c>
      <c r="BT465" s="263">
        <f>IF(AX465=9,IF(AY465&lt;141,1,0),0)</f>
        <v>0</v>
      </c>
      <c r="BU465" s="242">
        <f>IF(H465,G465,0)</f>
        <v>0</v>
      </c>
      <c r="BV465" s="238">
        <f>IF(BU465&gt;0,AJ465/3,0)</f>
        <v>0</v>
      </c>
      <c r="BW465" s="238">
        <f>ROUNDUP(BV465,0)</f>
        <v>0</v>
      </c>
      <c r="BX465" s="244">
        <f>IF(MOD(BW465,2)=0,BW465,BW465+1)</f>
        <v>0</v>
      </c>
      <c r="BY465" s="238">
        <f>IF(AJ465&lt;9,"",SUM(BX465-BW465))</f>
        <v>0</v>
      </c>
      <c r="BZ465" s="238">
        <f>IF(BY465=1,AK465,0)</f>
        <v>0</v>
      </c>
      <c r="CA465" s="243" t="str">
        <f>IF(BY465=0,AK465,0)</f>
        <v/>
      </c>
      <c r="CB465" s="238"/>
      <c r="CC465" s="238"/>
      <c r="CD465" s="242">
        <f>IF(W465,V465,0)</f>
        <v>0</v>
      </c>
      <c r="CE465" s="238">
        <f>IF(CD465&gt;0,AX465/3,0)</f>
        <v>0</v>
      </c>
      <c r="CF465" s="238">
        <f>ROUNDUP(CE465,0)</f>
        <v>0</v>
      </c>
      <c r="CG465" s="244">
        <f>IF(MOD(CF465,2)=0,CF465,CF465+1)</f>
        <v>0</v>
      </c>
      <c r="CH465" s="238">
        <f>IF(AX465&lt;9,"",SUM(CG465-CF465))</f>
        <v>0</v>
      </c>
      <c r="CI465" s="238">
        <f>IF(CH465=1,AY465,0)</f>
        <v>0</v>
      </c>
      <c r="CJ465" s="243" t="str">
        <f>IF(CH465=0,AY465,0)</f>
        <v/>
      </c>
      <c r="CK465" s="238"/>
      <c r="CL465" s="245">
        <f>IF(COUNT(F465,H465)=1,0,1)</f>
        <v>1</v>
      </c>
      <c r="CM465" s="245">
        <f>IF(COUNT(F465,U465)=1,0,1)</f>
        <v>1</v>
      </c>
      <c r="CN465" s="245">
        <f>IF(COUNT(H465,W465)=1,0,1)</f>
        <v>1</v>
      </c>
      <c r="CO465" s="245">
        <f>IF(COUNT(G465,V465)=2,0,1)</f>
        <v>1</v>
      </c>
      <c r="CP465" s="245">
        <f>IF(COUNT(U465,W465)=1,0,1)</f>
        <v>1</v>
      </c>
      <c r="CQ465" s="245">
        <f>IF(SUM(G465-V465)&gt;3,1,0)</f>
        <v>0</v>
      </c>
      <c r="CR465" s="245">
        <f>IF(SUM(G465-V465)&lt;-3,1,0)</f>
        <v>0</v>
      </c>
      <c r="CS465" s="264">
        <f>IF(AJ465=9,IF(AH465&lt;141,1,0),IF(AH465="",0,IF(AH465&gt;1,0,1)))</f>
        <v>0</v>
      </c>
      <c r="CT465" s="264">
        <f>IF(AX465=9,IF(AV465&lt;141,1,0),IF(AV465="",0,IF(AV465&gt;1,0,1)))</f>
        <v>0</v>
      </c>
      <c r="CU465" s="264">
        <f>IF(AI465="",0,IF(AI465&lt;502,0,1))</f>
        <v>0</v>
      </c>
      <c r="CV465" s="264">
        <f>IF(AW465="",0,IF(AW465&lt;502,0,1))</f>
        <v>0</v>
      </c>
      <c r="CW465" s="264">
        <f>IF(AI465="",IF(AJ465&lt;9,1,0),IF(AJ465&lt;9,1,0))</f>
        <v>0</v>
      </c>
      <c r="CX465" s="264">
        <f>IF(AW465="",IF(AX465&lt;9,1,0),IF(AX465&lt;9,1,0))</f>
        <v>0</v>
      </c>
      <c r="CY465" s="374"/>
      <c r="CZ465" s="374"/>
      <c r="DA465" s="374"/>
      <c r="DB465" s="374"/>
      <c r="DC465" s="265">
        <f>IF(AJ465="",0,SUM(CL465:CX465))</f>
        <v>0</v>
      </c>
      <c r="DD465" s="265">
        <f>IF(AJ465="",0,SUM(CL465,CS465,CU465,CW465))</f>
        <v>0</v>
      </c>
      <c r="DE465" s="265">
        <f>IF(AJ465="",0,SUM(CP465,CT465,CV465,CX465))</f>
        <v>0</v>
      </c>
      <c r="DF465" s="238"/>
      <c r="DG465" s="248">
        <f>SUM(G465-V465)</f>
        <v>0</v>
      </c>
      <c r="DH465" s="245">
        <f>IF(F465="",0,1)</f>
        <v>0</v>
      </c>
      <c r="DI465" s="245">
        <f t="shared" ref="DI465:DI468" si="1160">IF(DG465=0,DH465,DG465)</f>
        <v>0</v>
      </c>
      <c r="DJ465" s="245">
        <f t="shared" ref="DJ465:DJ468" si="1161">SIGN(DI465)</f>
        <v>0</v>
      </c>
      <c r="DK465" s="245" t="str">
        <f>IF(G465="","",IF(DJ465=1,"*",""))</f>
        <v/>
      </c>
      <c r="DL465" s="245" t="str">
        <f>IF(G465="","",IF(DJ465=-1,"*",IF(DJ465=0,"*","")))</f>
        <v/>
      </c>
      <c r="DM465" s="245">
        <v>2</v>
      </c>
      <c r="DN465" s="245" t="str">
        <f t="shared" ref="DN465:DN468" si="1162">CONCATENATE(DM465,DK465)</f>
        <v>2</v>
      </c>
      <c r="DO465" s="245" t="str">
        <f t="shared" ref="DO465:DO468" si="1163">CONCATENATE(DM465,DL465)</f>
        <v>2</v>
      </c>
      <c r="DP465" s="245">
        <f>SUM(DQ464)</f>
        <v>0</v>
      </c>
      <c r="DQ465" s="245">
        <f>SUM(DP464)</f>
        <v>0</v>
      </c>
      <c r="DR465" s="245">
        <f>IF(DK465="*",1,0)</f>
        <v>0</v>
      </c>
      <c r="DS465" s="245">
        <f>IF(DL465="*",1,0)</f>
        <v>0</v>
      </c>
      <c r="DT465" s="245">
        <f>IF(H455="",0,IF(DP465=DR465,1,0))</f>
        <v>0</v>
      </c>
      <c r="DU465" s="245">
        <f>IF(V465="",0,IF(DQ465=DS465,0,1))</f>
        <v>0</v>
      </c>
      <c r="DV465" s="267">
        <f>SUM(DT465)</f>
        <v>0</v>
      </c>
      <c r="DW465" s="267">
        <f>IF(V465="",0,SUM(DU465))</f>
        <v>0</v>
      </c>
      <c r="DX465" s="238">
        <f>IF(AK465="",0,1)</f>
        <v>0</v>
      </c>
      <c r="DY465" s="238">
        <f>IF(DG465=-3,1,0)</f>
        <v>0</v>
      </c>
      <c r="DZ465" s="238">
        <f>SUM(DX465:DY465)</f>
        <v>0</v>
      </c>
      <c r="EA465" s="238">
        <f>IF(AK465="",1,0)</f>
        <v>1</v>
      </c>
      <c r="EB465" s="238">
        <f>IF(DG465=3,1,0)</f>
        <v>0</v>
      </c>
      <c r="EC465" s="238">
        <f>SUM(EA465:EB465)</f>
        <v>1</v>
      </c>
      <c r="ED465" s="267">
        <f>IF(EC465=2,1,0)</f>
        <v>0</v>
      </c>
      <c r="EE465" s="267">
        <f>IF(DZ465=2,1,0)</f>
        <v>0</v>
      </c>
      <c r="EG465" s="166"/>
      <c r="EH465" s="238"/>
      <c r="EI465" s="238"/>
      <c r="EJ465" s="238"/>
      <c r="EK465" s="238"/>
      <c r="EL465" s="238"/>
      <c r="EM465" s="245">
        <f>IF(AK465="",0,1)</f>
        <v>0</v>
      </c>
      <c r="EN465" s="245">
        <f>SUM(AK465)</f>
        <v>0</v>
      </c>
      <c r="EO465" s="268">
        <f>SUM(AJ465)</f>
        <v>0</v>
      </c>
      <c r="EP465" s="268">
        <f>SUM(G465/3)</f>
        <v>0</v>
      </c>
      <c r="EQ465" s="268" t="e">
        <f>SUM(EO465/EP465)</f>
        <v>#DIV/0!</v>
      </c>
      <c r="ER465" s="268">
        <f>ROUNDDOWN(EP465,0)</f>
        <v>0</v>
      </c>
      <c r="ES465" s="268">
        <f>SUM(EO465,-ER465*3)</f>
        <v>0</v>
      </c>
      <c r="ET465" s="269" t="b">
        <f>MOD(EN465/1,2)=0</f>
        <v>1</v>
      </c>
      <c r="EU465" s="245">
        <f>IF(ET465=FALSE,1,0)</f>
        <v>0</v>
      </c>
      <c r="EV465" s="245">
        <f>IF(EN465=50,0,IF(EN465&lt;40,1,0))</f>
        <v>1</v>
      </c>
      <c r="EW465" s="245">
        <f>SUM(EU465:EV465)</f>
        <v>1</v>
      </c>
      <c r="EX465" s="267">
        <f>IF(EN465=1,1,IF(EN465=50,0,IF(ES465=1,IF(EN465&gt;40,1,0),0)))</f>
        <v>0</v>
      </c>
      <c r="EY465" s="267">
        <f>IF(ES465=1,IF(EW465=2,1,0),0)+EX465+FB465+FE465</f>
        <v>0</v>
      </c>
      <c r="EZ465" s="245">
        <f>IF(EN465=109,1,IF(EN465=108,1,IF(EN465=106,1,IF(EN465=105,1,IF(EN465=103,1,IF(EN465=102,1,IF(EN465=99,1,0)))))))</f>
        <v>0</v>
      </c>
      <c r="FA465" s="245">
        <f>IF(EN465&gt;110,1,0)</f>
        <v>0</v>
      </c>
      <c r="FB465" s="267">
        <f>IF(ES465=2,SUM(EZ465:FA465),0)</f>
        <v>0</v>
      </c>
      <c r="FC465" s="245">
        <f>IF(EN465=159,1,IF(EN465=162,1,IF(EN465=163,1,IF(EN465=165,1,IF(EN465=166,1,IF(EN465=168,1,IF(EN465=169,1,0)))))))</f>
        <v>0</v>
      </c>
      <c r="FD465" s="245">
        <f>IF(EN465&gt;170,1,0)</f>
        <v>0</v>
      </c>
      <c r="FE465" s="267">
        <f>IF(ES465=0,SUM(FC465:FD465),0)</f>
        <v>0</v>
      </c>
      <c r="FF465" s="251">
        <f t="shared" ref="FF465:FF468" si="1164">IF(AJ465="",0,IF(AI465="",0,IF(EO465/ER465-3=0,0,1)))</f>
        <v>0</v>
      </c>
      <c r="FG465" s="238"/>
      <c r="FH465" s="245">
        <f>IF(AY465="",0,1)</f>
        <v>0</v>
      </c>
      <c r="FI465" s="245">
        <f>SUM(AY465)</f>
        <v>0</v>
      </c>
      <c r="FJ465" s="268">
        <f>SUM(AX465)</f>
        <v>0</v>
      </c>
      <c r="FK465" s="268">
        <f>SUM(V465/3)</f>
        <v>0</v>
      </c>
      <c r="FL465" s="268" t="e">
        <f>SUM(FJ465/FK465)</f>
        <v>#DIV/0!</v>
      </c>
      <c r="FM465" s="268">
        <f>ROUNDDOWN(FK465,0)</f>
        <v>0</v>
      </c>
      <c r="FN465" s="268">
        <f>SUM(FJ465,-FM465*3)</f>
        <v>0</v>
      </c>
      <c r="FO465" s="269" t="b">
        <f>MOD(FI465/1,2)=0</f>
        <v>1</v>
      </c>
      <c r="FP465" s="245">
        <f>IF(FO465=FALSE,1,0)</f>
        <v>0</v>
      </c>
      <c r="FQ465" s="245">
        <f>IF(FI465=50,0,IF(FI465&lt;40,1,0))</f>
        <v>1</v>
      </c>
      <c r="FR465" s="245">
        <f>SUM(FP465:FQ465)</f>
        <v>1</v>
      </c>
      <c r="FS465" s="267">
        <f>IF(FI465=1,1,IF(FI465=50,0,IF(FN465=1,IF(FI465&gt;40,1,0),0)))</f>
        <v>0</v>
      </c>
      <c r="FT465" s="267">
        <f>IF(FN465=1,IF(FR465=2,1,0),0)+FS465+FW465+FZ465</f>
        <v>0</v>
      </c>
      <c r="FU465" s="245">
        <f>IF(FI465=109,1,IF(FI465=108,1,IF(FI465=106,1,IF(FI465=105,1,IF(FI465=103,1,IF(FI465=102,1,IF(FI465=99,1,0)))))))</f>
        <v>0</v>
      </c>
      <c r="FV465" s="245">
        <f>IF(FI465&gt;110,1,0)</f>
        <v>0</v>
      </c>
      <c r="FW465" s="267">
        <f>IF(FN465=2,SUM(FU465:FV465),0)</f>
        <v>0</v>
      </c>
      <c r="FX465" s="245">
        <f>IF(FI465=159,1,IF(FI465=162,1,IF(FI465=163,1,IF(FI465=165,1,IF(FI465=166,1,IF(FI465=168,1,IF(FI465=169,1,0)))))))</f>
        <v>0</v>
      </c>
      <c r="FY465" s="245">
        <f>IF(FI465&gt;170,1,0)</f>
        <v>0</v>
      </c>
      <c r="FZ465" s="267">
        <f>IF(FN465=0,SUM(FX465:FY465),0)</f>
        <v>0</v>
      </c>
      <c r="GA465" s="251">
        <f t="shared" ref="GA465:GA468" si="1165">IF(AX465="",0,IF(AW465="",0,IF(FJ465/FM465-3=0,0,1)))</f>
        <v>0</v>
      </c>
      <c r="GC465" s="238" t="str">
        <f>VLOOKUP(AH461,Chema!BL:BR,2,FALSE)</f>
        <v/>
      </c>
      <c r="GD465" s="341">
        <f>IF(E471="FORFAIT",1,0)</f>
        <v>0</v>
      </c>
      <c r="GE465" s="343" t="str">
        <f>IF(C471="","",SUM(C471))</f>
        <v/>
      </c>
      <c r="GF465" s="344">
        <f>SUM(AH464)</f>
        <v>0</v>
      </c>
      <c r="GG465" s="344">
        <f>SUM(AJ464)</f>
        <v>0</v>
      </c>
      <c r="GH465" s="344">
        <f t="shared" ref="GH465" si="1166">SUM(AK464)</f>
        <v>0</v>
      </c>
      <c r="GI465" s="344">
        <f t="shared" ref="GI465" si="1167">SUM(AL464)</f>
        <v>0</v>
      </c>
      <c r="GJ465" s="344">
        <f>SUM(AH465)</f>
        <v>0</v>
      </c>
      <c r="GK465" s="344">
        <f>SUM(AJ465)</f>
        <v>0</v>
      </c>
      <c r="GL465" s="344">
        <f>SUM(AK465)</f>
        <v>0</v>
      </c>
      <c r="GM465" s="344">
        <f>SUM(AL465)</f>
        <v>0</v>
      </c>
      <c r="GN465" s="344">
        <f>SUM(AH466)</f>
        <v>0</v>
      </c>
      <c r="GO465" s="344">
        <f>SUM(AJ466)</f>
        <v>0</v>
      </c>
      <c r="GP465" s="344">
        <f>SUM(AK466)</f>
        <v>0</v>
      </c>
      <c r="GQ465" s="344">
        <f>SUM(AL466)</f>
        <v>0</v>
      </c>
      <c r="GR465" s="344">
        <f>SUM(AH467)</f>
        <v>0</v>
      </c>
      <c r="GS465" s="344">
        <f>SUM(AJ467)</f>
        <v>0</v>
      </c>
      <c r="GT465" s="344">
        <f>SUM(AK467)</f>
        <v>0</v>
      </c>
      <c r="GU465" s="344">
        <f>SUM(AL467)</f>
        <v>0</v>
      </c>
      <c r="GV465" s="344">
        <f>SUM(AH468)</f>
        <v>0</v>
      </c>
      <c r="GW465" s="344">
        <f>SUM(AJ468)</f>
        <v>0</v>
      </c>
      <c r="GX465" s="344">
        <f>SUM(AK468)</f>
        <v>0</v>
      </c>
      <c r="GY465" s="344">
        <f>SUM(AL468)</f>
        <v>0</v>
      </c>
      <c r="GZ465" s="344">
        <f>SUM(GF465,GJ465,GN465,GR465,GV465)</f>
        <v>0</v>
      </c>
      <c r="HA465" s="344">
        <f t="shared" ref="HA465" si="1168">SUM(GG465,GK465,GO465,GS465,GW465)</f>
        <v>0</v>
      </c>
      <c r="HB465" s="344">
        <f>IF(GD464=1,L471,MAX(GH465,GL465,GP465,GT465,GX465))</f>
        <v>0</v>
      </c>
      <c r="HC465" s="344">
        <f>IF(GD464=1,I471,SUM(GI465,GM465,GQ465,GU465,GY465))</f>
        <v>0</v>
      </c>
      <c r="HD465" s="345">
        <f>IF(GD464=1,0,SUM(GF465,GJ465,GN465,GR465,GV465))</f>
        <v>0</v>
      </c>
      <c r="HE465" s="345">
        <f>IF(GD464=1,0,SUM(GG465,GK465,GO465,GS465,GW465))</f>
        <v>0</v>
      </c>
      <c r="HF465" s="341">
        <f>IF(GD464=1,0,MIN(HI465,HJ465,HK465,HL465,HM465))</f>
        <v>0</v>
      </c>
      <c r="HG465" s="341">
        <f>IF(HF465=0,0,COUNTIF(HI465:HM465,HF465))</f>
        <v>0</v>
      </c>
      <c r="HH465" s="341">
        <f>SUM(GH466,GL466,GP466,GT466,GX466)</f>
        <v>0</v>
      </c>
      <c r="HI465" s="343" t="str">
        <f>IF(GH466=1,GG465,"")</f>
        <v/>
      </c>
      <c r="HJ465" s="343" t="str">
        <f>IF(GL466=1,GK465,"")</f>
        <v/>
      </c>
      <c r="HK465" s="343" t="str">
        <f>IF(GP466=1,GO465,"")</f>
        <v/>
      </c>
      <c r="HL465" s="343" t="str">
        <f>IF(GT466=1,GS465,"")</f>
        <v/>
      </c>
      <c r="HM465" s="343" t="str">
        <f>IF(GX466=1,GW465,"")</f>
        <v/>
      </c>
      <c r="HN465" s="341"/>
      <c r="HO465" s="341" t="s">
        <v>928</v>
      </c>
      <c r="HP465" s="341" t="s">
        <v>982</v>
      </c>
      <c r="HQ465" s="341" t="s">
        <v>983</v>
      </c>
      <c r="HR465" s="341" t="s">
        <v>984</v>
      </c>
      <c r="HS465" s="238" t="s">
        <v>932</v>
      </c>
      <c r="HT465" s="238" t="s">
        <v>933</v>
      </c>
      <c r="HU465" s="238" t="s">
        <v>985</v>
      </c>
      <c r="HV465" s="238" t="s">
        <v>986</v>
      </c>
      <c r="HX465" s="238"/>
      <c r="HY465" s="238"/>
      <c r="ID465" s="238"/>
    </row>
    <row r="466" spans="1:238" s="234" customFormat="1" ht="20.100000000000001" customHeight="1">
      <c r="A466" s="235"/>
      <c r="B466" s="231">
        <f>COUNT(AJ467,AJ466)</f>
        <v>0</v>
      </c>
      <c r="C466" s="235"/>
      <c r="D466" s="271" t="str">
        <f>REPT(DN466,1)</f>
        <v>3</v>
      </c>
      <c r="E466" s="254" t="str">
        <f>REPT(AH466,1)</f>
        <v/>
      </c>
      <c r="F466" s="168"/>
      <c r="G466" s="168"/>
      <c r="H466" s="168"/>
      <c r="I466" s="169"/>
      <c r="J466" s="270" t="str">
        <f t="shared" ref="J466:J467" si="1169">REPT(AM466,1)</f>
        <v/>
      </c>
      <c r="L466" s="312">
        <f>SUM(L464*3)</f>
        <v>0</v>
      </c>
      <c r="M466" s="307"/>
      <c r="N466" s="270" t="str">
        <f>REPT(AP466,1)</f>
        <v/>
      </c>
      <c r="P466" s="312">
        <f>SUM(P464*3)</f>
        <v>0</v>
      </c>
      <c r="Q466" s="310"/>
      <c r="R466" s="235"/>
      <c r="S466" s="271" t="str">
        <f>REPT(DO466,1)</f>
        <v>3</v>
      </c>
      <c r="T466" s="254" t="str">
        <f>REPT(AV466,1)</f>
        <v/>
      </c>
      <c r="U466" s="168"/>
      <c r="V466" s="168"/>
      <c r="W466" s="168"/>
      <c r="X466" s="169"/>
      <c r="Y466" s="270" t="str">
        <f t="shared" si="1152"/>
        <v/>
      </c>
      <c r="Z466" s="308"/>
      <c r="AB466" s="234">
        <f>IF(AY466="",0,IF(AY466&lt;2,1,""))</f>
        <v>0</v>
      </c>
      <c r="AC466" s="238">
        <f t="shared" si="1153"/>
        <v>0</v>
      </c>
      <c r="AD466" s="256">
        <f t="shared" si="1154"/>
        <v>0</v>
      </c>
      <c r="AE466" s="256">
        <f t="shared" si="1148"/>
        <v>0</v>
      </c>
      <c r="AF466" s="256">
        <f t="shared" si="1149"/>
        <v>0</v>
      </c>
      <c r="AG466" s="256">
        <f t="shared" si="1155"/>
        <v>0</v>
      </c>
      <c r="AH466" s="257" t="str">
        <f>IF(AK466="",IF(AI466="","",IF(AI466="",501,501-AI466)),501)</f>
        <v/>
      </c>
      <c r="AI466" s="256" t="str">
        <f>IF(F466&gt;1,F466,IF(F466=0,"",IF(F466="","","")))</f>
        <v/>
      </c>
      <c r="AJ466" s="256" t="str">
        <f>IF(G466&gt;8,G466,IF(G466="","",""))</f>
        <v/>
      </c>
      <c r="AK466" s="256" t="str">
        <f>IF(H466&gt;1,H466,IF(H466="","",""))</f>
        <v/>
      </c>
      <c r="AL466" s="256" t="str">
        <f>IF(I466&gt;0,I466,IF(I466="","",""))</f>
        <v/>
      </c>
      <c r="AM466" s="258" t="str">
        <f>IF(BK466=0,"","X")</f>
        <v/>
      </c>
      <c r="AN466" s="237"/>
      <c r="AO466" s="237"/>
      <c r="AP466" s="258" t="str">
        <f>IF(BM466=0,"","X")</f>
        <v/>
      </c>
      <c r="AQ466" s="236">
        <f t="shared" si="1156"/>
        <v>0</v>
      </c>
      <c r="AR466" s="256">
        <f t="shared" si="1157"/>
        <v>0</v>
      </c>
      <c r="AS466" s="256">
        <f t="shared" si="1150"/>
        <v>0</v>
      </c>
      <c r="AT466" s="256">
        <f t="shared" si="1151"/>
        <v>0</v>
      </c>
      <c r="AU466" s="256">
        <f t="shared" si="1158"/>
        <v>0</v>
      </c>
      <c r="AV466" s="257" t="str">
        <f>IF(AY466="",IF(AW466="","",IF(AW466="",501,501-AW466)),501)</f>
        <v/>
      </c>
      <c r="AW466" s="256" t="str">
        <f>IF(U466&gt;1,U466,IF(U466=0,"",IF(U466="","","")))</f>
        <v/>
      </c>
      <c r="AX466" s="256" t="str">
        <f>IF(V466&gt;8,V466,IF(V466="","",""))</f>
        <v/>
      </c>
      <c r="AY466" s="256" t="str">
        <f>IF(W466&gt;1,W466,IF(W466="","",""))</f>
        <v/>
      </c>
      <c r="AZ466" s="256" t="str">
        <f>IF(X466&gt;0,X466,IF(X466="","",""))</f>
        <v/>
      </c>
      <c r="BA466" s="258" t="str">
        <f>IF(BL466=0,"","X")</f>
        <v/>
      </c>
      <c r="BK466" s="251">
        <f>SUM(DD466,DV466,EY466,ED466,FF466,BQ466,BS466,AC466,BK473)</f>
        <v>0</v>
      </c>
      <c r="BL466" s="251">
        <f>SUM(DE466,DW466,EE466,FT466,GA466,BR466,BT466,AQ466,BL473,CZ466)</f>
        <v>0</v>
      </c>
      <c r="BM466" s="259">
        <f t="shared" si="1159"/>
        <v>0</v>
      </c>
      <c r="BN466" s="239">
        <f>COUNT(AK466)</f>
        <v>0</v>
      </c>
      <c r="BO466" s="239">
        <f>COUNT(AY466)</f>
        <v>0</v>
      </c>
      <c r="BP466" s="239">
        <f>IF(BN468=0,0,1)</f>
        <v>0</v>
      </c>
      <c r="BQ466" s="260">
        <f>IF(AL466="",0,IF(AL466&gt;2,1,0))</f>
        <v>0</v>
      </c>
      <c r="BR466" s="261">
        <f>IF(AZ466="",0,IF(AZ466&gt;2,1,0))</f>
        <v>0</v>
      </c>
      <c r="BS466" s="262">
        <f>IF(AJ466=9,IF(AK466&lt;141,1,0),0)</f>
        <v>0</v>
      </c>
      <c r="BT466" s="263">
        <f>IF(AX466=9,IF(AY466&lt;141,1,0),0)</f>
        <v>0</v>
      </c>
      <c r="BU466" s="242">
        <f>IF(H466,G466,0)</f>
        <v>0</v>
      </c>
      <c r="BV466" s="238">
        <f>IF(BU466&gt;0,AJ466/3,0)</f>
        <v>0</v>
      </c>
      <c r="BW466" s="238">
        <f>ROUNDUP(BV466,0)</f>
        <v>0</v>
      </c>
      <c r="BX466" s="244">
        <f>IF(MOD(BW466,2)=0,BW466,BW466+1)</f>
        <v>0</v>
      </c>
      <c r="BY466" s="238">
        <f>IF(AJ466&lt;9,"",SUM(BX466-BW466))</f>
        <v>0</v>
      </c>
      <c r="BZ466" s="238">
        <f>IF(BY466=1,AK466,0)</f>
        <v>0</v>
      </c>
      <c r="CA466" s="243" t="str">
        <f>IF(BY466=0,AK466,0)</f>
        <v/>
      </c>
      <c r="CB466" s="238"/>
      <c r="CC466" s="238"/>
      <c r="CD466" s="242">
        <f>IF(W466,V466,0)</f>
        <v>0</v>
      </c>
      <c r="CE466" s="238">
        <f>IF(CD466&gt;0,AX466/3,0)</f>
        <v>0</v>
      </c>
      <c r="CF466" s="238">
        <f>ROUNDUP(CE466,0)</f>
        <v>0</v>
      </c>
      <c r="CG466" s="244">
        <f>IF(MOD(CF466,2)=0,CF466,CF466+1)</f>
        <v>0</v>
      </c>
      <c r="CH466" s="238">
        <f>IF(AX466&lt;9,"",SUM(CG466-CF466))</f>
        <v>0</v>
      </c>
      <c r="CI466" s="238">
        <f>IF(CH466=1,AY466,0)</f>
        <v>0</v>
      </c>
      <c r="CJ466" s="243" t="str">
        <f>IF(CH466=0,AY466,0)</f>
        <v/>
      </c>
      <c r="CK466" s="238"/>
      <c r="CL466" s="245">
        <f>IF(COUNT(F466,H466)=1,0,1)</f>
        <v>1</v>
      </c>
      <c r="CM466" s="245">
        <f>IF(COUNT(F466,U466)=1,0,1)</f>
        <v>1</v>
      </c>
      <c r="CN466" s="245">
        <f>IF(COUNT(H466,W466)=1,0,1)</f>
        <v>1</v>
      </c>
      <c r="CO466" s="245">
        <f>IF(COUNT(G466,V466)=2,0,1)</f>
        <v>1</v>
      </c>
      <c r="CP466" s="245">
        <f>IF(COUNT(U466,W466)=1,0,1)</f>
        <v>1</v>
      </c>
      <c r="CQ466" s="245">
        <f>IF(SUM(G466-V466)&gt;3,1,0)</f>
        <v>0</v>
      </c>
      <c r="CR466" s="245">
        <f>IF(SUM(G466-V466)&lt;-3,1,0)</f>
        <v>0</v>
      </c>
      <c r="CS466" s="264">
        <f>IF(AJ466=9,IF(AH466&lt;141,1,0),IF(AH466="",0,IF(AH466&gt;1,0,1)))</f>
        <v>0</v>
      </c>
      <c r="CT466" s="264">
        <f>IF(AX466=9,IF(AV466&lt;141,1,0),IF(AV466="",0,IF(AV466&gt;1,0,1)))</f>
        <v>0</v>
      </c>
      <c r="CU466" s="264">
        <f>IF(AI466="",0,IF(AI466&lt;502,0,1))</f>
        <v>0</v>
      </c>
      <c r="CV466" s="264">
        <f>IF(AW466="",0,IF(AW466&lt;502,0,1))</f>
        <v>0</v>
      </c>
      <c r="CW466" s="264">
        <f>IF(AI466="",IF(AJ466&lt;9,1,0),IF(AJ466&lt;9,1,0))</f>
        <v>0</v>
      </c>
      <c r="CX466" s="264">
        <f>IF(AW466="",IF(AX466&lt;9,1,0),IF(AX466&lt;9,1,0))</f>
        <v>0</v>
      </c>
      <c r="CY466" s="374">
        <f>COUNT(U464,U465,U466)</f>
        <v>0</v>
      </c>
      <c r="CZ466" s="375">
        <f>IF(AL461=3,IF(CY466&gt;2,1,0),0)</f>
        <v>0</v>
      </c>
      <c r="DA466" s="374"/>
      <c r="DB466" s="374"/>
      <c r="DC466" s="265">
        <f>IF(AJ466="",0,SUM(CL466:CX466))</f>
        <v>0</v>
      </c>
      <c r="DD466" s="265">
        <f>IF(AJ466="",0,SUM(CL466,CS466,CU466,CW466))</f>
        <v>0</v>
      </c>
      <c r="DE466" s="265">
        <f>IF(AJ466="",0,SUM(CP466,CT466,CV466,CX466))</f>
        <v>0</v>
      </c>
      <c r="DF466" s="238"/>
      <c r="DG466" s="248">
        <f>SUM(G466-V466)</f>
        <v>0</v>
      </c>
      <c r="DH466" s="245">
        <f>IF(F466="",0,1)</f>
        <v>0</v>
      </c>
      <c r="DI466" s="245">
        <f t="shared" si="1160"/>
        <v>0</v>
      </c>
      <c r="DJ466" s="245">
        <f t="shared" si="1161"/>
        <v>0</v>
      </c>
      <c r="DK466" s="245" t="str">
        <f>IF(G466="","",IF(DJ466=1,"*",""))</f>
        <v/>
      </c>
      <c r="DL466" s="245" t="str">
        <f>IF(G466="","",IF(DJ466=-1,"*",IF(DJ466=0,"*","")))</f>
        <v/>
      </c>
      <c r="DM466" s="245">
        <v>3</v>
      </c>
      <c r="DN466" s="245" t="str">
        <f t="shared" si="1162"/>
        <v>3</v>
      </c>
      <c r="DO466" s="245" t="str">
        <f t="shared" si="1163"/>
        <v>3</v>
      </c>
      <c r="DP466" s="245">
        <f>SUM(DP464)</f>
        <v>0</v>
      </c>
      <c r="DQ466" s="245">
        <f>SUM(DQ464)</f>
        <v>0</v>
      </c>
      <c r="DR466" s="245">
        <f t="shared" ref="DR466:DR468" si="1170">IF(DK466="*",1,0)</f>
        <v>0</v>
      </c>
      <c r="DS466" s="245">
        <f t="shared" ref="DS466:DS468" si="1171">IF(DL466="*",1,0)</f>
        <v>0</v>
      </c>
      <c r="DT466" s="245">
        <f t="shared" ref="DT466:DT468" si="1172">IF(H456="",0,IF(DP466=DR466,1,0))</f>
        <v>0</v>
      </c>
      <c r="DU466" s="245">
        <f>IF(V466="",0,IF(DQ466=DS466,0,1))</f>
        <v>0</v>
      </c>
      <c r="DV466" s="267">
        <f t="shared" ref="DV466:DV468" si="1173">SUM(DT466)</f>
        <v>0</v>
      </c>
      <c r="DW466" s="267">
        <f>IF(V466="",0,SUM(DU466))</f>
        <v>0</v>
      </c>
      <c r="DX466" s="238">
        <f>IF(AK466="",0,1)</f>
        <v>0</v>
      </c>
      <c r="DY466" s="238">
        <f>IF(DG466=-3,1,0)</f>
        <v>0</v>
      </c>
      <c r="DZ466" s="238">
        <f>SUM(DX466:DY466)</f>
        <v>0</v>
      </c>
      <c r="EA466" s="238">
        <f>IF(AK466="",1,0)</f>
        <v>1</v>
      </c>
      <c r="EB466" s="238">
        <f>IF(DG466=3,1,0)</f>
        <v>0</v>
      </c>
      <c r="EC466" s="238">
        <f>SUM(EA466:EB466)</f>
        <v>1</v>
      </c>
      <c r="ED466" s="267">
        <f>IF(EC466=2,1,0)</f>
        <v>0</v>
      </c>
      <c r="EE466" s="267">
        <f>IF(DZ466=2,1,0)</f>
        <v>0</v>
      </c>
      <c r="EG466" s="166"/>
      <c r="EH466" s="238"/>
      <c r="EI466" s="238"/>
      <c r="EJ466" s="238"/>
      <c r="EK466" s="238"/>
      <c r="EL466" s="238"/>
      <c r="EM466" s="245">
        <f>IF(AK466="",0,1)</f>
        <v>0</v>
      </c>
      <c r="EN466" s="245">
        <f>SUM(AK466)</f>
        <v>0</v>
      </c>
      <c r="EO466" s="268">
        <f>SUM(AJ466)</f>
        <v>0</v>
      </c>
      <c r="EP466" s="268">
        <f>SUM(G466/3)</f>
        <v>0</v>
      </c>
      <c r="EQ466" s="268" t="e">
        <f>SUM(EO466/EP466)</f>
        <v>#DIV/0!</v>
      </c>
      <c r="ER466" s="268">
        <f>ROUNDDOWN(EP466,0)</f>
        <v>0</v>
      </c>
      <c r="ES466" s="268">
        <f>SUM(EO466,-ER466*3)</f>
        <v>0</v>
      </c>
      <c r="ET466" s="269" t="b">
        <f>MOD(EN466/1,2)=0</f>
        <v>1</v>
      </c>
      <c r="EU466" s="245">
        <f>IF(ET466=FALSE,1,0)</f>
        <v>0</v>
      </c>
      <c r="EV466" s="245">
        <f>IF(EN466=50,0,IF(EN466&lt;40,1,0))</f>
        <v>1</v>
      </c>
      <c r="EW466" s="245">
        <f>SUM(EU466:EV466)</f>
        <v>1</v>
      </c>
      <c r="EX466" s="267">
        <f>IF(EN466=1,1,IF(EN466=50,0,IF(ES466=1,IF(EN466&gt;40,1,0),0)))</f>
        <v>0</v>
      </c>
      <c r="EY466" s="267">
        <f>IF(ES466=1,IF(EW466=2,1,0),0)+EX466+FB466+FE466</f>
        <v>0</v>
      </c>
      <c r="EZ466" s="245">
        <f>IF(EN466=109,1,IF(EN466=108,1,IF(EN466=106,1,IF(EN466=105,1,IF(EN466=103,1,IF(EN466=102,1,IF(EN466=99,1,0)))))))</f>
        <v>0</v>
      </c>
      <c r="FA466" s="245">
        <f>IF(EN466&gt;110,1,0)</f>
        <v>0</v>
      </c>
      <c r="FB466" s="267">
        <f>IF(ES466=2,SUM(EZ466:FA466),0)</f>
        <v>0</v>
      </c>
      <c r="FC466" s="245">
        <f>IF(EN466=159,1,IF(EN466=162,1,IF(EN466=163,1,IF(EN466=165,1,IF(EN466=166,1,IF(EN466=168,1,IF(EN466=169,1,0)))))))</f>
        <v>0</v>
      </c>
      <c r="FD466" s="245">
        <f>IF(EN466&gt;170,1,0)</f>
        <v>0</v>
      </c>
      <c r="FE466" s="267">
        <f>IF(ES466=0,SUM(FC466:FD466),0)</f>
        <v>0</v>
      </c>
      <c r="FF466" s="251">
        <f t="shared" si="1164"/>
        <v>0</v>
      </c>
      <c r="FG466" s="238"/>
      <c r="FH466" s="245">
        <f>IF(AY466="",0,1)</f>
        <v>0</v>
      </c>
      <c r="FI466" s="245">
        <f>SUM(AY466)</f>
        <v>0</v>
      </c>
      <c r="FJ466" s="268">
        <f>SUM(AX466)</f>
        <v>0</v>
      </c>
      <c r="FK466" s="268">
        <f>SUM(V466/3)</f>
        <v>0</v>
      </c>
      <c r="FL466" s="268" t="e">
        <f>SUM(FJ466/FK466)</f>
        <v>#DIV/0!</v>
      </c>
      <c r="FM466" s="268">
        <f>ROUNDDOWN(FK466,0)</f>
        <v>0</v>
      </c>
      <c r="FN466" s="268">
        <f>SUM(FJ466,-FM466*3)</f>
        <v>0</v>
      </c>
      <c r="FO466" s="269" t="b">
        <f>MOD(FI466/1,2)=0</f>
        <v>1</v>
      </c>
      <c r="FP466" s="245">
        <f>IF(FO466=FALSE,1,0)</f>
        <v>0</v>
      </c>
      <c r="FQ466" s="245">
        <f>IF(FI466=50,0,IF(FI466&lt;40,1,0))</f>
        <v>1</v>
      </c>
      <c r="FR466" s="245">
        <f>SUM(FP466:FQ466)</f>
        <v>1</v>
      </c>
      <c r="FS466" s="267">
        <f>IF(FI466=1,1,IF(FI466=50,0,IF(FN466=1,IF(FI466&gt;40,1,0),0)))</f>
        <v>0</v>
      </c>
      <c r="FT466" s="267">
        <f>IF(FN466=1,IF(FR466=2,1,0),0)+FS466+FW466+FZ466</f>
        <v>0</v>
      </c>
      <c r="FU466" s="245">
        <f>IF(FI466=109,1,IF(FI466=108,1,IF(FI466=106,1,IF(FI466=105,1,IF(FI466=103,1,IF(FI466=102,1,IF(FI466=99,1,0)))))))</f>
        <v>0</v>
      </c>
      <c r="FV466" s="245">
        <f>IF(FI466&gt;110,1,0)</f>
        <v>0</v>
      </c>
      <c r="FW466" s="267">
        <f>IF(FN466=2,SUM(FU466:FV466),0)</f>
        <v>0</v>
      </c>
      <c r="FX466" s="245">
        <f>IF(FI466=159,1,IF(FI466=162,1,IF(FI466=163,1,IF(FI466=165,1,IF(FI466=166,1,IF(FI466=168,1,IF(FI466=169,1,0)))))))</f>
        <v>0</v>
      </c>
      <c r="FY466" s="245">
        <f>IF(FI466&gt;170,1,0)</f>
        <v>0</v>
      </c>
      <c r="FZ466" s="267">
        <f>IF(FN466=0,SUM(FX466:FY466),0)</f>
        <v>0</v>
      </c>
      <c r="GA466" s="251">
        <f t="shared" si="1165"/>
        <v>0</v>
      </c>
      <c r="GC466" s="238" t="str">
        <f>VLOOKUP(AH461,Chema!BL:BR,3,FALSE)</f>
        <v/>
      </c>
      <c r="GD466" s="341"/>
      <c r="GE466" s="343" t="str">
        <f>IF(C472="","",SUM(C472))</f>
        <v/>
      </c>
      <c r="GF466" s="346"/>
      <c r="GG466" s="340"/>
      <c r="GH466" s="343">
        <f>IF(GH465&gt;0,1,0)</f>
        <v>0</v>
      </c>
      <c r="GI466" s="346"/>
      <c r="GJ466" s="343"/>
      <c r="GK466" s="340"/>
      <c r="GL466" s="343">
        <f>IF(GL465&gt;0,1,0)</f>
        <v>0</v>
      </c>
      <c r="GM466" s="343"/>
      <c r="GN466" s="343"/>
      <c r="GO466" s="340"/>
      <c r="GP466" s="343">
        <f>IF(GP465&gt;0,1,0)</f>
        <v>0</v>
      </c>
      <c r="GQ466" s="343"/>
      <c r="GR466" s="343"/>
      <c r="GS466" s="340"/>
      <c r="GT466" s="343">
        <f>IF(GT465&gt;0,1,0)</f>
        <v>0</v>
      </c>
      <c r="GU466" s="343"/>
      <c r="GV466" s="343"/>
      <c r="GW466" s="340"/>
      <c r="GX466" s="343">
        <f>IF(GX465&gt;0,1,0)</f>
        <v>0</v>
      </c>
      <c r="GY466" s="343"/>
      <c r="GZ466" s="343"/>
      <c r="HA466" s="343"/>
      <c r="HB466" s="343" t="str">
        <f>IF(GD464=1,L472,"")</f>
        <v/>
      </c>
      <c r="HC466" s="343" t="str">
        <f>IF(GD464=1,I472,"")</f>
        <v/>
      </c>
      <c r="HD466" s="345"/>
      <c r="HE466" s="340"/>
      <c r="HF466" s="340"/>
      <c r="HG466" s="347">
        <f>IF(GE465="",0,IF(AL461=3,2,IF(AL461=5,3,0)))</f>
        <v>0</v>
      </c>
      <c r="HH466" s="347">
        <f>IF(HK466=0,0,IF(HG468=0,0,1))</f>
        <v>0</v>
      </c>
      <c r="HI466" s="340"/>
      <c r="HJ466" s="340"/>
      <c r="HK466" s="340">
        <f>SUM(HM464,HM468)</f>
        <v>0</v>
      </c>
      <c r="HL466" s="340">
        <f>IF(HK466=0,0,IF(HM464=HG466,1,0))</f>
        <v>0</v>
      </c>
      <c r="HM466" s="340">
        <f>IF(HK466=0,0,IF(HM468=HG466,1,0))</f>
        <v>0</v>
      </c>
      <c r="HN466" s="341" t="str">
        <f>REPT(N461,1)</f>
        <v xml:space="preserve">Spiel </v>
      </c>
      <c r="HO466" s="348" t="str">
        <f>IF(HK466=0,"",IF(HH466=0,SUM(HH465),""))</f>
        <v/>
      </c>
      <c r="HP466" s="348" t="str">
        <f>IF(HK466=0,"",IF(HH466=0,SUM(HH467),""))</f>
        <v/>
      </c>
      <c r="HQ466" s="348" t="e">
        <f>IF(HH466=0,SUM(GZ465/HA465),"")</f>
        <v>#DIV/0!</v>
      </c>
      <c r="HR466" s="348" t="e">
        <f>IF(HH466=0,SUM(GZ467/HA467),"")</f>
        <v>#DIV/0!</v>
      </c>
      <c r="HS466" s="238" t="str">
        <f>REPT(DK464,1)</f>
        <v/>
      </c>
      <c r="HT466" s="238" t="str">
        <f>REPT(DL464,1)</f>
        <v/>
      </c>
      <c r="HU466" s="238">
        <f>IF(HH466=0,HL466,"")</f>
        <v>0</v>
      </c>
      <c r="HV466" s="238">
        <f>IF(HH466=0,HM466,"")</f>
        <v>0</v>
      </c>
      <c r="HX466" s="238"/>
      <c r="HY466" s="238"/>
      <c r="ID466" s="238">
        <f>SUM(BM470)</f>
        <v>0</v>
      </c>
    </row>
    <row r="467" spans="1:238" s="234" customFormat="1" ht="20.100000000000001" customHeight="1">
      <c r="A467" s="235"/>
      <c r="B467" s="231">
        <f>COUNT(AJ468,AJ467)</f>
        <v>0</v>
      </c>
      <c r="C467" s="235"/>
      <c r="D467" s="328" t="str">
        <f>REPT(DN467,1)</f>
        <v>4</v>
      </c>
      <c r="E467" s="329" t="str">
        <f>REPT(AH467,1)</f>
        <v/>
      </c>
      <c r="F467" s="330"/>
      <c r="G467" s="330"/>
      <c r="H467" s="330"/>
      <c r="I467" s="331"/>
      <c r="J467" s="270" t="str">
        <f t="shared" si="1169"/>
        <v/>
      </c>
      <c r="M467" s="311"/>
      <c r="N467" s="270" t="str">
        <f>REPT(AP467,1)</f>
        <v/>
      </c>
      <c r="Q467" s="310"/>
      <c r="R467" s="235"/>
      <c r="S467" s="328" t="str">
        <f>REPT(DO467,1)</f>
        <v>4</v>
      </c>
      <c r="T467" s="329" t="str">
        <f>REPT(AV467,1)</f>
        <v/>
      </c>
      <c r="U467" s="330"/>
      <c r="V467" s="330"/>
      <c r="W467" s="330"/>
      <c r="X467" s="331"/>
      <c r="Y467" s="270" t="str">
        <f t="shared" si="1152"/>
        <v/>
      </c>
      <c r="Z467" s="308"/>
      <c r="AA467" s="238">
        <f>SUM(AL461)</f>
        <v>0</v>
      </c>
      <c r="AB467" s="234">
        <f>IF(AY467="",0,IF(AY467&lt;2,1,""))</f>
        <v>0</v>
      </c>
      <c r="AC467" s="238">
        <f>IF(AL461=3,0,IF(AD467=1,1,IF(AD467=3,1,IF(AD467=2,0,IF(AD467=0,0,0)))))</f>
        <v>0</v>
      </c>
      <c r="AD467" s="256">
        <f t="shared" si="1154"/>
        <v>0</v>
      </c>
      <c r="AE467" s="256">
        <f t="shared" si="1148"/>
        <v>0</v>
      </c>
      <c r="AF467" s="256">
        <f t="shared" si="1149"/>
        <v>0</v>
      </c>
      <c r="AG467" s="256">
        <f t="shared" si="1155"/>
        <v>0</v>
      </c>
      <c r="AH467" s="257" t="str">
        <f>IF(AL461=3,"",IF(AK467="",IF(AI467="","",IF(AI467="",501,501-AI467)),501))</f>
        <v/>
      </c>
      <c r="AI467" s="256" t="str">
        <f>IF(AL461=3,"",IF(F467&gt;1,F467,IF(F467=0,"",IF(F467="","",""))))</f>
        <v/>
      </c>
      <c r="AJ467" s="256" t="str">
        <f>IF(AL461=3,"",IF(G467&gt;8,G467,IF(G467="","","")))</f>
        <v/>
      </c>
      <c r="AK467" s="256" t="str">
        <f>IF(AL461=3,"",IF(H467&gt;1,H467,IF(H467="","","")))</f>
        <v/>
      </c>
      <c r="AL467" s="256" t="str">
        <f>IF(AL461=3,"",IF(I467&gt;0,I467,IF(I467="","","")))</f>
        <v/>
      </c>
      <c r="AM467" s="258" t="str">
        <f>IF(BK467=0,"","X")</f>
        <v/>
      </c>
      <c r="AN467" s="237"/>
      <c r="AO467" s="237"/>
      <c r="AP467" s="258" t="str">
        <f>IF(BM467=0,"","X")</f>
        <v/>
      </c>
      <c r="AQ467" s="236">
        <f>IF(AL461=3,0,IF(AR467=1,1,IF(AR467=3,1,IF(AR467=2,0,IF(AR467=0,0,0)))))</f>
        <v>0</v>
      </c>
      <c r="AR467" s="256">
        <f t="shared" si="1157"/>
        <v>0</v>
      </c>
      <c r="AS467" s="256">
        <f t="shared" si="1150"/>
        <v>0</v>
      </c>
      <c r="AT467" s="256">
        <f t="shared" si="1151"/>
        <v>0</v>
      </c>
      <c r="AU467" s="256">
        <f t="shared" si="1158"/>
        <v>0</v>
      </c>
      <c r="AV467" s="257" t="str">
        <f>IF(AY467="",IF(AW467="","",IF(AW467="",501,501-AW467)),501)</f>
        <v/>
      </c>
      <c r="AW467" s="256" t="str">
        <f>IF(AL461=3,"",IF(U467&gt;1,U467,IF(U467=0,"",IF(U467="","",""))))</f>
        <v/>
      </c>
      <c r="AX467" s="256" t="str">
        <f>IF(AL461=3,"",IF(V467&gt;8,V467,IF(V467="","","")))</f>
        <v/>
      </c>
      <c r="AY467" s="256" t="str">
        <f>IF(AL461=3,"",IF(W467&gt;1,W467,IF(W467="","","")))</f>
        <v/>
      </c>
      <c r="AZ467" s="256" t="str">
        <f>IF(AL461=3,"",IF(X467&gt;0,X467,IF(X467="","","")))</f>
        <v/>
      </c>
      <c r="BA467" s="258" t="str">
        <f>IF(BL467=0,"","X")</f>
        <v/>
      </c>
      <c r="BK467" s="251">
        <f>IF(AL461=3,0,SUM(DD467,DV467,EY467,ED467,FF467,BQ467,BS467,AC467))</f>
        <v>0</v>
      </c>
      <c r="BL467" s="251">
        <f>IF(AL461=3,0,SUM(DE467,DW467,EE467,FT467,GA467,BR467,BT467,AQ467))</f>
        <v>0</v>
      </c>
      <c r="BM467" s="259">
        <f>IF(AL461=3,0,SUM(DC467,BK467:BL467,AC467,AQ467))</f>
        <v>0</v>
      </c>
      <c r="BN467" s="239">
        <f>COUNT(AK467)</f>
        <v>0</v>
      </c>
      <c r="BO467" s="239">
        <f>COUNT(AY467)</f>
        <v>0</v>
      </c>
      <c r="BP467" s="239">
        <f>IF(BZ469=0,0,1)</f>
        <v>0</v>
      </c>
      <c r="BQ467" s="260">
        <f>IF(AL467="",0,IF(AL467&gt;2,1,0))</f>
        <v>0</v>
      </c>
      <c r="BR467" s="261">
        <f>IF(AZ467="",0,IF(AZ467&gt;2,1,0))</f>
        <v>0</v>
      </c>
      <c r="BS467" s="262">
        <f>IF(AJ467=9,IF(AK467&lt;141,1,0),0)</f>
        <v>0</v>
      </c>
      <c r="BT467" s="263">
        <f>IF(AX467=9,IF(AY467&lt;141,1,0),0)</f>
        <v>0</v>
      </c>
      <c r="BU467" s="242">
        <f>IF(AL461=3,0,IF(H467,G467,0))</f>
        <v>0</v>
      </c>
      <c r="BV467" s="238">
        <f>IF(BU467&gt;0,AJ467/3,0)</f>
        <v>0</v>
      </c>
      <c r="BW467" s="238">
        <f>ROUNDUP(BV467,0)</f>
        <v>0</v>
      </c>
      <c r="BX467" s="244">
        <f>IF(MOD(BW467,2)=0,BW467,BW467+1)</f>
        <v>0</v>
      </c>
      <c r="BY467" s="238">
        <f>IF(AJ467&lt;9,"",SUM(BX467-BW467))</f>
        <v>0</v>
      </c>
      <c r="BZ467" s="238">
        <f>IF(BY467=1,AK467,0)</f>
        <v>0</v>
      </c>
      <c r="CA467" s="243" t="str">
        <f>IF(BY467=0,AK467,0)</f>
        <v/>
      </c>
      <c r="CB467" s="238"/>
      <c r="CC467" s="238"/>
      <c r="CD467" s="242">
        <f>IF(AL461=3,0,IF(W467,V467,0))</f>
        <v>0</v>
      </c>
      <c r="CE467" s="238">
        <f>IF(CD467&gt;0,AX467/3,0)</f>
        <v>0</v>
      </c>
      <c r="CF467" s="238">
        <f>ROUNDUP(CE467,0)</f>
        <v>0</v>
      </c>
      <c r="CG467" s="244">
        <f>IF(MOD(CF467,2)=0,CF467,CF467+1)</f>
        <v>0</v>
      </c>
      <c r="CH467" s="238">
        <f>IF(AX467&lt;9,"",SUM(CG467-CF467))</f>
        <v>0</v>
      </c>
      <c r="CI467" s="238">
        <f>IF(CH467=1,AY467,0)</f>
        <v>0</v>
      </c>
      <c r="CJ467" s="243" t="str">
        <f>IF(CH467=0,AY467,0)</f>
        <v/>
      </c>
      <c r="CK467" s="238"/>
      <c r="CL467" s="245">
        <f>IF(COUNT(F467,H467)=1,0,1)</f>
        <v>1</v>
      </c>
      <c r="CM467" s="245">
        <f>IF(COUNT(F467,U467)=1,0,1)</f>
        <v>1</v>
      </c>
      <c r="CN467" s="245">
        <f>IF(COUNT(H467,W467)=1,0,1)</f>
        <v>1</v>
      </c>
      <c r="CO467" s="245">
        <f>IF(COUNT(G467,V467)=2,0,1)</f>
        <v>1</v>
      </c>
      <c r="CP467" s="245">
        <f>IF(COUNT(U467,W467)=1,0,1)</f>
        <v>1</v>
      </c>
      <c r="CQ467" s="245">
        <f>IF(SUM(G467-V467)&gt;3,1,0)</f>
        <v>0</v>
      </c>
      <c r="CR467" s="245">
        <f>IF(SUM(G467-V467)&lt;-3,1,0)</f>
        <v>0</v>
      </c>
      <c r="CS467" s="264">
        <f>IF(AJ467=9,IF(AH467&lt;141,1,0),IF(AH467="",0,IF(AH467&gt;1,0,1)))</f>
        <v>0</v>
      </c>
      <c r="CT467" s="264">
        <f>IF(AX467=9,IF(AV467&lt;141,1,0),IF(AV467="",0,IF(AV467&gt;1,0,1)))</f>
        <v>0</v>
      </c>
      <c r="CU467" s="264">
        <f>IF(AI467="",0,IF(AI467&lt;502,0,1))</f>
        <v>0</v>
      </c>
      <c r="CV467" s="264">
        <f>IF(AW467="",0,IF(AW467&lt;502,0,1))</f>
        <v>0</v>
      </c>
      <c r="CW467" s="264">
        <f>IF(AI467="",IF(AJ467&lt;9,1,0),IF(AJ467&lt;9,1,0))</f>
        <v>0</v>
      </c>
      <c r="CX467" s="264">
        <f>IF(AW467="",IF(AX467&lt;9,1,0),IF(AX467&lt;9,1,0))</f>
        <v>0</v>
      </c>
      <c r="CY467" s="374"/>
      <c r="CZ467" s="374"/>
      <c r="DA467" s="374"/>
      <c r="DB467" s="374"/>
      <c r="DC467" s="265">
        <f>IF(AJ467="",0,SUM(CL467:CX467))</f>
        <v>0</v>
      </c>
      <c r="DD467" s="265">
        <f>IF(AJ467="",0,SUM(CL467,CS467,CU467,CW467))</f>
        <v>0</v>
      </c>
      <c r="DE467" s="265">
        <f>IF(AJ467="",0,SUM(CP467,CT467,CV467,CX467))</f>
        <v>0</v>
      </c>
      <c r="DF467" s="238"/>
      <c r="DG467" s="248">
        <f>IF(AL461=3,0,SUM(G467-V467))</f>
        <v>0</v>
      </c>
      <c r="DH467" s="245">
        <f>IF(F467="",0,1)</f>
        <v>0</v>
      </c>
      <c r="DI467" s="245">
        <f t="shared" si="1160"/>
        <v>0</v>
      </c>
      <c r="DJ467" s="245">
        <f t="shared" si="1161"/>
        <v>0</v>
      </c>
      <c r="DK467" s="245" t="str">
        <f>IF(G467="","",IF(DJ467=1,"*",""))</f>
        <v/>
      </c>
      <c r="DL467" s="245" t="str">
        <f>IF(AL461=3,"",IF(G467="","",IF(DJ467=-1,"*",IF(DJ467=0,"*",""))))</f>
        <v/>
      </c>
      <c r="DM467" s="245">
        <v>4</v>
      </c>
      <c r="DN467" s="245" t="str">
        <f t="shared" si="1162"/>
        <v>4</v>
      </c>
      <c r="DO467" s="245" t="str">
        <f t="shared" si="1163"/>
        <v>4</v>
      </c>
      <c r="DP467" s="245">
        <f>SUM(DQ464)</f>
        <v>0</v>
      </c>
      <c r="DQ467" s="245">
        <f>SUM(DP464)</f>
        <v>0</v>
      </c>
      <c r="DR467" s="245">
        <f t="shared" si="1170"/>
        <v>0</v>
      </c>
      <c r="DS467" s="245">
        <f t="shared" si="1171"/>
        <v>0</v>
      </c>
      <c r="DT467" s="245">
        <f t="shared" si="1172"/>
        <v>0</v>
      </c>
      <c r="DU467" s="245">
        <f>IF(V467="",0,IF(DQ467=DS467,0,1))</f>
        <v>0</v>
      </c>
      <c r="DV467" s="267">
        <f t="shared" si="1173"/>
        <v>0</v>
      </c>
      <c r="DW467" s="267">
        <f>IF(V467="",0,SUM(DU467))</f>
        <v>0</v>
      </c>
      <c r="DX467" s="238">
        <f>IF(AK467="",0,1)</f>
        <v>0</v>
      </c>
      <c r="DY467" s="238">
        <f>IF(DG467=-3,1,0)</f>
        <v>0</v>
      </c>
      <c r="DZ467" s="238">
        <f>SUM(DX467:DY467)</f>
        <v>0</v>
      </c>
      <c r="EA467" s="238">
        <f>IF(AK467="",1,0)</f>
        <v>1</v>
      </c>
      <c r="EB467" s="238">
        <f>IF(DG467=3,1,0)</f>
        <v>0</v>
      </c>
      <c r="EC467" s="238">
        <f>SUM(EA467:EB467)</f>
        <v>1</v>
      </c>
      <c r="ED467" s="267">
        <f>IF(EC467=2,1,0)</f>
        <v>0</v>
      </c>
      <c r="EE467" s="267">
        <f>IF(DZ467=2,1,0)</f>
        <v>0</v>
      </c>
      <c r="EG467" s="166"/>
      <c r="EH467" s="238"/>
      <c r="EI467" s="238"/>
      <c r="EJ467" s="238"/>
      <c r="EK467" s="238"/>
      <c r="EL467" s="238"/>
      <c r="EM467" s="245">
        <f>IF(AK467="",0,1)</f>
        <v>0</v>
      </c>
      <c r="EN467" s="245">
        <f>SUM(AK467)</f>
        <v>0</v>
      </c>
      <c r="EO467" s="268">
        <f>SUM(AJ467)</f>
        <v>0</v>
      </c>
      <c r="EP467" s="268">
        <f>SUM(G467/3)</f>
        <v>0</v>
      </c>
      <c r="EQ467" s="268" t="e">
        <f>SUM(EO467/EP467)</f>
        <v>#DIV/0!</v>
      </c>
      <c r="ER467" s="268">
        <f>ROUNDDOWN(EP467,0)</f>
        <v>0</v>
      </c>
      <c r="ES467" s="268">
        <f>SUM(EO467,-ER467*3)</f>
        <v>0</v>
      </c>
      <c r="ET467" s="269" t="b">
        <f>MOD(EN467/1,2)=0</f>
        <v>1</v>
      </c>
      <c r="EU467" s="245">
        <f>IF(ET467=FALSE,1,0)</f>
        <v>0</v>
      </c>
      <c r="EV467" s="245">
        <f>IF(EN467=50,0,IF(EN467&lt;40,1,0))</f>
        <v>1</v>
      </c>
      <c r="EW467" s="245">
        <f>SUM(EU467:EV467)</f>
        <v>1</v>
      </c>
      <c r="EX467" s="267">
        <f>IF(EN467=1,1,IF(EN467=50,0,IF(ES467=1,IF(EN467&gt;40,1,0),0)))</f>
        <v>0</v>
      </c>
      <c r="EY467" s="267">
        <f>IF(ES467=1,IF(EW467=2,1,0),0)+EX467+FB467+FE467</f>
        <v>0</v>
      </c>
      <c r="EZ467" s="245">
        <f>IF(EN467=109,1,IF(EN467=108,1,IF(EN467=106,1,IF(EN467=105,1,IF(EN467=103,1,IF(EN467=102,1,IF(EN467=99,1,0)))))))</f>
        <v>0</v>
      </c>
      <c r="FA467" s="245">
        <f>IF(EN467&gt;110,1,0)</f>
        <v>0</v>
      </c>
      <c r="FB467" s="267">
        <f>IF(ES467=2,SUM(EZ467:FA467),0)</f>
        <v>0</v>
      </c>
      <c r="FC467" s="245">
        <f>IF(EN467=159,1,IF(EN467=162,1,IF(EN467=163,1,IF(EN467=165,1,IF(EN467=166,1,IF(EN467=168,1,IF(EN467=169,1,0)))))))</f>
        <v>0</v>
      </c>
      <c r="FD467" s="245">
        <f>IF(EN467&gt;170,1,0)</f>
        <v>0</v>
      </c>
      <c r="FE467" s="267">
        <f>IF(ES467=0,SUM(FC467:FD467),0)</f>
        <v>0</v>
      </c>
      <c r="FF467" s="251">
        <f t="shared" si="1164"/>
        <v>0</v>
      </c>
      <c r="FG467" s="238"/>
      <c r="FH467" s="245">
        <f>IF(AY467="",0,1)</f>
        <v>0</v>
      </c>
      <c r="FI467" s="245">
        <f>SUM(AY467)</f>
        <v>0</v>
      </c>
      <c r="FJ467" s="268">
        <f>SUM(AX467)</f>
        <v>0</v>
      </c>
      <c r="FK467" s="268">
        <f>SUM(V467/3)</f>
        <v>0</v>
      </c>
      <c r="FL467" s="268" t="e">
        <f>SUM(FJ467/FK467)</f>
        <v>#DIV/0!</v>
      </c>
      <c r="FM467" s="268">
        <f>ROUNDDOWN(FK467,0)</f>
        <v>0</v>
      </c>
      <c r="FN467" s="268">
        <f>SUM(FJ467,-FM467*3)</f>
        <v>0</v>
      </c>
      <c r="FO467" s="269" t="b">
        <f>MOD(FI467/1,2)=0</f>
        <v>1</v>
      </c>
      <c r="FP467" s="245">
        <f>IF(FO467=FALSE,1,0)</f>
        <v>0</v>
      </c>
      <c r="FQ467" s="245">
        <f>IF(FI467=50,0,IF(FI467&lt;40,1,0))</f>
        <v>1</v>
      </c>
      <c r="FR467" s="245">
        <f>SUM(FP467:FQ467)</f>
        <v>1</v>
      </c>
      <c r="FS467" s="267">
        <f>IF(FI467=1,1,IF(FI467=50,0,IF(FN467=1,IF(FI467&gt;40,1,0),0)))</f>
        <v>0</v>
      </c>
      <c r="FT467" s="267">
        <f>IF(FN467=1,IF(FR467=2,1,0),0)+FS467+FW467+FZ467</f>
        <v>0</v>
      </c>
      <c r="FU467" s="245">
        <f>IF(FI467=109,1,IF(FI467=108,1,IF(FI467=106,1,IF(FI467=105,1,IF(FI467=103,1,IF(FI467=102,1,IF(FI467=99,1,0)))))))</f>
        <v>0</v>
      </c>
      <c r="FV467" s="245">
        <f>IF(FI467&gt;110,1,0)</f>
        <v>0</v>
      </c>
      <c r="FW467" s="267">
        <f>IF(FN467=2,SUM(FU467:FV467),0)</f>
        <v>0</v>
      </c>
      <c r="FX467" s="245">
        <f>IF(FI467=159,1,IF(FI467=162,1,IF(FI467=163,1,IF(FI467=165,1,IF(FI467=166,1,IF(FI467=168,1,IF(FI467=169,1,0)))))))</f>
        <v>0</v>
      </c>
      <c r="FY467" s="245">
        <f>IF(FI467&gt;170,1,0)</f>
        <v>0</v>
      </c>
      <c r="FZ467" s="267">
        <f>IF(FN467=0,SUM(FX467:FY467),0)</f>
        <v>0</v>
      </c>
      <c r="GA467" s="251">
        <f t="shared" si="1165"/>
        <v>0</v>
      </c>
      <c r="GC467" s="238" t="str">
        <f>VLOOKUP(AH461,Chema!BL:BR,4,FALSE)</f>
        <v/>
      </c>
      <c r="GD467" s="341">
        <f>IF(T471="FORFAIT",1,0)</f>
        <v>0</v>
      </c>
      <c r="GE467" s="343" t="str">
        <f>IF(R471="","",SUM(R471))</f>
        <v/>
      </c>
      <c r="GF467" s="344">
        <f>SUM(AV464)</f>
        <v>0</v>
      </c>
      <c r="GG467" s="344">
        <f>SUM(AX464)</f>
        <v>0</v>
      </c>
      <c r="GH467" s="344">
        <f t="shared" ref="GH467" si="1174">SUM(AY464)</f>
        <v>0</v>
      </c>
      <c r="GI467" s="344">
        <f t="shared" ref="GI467" si="1175">SUM(AZ464)</f>
        <v>0</v>
      </c>
      <c r="GJ467" s="344">
        <f>SUM(AV465)</f>
        <v>0</v>
      </c>
      <c r="GK467" s="344">
        <f>SUM(AX465)</f>
        <v>0</v>
      </c>
      <c r="GL467" s="344">
        <f>SUM(AY465)</f>
        <v>0</v>
      </c>
      <c r="GM467" s="344">
        <f>SUM(AZ465)</f>
        <v>0</v>
      </c>
      <c r="GN467" s="344">
        <f>SUM(AV466)</f>
        <v>0</v>
      </c>
      <c r="GO467" s="344">
        <f>SUM(AX466)</f>
        <v>0</v>
      </c>
      <c r="GP467" s="344">
        <f>SUM(AY466)</f>
        <v>0</v>
      </c>
      <c r="GQ467" s="344">
        <f>SUM(AZ466)</f>
        <v>0</v>
      </c>
      <c r="GR467" s="344">
        <f>SUM(AV467)</f>
        <v>0</v>
      </c>
      <c r="GS467" s="344">
        <f>SUM(AX467)</f>
        <v>0</v>
      </c>
      <c r="GT467" s="344">
        <f>SUM(AY467)</f>
        <v>0</v>
      </c>
      <c r="GU467" s="344">
        <f>SUM(AZ467)</f>
        <v>0</v>
      </c>
      <c r="GV467" s="344">
        <f>SUM(AV468)</f>
        <v>0</v>
      </c>
      <c r="GW467" s="344">
        <f>SUM(AX468)</f>
        <v>0</v>
      </c>
      <c r="GX467" s="344">
        <f>SUM(AY468)</f>
        <v>0</v>
      </c>
      <c r="GY467" s="344">
        <f>SUM(AZ468)</f>
        <v>0</v>
      </c>
      <c r="GZ467" s="344">
        <f>SUM(GF467,GJ467,GN467,GR467,GV467)</f>
        <v>0</v>
      </c>
      <c r="HA467" s="344">
        <f t="shared" ref="HA467" si="1176">SUM(GG467,GK467,GO467,GS467,GW467)</f>
        <v>0</v>
      </c>
      <c r="HB467" s="344">
        <f>IF(GD464=1,P471,MAX(GH467,GL467,GP467,GT467,GX467))</f>
        <v>0</v>
      </c>
      <c r="HC467" s="344">
        <f>IF(GD464=1,X471,SUM(GI467,GM467,GQ467,GU467,GY467))</f>
        <v>0</v>
      </c>
      <c r="HD467" s="345">
        <f>IF(GD464=1,0,SUM(GF467,GJ467,GN467,GR467,GV467))</f>
        <v>0</v>
      </c>
      <c r="HE467" s="345">
        <f>IF(GD464=1,0,SUM(GG467,GK467,GO467,GS467,GW467))</f>
        <v>0</v>
      </c>
      <c r="HF467" s="341">
        <f>IF(GD464=1,0,MIN(HI467,HJ467,HK467,HL467,HM467))</f>
        <v>0</v>
      </c>
      <c r="HG467" s="341">
        <f>IF(HF467=0,0,COUNTIF(HI467:HM467,HF467))</f>
        <v>0</v>
      </c>
      <c r="HH467" s="341">
        <f>SUM(GH468,GL468,GP468,GT468,GX468)</f>
        <v>0</v>
      </c>
      <c r="HI467" s="343" t="str">
        <f>IF(GH468=1,GG467,"")</f>
        <v/>
      </c>
      <c r="HJ467" s="343" t="str">
        <f>IF(GL468=1,GK467,"")</f>
        <v/>
      </c>
      <c r="HK467" s="343" t="str">
        <f>IF(GP468=1,GO467,"")</f>
        <v/>
      </c>
      <c r="HL467" s="343" t="str">
        <f>IF(GT468=1,GS467,"")</f>
        <v/>
      </c>
      <c r="HM467" s="343" t="str">
        <f>IF(GX468=1,GW467,"")</f>
        <v/>
      </c>
      <c r="HN467" s="341"/>
      <c r="HO467" s="341"/>
      <c r="HP467" s="341"/>
      <c r="HQ467" s="341"/>
      <c r="HR467" s="341"/>
      <c r="HS467" s="238"/>
      <c r="HT467" s="238"/>
      <c r="HU467" s="238"/>
      <c r="HV467" s="238"/>
      <c r="HX467" s="238"/>
      <c r="HY467" s="238"/>
      <c r="ID467" s="238"/>
    </row>
    <row r="468" spans="1:238" s="234" customFormat="1" ht="20.100000000000001" customHeight="1">
      <c r="A468" s="235"/>
      <c r="B468" s="231">
        <f>COUNT(AJ469,AJ468)</f>
        <v>1</v>
      </c>
      <c r="C468" s="235"/>
      <c r="D468" s="271" t="str">
        <f>REPT(DN468,1)</f>
        <v>5</v>
      </c>
      <c r="E468" s="254" t="str">
        <f>REPT(AH468,1)</f>
        <v/>
      </c>
      <c r="F468" s="168"/>
      <c r="G468" s="168"/>
      <c r="H468" s="168"/>
      <c r="I468" s="169"/>
      <c r="J468" s="272" t="str">
        <f>REPT(AM468,1)</f>
        <v/>
      </c>
      <c r="L468" s="310"/>
      <c r="M468" s="310"/>
      <c r="N468" s="272" t="str">
        <f>REPT(AP468,1)</f>
        <v/>
      </c>
      <c r="O468" s="118"/>
      <c r="Q468" s="310"/>
      <c r="R468" s="235"/>
      <c r="S468" s="271" t="str">
        <f>REPT(DO468,1)</f>
        <v>5</v>
      </c>
      <c r="T468" s="254" t="str">
        <f>REPT(AV468,1)</f>
        <v/>
      </c>
      <c r="U468" s="168"/>
      <c r="V468" s="168"/>
      <c r="W468" s="168"/>
      <c r="X468" s="169"/>
      <c r="Y468" s="272" t="str">
        <f>REPT(BA468,1)</f>
        <v/>
      </c>
      <c r="Z468" s="308"/>
      <c r="AA468" s="238">
        <f>SUM(AL461)</f>
        <v>0</v>
      </c>
      <c r="AB468" s="234">
        <f>IF(AY468="",0,IF(AY468&lt;2,1,""))</f>
        <v>0</v>
      </c>
      <c r="AC468" s="238">
        <f>IF(AL461=3,0,IF(AD468=1,1,IF(AD468=3,1,IF(AD468=2,0,IF(AD468=0,0,0)))))</f>
        <v>0</v>
      </c>
      <c r="AD468" s="256">
        <f t="shared" si="1154"/>
        <v>0</v>
      </c>
      <c r="AE468" s="256">
        <f t="shared" si="1148"/>
        <v>0</v>
      </c>
      <c r="AF468" s="256">
        <f t="shared" si="1149"/>
        <v>0</v>
      </c>
      <c r="AG468" s="256">
        <f t="shared" si="1155"/>
        <v>0</v>
      </c>
      <c r="AH468" s="257" t="str">
        <f>IF(AL461=3,"",IF(AK468="",IF(AI468="","",IF(AI468="",501,501-AI468)),501))</f>
        <v/>
      </c>
      <c r="AI468" s="256" t="str">
        <f>IF(AL461=3,"",IF(F468&gt;1,F468,IF(F468=0,"",IF(F468="","",""))))</f>
        <v/>
      </c>
      <c r="AJ468" s="256" t="str">
        <f>IF(AL461=3,"",IF(G468&gt;8,G468,IF(G468="","","")))</f>
        <v/>
      </c>
      <c r="AK468" s="256" t="str">
        <f>IF(AL461=3,"",IF(H468&gt;1,H468,IF(H468="","","")))</f>
        <v/>
      </c>
      <c r="AL468" s="256" t="str">
        <f>IF(AL461=3,"",IF(I468&gt;0,I468,IF(I468="","","")))</f>
        <v/>
      </c>
      <c r="AM468" s="258" t="str">
        <f>IF(BK468=0,"","X")</f>
        <v/>
      </c>
      <c r="AN468" s="237"/>
      <c r="AO468" s="237"/>
      <c r="AP468" s="258" t="str">
        <f>IF(BM468=0,"","X")</f>
        <v/>
      </c>
      <c r="AQ468" s="236">
        <f>IF(AL461=3,0,IF(AR468=1,1,IF(AR468=3,1,IF(AR468=2,0,IF(AR468=0,0,0)))))</f>
        <v>0</v>
      </c>
      <c r="AR468" s="256">
        <f t="shared" si="1157"/>
        <v>0</v>
      </c>
      <c r="AS468" s="256">
        <f t="shared" si="1150"/>
        <v>0</v>
      </c>
      <c r="AT468" s="256">
        <f t="shared" si="1151"/>
        <v>0</v>
      </c>
      <c r="AU468" s="256">
        <f t="shared" si="1158"/>
        <v>0</v>
      </c>
      <c r="AV468" s="257" t="str">
        <f>IF(AY468="",IF(AW468="","",IF(AW468="",501,501-AW468)),501)</f>
        <v/>
      </c>
      <c r="AW468" s="256" t="str">
        <f>IF(AL461=3,"",IF(U468&gt;1,U468,IF(U468=0,"",IF(U468="","",""))))</f>
        <v/>
      </c>
      <c r="AX468" s="256" t="str">
        <f>IF(AL461=3,"",IF(V468&gt;8,V468,IF(V468="","","")))</f>
        <v/>
      </c>
      <c r="AY468" s="256" t="str">
        <f>IF(AL461=3,"",IF(W468&gt;1,W468,IF(W468="","","")))</f>
        <v/>
      </c>
      <c r="AZ468" s="256" t="str">
        <f>IF(AL461=3,"",IF(X468&gt;0,X468,IF(X468="","","")))</f>
        <v/>
      </c>
      <c r="BA468" s="258" t="str">
        <f>IF(BL468=0,"","X")</f>
        <v/>
      </c>
      <c r="BK468" s="251">
        <f>IF(AL461=3,0,SUM(DD468,DV468,EY468,ED468,FF468,BQ468,BS468,AC468))</f>
        <v>0</v>
      </c>
      <c r="BL468" s="251">
        <f>SUM(DE468,DW468,EE468,FT468,GA468,BR468,BT468,AQ468)</f>
        <v>0</v>
      </c>
      <c r="BM468" s="259">
        <f>IF(AL461=3,0,SUM(DC468,BK468:BL468,AC468,AQ468))</f>
        <v>0</v>
      </c>
      <c r="BN468" s="239">
        <f>COUNT(AK468)</f>
        <v>0</v>
      </c>
      <c r="BO468" s="239">
        <f>COUNT(AY468)</f>
        <v>0</v>
      </c>
      <c r="BP468" s="239">
        <f>IF(BN470=0,0,1)</f>
        <v>0</v>
      </c>
      <c r="BQ468" s="260">
        <f>IF(AL468="",0,IF(AL468&gt;2,1,0))</f>
        <v>0</v>
      </c>
      <c r="BR468" s="261">
        <f>IF(AZ468="",0,IF(AZ468&gt;2,1,0))</f>
        <v>0</v>
      </c>
      <c r="BS468" s="262">
        <f>IF(AJ468=9,IF(AK468&lt;141,1,0),0)</f>
        <v>0</v>
      </c>
      <c r="BT468" s="263">
        <f>IF(AX468=9,IF(AY468&lt;141,1,0),0)</f>
        <v>0</v>
      </c>
      <c r="BU468" s="242">
        <f>IF(AL461=3,0,IF(H468,G468,0))</f>
        <v>0</v>
      </c>
      <c r="BV468" s="238">
        <f>IF(BU468&gt;0,AJ468/3,0)</f>
        <v>0</v>
      </c>
      <c r="BW468" s="238">
        <f>ROUNDUP(BV468,0)</f>
        <v>0</v>
      </c>
      <c r="BX468" s="244">
        <f>IF(MOD(BW468,2)=0,BW468,BW468+1)</f>
        <v>0</v>
      </c>
      <c r="BY468" s="238">
        <f>IF(AJ468&lt;9,"",SUM(BX468-BW468))</f>
        <v>0</v>
      </c>
      <c r="BZ468" s="238">
        <f>IF(BY468=1,AK468,0)</f>
        <v>0</v>
      </c>
      <c r="CA468" s="243" t="str">
        <f>IF(BY468=0,AK468,0)</f>
        <v/>
      </c>
      <c r="CB468" s="238"/>
      <c r="CC468" s="238"/>
      <c r="CD468" s="242">
        <f>IF(AL461=3,0,IF(W468,V468,0))</f>
        <v>0</v>
      </c>
      <c r="CE468" s="238">
        <f>IF(CD468&gt;0,AX468/3,0)</f>
        <v>0</v>
      </c>
      <c r="CF468" s="238">
        <f>ROUNDUP(CE468,0)</f>
        <v>0</v>
      </c>
      <c r="CG468" s="244">
        <f>IF(MOD(CF468,2)=0,CF468,CF468+1)</f>
        <v>0</v>
      </c>
      <c r="CH468" s="238">
        <f>IF(AX468&lt;9,"",SUM(CG468-CF468))</f>
        <v>0</v>
      </c>
      <c r="CI468" s="238">
        <f>IF(CH468=1,AY468,0)</f>
        <v>0</v>
      </c>
      <c r="CJ468" s="243" t="str">
        <f>IF(CH468=0,AY468,0)</f>
        <v/>
      </c>
      <c r="CK468" s="238"/>
      <c r="CL468" s="245">
        <f>IF(COUNT(F468,H468)=1,0,1)</f>
        <v>1</v>
      </c>
      <c r="CM468" s="245">
        <f>IF(COUNT(F468,U468)=1,0,1)</f>
        <v>1</v>
      </c>
      <c r="CN468" s="245">
        <f>IF(COUNT(H468,W468)=1,0,1)</f>
        <v>1</v>
      </c>
      <c r="CO468" s="245">
        <f>IF(COUNT(G468,V468)=2,0,1)</f>
        <v>1</v>
      </c>
      <c r="CP468" s="245">
        <f>IF(COUNT(U468,W468)=1,0,1)</f>
        <v>1</v>
      </c>
      <c r="CQ468" s="245">
        <f>IF(SUM(G468-V468)&gt;3,1,0)</f>
        <v>0</v>
      </c>
      <c r="CR468" s="245">
        <f>IF(SUM(G468-V468)&lt;-3,1,0)</f>
        <v>0</v>
      </c>
      <c r="CS468" s="264">
        <f>IF(AJ468=9,IF(AH468&lt;141,1,0),IF(AH468="",0,IF(AH468&gt;1,0,1)))</f>
        <v>0</v>
      </c>
      <c r="CT468" s="264">
        <f>IF(AX468=9,IF(AV468&lt;141,1,0),IF(AV468="",0,IF(AV468&gt;1,0,1)))</f>
        <v>0</v>
      </c>
      <c r="CU468" s="264">
        <f>IF(AI468="",0,IF(AI468&lt;502,0,1))</f>
        <v>0</v>
      </c>
      <c r="CV468" s="264">
        <f>IF(AW468="",0,IF(AW468&lt;502,0,1))</f>
        <v>0</v>
      </c>
      <c r="CW468" s="264">
        <f>IF(AI468="",IF(AJ468&lt;9,1,0),IF(AJ468&lt;9,1,0))</f>
        <v>0</v>
      </c>
      <c r="CX468" s="264">
        <f>IF(AW468="",IF(AX468&lt;9,1,0),IF(AX468&lt;9,1,0))</f>
        <v>0</v>
      </c>
      <c r="CY468" s="374"/>
      <c r="CZ468" s="374"/>
      <c r="DA468" s="374"/>
      <c r="DB468" s="374"/>
      <c r="DC468" s="265">
        <f>IF(AJ468="",0,SUM(CL468:CX468))</f>
        <v>0</v>
      </c>
      <c r="DD468" s="265">
        <f>IF(AJ468="",0,SUM(CL468,CS468,CU468,CW468))</f>
        <v>0</v>
      </c>
      <c r="DE468" s="265">
        <f>IF(AJ468="",0,SUM(CP468,CT468,CV468,CX468))</f>
        <v>0</v>
      </c>
      <c r="DF468" s="238"/>
      <c r="DG468" s="248">
        <f>IF(AL461=3,0,SUM(G468-V468))</f>
        <v>0</v>
      </c>
      <c r="DH468" s="245">
        <f>IF(F468="",0,1)</f>
        <v>0</v>
      </c>
      <c r="DI468" s="245">
        <f t="shared" si="1160"/>
        <v>0</v>
      </c>
      <c r="DJ468" s="245">
        <f t="shared" si="1161"/>
        <v>0</v>
      </c>
      <c r="DK468" s="245" t="str">
        <f>IF(G468="","",IF(DJ468=1,"*",""))</f>
        <v/>
      </c>
      <c r="DL468" s="245" t="str">
        <f>IF(AL461=3,"",IF(G468="","",IF(DJ468=-1,"*",IF(DJ468=0,"*",""))))</f>
        <v/>
      </c>
      <c r="DM468" s="245">
        <v>5</v>
      </c>
      <c r="DN468" s="245" t="str">
        <f t="shared" si="1162"/>
        <v>5</v>
      </c>
      <c r="DO468" s="245" t="str">
        <f t="shared" si="1163"/>
        <v>5</v>
      </c>
      <c r="DP468" s="245">
        <f>SUM(DP464)</f>
        <v>0</v>
      </c>
      <c r="DQ468" s="245">
        <f>SUM(DQ464)</f>
        <v>0</v>
      </c>
      <c r="DR468" s="245">
        <f t="shared" si="1170"/>
        <v>0</v>
      </c>
      <c r="DS468" s="245">
        <f t="shared" si="1171"/>
        <v>0</v>
      </c>
      <c r="DT468" s="245">
        <f t="shared" si="1172"/>
        <v>0</v>
      </c>
      <c r="DU468" s="245">
        <f>IF(V468="",0,IF(DQ468=DS468,0,1))</f>
        <v>0</v>
      </c>
      <c r="DV468" s="267">
        <f t="shared" si="1173"/>
        <v>0</v>
      </c>
      <c r="DW468" s="267">
        <f>IF(V468="",0,SUM(DU468))</f>
        <v>0</v>
      </c>
      <c r="DX468" s="238">
        <f>IF(AK468="",0,1)</f>
        <v>0</v>
      </c>
      <c r="DY468" s="238">
        <f>IF(DG468=-3,1,0)</f>
        <v>0</v>
      </c>
      <c r="DZ468" s="238">
        <f>SUM(DX468:DY468)</f>
        <v>0</v>
      </c>
      <c r="EA468" s="238">
        <f>IF(AK468="",1,0)</f>
        <v>1</v>
      </c>
      <c r="EB468" s="238">
        <f>IF(DG468=3,1,0)</f>
        <v>0</v>
      </c>
      <c r="EC468" s="238">
        <f>SUM(EA468:EB468)</f>
        <v>1</v>
      </c>
      <c r="ED468" s="267">
        <f>IF(EC468=2,1,0)</f>
        <v>0</v>
      </c>
      <c r="EE468" s="267">
        <f>IF(DZ468=2,1,0)</f>
        <v>0</v>
      </c>
      <c r="EG468" s="166"/>
      <c r="EH468" s="238"/>
      <c r="EI468" s="238"/>
      <c r="EJ468" s="238"/>
      <c r="EK468" s="238"/>
      <c r="EL468" s="238"/>
      <c r="EM468" s="245">
        <f>IF(AK468="",0,1)</f>
        <v>0</v>
      </c>
      <c r="EN468" s="245">
        <f>SUM(AK468)</f>
        <v>0</v>
      </c>
      <c r="EO468" s="268">
        <f>SUM(AJ468)</f>
        <v>0</v>
      </c>
      <c r="EP468" s="268">
        <f>SUM(G468/3)</f>
        <v>0</v>
      </c>
      <c r="EQ468" s="268" t="e">
        <f>SUM(EO468/EP468)</f>
        <v>#DIV/0!</v>
      </c>
      <c r="ER468" s="268">
        <f>ROUNDDOWN(EP468,0)</f>
        <v>0</v>
      </c>
      <c r="ES468" s="268">
        <f>SUM(EO468,-ER468*3)</f>
        <v>0</v>
      </c>
      <c r="ET468" s="269" t="b">
        <f>MOD(EN468/1,2)=0</f>
        <v>1</v>
      </c>
      <c r="EU468" s="245">
        <f>IF(ET468=FALSE,1,0)</f>
        <v>0</v>
      </c>
      <c r="EV468" s="245">
        <f>IF(EN468=50,0,IF(EN468&lt;40,1,0))</f>
        <v>1</v>
      </c>
      <c r="EW468" s="245">
        <f>SUM(EU468:EV468)</f>
        <v>1</v>
      </c>
      <c r="EX468" s="267">
        <f>IF(EN468=1,1,IF(EN468=50,0,IF(ES468=1,IF(EN468&gt;40,1,0),0)))</f>
        <v>0</v>
      </c>
      <c r="EY468" s="267">
        <f>IF(ES468=1,IF(EW468=2,1,0),0)+EX468+FB468+FE468</f>
        <v>0</v>
      </c>
      <c r="EZ468" s="245">
        <f>IF(EN468=109,1,IF(EN468=108,1,IF(EN468=106,1,IF(EN468=105,1,IF(EN468=103,1,IF(EN468=102,1,IF(EN468=99,1,0)))))))</f>
        <v>0</v>
      </c>
      <c r="FA468" s="245">
        <f>IF(EN468&gt;110,1,0)</f>
        <v>0</v>
      </c>
      <c r="FB468" s="267">
        <f>IF(ES468=2,SUM(EZ468:FA468),0)</f>
        <v>0</v>
      </c>
      <c r="FC468" s="245">
        <f>IF(EN468=159,1,IF(EN468=162,1,IF(EN468=163,1,IF(EN468=165,1,IF(EN468=166,1,IF(EN468=168,1,IF(EN468=169,1,0)))))))</f>
        <v>0</v>
      </c>
      <c r="FD468" s="245">
        <f>IF(EN468&gt;170,1,0)</f>
        <v>0</v>
      </c>
      <c r="FE468" s="267">
        <f>IF(ES468=0,SUM(FC468:FD468),0)</f>
        <v>0</v>
      </c>
      <c r="FF468" s="251">
        <f t="shared" si="1164"/>
        <v>0</v>
      </c>
      <c r="FG468" s="238"/>
      <c r="FH468" s="245">
        <f>IF(AY468="",0,1)</f>
        <v>0</v>
      </c>
      <c r="FI468" s="245">
        <f>SUM(AY468)</f>
        <v>0</v>
      </c>
      <c r="FJ468" s="268">
        <f>SUM(AX468)</f>
        <v>0</v>
      </c>
      <c r="FK468" s="268">
        <f>SUM(V468/3)</f>
        <v>0</v>
      </c>
      <c r="FL468" s="268" t="e">
        <f>SUM(FJ468/FK468)</f>
        <v>#DIV/0!</v>
      </c>
      <c r="FM468" s="268">
        <f>ROUNDDOWN(FK468,0)</f>
        <v>0</v>
      </c>
      <c r="FN468" s="268">
        <f>SUM(FJ468,-FM468*3)</f>
        <v>0</v>
      </c>
      <c r="FO468" s="269" t="b">
        <f>MOD(FI468/1,2)=0</f>
        <v>1</v>
      </c>
      <c r="FP468" s="245">
        <f>IF(FO468=FALSE,1,0)</f>
        <v>0</v>
      </c>
      <c r="FQ468" s="245">
        <f>IF(FI468=50,0,IF(FI468&lt;40,1,0))</f>
        <v>1</v>
      </c>
      <c r="FR468" s="245">
        <f>SUM(FP468:FQ468)</f>
        <v>1</v>
      </c>
      <c r="FS468" s="267">
        <f>IF(FI468=1,1,IF(FI468=50,0,IF(FN468=1,IF(FI468&gt;40,1,0),0)))</f>
        <v>0</v>
      </c>
      <c r="FT468" s="267">
        <f>IF(FN468=1,IF(FR468=2,1,0),0)+FS468+FW468+FZ468</f>
        <v>0</v>
      </c>
      <c r="FU468" s="245">
        <f>IF(FI468=109,1,IF(FI468=108,1,IF(FI468=106,1,IF(FI468=105,1,IF(FI468=103,1,IF(FI468=102,1,IF(FI468=99,1,0)))))))</f>
        <v>0</v>
      </c>
      <c r="FV468" s="245">
        <f>IF(FI468&gt;110,1,0)</f>
        <v>0</v>
      </c>
      <c r="FW468" s="267">
        <f>IF(FN468=2,SUM(FU468:FV468),0)</f>
        <v>0</v>
      </c>
      <c r="FX468" s="245">
        <f>IF(FI468=159,1,IF(FI468=162,1,IF(FI468=163,1,IF(FI468=165,1,IF(FI468=166,1,IF(FI468=168,1,IF(FI468=169,1,0)))))))</f>
        <v>0</v>
      </c>
      <c r="FY468" s="245">
        <f>IF(FI468&gt;170,1,0)</f>
        <v>0</v>
      </c>
      <c r="FZ468" s="267">
        <f>IF(FN468=0,SUM(FX468:FY468),0)</f>
        <v>0</v>
      </c>
      <c r="GA468" s="251">
        <f t="shared" si="1165"/>
        <v>0</v>
      </c>
      <c r="GC468" s="238" t="str">
        <f>VLOOKUP(AH461,Chema!BL:BR,5,FALSE)</f>
        <v/>
      </c>
      <c r="GD468" s="341"/>
      <c r="GE468" s="343" t="str">
        <f>IF(R472="","",SUM(R472))</f>
        <v/>
      </c>
      <c r="GF468" s="340"/>
      <c r="GG468" s="346"/>
      <c r="GH468" s="343">
        <f>IF(GH467&gt;0,1,0)</f>
        <v>0</v>
      </c>
      <c r="GI468" s="346"/>
      <c r="GJ468" s="343"/>
      <c r="GK468" s="346"/>
      <c r="GL468" s="343">
        <f>IF(GL467&gt;0,1,0)</f>
        <v>0</v>
      </c>
      <c r="GM468" s="343"/>
      <c r="GN468" s="343"/>
      <c r="GO468" s="346"/>
      <c r="GP468" s="343">
        <f>IF(GP467&gt;0,1,0)</f>
        <v>0</v>
      </c>
      <c r="GQ468" s="343"/>
      <c r="GR468" s="343"/>
      <c r="GS468" s="346"/>
      <c r="GT468" s="343">
        <f>IF(GT467&gt;0,1,0)</f>
        <v>0</v>
      </c>
      <c r="GU468" s="343"/>
      <c r="GV468" s="343"/>
      <c r="GW468" s="346"/>
      <c r="GX468" s="343">
        <f>IF(GX467&gt;0,1,0)</f>
        <v>0</v>
      </c>
      <c r="GY468" s="340"/>
      <c r="GZ468" s="343"/>
      <c r="HA468" s="343"/>
      <c r="HB468" s="343" t="str">
        <f>IF(GD464=1,P472,"")</f>
        <v/>
      </c>
      <c r="HC468" s="343" t="str">
        <f>IF(GD464=1,X472,"")</f>
        <v/>
      </c>
      <c r="HD468" s="340"/>
      <c r="HE468" s="340"/>
      <c r="HF468" s="340"/>
      <c r="HG468" s="340">
        <f>IF(HG466=HM464,0,IF(HG466=HM468,0,1))</f>
        <v>0</v>
      </c>
      <c r="HH468" s="340">
        <f>IF(HH465=HH467,1,0)</f>
        <v>1</v>
      </c>
      <c r="HI468" s="340"/>
      <c r="HJ468" s="340"/>
      <c r="HK468" s="340"/>
      <c r="HL468" s="340"/>
      <c r="HM468" s="341">
        <f>COUNT(HI467,HJ467,HK467,HL467,HM467)</f>
        <v>0</v>
      </c>
      <c r="HN468" s="341"/>
      <c r="HO468" s="341"/>
      <c r="HP468" s="341"/>
      <c r="HQ468" s="341"/>
      <c r="HR468" s="341"/>
      <c r="HS468" s="238"/>
      <c r="HT468" s="238"/>
      <c r="HU468" s="238"/>
      <c r="HV468" s="238"/>
      <c r="HX468" s="238"/>
      <c r="HY468" s="238"/>
      <c r="ID468" s="238"/>
    </row>
    <row r="469" spans="1:238" s="234" customFormat="1" ht="6.6" customHeight="1">
      <c r="A469" s="235"/>
      <c r="B469" s="231"/>
      <c r="C469" s="310"/>
      <c r="D469" s="310"/>
      <c r="E469" s="310"/>
      <c r="F469" s="310"/>
      <c r="G469" s="313"/>
      <c r="H469" s="310"/>
      <c r="I469" s="310"/>
      <c r="J469" s="273"/>
      <c r="K469" s="313"/>
      <c r="O469" s="118"/>
      <c r="R469" s="310"/>
      <c r="S469" s="310"/>
      <c r="T469" s="310"/>
      <c r="U469" s="310"/>
      <c r="V469" s="313"/>
      <c r="W469" s="310"/>
      <c r="X469" s="310"/>
      <c r="Y469" s="273"/>
      <c r="Z469" s="308"/>
      <c r="AA469" s="274"/>
      <c r="AD469" s="235"/>
      <c r="AE469" s="237">
        <f>IF(AF469=0,0,1)</f>
        <v>0</v>
      </c>
      <c r="AF469" s="237">
        <f>IF(AL469=0,0,SUM(AL471:AL472,-AL470))</f>
        <v>0</v>
      </c>
      <c r="AG469" s="237"/>
      <c r="AH469" s="275">
        <f>SUM(AH464,AH465,AH466,AH467,AH468)</f>
        <v>0</v>
      </c>
      <c r="AI469" s="275">
        <f t="shared" ref="AI469" si="1177">SUM(AI464,AI465,AI466,AI467,AI468)</f>
        <v>0</v>
      </c>
      <c r="AJ469" s="275">
        <f t="shared" ref="AJ469" si="1178">SUM(AJ464,AJ465,AJ466,AJ467,AJ468)</f>
        <v>0</v>
      </c>
      <c r="AK469" s="275">
        <f>MAX(AK464,AK465,AK466,AK467,AK468)</f>
        <v>0</v>
      </c>
      <c r="AL469" s="275">
        <f t="shared" ref="AL469" si="1179">SUM(AL464,AL465,AL466,AL467,AL468)</f>
        <v>0</v>
      </c>
      <c r="AM469" s="275">
        <f>IF(AK461="D",SUM(AL464,AL465,AL466,AL467,AL468,-AL471,-AL472),0)</f>
        <v>0</v>
      </c>
      <c r="AN469" s="235"/>
      <c r="AO469" s="235"/>
      <c r="AP469" s="235"/>
      <c r="AQ469" s="235"/>
      <c r="AR469" s="235"/>
      <c r="AS469" s="237">
        <f>IF(AT469=0,0,1)</f>
        <v>0</v>
      </c>
      <c r="AT469" s="237">
        <f>IF(AZ469=0,0,SUM(AZ471:AZ472,-AZ470))</f>
        <v>0</v>
      </c>
      <c r="AU469" s="237"/>
      <c r="AV469" s="275">
        <f>SUM(AV464,AV465,AV466,AV467,AV468)</f>
        <v>0</v>
      </c>
      <c r="AW469" s="275">
        <f t="shared" ref="AW469" si="1180">SUM(AW464,AW465,AW466,AW467,AW468)</f>
        <v>0</v>
      </c>
      <c r="AX469" s="275">
        <f t="shared" ref="AX469" si="1181">SUM(AX464,AX465,AX466,AX467,AX468)</f>
        <v>0</v>
      </c>
      <c r="AY469" s="275">
        <f>MAX(AY464,AY465,AY466,AY467,AY468)</f>
        <v>0</v>
      </c>
      <c r="AZ469" s="275">
        <f t="shared" ref="AZ469" si="1182">SUM(AZ464,AZ465,AZ466,AZ467,AZ468)</f>
        <v>0</v>
      </c>
      <c r="BA469" s="275">
        <f>IF(AK461="D",SUM(AZ464,AZ465,AZ466,AZ467,AZ468,-AZ471,-AZ472),0)</f>
        <v>0</v>
      </c>
      <c r="BJ469" s="236"/>
      <c r="BK469" s="238"/>
      <c r="BL469" s="238"/>
      <c r="BM469" s="238"/>
      <c r="BP469" s="238"/>
      <c r="BQ469" s="238"/>
      <c r="BR469" s="238"/>
      <c r="BS469" s="238"/>
      <c r="BT469" s="238"/>
      <c r="BU469" s="238"/>
      <c r="BY469" s="238"/>
      <c r="BZ469" s="238">
        <f>MAX(BZ464,BZ465,BZ466,BZ467,BZ468)</f>
        <v>0</v>
      </c>
      <c r="CA469" s="238">
        <f>MAX(CA464,CA465,CA466,CA467,CA468)</f>
        <v>0</v>
      </c>
      <c r="CB469" s="238"/>
      <c r="CC469" s="238"/>
      <c r="CD469" s="238"/>
      <c r="CG469" s="244"/>
      <c r="CH469" s="238"/>
      <c r="CI469" s="238">
        <f>MAX(CI464,CI465,CI466,CI467,CI468)</f>
        <v>0</v>
      </c>
      <c r="CJ469" s="238">
        <f>MAX(CJ464,CJ465,CJ466,CJ467,CJ468)</f>
        <v>0</v>
      </c>
      <c r="CK469" s="238"/>
      <c r="CL469" s="238"/>
      <c r="CM469" s="238"/>
      <c r="CN469" s="238"/>
      <c r="CO469" s="238"/>
      <c r="CP469" s="238"/>
      <c r="CQ469" s="238"/>
      <c r="CR469" s="238"/>
      <c r="CS469" s="238"/>
      <c r="CT469" s="238"/>
      <c r="CU469" s="238"/>
      <c r="CV469" s="238"/>
      <c r="CW469" s="238"/>
      <c r="CX469" s="238"/>
      <c r="CY469" s="238"/>
      <c r="CZ469" s="238"/>
      <c r="DA469" s="238"/>
      <c r="DB469" s="238"/>
      <c r="DC469" s="238"/>
      <c r="DD469" s="238"/>
      <c r="DE469" s="238"/>
      <c r="DF469" s="238"/>
      <c r="DG469" s="238"/>
      <c r="DH469" s="238"/>
      <c r="DI469" s="238"/>
      <c r="DJ469" s="238"/>
      <c r="DK469" s="238"/>
      <c r="DL469" s="238"/>
      <c r="DM469" s="238"/>
      <c r="DN469" s="238"/>
      <c r="DO469" s="238"/>
      <c r="DP469" s="238"/>
      <c r="DQ469" s="238"/>
      <c r="DR469" s="238"/>
      <c r="DS469" s="238"/>
      <c r="DT469" s="238"/>
      <c r="DU469" s="238"/>
      <c r="DV469" s="238"/>
      <c r="DW469" s="238"/>
      <c r="DX469" s="238"/>
      <c r="DY469" s="238"/>
      <c r="DZ469" s="238"/>
      <c r="EA469" s="238"/>
      <c r="EB469" s="238"/>
      <c r="EC469" s="238"/>
      <c r="ED469" s="238"/>
      <c r="EE469" s="238"/>
      <c r="EF469" s="238"/>
      <c r="EG469" s="238"/>
      <c r="EH469" s="238"/>
      <c r="EI469" s="238"/>
      <c r="EJ469" s="238"/>
      <c r="EK469" s="238"/>
      <c r="EL469" s="238"/>
      <c r="EM469" s="166"/>
      <c r="EN469" s="166"/>
      <c r="EO469" s="166"/>
      <c r="EP469" s="238">
        <f>SUM(EN469-EO469)</f>
        <v>0</v>
      </c>
      <c r="EQ469" s="238"/>
      <c r="ER469" s="238"/>
      <c r="ES469" s="238"/>
      <c r="ET469" s="244"/>
      <c r="EU469" s="238"/>
      <c r="EV469" s="238"/>
      <c r="EW469" s="238"/>
      <c r="EX469" s="238"/>
      <c r="EY469" s="238"/>
      <c r="EZ469" s="238"/>
      <c r="FA469" s="238"/>
      <c r="FB469" s="238"/>
      <c r="FC469" s="238"/>
      <c r="FD469" s="238"/>
      <c r="FE469" s="238"/>
      <c r="FF469" s="238"/>
      <c r="FG469" s="238"/>
      <c r="FH469" s="238"/>
      <c r="FI469" s="238"/>
      <c r="FJ469" s="238"/>
      <c r="FK469" s="238"/>
      <c r="FL469" s="238"/>
      <c r="FM469" s="238"/>
      <c r="FN469" s="238"/>
      <c r="FO469" s="244"/>
      <c r="FP469" s="238"/>
      <c r="FQ469" s="238"/>
      <c r="FR469" s="238"/>
      <c r="FS469" s="238"/>
      <c r="FT469" s="238"/>
      <c r="FU469" s="238"/>
      <c r="FV469" s="238"/>
      <c r="FW469" s="238"/>
      <c r="FX469" s="238"/>
      <c r="FY469" s="238"/>
      <c r="FZ469" s="238"/>
      <c r="GA469" s="238"/>
      <c r="GB469" s="238"/>
      <c r="GC469" s="238"/>
      <c r="GD469" s="341"/>
      <c r="GE469" s="340"/>
      <c r="GF469" s="340"/>
      <c r="GG469" s="340"/>
      <c r="GH469" s="340"/>
      <c r="GI469" s="340"/>
      <c r="GJ469" s="340"/>
      <c r="GK469" s="340"/>
      <c r="GL469" s="340"/>
      <c r="GM469" s="340"/>
      <c r="GN469" s="340"/>
      <c r="GO469" s="340"/>
      <c r="GP469" s="340"/>
      <c r="GQ469" s="340"/>
      <c r="GR469" s="340"/>
      <c r="GS469" s="340"/>
      <c r="GT469" s="340"/>
      <c r="GU469" s="340"/>
      <c r="GV469" s="340"/>
      <c r="GW469" s="340"/>
      <c r="GX469" s="340"/>
      <c r="GY469" s="340"/>
      <c r="GZ469" s="340"/>
      <c r="HA469" s="340"/>
      <c r="HB469" s="340"/>
      <c r="HC469" s="340"/>
      <c r="HD469" s="341"/>
      <c r="HE469" s="341"/>
      <c r="HF469" s="341"/>
      <c r="HG469" s="341"/>
      <c r="HH469" s="341"/>
      <c r="HI469" s="341"/>
      <c r="HJ469" s="341"/>
      <c r="HK469" s="341"/>
      <c r="HL469" s="341"/>
      <c r="HM469" s="341"/>
      <c r="HN469" s="341"/>
      <c r="HO469" s="341"/>
      <c r="HP469" s="341"/>
      <c r="HQ469" s="341"/>
      <c r="HR469" s="341"/>
      <c r="HS469" s="238"/>
      <c r="HT469" s="238"/>
      <c r="HU469" s="238"/>
      <c r="HV469" s="238"/>
      <c r="HX469" s="238"/>
      <c r="HY469" s="238"/>
      <c r="ID469" s="238"/>
    </row>
    <row r="470" spans="1:238" s="234" customFormat="1" ht="20.100000000000001" customHeight="1">
      <c r="A470" s="235"/>
      <c r="B470" s="231"/>
      <c r="C470" s="314" t="s">
        <v>771</v>
      </c>
      <c r="D470" s="276" t="str">
        <f>REPT(Sprache!$K$58,1)</f>
        <v>Spieler</v>
      </c>
      <c r="E470" s="277" t="str">
        <f>REPT(Sprache!$K$33,1)</f>
        <v>Name / Vorname</v>
      </c>
      <c r="F470" s="278"/>
      <c r="G470" s="278"/>
      <c r="H470" s="279"/>
      <c r="I470" s="280"/>
      <c r="J470" s="281" t="str">
        <f>REPT(AM470,1)</f>
        <v/>
      </c>
      <c r="L470" s="306" t="s">
        <v>848</v>
      </c>
      <c r="M470" s="238"/>
      <c r="P470" s="306" t="s">
        <v>848</v>
      </c>
      <c r="R470" s="314" t="s">
        <v>771</v>
      </c>
      <c r="S470" s="276" t="str">
        <f>REPT(Sprache!$K$58,1)</f>
        <v>Spieler</v>
      </c>
      <c r="T470" s="277" t="str">
        <f>REPT(Sprache!$K$33,1)</f>
        <v>Name / Vorname</v>
      </c>
      <c r="U470" s="278"/>
      <c r="V470" s="278"/>
      <c r="W470" s="279"/>
      <c r="X470" s="280"/>
      <c r="Y470" s="281" t="str">
        <f>REPT(BA470,1)</f>
        <v/>
      </c>
      <c r="Z470" s="308"/>
      <c r="AD470" s="235"/>
      <c r="AE470" s="235"/>
      <c r="AF470" s="237" t="s">
        <v>771</v>
      </c>
      <c r="AG470" s="282" t="s">
        <v>877</v>
      </c>
      <c r="AH470" s="283" t="str">
        <f>IF(AH469=0,"",AH469)</f>
        <v/>
      </c>
      <c r="AI470" s="283" t="str">
        <f>IF(AI469=0,"",AI469)</f>
        <v/>
      </c>
      <c r="AJ470" s="283" t="str">
        <f>IF(AJ469=0,"",AJ469)</f>
        <v/>
      </c>
      <c r="AK470" s="283" t="str">
        <f>IF(AK469=0,"",AK469)</f>
        <v/>
      </c>
      <c r="AL470" s="283" t="str">
        <f>IF(AL469=0,"",AL469)</f>
        <v/>
      </c>
      <c r="AM470" s="258" t="str">
        <f>IF(AK461="D",IF(AF469=0,"","X"),"")</f>
        <v/>
      </c>
      <c r="AN470" s="235"/>
      <c r="AO470" s="235"/>
      <c r="AP470" s="284"/>
      <c r="AQ470" s="235"/>
      <c r="AR470" s="235"/>
      <c r="AS470" s="235"/>
      <c r="AT470" s="237" t="s">
        <v>771</v>
      </c>
      <c r="AU470" s="282" t="s">
        <v>877</v>
      </c>
      <c r="AV470" s="283" t="str">
        <f>IF(AV469=0,"",AV469)</f>
        <v/>
      </c>
      <c r="AW470" s="283" t="str">
        <f>IF(AW469=0,"",AW469)</f>
        <v/>
      </c>
      <c r="AX470" s="283" t="str">
        <f>IF(AX469=0,"",AX469)</f>
        <v/>
      </c>
      <c r="AY470" s="283" t="str">
        <f>IF(AY469=0,"",AY469)</f>
        <v/>
      </c>
      <c r="AZ470" s="421" t="str">
        <f>IF(AZ469=0,"",AZ469)</f>
        <v/>
      </c>
      <c r="BA470" s="258" t="str">
        <f>IF(AK461="D",IF(AT469=0,"","X"),"")</f>
        <v/>
      </c>
      <c r="BJ470" s="236"/>
      <c r="BK470" s="238"/>
      <c r="BL470" s="244">
        <f>IF(BM470=0,0,1)</f>
        <v>0</v>
      </c>
      <c r="BM470" s="244">
        <f>SUM(BM464,BM465,BM466,BM467,BM468,HH466,AN471,AN472,BB471,BB472)</f>
        <v>0</v>
      </c>
      <c r="BN470" s="166">
        <f t="shared" ref="BN470:BO470" si="1183">SUM(BN464,BN465,BN466,BN467,BN468)</f>
        <v>0</v>
      </c>
      <c r="BO470" s="166">
        <f t="shared" si="1183"/>
        <v>0</v>
      </c>
      <c r="BP470" s="244"/>
      <c r="BQ470" s="238"/>
      <c r="BR470" s="238"/>
      <c r="BS470" s="238"/>
      <c r="BT470" s="238"/>
      <c r="BU470" s="238"/>
      <c r="BV470" s="238"/>
      <c r="BW470" s="238"/>
      <c r="BX470" s="236"/>
      <c r="BY470" s="238"/>
      <c r="BZ470" s="238"/>
      <c r="CA470" s="238"/>
      <c r="CB470" s="238"/>
      <c r="CC470" s="238"/>
      <c r="CD470" s="238"/>
      <c r="CE470" s="238"/>
      <c r="CF470" s="238"/>
      <c r="CG470" s="244"/>
      <c r="CH470" s="238"/>
      <c r="CI470" s="238"/>
      <c r="CJ470" s="238"/>
      <c r="CK470" s="238"/>
      <c r="CL470" s="238"/>
      <c r="CM470" s="238"/>
      <c r="CN470" s="238"/>
      <c r="CO470" s="238"/>
      <c r="CP470" s="238"/>
      <c r="CQ470" s="238"/>
      <c r="CR470" s="238"/>
      <c r="CS470" s="238"/>
      <c r="CT470" s="238"/>
      <c r="CU470" s="238"/>
      <c r="CV470" s="238"/>
      <c r="CW470" s="238"/>
      <c r="CX470" s="238"/>
      <c r="CY470" s="238"/>
      <c r="CZ470" s="238"/>
      <c r="DA470" s="238"/>
      <c r="DB470" s="238"/>
      <c r="DC470" s="238"/>
      <c r="DD470" s="238"/>
      <c r="DE470" s="238"/>
      <c r="DF470" s="238"/>
      <c r="DG470" s="238"/>
      <c r="DH470" s="238"/>
      <c r="DI470" s="238"/>
      <c r="DJ470" s="238"/>
      <c r="DK470" s="238"/>
      <c r="DL470" s="238"/>
      <c r="DM470" s="238"/>
      <c r="DN470" s="238"/>
      <c r="DO470" s="238"/>
      <c r="DP470" s="238"/>
      <c r="DQ470" s="238"/>
      <c r="DR470" s="238"/>
      <c r="DS470" s="238"/>
      <c r="DT470" s="238"/>
      <c r="DU470" s="238"/>
      <c r="DV470" s="238"/>
      <c r="DW470" s="238"/>
      <c r="DX470" s="238"/>
      <c r="DY470" s="238"/>
      <c r="DZ470" s="238"/>
      <c r="EA470" s="238"/>
      <c r="EB470" s="238"/>
      <c r="EC470" s="238"/>
      <c r="ED470" s="238"/>
      <c r="EE470" s="238"/>
      <c r="EF470" s="238"/>
      <c r="EG470" s="238"/>
      <c r="EH470" s="238"/>
      <c r="EI470" s="238"/>
      <c r="EJ470" s="238"/>
      <c r="EK470" s="238"/>
      <c r="EL470" s="238"/>
      <c r="EM470" s="238"/>
      <c r="EN470" s="238"/>
      <c r="EO470" s="238"/>
      <c r="EP470" s="238"/>
      <c r="EQ470" s="238"/>
      <c r="ER470" s="238"/>
      <c r="ES470" s="238"/>
      <c r="ET470" s="244"/>
      <c r="EU470" s="238"/>
      <c r="EV470" s="238"/>
      <c r="EW470" s="238"/>
      <c r="EX470" s="238"/>
      <c r="EY470" s="238"/>
      <c r="EZ470" s="238"/>
      <c r="FA470" s="238"/>
      <c r="FB470" s="238"/>
      <c r="FC470" s="238"/>
      <c r="FD470" s="238"/>
      <c r="FE470" s="238"/>
      <c r="FF470" s="238"/>
      <c r="FG470" s="238"/>
      <c r="FH470" s="238"/>
      <c r="FI470" s="238"/>
      <c r="FJ470" s="238"/>
      <c r="FK470" s="238"/>
      <c r="FL470" s="238"/>
      <c r="FM470" s="238"/>
      <c r="FN470" s="238"/>
      <c r="FO470" s="244"/>
      <c r="FP470" s="238"/>
      <c r="FQ470" s="238"/>
      <c r="FR470" s="238"/>
      <c r="FS470" s="238"/>
      <c r="FT470" s="238"/>
      <c r="FU470" s="238"/>
      <c r="FV470" s="238"/>
      <c r="FW470" s="238"/>
      <c r="FX470" s="238"/>
      <c r="FY470" s="238"/>
      <c r="FZ470" s="238"/>
      <c r="GA470" s="238"/>
      <c r="GB470" s="238"/>
      <c r="GC470" s="238"/>
      <c r="GD470" s="341"/>
      <c r="GE470" s="340"/>
      <c r="GF470" s="340"/>
      <c r="GG470" s="340"/>
      <c r="GH470" s="340"/>
      <c r="GI470" s="340"/>
      <c r="GJ470" s="340"/>
      <c r="GK470" s="340"/>
      <c r="GL470" s="340"/>
      <c r="GM470" s="340"/>
      <c r="GN470" s="340"/>
      <c r="GO470" s="340"/>
      <c r="GP470" s="340"/>
      <c r="GQ470" s="340"/>
      <c r="GR470" s="340"/>
      <c r="GS470" s="340"/>
      <c r="GT470" s="340"/>
      <c r="GU470" s="340"/>
      <c r="GV470" s="340"/>
      <c r="GW470" s="340"/>
      <c r="GX470" s="340"/>
      <c r="GY470" s="340"/>
      <c r="GZ470" s="340"/>
      <c r="HA470" s="340"/>
      <c r="HB470" s="340"/>
      <c r="HC470" s="340"/>
      <c r="HD470" s="341"/>
      <c r="HE470" s="341"/>
      <c r="HF470" s="341"/>
      <c r="HG470" s="341"/>
      <c r="HH470" s="341"/>
      <c r="HI470" s="341"/>
      <c r="HJ470" s="341"/>
      <c r="HK470" s="341"/>
      <c r="HL470" s="341"/>
      <c r="HM470" s="341"/>
      <c r="HN470" s="341"/>
      <c r="HO470" s="341"/>
      <c r="HP470" s="341"/>
      <c r="HQ470" s="341"/>
      <c r="HR470" s="341"/>
      <c r="HS470" s="238"/>
      <c r="HT470" s="238"/>
      <c r="HU470" s="238"/>
      <c r="HV470" s="238"/>
      <c r="HX470" s="238"/>
      <c r="HY470" s="238"/>
      <c r="ID470" s="238"/>
    </row>
    <row r="471" spans="1:238" s="234" customFormat="1" ht="20.100000000000001" customHeight="1">
      <c r="A471" s="235"/>
      <c r="B471" s="231"/>
      <c r="C471" s="285" t="str">
        <f>IF(AF471="","",SUM(AF471))</f>
        <v/>
      </c>
      <c r="D471" s="286" t="str">
        <f>IF(AK461="D",1,"")</f>
        <v/>
      </c>
      <c r="E471" s="287" t="str">
        <f>IF(C471="","",VLOOKUP(C471,Licenses!B:C,2,FALSE))</f>
        <v/>
      </c>
      <c r="F471" s="288"/>
      <c r="G471" s="288"/>
      <c r="H471" s="289"/>
      <c r="I471" s="169"/>
      <c r="J471" s="270" t="str">
        <f>REPT(AM471,1)</f>
        <v/>
      </c>
      <c r="L471" s="290" t="str">
        <f>IF(AK461="D",AK471,IF(AK470="","",AK470))</f>
        <v/>
      </c>
      <c r="M471" s="311"/>
      <c r="P471" s="290" t="str">
        <f>IF(AK461="D",AY471,IF(AY470="","",AY470))</f>
        <v/>
      </c>
      <c r="R471" s="291" t="str">
        <f>IF(AT471="","",SUM(AT471))</f>
        <v/>
      </c>
      <c r="S471" s="286" t="str">
        <f>IF(AK461="D",1,"")</f>
        <v/>
      </c>
      <c r="T471" s="292" t="str">
        <f>IF(R471="","",VLOOKUP(R471,Licenses!B:C,2,FALSE))</f>
        <v/>
      </c>
      <c r="U471" s="293"/>
      <c r="V471" s="293"/>
      <c r="W471" s="294"/>
      <c r="X471" s="169"/>
      <c r="Y471" s="270" t="str">
        <f>REPT(BA471,1)</f>
        <v/>
      </c>
      <c r="Z471" s="308"/>
      <c r="AD471" s="235"/>
      <c r="AE471" s="235"/>
      <c r="AF471" s="256" t="str">
        <f>IF(AM461="","",SUM(AM461))</f>
        <v/>
      </c>
      <c r="AG471" s="237"/>
      <c r="AH471" s="256"/>
      <c r="AI471" s="256"/>
      <c r="AJ471" s="256"/>
      <c r="AK471" s="256" t="str">
        <f>IF(BZ469&gt;1,BZ469,"")</f>
        <v/>
      </c>
      <c r="AL471" s="257">
        <f>IF(AK461="D",SUM(I471),0)</f>
        <v>0</v>
      </c>
      <c r="AM471" s="258" t="str">
        <f>IF(AM469=0,IF(AL471&lt;6,"","X"),"X")</f>
        <v/>
      </c>
      <c r="AN471" s="347" t="str">
        <f>IF(AM469=0,IF(AL471&lt;6,"",1),1)</f>
        <v/>
      </c>
      <c r="AO471" s="235"/>
      <c r="AP471" s="236"/>
      <c r="AQ471" s="235"/>
      <c r="AR471" s="235"/>
      <c r="AS471" s="235"/>
      <c r="AT471" s="256" t="str">
        <f>IF(BA461="","",SUM(BA461))</f>
        <v/>
      </c>
      <c r="AU471" s="237"/>
      <c r="AV471" s="256"/>
      <c r="AW471" s="256"/>
      <c r="AX471" s="256"/>
      <c r="AY471" s="256" t="str">
        <f>IF(CI469&gt;1,CI469,"")</f>
        <v/>
      </c>
      <c r="AZ471" s="257">
        <f>IF(AK461="D",SUM(X471),0)</f>
        <v>0</v>
      </c>
      <c r="BA471" s="258" t="str">
        <f>IF(BA469=0,IF(AZ471&lt;6,"","X"),"X")</f>
        <v/>
      </c>
      <c r="BB471" s="347" t="str">
        <f>IF(BA469=0,IF(AZ471&lt;6,"",1),1)</f>
        <v/>
      </c>
      <c r="BC471" s="236"/>
      <c r="BD471" s="236"/>
      <c r="BE471" s="236"/>
      <c r="BF471" s="236"/>
      <c r="BG471" s="236"/>
      <c r="BH471" s="236"/>
      <c r="BI471" s="236"/>
      <c r="BJ471" s="236"/>
      <c r="BK471" s="238"/>
      <c r="BL471" s="238"/>
      <c r="BM471" s="295"/>
      <c r="BN471" s="295"/>
      <c r="BO471" s="295"/>
      <c r="BP471" s="295"/>
      <c r="BQ471" s="295"/>
      <c r="BR471" s="295"/>
      <c r="BS471" s="295"/>
      <c r="BT471" s="295"/>
      <c r="BU471" s="295"/>
      <c r="BV471" s="295"/>
      <c r="BW471" s="295"/>
      <c r="BX471" s="236"/>
      <c r="BY471" s="295"/>
      <c r="BZ471" s="295"/>
      <c r="CA471" s="295"/>
      <c r="CB471" s="295"/>
      <c r="CC471" s="295"/>
      <c r="CD471" s="295"/>
      <c r="CE471" s="295"/>
      <c r="CF471" s="295"/>
      <c r="CG471" s="296"/>
      <c r="CH471" s="295"/>
      <c r="CI471" s="295"/>
      <c r="CJ471" s="295"/>
      <c r="CK471" s="238"/>
      <c r="CL471" s="238"/>
      <c r="CM471" s="238"/>
      <c r="CN471" s="238"/>
      <c r="CO471" s="238"/>
      <c r="CP471" s="238"/>
      <c r="CQ471" s="238"/>
      <c r="CR471" s="238"/>
      <c r="CS471" s="238"/>
      <c r="CT471" s="238"/>
      <c r="CU471" s="238"/>
      <c r="CV471" s="238"/>
      <c r="CW471" s="238"/>
      <c r="CX471" s="238"/>
      <c r="CY471" s="238"/>
      <c r="CZ471" s="238"/>
      <c r="DA471" s="238"/>
      <c r="DB471" s="238"/>
      <c r="DC471" s="238"/>
      <c r="DD471" s="238"/>
      <c r="DE471" s="238"/>
      <c r="DF471" s="238"/>
      <c r="DG471" s="238"/>
      <c r="DH471" s="238"/>
      <c r="DI471" s="238"/>
      <c r="DJ471" s="238"/>
      <c r="DK471" s="238"/>
      <c r="DL471" s="238"/>
      <c r="DM471" s="238"/>
      <c r="DN471" s="238"/>
      <c r="DO471" s="238"/>
      <c r="DP471" s="238"/>
      <c r="DQ471" s="238"/>
      <c r="DR471" s="238"/>
      <c r="DS471" s="238"/>
      <c r="DT471" s="238"/>
      <c r="DU471" s="238"/>
      <c r="DV471" s="238"/>
      <c r="DW471" s="238"/>
      <c r="DX471" s="238"/>
      <c r="DY471" s="238"/>
      <c r="DZ471" s="238"/>
      <c r="EA471" s="238"/>
      <c r="EB471" s="238"/>
      <c r="EC471" s="238"/>
      <c r="ED471" s="238"/>
      <c r="EE471" s="238"/>
      <c r="EF471" s="238"/>
      <c r="EG471" s="238"/>
      <c r="EH471" s="238"/>
      <c r="EI471" s="238"/>
      <c r="EJ471" s="238"/>
      <c r="EK471" s="238"/>
      <c r="EL471" s="238"/>
      <c r="EM471" s="238"/>
      <c r="EN471" s="238"/>
      <c r="EO471" s="238"/>
      <c r="EP471" s="238"/>
      <c r="EQ471" s="238"/>
      <c r="ER471" s="238"/>
      <c r="ES471" s="238"/>
      <c r="ET471" s="244"/>
      <c r="EU471" s="238"/>
      <c r="EV471" s="238"/>
      <c r="EW471" s="238"/>
      <c r="EX471" s="238"/>
      <c r="EY471" s="238"/>
      <c r="EZ471" s="238"/>
      <c r="FA471" s="238"/>
      <c r="FB471" s="238"/>
      <c r="FC471" s="238"/>
      <c r="FD471" s="238"/>
      <c r="FE471" s="238"/>
      <c r="FF471" s="238"/>
      <c r="FG471" s="238"/>
      <c r="FH471" s="238"/>
      <c r="FI471" s="238"/>
      <c r="FJ471" s="238"/>
      <c r="FK471" s="238"/>
      <c r="FL471" s="238"/>
      <c r="FM471" s="238"/>
      <c r="FN471" s="238"/>
      <c r="FO471" s="244"/>
      <c r="FP471" s="238"/>
      <c r="FQ471" s="238"/>
      <c r="FR471" s="238"/>
      <c r="FS471" s="238"/>
      <c r="FT471" s="238"/>
      <c r="FU471" s="238"/>
      <c r="FV471" s="238"/>
      <c r="FW471" s="238"/>
      <c r="FX471" s="238"/>
      <c r="FY471" s="238"/>
      <c r="FZ471" s="238"/>
      <c r="GA471" s="238"/>
      <c r="GB471" s="238"/>
      <c r="GC471" s="238"/>
      <c r="GD471" s="341"/>
      <c r="GE471" s="340"/>
      <c r="GF471" s="340"/>
      <c r="GG471" s="340"/>
      <c r="GH471" s="340"/>
      <c r="GI471" s="340"/>
      <c r="GJ471" s="340"/>
      <c r="GK471" s="340"/>
      <c r="GL471" s="340"/>
      <c r="GM471" s="340"/>
      <c r="GN471" s="340"/>
      <c r="GO471" s="340"/>
      <c r="GP471" s="340"/>
      <c r="GQ471" s="340"/>
      <c r="GR471" s="340"/>
      <c r="GS471" s="340"/>
      <c r="GT471" s="340"/>
      <c r="GU471" s="340"/>
      <c r="GV471" s="340"/>
      <c r="GW471" s="340"/>
      <c r="GX471" s="340"/>
      <c r="GY471" s="340"/>
      <c r="GZ471" s="340"/>
      <c r="HA471" s="340"/>
      <c r="HB471" s="340"/>
      <c r="HC471" s="340"/>
      <c r="HD471" s="341"/>
      <c r="HE471" s="341"/>
      <c r="HF471" s="341"/>
      <c r="HG471" s="341"/>
      <c r="HH471" s="341"/>
      <c r="HI471" s="341"/>
      <c r="HJ471" s="341"/>
      <c r="HK471" s="341"/>
      <c r="HL471" s="341"/>
      <c r="HM471" s="341"/>
      <c r="HN471" s="341"/>
      <c r="HO471" s="341"/>
      <c r="HP471" s="341"/>
      <c r="HQ471" s="341"/>
      <c r="HR471" s="341"/>
      <c r="HS471" s="238"/>
      <c r="HT471" s="238"/>
      <c r="HU471" s="238"/>
      <c r="HV471" s="238"/>
      <c r="HX471" s="238"/>
      <c r="HY471" s="238"/>
      <c r="ID471" s="238"/>
    </row>
    <row r="472" spans="1:238" s="234" customFormat="1" ht="20.100000000000001" customHeight="1">
      <c r="A472" s="235"/>
      <c r="B472" s="231"/>
      <c r="C472" s="336" t="str">
        <f>IF(AF472="","",SUM(AF472))</f>
        <v/>
      </c>
      <c r="D472" s="333" t="str">
        <f>IF(AK461="D",2,"")</f>
        <v/>
      </c>
      <c r="E472" s="337" t="str">
        <f>IF(C472="","",VLOOKUP(C472,Licenses!B:C,2,FALSE))</f>
        <v/>
      </c>
      <c r="F472" s="290"/>
      <c r="G472" s="290"/>
      <c r="H472" s="338"/>
      <c r="I472" s="331"/>
      <c r="J472" s="272" t="str">
        <f>REPT(AM472,1)</f>
        <v/>
      </c>
      <c r="L472" s="315" t="str">
        <f>IF(AK461="D",AK472,"")</f>
        <v/>
      </c>
      <c r="M472" s="311"/>
      <c r="P472" s="315" t="str">
        <f>IF(AK461="D",AY472,"")</f>
        <v/>
      </c>
      <c r="R472" s="332" t="str">
        <f>IF(AT472="","",SUM(AT472))</f>
        <v/>
      </c>
      <c r="S472" s="333" t="str">
        <f>IF(AK461="D",2,"")</f>
        <v/>
      </c>
      <c r="T472" s="334" t="str">
        <f>IF(R472="","",VLOOKUP(R472,Licenses!B:C,2,FALSE))</f>
        <v/>
      </c>
      <c r="U472" s="297"/>
      <c r="V472" s="297"/>
      <c r="W472" s="335"/>
      <c r="X472" s="331"/>
      <c r="Y472" s="272" t="str">
        <f>REPT(BA472,1)</f>
        <v/>
      </c>
      <c r="Z472" s="308"/>
      <c r="AA472" s="238">
        <f>IF(AK461="D",0,1)</f>
        <v>1</v>
      </c>
      <c r="AD472" s="235"/>
      <c r="AE472" s="235"/>
      <c r="AF472" s="256" t="str">
        <f>IF(AM462="","",SUM(AM462))</f>
        <v/>
      </c>
      <c r="AG472" s="237"/>
      <c r="AH472" s="256"/>
      <c r="AI472" s="256"/>
      <c r="AJ472" s="256"/>
      <c r="AK472" s="256" t="str">
        <f>IF(CA469&gt;1,CA469,"")</f>
        <v/>
      </c>
      <c r="AL472" s="257">
        <f>IF(AK461="D",SUM(I472),0)</f>
        <v>0</v>
      </c>
      <c r="AM472" s="258" t="str">
        <f>IF(AM469=0,IF(AL472&lt;6,"","X"),"X")</f>
        <v/>
      </c>
      <c r="AN472" s="347" t="str">
        <f>IF(AM469=0,IF(AL472&lt;6,"",1),1)</f>
        <v/>
      </c>
      <c r="AO472" s="235"/>
      <c r="AP472" s="236"/>
      <c r="AQ472" s="235"/>
      <c r="AR472" s="235"/>
      <c r="AS472" s="235"/>
      <c r="AT472" s="256" t="str">
        <f>IF(BA462="","",SUM(BA462))</f>
        <v/>
      </c>
      <c r="AU472" s="237"/>
      <c r="AV472" s="256"/>
      <c r="AW472" s="256"/>
      <c r="AX472" s="256"/>
      <c r="AY472" s="256" t="str">
        <f>IF(CJ469&gt;1,CJ469,"")</f>
        <v/>
      </c>
      <c r="AZ472" s="257">
        <f>IF(AK461="D",SUM(X472),0)</f>
        <v>0</v>
      </c>
      <c r="BA472" s="258" t="str">
        <f>IF(BA469=0,IF(AZ472&lt;6,"","X"),"X")</f>
        <v/>
      </c>
      <c r="BB472" s="347" t="str">
        <f>IF(BA469=0,IF(AZ472&lt;6,"",1),1)</f>
        <v/>
      </c>
      <c r="BC472" s="236"/>
      <c r="BD472" s="236"/>
      <c r="BE472" s="236"/>
      <c r="BF472" s="236"/>
      <c r="BG472" s="236"/>
      <c r="BH472" s="236"/>
      <c r="BI472" s="236"/>
      <c r="BJ472" s="236"/>
      <c r="BK472" s="238"/>
      <c r="BM472" s="238"/>
      <c r="BN472" s="238"/>
      <c r="BO472" s="238"/>
      <c r="BP472" s="238"/>
      <c r="BQ472" s="238" t="s">
        <v>899</v>
      </c>
      <c r="BR472" s="238"/>
      <c r="BS472" s="238"/>
      <c r="BT472" s="238"/>
      <c r="BU472" s="238"/>
      <c r="BV472" s="238"/>
      <c r="BW472" s="238"/>
      <c r="BX472" s="236"/>
      <c r="BY472" s="238"/>
      <c r="BZ472" s="238"/>
      <c r="CA472" s="238"/>
      <c r="CB472" s="238"/>
      <c r="CC472" s="238"/>
      <c r="CD472" s="238" t="s">
        <v>899</v>
      </c>
      <c r="CE472" s="238"/>
      <c r="CF472" s="238"/>
      <c r="CG472" s="244"/>
      <c r="CH472" s="238"/>
      <c r="CI472" s="238"/>
      <c r="CJ472" s="238"/>
      <c r="CK472" s="238"/>
      <c r="CL472" s="238"/>
      <c r="CM472" s="238"/>
      <c r="CN472" s="238"/>
      <c r="CO472" s="238"/>
      <c r="CP472" s="238"/>
      <c r="CQ472" s="238"/>
      <c r="CR472" s="238"/>
      <c r="CS472" s="238"/>
      <c r="CT472" s="238"/>
      <c r="CU472" s="238"/>
      <c r="CV472" s="238"/>
      <c r="CW472" s="238"/>
      <c r="CX472" s="238"/>
      <c r="CY472" s="238"/>
      <c r="CZ472" s="238"/>
      <c r="DA472" s="238"/>
      <c r="DB472" s="238"/>
      <c r="DC472" s="238"/>
      <c r="DD472" s="238"/>
      <c r="DE472" s="238"/>
      <c r="DF472" s="238"/>
      <c r="DG472" s="238"/>
      <c r="DH472" s="238"/>
      <c r="DI472" s="238"/>
      <c r="DJ472" s="238"/>
      <c r="DK472" s="238"/>
      <c r="DL472" s="238"/>
      <c r="DM472" s="238"/>
      <c r="DN472" s="238"/>
      <c r="DO472" s="238"/>
      <c r="DP472" s="238"/>
      <c r="DQ472" s="238"/>
      <c r="DR472" s="238"/>
      <c r="DS472" s="238"/>
      <c r="DT472" s="238"/>
      <c r="DU472" s="238"/>
      <c r="DV472" s="238"/>
      <c r="DW472" s="238"/>
      <c r="DX472" s="238"/>
      <c r="DY472" s="238"/>
      <c r="DZ472" s="238"/>
      <c r="EA472" s="238"/>
      <c r="EB472" s="238"/>
      <c r="EC472" s="238"/>
      <c r="ED472" s="238"/>
      <c r="EE472" s="238"/>
      <c r="EF472" s="238"/>
      <c r="EG472" s="238"/>
      <c r="EH472" s="238"/>
      <c r="EI472" s="238"/>
      <c r="EJ472" s="238"/>
      <c r="EK472" s="238"/>
      <c r="EL472" s="238"/>
      <c r="EM472" s="238"/>
      <c r="EN472" s="238"/>
      <c r="EO472" s="238"/>
      <c r="EP472" s="238"/>
      <c r="EQ472" s="238"/>
      <c r="ER472" s="238"/>
      <c r="ES472" s="238"/>
      <c r="ET472" s="244"/>
      <c r="EU472" s="238"/>
      <c r="EV472" s="238"/>
      <c r="EW472" s="238"/>
      <c r="EX472" s="238"/>
      <c r="EY472" s="238"/>
      <c r="EZ472" s="238"/>
      <c r="FA472" s="238"/>
      <c r="FB472" s="238"/>
      <c r="FC472" s="238"/>
      <c r="FD472" s="238"/>
      <c r="FE472" s="238"/>
      <c r="FF472" s="238"/>
      <c r="FG472" s="238"/>
      <c r="FH472" s="238"/>
      <c r="FI472" s="238"/>
      <c r="FJ472" s="238"/>
      <c r="FK472" s="238"/>
      <c r="FL472" s="238"/>
      <c r="FM472" s="238"/>
      <c r="FN472" s="238"/>
      <c r="FO472" s="244"/>
      <c r="FP472" s="238"/>
      <c r="FQ472" s="238"/>
      <c r="FR472" s="238"/>
      <c r="FS472" s="238"/>
      <c r="FT472" s="238"/>
      <c r="FU472" s="238"/>
      <c r="FV472" s="238"/>
      <c r="FW472" s="238"/>
      <c r="FX472" s="238"/>
      <c r="FY472" s="238"/>
      <c r="FZ472" s="238"/>
      <c r="GA472" s="238"/>
      <c r="GB472" s="238"/>
      <c r="GC472" s="238"/>
      <c r="GD472" s="341"/>
      <c r="GE472" s="340"/>
      <c r="GF472" s="340"/>
      <c r="GG472" s="340"/>
      <c r="GH472" s="340"/>
      <c r="GI472" s="340"/>
      <c r="GJ472" s="340"/>
      <c r="GK472" s="340"/>
      <c r="GL472" s="340"/>
      <c r="GM472" s="340"/>
      <c r="GN472" s="340"/>
      <c r="GO472" s="340"/>
      <c r="GP472" s="340"/>
      <c r="GQ472" s="340"/>
      <c r="GR472" s="340"/>
      <c r="GS472" s="340"/>
      <c r="GT472" s="340"/>
      <c r="GU472" s="340"/>
      <c r="GV472" s="340"/>
      <c r="GW472" s="340"/>
      <c r="GX472" s="340"/>
      <c r="GY472" s="340"/>
      <c r="GZ472" s="340"/>
      <c r="HA472" s="340"/>
      <c r="HB472" s="340"/>
      <c r="HC472" s="340"/>
      <c r="HD472" s="341"/>
      <c r="HE472" s="341"/>
      <c r="HF472" s="341"/>
      <c r="HG472" s="341"/>
      <c r="HH472" s="341"/>
      <c r="HI472" s="341"/>
      <c r="HJ472" s="341"/>
      <c r="HK472" s="341"/>
      <c r="HL472" s="341"/>
      <c r="HM472" s="341"/>
      <c r="HN472" s="341"/>
      <c r="HO472" s="341"/>
      <c r="HP472" s="341"/>
      <c r="HQ472" s="341"/>
      <c r="HR472" s="341"/>
      <c r="HS472" s="238"/>
      <c r="HT472" s="238"/>
      <c r="HU472" s="238"/>
      <c r="HV472" s="238"/>
      <c r="HX472" s="238"/>
      <c r="HY472" s="238"/>
      <c r="ID472" s="238"/>
    </row>
    <row r="473" spans="1:238" s="234" customFormat="1" ht="20.100000000000001" customHeight="1">
      <c r="A473" s="235"/>
      <c r="B473" s="316"/>
      <c r="C473" s="317"/>
      <c r="D473" s="317"/>
      <c r="E473" s="318"/>
      <c r="F473" s="318"/>
      <c r="G473" s="318"/>
      <c r="H473" s="318"/>
      <c r="I473" s="318"/>
      <c r="J473" s="318"/>
      <c r="K473" s="319"/>
      <c r="L473" s="319"/>
      <c r="M473" s="319"/>
      <c r="N473" s="319"/>
      <c r="O473" s="319"/>
      <c r="P473" s="320"/>
      <c r="Q473" s="319"/>
      <c r="R473" s="317"/>
      <c r="S473" s="318"/>
      <c r="T473" s="318"/>
      <c r="U473" s="318"/>
      <c r="V473" s="318"/>
      <c r="W473" s="318"/>
      <c r="X473" s="318"/>
      <c r="Y473" s="318"/>
      <c r="Z473" s="321"/>
      <c r="AD473" s="235"/>
      <c r="AE473" s="237"/>
      <c r="AF473" s="237"/>
      <c r="AG473" s="237"/>
      <c r="AH473" s="237" t="s">
        <v>921</v>
      </c>
      <c r="AI473" s="237" t="s">
        <v>922</v>
      </c>
      <c r="AJ473" s="298" t="str">
        <f>IF(BS473="","",SUM(AM473)*3)</f>
        <v/>
      </c>
      <c r="AK473" s="299" t="s">
        <v>923</v>
      </c>
      <c r="AL473" s="256"/>
      <c r="AM473" s="256" t="str">
        <f>IF(BS473="","",SUM(BS473))</f>
        <v/>
      </c>
      <c r="AN473" s="235"/>
      <c r="AO473" s="235"/>
      <c r="AP473" s="236"/>
      <c r="AQ473" s="235"/>
      <c r="AR473" s="235"/>
      <c r="AS473" s="237"/>
      <c r="AT473" s="237"/>
      <c r="AU473" s="237"/>
      <c r="AV473" s="237" t="s">
        <v>921</v>
      </c>
      <c r="AW473" s="237" t="s">
        <v>922</v>
      </c>
      <c r="AX473" s="298" t="str">
        <f>IF(BS473="","",SUM(BA473)*3)</f>
        <v/>
      </c>
      <c r="AY473" s="299" t="s">
        <v>923</v>
      </c>
      <c r="AZ473" s="256"/>
      <c r="BA473" s="256" t="str">
        <f>IF(BS473="","",SUM(CF473))</f>
        <v/>
      </c>
      <c r="BB473" s="236"/>
      <c r="BC473" s="236"/>
      <c r="BD473" s="236"/>
      <c r="BE473" s="236"/>
      <c r="BF473" s="236"/>
      <c r="BG473" s="236"/>
      <c r="BH473" s="236"/>
      <c r="BI473" s="236"/>
      <c r="BJ473" s="236"/>
      <c r="BK473" s="373">
        <f>IF(AL461=BQ473,1,0)</f>
        <v>0</v>
      </c>
      <c r="BL473" s="373">
        <f>IF(AL461=CD473,1,0)</f>
        <v>0</v>
      </c>
      <c r="BM473" s="256">
        <f>IF(BN473&gt;2,1,0)</f>
        <v>0</v>
      </c>
      <c r="BN473" s="256">
        <f>COUNT(AH464,AH465,AH466)</f>
        <v>0</v>
      </c>
      <c r="BO473" s="256" t="str">
        <f>IF(AH470="","",SUM(AH470/AJ470))</f>
        <v/>
      </c>
      <c r="BP473" s="256"/>
      <c r="BQ473" s="300">
        <f>COUNT(AK464,AK465,AK466,AK467,AK468)</f>
        <v>0</v>
      </c>
      <c r="BR473" s="256"/>
      <c r="BS473" s="256" t="str">
        <f>IF(BL470=0,IF(AJ465="","",BO473),"")</f>
        <v/>
      </c>
      <c r="BT473" s="236"/>
      <c r="BU473" s="236"/>
      <c r="BV473" s="236"/>
      <c r="BW473" s="236"/>
      <c r="BX473" s="236"/>
      <c r="BY473" s="256">
        <f>IF(CD473&gt;2,1,0)</f>
        <v>0</v>
      </c>
      <c r="BZ473" s="256">
        <f>IF(CA473&gt;2,1,0)</f>
        <v>0</v>
      </c>
      <c r="CA473" s="256">
        <f>COUNT(AV464,AV465,AV466)</f>
        <v>0</v>
      </c>
      <c r="CB473" s="256" t="str">
        <f>IF(AV470="","",SUM(AV470/AX470))</f>
        <v/>
      </c>
      <c r="CC473" s="256"/>
      <c r="CD473" s="300">
        <f>COUNT(AY464,AY465,AY466,AY467,AY468)</f>
        <v>0</v>
      </c>
      <c r="CE473" s="256"/>
      <c r="CF473" s="256" t="str">
        <f>IF(BL470=0,IF(AX465="","",CB473),"")</f>
        <v/>
      </c>
      <c r="CG473" s="236"/>
      <c r="CH473" s="188"/>
      <c r="CI473" s="188"/>
      <c r="CJ473" s="196"/>
      <c r="CK473" s="196"/>
      <c r="CL473" s="196"/>
      <c r="CM473" s="196"/>
      <c r="CN473" s="196"/>
      <c r="CO473" s="196"/>
      <c r="CP473" s="196"/>
      <c r="CQ473" s="196"/>
      <c r="CR473" s="196"/>
      <c r="CS473" s="196"/>
      <c r="CT473" s="196"/>
      <c r="CU473" s="196"/>
      <c r="CV473" s="196"/>
      <c r="CW473" s="196"/>
      <c r="CX473" s="196"/>
      <c r="CY473" s="196"/>
      <c r="CZ473" s="196"/>
      <c r="DA473" s="196"/>
      <c r="DB473" s="196"/>
      <c r="DC473" s="196"/>
      <c r="DD473" s="196"/>
      <c r="DE473" s="196"/>
      <c r="DF473" s="196"/>
      <c r="DG473" s="196"/>
      <c r="DH473" s="196"/>
      <c r="DI473" s="196"/>
      <c r="DJ473" s="196"/>
      <c r="DK473" s="196"/>
      <c r="DL473" s="196"/>
      <c r="DM473" s="196"/>
      <c r="DN473" s="196"/>
      <c r="DO473" s="196"/>
      <c r="DP473" s="196"/>
      <c r="DQ473" s="196"/>
      <c r="DR473" s="196"/>
      <c r="DS473" s="196"/>
      <c r="DT473" s="196"/>
      <c r="DU473" s="196"/>
      <c r="DV473" s="196"/>
      <c r="DW473" s="196"/>
      <c r="DX473" s="196"/>
      <c r="DY473" s="196"/>
      <c r="DZ473" s="196"/>
      <c r="EA473" s="196"/>
      <c r="EB473" s="196"/>
      <c r="EC473" s="196"/>
      <c r="ED473" s="196"/>
      <c r="EE473" s="196"/>
      <c r="EF473" s="196"/>
      <c r="EG473" s="196"/>
      <c r="EH473" s="196"/>
      <c r="EI473" s="196"/>
      <c r="EJ473" s="196"/>
      <c r="EK473" s="196"/>
      <c r="EL473" s="196"/>
      <c r="EM473" s="196"/>
      <c r="EN473" s="196"/>
      <c r="EO473" s="196"/>
      <c r="EP473" s="196"/>
      <c r="EQ473" s="196"/>
      <c r="ER473" s="196"/>
      <c r="ES473" s="196"/>
      <c r="ET473" s="301"/>
      <c r="EU473" s="196"/>
      <c r="EV473" s="196"/>
      <c r="EW473" s="196"/>
      <c r="EX473" s="196"/>
      <c r="EY473" s="196"/>
      <c r="EZ473" s="196"/>
      <c r="FA473" s="196"/>
      <c r="FB473" s="196"/>
      <c r="FC473" s="196"/>
      <c r="FD473" s="196"/>
      <c r="FE473" s="196"/>
      <c r="FF473" s="196"/>
      <c r="FG473" s="196"/>
      <c r="FH473" s="196"/>
      <c r="FI473" s="196"/>
      <c r="FJ473" s="196"/>
      <c r="FK473" s="196"/>
      <c r="FL473" s="196"/>
      <c r="FM473" s="196"/>
      <c r="FN473" s="196"/>
      <c r="FO473" s="301"/>
      <c r="FP473" s="196"/>
      <c r="FQ473" s="196"/>
      <c r="FR473" s="196"/>
      <c r="FS473" s="196"/>
      <c r="FT473" s="196"/>
      <c r="FU473" s="196"/>
      <c r="FV473" s="196"/>
      <c r="FW473" s="196"/>
      <c r="FX473" s="196"/>
      <c r="FY473" s="196"/>
      <c r="FZ473" s="196"/>
      <c r="GA473" s="196"/>
      <c r="GB473" s="238"/>
      <c r="GC473" s="238"/>
      <c r="GD473" s="341"/>
      <c r="GE473" s="341"/>
      <c r="GF473" s="341"/>
      <c r="GG473" s="341"/>
      <c r="GH473" s="341"/>
      <c r="GI473" s="341"/>
      <c r="GJ473" s="341"/>
      <c r="GK473" s="341"/>
      <c r="GL473" s="341"/>
      <c r="GM473" s="341"/>
      <c r="GN473" s="341"/>
      <c r="GO473" s="341"/>
      <c r="GP473" s="341"/>
      <c r="GQ473" s="341"/>
      <c r="GR473" s="341"/>
      <c r="GS473" s="341"/>
      <c r="GT473" s="341"/>
      <c r="GU473" s="341"/>
      <c r="GV473" s="341"/>
      <c r="GW473" s="341"/>
      <c r="GX473" s="341"/>
      <c r="GY473" s="341"/>
      <c r="GZ473" s="341"/>
      <c r="HA473" s="341"/>
      <c r="HB473" s="341"/>
      <c r="HC473" s="341"/>
      <c r="HD473" s="341"/>
      <c r="HE473" s="341"/>
      <c r="HF473" s="341"/>
      <c r="HG473" s="341"/>
      <c r="HH473" s="341"/>
      <c r="HI473" s="341"/>
      <c r="HJ473" s="341"/>
      <c r="HK473" s="341"/>
      <c r="HL473" s="341"/>
      <c r="HM473" s="341"/>
      <c r="HN473" s="341"/>
      <c r="HO473" s="341"/>
      <c r="HP473" s="341"/>
      <c r="HQ473" s="341"/>
      <c r="HR473" s="341"/>
      <c r="HS473" s="238"/>
      <c r="HT473" s="238"/>
      <c r="HU473" s="238"/>
      <c r="HV473" s="238"/>
      <c r="HX473" s="238"/>
      <c r="HY473" s="238"/>
      <c r="ID473" s="238">
        <f>SUM(ID18:ID466)</f>
        <v>0</v>
      </c>
    </row>
  </sheetData>
  <sheetProtection algorithmName="SHA-512" hashValue="HdBeTbGGgHxJCRMACY0v+E1xyzCnn4+cxk2D4PBp5V+ip2dm3hku585hoElIiVM7BDUeWqPsQczdQkzQbzhtDg==" saltValue="u4ZOuBST0pEKLq0MyibdQQ==" spinCount="100000" sheet="1" selectLockedCells="1"/>
  <mergeCells count="2">
    <mergeCell ref="L3:P3"/>
    <mergeCell ref="L5:P5"/>
  </mergeCells>
  <conditionalFormatting sqref="B362:Z375">
    <cfRule type="expression" dxfId="143" priority="33">
      <formula>$AA$363=10</formula>
    </cfRule>
  </conditionalFormatting>
  <conditionalFormatting sqref="B376:Z389">
    <cfRule type="expression" dxfId="142" priority="32">
      <formula>$AA$377=10</formula>
    </cfRule>
  </conditionalFormatting>
  <conditionalFormatting sqref="B390:Z403">
    <cfRule type="expression" dxfId="141" priority="31">
      <formula>$AA$391=10</formula>
    </cfRule>
  </conditionalFormatting>
  <conditionalFormatting sqref="B404:Z417">
    <cfRule type="expression" dxfId="140" priority="30">
      <formula>$AA$405=10</formula>
    </cfRule>
  </conditionalFormatting>
  <conditionalFormatting sqref="B417:Z417">
    <cfRule type="expression" dxfId="139" priority="25">
      <formula>$AA$419=10</formula>
    </cfRule>
  </conditionalFormatting>
  <conditionalFormatting sqref="B418:Z431">
    <cfRule type="expression" dxfId="138" priority="29">
      <formula>$AA$419=10</formula>
    </cfRule>
  </conditionalFormatting>
  <conditionalFormatting sqref="B432:Z445">
    <cfRule type="expression" dxfId="137" priority="28">
      <formula>$AA$433=10</formula>
    </cfRule>
  </conditionalFormatting>
  <conditionalFormatting sqref="B446:Z459">
    <cfRule type="expression" dxfId="136" priority="27">
      <formula>$AA$447=10</formula>
    </cfRule>
  </conditionalFormatting>
  <conditionalFormatting sqref="B460:Z473">
    <cfRule type="expression" dxfId="135" priority="133">
      <formula>$AA$461</formula>
    </cfRule>
  </conditionalFormatting>
  <conditionalFormatting sqref="C24:Y24">
    <cfRule type="expression" dxfId="134" priority="130">
      <formula>$AA$24=1</formula>
    </cfRule>
  </conditionalFormatting>
  <conditionalFormatting sqref="C38:Y38">
    <cfRule type="expression" dxfId="133" priority="127">
      <formula>$AA$38=1</formula>
    </cfRule>
  </conditionalFormatting>
  <conditionalFormatting sqref="C52:Y52">
    <cfRule type="expression" dxfId="132" priority="124">
      <formula>$AA$52=1</formula>
    </cfRule>
  </conditionalFormatting>
  <conditionalFormatting sqref="C66:Y66">
    <cfRule type="expression" dxfId="131" priority="121">
      <formula>$AA$66=1</formula>
    </cfRule>
  </conditionalFormatting>
  <conditionalFormatting sqref="C80:Y80">
    <cfRule type="expression" dxfId="130" priority="118">
      <formula>$AA$80=1</formula>
    </cfRule>
  </conditionalFormatting>
  <conditionalFormatting sqref="C94:Y94">
    <cfRule type="expression" dxfId="129" priority="115">
      <formula>$AA$94=1</formula>
    </cfRule>
  </conditionalFormatting>
  <conditionalFormatting sqref="C108:Y108">
    <cfRule type="expression" dxfId="128" priority="112">
      <formula>$AA$108=1</formula>
    </cfRule>
  </conditionalFormatting>
  <conditionalFormatting sqref="C122:Y122">
    <cfRule type="expression" dxfId="127" priority="109">
      <formula>$AA$122=1</formula>
    </cfRule>
  </conditionalFormatting>
  <conditionalFormatting sqref="C136:Y136">
    <cfRule type="expression" dxfId="126" priority="106">
      <formula>$AA$136=1</formula>
    </cfRule>
  </conditionalFormatting>
  <conditionalFormatting sqref="C150:Y150">
    <cfRule type="expression" dxfId="125" priority="103">
      <formula>$AA$150=1</formula>
    </cfRule>
  </conditionalFormatting>
  <conditionalFormatting sqref="C164:Y164">
    <cfRule type="expression" dxfId="124" priority="100">
      <formula>$AA$164=1</formula>
    </cfRule>
  </conditionalFormatting>
  <conditionalFormatting sqref="C178:Y178">
    <cfRule type="expression" dxfId="123" priority="97">
      <formula>$AA$178=1</formula>
    </cfRule>
  </conditionalFormatting>
  <conditionalFormatting sqref="C192:Y192">
    <cfRule type="expression" dxfId="122" priority="94">
      <formula>$AA$192=1</formula>
    </cfRule>
  </conditionalFormatting>
  <conditionalFormatting sqref="C206:Y206">
    <cfRule type="expression" dxfId="121" priority="91">
      <formula>$AA$206=1</formula>
    </cfRule>
  </conditionalFormatting>
  <conditionalFormatting sqref="C220:Y220">
    <cfRule type="expression" dxfId="120" priority="88">
      <formula>$AA$220=1</formula>
    </cfRule>
  </conditionalFormatting>
  <conditionalFormatting sqref="C234:Y234">
    <cfRule type="expression" dxfId="119" priority="85">
      <formula>$AA$234=1</formula>
    </cfRule>
  </conditionalFormatting>
  <conditionalFormatting sqref="C248:Y248">
    <cfRule type="expression" dxfId="118" priority="82">
      <formula>$AA$248=1</formula>
    </cfRule>
  </conditionalFormatting>
  <conditionalFormatting sqref="C262:Y262">
    <cfRule type="expression" dxfId="117" priority="79">
      <formula>$AA$262=1</formula>
    </cfRule>
  </conditionalFormatting>
  <conditionalFormatting sqref="C276:Y276">
    <cfRule type="expression" dxfId="116" priority="76">
      <formula>$AA$276=1</formula>
    </cfRule>
  </conditionalFormatting>
  <conditionalFormatting sqref="C290:Y290">
    <cfRule type="expression" dxfId="115" priority="73">
      <formula>$AA$290=1</formula>
    </cfRule>
  </conditionalFormatting>
  <conditionalFormatting sqref="C304:Y304">
    <cfRule type="expression" dxfId="114" priority="70">
      <formula>$AA$304=1</formula>
    </cfRule>
  </conditionalFormatting>
  <conditionalFormatting sqref="C318:Y318">
    <cfRule type="expression" dxfId="113" priority="67">
      <formula>$AA$318=1</formula>
    </cfRule>
  </conditionalFormatting>
  <conditionalFormatting sqref="C332:Y332">
    <cfRule type="expression" dxfId="112" priority="64">
      <formula>$AA$332=1</formula>
    </cfRule>
  </conditionalFormatting>
  <conditionalFormatting sqref="C346:Y346">
    <cfRule type="expression" dxfId="111" priority="61">
      <formula>$AA$346=1</formula>
    </cfRule>
  </conditionalFormatting>
  <conditionalFormatting sqref="C360:Y360">
    <cfRule type="expression" dxfId="110" priority="58">
      <formula>$AA$360=1</formula>
    </cfRule>
  </conditionalFormatting>
  <conditionalFormatting sqref="C374:Y374">
    <cfRule type="expression" dxfId="109" priority="55">
      <formula>$AA$374=1</formula>
    </cfRule>
  </conditionalFormatting>
  <conditionalFormatting sqref="C388:Y388">
    <cfRule type="expression" dxfId="108" priority="52">
      <formula>$AA$388=1</formula>
    </cfRule>
  </conditionalFormatting>
  <conditionalFormatting sqref="C402:Y402">
    <cfRule type="expression" dxfId="107" priority="49">
      <formula>$AA$402=1</formula>
    </cfRule>
  </conditionalFormatting>
  <conditionalFormatting sqref="C416:Y416">
    <cfRule type="expression" dxfId="106" priority="46">
      <formula>$AA$416=1</formula>
    </cfRule>
  </conditionalFormatting>
  <conditionalFormatting sqref="C430:Y430">
    <cfRule type="expression" dxfId="105" priority="43">
      <formula>$AA$430=1</formula>
    </cfRule>
  </conditionalFormatting>
  <conditionalFormatting sqref="C444:Y444">
    <cfRule type="expression" dxfId="104" priority="40">
      <formula>$AA$444=1</formula>
    </cfRule>
  </conditionalFormatting>
  <conditionalFormatting sqref="C458:Y458">
    <cfRule type="expression" dxfId="103" priority="37">
      <formula>$AA$458=1</formula>
    </cfRule>
  </conditionalFormatting>
  <conditionalFormatting sqref="C472:Y472">
    <cfRule type="expression" dxfId="102" priority="34">
      <formula>$AA$472=1</formula>
    </cfRule>
  </conditionalFormatting>
  <conditionalFormatting sqref="D33:E33 I33:T33 X33:Y33">
    <cfRule type="expression" dxfId="101" priority="129">
      <formula>$AA$33=3</formula>
    </cfRule>
  </conditionalFormatting>
  <conditionalFormatting sqref="D34:E34 I34:T34 X34:Y34">
    <cfRule type="expression" dxfId="100" priority="128">
      <formula>$AA$34=3</formula>
    </cfRule>
  </conditionalFormatting>
  <conditionalFormatting sqref="D47:E47 I47:T47 X47:Y47">
    <cfRule type="expression" dxfId="99" priority="126">
      <formula>$AA$47=3</formula>
    </cfRule>
  </conditionalFormatting>
  <conditionalFormatting sqref="D48:E48 I48:T48 X48:Y48">
    <cfRule type="expression" dxfId="98" priority="125">
      <formula>$AA$48=3</formula>
    </cfRule>
  </conditionalFormatting>
  <conditionalFormatting sqref="D61:E61 I61:T61 X61:Y61">
    <cfRule type="expression" dxfId="97" priority="123">
      <formula>$AA$61=3</formula>
    </cfRule>
  </conditionalFormatting>
  <conditionalFormatting sqref="D62:E62 I62:T62 X62:Y62">
    <cfRule type="expression" dxfId="96" priority="122">
      <formula>$AA$62=3</formula>
    </cfRule>
  </conditionalFormatting>
  <conditionalFormatting sqref="D75:E75 I75:T75 X75:Y75">
    <cfRule type="expression" dxfId="95" priority="120">
      <formula>$AA$75=3</formula>
    </cfRule>
  </conditionalFormatting>
  <conditionalFormatting sqref="D76:E76 I76:T76 X76:Y76">
    <cfRule type="expression" dxfId="94" priority="119">
      <formula>$AA$76=3</formula>
    </cfRule>
  </conditionalFormatting>
  <conditionalFormatting sqref="D89:E89 I89:T89 X89:Y89">
    <cfRule type="expression" dxfId="93" priority="117">
      <formula>$AA$89=3</formula>
    </cfRule>
  </conditionalFormatting>
  <conditionalFormatting sqref="D90:E90 I90:T90 X90:Y90">
    <cfRule type="expression" dxfId="92" priority="116">
      <formula>$AA$90=3</formula>
    </cfRule>
  </conditionalFormatting>
  <conditionalFormatting sqref="D103:E103 I103:T103 X103:Y103">
    <cfRule type="expression" dxfId="91" priority="114">
      <formula>$AA$103=3</formula>
    </cfRule>
  </conditionalFormatting>
  <conditionalFormatting sqref="D104:E104 I104:T104 X104:Y104">
    <cfRule type="expression" dxfId="90" priority="113">
      <formula>$AA$104=3</formula>
    </cfRule>
  </conditionalFormatting>
  <conditionalFormatting sqref="D19:Y19">
    <cfRule type="expression" dxfId="89" priority="132">
      <formula>$AA$19=3</formula>
    </cfRule>
  </conditionalFormatting>
  <conditionalFormatting sqref="D20:Y20">
    <cfRule type="expression" dxfId="88" priority="131">
      <formula>$AA$20=3</formula>
    </cfRule>
  </conditionalFormatting>
  <conditionalFormatting sqref="D117:Y117">
    <cfRule type="expression" dxfId="87" priority="111">
      <formula>$AA$117=3</formula>
    </cfRule>
  </conditionalFormatting>
  <conditionalFormatting sqref="D118:Y118">
    <cfRule type="expression" dxfId="86" priority="110">
      <formula>$AA$118=3</formula>
    </cfRule>
  </conditionalFormatting>
  <conditionalFormatting sqref="D131:Y131">
    <cfRule type="expression" dxfId="85" priority="108">
      <formula>$AA$131=3</formula>
    </cfRule>
  </conditionalFormatting>
  <conditionalFormatting sqref="D132:Y132">
    <cfRule type="expression" dxfId="84" priority="107">
      <formula>$AA$132=3</formula>
    </cfRule>
  </conditionalFormatting>
  <conditionalFormatting sqref="D145:Y145">
    <cfRule type="expression" dxfId="83" priority="105">
      <formula>$AA$145=3</formula>
    </cfRule>
  </conditionalFormatting>
  <conditionalFormatting sqref="D146:Y146">
    <cfRule type="expression" dxfId="82" priority="104">
      <formula>$AA$146=3</formula>
    </cfRule>
  </conditionalFormatting>
  <conditionalFormatting sqref="D159:Y159">
    <cfRule type="expression" dxfId="81" priority="102">
      <formula>$AA$159=3</formula>
    </cfRule>
  </conditionalFormatting>
  <conditionalFormatting sqref="D160:Y160">
    <cfRule type="expression" dxfId="80" priority="101">
      <formula>$AA$160=3</formula>
    </cfRule>
  </conditionalFormatting>
  <conditionalFormatting sqref="D173:Y173">
    <cfRule type="expression" dxfId="79" priority="99">
      <formula>$AA$173=3</formula>
    </cfRule>
  </conditionalFormatting>
  <conditionalFormatting sqref="D174:Y174">
    <cfRule type="expression" dxfId="78" priority="98">
      <formula>$AA$174=3</formula>
    </cfRule>
  </conditionalFormatting>
  <conditionalFormatting sqref="D187:Y187">
    <cfRule type="expression" dxfId="77" priority="96">
      <formula>$AA$187=3</formula>
    </cfRule>
  </conditionalFormatting>
  <conditionalFormatting sqref="D188:Y188">
    <cfRule type="expression" dxfId="76" priority="95">
      <formula>$AA$188=3</formula>
    </cfRule>
  </conditionalFormatting>
  <conditionalFormatting sqref="D201:Y201">
    <cfRule type="expression" dxfId="75" priority="93">
      <formula>$AA$201=3</formula>
    </cfRule>
  </conditionalFormatting>
  <conditionalFormatting sqref="D202:Y202">
    <cfRule type="expression" dxfId="74" priority="92">
      <formula>$AA$202=3</formula>
    </cfRule>
  </conditionalFormatting>
  <conditionalFormatting sqref="D215:Y215">
    <cfRule type="expression" dxfId="73" priority="90">
      <formula>$AA$215=3</formula>
    </cfRule>
  </conditionalFormatting>
  <conditionalFormatting sqref="D216:Y216">
    <cfRule type="expression" dxfId="72" priority="89">
      <formula>$AA$216=3</formula>
    </cfRule>
  </conditionalFormatting>
  <conditionalFormatting sqref="D229:Y229">
    <cfRule type="expression" dxfId="71" priority="87">
      <formula>$AA$229=3</formula>
    </cfRule>
  </conditionalFormatting>
  <conditionalFormatting sqref="D230:Y230">
    <cfRule type="expression" dxfId="70" priority="86">
      <formula>$AA$230=3</formula>
    </cfRule>
  </conditionalFormatting>
  <conditionalFormatting sqref="D243:Y243">
    <cfRule type="expression" dxfId="69" priority="84">
      <formula>$AA$243=3</formula>
    </cfRule>
  </conditionalFormatting>
  <conditionalFormatting sqref="D244:Y244">
    <cfRule type="expression" dxfId="68" priority="83">
      <formula>$AA$244=3</formula>
    </cfRule>
  </conditionalFormatting>
  <conditionalFormatting sqref="D257:Y257">
    <cfRule type="expression" dxfId="67" priority="81">
      <formula>$AA$257=3</formula>
    </cfRule>
  </conditionalFormatting>
  <conditionalFormatting sqref="D258:Y258">
    <cfRule type="expression" dxfId="66" priority="80">
      <formula>$AA$258=3</formula>
    </cfRule>
  </conditionalFormatting>
  <conditionalFormatting sqref="D271:Y271">
    <cfRule type="expression" dxfId="65" priority="78">
      <formula>$AA$271=3</formula>
    </cfRule>
  </conditionalFormatting>
  <conditionalFormatting sqref="D272:Y272">
    <cfRule type="expression" dxfId="64" priority="77">
      <formula>$AA$272=3</formula>
    </cfRule>
  </conditionalFormatting>
  <conditionalFormatting sqref="D285:Y285">
    <cfRule type="expression" dxfId="63" priority="75">
      <formula>$AA$285=3</formula>
    </cfRule>
  </conditionalFormatting>
  <conditionalFormatting sqref="D286:Y286">
    <cfRule type="expression" dxfId="62" priority="74">
      <formula>$AA$286=3</formula>
    </cfRule>
  </conditionalFormatting>
  <conditionalFormatting sqref="D299:Y299">
    <cfRule type="expression" dxfId="61" priority="72">
      <formula>$AA$299=3</formula>
    </cfRule>
  </conditionalFormatting>
  <conditionalFormatting sqref="D300:Y300">
    <cfRule type="expression" dxfId="60" priority="71">
      <formula>$AA$300=3</formula>
    </cfRule>
  </conditionalFormatting>
  <conditionalFormatting sqref="D313:Y313">
    <cfRule type="expression" dxfId="59" priority="69">
      <formula>$AA$313=3</formula>
    </cfRule>
  </conditionalFormatting>
  <conditionalFormatting sqref="D314:Y314">
    <cfRule type="expression" dxfId="58" priority="68">
      <formula>$AA$314=3</formula>
    </cfRule>
  </conditionalFormatting>
  <conditionalFormatting sqref="D327:Y327">
    <cfRule type="expression" dxfId="57" priority="66">
      <formula>$AA$327=3</formula>
    </cfRule>
  </conditionalFormatting>
  <conditionalFormatting sqref="D328:Y328">
    <cfRule type="expression" dxfId="56" priority="65">
      <formula>$AA$328=3</formula>
    </cfRule>
  </conditionalFormatting>
  <conditionalFormatting sqref="D341:Y341">
    <cfRule type="expression" dxfId="55" priority="63">
      <formula>$AA$341=3</formula>
    </cfRule>
  </conditionalFormatting>
  <conditionalFormatting sqref="D342:Y342">
    <cfRule type="expression" dxfId="54" priority="62">
      <formula>$AA$342=3</formula>
    </cfRule>
  </conditionalFormatting>
  <conditionalFormatting sqref="D355:Y355">
    <cfRule type="expression" dxfId="53" priority="60">
      <formula>$AA$355=3</formula>
    </cfRule>
  </conditionalFormatting>
  <conditionalFormatting sqref="D356:Y356">
    <cfRule type="expression" dxfId="52" priority="59">
      <formula>$AA$356=3</formula>
    </cfRule>
  </conditionalFormatting>
  <conditionalFormatting sqref="D369:Y369">
    <cfRule type="expression" dxfId="51" priority="57">
      <formula>$AA$369=3</formula>
    </cfRule>
  </conditionalFormatting>
  <conditionalFormatting sqref="D370:Y370">
    <cfRule type="expression" dxfId="50" priority="56">
      <formula>$AA$370=3</formula>
    </cfRule>
  </conditionalFormatting>
  <conditionalFormatting sqref="D383:Y383">
    <cfRule type="expression" dxfId="49" priority="54">
      <formula>$AA$383=3</formula>
    </cfRule>
  </conditionalFormatting>
  <conditionalFormatting sqref="D384:Y384">
    <cfRule type="expression" dxfId="48" priority="53">
      <formula>$AA$384=3</formula>
    </cfRule>
  </conditionalFormatting>
  <conditionalFormatting sqref="D397:Y397">
    <cfRule type="expression" dxfId="47" priority="51">
      <formula>$AA$397=3</formula>
    </cfRule>
  </conditionalFormatting>
  <conditionalFormatting sqref="D398:Y398">
    <cfRule type="expression" dxfId="46" priority="50">
      <formula>$AA$398=3</formula>
    </cfRule>
  </conditionalFormatting>
  <conditionalFormatting sqref="D411:Y411">
    <cfRule type="expression" dxfId="45" priority="48">
      <formula>$AA$411=3</formula>
    </cfRule>
  </conditionalFormatting>
  <conditionalFormatting sqref="D412:Y412">
    <cfRule type="expression" dxfId="44" priority="47">
      <formula>$AA$412=3</formula>
    </cfRule>
  </conditionalFormatting>
  <conditionalFormatting sqref="D425:Y425">
    <cfRule type="expression" dxfId="43" priority="45">
      <formula>$AA$425=3</formula>
    </cfRule>
  </conditionalFormatting>
  <conditionalFormatting sqref="D426:Y426">
    <cfRule type="expression" dxfId="42" priority="44">
      <formula>$AA$426=3</formula>
    </cfRule>
  </conditionalFormatting>
  <conditionalFormatting sqref="D439:Y439">
    <cfRule type="expression" dxfId="41" priority="42">
      <formula>$AA$439=3</formula>
    </cfRule>
  </conditionalFormatting>
  <conditionalFormatting sqref="D440:Y440">
    <cfRule type="expression" dxfId="40" priority="41">
      <formula>$AA$440=3</formula>
    </cfRule>
  </conditionalFormatting>
  <conditionalFormatting sqref="D453:Y453">
    <cfRule type="expression" dxfId="39" priority="39">
      <formula>$AA$453=3</formula>
    </cfRule>
  </conditionalFormatting>
  <conditionalFormatting sqref="D454:Y454">
    <cfRule type="expression" dxfId="38" priority="38">
      <formula>$AA$454=3</formula>
    </cfRule>
  </conditionalFormatting>
  <conditionalFormatting sqref="D467:Y467">
    <cfRule type="expression" dxfId="37" priority="36">
      <formula>$AA$467=3</formula>
    </cfRule>
  </conditionalFormatting>
  <conditionalFormatting sqref="D468:Y468">
    <cfRule type="expression" dxfId="36" priority="35">
      <formula>$AA$468=3</formula>
    </cfRule>
  </conditionalFormatting>
  <conditionalFormatting sqref="F33:H33">
    <cfRule type="expression" dxfId="35" priority="24">
      <formula>$AA$19=3</formula>
    </cfRule>
  </conditionalFormatting>
  <conditionalFormatting sqref="F34:H34">
    <cfRule type="expression" dxfId="34" priority="23">
      <formula>$AA$20=3</formula>
    </cfRule>
  </conditionalFormatting>
  <conditionalFormatting sqref="F47:H47">
    <cfRule type="expression" dxfId="33" priority="22">
      <formula>$AA$19=3</formula>
    </cfRule>
  </conditionalFormatting>
  <conditionalFormatting sqref="F48:H48">
    <cfRule type="expression" dxfId="32" priority="21">
      <formula>$AA$20=3</formula>
    </cfRule>
  </conditionalFormatting>
  <conditionalFormatting sqref="F61:H61">
    <cfRule type="expression" dxfId="31" priority="20">
      <formula>$AA$19=3</formula>
    </cfRule>
  </conditionalFormatting>
  <conditionalFormatting sqref="F62:H62">
    <cfRule type="expression" dxfId="30" priority="19">
      <formula>$AA$20=3</formula>
    </cfRule>
  </conditionalFormatting>
  <conditionalFormatting sqref="F75:H75">
    <cfRule type="expression" dxfId="29" priority="18">
      <formula>$AA$19=3</formula>
    </cfRule>
  </conditionalFormatting>
  <conditionalFormatting sqref="F76:H76">
    <cfRule type="expression" dxfId="28" priority="17">
      <formula>$AA$20=3</formula>
    </cfRule>
  </conditionalFormatting>
  <conditionalFormatting sqref="F89:H89">
    <cfRule type="expression" dxfId="27" priority="16">
      <formula>$AA$19=3</formula>
    </cfRule>
  </conditionalFormatting>
  <conditionalFormatting sqref="F90:H90">
    <cfRule type="expression" dxfId="26" priority="15">
      <formula>$AA$20=3</formula>
    </cfRule>
  </conditionalFormatting>
  <conditionalFormatting sqref="F103:H103">
    <cfRule type="expression" dxfId="25" priority="14">
      <formula>$AA$19=3</formula>
    </cfRule>
  </conditionalFormatting>
  <conditionalFormatting sqref="F104:H104">
    <cfRule type="expression" dxfId="24" priority="13">
      <formula>$AA$20=3</formula>
    </cfRule>
  </conditionalFormatting>
  <conditionalFormatting sqref="U33:W33">
    <cfRule type="expression" dxfId="23" priority="12">
      <formula>$AA$19=3</formula>
    </cfRule>
  </conditionalFormatting>
  <conditionalFormatting sqref="U34:W34">
    <cfRule type="expression" dxfId="22" priority="11">
      <formula>$AA$20=3</formula>
    </cfRule>
  </conditionalFormatting>
  <conditionalFormatting sqref="U47:W47">
    <cfRule type="expression" dxfId="21" priority="10">
      <formula>$AA$19=3</formula>
    </cfRule>
  </conditionalFormatting>
  <conditionalFormatting sqref="U48:W48">
    <cfRule type="expression" dxfId="20" priority="9">
      <formula>$AA$20=3</formula>
    </cfRule>
  </conditionalFormatting>
  <conditionalFormatting sqref="U61:W61">
    <cfRule type="expression" dxfId="19" priority="8">
      <formula>$AA$19=3</formula>
    </cfRule>
  </conditionalFormatting>
  <conditionalFormatting sqref="U62:W62">
    <cfRule type="expression" dxfId="18" priority="7">
      <formula>$AA$20=3</formula>
    </cfRule>
  </conditionalFormatting>
  <conditionalFormatting sqref="U75:W75">
    <cfRule type="expression" dxfId="17" priority="6">
      <formula>$AA$19=3</formula>
    </cfRule>
  </conditionalFormatting>
  <conditionalFormatting sqref="U76:W76">
    <cfRule type="expression" dxfId="16" priority="5">
      <formula>$AA$20=3</formula>
    </cfRule>
  </conditionalFormatting>
  <conditionalFormatting sqref="U89:W89">
    <cfRule type="expression" dxfId="15" priority="4">
      <formula>$AA$19=3</formula>
    </cfRule>
  </conditionalFormatting>
  <conditionalFormatting sqref="U90:W90">
    <cfRule type="expression" dxfId="14" priority="3">
      <formula>$AA$20=3</formula>
    </cfRule>
  </conditionalFormatting>
  <conditionalFormatting sqref="U103:W103">
    <cfRule type="expression" dxfId="13" priority="2">
      <formula>$AA$19=3</formula>
    </cfRule>
  </conditionalFormatting>
  <conditionalFormatting sqref="U104:W104">
    <cfRule type="expression" dxfId="12" priority="1">
      <formula>$AA$20=3</formula>
    </cfRule>
  </conditionalFormatting>
  <pageMargins left="0.7" right="0.7" top="0.78740157499999996" bottom="0.78740157499999996"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642BED-E8D9-4C57-9D93-9C5DADEF3AB1}">
  <sheetPr>
    <tabColor rgb="FFFF0000"/>
  </sheetPr>
  <dimension ref="A1:AH195"/>
  <sheetViews>
    <sheetView view="pageBreakPreview" zoomScale="60" zoomScaleNormal="40" workbookViewId="0">
      <selection activeCell="B2" sqref="B2:C2"/>
    </sheetView>
  </sheetViews>
  <sheetFormatPr baseColWidth="10" defaultColWidth="11.42578125" defaultRowHeight="14.25"/>
  <cols>
    <col min="1" max="1" width="11.42578125" style="29"/>
    <col min="2" max="6" width="29.7109375" style="29" customWidth="1"/>
    <col min="7" max="7" width="10.7109375" style="29" customWidth="1"/>
    <col min="8" max="8" width="11.42578125" style="29"/>
    <col min="9" max="13" width="29.7109375" style="29" customWidth="1"/>
    <col min="14" max="14" width="0" style="29" hidden="1" customWidth="1"/>
    <col min="15" max="17" width="11.42578125" style="29" hidden="1" customWidth="1"/>
    <col min="18" max="18" width="15.7109375" style="29" hidden="1" customWidth="1"/>
    <col min="19" max="26" width="11.42578125" style="29" hidden="1" customWidth="1"/>
    <col min="27" max="16384" width="11.42578125" style="29"/>
  </cols>
  <sheetData>
    <row r="1" spans="1:34">
      <c r="Q1" s="29">
        <f>SUM(Q2:Q8)</f>
        <v>0</v>
      </c>
      <c r="T1" s="29" t="s">
        <v>845</v>
      </c>
      <c r="U1" s="29" t="s">
        <v>820</v>
      </c>
      <c r="V1" s="29" t="s">
        <v>819</v>
      </c>
      <c r="X1" s="29">
        <f>SUM('Heimmannschaft MAISON'!A1)</f>
        <v>1</v>
      </c>
    </row>
    <row r="2" spans="1:34" ht="50.1" customHeight="1">
      <c r="B2" s="642" t="s">
        <v>1959</v>
      </c>
      <c r="C2" s="643"/>
      <c r="D2" s="417" t="s">
        <v>1216</v>
      </c>
      <c r="E2" s="416" t="s">
        <v>1215</v>
      </c>
      <c r="F2" s="414"/>
      <c r="G2" s="414"/>
      <c r="H2" s="414"/>
      <c r="I2" s="414"/>
      <c r="J2" s="414"/>
      <c r="K2" s="415"/>
      <c r="Q2" s="29">
        <f>IF(R2=$B$2,1,0)</f>
        <v>0</v>
      </c>
      <c r="R2" s="29" t="str">
        <f>IF(X1=1,"NL A / B Block 1","")</f>
        <v>NL A / B Block 1</v>
      </c>
      <c r="S2" s="29">
        <v>1</v>
      </c>
      <c r="T2" s="29">
        <v>1</v>
      </c>
      <c r="U2" s="29">
        <v>1</v>
      </c>
      <c r="V2" s="29">
        <v>1</v>
      </c>
      <c r="W2" s="29" t="str">
        <f t="shared" ref="W2:W13" si="0">IF($Q$1=1,IF(X2=0,"",Y2),"")</f>
        <v/>
      </c>
      <c r="X2" s="29">
        <f>IF($X$1=3,V2,IF($X$1=2,U2,IF($X$1=1,T2,"")))</f>
        <v>1</v>
      </c>
      <c r="Y2" s="29">
        <v>1</v>
      </c>
      <c r="AB2" s="418" t="s">
        <v>1217</v>
      </c>
      <c r="AC2" s="419"/>
      <c r="AD2" s="419"/>
      <c r="AE2" s="419"/>
      <c r="AF2" s="419"/>
      <c r="AG2" s="419"/>
      <c r="AH2" s="420"/>
    </row>
    <row r="3" spans="1:34">
      <c r="Q3" s="29">
        <f>IF(R3=$B$2,1,0)</f>
        <v>0</v>
      </c>
      <c r="R3" s="29" t="str">
        <f>IF(X1=2,"1.Liga Block 1","")</f>
        <v/>
      </c>
      <c r="S3" s="29">
        <v>2</v>
      </c>
      <c r="T3" s="29">
        <v>2</v>
      </c>
      <c r="U3" s="29">
        <v>2</v>
      </c>
      <c r="V3" s="29">
        <v>2</v>
      </c>
      <c r="W3" s="29" t="str">
        <f t="shared" si="0"/>
        <v/>
      </c>
      <c r="X3" s="29">
        <f t="shared" ref="X3:X33" si="1">IF($X$1=3,V3,IF($X$1=2,U3,IF($X$1=1,T3,"")))</f>
        <v>2</v>
      </c>
      <c r="Y3" s="29">
        <v>2</v>
      </c>
    </row>
    <row r="4" spans="1:34" ht="15" thickBot="1">
      <c r="Q4" s="29">
        <f>IF(R4=$B$2,1,0)</f>
        <v>0</v>
      </c>
      <c r="R4" s="29" t="str">
        <f>IF(X1=3,"2.Liga Block 1","")</f>
        <v/>
      </c>
      <c r="S4" s="29">
        <v>3</v>
      </c>
      <c r="T4" s="29">
        <v>3</v>
      </c>
      <c r="U4" s="29">
        <v>3</v>
      </c>
      <c r="V4" s="29">
        <v>3</v>
      </c>
      <c r="W4" s="29" t="str">
        <f t="shared" si="0"/>
        <v/>
      </c>
      <c r="X4" s="29">
        <f t="shared" si="1"/>
        <v>3</v>
      </c>
      <c r="Y4" s="29">
        <v>3</v>
      </c>
    </row>
    <row r="5" spans="1:34" ht="24.95" customHeight="1" thickBot="1">
      <c r="A5" s="405" t="str">
        <f>REPT('Heimmannschaft MAISON'!$I$3,1)</f>
        <v>select Heim - Team</v>
      </c>
      <c r="B5" s="381"/>
      <c r="C5" s="381"/>
      <c r="D5" s="381"/>
      <c r="E5" s="382" t="str">
        <f>IFERROR(VLOOKUP(G6,Chema!R:S,2,FALSE),"")</f>
        <v/>
      </c>
      <c r="F5" s="383" t="s">
        <v>894</v>
      </c>
      <c r="G5" s="571" t="str">
        <f>IF(G6="","",CONCATENATE(A8," ",G6))</f>
        <v>Spiel 0</v>
      </c>
      <c r="H5" s="406" t="str">
        <f>REPT('Gastmannschaft EXTERIEUR'!$I$3,1)</f>
        <v>Gast</v>
      </c>
      <c r="I5" s="384"/>
      <c r="J5" s="384"/>
      <c r="K5" s="384"/>
      <c r="L5" s="384" t="str">
        <f>IFERROR(VLOOKUP(G6,Chema!R:T,3,FALSE),"")</f>
        <v/>
      </c>
      <c r="M5" s="385" t="s">
        <v>895</v>
      </c>
      <c r="O5" s="29">
        <v>1</v>
      </c>
      <c r="P5" s="29">
        <f>IFERROR(VLOOKUP(O5,W:X,2,FALSE),0)</f>
        <v>0</v>
      </c>
      <c r="Q5" s="29">
        <f>IF(R5=$B$2,2,0)</f>
        <v>0</v>
      </c>
      <c r="R5" s="29" t="str">
        <f>IF(X1=2,"1.Liga 2.Doppel","")</f>
        <v/>
      </c>
      <c r="S5" s="29">
        <v>4</v>
      </c>
      <c r="T5" s="29">
        <v>4</v>
      </c>
      <c r="U5" s="29">
        <v>4</v>
      </c>
      <c r="V5" s="29">
        <v>4</v>
      </c>
      <c r="W5" s="29" t="str">
        <f t="shared" si="0"/>
        <v/>
      </c>
      <c r="X5" s="29">
        <f t="shared" si="1"/>
        <v>4</v>
      </c>
      <c r="Y5" s="29">
        <v>4</v>
      </c>
    </row>
    <row r="6" spans="1:34" ht="30" customHeight="1">
      <c r="A6" s="386" t="s">
        <v>1211</v>
      </c>
      <c r="B6" s="387" t="e">
        <f>VLOOKUP(F6,Average!GC:GE,3,FALSE)</f>
        <v>#N/A</v>
      </c>
      <c r="C6" s="411" t="str">
        <f>IFERROR(VLOOKUP(B6,Licenses!B:C,2,FALSE),"")</f>
        <v/>
      </c>
      <c r="D6" s="388"/>
      <c r="E6" s="388"/>
      <c r="F6" s="569" t="str">
        <f>CONCATENATE(F5,E5," ",L5)</f>
        <v xml:space="preserve">H </v>
      </c>
      <c r="G6" s="412">
        <f>SUM(P5)</f>
        <v>0</v>
      </c>
      <c r="H6" s="389" t="s">
        <v>1211</v>
      </c>
      <c r="I6" s="390" t="e">
        <f>VLOOKUP(M6,Average!GC:GE,3,FALSE)</f>
        <v>#N/A</v>
      </c>
      <c r="J6" s="411" t="str">
        <f>IFERROR(VLOOKUP(I6,Licenses!B:C,2,FALSE),"")</f>
        <v/>
      </c>
      <c r="K6" s="388"/>
      <c r="L6" s="388"/>
      <c r="M6" s="569" t="str">
        <f>CONCATENATE(M5,E5," ",L5)</f>
        <v xml:space="preserve">G </v>
      </c>
      <c r="Q6" s="29">
        <f>IF(R6=$B$2,3,0)</f>
        <v>0</v>
      </c>
      <c r="R6" s="29" t="str">
        <f>IF(X1=1,"NL A / B Block 2","")</f>
        <v>NL A / B Block 2</v>
      </c>
      <c r="S6" s="29">
        <v>5</v>
      </c>
      <c r="T6" s="29">
        <v>5</v>
      </c>
      <c r="U6" s="29">
        <v>5</v>
      </c>
      <c r="V6" s="29">
        <v>5</v>
      </c>
      <c r="W6" s="29" t="str">
        <f t="shared" si="0"/>
        <v/>
      </c>
      <c r="X6" s="29">
        <f t="shared" si="1"/>
        <v>5</v>
      </c>
      <c r="Y6" s="29">
        <v>5</v>
      </c>
    </row>
    <row r="7" spans="1:34" ht="30" customHeight="1" thickBot="1">
      <c r="A7" s="386" t="str">
        <f>IF(E5="D","Spieler 2. :","")</f>
        <v/>
      </c>
      <c r="B7" s="387" t="str">
        <f>IF(E5="D",VLOOKUP(F7,Average!GC:GE,3,FALSE),"")</f>
        <v/>
      </c>
      <c r="C7" s="411" t="str">
        <f>IF(B7="","",VLOOKUP(B7,Licenses!B:C,2,FALSE))</f>
        <v/>
      </c>
      <c r="D7" s="391"/>
      <c r="E7" s="391"/>
      <c r="F7" s="572" t="str">
        <f>IF(E5="D",CONCATENATE(F5,E5," ",L5,".",2),"")</f>
        <v/>
      </c>
      <c r="G7" s="570"/>
      <c r="H7" s="389" t="str">
        <f>IF(E5="D","Spieler 2. :","")</f>
        <v/>
      </c>
      <c r="I7" s="390" t="str">
        <f>IF(E5="D",VLOOKUP(M7,Average!GC:GE,3,FALSE),"")</f>
        <v/>
      </c>
      <c r="J7" s="411" t="str">
        <f>IFERROR(VLOOKUP(I7,Licenses!B:C,2,FALSE),"")</f>
        <v/>
      </c>
      <c r="K7" s="391"/>
      <c r="L7" s="391"/>
      <c r="M7" s="572" t="str">
        <f>IF(E5="D",CONCATENATE(M5,E5," ",L5,".",2),"")</f>
        <v/>
      </c>
      <c r="Q7" s="29">
        <f>IF(R7=$B$2,3,0)</f>
        <v>0</v>
      </c>
      <c r="R7" s="29" t="str">
        <f>IF(X1=2,"1.Liga Block 2","")</f>
        <v/>
      </c>
      <c r="S7" s="29">
        <v>6</v>
      </c>
      <c r="T7" s="29">
        <v>6</v>
      </c>
      <c r="U7" s="29">
        <v>6</v>
      </c>
      <c r="V7" s="29">
        <v>6</v>
      </c>
      <c r="W7" s="29" t="str">
        <f t="shared" si="0"/>
        <v/>
      </c>
      <c r="X7" s="29">
        <f t="shared" si="1"/>
        <v>6</v>
      </c>
      <c r="Y7" s="29">
        <v>6</v>
      </c>
    </row>
    <row r="8" spans="1:34" ht="15.75" thickBot="1">
      <c r="A8" s="393" t="s">
        <v>863</v>
      </c>
      <c r="B8" s="394" t="str">
        <f>CONCATENATE(F5,E5," ",L5)</f>
        <v xml:space="preserve">H </v>
      </c>
      <c r="C8" s="394" t="s">
        <v>1212</v>
      </c>
      <c r="D8" s="395" t="str">
        <f>REPT('Matchblatt  FEUILLE DE MATCH'!$P$11,1)</f>
        <v>2425R10?</v>
      </c>
      <c r="E8" s="396"/>
      <c r="F8" s="397"/>
      <c r="H8" s="393" t="s">
        <v>863</v>
      </c>
      <c r="I8" s="394" t="str">
        <f>CONCATENATE(M5,E5," ",L5)</f>
        <v xml:space="preserve">G </v>
      </c>
      <c r="J8" s="394" t="s">
        <v>1212</v>
      </c>
      <c r="K8" s="395" t="str">
        <f>REPT('Matchblatt  FEUILLE DE MATCH'!$P$11,1)</f>
        <v>2425R10?</v>
      </c>
      <c r="L8" s="396"/>
      <c r="M8" s="397"/>
      <c r="Q8" s="29">
        <f>IF(R8=$B$2,3,0)</f>
        <v>0</v>
      </c>
      <c r="R8" s="29" t="str">
        <f>IF(X1=3,"2.Liga Block 2","")</f>
        <v/>
      </c>
      <c r="S8" s="29">
        <v>7</v>
      </c>
      <c r="T8" s="29">
        <v>7</v>
      </c>
      <c r="U8" s="29">
        <v>7</v>
      </c>
      <c r="V8" s="29">
        <v>7</v>
      </c>
      <c r="W8" s="29" t="str">
        <f t="shared" si="0"/>
        <v/>
      </c>
      <c r="X8" s="29">
        <f t="shared" si="1"/>
        <v>7</v>
      </c>
      <c r="Y8" s="29">
        <v>7</v>
      </c>
    </row>
    <row r="9" spans="1:34" s="565" customFormat="1" ht="24.95" customHeight="1">
      <c r="A9" s="562" t="s">
        <v>864</v>
      </c>
      <c r="B9" s="563" t="s">
        <v>888</v>
      </c>
      <c r="C9" s="563" t="s">
        <v>868</v>
      </c>
      <c r="D9" s="563" t="s">
        <v>1213</v>
      </c>
      <c r="E9" s="563">
        <v>180</v>
      </c>
      <c r="F9" s="564" t="s">
        <v>964</v>
      </c>
      <c r="H9" s="566" t="s">
        <v>864</v>
      </c>
      <c r="I9" s="567" t="s">
        <v>888</v>
      </c>
      <c r="J9" s="567" t="s">
        <v>868</v>
      </c>
      <c r="K9" s="567" t="s">
        <v>1213</v>
      </c>
      <c r="L9" s="567">
        <v>180</v>
      </c>
      <c r="M9" s="568" t="s">
        <v>964</v>
      </c>
      <c r="S9" s="565">
        <v>8</v>
      </c>
      <c r="T9" s="565">
        <v>8</v>
      </c>
      <c r="U9" s="565">
        <v>8</v>
      </c>
      <c r="V9" s="565">
        <v>8</v>
      </c>
      <c r="W9" s="565" t="str">
        <f t="shared" si="0"/>
        <v/>
      </c>
      <c r="X9" s="565">
        <f t="shared" si="1"/>
        <v>8</v>
      </c>
      <c r="Y9" s="565">
        <v>8</v>
      </c>
    </row>
    <row r="10" spans="1:34" ht="38.1" customHeight="1">
      <c r="A10" s="407">
        <v>1</v>
      </c>
      <c r="B10" s="398"/>
      <c r="C10" s="399"/>
      <c r="D10" s="399"/>
      <c r="E10" s="399"/>
      <c r="F10" s="400"/>
      <c r="G10" s="641" t="str">
        <f>IF(G6="","",CONCATENATE(A8," ",G6))</f>
        <v>Spiel 0</v>
      </c>
      <c r="H10" s="409">
        <v>1</v>
      </c>
      <c r="I10" s="398"/>
      <c r="J10" s="399"/>
      <c r="K10" s="399"/>
      <c r="L10" s="399"/>
      <c r="M10" s="400"/>
      <c r="S10" s="29">
        <v>9</v>
      </c>
      <c r="T10" s="29">
        <v>9</v>
      </c>
      <c r="U10" s="29">
        <v>9</v>
      </c>
      <c r="V10" s="29">
        <v>9</v>
      </c>
      <c r="W10" s="29" t="str">
        <f t="shared" si="0"/>
        <v/>
      </c>
      <c r="X10" s="29">
        <f t="shared" si="1"/>
        <v>9</v>
      </c>
      <c r="Y10" s="29">
        <v>9</v>
      </c>
    </row>
    <row r="11" spans="1:34" ht="38.1" customHeight="1">
      <c r="A11" s="407">
        <v>2</v>
      </c>
      <c r="B11" s="398"/>
      <c r="C11" s="399"/>
      <c r="D11" s="399"/>
      <c r="E11" s="399"/>
      <c r="F11" s="400"/>
      <c r="G11" s="641"/>
      <c r="H11" s="409">
        <v>2</v>
      </c>
      <c r="I11" s="398"/>
      <c r="J11" s="399"/>
      <c r="K11" s="399"/>
      <c r="L11" s="399"/>
      <c r="M11" s="400"/>
      <c r="S11" s="29">
        <v>10</v>
      </c>
      <c r="T11" s="29">
        <v>10</v>
      </c>
      <c r="U11" s="29">
        <v>10</v>
      </c>
      <c r="W11" s="29" t="str">
        <f t="shared" si="0"/>
        <v/>
      </c>
      <c r="X11" s="29">
        <f t="shared" si="1"/>
        <v>10</v>
      </c>
      <c r="Y11" s="29">
        <v>10</v>
      </c>
    </row>
    <row r="12" spans="1:34" ht="38.1" customHeight="1">
      <c r="A12" s="407">
        <v>3</v>
      </c>
      <c r="B12" s="398"/>
      <c r="C12" s="399"/>
      <c r="D12" s="399"/>
      <c r="E12" s="399"/>
      <c r="F12" s="400"/>
      <c r="G12" s="641"/>
      <c r="H12" s="409">
        <v>3</v>
      </c>
      <c r="I12" s="398"/>
      <c r="J12" s="399"/>
      <c r="K12" s="399"/>
      <c r="L12" s="399"/>
      <c r="M12" s="400"/>
      <c r="S12" s="29">
        <v>11</v>
      </c>
      <c r="T12" s="29">
        <v>11</v>
      </c>
      <c r="U12" s="29">
        <v>11</v>
      </c>
      <c r="W12" s="29" t="str">
        <f t="shared" si="0"/>
        <v/>
      </c>
      <c r="X12" s="29">
        <f t="shared" si="1"/>
        <v>11</v>
      </c>
      <c r="Y12" s="29">
        <v>11</v>
      </c>
    </row>
    <row r="13" spans="1:34" ht="38.1" customHeight="1">
      <c r="A13" s="407">
        <v>4</v>
      </c>
      <c r="B13" s="399"/>
      <c r="C13" s="399"/>
      <c r="D13" s="399"/>
      <c r="E13" s="399"/>
      <c r="F13" s="400"/>
      <c r="G13" s="641"/>
      <c r="H13" s="409">
        <v>4</v>
      </c>
      <c r="I13" s="399"/>
      <c r="J13" s="399"/>
      <c r="K13" s="399"/>
      <c r="L13" s="399"/>
      <c r="M13" s="400"/>
      <c r="S13" s="29">
        <v>12</v>
      </c>
      <c r="T13" s="29">
        <v>12</v>
      </c>
      <c r="U13" s="29">
        <v>12</v>
      </c>
      <c r="W13" s="29" t="str">
        <f t="shared" si="0"/>
        <v/>
      </c>
      <c r="X13" s="29">
        <f t="shared" si="1"/>
        <v>12</v>
      </c>
      <c r="Y13" s="29">
        <v>12</v>
      </c>
    </row>
    <row r="14" spans="1:34" ht="38.1" customHeight="1" thickBot="1">
      <c r="A14" s="408">
        <v>5</v>
      </c>
      <c r="B14" s="401"/>
      <c r="C14" s="401"/>
      <c r="D14" s="401"/>
      <c r="E14" s="401"/>
      <c r="F14" s="402"/>
      <c r="H14" s="410">
        <v>5</v>
      </c>
      <c r="I14" s="401"/>
      <c r="J14" s="401"/>
      <c r="K14" s="401"/>
      <c r="L14" s="401"/>
      <c r="M14" s="402"/>
      <c r="S14" s="29">
        <v>13</v>
      </c>
      <c r="U14" s="29">
        <v>13</v>
      </c>
      <c r="W14" s="29" t="str">
        <f>IF($Q$1=2,IF(X14=0,"",Y14),"")</f>
        <v/>
      </c>
      <c r="X14" s="29">
        <f t="shared" si="1"/>
        <v>0</v>
      </c>
      <c r="Y14" s="29">
        <v>1</v>
      </c>
    </row>
    <row r="15" spans="1:34" ht="5.0999999999999996" customHeight="1">
      <c r="A15" s="403"/>
      <c r="B15" s="404"/>
      <c r="C15" s="404"/>
      <c r="D15" s="404"/>
      <c r="E15" s="404"/>
      <c r="F15" s="404"/>
      <c r="G15" s="404"/>
      <c r="H15" s="404"/>
      <c r="I15" s="404"/>
      <c r="J15" s="404"/>
      <c r="K15" s="404"/>
      <c r="L15" s="404"/>
      <c r="M15" s="404"/>
      <c r="S15" s="29">
        <v>14</v>
      </c>
      <c r="U15" s="29">
        <v>14</v>
      </c>
      <c r="W15" s="29" t="str">
        <f>IF($Q$1=2,IF(X15=0,"",Y15),"")</f>
        <v/>
      </c>
      <c r="X15" s="29">
        <f t="shared" si="1"/>
        <v>0</v>
      </c>
      <c r="Y15" s="29">
        <v>2</v>
      </c>
    </row>
    <row r="16" spans="1:34" ht="5.0999999999999996" customHeight="1" thickBot="1">
      <c r="S16" s="29">
        <v>15</v>
      </c>
      <c r="U16" s="29">
        <v>15</v>
      </c>
      <c r="W16" s="29" t="str">
        <f>IF($Q$1=2,IF(X16=0,"",Y16),"")</f>
        <v/>
      </c>
      <c r="X16" s="29">
        <f t="shared" si="1"/>
        <v>0</v>
      </c>
      <c r="Y16" s="29">
        <v>3</v>
      </c>
    </row>
    <row r="17" spans="1:25" ht="24.95" customHeight="1" thickBot="1">
      <c r="A17" s="405" t="str">
        <f>REPT('Heimmannschaft MAISON'!$I$3,1)</f>
        <v>select Heim - Team</v>
      </c>
      <c r="B17" s="381"/>
      <c r="C17" s="381"/>
      <c r="D17" s="381"/>
      <c r="E17" s="382" t="str">
        <f>IFERROR(VLOOKUP(G18,Chema!R:S,2,FALSE),"")</f>
        <v/>
      </c>
      <c r="F17" s="383" t="s">
        <v>894</v>
      </c>
      <c r="G17" s="571" t="str">
        <f>IF(G18="","",CONCATENATE(A20," ",G18))</f>
        <v>Spiel 0</v>
      </c>
      <c r="H17" s="406" t="str">
        <f>REPT('Gastmannschaft EXTERIEUR'!$I$3,1)</f>
        <v>Gast</v>
      </c>
      <c r="I17" s="384"/>
      <c r="J17" s="384"/>
      <c r="K17" s="384"/>
      <c r="L17" s="384" t="str">
        <f>IFERROR(VLOOKUP(G18,Chema!R:T,3,FALSE),"")</f>
        <v/>
      </c>
      <c r="M17" s="385" t="s">
        <v>895</v>
      </c>
      <c r="O17" s="29">
        <v>2</v>
      </c>
      <c r="P17" s="29">
        <f>IFERROR(VLOOKUP(O17,W:X,2,FALSE),0)</f>
        <v>0</v>
      </c>
      <c r="S17" s="29">
        <v>16</v>
      </c>
      <c r="U17" s="29">
        <v>16</v>
      </c>
      <c r="W17" s="29" t="str">
        <f>IF($Q$1=2,IF(X17=0,"",Y17),"")</f>
        <v/>
      </c>
      <c r="X17" s="29">
        <f t="shared" si="1"/>
        <v>0</v>
      </c>
      <c r="Y17" s="29">
        <v>4</v>
      </c>
    </row>
    <row r="18" spans="1:25" ht="30" customHeight="1">
      <c r="A18" s="386" t="s">
        <v>1211</v>
      </c>
      <c r="B18" s="387" t="e">
        <f>VLOOKUP(F18,Average!GC:GE,3,FALSE)</f>
        <v>#N/A</v>
      </c>
      <c r="C18" s="411" t="str">
        <f>IFERROR(VLOOKUP(B18,Licenses!B:C,2,FALSE),"")</f>
        <v/>
      </c>
      <c r="D18" s="388"/>
      <c r="E18" s="388"/>
      <c r="F18" s="569" t="str">
        <f>CONCATENATE(F17,E17," ",L17)</f>
        <v xml:space="preserve">H </v>
      </c>
      <c r="G18" s="412">
        <f>SUM(P17)</f>
        <v>0</v>
      </c>
      <c r="H18" s="389" t="s">
        <v>1211</v>
      </c>
      <c r="I18" s="390" t="e">
        <f>VLOOKUP(M18,Average!GC:GE,3,FALSE)</f>
        <v>#N/A</v>
      </c>
      <c r="J18" s="411" t="str">
        <f>IFERROR(VLOOKUP(I18,Licenses!B:C,2,FALSE),"")</f>
        <v/>
      </c>
      <c r="K18" s="388"/>
      <c r="L18" s="388"/>
      <c r="M18" s="569" t="str">
        <f>CONCATENATE(M17,E17," ",L17)</f>
        <v xml:space="preserve">G </v>
      </c>
      <c r="S18" s="29">
        <v>17</v>
      </c>
      <c r="T18" s="29">
        <v>13</v>
      </c>
      <c r="U18" s="29">
        <v>17</v>
      </c>
      <c r="V18" s="29">
        <v>10</v>
      </c>
      <c r="W18" s="29" t="str">
        <f t="shared" ref="W18:W33" si="2">IF($Q$1=3,IF(X18=0,"",Y18),"")</f>
        <v/>
      </c>
      <c r="X18" s="29">
        <f t="shared" si="1"/>
        <v>13</v>
      </c>
      <c r="Y18" s="29">
        <v>1</v>
      </c>
    </row>
    <row r="19" spans="1:25" ht="30" customHeight="1" thickBot="1">
      <c r="A19" s="386" t="str">
        <f>IF(E17="D","Spieler 2. :","")</f>
        <v/>
      </c>
      <c r="B19" s="387" t="str">
        <f>IF(E17="D",VLOOKUP(F19,Average!GC:GE,3,FALSE),"")</f>
        <v/>
      </c>
      <c r="C19" s="411" t="str">
        <f>IF(B19="","",VLOOKUP(B19,Licenses!B:C,2,FALSE))</f>
        <v/>
      </c>
      <c r="D19" s="391"/>
      <c r="E19" s="391"/>
      <c r="F19" s="572" t="str">
        <f>IF(E17="D",CONCATENATE(F17,E17," ",L17,".",2),"")</f>
        <v/>
      </c>
      <c r="G19" s="570"/>
      <c r="H19" s="389" t="str">
        <f>IF(E17="D","Spieler 2. :","")</f>
        <v/>
      </c>
      <c r="I19" s="390" t="str">
        <f>IF(E17="D",VLOOKUP(M19,Average!GC:GE,3,FALSE),"")</f>
        <v/>
      </c>
      <c r="J19" s="411" t="str">
        <f>IFERROR(VLOOKUP(I19,Licenses!B:C,2,FALSE),"")</f>
        <v/>
      </c>
      <c r="K19" s="391"/>
      <c r="L19" s="391"/>
      <c r="M19" s="572" t="str">
        <f>IF(E17="D",CONCATENATE(M17,E17," ",L17,".",2),"")</f>
        <v/>
      </c>
      <c r="S19" s="29">
        <v>18</v>
      </c>
      <c r="T19" s="29">
        <v>14</v>
      </c>
      <c r="U19" s="29">
        <v>18</v>
      </c>
      <c r="V19" s="29">
        <v>11</v>
      </c>
      <c r="W19" s="29" t="str">
        <f t="shared" si="2"/>
        <v/>
      </c>
      <c r="X19" s="29">
        <f t="shared" si="1"/>
        <v>14</v>
      </c>
      <c r="Y19" s="29">
        <v>2</v>
      </c>
    </row>
    <row r="20" spans="1:25" ht="15.75" thickBot="1">
      <c r="A20" s="393" t="s">
        <v>863</v>
      </c>
      <c r="B20" s="394" t="str">
        <f>CONCATENATE(F17,E17," ",L17)</f>
        <v xml:space="preserve">H </v>
      </c>
      <c r="C20" s="394" t="s">
        <v>1212</v>
      </c>
      <c r="D20" s="395" t="str">
        <f>REPT('Matchblatt  FEUILLE DE MATCH'!$P$11,1)</f>
        <v>2425R10?</v>
      </c>
      <c r="E20" s="396"/>
      <c r="F20" s="397"/>
      <c r="H20" s="393" t="s">
        <v>863</v>
      </c>
      <c r="I20" s="394" t="str">
        <f>CONCATENATE(M17,E17," ",L17)</f>
        <v xml:space="preserve">G </v>
      </c>
      <c r="J20" s="394" t="s">
        <v>1212</v>
      </c>
      <c r="K20" s="395" t="str">
        <f>REPT('Matchblatt  FEUILLE DE MATCH'!$P$11,1)</f>
        <v>2425R10?</v>
      </c>
      <c r="L20" s="396"/>
      <c r="M20" s="397"/>
      <c r="S20" s="29">
        <v>19</v>
      </c>
      <c r="T20" s="29">
        <v>15</v>
      </c>
      <c r="U20" s="29">
        <v>19</v>
      </c>
      <c r="V20" s="29">
        <v>12</v>
      </c>
      <c r="W20" s="29" t="str">
        <f t="shared" si="2"/>
        <v/>
      </c>
      <c r="X20" s="29">
        <f t="shared" si="1"/>
        <v>15</v>
      </c>
      <c r="Y20" s="29">
        <v>3</v>
      </c>
    </row>
    <row r="21" spans="1:25" s="565" customFormat="1" ht="24.95" customHeight="1">
      <c r="A21" s="562" t="s">
        <v>864</v>
      </c>
      <c r="B21" s="563" t="s">
        <v>888</v>
      </c>
      <c r="C21" s="563" t="s">
        <v>868</v>
      </c>
      <c r="D21" s="563" t="s">
        <v>1213</v>
      </c>
      <c r="E21" s="563">
        <v>180</v>
      </c>
      <c r="F21" s="564" t="s">
        <v>964</v>
      </c>
      <c r="H21" s="566" t="s">
        <v>864</v>
      </c>
      <c r="I21" s="567" t="s">
        <v>888</v>
      </c>
      <c r="J21" s="567" t="s">
        <v>868</v>
      </c>
      <c r="K21" s="567" t="s">
        <v>1213</v>
      </c>
      <c r="L21" s="567">
        <v>180</v>
      </c>
      <c r="M21" s="568" t="s">
        <v>964</v>
      </c>
      <c r="S21" s="565">
        <v>20</v>
      </c>
      <c r="T21" s="565">
        <v>16</v>
      </c>
      <c r="U21" s="565">
        <v>20</v>
      </c>
      <c r="V21" s="565">
        <v>13</v>
      </c>
      <c r="W21" s="565" t="str">
        <f t="shared" si="2"/>
        <v/>
      </c>
      <c r="X21" s="565">
        <f t="shared" si="1"/>
        <v>16</v>
      </c>
      <c r="Y21" s="565">
        <v>4</v>
      </c>
    </row>
    <row r="22" spans="1:25" ht="38.1" customHeight="1">
      <c r="A22" s="407">
        <v>1</v>
      </c>
      <c r="B22" s="398"/>
      <c r="C22" s="399"/>
      <c r="D22" s="399"/>
      <c r="E22" s="399"/>
      <c r="F22" s="400"/>
      <c r="G22" s="641" t="str">
        <f>IF(G18="","",CONCATENATE(A20," ",G18))</f>
        <v>Spiel 0</v>
      </c>
      <c r="H22" s="409">
        <v>1</v>
      </c>
      <c r="I22" s="398"/>
      <c r="J22" s="399"/>
      <c r="K22" s="399"/>
      <c r="L22" s="399"/>
      <c r="M22" s="400"/>
      <c r="S22" s="29">
        <v>21</v>
      </c>
      <c r="T22" s="29">
        <v>17</v>
      </c>
      <c r="U22" s="29">
        <v>21</v>
      </c>
      <c r="V22" s="29">
        <v>14</v>
      </c>
      <c r="W22" s="29" t="str">
        <f t="shared" si="2"/>
        <v/>
      </c>
      <c r="X22" s="29">
        <f t="shared" si="1"/>
        <v>17</v>
      </c>
      <c r="Y22" s="29">
        <v>5</v>
      </c>
    </row>
    <row r="23" spans="1:25" ht="38.1" customHeight="1">
      <c r="A23" s="407">
        <v>2</v>
      </c>
      <c r="B23" s="398"/>
      <c r="C23" s="399"/>
      <c r="D23" s="399"/>
      <c r="E23" s="399"/>
      <c r="F23" s="400"/>
      <c r="G23" s="641"/>
      <c r="H23" s="409">
        <v>2</v>
      </c>
      <c r="I23" s="398"/>
      <c r="J23" s="399"/>
      <c r="K23" s="399"/>
      <c r="L23" s="399"/>
      <c r="M23" s="400"/>
      <c r="S23" s="29">
        <v>22</v>
      </c>
      <c r="T23" s="29">
        <v>18</v>
      </c>
      <c r="U23" s="29">
        <v>22</v>
      </c>
      <c r="V23" s="29">
        <v>15</v>
      </c>
      <c r="W23" s="29" t="str">
        <f t="shared" si="2"/>
        <v/>
      </c>
      <c r="X23" s="29">
        <f t="shared" si="1"/>
        <v>18</v>
      </c>
      <c r="Y23" s="29">
        <v>6</v>
      </c>
    </row>
    <row r="24" spans="1:25" ht="38.1" customHeight="1">
      <c r="A24" s="407">
        <v>3</v>
      </c>
      <c r="B24" s="398"/>
      <c r="C24" s="399"/>
      <c r="D24" s="399"/>
      <c r="E24" s="399"/>
      <c r="F24" s="400"/>
      <c r="G24" s="641"/>
      <c r="H24" s="409">
        <v>3</v>
      </c>
      <c r="I24" s="398"/>
      <c r="J24" s="399"/>
      <c r="K24" s="399"/>
      <c r="L24" s="399"/>
      <c r="M24" s="400"/>
      <c r="S24" s="29">
        <v>23</v>
      </c>
      <c r="T24" s="29">
        <v>19</v>
      </c>
      <c r="U24" s="29">
        <v>23</v>
      </c>
      <c r="V24" s="29">
        <v>16</v>
      </c>
      <c r="W24" s="29" t="str">
        <f t="shared" si="2"/>
        <v/>
      </c>
      <c r="X24" s="29">
        <f t="shared" si="1"/>
        <v>19</v>
      </c>
      <c r="Y24" s="29">
        <v>7</v>
      </c>
    </row>
    <row r="25" spans="1:25" ht="38.1" customHeight="1">
      <c r="A25" s="407">
        <v>4</v>
      </c>
      <c r="B25" s="399"/>
      <c r="C25" s="399"/>
      <c r="D25" s="399"/>
      <c r="E25" s="399"/>
      <c r="F25" s="400"/>
      <c r="G25" s="641"/>
      <c r="H25" s="409">
        <v>4</v>
      </c>
      <c r="I25" s="399"/>
      <c r="J25" s="399"/>
      <c r="K25" s="399"/>
      <c r="L25" s="399"/>
      <c r="M25" s="400"/>
      <c r="S25" s="29">
        <v>24</v>
      </c>
      <c r="T25" s="29">
        <v>20</v>
      </c>
      <c r="U25" s="29">
        <v>24</v>
      </c>
      <c r="V25" s="29">
        <v>17</v>
      </c>
      <c r="W25" s="29" t="str">
        <f t="shared" si="2"/>
        <v/>
      </c>
      <c r="X25" s="29">
        <f t="shared" si="1"/>
        <v>20</v>
      </c>
      <c r="Y25" s="29">
        <v>8</v>
      </c>
    </row>
    <row r="26" spans="1:25" ht="38.1" customHeight="1" thickBot="1">
      <c r="A26" s="408">
        <v>5</v>
      </c>
      <c r="B26" s="401"/>
      <c r="C26" s="401"/>
      <c r="D26" s="401"/>
      <c r="E26" s="401"/>
      <c r="F26" s="402"/>
      <c r="H26" s="410">
        <v>5</v>
      </c>
      <c r="I26" s="401"/>
      <c r="J26" s="401"/>
      <c r="K26" s="401"/>
      <c r="L26" s="401"/>
      <c r="M26" s="402"/>
      <c r="S26" s="29">
        <v>25</v>
      </c>
      <c r="T26" s="29">
        <v>21</v>
      </c>
      <c r="U26" s="29">
        <v>25</v>
      </c>
      <c r="V26" s="29">
        <v>18</v>
      </c>
      <c r="W26" s="29" t="str">
        <f t="shared" si="2"/>
        <v/>
      </c>
      <c r="X26" s="29">
        <f t="shared" si="1"/>
        <v>21</v>
      </c>
      <c r="Y26" s="29">
        <v>9</v>
      </c>
    </row>
    <row r="27" spans="1:25" ht="5.0999999999999996" customHeight="1">
      <c r="A27" s="403"/>
      <c r="B27" s="404"/>
      <c r="C27" s="404"/>
      <c r="D27" s="404"/>
      <c r="E27" s="404"/>
      <c r="F27" s="404"/>
      <c r="G27" s="404"/>
      <c r="H27" s="404"/>
      <c r="I27" s="404"/>
      <c r="J27" s="404"/>
      <c r="K27" s="404"/>
      <c r="L27" s="404"/>
      <c r="M27" s="404"/>
      <c r="S27" s="29">
        <v>26</v>
      </c>
      <c r="T27" s="29">
        <v>22</v>
      </c>
      <c r="U27" s="29">
        <v>26</v>
      </c>
      <c r="V27" s="29">
        <v>19</v>
      </c>
      <c r="W27" s="29" t="str">
        <f t="shared" si="2"/>
        <v/>
      </c>
      <c r="X27" s="29">
        <f t="shared" si="1"/>
        <v>22</v>
      </c>
      <c r="Y27" s="29">
        <v>10</v>
      </c>
    </row>
    <row r="28" spans="1:25" ht="5.0999999999999996" customHeight="1" thickBot="1">
      <c r="S28" s="29">
        <v>27</v>
      </c>
      <c r="T28" s="29">
        <v>23</v>
      </c>
      <c r="U28" s="29">
        <v>27</v>
      </c>
      <c r="V28" s="29">
        <v>20</v>
      </c>
      <c r="W28" s="29" t="str">
        <f t="shared" si="2"/>
        <v/>
      </c>
      <c r="X28" s="29">
        <f t="shared" si="1"/>
        <v>23</v>
      </c>
      <c r="Y28" s="29">
        <v>11</v>
      </c>
    </row>
    <row r="29" spans="1:25" ht="24.95" customHeight="1" thickBot="1">
      <c r="A29" s="405" t="str">
        <f>REPT('Heimmannschaft MAISON'!$I$3,1)</f>
        <v>select Heim - Team</v>
      </c>
      <c r="B29" s="381"/>
      <c r="C29" s="381"/>
      <c r="D29" s="381"/>
      <c r="E29" s="382" t="str">
        <f>IFERROR(VLOOKUP(G30,Chema!R:S,2,FALSE),"")</f>
        <v/>
      </c>
      <c r="F29" s="383" t="s">
        <v>894</v>
      </c>
      <c r="G29" s="571" t="str">
        <f>IF(G30="","",CONCATENATE(A32," ",G30))</f>
        <v>Spiel 0</v>
      </c>
      <c r="H29" s="406" t="str">
        <f>REPT('Gastmannschaft EXTERIEUR'!$I$3,1)</f>
        <v>Gast</v>
      </c>
      <c r="I29" s="384"/>
      <c r="J29" s="384"/>
      <c r="K29" s="384"/>
      <c r="L29" s="384" t="str">
        <f>IFERROR(VLOOKUP(G30,Chema!R:T,3,FALSE),"")</f>
        <v/>
      </c>
      <c r="M29" s="385" t="s">
        <v>895</v>
      </c>
      <c r="O29" s="29">
        <v>3</v>
      </c>
      <c r="P29" s="29">
        <f>IFERROR(VLOOKUP(O29,W:X,2,FALSE),0)</f>
        <v>0</v>
      </c>
      <c r="S29" s="29">
        <v>28</v>
      </c>
      <c r="T29" s="29">
        <v>24</v>
      </c>
      <c r="U29" s="29">
        <v>28</v>
      </c>
      <c r="V29" s="29">
        <v>21</v>
      </c>
      <c r="W29" s="29" t="str">
        <f t="shared" si="2"/>
        <v/>
      </c>
      <c r="X29" s="29">
        <f t="shared" si="1"/>
        <v>24</v>
      </c>
      <c r="Y29" s="29">
        <v>12</v>
      </c>
    </row>
    <row r="30" spans="1:25" ht="30" customHeight="1">
      <c r="A30" s="386" t="s">
        <v>1211</v>
      </c>
      <c r="B30" s="387" t="e">
        <f>VLOOKUP(F30,Average!GC:GE,3,FALSE)</f>
        <v>#N/A</v>
      </c>
      <c r="C30" s="411" t="str">
        <f>IFERROR(VLOOKUP(B30,Licenses!B:C,2,FALSE),"")</f>
        <v/>
      </c>
      <c r="D30" s="388"/>
      <c r="E30" s="388"/>
      <c r="F30" s="569" t="str">
        <f>CONCATENATE(F29,E29," ",L29)</f>
        <v xml:space="preserve">H </v>
      </c>
      <c r="G30" s="412">
        <f>SUM(P29)</f>
        <v>0</v>
      </c>
      <c r="H30" s="389" t="s">
        <v>1211</v>
      </c>
      <c r="I30" s="390" t="e">
        <f>VLOOKUP(M30,Average!GC:GE,3,FALSE)</f>
        <v>#N/A</v>
      </c>
      <c r="J30" s="411" t="str">
        <f>IFERROR(VLOOKUP(I30,Licenses!B:C,2,FALSE),"")</f>
        <v/>
      </c>
      <c r="K30" s="388"/>
      <c r="L30" s="388"/>
      <c r="M30" s="569" t="str">
        <f>CONCATENATE(M29,E29," ",L29)</f>
        <v xml:space="preserve">G </v>
      </c>
      <c r="S30" s="29">
        <v>29</v>
      </c>
      <c r="T30" s="29">
        <v>25</v>
      </c>
      <c r="U30" s="29">
        <v>29</v>
      </c>
      <c r="V30" s="29">
        <v>22</v>
      </c>
      <c r="W30" s="29" t="str">
        <f t="shared" si="2"/>
        <v/>
      </c>
      <c r="X30" s="29">
        <f t="shared" si="1"/>
        <v>25</v>
      </c>
      <c r="Y30" s="29">
        <v>13</v>
      </c>
    </row>
    <row r="31" spans="1:25" ht="30" customHeight="1" thickBot="1">
      <c r="A31" s="386" t="str">
        <f>IF(E29="D","Spieler 2. :","")</f>
        <v/>
      </c>
      <c r="B31" s="387" t="str">
        <f>IF(E29="D",VLOOKUP(F31,Average!GC:GE,3,FALSE),"")</f>
        <v/>
      </c>
      <c r="C31" s="411" t="str">
        <f>IF(B31="","",VLOOKUP(B31,Licenses!B:C,2,FALSE))</f>
        <v/>
      </c>
      <c r="D31" s="391"/>
      <c r="E31" s="391"/>
      <c r="F31" s="572" t="str">
        <f>IF(E29="D",CONCATENATE(F29,E29," ",L29,".",2),"")</f>
        <v/>
      </c>
      <c r="G31" s="570"/>
      <c r="H31" s="389" t="str">
        <f>IF(E29="D","Spieler 2. :","")</f>
        <v/>
      </c>
      <c r="I31" s="390" t="str">
        <f>IF(E29="D",VLOOKUP(M31,Average!GC:GE,3,FALSE),"")</f>
        <v/>
      </c>
      <c r="J31" s="411" t="str">
        <f>IFERROR(VLOOKUP(I31,Licenses!B:C,2,FALSE),"")</f>
        <v/>
      </c>
      <c r="K31" s="391"/>
      <c r="L31" s="391"/>
      <c r="M31" s="572" t="str">
        <f>IF(E29="D",CONCATENATE(M29,E29," ",L29,".",2),"")</f>
        <v/>
      </c>
      <c r="S31" s="29">
        <v>30</v>
      </c>
      <c r="T31" s="29">
        <v>26</v>
      </c>
      <c r="U31" s="29">
        <v>30</v>
      </c>
      <c r="V31" s="29">
        <v>23</v>
      </c>
      <c r="W31" s="29" t="str">
        <f t="shared" si="2"/>
        <v/>
      </c>
      <c r="X31" s="29">
        <f t="shared" si="1"/>
        <v>26</v>
      </c>
      <c r="Y31" s="29">
        <v>14</v>
      </c>
    </row>
    <row r="32" spans="1:25" ht="15.75" thickBot="1">
      <c r="A32" s="393" t="s">
        <v>863</v>
      </c>
      <c r="B32" s="394" t="str">
        <f>CONCATENATE(F29,E29," ",L29)</f>
        <v xml:space="preserve">H </v>
      </c>
      <c r="C32" s="394" t="s">
        <v>1212</v>
      </c>
      <c r="D32" s="395" t="str">
        <f>REPT('Matchblatt  FEUILLE DE MATCH'!$P$11,1)</f>
        <v>2425R10?</v>
      </c>
      <c r="E32" s="396"/>
      <c r="F32" s="397"/>
      <c r="H32" s="393" t="s">
        <v>863</v>
      </c>
      <c r="I32" s="394" t="str">
        <f>CONCATENATE(M29,E29," ",L29)</f>
        <v xml:space="preserve">G </v>
      </c>
      <c r="J32" s="394" t="s">
        <v>1212</v>
      </c>
      <c r="K32" s="395" t="str">
        <f>REPT('Matchblatt  FEUILLE DE MATCH'!$P$11,1)</f>
        <v>2425R10?</v>
      </c>
      <c r="L32" s="396"/>
      <c r="M32" s="397"/>
      <c r="S32" s="29">
        <v>31</v>
      </c>
      <c r="T32" s="29">
        <v>27</v>
      </c>
      <c r="U32" s="29">
        <v>31</v>
      </c>
      <c r="V32" s="29">
        <v>24</v>
      </c>
      <c r="W32" s="29" t="str">
        <f t="shared" si="2"/>
        <v/>
      </c>
      <c r="X32" s="29">
        <f t="shared" si="1"/>
        <v>27</v>
      </c>
      <c r="Y32" s="29">
        <v>15</v>
      </c>
    </row>
    <row r="33" spans="1:25" s="565" customFormat="1" ht="24.95" customHeight="1">
      <c r="A33" s="562" t="s">
        <v>864</v>
      </c>
      <c r="B33" s="563" t="s">
        <v>888</v>
      </c>
      <c r="C33" s="563" t="s">
        <v>868</v>
      </c>
      <c r="D33" s="563" t="s">
        <v>1213</v>
      </c>
      <c r="E33" s="563">
        <v>180</v>
      </c>
      <c r="F33" s="564" t="s">
        <v>964</v>
      </c>
      <c r="H33" s="566" t="s">
        <v>864</v>
      </c>
      <c r="I33" s="567" t="s">
        <v>888</v>
      </c>
      <c r="J33" s="567" t="s">
        <v>868</v>
      </c>
      <c r="K33" s="567" t="s">
        <v>1213</v>
      </c>
      <c r="L33" s="567">
        <v>180</v>
      </c>
      <c r="M33" s="568" t="s">
        <v>964</v>
      </c>
      <c r="S33" s="565">
        <v>32</v>
      </c>
      <c r="T33" s="565">
        <v>28</v>
      </c>
      <c r="U33" s="565">
        <v>32</v>
      </c>
      <c r="W33" s="565" t="str">
        <f t="shared" si="2"/>
        <v/>
      </c>
      <c r="X33" s="565">
        <f t="shared" si="1"/>
        <v>28</v>
      </c>
      <c r="Y33" s="565">
        <v>16</v>
      </c>
    </row>
    <row r="34" spans="1:25" ht="38.1" customHeight="1">
      <c r="A34" s="407">
        <v>1</v>
      </c>
      <c r="B34" s="398"/>
      <c r="C34" s="399"/>
      <c r="D34" s="399"/>
      <c r="E34" s="399"/>
      <c r="F34" s="400"/>
      <c r="G34" s="641" t="str">
        <f>IF(G30="","",CONCATENATE(A32," ",G30))</f>
        <v>Spiel 0</v>
      </c>
      <c r="H34" s="409">
        <v>1</v>
      </c>
      <c r="I34" s="398"/>
      <c r="J34" s="399"/>
      <c r="K34" s="399"/>
      <c r="L34" s="399"/>
      <c r="M34" s="400"/>
    </row>
    <row r="35" spans="1:25" ht="38.1" customHeight="1">
      <c r="A35" s="407">
        <v>2</v>
      </c>
      <c r="B35" s="398"/>
      <c r="C35" s="399"/>
      <c r="D35" s="399"/>
      <c r="E35" s="399"/>
      <c r="F35" s="400"/>
      <c r="G35" s="641"/>
      <c r="H35" s="409">
        <v>2</v>
      </c>
      <c r="I35" s="398"/>
      <c r="J35" s="399"/>
      <c r="K35" s="399"/>
      <c r="L35" s="399"/>
      <c r="M35" s="400"/>
    </row>
    <row r="36" spans="1:25" ht="38.1" customHeight="1">
      <c r="A36" s="407">
        <v>3</v>
      </c>
      <c r="B36" s="398"/>
      <c r="C36" s="399"/>
      <c r="D36" s="399"/>
      <c r="E36" s="399"/>
      <c r="F36" s="400"/>
      <c r="G36" s="641"/>
      <c r="H36" s="409">
        <v>3</v>
      </c>
      <c r="I36" s="398"/>
      <c r="J36" s="399"/>
      <c r="K36" s="399"/>
      <c r="L36" s="399"/>
      <c r="M36" s="400"/>
    </row>
    <row r="37" spans="1:25" ht="38.1" customHeight="1">
      <c r="A37" s="407">
        <v>4</v>
      </c>
      <c r="B37" s="399"/>
      <c r="C37" s="399"/>
      <c r="D37" s="399"/>
      <c r="E37" s="399"/>
      <c r="F37" s="400"/>
      <c r="G37" s="641"/>
      <c r="H37" s="409">
        <v>4</v>
      </c>
      <c r="I37" s="399"/>
      <c r="J37" s="399"/>
      <c r="K37" s="399"/>
      <c r="L37" s="399"/>
      <c r="M37" s="400"/>
    </row>
    <row r="38" spans="1:25" ht="38.1" customHeight="1" thickBot="1">
      <c r="A38" s="408">
        <v>5</v>
      </c>
      <c r="B38" s="401"/>
      <c r="C38" s="401"/>
      <c r="D38" s="401"/>
      <c r="E38" s="401"/>
      <c r="F38" s="402"/>
      <c r="H38" s="410">
        <v>5</v>
      </c>
      <c r="I38" s="401"/>
      <c r="J38" s="401"/>
      <c r="K38" s="401"/>
      <c r="L38" s="401"/>
      <c r="M38" s="402"/>
    </row>
    <row r="39" spans="1:25" ht="5.0999999999999996" customHeight="1">
      <c r="A39" s="403"/>
      <c r="B39" s="404"/>
      <c r="C39" s="404"/>
      <c r="D39" s="404"/>
      <c r="E39" s="404"/>
      <c r="F39" s="404"/>
      <c r="G39" s="404"/>
      <c r="H39" s="404"/>
      <c r="I39" s="404"/>
      <c r="J39" s="404"/>
      <c r="K39" s="404"/>
      <c r="L39" s="404"/>
      <c r="M39" s="404"/>
    </row>
    <row r="40" spans="1:25" ht="5.0999999999999996" customHeight="1" thickBot="1"/>
    <row r="41" spans="1:25" ht="24.95" customHeight="1" thickBot="1">
      <c r="A41" s="405" t="str">
        <f>REPT('Heimmannschaft MAISON'!$I$3,1)</f>
        <v>select Heim - Team</v>
      </c>
      <c r="B41" s="381"/>
      <c r="C41" s="381"/>
      <c r="D41" s="381"/>
      <c r="E41" s="382" t="str">
        <f>IFERROR(VLOOKUP(G42,Chema!R:S,2,FALSE),"")</f>
        <v/>
      </c>
      <c r="F41" s="383" t="s">
        <v>894</v>
      </c>
      <c r="G41" s="571" t="str">
        <f>IF(G42="","",CONCATENATE(A44," ",G42))</f>
        <v>Spiel 0</v>
      </c>
      <c r="H41" s="406" t="str">
        <f>REPT('Gastmannschaft EXTERIEUR'!$I$3,1)</f>
        <v>Gast</v>
      </c>
      <c r="I41" s="384"/>
      <c r="J41" s="384"/>
      <c r="K41" s="384"/>
      <c r="L41" s="384" t="str">
        <f>IFERROR(VLOOKUP(G42,Chema!R:T,3,FALSE),"")</f>
        <v/>
      </c>
      <c r="M41" s="385" t="s">
        <v>895</v>
      </c>
      <c r="O41" s="29">
        <v>4</v>
      </c>
      <c r="P41" s="29">
        <f>IFERROR(VLOOKUP(O41,W:X,2,FALSE),0)</f>
        <v>0</v>
      </c>
    </row>
    <row r="42" spans="1:25" ht="30" customHeight="1">
      <c r="A42" s="386" t="s">
        <v>1211</v>
      </c>
      <c r="B42" s="387" t="e">
        <f>VLOOKUP(F42,Average!GC:GE,3,FALSE)</f>
        <v>#N/A</v>
      </c>
      <c r="C42" s="411" t="str">
        <f>IFERROR(VLOOKUP(B42,Licenses!B:C,2,FALSE),"")</f>
        <v/>
      </c>
      <c r="D42" s="388"/>
      <c r="E42" s="388"/>
      <c r="F42" s="569" t="str">
        <f>CONCATENATE(F41,E41," ",L41)</f>
        <v xml:space="preserve">H </v>
      </c>
      <c r="G42" s="412">
        <f>SUM(P41)</f>
        <v>0</v>
      </c>
      <c r="H42" s="389" t="s">
        <v>1211</v>
      </c>
      <c r="I42" s="390" t="e">
        <f>VLOOKUP(M42,Average!GC:GE,3,FALSE)</f>
        <v>#N/A</v>
      </c>
      <c r="J42" s="411" t="str">
        <f>IFERROR(VLOOKUP(I42,Licenses!B:C,2,FALSE),"")</f>
        <v/>
      </c>
      <c r="K42" s="388"/>
      <c r="L42" s="388"/>
      <c r="M42" s="569" t="str">
        <f>CONCATENATE(M41,E41," ",L41)</f>
        <v xml:space="preserve">G </v>
      </c>
    </row>
    <row r="43" spans="1:25" ht="30" customHeight="1" thickBot="1">
      <c r="A43" s="386" t="str">
        <f>IF(E41="D","Spieler 2. :","")</f>
        <v/>
      </c>
      <c r="B43" s="387" t="str">
        <f>IF(E41="D",VLOOKUP(F43,Average!GC:GE,3,FALSE),"")</f>
        <v/>
      </c>
      <c r="C43" s="411" t="str">
        <f>IF(B43="","",VLOOKUP(B43,Licenses!B:C,2,FALSE))</f>
        <v/>
      </c>
      <c r="D43" s="391"/>
      <c r="E43" s="391"/>
      <c r="F43" s="572" t="str">
        <f>IF(E41="D",CONCATENATE(F41,E41," ",L41,".",2),"")</f>
        <v/>
      </c>
      <c r="G43" s="570"/>
      <c r="H43" s="389" t="str">
        <f>IF(E41="D","Spieler 2. :","")</f>
        <v/>
      </c>
      <c r="I43" s="390" t="str">
        <f>IF(E41="D",VLOOKUP(M43,Average!GC:GE,3,FALSE),"")</f>
        <v/>
      </c>
      <c r="J43" s="411" t="str">
        <f>IFERROR(VLOOKUP(I43,Licenses!B:C,2,FALSE),"")</f>
        <v/>
      </c>
      <c r="K43" s="391"/>
      <c r="L43" s="391"/>
      <c r="M43" s="572" t="str">
        <f>IF(E41="D",CONCATENATE(M41,E41," ",L41,".",2),"")</f>
        <v/>
      </c>
    </row>
    <row r="44" spans="1:25" ht="15.75" thickBot="1">
      <c r="A44" s="393" t="s">
        <v>863</v>
      </c>
      <c r="B44" s="394" t="str">
        <f>CONCATENATE(F41,E41," ",L41)</f>
        <v xml:space="preserve">H </v>
      </c>
      <c r="C44" s="394" t="s">
        <v>1212</v>
      </c>
      <c r="D44" s="395" t="str">
        <f>REPT('Matchblatt  FEUILLE DE MATCH'!$P$11,1)</f>
        <v>2425R10?</v>
      </c>
      <c r="E44" s="396"/>
      <c r="F44" s="397"/>
      <c r="H44" s="393" t="s">
        <v>863</v>
      </c>
      <c r="I44" s="394" t="str">
        <f>CONCATENATE(M41,E41," ",L41)</f>
        <v xml:space="preserve">G </v>
      </c>
      <c r="J44" s="394" t="s">
        <v>1212</v>
      </c>
      <c r="K44" s="395" t="str">
        <f>REPT('Matchblatt  FEUILLE DE MATCH'!$P$11,1)</f>
        <v>2425R10?</v>
      </c>
      <c r="L44" s="396"/>
      <c r="M44" s="397"/>
    </row>
    <row r="45" spans="1:25" s="565" customFormat="1" ht="24.95" customHeight="1">
      <c r="A45" s="562" t="s">
        <v>864</v>
      </c>
      <c r="B45" s="563" t="s">
        <v>888</v>
      </c>
      <c r="C45" s="563" t="s">
        <v>868</v>
      </c>
      <c r="D45" s="563" t="s">
        <v>1213</v>
      </c>
      <c r="E45" s="563">
        <v>180</v>
      </c>
      <c r="F45" s="564" t="s">
        <v>964</v>
      </c>
      <c r="H45" s="566" t="s">
        <v>864</v>
      </c>
      <c r="I45" s="567" t="s">
        <v>888</v>
      </c>
      <c r="J45" s="567" t="s">
        <v>868</v>
      </c>
      <c r="K45" s="567" t="s">
        <v>1213</v>
      </c>
      <c r="L45" s="567">
        <v>180</v>
      </c>
      <c r="M45" s="568" t="s">
        <v>964</v>
      </c>
    </row>
    <row r="46" spans="1:25" ht="38.1" customHeight="1">
      <c r="A46" s="407">
        <v>1</v>
      </c>
      <c r="B46" s="398"/>
      <c r="C46" s="399"/>
      <c r="D46" s="399"/>
      <c r="E46" s="399"/>
      <c r="F46" s="400"/>
      <c r="G46" s="641" t="str">
        <f>IF(G42="","",CONCATENATE(A44," ",G42))</f>
        <v>Spiel 0</v>
      </c>
      <c r="H46" s="409">
        <v>1</v>
      </c>
      <c r="I46" s="398"/>
      <c r="J46" s="399"/>
      <c r="K46" s="399"/>
      <c r="L46" s="399"/>
      <c r="M46" s="400"/>
    </row>
    <row r="47" spans="1:25" ht="38.1" customHeight="1">
      <c r="A47" s="407">
        <v>2</v>
      </c>
      <c r="B47" s="398"/>
      <c r="C47" s="399"/>
      <c r="D47" s="399"/>
      <c r="E47" s="399"/>
      <c r="F47" s="400"/>
      <c r="G47" s="641"/>
      <c r="H47" s="409">
        <v>2</v>
      </c>
      <c r="I47" s="398"/>
      <c r="J47" s="399"/>
      <c r="K47" s="399"/>
      <c r="L47" s="399"/>
      <c r="M47" s="400"/>
    </row>
    <row r="48" spans="1:25" ht="38.1" customHeight="1">
      <c r="A48" s="407">
        <v>3</v>
      </c>
      <c r="B48" s="398"/>
      <c r="C48" s="399"/>
      <c r="D48" s="399"/>
      <c r="E48" s="399"/>
      <c r="F48" s="400"/>
      <c r="G48" s="641"/>
      <c r="H48" s="409">
        <v>3</v>
      </c>
      <c r="I48" s="398"/>
      <c r="J48" s="399"/>
      <c r="K48" s="399"/>
      <c r="L48" s="399"/>
      <c r="M48" s="400"/>
    </row>
    <row r="49" spans="1:16" ht="38.1" customHeight="1">
      <c r="A49" s="407">
        <v>4</v>
      </c>
      <c r="B49" s="399"/>
      <c r="C49" s="399"/>
      <c r="D49" s="399"/>
      <c r="E49" s="399"/>
      <c r="F49" s="400"/>
      <c r="G49" s="641"/>
      <c r="H49" s="409">
        <v>4</v>
      </c>
      <c r="I49" s="399"/>
      <c r="J49" s="399"/>
      <c r="K49" s="399"/>
      <c r="L49" s="399"/>
      <c r="M49" s="400"/>
    </row>
    <row r="50" spans="1:16" ht="38.1" customHeight="1" thickBot="1">
      <c r="A50" s="408">
        <v>5</v>
      </c>
      <c r="B50" s="401"/>
      <c r="C50" s="401"/>
      <c r="D50" s="401"/>
      <c r="E50" s="401"/>
      <c r="F50" s="402"/>
      <c r="H50" s="410">
        <v>5</v>
      </c>
      <c r="I50" s="401"/>
      <c r="J50" s="401"/>
      <c r="K50" s="401"/>
      <c r="L50" s="401"/>
      <c r="M50" s="402"/>
    </row>
    <row r="51" spans="1:16" ht="5.0999999999999996" customHeight="1">
      <c r="A51" s="403"/>
      <c r="B51" s="404"/>
      <c r="C51" s="404"/>
      <c r="D51" s="404"/>
      <c r="E51" s="404"/>
      <c r="F51" s="404"/>
      <c r="G51" s="404"/>
      <c r="H51" s="404"/>
      <c r="I51" s="404"/>
      <c r="J51" s="404"/>
      <c r="K51" s="404"/>
      <c r="L51" s="404"/>
      <c r="M51" s="404"/>
    </row>
    <row r="52" spans="1:16" ht="5.0999999999999996" customHeight="1" thickBot="1"/>
    <row r="53" spans="1:16" ht="24.95" customHeight="1" thickBot="1">
      <c r="A53" s="405" t="str">
        <f>REPT('Heimmannschaft MAISON'!$I$3,1)</f>
        <v>select Heim - Team</v>
      </c>
      <c r="B53" s="381"/>
      <c r="C53" s="381"/>
      <c r="D53" s="381"/>
      <c r="E53" s="382" t="str">
        <f>IFERROR(VLOOKUP(G54,Chema!R:S,2,FALSE),"")</f>
        <v/>
      </c>
      <c r="F53" s="383" t="s">
        <v>894</v>
      </c>
      <c r="G53" s="571" t="str">
        <f>IF(G54="","",CONCATENATE(A56," ",G54))</f>
        <v>Spiel 0</v>
      </c>
      <c r="H53" s="406" t="str">
        <f>REPT('Gastmannschaft EXTERIEUR'!$I$3,1)</f>
        <v>Gast</v>
      </c>
      <c r="I53" s="384"/>
      <c r="J53" s="384"/>
      <c r="K53" s="384"/>
      <c r="L53" s="384" t="str">
        <f>IFERROR(VLOOKUP(G54,Chema!R:T,3,FALSE),"")</f>
        <v/>
      </c>
      <c r="M53" s="385" t="s">
        <v>895</v>
      </c>
      <c r="O53" s="29">
        <v>5</v>
      </c>
      <c r="P53" s="29">
        <f>IFERROR(VLOOKUP(O53,W:X,2,FALSE),0)</f>
        <v>0</v>
      </c>
    </row>
    <row r="54" spans="1:16" ht="30" customHeight="1">
      <c r="A54" s="386" t="s">
        <v>1211</v>
      </c>
      <c r="B54" s="387" t="e">
        <f>VLOOKUP(F54,Average!GC:GE,3,FALSE)</f>
        <v>#N/A</v>
      </c>
      <c r="C54" s="411" t="str">
        <f>IFERROR(VLOOKUP(B54,Licenses!B:C,2,FALSE),"")</f>
        <v/>
      </c>
      <c r="D54" s="388"/>
      <c r="E54" s="388"/>
      <c r="F54" s="569" t="str">
        <f>CONCATENATE(F53,E53," ",L53)</f>
        <v xml:space="preserve">H </v>
      </c>
      <c r="G54" s="412">
        <f>SUM(P53)</f>
        <v>0</v>
      </c>
      <c r="H54" s="389" t="s">
        <v>1211</v>
      </c>
      <c r="I54" s="390" t="e">
        <f>VLOOKUP(M54,Average!GC:GE,3,FALSE)</f>
        <v>#N/A</v>
      </c>
      <c r="J54" s="411" t="str">
        <f>IFERROR(VLOOKUP(I54,Licenses!B:C,2,FALSE),"")</f>
        <v/>
      </c>
      <c r="K54" s="388"/>
      <c r="L54" s="388"/>
      <c r="M54" s="569" t="str">
        <f>CONCATENATE(M53,E53," ",L53)</f>
        <v xml:space="preserve">G </v>
      </c>
    </row>
    <row r="55" spans="1:16" ht="30" customHeight="1" thickBot="1">
      <c r="A55" s="386" t="str">
        <f>IF(E53="D","Spieler 2. :","")</f>
        <v/>
      </c>
      <c r="B55" s="387" t="str">
        <f>IF(E53="D",VLOOKUP(F55,Average!GC:GE,3,FALSE),"")</f>
        <v/>
      </c>
      <c r="C55" s="411" t="str">
        <f>IF(B55="","",VLOOKUP(B55,Licenses!B:C,2,FALSE))</f>
        <v/>
      </c>
      <c r="D55" s="391"/>
      <c r="E55" s="391"/>
      <c r="F55" s="392" t="str">
        <f>IF(E53="D",CONCATENATE(F53,E53," ",L53,".",2),"")</f>
        <v/>
      </c>
      <c r="G55" s="570"/>
      <c r="H55" s="389" t="str">
        <f>IF(E53="D","Spieler 2. :","")</f>
        <v/>
      </c>
      <c r="I55" s="390" t="str">
        <f>IF(E53="D",VLOOKUP(M55,Average!GC:GE,3,FALSE),"")</f>
        <v/>
      </c>
      <c r="J55" s="411" t="str">
        <f>IFERROR(VLOOKUP(I55,Licenses!B:C,2,FALSE),"")</f>
        <v/>
      </c>
      <c r="K55" s="391"/>
      <c r="L55" s="391"/>
      <c r="M55" s="392" t="str">
        <f>IF(E53="D",CONCATENATE(M53,E53," ",L53,".",2),"")</f>
        <v/>
      </c>
    </row>
    <row r="56" spans="1:16" ht="15.75" thickBot="1">
      <c r="A56" s="393" t="s">
        <v>863</v>
      </c>
      <c r="B56" s="394" t="str">
        <f>CONCATENATE(F53,E53," ",L53)</f>
        <v xml:space="preserve">H </v>
      </c>
      <c r="C56" s="394" t="s">
        <v>1212</v>
      </c>
      <c r="D56" s="395" t="str">
        <f>REPT('Matchblatt  FEUILLE DE MATCH'!$P$11,1)</f>
        <v>2425R10?</v>
      </c>
      <c r="E56" s="396"/>
      <c r="F56" s="397"/>
      <c r="H56" s="393" t="s">
        <v>863</v>
      </c>
      <c r="I56" s="394" t="str">
        <f>CONCATENATE(M53,E53," ",L53)</f>
        <v xml:space="preserve">G </v>
      </c>
      <c r="J56" s="394" t="s">
        <v>1212</v>
      </c>
      <c r="K56" s="395" t="str">
        <f>REPT('Matchblatt  FEUILLE DE MATCH'!$P$11,1)</f>
        <v>2425R10?</v>
      </c>
      <c r="L56" s="396"/>
      <c r="M56" s="397"/>
    </row>
    <row r="57" spans="1:16" s="565" customFormat="1" ht="24.75" customHeight="1">
      <c r="A57" s="562" t="s">
        <v>864</v>
      </c>
      <c r="B57" s="563" t="s">
        <v>888</v>
      </c>
      <c r="C57" s="563" t="s">
        <v>868</v>
      </c>
      <c r="D57" s="563" t="s">
        <v>1213</v>
      </c>
      <c r="E57" s="563">
        <v>180</v>
      </c>
      <c r="F57" s="564" t="s">
        <v>964</v>
      </c>
      <c r="H57" s="566" t="s">
        <v>864</v>
      </c>
      <c r="I57" s="567" t="s">
        <v>888</v>
      </c>
      <c r="J57" s="567" t="s">
        <v>868</v>
      </c>
      <c r="K57" s="567" t="s">
        <v>1213</v>
      </c>
      <c r="L57" s="567">
        <v>180</v>
      </c>
      <c r="M57" s="568" t="s">
        <v>964</v>
      </c>
    </row>
    <row r="58" spans="1:16" ht="38.1" customHeight="1">
      <c r="A58" s="407">
        <v>1</v>
      </c>
      <c r="B58" s="398"/>
      <c r="C58" s="399"/>
      <c r="D58" s="399"/>
      <c r="E58" s="399"/>
      <c r="F58" s="400"/>
      <c r="G58" s="641" t="str">
        <f>IF(G54="","",CONCATENATE(A56," ",G54))</f>
        <v>Spiel 0</v>
      </c>
      <c r="H58" s="409">
        <v>1</v>
      </c>
      <c r="I58" s="398"/>
      <c r="J58" s="399"/>
      <c r="K58" s="399"/>
      <c r="L58" s="399"/>
      <c r="M58" s="400"/>
    </row>
    <row r="59" spans="1:16" ht="38.1" customHeight="1">
      <c r="A59" s="407">
        <v>2</v>
      </c>
      <c r="B59" s="398"/>
      <c r="C59" s="399"/>
      <c r="D59" s="399"/>
      <c r="E59" s="399"/>
      <c r="F59" s="400"/>
      <c r="G59" s="641"/>
      <c r="H59" s="409">
        <v>2</v>
      </c>
      <c r="I59" s="398"/>
      <c r="J59" s="399"/>
      <c r="K59" s="399"/>
      <c r="L59" s="399"/>
      <c r="M59" s="400"/>
    </row>
    <row r="60" spans="1:16" ht="38.1" customHeight="1">
      <c r="A60" s="407">
        <v>3</v>
      </c>
      <c r="B60" s="398"/>
      <c r="C60" s="399"/>
      <c r="D60" s="399"/>
      <c r="E60" s="399"/>
      <c r="F60" s="400"/>
      <c r="G60" s="641"/>
      <c r="H60" s="409">
        <v>3</v>
      </c>
      <c r="I60" s="398"/>
      <c r="J60" s="399"/>
      <c r="K60" s="399"/>
      <c r="L60" s="399"/>
      <c r="M60" s="400"/>
    </row>
    <row r="61" spans="1:16" ht="38.1" customHeight="1">
      <c r="A61" s="407">
        <v>4</v>
      </c>
      <c r="B61" s="399"/>
      <c r="C61" s="399"/>
      <c r="D61" s="399"/>
      <c r="E61" s="399"/>
      <c r="F61" s="400"/>
      <c r="G61" s="641"/>
      <c r="H61" s="409">
        <v>4</v>
      </c>
      <c r="I61" s="399"/>
      <c r="J61" s="399"/>
      <c r="K61" s="399"/>
      <c r="L61" s="399"/>
      <c r="M61" s="400"/>
    </row>
    <row r="62" spans="1:16" ht="38.1" customHeight="1" thickBot="1">
      <c r="A62" s="408">
        <v>5</v>
      </c>
      <c r="B62" s="401"/>
      <c r="C62" s="401"/>
      <c r="D62" s="401"/>
      <c r="E62" s="401"/>
      <c r="F62" s="402"/>
      <c r="H62" s="410">
        <v>5</v>
      </c>
      <c r="I62" s="401"/>
      <c r="J62" s="401"/>
      <c r="K62" s="401"/>
      <c r="L62" s="401"/>
      <c r="M62" s="402"/>
    </row>
    <row r="63" spans="1:16" ht="5.0999999999999996" customHeight="1">
      <c r="A63" s="403"/>
      <c r="B63" s="404"/>
      <c r="C63" s="404"/>
      <c r="D63" s="404"/>
      <c r="E63" s="404"/>
      <c r="F63" s="404"/>
      <c r="G63" s="404"/>
      <c r="H63" s="404"/>
      <c r="I63" s="404"/>
      <c r="J63" s="404"/>
      <c r="K63" s="404"/>
      <c r="L63" s="404"/>
      <c r="M63" s="404"/>
    </row>
    <row r="64" spans="1:16" ht="5.0999999999999996" customHeight="1" thickBot="1"/>
    <row r="65" spans="1:16" ht="24.95" customHeight="1" thickBot="1">
      <c r="A65" s="405" t="str">
        <f>REPT('Heimmannschaft MAISON'!$I$3,1)</f>
        <v>select Heim - Team</v>
      </c>
      <c r="B65" s="381"/>
      <c r="C65" s="381"/>
      <c r="D65" s="381"/>
      <c r="E65" s="382" t="str">
        <f>IFERROR(VLOOKUP(G66,Chema!R:S,2,FALSE),"")</f>
        <v/>
      </c>
      <c r="F65" s="383" t="s">
        <v>894</v>
      </c>
      <c r="G65" s="571" t="str">
        <f>IF(G66="","",CONCATENATE(A68," ",G66))</f>
        <v>Spiel 0</v>
      </c>
      <c r="H65" s="406" t="str">
        <f>REPT('Gastmannschaft EXTERIEUR'!$I$3,1)</f>
        <v>Gast</v>
      </c>
      <c r="I65" s="384"/>
      <c r="J65" s="384"/>
      <c r="K65" s="384"/>
      <c r="L65" s="384" t="str">
        <f>IFERROR(VLOOKUP(G66,Chema!R:T,3,FALSE),"")</f>
        <v/>
      </c>
      <c r="M65" s="385" t="s">
        <v>895</v>
      </c>
      <c r="O65" s="29">
        <v>6</v>
      </c>
      <c r="P65" s="29">
        <f>IFERROR(VLOOKUP(O65,W:X,2,FALSE),0)</f>
        <v>0</v>
      </c>
    </row>
    <row r="66" spans="1:16" ht="30" customHeight="1">
      <c r="A66" s="386" t="s">
        <v>1211</v>
      </c>
      <c r="B66" s="387" t="e">
        <f>VLOOKUP(F66,Average!GC:GE,3,FALSE)</f>
        <v>#N/A</v>
      </c>
      <c r="C66" s="411" t="str">
        <f>IFERROR(VLOOKUP(B66,Licenses!B:C,2,FALSE),"")</f>
        <v/>
      </c>
      <c r="D66" s="388"/>
      <c r="E66" s="388"/>
      <c r="F66" s="569" t="str">
        <f>CONCATENATE(F65,E65," ",L65)</f>
        <v xml:space="preserve">H </v>
      </c>
      <c r="G66" s="412">
        <f>SUM(P65)</f>
        <v>0</v>
      </c>
      <c r="H66" s="389" t="s">
        <v>1211</v>
      </c>
      <c r="I66" s="390" t="e">
        <f>VLOOKUP(M66,Average!GC:GE,3,FALSE)</f>
        <v>#N/A</v>
      </c>
      <c r="J66" s="411" t="str">
        <f>IFERROR(VLOOKUP(I66,Licenses!B:C,2,FALSE),"")</f>
        <v/>
      </c>
      <c r="K66" s="388"/>
      <c r="L66" s="388"/>
      <c r="M66" s="569" t="str">
        <f>CONCATENATE(M65,E65," ",L65)</f>
        <v xml:space="preserve">G </v>
      </c>
    </row>
    <row r="67" spans="1:16" ht="30" customHeight="1" thickBot="1">
      <c r="A67" s="386" t="str">
        <f>IF(E65="D","Spieler 2. :","")</f>
        <v/>
      </c>
      <c r="B67" s="387" t="str">
        <f>IF(E65="D",VLOOKUP(F67,Average!GC:GE,3,FALSE),"")</f>
        <v/>
      </c>
      <c r="C67" s="411" t="str">
        <f>IF(B67="","",VLOOKUP(B67,Licenses!B:C,2,FALSE))</f>
        <v/>
      </c>
      <c r="D67" s="391"/>
      <c r="E67" s="391"/>
      <c r="F67" s="392" t="str">
        <f>IF(E65="D",CONCATENATE(F65,E65," ",L65,".",2),"")</f>
        <v/>
      </c>
      <c r="G67" s="570"/>
      <c r="H67" s="389" t="str">
        <f>IF(E65="D","Spieler 2. :","")</f>
        <v/>
      </c>
      <c r="I67" s="390" t="str">
        <f>IF(E65="D",VLOOKUP(M67,Average!GC:GE,3,FALSE),"")</f>
        <v/>
      </c>
      <c r="J67" s="411" t="str">
        <f>IFERROR(VLOOKUP(I67,Licenses!B:C,2,FALSE),"")</f>
        <v/>
      </c>
      <c r="K67" s="391"/>
      <c r="L67" s="391"/>
      <c r="M67" s="392" t="str">
        <f>IF(E65="D",CONCATENATE(M65,E65," ",L65,".",2),"")</f>
        <v/>
      </c>
    </row>
    <row r="68" spans="1:16" ht="15.75" thickBot="1">
      <c r="A68" s="393" t="s">
        <v>863</v>
      </c>
      <c r="B68" s="394" t="str">
        <f>CONCATENATE(F65,E65," ",L65)</f>
        <v xml:space="preserve">H </v>
      </c>
      <c r="C68" s="394" t="s">
        <v>1212</v>
      </c>
      <c r="D68" s="395" t="str">
        <f>REPT('Matchblatt  FEUILLE DE MATCH'!$P$11,1)</f>
        <v>2425R10?</v>
      </c>
      <c r="E68" s="396"/>
      <c r="F68" s="397"/>
      <c r="H68" s="393" t="s">
        <v>863</v>
      </c>
      <c r="I68" s="394" t="str">
        <f>CONCATENATE(M65,E65," ",L65)</f>
        <v xml:space="preserve">G </v>
      </c>
      <c r="J68" s="394" t="s">
        <v>1212</v>
      </c>
      <c r="K68" s="395" t="str">
        <f>REPT('Matchblatt  FEUILLE DE MATCH'!$P$11,1)</f>
        <v>2425R10?</v>
      </c>
      <c r="L68" s="396"/>
      <c r="M68" s="397"/>
    </row>
    <row r="69" spans="1:16" s="565" customFormat="1" ht="24.95" customHeight="1">
      <c r="A69" s="562" t="s">
        <v>864</v>
      </c>
      <c r="B69" s="563" t="s">
        <v>888</v>
      </c>
      <c r="C69" s="563" t="s">
        <v>868</v>
      </c>
      <c r="D69" s="563" t="s">
        <v>1213</v>
      </c>
      <c r="E69" s="563">
        <v>180</v>
      </c>
      <c r="F69" s="564" t="s">
        <v>964</v>
      </c>
      <c r="H69" s="566" t="s">
        <v>864</v>
      </c>
      <c r="I69" s="567" t="s">
        <v>888</v>
      </c>
      <c r="J69" s="567" t="s">
        <v>868</v>
      </c>
      <c r="K69" s="567" t="s">
        <v>1213</v>
      </c>
      <c r="L69" s="567">
        <v>180</v>
      </c>
      <c r="M69" s="568" t="s">
        <v>964</v>
      </c>
    </row>
    <row r="70" spans="1:16" ht="38.1" customHeight="1">
      <c r="A70" s="407">
        <v>1</v>
      </c>
      <c r="B70" s="398"/>
      <c r="C70" s="399"/>
      <c r="D70" s="399"/>
      <c r="E70" s="399"/>
      <c r="F70" s="400"/>
      <c r="G70" s="641" t="str">
        <f>IF(G66="","",CONCATENATE(A68," ",G66))</f>
        <v>Spiel 0</v>
      </c>
      <c r="H70" s="409">
        <v>1</v>
      </c>
      <c r="I70" s="398"/>
      <c r="J70" s="399"/>
      <c r="K70" s="399"/>
      <c r="L70" s="399"/>
      <c r="M70" s="400"/>
    </row>
    <row r="71" spans="1:16" ht="38.1" customHeight="1">
      <c r="A71" s="407">
        <v>2</v>
      </c>
      <c r="B71" s="398"/>
      <c r="C71" s="399"/>
      <c r="D71" s="399"/>
      <c r="E71" s="399"/>
      <c r="F71" s="400"/>
      <c r="G71" s="641"/>
      <c r="H71" s="409">
        <v>2</v>
      </c>
      <c r="I71" s="398"/>
      <c r="J71" s="399"/>
      <c r="K71" s="399"/>
      <c r="L71" s="399"/>
      <c r="M71" s="400"/>
    </row>
    <row r="72" spans="1:16" ht="38.1" customHeight="1">
      <c r="A72" s="407">
        <v>3</v>
      </c>
      <c r="B72" s="398"/>
      <c r="C72" s="399"/>
      <c r="D72" s="399"/>
      <c r="E72" s="399"/>
      <c r="F72" s="400"/>
      <c r="G72" s="641"/>
      <c r="H72" s="409">
        <v>3</v>
      </c>
      <c r="I72" s="398"/>
      <c r="J72" s="399"/>
      <c r="K72" s="399"/>
      <c r="L72" s="399"/>
      <c r="M72" s="400"/>
    </row>
    <row r="73" spans="1:16" ht="38.1" customHeight="1">
      <c r="A73" s="407">
        <v>4</v>
      </c>
      <c r="B73" s="399"/>
      <c r="C73" s="399"/>
      <c r="D73" s="399"/>
      <c r="E73" s="399"/>
      <c r="F73" s="400"/>
      <c r="G73" s="641"/>
      <c r="H73" s="409">
        <v>4</v>
      </c>
      <c r="I73" s="399"/>
      <c r="J73" s="399"/>
      <c r="K73" s="399"/>
      <c r="L73" s="399"/>
      <c r="M73" s="400"/>
    </row>
    <row r="74" spans="1:16" ht="38.1" customHeight="1" thickBot="1">
      <c r="A74" s="408">
        <v>5</v>
      </c>
      <c r="B74" s="401"/>
      <c r="C74" s="401"/>
      <c r="D74" s="401"/>
      <c r="E74" s="401"/>
      <c r="F74" s="402"/>
      <c r="H74" s="410">
        <v>5</v>
      </c>
      <c r="I74" s="401"/>
      <c r="J74" s="401"/>
      <c r="K74" s="401"/>
      <c r="L74" s="401"/>
      <c r="M74" s="402"/>
    </row>
    <row r="75" spans="1:16" ht="5.0999999999999996" customHeight="1">
      <c r="A75" s="403"/>
      <c r="B75" s="404"/>
      <c r="C75" s="404"/>
      <c r="D75" s="404"/>
      <c r="E75" s="404"/>
      <c r="F75" s="404"/>
      <c r="G75" s="404"/>
      <c r="H75" s="404"/>
      <c r="I75" s="404"/>
      <c r="J75" s="404"/>
      <c r="K75" s="404"/>
      <c r="L75" s="404"/>
      <c r="M75" s="404"/>
    </row>
    <row r="76" spans="1:16" ht="5.0999999999999996" customHeight="1" thickBot="1"/>
    <row r="77" spans="1:16" ht="24.95" customHeight="1" thickBot="1">
      <c r="A77" s="405" t="str">
        <f>REPT('Heimmannschaft MAISON'!$I$3,1)</f>
        <v>select Heim - Team</v>
      </c>
      <c r="B77" s="381"/>
      <c r="C77" s="381"/>
      <c r="D77" s="381"/>
      <c r="E77" s="382" t="str">
        <f>IFERROR(VLOOKUP(G78,Chema!R:S,2,FALSE),"")</f>
        <v/>
      </c>
      <c r="F77" s="383" t="s">
        <v>894</v>
      </c>
      <c r="G77" s="571" t="str">
        <f>IF(G78="","",CONCATENATE(A80," ",G78))</f>
        <v>Spiel 0</v>
      </c>
      <c r="H77" s="406" t="str">
        <f>REPT('Gastmannschaft EXTERIEUR'!$I$3,1)</f>
        <v>Gast</v>
      </c>
      <c r="I77" s="384"/>
      <c r="J77" s="384"/>
      <c r="K77" s="384"/>
      <c r="L77" s="384" t="str">
        <f>IFERROR(VLOOKUP(G78,Chema!R:T,3,FALSE),"")</f>
        <v/>
      </c>
      <c r="M77" s="385" t="s">
        <v>895</v>
      </c>
      <c r="O77" s="29">
        <v>7</v>
      </c>
      <c r="P77" s="29">
        <f>IFERROR(VLOOKUP(O77,W:X,2,FALSE),0)</f>
        <v>0</v>
      </c>
    </row>
    <row r="78" spans="1:16" ht="30" customHeight="1">
      <c r="A78" s="386" t="s">
        <v>1211</v>
      </c>
      <c r="B78" s="387" t="e">
        <f>VLOOKUP(F78,Average!GC:GE,3,FALSE)</f>
        <v>#N/A</v>
      </c>
      <c r="C78" s="411" t="str">
        <f>IFERROR(VLOOKUP(B78,Licenses!B:C,2,FALSE),"")</f>
        <v/>
      </c>
      <c r="D78" s="388"/>
      <c r="E78" s="388"/>
      <c r="F78" s="569" t="str">
        <f>CONCATENATE(F77,E77," ",L77)</f>
        <v xml:space="preserve">H </v>
      </c>
      <c r="G78" s="412">
        <f>SUM(P77)</f>
        <v>0</v>
      </c>
      <c r="H78" s="389" t="s">
        <v>1211</v>
      </c>
      <c r="I78" s="390" t="e">
        <f>VLOOKUP(M78,Average!GC:GE,3,FALSE)</f>
        <v>#N/A</v>
      </c>
      <c r="J78" s="411" t="str">
        <f>IFERROR(VLOOKUP(I78,Licenses!B:C,2,FALSE),"")</f>
        <v/>
      </c>
      <c r="K78" s="388"/>
      <c r="L78" s="388"/>
      <c r="M78" s="569" t="str">
        <f>CONCATENATE(M77,E77," ",L77)</f>
        <v xml:space="preserve">G </v>
      </c>
    </row>
    <row r="79" spans="1:16" ht="30" customHeight="1" thickBot="1">
      <c r="A79" s="386" t="str">
        <f>IF(E77="D","Spieler 2. :","")</f>
        <v/>
      </c>
      <c r="B79" s="387" t="str">
        <f>IF(E77="D",VLOOKUP(F79,Average!GC:GE,3,FALSE),"")</f>
        <v/>
      </c>
      <c r="C79" s="411" t="str">
        <f>IF(B79="","",VLOOKUP(B79,Licenses!B:C,2,FALSE))</f>
        <v/>
      </c>
      <c r="D79" s="391"/>
      <c r="E79" s="391"/>
      <c r="F79" s="392" t="str">
        <f>IF(E77="D",CONCATENATE(F77,E77," ",L77,".",2),"")</f>
        <v/>
      </c>
      <c r="G79" s="570"/>
      <c r="H79" s="389" t="str">
        <f>IF(E77="D","Spieler 2. :","")</f>
        <v/>
      </c>
      <c r="I79" s="390" t="str">
        <f>IF(E77="D",VLOOKUP(M79,Average!GC:GE,3,FALSE),"")</f>
        <v/>
      </c>
      <c r="J79" s="411" t="str">
        <f>IFERROR(VLOOKUP(I79,Licenses!B:C,2,FALSE),"")</f>
        <v/>
      </c>
      <c r="K79" s="391"/>
      <c r="L79" s="391"/>
      <c r="M79" s="392" t="str">
        <f>IF(E77="D",CONCATENATE(M77,E77," ",L77,".",2),"")</f>
        <v/>
      </c>
    </row>
    <row r="80" spans="1:16" ht="15.75" thickBot="1">
      <c r="A80" s="393" t="s">
        <v>863</v>
      </c>
      <c r="B80" s="394" t="str">
        <f>CONCATENATE(F77,E77," ",L77)</f>
        <v xml:space="preserve">H </v>
      </c>
      <c r="C80" s="394" t="s">
        <v>1212</v>
      </c>
      <c r="D80" s="395" t="str">
        <f>REPT('Matchblatt  FEUILLE DE MATCH'!$P$11,1)</f>
        <v>2425R10?</v>
      </c>
      <c r="E80" s="396"/>
      <c r="F80" s="397"/>
      <c r="H80" s="393" t="s">
        <v>863</v>
      </c>
      <c r="I80" s="394" t="str">
        <f>CONCATENATE(M77,E77," ",L77)</f>
        <v xml:space="preserve">G </v>
      </c>
      <c r="J80" s="394" t="s">
        <v>1212</v>
      </c>
      <c r="K80" s="395" t="str">
        <f>REPT('Matchblatt  FEUILLE DE MATCH'!$P$11,1)</f>
        <v>2425R10?</v>
      </c>
      <c r="L80" s="396"/>
      <c r="M80" s="397"/>
    </row>
    <row r="81" spans="1:16" s="565" customFormat="1" ht="24.95" customHeight="1">
      <c r="A81" s="562" t="s">
        <v>864</v>
      </c>
      <c r="B81" s="563" t="s">
        <v>888</v>
      </c>
      <c r="C81" s="563" t="s">
        <v>868</v>
      </c>
      <c r="D81" s="563" t="s">
        <v>1213</v>
      </c>
      <c r="E81" s="563">
        <v>180</v>
      </c>
      <c r="F81" s="564" t="s">
        <v>964</v>
      </c>
      <c r="H81" s="566" t="s">
        <v>864</v>
      </c>
      <c r="I81" s="567" t="s">
        <v>888</v>
      </c>
      <c r="J81" s="567" t="s">
        <v>868</v>
      </c>
      <c r="K81" s="567" t="s">
        <v>1213</v>
      </c>
      <c r="L81" s="567">
        <v>180</v>
      </c>
      <c r="M81" s="568" t="s">
        <v>964</v>
      </c>
    </row>
    <row r="82" spans="1:16" ht="38.1" customHeight="1">
      <c r="A82" s="407">
        <v>1</v>
      </c>
      <c r="B82" s="398"/>
      <c r="C82" s="399"/>
      <c r="D82" s="399"/>
      <c r="E82" s="399"/>
      <c r="F82" s="400"/>
      <c r="G82" s="641" t="str">
        <f>IF(G78="","",CONCATENATE(A80," ",G78))</f>
        <v>Spiel 0</v>
      </c>
      <c r="H82" s="409">
        <v>1</v>
      </c>
      <c r="I82" s="398"/>
      <c r="J82" s="399"/>
      <c r="K82" s="399"/>
      <c r="L82" s="399"/>
      <c r="M82" s="400"/>
    </row>
    <row r="83" spans="1:16" ht="38.1" customHeight="1">
      <c r="A83" s="407">
        <v>2</v>
      </c>
      <c r="B83" s="398"/>
      <c r="C83" s="399"/>
      <c r="D83" s="399"/>
      <c r="E83" s="399"/>
      <c r="F83" s="400"/>
      <c r="G83" s="641"/>
      <c r="H83" s="409">
        <v>2</v>
      </c>
      <c r="I83" s="398"/>
      <c r="J83" s="399"/>
      <c r="K83" s="399"/>
      <c r="L83" s="399"/>
      <c r="M83" s="400"/>
    </row>
    <row r="84" spans="1:16" ht="38.1" customHeight="1">
      <c r="A84" s="407">
        <v>3</v>
      </c>
      <c r="B84" s="398"/>
      <c r="C84" s="399"/>
      <c r="D84" s="399"/>
      <c r="E84" s="399"/>
      <c r="F84" s="400"/>
      <c r="G84" s="641"/>
      <c r="H84" s="409">
        <v>3</v>
      </c>
      <c r="I84" s="398"/>
      <c r="J84" s="399"/>
      <c r="K84" s="399"/>
      <c r="L84" s="399"/>
      <c r="M84" s="400"/>
    </row>
    <row r="85" spans="1:16" ht="38.1" customHeight="1">
      <c r="A85" s="407">
        <v>4</v>
      </c>
      <c r="B85" s="399"/>
      <c r="C85" s="399"/>
      <c r="D85" s="399"/>
      <c r="E85" s="399"/>
      <c r="F85" s="400"/>
      <c r="G85" s="641"/>
      <c r="H85" s="409">
        <v>4</v>
      </c>
      <c r="I85" s="399"/>
      <c r="J85" s="399"/>
      <c r="K85" s="399"/>
      <c r="L85" s="399"/>
      <c r="M85" s="400"/>
    </row>
    <row r="86" spans="1:16" ht="38.1" customHeight="1" thickBot="1">
      <c r="A86" s="408">
        <v>5</v>
      </c>
      <c r="B86" s="401"/>
      <c r="C86" s="401"/>
      <c r="D86" s="401"/>
      <c r="E86" s="401"/>
      <c r="F86" s="402"/>
      <c r="H86" s="410">
        <v>5</v>
      </c>
      <c r="I86" s="401"/>
      <c r="J86" s="401"/>
      <c r="K86" s="401"/>
      <c r="L86" s="401"/>
      <c r="M86" s="402"/>
    </row>
    <row r="87" spans="1:16" ht="5.0999999999999996" customHeight="1">
      <c r="A87" s="403"/>
      <c r="B87" s="404"/>
      <c r="C87" s="404"/>
      <c r="D87" s="404"/>
      <c r="E87" s="404"/>
      <c r="F87" s="404"/>
      <c r="G87" s="404"/>
      <c r="H87" s="404"/>
      <c r="I87" s="404"/>
      <c r="J87" s="404"/>
      <c r="K87" s="404"/>
      <c r="L87" s="404"/>
      <c r="M87" s="404"/>
    </row>
    <row r="88" spans="1:16" ht="5.0999999999999996" customHeight="1" thickBot="1"/>
    <row r="89" spans="1:16" ht="24.95" customHeight="1" thickBot="1">
      <c r="A89" s="405" t="str">
        <f>REPT('Heimmannschaft MAISON'!$I$3,1)</f>
        <v>select Heim - Team</v>
      </c>
      <c r="B89" s="381"/>
      <c r="C89" s="381"/>
      <c r="D89" s="381"/>
      <c r="E89" s="382" t="str">
        <f>IFERROR(VLOOKUP(G90,Chema!R:S,2,FALSE),"")</f>
        <v/>
      </c>
      <c r="F89" s="383" t="s">
        <v>894</v>
      </c>
      <c r="G89" s="571" t="str">
        <f>IF(G90="","",CONCATENATE(A92," ",G90))</f>
        <v>Spiel 0</v>
      </c>
      <c r="H89" s="406" t="str">
        <f>REPT('Gastmannschaft EXTERIEUR'!$I$3,1)</f>
        <v>Gast</v>
      </c>
      <c r="I89" s="384"/>
      <c r="J89" s="384"/>
      <c r="K89" s="384"/>
      <c r="L89" s="384" t="str">
        <f>IFERROR(VLOOKUP(G90,Chema!R:T,3,FALSE),"")</f>
        <v/>
      </c>
      <c r="M89" s="385" t="s">
        <v>895</v>
      </c>
      <c r="O89" s="29">
        <v>8</v>
      </c>
      <c r="P89" s="29">
        <f>IFERROR(VLOOKUP(O89,W:X,2,FALSE),0)</f>
        <v>0</v>
      </c>
    </row>
    <row r="90" spans="1:16" ht="30" customHeight="1">
      <c r="A90" s="386" t="s">
        <v>1211</v>
      </c>
      <c r="B90" s="387" t="e">
        <f>VLOOKUP(F90,Average!GC:GE,3,FALSE)</f>
        <v>#N/A</v>
      </c>
      <c r="C90" s="411" t="str">
        <f>IFERROR(VLOOKUP(B90,Licenses!B:C,2,FALSE),"")</f>
        <v/>
      </c>
      <c r="D90" s="388"/>
      <c r="E90" s="388"/>
      <c r="F90" s="569" t="str">
        <f>CONCATENATE(F89,E89," ",L89)</f>
        <v xml:space="preserve">H </v>
      </c>
      <c r="G90" s="412">
        <f>SUM(P89)</f>
        <v>0</v>
      </c>
      <c r="H90" s="389" t="s">
        <v>1211</v>
      </c>
      <c r="I90" s="390" t="e">
        <f>VLOOKUP(M90,Average!GC:GE,3,FALSE)</f>
        <v>#N/A</v>
      </c>
      <c r="J90" s="411" t="str">
        <f>IFERROR(VLOOKUP(I90,Licenses!B:C,2,FALSE),"")</f>
        <v/>
      </c>
      <c r="K90" s="388"/>
      <c r="L90" s="388"/>
      <c r="M90" s="569" t="str">
        <f>CONCATENATE(M89,E89," ",L89)</f>
        <v xml:space="preserve">G </v>
      </c>
    </row>
    <row r="91" spans="1:16" ht="30" customHeight="1" thickBot="1">
      <c r="A91" s="386" t="str">
        <f>IF(E89="D","Spieler 2. :","")</f>
        <v/>
      </c>
      <c r="B91" s="387" t="str">
        <f>IF(E89="D",VLOOKUP(F91,Average!GC:GE,3,FALSE),"")</f>
        <v/>
      </c>
      <c r="C91" s="411" t="str">
        <f>IF(B91="","",VLOOKUP(B91,Licenses!B:C,2,FALSE))</f>
        <v/>
      </c>
      <c r="D91" s="391"/>
      <c r="E91" s="391"/>
      <c r="F91" s="392" t="str">
        <f>IF(E89="D",CONCATENATE(F89,E89," ",L89,".",2),"")</f>
        <v/>
      </c>
      <c r="G91" s="570"/>
      <c r="H91" s="389" t="str">
        <f>IF(E89="D","Spieler 2. :","")</f>
        <v/>
      </c>
      <c r="I91" s="390" t="str">
        <f>IF(E89="D",VLOOKUP(M91,Average!GC:GE,3,FALSE),"")</f>
        <v/>
      </c>
      <c r="J91" s="411" t="str">
        <f>IFERROR(VLOOKUP(I91,Licenses!B:C,2,FALSE),"")</f>
        <v/>
      </c>
      <c r="K91" s="391"/>
      <c r="L91" s="391"/>
      <c r="M91" s="392" t="str">
        <f>IF(E89="D",CONCATENATE(M89,E89," ",L89,".",2),"")</f>
        <v/>
      </c>
    </row>
    <row r="92" spans="1:16" ht="15.75" thickBot="1">
      <c r="A92" s="393" t="s">
        <v>863</v>
      </c>
      <c r="B92" s="394" t="str">
        <f>CONCATENATE(F89,E89," ",L89)</f>
        <v xml:space="preserve">H </v>
      </c>
      <c r="C92" s="394" t="s">
        <v>1212</v>
      </c>
      <c r="D92" s="395" t="str">
        <f>REPT('Matchblatt  FEUILLE DE MATCH'!$P$11,1)</f>
        <v>2425R10?</v>
      </c>
      <c r="E92" s="396"/>
      <c r="F92" s="397"/>
      <c r="H92" s="393" t="s">
        <v>863</v>
      </c>
      <c r="I92" s="394" t="str">
        <f>CONCATENATE(M89,E89," ",L89)</f>
        <v xml:space="preserve">G </v>
      </c>
      <c r="J92" s="394" t="s">
        <v>1212</v>
      </c>
      <c r="K92" s="395" t="str">
        <f>REPT('Matchblatt  FEUILLE DE MATCH'!$P$11,1)</f>
        <v>2425R10?</v>
      </c>
      <c r="L92" s="396"/>
      <c r="M92" s="397"/>
    </row>
    <row r="93" spans="1:16" s="565" customFormat="1" ht="24.95" customHeight="1">
      <c r="A93" s="562" t="s">
        <v>864</v>
      </c>
      <c r="B93" s="563" t="s">
        <v>888</v>
      </c>
      <c r="C93" s="563" t="s">
        <v>868</v>
      </c>
      <c r="D93" s="563" t="s">
        <v>1213</v>
      </c>
      <c r="E93" s="563">
        <v>180</v>
      </c>
      <c r="F93" s="564" t="s">
        <v>964</v>
      </c>
      <c r="H93" s="566" t="s">
        <v>864</v>
      </c>
      <c r="I93" s="567" t="s">
        <v>888</v>
      </c>
      <c r="J93" s="567" t="s">
        <v>868</v>
      </c>
      <c r="K93" s="567" t="s">
        <v>1213</v>
      </c>
      <c r="L93" s="567">
        <v>180</v>
      </c>
      <c r="M93" s="568" t="s">
        <v>964</v>
      </c>
    </row>
    <row r="94" spans="1:16" ht="38.1" customHeight="1">
      <c r="A94" s="407">
        <v>1</v>
      </c>
      <c r="B94" s="398"/>
      <c r="C94" s="399"/>
      <c r="D94" s="399"/>
      <c r="E94" s="399"/>
      <c r="F94" s="400"/>
      <c r="G94" s="641" t="str">
        <f>IF(G90="","",CONCATENATE(A92," ",G90))</f>
        <v>Spiel 0</v>
      </c>
      <c r="H94" s="409">
        <v>1</v>
      </c>
      <c r="I94" s="398"/>
      <c r="J94" s="399"/>
      <c r="K94" s="399"/>
      <c r="L94" s="399"/>
      <c r="M94" s="400"/>
    </row>
    <row r="95" spans="1:16" ht="38.1" customHeight="1">
      <c r="A95" s="407">
        <v>2</v>
      </c>
      <c r="B95" s="398"/>
      <c r="C95" s="399"/>
      <c r="D95" s="399"/>
      <c r="E95" s="399"/>
      <c r="F95" s="400"/>
      <c r="G95" s="641"/>
      <c r="H95" s="409">
        <v>2</v>
      </c>
      <c r="I95" s="398"/>
      <c r="J95" s="399"/>
      <c r="K95" s="399"/>
      <c r="L95" s="399"/>
      <c r="M95" s="400"/>
    </row>
    <row r="96" spans="1:16" ht="38.1" customHeight="1">
      <c r="A96" s="407">
        <v>3</v>
      </c>
      <c r="B96" s="398"/>
      <c r="C96" s="399"/>
      <c r="D96" s="399"/>
      <c r="E96" s="399"/>
      <c r="F96" s="400"/>
      <c r="G96" s="641"/>
      <c r="H96" s="409">
        <v>3</v>
      </c>
      <c r="I96" s="398"/>
      <c r="J96" s="399"/>
      <c r="K96" s="399"/>
      <c r="L96" s="399"/>
      <c r="M96" s="400"/>
    </row>
    <row r="97" spans="1:16" ht="38.1" customHeight="1">
      <c r="A97" s="407">
        <v>4</v>
      </c>
      <c r="B97" s="399"/>
      <c r="C97" s="399"/>
      <c r="D97" s="399"/>
      <c r="E97" s="399"/>
      <c r="F97" s="400"/>
      <c r="G97" s="641"/>
      <c r="H97" s="409">
        <v>4</v>
      </c>
      <c r="I97" s="399"/>
      <c r="J97" s="399"/>
      <c r="K97" s="399"/>
      <c r="L97" s="399"/>
      <c r="M97" s="400"/>
    </row>
    <row r="98" spans="1:16" ht="38.1" customHeight="1" thickBot="1">
      <c r="A98" s="408">
        <v>5</v>
      </c>
      <c r="B98" s="401"/>
      <c r="C98" s="401"/>
      <c r="D98" s="401"/>
      <c r="E98" s="401"/>
      <c r="F98" s="402"/>
      <c r="H98" s="410">
        <v>5</v>
      </c>
      <c r="I98" s="401"/>
      <c r="J98" s="401"/>
      <c r="K98" s="401"/>
      <c r="L98" s="401"/>
      <c r="M98" s="402"/>
    </row>
    <row r="99" spans="1:16" ht="5.0999999999999996" customHeight="1">
      <c r="A99" s="403"/>
      <c r="B99" s="404"/>
      <c r="C99" s="404"/>
      <c r="D99" s="404"/>
      <c r="E99" s="404"/>
      <c r="F99" s="404"/>
      <c r="G99" s="404"/>
      <c r="H99" s="404"/>
      <c r="I99" s="404"/>
      <c r="J99" s="404"/>
      <c r="K99" s="404"/>
      <c r="L99" s="404"/>
      <c r="M99" s="404"/>
    </row>
    <row r="100" spans="1:16" ht="5.0999999999999996" customHeight="1" thickBot="1"/>
    <row r="101" spans="1:16" ht="24.95" customHeight="1" thickBot="1">
      <c r="A101" s="405" t="str">
        <f>REPT('Heimmannschaft MAISON'!$I$3,1)</f>
        <v>select Heim - Team</v>
      </c>
      <c r="B101" s="381"/>
      <c r="C101" s="381"/>
      <c r="D101" s="381"/>
      <c r="E101" s="382" t="str">
        <f>IFERROR(VLOOKUP(G102,Chema!R:S,2,FALSE),"")</f>
        <v/>
      </c>
      <c r="F101" s="383" t="s">
        <v>894</v>
      </c>
      <c r="G101" s="571" t="str">
        <f>IF(G102="","",CONCATENATE(A104," ",G102))</f>
        <v>Spiel 0</v>
      </c>
      <c r="H101" s="406" t="str">
        <f>REPT('Gastmannschaft EXTERIEUR'!$I$3,1)</f>
        <v>Gast</v>
      </c>
      <c r="I101" s="384"/>
      <c r="J101" s="384"/>
      <c r="K101" s="384"/>
      <c r="L101" s="384" t="str">
        <f>IFERROR(VLOOKUP(G102,Chema!R:T,3,FALSE),"")</f>
        <v/>
      </c>
      <c r="M101" s="385" t="s">
        <v>895</v>
      </c>
      <c r="O101" s="29">
        <v>9</v>
      </c>
      <c r="P101" s="29">
        <f>IFERROR(VLOOKUP(O101,W:X,2,FALSE),0)</f>
        <v>0</v>
      </c>
    </row>
    <row r="102" spans="1:16" ht="30" customHeight="1">
      <c r="A102" s="386" t="s">
        <v>1211</v>
      </c>
      <c r="B102" s="387" t="e">
        <f>VLOOKUP(F102,Average!GC:GE,3,FALSE)</f>
        <v>#N/A</v>
      </c>
      <c r="C102" s="411" t="str">
        <f>IFERROR(VLOOKUP(B102,Licenses!B:C,2,FALSE),"")</f>
        <v/>
      </c>
      <c r="D102" s="388"/>
      <c r="E102" s="388"/>
      <c r="F102" s="569" t="str">
        <f>CONCATENATE(F101,E101," ",L101)</f>
        <v xml:space="preserve">H </v>
      </c>
      <c r="G102" s="412">
        <f>SUM(P101)</f>
        <v>0</v>
      </c>
      <c r="H102" s="389" t="s">
        <v>1211</v>
      </c>
      <c r="I102" s="390" t="e">
        <f>VLOOKUP(M102,Average!GC:GE,3,FALSE)</f>
        <v>#N/A</v>
      </c>
      <c r="J102" s="411" t="str">
        <f>IFERROR(VLOOKUP(I102,Licenses!B:C,2,FALSE),"")</f>
        <v/>
      </c>
      <c r="K102" s="388"/>
      <c r="L102" s="388"/>
      <c r="M102" s="569" t="str">
        <f>CONCATENATE(M101,E101," ",L101)</f>
        <v xml:space="preserve">G </v>
      </c>
    </row>
    <row r="103" spans="1:16" ht="30" customHeight="1" thickBot="1">
      <c r="A103" s="386" t="str">
        <f>IF(E101="D","Spieler 2. :","")</f>
        <v/>
      </c>
      <c r="B103" s="387" t="str">
        <f>IF(E101="D",VLOOKUP(F103,Average!GC:GE,3,FALSE),"")</f>
        <v/>
      </c>
      <c r="C103" s="411" t="str">
        <f>IF(B103="","",VLOOKUP(B103,Licenses!B:C,2,FALSE))</f>
        <v/>
      </c>
      <c r="D103" s="391"/>
      <c r="E103" s="391"/>
      <c r="F103" s="392" t="str">
        <f>IF(E101="D",CONCATENATE(F101,E101," ",L101,".",2),"")</f>
        <v/>
      </c>
      <c r="G103" s="570"/>
      <c r="H103" s="389" t="str">
        <f>IF(E101="D","Spieler 2. :","")</f>
        <v/>
      </c>
      <c r="I103" s="390" t="str">
        <f>IF(E101="D",VLOOKUP(M103,Average!GC:GE,3,FALSE),"")</f>
        <v/>
      </c>
      <c r="J103" s="411" t="str">
        <f>IFERROR(VLOOKUP(I103,Licenses!B:C,2,FALSE),"")</f>
        <v/>
      </c>
      <c r="K103" s="391"/>
      <c r="L103" s="391"/>
      <c r="M103" s="392" t="str">
        <f>IF(E101="D",CONCATENATE(M101,E101," ",L101,".",2),"")</f>
        <v/>
      </c>
    </row>
    <row r="104" spans="1:16" ht="15.75" thickBot="1">
      <c r="A104" s="393" t="s">
        <v>863</v>
      </c>
      <c r="B104" s="394" t="str">
        <f>CONCATENATE(F101,E101," ",L101)</f>
        <v xml:space="preserve">H </v>
      </c>
      <c r="C104" s="394" t="s">
        <v>1212</v>
      </c>
      <c r="D104" s="395" t="str">
        <f>REPT('Matchblatt  FEUILLE DE MATCH'!$P$11,1)</f>
        <v>2425R10?</v>
      </c>
      <c r="E104" s="396"/>
      <c r="F104" s="397"/>
      <c r="H104" s="393" t="s">
        <v>863</v>
      </c>
      <c r="I104" s="394" t="str">
        <f>CONCATENATE(M101,E101," ",L101)</f>
        <v xml:space="preserve">G </v>
      </c>
      <c r="J104" s="394" t="s">
        <v>1212</v>
      </c>
      <c r="K104" s="395" t="str">
        <f>REPT('Matchblatt  FEUILLE DE MATCH'!$P$11,1)</f>
        <v>2425R10?</v>
      </c>
      <c r="L104" s="396"/>
      <c r="M104" s="397"/>
    </row>
    <row r="105" spans="1:16" s="565" customFormat="1" ht="24.95" customHeight="1">
      <c r="A105" s="562" t="s">
        <v>864</v>
      </c>
      <c r="B105" s="563" t="s">
        <v>888</v>
      </c>
      <c r="C105" s="563" t="s">
        <v>868</v>
      </c>
      <c r="D105" s="563" t="s">
        <v>1213</v>
      </c>
      <c r="E105" s="563">
        <v>180</v>
      </c>
      <c r="F105" s="564" t="s">
        <v>964</v>
      </c>
      <c r="H105" s="566" t="s">
        <v>864</v>
      </c>
      <c r="I105" s="567" t="s">
        <v>888</v>
      </c>
      <c r="J105" s="567" t="s">
        <v>868</v>
      </c>
      <c r="K105" s="567" t="s">
        <v>1213</v>
      </c>
      <c r="L105" s="567">
        <v>180</v>
      </c>
      <c r="M105" s="568" t="s">
        <v>964</v>
      </c>
    </row>
    <row r="106" spans="1:16" ht="38.1" customHeight="1">
      <c r="A106" s="407">
        <v>1</v>
      </c>
      <c r="B106" s="398"/>
      <c r="C106" s="399"/>
      <c r="D106" s="399"/>
      <c r="E106" s="399"/>
      <c r="F106" s="400"/>
      <c r="G106" s="641" t="str">
        <f>IF(G102="","",CONCATENATE(A104," ",G102))</f>
        <v>Spiel 0</v>
      </c>
      <c r="H106" s="409">
        <v>1</v>
      </c>
      <c r="I106" s="398"/>
      <c r="J106" s="399"/>
      <c r="K106" s="399"/>
      <c r="L106" s="399"/>
      <c r="M106" s="400"/>
    </row>
    <row r="107" spans="1:16" ht="38.1" customHeight="1">
      <c r="A107" s="407">
        <v>2</v>
      </c>
      <c r="B107" s="398"/>
      <c r="C107" s="399"/>
      <c r="D107" s="399"/>
      <c r="E107" s="399"/>
      <c r="F107" s="400"/>
      <c r="G107" s="641"/>
      <c r="H107" s="409">
        <v>2</v>
      </c>
      <c r="I107" s="398"/>
      <c r="J107" s="399"/>
      <c r="K107" s="399"/>
      <c r="L107" s="399"/>
      <c r="M107" s="400"/>
    </row>
    <row r="108" spans="1:16" ht="38.1" customHeight="1">
      <c r="A108" s="407">
        <v>3</v>
      </c>
      <c r="B108" s="398"/>
      <c r="C108" s="399"/>
      <c r="D108" s="399"/>
      <c r="E108" s="399"/>
      <c r="F108" s="400"/>
      <c r="G108" s="641"/>
      <c r="H108" s="409">
        <v>3</v>
      </c>
      <c r="I108" s="398"/>
      <c r="J108" s="399"/>
      <c r="K108" s="399"/>
      <c r="L108" s="399"/>
      <c r="M108" s="400"/>
    </row>
    <row r="109" spans="1:16" ht="38.1" customHeight="1">
      <c r="A109" s="407">
        <v>4</v>
      </c>
      <c r="B109" s="399"/>
      <c r="C109" s="399"/>
      <c r="D109" s="399"/>
      <c r="E109" s="399"/>
      <c r="F109" s="400"/>
      <c r="G109" s="641"/>
      <c r="H109" s="409">
        <v>4</v>
      </c>
      <c r="I109" s="399"/>
      <c r="J109" s="399"/>
      <c r="K109" s="399"/>
      <c r="L109" s="399"/>
      <c r="M109" s="400"/>
    </row>
    <row r="110" spans="1:16" ht="38.1" customHeight="1" thickBot="1">
      <c r="A110" s="408">
        <v>5</v>
      </c>
      <c r="B110" s="401"/>
      <c r="C110" s="401"/>
      <c r="D110" s="401"/>
      <c r="E110" s="401"/>
      <c r="F110" s="402"/>
      <c r="H110" s="410">
        <v>5</v>
      </c>
      <c r="I110" s="401"/>
      <c r="J110" s="401"/>
      <c r="K110" s="401"/>
      <c r="L110" s="401"/>
      <c r="M110" s="402"/>
    </row>
    <row r="111" spans="1:16" ht="5.0999999999999996" customHeight="1">
      <c r="A111" s="403"/>
      <c r="B111" s="404"/>
      <c r="C111" s="404"/>
      <c r="D111" s="404"/>
      <c r="E111" s="404"/>
      <c r="F111" s="404"/>
      <c r="G111" s="404"/>
      <c r="H111" s="404"/>
      <c r="I111" s="404"/>
      <c r="J111" s="404"/>
      <c r="K111" s="404"/>
      <c r="L111" s="404"/>
      <c r="M111" s="404"/>
    </row>
    <row r="112" spans="1:16" ht="5.0999999999999996" customHeight="1" thickBot="1"/>
    <row r="113" spans="1:16" ht="24.95" customHeight="1" thickBot="1">
      <c r="A113" s="405" t="str">
        <f>REPT('Heimmannschaft MAISON'!$I$3,1)</f>
        <v>select Heim - Team</v>
      </c>
      <c r="B113" s="381"/>
      <c r="C113" s="381"/>
      <c r="D113" s="381"/>
      <c r="E113" s="382" t="str">
        <f>IFERROR(VLOOKUP(G114,Chema!R:S,2,FALSE),"")</f>
        <v/>
      </c>
      <c r="F113" s="383" t="s">
        <v>894</v>
      </c>
      <c r="G113" s="571" t="str">
        <f>IF(G114="","",CONCATENATE(A116," ",G114))</f>
        <v>Spiel 0</v>
      </c>
      <c r="H113" s="406" t="str">
        <f>REPT('Gastmannschaft EXTERIEUR'!$I$3,1)</f>
        <v>Gast</v>
      </c>
      <c r="I113" s="384"/>
      <c r="J113" s="384"/>
      <c r="K113" s="384"/>
      <c r="L113" s="384" t="str">
        <f>IFERROR(VLOOKUP(G114,Chema!R:T,3,FALSE),"")</f>
        <v/>
      </c>
      <c r="M113" s="385" t="s">
        <v>895</v>
      </c>
      <c r="O113" s="29">
        <v>10</v>
      </c>
      <c r="P113" s="29">
        <f>IFERROR(VLOOKUP(O113,W:X,2,FALSE),0)</f>
        <v>0</v>
      </c>
    </row>
    <row r="114" spans="1:16" ht="30" customHeight="1">
      <c r="A114" s="386" t="s">
        <v>1211</v>
      </c>
      <c r="B114" s="387" t="e">
        <f>VLOOKUP(F114,Average!GC:GE,3,FALSE)</f>
        <v>#N/A</v>
      </c>
      <c r="C114" s="411" t="str">
        <f>IFERROR(VLOOKUP(B114,Licenses!B:C,2,FALSE),"")</f>
        <v/>
      </c>
      <c r="D114" s="388"/>
      <c r="E114" s="388"/>
      <c r="F114" s="569" t="str">
        <f>CONCATENATE(F113,E113," ",L113)</f>
        <v xml:space="preserve">H </v>
      </c>
      <c r="G114" s="412">
        <f>SUM(P113)</f>
        <v>0</v>
      </c>
      <c r="H114" s="389" t="s">
        <v>1211</v>
      </c>
      <c r="I114" s="390" t="e">
        <f>VLOOKUP(M114,Average!GC:GE,3,FALSE)</f>
        <v>#N/A</v>
      </c>
      <c r="J114" s="411" t="str">
        <f>IFERROR(VLOOKUP(I114,Licenses!B:C,2,FALSE),"")</f>
        <v/>
      </c>
      <c r="K114" s="388"/>
      <c r="L114" s="388"/>
      <c r="M114" s="569" t="str">
        <f>CONCATENATE(M113,E113," ",L113)</f>
        <v xml:space="preserve">G </v>
      </c>
    </row>
    <row r="115" spans="1:16" ht="30" customHeight="1" thickBot="1">
      <c r="A115" s="386" t="str">
        <f>IF(E113="D","Spieler 2. :","")</f>
        <v/>
      </c>
      <c r="B115" s="387" t="str">
        <f>IF(E113="D",VLOOKUP(F115,Average!GC:GE,3,FALSE),"")</f>
        <v/>
      </c>
      <c r="C115" s="411" t="str">
        <f>IF(B115="","",VLOOKUP(B115,Licenses!B:C,2,FALSE))</f>
        <v/>
      </c>
      <c r="D115" s="391"/>
      <c r="E115" s="391"/>
      <c r="F115" s="392" t="str">
        <f>IF(E113="D",CONCATENATE(F113,E113," ",L113,".",2),"")</f>
        <v/>
      </c>
      <c r="G115" s="570"/>
      <c r="H115" s="389" t="str">
        <f>IF(E113="D","Spieler 2. :","")</f>
        <v/>
      </c>
      <c r="I115" s="390" t="str">
        <f>IF(E113="D",VLOOKUP(M115,Average!GC:GE,3,FALSE),"")</f>
        <v/>
      </c>
      <c r="J115" s="411" t="str">
        <f>IFERROR(VLOOKUP(I115,Licenses!B:C,2,FALSE),"")</f>
        <v/>
      </c>
      <c r="K115" s="391"/>
      <c r="L115" s="391"/>
      <c r="M115" s="392" t="str">
        <f>IF(E113="D",CONCATENATE(M113,E113," ",L113,".",2),"")</f>
        <v/>
      </c>
    </row>
    <row r="116" spans="1:16" ht="15.75" thickBot="1">
      <c r="A116" s="393" t="s">
        <v>863</v>
      </c>
      <c r="B116" s="394" t="str">
        <f>CONCATENATE(F113,E113," ",L113)</f>
        <v xml:space="preserve">H </v>
      </c>
      <c r="C116" s="394" t="s">
        <v>1212</v>
      </c>
      <c r="D116" s="395" t="str">
        <f>REPT('Matchblatt  FEUILLE DE MATCH'!$P$11,1)</f>
        <v>2425R10?</v>
      </c>
      <c r="E116" s="396"/>
      <c r="F116" s="397"/>
      <c r="H116" s="393" t="s">
        <v>863</v>
      </c>
      <c r="I116" s="394" t="str">
        <f>CONCATENATE(M113,E113," ",L113)</f>
        <v xml:space="preserve">G </v>
      </c>
      <c r="J116" s="394" t="s">
        <v>1212</v>
      </c>
      <c r="K116" s="395" t="str">
        <f>REPT('Matchblatt  FEUILLE DE MATCH'!$P$11,1)</f>
        <v>2425R10?</v>
      </c>
      <c r="L116" s="396"/>
      <c r="M116" s="397"/>
    </row>
    <row r="117" spans="1:16" s="565" customFormat="1" ht="24.95" customHeight="1">
      <c r="A117" s="562" t="s">
        <v>864</v>
      </c>
      <c r="B117" s="563" t="s">
        <v>888</v>
      </c>
      <c r="C117" s="563" t="s">
        <v>868</v>
      </c>
      <c r="D117" s="563" t="s">
        <v>1213</v>
      </c>
      <c r="E117" s="563">
        <v>180</v>
      </c>
      <c r="F117" s="564" t="s">
        <v>964</v>
      </c>
      <c r="H117" s="566" t="s">
        <v>864</v>
      </c>
      <c r="I117" s="567" t="s">
        <v>888</v>
      </c>
      <c r="J117" s="567" t="s">
        <v>868</v>
      </c>
      <c r="K117" s="567" t="s">
        <v>1213</v>
      </c>
      <c r="L117" s="567">
        <v>180</v>
      </c>
      <c r="M117" s="568" t="s">
        <v>964</v>
      </c>
    </row>
    <row r="118" spans="1:16" ht="38.1" customHeight="1">
      <c r="A118" s="407">
        <v>1</v>
      </c>
      <c r="B118" s="398"/>
      <c r="C118" s="399"/>
      <c r="D118" s="399"/>
      <c r="E118" s="399"/>
      <c r="F118" s="400"/>
      <c r="G118" s="641" t="str">
        <f>IF(G114="","",CONCATENATE(A116," ",G114))</f>
        <v>Spiel 0</v>
      </c>
      <c r="H118" s="409">
        <v>1</v>
      </c>
      <c r="I118" s="398"/>
      <c r="J118" s="399"/>
      <c r="K118" s="399"/>
      <c r="L118" s="399"/>
      <c r="M118" s="400"/>
    </row>
    <row r="119" spans="1:16" ht="38.1" customHeight="1">
      <c r="A119" s="407">
        <v>2</v>
      </c>
      <c r="B119" s="398"/>
      <c r="C119" s="399"/>
      <c r="D119" s="399"/>
      <c r="E119" s="399"/>
      <c r="F119" s="400"/>
      <c r="G119" s="641"/>
      <c r="H119" s="409">
        <v>2</v>
      </c>
      <c r="I119" s="398"/>
      <c r="J119" s="399"/>
      <c r="K119" s="399"/>
      <c r="L119" s="399"/>
      <c r="M119" s="400"/>
    </row>
    <row r="120" spans="1:16" ht="38.1" customHeight="1">
      <c r="A120" s="407">
        <v>3</v>
      </c>
      <c r="B120" s="398"/>
      <c r="C120" s="399"/>
      <c r="D120" s="399"/>
      <c r="E120" s="399"/>
      <c r="F120" s="400"/>
      <c r="G120" s="641"/>
      <c r="H120" s="409">
        <v>3</v>
      </c>
      <c r="I120" s="398"/>
      <c r="J120" s="399"/>
      <c r="K120" s="399"/>
      <c r="L120" s="399"/>
      <c r="M120" s="400"/>
    </row>
    <row r="121" spans="1:16" ht="38.1" customHeight="1">
      <c r="A121" s="407">
        <v>4</v>
      </c>
      <c r="B121" s="399"/>
      <c r="C121" s="399"/>
      <c r="D121" s="399"/>
      <c r="E121" s="399"/>
      <c r="F121" s="400"/>
      <c r="G121" s="641"/>
      <c r="H121" s="409">
        <v>4</v>
      </c>
      <c r="I121" s="399"/>
      <c r="J121" s="399"/>
      <c r="K121" s="399"/>
      <c r="L121" s="399"/>
      <c r="M121" s="400"/>
    </row>
    <row r="122" spans="1:16" ht="38.1" customHeight="1" thickBot="1">
      <c r="A122" s="408">
        <v>5</v>
      </c>
      <c r="B122" s="401"/>
      <c r="C122" s="401"/>
      <c r="D122" s="401"/>
      <c r="E122" s="401"/>
      <c r="F122" s="402"/>
      <c r="H122" s="410">
        <v>5</v>
      </c>
      <c r="I122" s="401"/>
      <c r="J122" s="401"/>
      <c r="K122" s="401"/>
      <c r="L122" s="401"/>
      <c r="M122" s="402"/>
    </row>
    <row r="123" spans="1:16" ht="5.0999999999999996" customHeight="1">
      <c r="A123" s="403"/>
      <c r="B123" s="404"/>
      <c r="C123" s="404"/>
      <c r="D123" s="404"/>
      <c r="E123" s="404"/>
      <c r="F123" s="404"/>
      <c r="G123" s="404"/>
      <c r="H123" s="404"/>
      <c r="I123" s="404"/>
      <c r="J123" s="404"/>
      <c r="K123" s="404"/>
      <c r="L123" s="404"/>
      <c r="M123" s="404"/>
    </row>
    <row r="124" spans="1:16" ht="5.0999999999999996" customHeight="1" thickBot="1"/>
    <row r="125" spans="1:16" ht="24.95" customHeight="1" thickBot="1">
      <c r="A125" s="405" t="str">
        <f>REPT('Heimmannschaft MAISON'!$I$3,1)</f>
        <v>select Heim - Team</v>
      </c>
      <c r="B125" s="381"/>
      <c r="C125" s="381"/>
      <c r="D125" s="381"/>
      <c r="E125" s="382" t="str">
        <f>IFERROR(VLOOKUP(G126,Chema!R:S,2,FALSE),"")</f>
        <v/>
      </c>
      <c r="F125" s="383" t="s">
        <v>894</v>
      </c>
      <c r="G125" s="571" t="str">
        <f>IF(G126="","",CONCATENATE(A128," ",G126))</f>
        <v>Spiel 0</v>
      </c>
      <c r="H125" s="406" t="str">
        <f>REPT('Gastmannschaft EXTERIEUR'!$I$3,1)</f>
        <v>Gast</v>
      </c>
      <c r="I125" s="384"/>
      <c r="J125" s="384"/>
      <c r="K125" s="384"/>
      <c r="L125" s="384" t="str">
        <f>IFERROR(VLOOKUP(G126,Chema!R:T,3,FALSE),"")</f>
        <v/>
      </c>
      <c r="M125" s="385" t="s">
        <v>895</v>
      </c>
      <c r="O125" s="29">
        <v>11</v>
      </c>
      <c r="P125" s="29">
        <f>IFERROR(VLOOKUP(O125,W:X,2,FALSE),0)</f>
        <v>0</v>
      </c>
    </row>
    <row r="126" spans="1:16" ht="30" customHeight="1">
      <c r="A126" s="386" t="s">
        <v>1211</v>
      </c>
      <c r="B126" s="387" t="e">
        <f>VLOOKUP(F126,Average!GC:GE,3,FALSE)</f>
        <v>#N/A</v>
      </c>
      <c r="C126" s="411" t="str">
        <f>IFERROR(VLOOKUP(B126,Licenses!B:C,2,FALSE),"")</f>
        <v/>
      </c>
      <c r="D126" s="388"/>
      <c r="E126" s="388"/>
      <c r="F126" s="569" t="str">
        <f>CONCATENATE(F125,E125," ",L125)</f>
        <v xml:space="preserve">H </v>
      </c>
      <c r="G126" s="412">
        <f>SUM(P125)</f>
        <v>0</v>
      </c>
      <c r="H126" s="389" t="s">
        <v>1211</v>
      </c>
      <c r="I126" s="390" t="e">
        <f>VLOOKUP(M126,Average!GC:GE,3,FALSE)</f>
        <v>#N/A</v>
      </c>
      <c r="J126" s="411" t="str">
        <f>IFERROR(VLOOKUP(I126,Licenses!B:C,2,FALSE),"")</f>
        <v/>
      </c>
      <c r="K126" s="388"/>
      <c r="L126" s="388"/>
      <c r="M126" s="569" t="str">
        <f>CONCATENATE(M125,E125," ",L125)</f>
        <v xml:space="preserve">G </v>
      </c>
    </row>
    <row r="127" spans="1:16" ht="30" customHeight="1" thickBot="1">
      <c r="A127" s="386" t="str">
        <f>IF(E125="D","Spieler 2. :","")</f>
        <v/>
      </c>
      <c r="B127" s="387" t="str">
        <f>IF(E125="D",VLOOKUP(F127,Average!GC:GE,3,FALSE),"")</f>
        <v/>
      </c>
      <c r="C127" s="411" t="str">
        <f>IF(B127="","",VLOOKUP(B127,Licenses!B:C,2,FALSE))</f>
        <v/>
      </c>
      <c r="D127" s="391"/>
      <c r="E127" s="391"/>
      <c r="F127" s="392" t="str">
        <f>IF(E125="D",CONCATENATE(F125,E125," ",L125,".",2),"")</f>
        <v/>
      </c>
      <c r="G127" s="570"/>
      <c r="H127" s="389" t="str">
        <f>IF(E125="D","Spieler 2. :","")</f>
        <v/>
      </c>
      <c r="I127" s="390" t="str">
        <f>IF(E125="D",VLOOKUP(M127,Average!GC:GE,3,FALSE),"")</f>
        <v/>
      </c>
      <c r="J127" s="411" t="str">
        <f>IFERROR(VLOOKUP(I127,Licenses!B:C,2,FALSE),"")</f>
        <v/>
      </c>
      <c r="K127" s="391"/>
      <c r="L127" s="391"/>
      <c r="M127" s="392" t="str">
        <f>IF(E125="D",CONCATENATE(M125,E125," ",L125,".",2),"")</f>
        <v/>
      </c>
    </row>
    <row r="128" spans="1:16" ht="15.75" thickBot="1">
      <c r="A128" s="393" t="s">
        <v>863</v>
      </c>
      <c r="B128" s="394" t="str">
        <f>CONCATENATE(F125,E125," ",L125)</f>
        <v xml:space="preserve">H </v>
      </c>
      <c r="C128" s="394" t="s">
        <v>1212</v>
      </c>
      <c r="D128" s="395" t="str">
        <f>REPT('Matchblatt  FEUILLE DE MATCH'!$P$11,1)</f>
        <v>2425R10?</v>
      </c>
      <c r="E128" s="396"/>
      <c r="F128" s="397"/>
      <c r="H128" s="393" t="s">
        <v>863</v>
      </c>
      <c r="I128" s="394" t="str">
        <f>CONCATENATE(M125,E125," ",L125)</f>
        <v xml:space="preserve">G </v>
      </c>
      <c r="J128" s="394" t="s">
        <v>1212</v>
      </c>
      <c r="K128" s="395" t="str">
        <f>REPT('Matchblatt  FEUILLE DE MATCH'!$P$11,1)</f>
        <v>2425R10?</v>
      </c>
      <c r="L128" s="396"/>
      <c r="M128" s="397"/>
    </row>
    <row r="129" spans="1:16" s="565" customFormat="1" ht="24.95" customHeight="1">
      <c r="A129" s="562" t="s">
        <v>864</v>
      </c>
      <c r="B129" s="563" t="s">
        <v>888</v>
      </c>
      <c r="C129" s="563" t="s">
        <v>868</v>
      </c>
      <c r="D129" s="563" t="s">
        <v>1213</v>
      </c>
      <c r="E129" s="563">
        <v>180</v>
      </c>
      <c r="F129" s="564" t="s">
        <v>964</v>
      </c>
      <c r="H129" s="566" t="s">
        <v>864</v>
      </c>
      <c r="I129" s="567" t="s">
        <v>888</v>
      </c>
      <c r="J129" s="567" t="s">
        <v>868</v>
      </c>
      <c r="K129" s="567" t="s">
        <v>1213</v>
      </c>
      <c r="L129" s="567">
        <v>180</v>
      </c>
      <c r="M129" s="568" t="s">
        <v>964</v>
      </c>
    </row>
    <row r="130" spans="1:16" ht="38.1" customHeight="1">
      <c r="A130" s="407">
        <v>1</v>
      </c>
      <c r="B130" s="398"/>
      <c r="C130" s="399"/>
      <c r="D130" s="399"/>
      <c r="E130" s="399"/>
      <c r="F130" s="400"/>
      <c r="G130" s="641" t="str">
        <f>IF(G126="","",CONCATENATE(A128," ",G126))</f>
        <v>Spiel 0</v>
      </c>
      <c r="H130" s="409">
        <v>1</v>
      </c>
      <c r="I130" s="398"/>
      <c r="J130" s="399"/>
      <c r="K130" s="399"/>
      <c r="L130" s="399"/>
      <c r="M130" s="400"/>
    </row>
    <row r="131" spans="1:16" ht="38.1" customHeight="1">
      <c r="A131" s="407">
        <v>2</v>
      </c>
      <c r="B131" s="398"/>
      <c r="C131" s="399"/>
      <c r="D131" s="399"/>
      <c r="E131" s="399"/>
      <c r="F131" s="400"/>
      <c r="G131" s="641"/>
      <c r="H131" s="409">
        <v>2</v>
      </c>
      <c r="I131" s="398"/>
      <c r="J131" s="399"/>
      <c r="K131" s="399"/>
      <c r="L131" s="399"/>
      <c r="M131" s="400"/>
    </row>
    <row r="132" spans="1:16" ht="38.1" customHeight="1">
      <c r="A132" s="407">
        <v>3</v>
      </c>
      <c r="B132" s="398"/>
      <c r="C132" s="399"/>
      <c r="D132" s="399"/>
      <c r="E132" s="399"/>
      <c r="F132" s="400"/>
      <c r="G132" s="641"/>
      <c r="H132" s="409">
        <v>3</v>
      </c>
      <c r="I132" s="398"/>
      <c r="J132" s="399"/>
      <c r="K132" s="399"/>
      <c r="L132" s="399"/>
      <c r="M132" s="400"/>
    </row>
    <row r="133" spans="1:16" ht="38.1" customHeight="1">
      <c r="A133" s="407">
        <v>4</v>
      </c>
      <c r="B133" s="399"/>
      <c r="C133" s="399"/>
      <c r="D133" s="399"/>
      <c r="E133" s="399"/>
      <c r="F133" s="400"/>
      <c r="G133" s="641"/>
      <c r="H133" s="409">
        <v>4</v>
      </c>
      <c r="I133" s="399"/>
      <c r="J133" s="399"/>
      <c r="K133" s="399"/>
      <c r="L133" s="399"/>
      <c r="M133" s="400"/>
    </row>
    <row r="134" spans="1:16" ht="38.1" customHeight="1" thickBot="1">
      <c r="A134" s="408">
        <v>5</v>
      </c>
      <c r="B134" s="401"/>
      <c r="C134" s="401"/>
      <c r="D134" s="401"/>
      <c r="E134" s="401"/>
      <c r="F134" s="402"/>
      <c r="H134" s="410">
        <v>5</v>
      </c>
      <c r="I134" s="401"/>
      <c r="J134" s="401"/>
      <c r="K134" s="401"/>
      <c r="L134" s="401"/>
      <c r="M134" s="402"/>
    </row>
    <row r="135" spans="1:16" ht="5.0999999999999996" customHeight="1">
      <c r="A135" s="403"/>
      <c r="B135" s="404"/>
      <c r="C135" s="404"/>
      <c r="D135" s="404"/>
      <c r="E135" s="404"/>
      <c r="F135" s="404"/>
      <c r="G135" s="404"/>
      <c r="H135" s="404"/>
      <c r="I135" s="404"/>
      <c r="J135" s="404"/>
      <c r="K135" s="404"/>
      <c r="L135" s="404"/>
      <c r="M135" s="404"/>
    </row>
    <row r="136" spans="1:16" ht="5.0999999999999996" customHeight="1" thickBot="1"/>
    <row r="137" spans="1:16" ht="24.95" customHeight="1" thickBot="1">
      <c r="A137" s="405" t="str">
        <f>REPT('Heimmannschaft MAISON'!$I$3,1)</f>
        <v>select Heim - Team</v>
      </c>
      <c r="B137" s="381"/>
      <c r="C137" s="381"/>
      <c r="D137" s="381"/>
      <c r="E137" s="382" t="str">
        <f>IFERROR(VLOOKUP(G138,Chema!R:S,2,FALSE),"")</f>
        <v/>
      </c>
      <c r="F137" s="383" t="s">
        <v>894</v>
      </c>
      <c r="G137" s="571" t="str">
        <f>IF(G138="","",CONCATENATE(A140," ",G138))</f>
        <v>Spiel 0</v>
      </c>
      <c r="H137" s="406" t="str">
        <f>REPT('Gastmannschaft EXTERIEUR'!$I$3,1)</f>
        <v>Gast</v>
      </c>
      <c r="I137" s="384"/>
      <c r="J137" s="384"/>
      <c r="K137" s="384"/>
      <c r="L137" s="384" t="str">
        <f>IFERROR(VLOOKUP(G138,Chema!R:T,3,FALSE),"")</f>
        <v/>
      </c>
      <c r="M137" s="385" t="s">
        <v>895</v>
      </c>
      <c r="O137" s="29">
        <v>12</v>
      </c>
      <c r="P137" s="29">
        <f>IFERROR(VLOOKUP(O137,W:X,2,FALSE),0)</f>
        <v>0</v>
      </c>
    </row>
    <row r="138" spans="1:16" ht="30" customHeight="1">
      <c r="A138" s="386" t="s">
        <v>1211</v>
      </c>
      <c r="B138" s="387" t="e">
        <f>VLOOKUP(F138,Average!GC:GE,3,FALSE)</f>
        <v>#N/A</v>
      </c>
      <c r="C138" s="411" t="str">
        <f>IFERROR(VLOOKUP(B138,Licenses!B:C,2,FALSE),"")</f>
        <v/>
      </c>
      <c r="D138" s="388"/>
      <c r="E138" s="388"/>
      <c r="F138" s="569" t="str">
        <f>CONCATENATE(F137,E137," ",L137)</f>
        <v xml:space="preserve">H </v>
      </c>
      <c r="G138" s="412">
        <f>SUM(P137)</f>
        <v>0</v>
      </c>
      <c r="H138" s="389" t="s">
        <v>1211</v>
      </c>
      <c r="I138" s="390" t="e">
        <f>VLOOKUP(M138,Average!GC:GE,3,FALSE)</f>
        <v>#N/A</v>
      </c>
      <c r="J138" s="411" t="str">
        <f>IFERROR(VLOOKUP(I138,Licenses!B:C,2,FALSE),"")</f>
        <v/>
      </c>
      <c r="K138" s="388"/>
      <c r="L138" s="388"/>
      <c r="M138" s="569" t="str">
        <f>CONCATENATE(M137,E137," ",L137)</f>
        <v xml:space="preserve">G </v>
      </c>
    </row>
    <row r="139" spans="1:16" ht="30" customHeight="1" thickBot="1">
      <c r="A139" s="386" t="str">
        <f>IF(E137="D","Spieler 2. :","")</f>
        <v/>
      </c>
      <c r="B139" s="387" t="str">
        <f>IF(E137="D",VLOOKUP(F139,Average!GC:GE,3,FALSE),"")</f>
        <v/>
      </c>
      <c r="C139" s="411" t="str">
        <f>IF(B139="","",VLOOKUP(B139,Licenses!B:C,2,FALSE))</f>
        <v/>
      </c>
      <c r="D139" s="391"/>
      <c r="E139" s="391"/>
      <c r="F139" s="392" t="str">
        <f>IF(E137="D",CONCATENATE(F137,E137," ",L137,".",2),"")</f>
        <v/>
      </c>
      <c r="G139" s="570"/>
      <c r="H139" s="389" t="str">
        <f>IF(E137="D","Spieler 2. :","")</f>
        <v/>
      </c>
      <c r="I139" s="390" t="str">
        <f>IF(E137="D",VLOOKUP(M139,Average!GC:GE,3,FALSE),"")</f>
        <v/>
      </c>
      <c r="J139" s="411" t="str">
        <f>IFERROR(VLOOKUP(I139,Licenses!B:C,2,FALSE),"")</f>
        <v/>
      </c>
      <c r="K139" s="391"/>
      <c r="L139" s="391"/>
      <c r="M139" s="392" t="str">
        <f>IF(E137="D",CONCATENATE(M137,E137," ",L137,".",2),"")</f>
        <v/>
      </c>
    </row>
    <row r="140" spans="1:16" ht="15.75" thickBot="1">
      <c r="A140" s="393" t="s">
        <v>863</v>
      </c>
      <c r="B140" s="394" t="str">
        <f>CONCATENATE(F137,E137," ",L137)</f>
        <v xml:space="preserve">H </v>
      </c>
      <c r="C140" s="394" t="s">
        <v>1212</v>
      </c>
      <c r="D140" s="395" t="str">
        <f>REPT('Matchblatt  FEUILLE DE MATCH'!$P$11,1)</f>
        <v>2425R10?</v>
      </c>
      <c r="E140" s="396"/>
      <c r="F140" s="397"/>
      <c r="H140" s="393" t="s">
        <v>863</v>
      </c>
      <c r="I140" s="394" t="str">
        <f>CONCATENATE(M137,E137," ",L137)</f>
        <v xml:space="preserve">G </v>
      </c>
      <c r="J140" s="394" t="s">
        <v>1212</v>
      </c>
      <c r="K140" s="395" t="str">
        <f>REPT('Matchblatt  FEUILLE DE MATCH'!$P$11,1)</f>
        <v>2425R10?</v>
      </c>
      <c r="L140" s="396"/>
      <c r="M140" s="397"/>
    </row>
    <row r="141" spans="1:16" s="565" customFormat="1" ht="24.95" customHeight="1">
      <c r="A141" s="562" t="s">
        <v>864</v>
      </c>
      <c r="B141" s="563" t="s">
        <v>888</v>
      </c>
      <c r="C141" s="563" t="s">
        <v>868</v>
      </c>
      <c r="D141" s="563" t="s">
        <v>1213</v>
      </c>
      <c r="E141" s="563">
        <v>180</v>
      </c>
      <c r="F141" s="564" t="s">
        <v>964</v>
      </c>
      <c r="H141" s="566" t="s">
        <v>864</v>
      </c>
      <c r="I141" s="567" t="s">
        <v>888</v>
      </c>
      <c r="J141" s="567" t="s">
        <v>868</v>
      </c>
      <c r="K141" s="567" t="s">
        <v>1213</v>
      </c>
      <c r="L141" s="567">
        <v>180</v>
      </c>
      <c r="M141" s="568" t="s">
        <v>964</v>
      </c>
    </row>
    <row r="142" spans="1:16" ht="38.1" customHeight="1">
      <c r="A142" s="407">
        <v>1</v>
      </c>
      <c r="B142" s="398"/>
      <c r="C142" s="399"/>
      <c r="D142" s="399"/>
      <c r="E142" s="399"/>
      <c r="F142" s="400"/>
      <c r="G142" s="641" t="str">
        <f>IF(G138="","",CONCATENATE(A140," ",G138))</f>
        <v>Spiel 0</v>
      </c>
      <c r="H142" s="409">
        <v>1</v>
      </c>
      <c r="I142" s="398"/>
      <c r="J142" s="399"/>
      <c r="K142" s="399"/>
      <c r="L142" s="399"/>
      <c r="M142" s="400"/>
    </row>
    <row r="143" spans="1:16" ht="38.1" customHeight="1">
      <c r="A143" s="407">
        <v>2</v>
      </c>
      <c r="B143" s="398"/>
      <c r="C143" s="399"/>
      <c r="D143" s="399"/>
      <c r="E143" s="399"/>
      <c r="F143" s="400"/>
      <c r="G143" s="641"/>
      <c r="H143" s="409">
        <v>2</v>
      </c>
      <c r="I143" s="398"/>
      <c r="J143" s="399"/>
      <c r="K143" s="399"/>
      <c r="L143" s="399"/>
      <c r="M143" s="400"/>
    </row>
    <row r="144" spans="1:16" ht="38.1" customHeight="1">
      <c r="A144" s="407">
        <v>3</v>
      </c>
      <c r="B144" s="398"/>
      <c r="C144" s="399"/>
      <c r="D144" s="399"/>
      <c r="E144" s="399"/>
      <c r="F144" s="400"/>
      <c r="G144" s="641"/>
      <c r="H144" s="409">
        <v>3</v>
      </c>
      <c r="I144" s="398"/>
      <c r="J144" s="399"/>
      <c r="K144" s="399"/>
      <c r="L144" s="399"/>
      <c r="M144" s="400"/>
    </row>
    <row r="145" spans="1:16" ht="38.1" customHeight="1">
      <c r="A145" s="407">
        <v>4</v>
      </c>
      <c r="B145" s="399"/>
      <c r="C145" s="399"/>
      <c r="D145" s="399"/>
      <c r="E145" s="399"/>
      <c r="F145" s="400"/>
      <c r="G145" s="641"/>
      <c r="H145" s="409">
        <v>4</v>
      </c>
      <c r="I145" s="399"/>
      <c r="J145" s="399"/>
      <c r="K145" s="399"/>
      <c r="L145" s="399"/>
      <c r="M145" s="400"/>
    </row>
    <row r="146" spans="1:16" ht="38.1" customHeight="1" thickBot="1">
      <c r="A146" s="408">
        <v>5</v>
      </c>
      <c r="B146" s="401"/>
      <c r="C146" s="401"/>
      <c r="D146" s="401"/>
      <c r="E146" s="401"/>
      <c r="F146" s="402"/>
      <c r="H146" s="410">
        <v>5</v>
      </c>
      <c r="I146" s="401"/>
      <c r="J146" s="401"/>
      <c r="K146" s="401"/>
      <c r="L146" s="401"/>
      <c r="M146" s="402"/>
    </row>
    <row r="147" spans="1:16" ht="5.0999999999999996" customHeight="1">
      <c r="A147" s="403"/>
      <c r="B147" s="404"/>
      <c r="C147" s="404"/>
      <c r="D147" s="404"/>
      <c r="E147" s="404"/>
      <c r="F147" s="404"/>
      <c r="G147" s="404"/>
      <c r="H147" s="404"/>
      <c r="I147" s="404"/>
      <c r="J147" s="404"/>
      <c r="K147" s="404"/>
      <c r="L147" s="404"/>
      <c r="M147" s="404"/>
    </row>
    <row r="148" spans="1:16" ht="5.0999999999999996" customHeight="1" thickBot="1"/>
    <row r="149" spans="1:16" ht="24.95" customHeight="1" thickBot="1">
      <c r="A149" s="405" t="str">
        <f>REPT('Heimmannschaft MAISON'!$I$3,1)</f>
        <v>select Heim - Team</v>
      </c>
      <c r="B149" s="381"/>
      <c r="C149" s="381"/>
      <c r="D149" s="381"/>
      <c r="E149" s="382" t="str">
        <f>IFERROR(VLOOKUP(G150,Chema!R:S,2,FALSE),"")</f>
        <v/>
      </c>
      <c r="F149" s="383" t="s">
        <v>894</v>
      </c>
      <c r="G149" s="571" t="str">
        <f>IF(G150="","",CONCATENATE(A152," ",G150))</f>
        <v>Spiel 0</v>
      </c>
      <c r="H149" s="406" t="str">
        <f>REPT('Gastmannschaft EXTERIEUR'!$I$3,1)</f>
        <v>Gast</v>
      </c>
      <c r="I149" s="384"/>
      <c r="J149" s="384"/>
      <c r="K149" s="384"/>
      <c r="L149" s="384" t="str">
        <f>IFERROR(VLOOKUP(G150,Chema!R:T,3,FALSE),"")</f>
        <v/>
      </c>
      <c r="M149" s="385" t="s">
        <v>895</v>
      </c>
      <c r="O149" s="29">
        <v>13</v>
      </c>
      <c r="P149" s="29">
        <f>IFERROR(VLOOKUP(O149,W:X,2,FALSE),0)</f>
        <v>0</v>
      </c>
    </row>
    <row r="150" spans="1:16" ht="30" customHeight="1">
      <c r="A150" s="386" t="s">
        <v>1211</v>
      </c>
      <c r="B150" s="387" t="e">
        <f>VLOOKUP(F150,Average!GC:GE,3,FALSE)</f>
        <v>#N/A</v>
      </c>
      <c r="C150" s="411" t="str">
        <f>IFERROR(VLOOKUP(B150,Licenses!B:C,2,FALSE),"")</f>
        <v/>
      </c>
      <c r="D150" s="388"/>
      <c r="E150" s="388"/>
      <c r="F150" s="569" t="str">
        <f>CONCATENATE(F149,E149," ",L149)</f>
        <v xml:space="preserve">H </v>
      </c>
      <c r="G150" s="412">
        <f>SUM(P149)</f>
        <v>0</v>
      </c>
      <c r="H150" s="389" t="s">
        <v>1211</v>
      </c>
      <c r="I150" s="390" t="e">
        <f>VLOOKUP(M150,Average!GC:GE,3,FALSE)</f>
        <v>#N/A</v>
      </c>
      <c r="J150" s="411" t="str">
        <f>IFERROR(VLOOKUP(I150,Licenses!B:C,2,FALSE),"")</f>
        <v/>
      </c>
      <c r="K150" s="388"/>
      <c r="L150" s="388"/>
      <c r="M150" s="569" t="str">
        <f>CONCATENATE(M149,E149," ",L149)</f>
        <v xml:space="preserve">G </v>
      </c>
    </row>
    <row r="151" spans="1:16" ht="30" customHeight="1" thickBot="1">
      <c r="A151" s="386" t="str">
        <f>IF(E149="D","Spieler 2. :","")</f>
        <v/>
      </c>
      <c r="B151" s="387" t="str">
        <f>IF(E149="D",VLOOKUP(F151,Average!GC:GE,3,FALSE),"")</f>
        <v/>
      </c>
      <c r="C151" s="411" t="str">
        <f>IF(B151="","",VLOOKUP(B151,Licenses!B:C,2,FALSE))</f>
        <v/>
      </c>
      <c r="D151" s="391"/>
      <c r="E151" s="391"/>
      <c r="F151" s="392" t="str">
        <f>IF(E149="D",CONCATENATE(F149,E149," ",L149,".",2),"")</f>
        <v/>
      </c>
      <c r="G151" s="570"/>
      <c r="H151" s="389" t="str">
        <f>IF(E149="D","Spieler 2. :","")</f>
        <v/>
      </c>
      <c r="I151" s="390" t="str">
        <f>IF(E149="D",VLOOKUP(M151,Average!GC:GE,3,FALSE),"")</f>
        <v/>
      </c>
      <c r="J151" s="411" t="str">
        <f>IFERROR(VLOOKUP(I151,Licenses!B:C,2,FALSE),"")</f>
        <v/>
      </c>
      <c r="K151" s="391"/>
      <c r="L151" s="391"/>
      <c r="M151" s="392" t="str">
        <f>IF(E149="D",CONCATENATE(M149,E149," ",L149,".",2),"")</f>
        <v/>
      </c>
    </row>
    <row r="152" spans="1:16" ht="15.75" thickBot="1">
      <c r="A152" s="393" t="s">
        <v>863</v>
      </c>
      <c r="B152" s="394" t="str">
        <f>CONCATENATE(F149,E149," ",L149)</f>
        <v xml:space="preserve">H </v>
      </c>
      <c r="C152" s="394" t="s">
        <v>1212</v>
      </c>
      <c r="D152" s="395" t="str">
        <f>REPT('Matchblatt  FEUILLE DE MATCH'!$P$11,1)</f>
        <v>2425R10?</v>
      </c>
      <c r="E152" s="396"/>
      <c r="F152" s="397"/>
      <c r="H152" s="393" t="s">
        <v>863</v>
      </c>
      <c r="I152" s="394" t="str">
        <f>CONCATENATE(M149,E149," ",L149)</f>
        <v xml:space="preserve">G </v>
      </c>
      <c r="J152" s="394" t="s">
        <v>1212</v>
      </c>
      <c r="K152" s="395" t="str">
        <f>REPT('Matchblatt  FEUILLE DE MATCH'!$P$11,1)</f>
        <v>2425R10?</v>
      </c>
      <c r="L152" s="396"/>
      <c r="M152" s="397"/>
    </row>
    <row r="153" spans="1:16" s="565" customFormat="1" ht="24.95" customHeight="1">
      <c r="A153" s="562" t="s">
        <v>864</v>
      </c>
      <c r="B153" s="563" t="s">
        <v>888</v>
      </c>
      <c r="C153" s="563" t="s">
        <v>868</v>
      </c>
      <c r="D153" s="563" t="s">
        <v>1213</v>
      </c>
      <c r="E153" s="563">
        <v>180</v>
      </c>
      <c r="F153" s="564" t="s">
        <v>964</v>
      </c>
      <c r="H153" s="566" t="s">
        <v>864</v>
      </c>
      <c r="I153" s="567" t="s">
        <v>888</v>
      </c>
      <c r="J153" s="567" t="s">
        <v>868</v>
      </c>
      <c r="K153" s="567" t="s">
        <v>1213</v>
      </c>
      <c r="L153" s="567">
        <v>180</v>
      </c>
      <c r="M153" s="568" t="s">
        <v>964</v>
      </c>
    </row>
    <row r="154" spans="1:16" ht="38.1" customHeight="1">
      <c r="A154" s="407">
        <v>1</v>
      </c>
      <c r="B154" s="398"/>
      <c r="C154" s="399"/>
      <c r="D154" s="399"/>
      <c r="E154" s="399"/>
      <c r="F154" s="400"/>
      <c r="G154" s="641" t="str">
        <f>IF(G150="","",CONCATENATE(A152," ",G150))</f>
        <v>Spiel 0</v>
      </c>
      <c r="H154" s="409">
        <v>1</v>
      </c>
      <c r="I154" s="398"/>
      <c r="J154" s="399"/>
      <c r="K154" s="399"/>
      <c r="L154" s="399"/>
      <c r="M154" s="400"/>
    </row>
    <row r="155" spans="1:16" ht="38.1" customHeight="1">
      <c r="A155" s="407">
        <v>2</v>
      </c>
      <c r="B155" s="398"/>
      <c r="C155" s="399"/>
      <c r="D155" s="399"/>
      <c r="E155" s="399"/>
      <c r="F155" s="400"/>
      <c r="G155" s="641"/>
      <c r="H155" s="409">
        <v>2</v>
      </c>
      <c r="I155" s="398"/>
      <c r="J155" s="399"/>
      <c r="K155" s="399"/>
      <c r="L155" s="399"/>
      <c r="M155" s="400"/>
    </row>
    <row r="156" spans="1:16" ht="38.1" customHeight="1">
      <c r="A156" s="407">
        <v>3</v>
      </c>
      <c r="B156" s="398"/>
      <c r="C156" s="399"/>
      <c r="D156" s="399"/>
      <c r="E156" s="399"/>
      <c r="F156" s="400"/>
      <c r="G156" s="641"/>
      <c r="H156" s="409">
        <v>3</v>
      </c>
      <c r="I156" s="398"/>
      <c r="J156" s="399"/>
      <c r="K156" s="399"/>
      <c r="L156" s="399"/>
      <c r="M156" s="400"/>
    </row>
    <row r="157" spans="1:16" ht="38.1" customHeight="1">
      <c r="A157" s="407">
        <v>4</v>
      </c>
      <c r="B157" s="399"/>
      <c r="C157" s="399"/>
      <c r="D157" s="399"/>
      <c r="E157" s="399"/>
      <c r="F157" s="400"/>
      <c r="G157" s="641"/>
      <c r="H157" s="409">
        <v>4</v>
      </c>
      <c r="I157" s="399"/>
      <c r="J157" s="399"/>
      <c r="K157" s="399"/>
      <c r="L157" s="399"/>
      <c r="M157" s="400"/>
    </row>
    <row r="158" spans="1:16" ht="38.1" customHeight="1" thickBot="1">
      <c r="A158" s="408">
        <v>5</v>
      </c>
      <c r="B158" s="401"/>
      <c r="C158" s="401"/>
      <c r="D158" s="401"/>
      <c r="E158" s="401"/>
      <c r="F158" s="402"/>
      <c r="H158" s="410">
        <v>5</v>
      </c>
      <c r="I158" s="401"/>
      <c r="J158" s="401"/>
      <c r="K158" s="401"/>
      <c r="L158" s="401"/>
      <c r="M158" s="402"/>
    </row>
    <row r="159" spans="1:16" ht="5.0999999999999996" customHeight="1">
      <c r="A159" s="403"/>
      <c r="B159" s="404"/>
      <c r="C159" s="404"/>
      <c r="D159" s="404"/>
      <c r="E159" s="404"/>
      <c r="F159" s="404"/>
      <c r="G159" s="404"/>
      <c r="H159" s="404"/>
      <c r="I159" s="404"/>
      <c r="J159" s="404"/>
      <c r="K159" s="404"/>
      <c r="L159" s="404"/>
      <c r="M159" s="404"/>
    </row>
    <row r="160" spans="1:16" ht="5.0999999999999996" customHeight="1" thickBot="1"/>
    <row r="161" spans="1:16" ht="24.95" customHeight="1" thickBot="1">
      <c r="A161" s="405" t="str">
        <f>REPT('Heimmannschaft MAISON'!$I$3,1)</f>
        <v>select Heim - Team</v>
      </c>
      <c r="B161" s="381"/>
      <c r="C161" s="381"/>
      <c r="D161" s="381"/>
      <c r="E161" s="382" t="str">
        <f>IFERROR(VLOOKUP(G162,Chema!R:S,2,FALSE),"")</f>
        <v/>
      </c>
      <c r="F161" s="383" t="s">
        <v>894</v>
      </c>
      <c r="G161" s="571" t="str">
        <f>IF(G162="","",CONCATENATE(A164," ",G162))</f>
        <v>Spiel 0</v>
      </c>
      <c r="H161" s="406" t="str">
        <f>REPT('Gastmannschaft EXTERIEUR'!$I$3,1)</f>
        <v>Gast</v>
      </c>
      <c r="I161" s="384"/>
      <c r="J161" s="384"/>
      <c r="K161" s="384"/>
      <c r="L161" s="384" t="str">
        <f>IFERROR(VLOOKUP(G162,Chema!R:T,3,FALSE),"")</f>
        <v/>
      </c>
      <c r="M161" s="385" t="s">
        <v>895</v>
      </c>
      <c r="O161" s="29">
        <v>14</v>
      </c>
      <c r="P161" s="29">
        <f>IFERROR(VLOOKUP(O161,W:X,2,FALSE),0)</f>
        <v>0</v>
      </c>
    </row>
    <row r="162" spans="1:16" ht="30" customHeight="1">
      <c r="A162" s="386" t="s">
        <v>1211</v>
      </c>
      <c r="B162" s="387" t="e">
        <f>VLOOKUP(F162,Average!GC:GE,3,FALSE)</f>
        <v>#N/A</v>
      </c>
      <c r="C162" s="411" t="str">
        <f>IFERROR(VLOOKUP(B162,Licenses!B:C,2,FALSE),"")</f>
        <v/>
      </c>
      <c r="D162" s="388"/>
      <c r="E162" s="388"/>
      <c r="F162" s="569" t="str">
        <f>CONCATENATE(F161,E161," ",L161)</f>
        <v xml:space="preserve">H </v>
      </c>
      <c r="G162" s="412">
        <f>SUM(P161)</f>
        <v>0</v>
      </c>
      <c r="H162" s="389" t="s">
        <v>1211</v>
      </c>
      <c r="I162" s="390" t="e">
        <f>VLOOKUP(M162,Average!GC:GE,3,FALSE)</f>
        <v>#N/A</v>
      </c>
      <c r="J162" s="411" t="str">
        <f>IFERROR(VLOOKUP(I162,Licenses!B:C,2,FALSE),"")</f>
        <v/>
      </c>
      <c r="K162" s="388"/>
      <c r="L162" s="388"/>
      <c r="M162" s="569" t="str">
        <f>CONCATENATE(M161,E161," ",L161)</f>
        <v xml:space="preserve">G </v>
      </c>
    </row>
    <row r="163" spans="1:16" ht="30" customHeight="1" thickBot="1">
      <c r="A163" s="386" t="str">
        <f>IF(E161="D","Spieler 2. :","")</f>
        <v/>
      </c>
      <c r="B163" s="387" t="str">
        <f>IF(E161="D",VLOOKUP(F163,Average!GC:GE,3,FALSE),"")</f>
        <v/>
      </c>
      <c r="C163" s="411" t="str">
        <f>IF(B163="","",VLOOKUP(B163,Licenses!B:C,2,FALSE))</f>
        <v/>
      </c>
      <c r="D163" s="391"/>
      <c r="E163" s="391"/>
      <c r="F163" s="392" t="str">
        <f>IF(E161="D",CONCATENATE(F161,E161," ",L161,".",2),"")</f>
        <v/>
      </c>
      <c r="G163" s="570"/>
      <c r="H163" s="389" t="str">
        <f>IF(E161="D","Spieler 2. :","")</f>
        <v/>
      </c>
      <c r="I163" s="390" t="str">
        <f>IF(E161="D",VLOOKUP(M163,Average!GC:GE,3,FALSE),"")</f>
        <v/>
      </c>
      <c r="J163" s="411" t="str">
        <f>IFERROR(VLOOKUP(I163,Licenses!B:C,2,FALSE),"")</f>
        <v/>
      </c>
      <c r="K163" s="391"/>
      <c r="L163" s="391"/>
      <c r="M163" s="392" t="str">
        <f>IF(E161="D",CONCATENATE(M161,E161," ",L161,".",2),"")</f>
        <v/>
      </c>
    </row>
    <row r="164" spans="1:16" ht="15.75" thickBot="1">
      <c r="A164" s="393" t="s">
        <v>863</v>
      </c>
      <c r="B164" s="394" t="str">
        <f>CONCATENATE(F161,E161," ",L161)</f>
        <v xml:space="preserve">H </v>
      </c>
      <c r="C164" s="394" t="s">
        <v>1212</v>
      </c>
      <c r="D164" s="395" t="str">
        <f>REPT('Matchblatt  FEUILLE DE MATCH'!$P$11,1)</f>
        <v>2425R10?</v>
      </c>
      <c r="E164" s="396"/>
      <c r="F164" s="397"/>
      <c r="H164" s="393" t="s">
        <v>863</v>
      </c>
      <c r="I164" s="394" t="str">
        <f>CONCATENATE(M161,E161," ",L161)</f>
        <v xml:space="preserve">G </v>
      </c>
      <c r="J164" s="394" t="s">
        <v>1212</v>
      </c>
      <c r="K164" s="395" t="str">
        <f>REPT('Matchblatt  FEUILLE DE MATCH'!$P$11,1)</f>
        <v>2425R10?</v>
      </c>
      <c r="L164" s="396"/>
      <c r="M164" s="397"/>
    </row>
    <row r="165" spans="1:16" s="565" customFormat="1" ht="24.95" customHeight="1">
      <c r="A165" s="562" t="s">
        <v>864</v>
      </c>
      <c r="B165" s="563" t="s">
        <v>888</v>
      </c>
      <c r="C165" s="563" t="s">
        <v>868</v>
      </c>
      <c r="D165" s="563" t="s">
        <v>1213</v>
      </c>
      <c r="E165" s="563">
        <v>180</v>
      </c>
      <c r="F165" s="564" t="s">
        <v>964</v>
      </c>
      <c r="H165" s="566" t="s">
        <v>864</v>
      </c>
      <c r="I165" s="567" t="s">
        <v>888</v>
      </c>
      <c r="J165" s="567" t="s">
        <v>868</v>
      </c>
      <c r="K165" s="567" t="s">
        <v>1213</v>
      </c>
      <c r="L165" s="567">
        <v>180</v>
      </c>
      <c r="M165" s="568" t="s">
        <v>964</v>
      </c>
    </row>
    <row r="166" spans="1:16" ht="38.1" customHeight="1">
      <c r="A166" s="407">
        <v>1</v>
      </c>
      <c r="B166" s="398"/>
      <c r="C166" s="399"/>
      <c r="D166" s="399"/>
      <c r="E166" s="399"/>
      <c r="F166" s="400"/>
      <c r="G166" s="641" t="str">
        <f>IF(G162="","",CONCATENATE(A164," ",G162))</f>
        <v>Spiel 0</v>
      </c>
      <c r="H166" s="409">
        <v>1</v>
      </c>
      <c r="I166" s="398"/>
      <c r="J166" s="399"/>
      <c r="K166" s="399"/>
      <c r="L166" s="399"/>
      <c r="M166" s="400"/>
    </row>
    <row r="167" spans="1:16" ht="38.1" customHeight="1">
      <c r="A167" s="407">
        <v>2</v>
      </c>
      <c r="B167" s="398"/>
      <c r="C167" s="399"/>
      <c r="D167" s="399"/>
      <c r="E167" s="399"/>
      <c r="F167" s="400"/>
      <c r="G167" s="641"/>
      <c r="H167" s="409">
        <v>2</v>
      </c>
      <c r="I167" s="398"/>
      <c r="J167" s="399"/>
      <c r="K167" s="399"/>
      <c r="L167" s="399"/>
      <c r="M167" s="400"/>
    </row>
    <row r="168" spans="1:16" ht="38.1" customHeight="1">
      <c r="A168" s="407">
        <v>3</v>
      </c>
      <c r="B168" s="398"/>
      <c r="C168" s="399"/>
      <c r="D168" s="399"/>
      <c r="E168" s="399"/>
      <c r="F168" s="400"/>
      <c r="G168" s="641"/>
      <c r="H168" s="409">
        <v>3</v>
      </c>
      <c r="I168" s="398"/>
      <c r="J168" s="399"/>
      <c r="K168" s="399"/>
      <c r="L168" s="399"/>
      <c r="M168" s="400"/>
    </row>
    <row r="169" spans="1:16" ht="38.1" customHeight="1">
      <c r="A169" s="407">
        <v>4</v>
      </c>
      <c r="B169" s="399"/>
      <c r="C169" s="399"/>
      <c r="D169" s="399"/>
      <c r="E169" s="399"/>
      <c r="F169" s="400"/>
      <c r="G169" s="641"/>
      <c r="H169" s="409">
        <v>4</v>
      </c>
      <c r="I169" s="399"/>
      <c r="J169" s="399"/>
      <c r="K169" s="399"/>
      <c r="L169" s="399"/>
      <c r="M169" s="400"/>
    </row>
    <row r="170" spans="1:16" ht="38.1" customHeight="1" thickBot="1">
      <c r="A170" s="408">
        <v>5</v>
      </c>
      <c r="B170" s="401"/>
      <c r="C170" s="401"/>
      <c r="D170" s="401"/>
      <c r="E170" s="401"/>
      <c r="F170" s="402"/>
      <c r="H170" s="410">
        <v>5</v>
      </c>
      <c r="I170" s="401"/>
      <c r="J170" s="401"/>
      <c r="K170" s="401"/>
      <c r="L170" s="401"/>
      <c r="M170" s="402"/>
    </row>
    <row r="171" spans="1:16" ht="5.0999999999999996" customHeight="1">
      <c r="A171" s="403"/>
      <c r="B171" s="404"/>
      <c r="C171" s="404"/>
      <c r="D171" s="404"/>
      <c r="E171" s="404"/>
      <c r="F171" s="404"/>
      <c r="G171" s="404"/>
      <c r="H171" s="404"/>
      <c r="I171" s="404"/>
      <c r="J171" s="404"/>
      <c r="K171" s="404"/>
      <c r="L171" s="404"/>
      <c r="M171" s="404"/>
    </row>
    <row r="172" spans="1:16" ht="5.0999999999999996" customHeight="1" thickBot="1"/>
    <row r="173" spans="1:16" ht="24.95" customHeight="1" thickBot="1">
      <c r="A173" s="405" t="str">
        <f>REPT('Heimmannschaft MAISON'!$I$3,1)</f>
        <v>select Heim - Team</v>
      </c>
      <c r="B173" s="381"/>
      <c r="C173" s="381"/>
      <c r="D173" s="381"/>
      <c r="E173" s="382" t="str">
        <f>IFERROR(VLOOKUP(G174,Chema!R:S,2,FALSE),"")</f>
        <v/>
      </c>
      <c r="F173" s="383" t="s">
        <v>894</v>
      </c>
      <c r="G173" s="571" t="str">
        <f>IF(G174="","",CONCATENATE(A176," ",G174))</f>
        <v>Spiel 0</v>
      </c>
      <c r="H173" s="406" t="str">
        <f>REPT('Gastmannschaft EXTERIEUR'!$I$3,1)</f>
        <v>Gast</v>
      </c>
      <c r="I173" s="384"/>
      <c r="J173" s="384"/>
      <c r="K173" s="384"/>
      <c r="L173" s="384" t="str">
        <f>IFERROR(VLOOKUP(G174,Chema!R:T,3,FALSE),"")</f>
        <v/>
      </c>
      <c r="M173" s="385" t="s">
        <v>895</v>
      </c>
      <c r="O173" s="29">
        <v>15</v>
      </c>
      <c r="P173" s="29">
        <f>IFERROR(VLOOKUP(O173,W:X,2,FALSE),0)</f>
        <v>0</v>
      </c>
    </row>
    <row r="174" spans="1:16" ht="30" customHeight="1">
      <c r="A174" s="386" t="s">
        <v>1211</v>
      </c>
      <c r="B174" s="387" t="e">
        <f>VLOOKUP(F174,Average!GC:GE,3,FALSE)</f>
        <v>#N/A</v>
      </c>
      <c r="C174" s="411" t="str">
        <f>IFERROR(VLOOKUP(B174,Licenses!B:C,2,FALSE),"")</f>
        <v/>
      </c>
      <c r="D174" s="388"/>
      <c r="E174" s="388"/>
      <c r="F174" s="569" t="str">
        <f>CONCATENATE(F173,E173," ",L173)</f>
        <v xml:space="preserve">H </v>
      </c>
      <c r="G174" s="412">
        <f>SUM(P173)</f>
        <v>0</v>
      </c>
      <c r="H174" s="389" t="s">
        <v>1211</v>
      </c>
      <c r="I174" s="390" t="e">
        <f>VLOOKUP(M174,Average!GC:GE,3,FALSE)</f>
        <v>#N/A</v>
      </c>
      <c r="J174" s="411" t="str">
        <f>IFERROR(VLOOKUP(I174,Licenses!B:C,2,FALSE),"")</f>
        <v/>
      </c>
      <c r="K174" s="388"/>
      <c r="L174" s="388"/>
      <c r="M174" s="569" t="str">
        <f>CONCATENATE(M173,E173," ",L173)</f>
        <v xml:space="preserve">G </v>
      </c>
    </row>
    <row r="175" spans="1:16" ht="30" customHeight="1" thickBot="1">
      <c r="A175" s="386" t="str">
        <f>IF(E173="D","Spieler 2. :","")</f>
        <v/>
      </c>
      <c r="B175" s="387" t="str">
        <f>IF(E173="D",VLOOKUP(F175,Average!GC:GE,3,FALSE),"")</f>
        <v/>
      </c>
      <c r="C175" s="411" t="str">
        <f>IF(B175="","",VLOOKUP(B175,Licenses!B:C,2,FALSE))</f>
        <v/>
      </c>
      <c r="D175" s="391"/>
      <c r="E175" s="391"/>
      <c r="F175" s="392" t="str">
        <f>IF(E173="D",CONCATENATE(F173,E173," ",L173,".",2),"")</f>
        <v/>
      </c>
      <c r="G175" s="570"/>
      <c r="H175" s="389" t="str">
        <f>IF(E173="D","Spieler 2. :","")</f>
        <v/>
      </c>
      <c r="I175" s="390" t="str">
        <f>IF(E173="D",VLOOKUP(M175,Average!GC:GE,3,FALSE),"")</f>
        <v/>
      </c>
      <c r="J175" s="411" t="str">
        <f>IFERROR(VLOOKUP(I175,Licenses!B:C,2,FALSE),"")</f>
        <v/>
      </c>
      <c r="K175" s="391"/>
      <c r="L175" s="391"/>
      <c r="M175" s="392" t="str">
        <f>IF(E173="D",CONCATENATE(M173,E173," ",L173,".",2),"")</f>
        <v/>
      </c>
    </row>
    <row r="176" spans="1:16" ht="15.75" thickBot="1">
      <c r="A176" s="393" t="s">
        <v>863</v>
      </c>
      <c r="B176" s="394" t="str">
        <f>CONCATENATE(F173,E173," ",L173)</f>
        <v xml:space="preserve">H </v>
      </c>
      <c r="C176" s="394" t="s">
        <v>1212</v>
      </c>
      <c r="D176" s="395" t="str">
        <f>REPT('Matchblatt  FEUILLE DE MATCH'!$P$11,1)</f>
        <v>2425R10?</v>
      </c>
      <c r="E176" s="396"/>
      <c r="F176" s="397"/>
      <c r="H176" s="393" t="s">
        <v>863</v>
      </c>
      <c r="I176" s="394" t="str">
        <f>CONCATENATE(M173,E173," ",L173)</f>
        <v xml:space="preserve">G </v>
      </c>
      <c r="J176" s="394" t="s">
        <v>1212</v>
      </c>
      <c r="K176" s="395" t="str">
        <f>REPT('Matchblatt  FEUILLE DE MATCH'!$P$11,1)</f>
        <v>2425R10?</v>
      </c>
      <c r="L176" s="396"/>
      <c r="M176" s="397"/>
    </row>
    <row r="177" spans="1:16" s="565" customFormat="1" ht="24.95" customHeight="1">
      <c r="A177" s="562" t="s">
        <v>864</v>
      </c>
      <c r="B177" s="563" t="s">
        <v>888</v>
      </c>
      <c r="C177" s="563" t="s">
        <v>868</v>
      </c>
      <c r="D177" s="563" t="s">
        <v>1213</v>
      </c>
      <c r="E177" s="563">
        <v>180</v>
      </c>
      <c r="F177" s="564" t="s">
        <v>964</v>
      </c>
      <c r="H177" s="566" t="s">
        <v>864</v>
      </c>
      <c r="I177" s="567" t="s">
        <v>888</v>
      </c>
      <c r="J177" s="567" t="s">
        <v>868</v>
      </c>
      <c r="K177" s="567" t="s">
        <v>1213</v>
      </c>
      <c r="L177" s="567">
        <v>180</v>
      </c>
      <c r="M177" s="568" t="s">
        <v>964</v>
      </c>
    </row>
    <row r="178" spans="1:16" ht="38.1" customHeight="1">
      <c r="A178" s="407">
        <v>1</v>
      </c>
      <c r="B178" s="398"/>
      <c r="C178" s="399"/>
      <c r="D178" s="399"/>
      <c r="E178" s="399"/>
      <c r="F178" s="400"/>
      <c r="G178" s="641" t="str">
        <f>IF(G174="","",CONCATENATE(A176," ",G174))</f>
        <v>Spiel 0</v>
      </c>
      <c r="H178" s="409">
        <v>1</v>
      </c>
      <c r="I178" s="398"/>
      <c r="J178" s="399"/>
      <c r="K178" s="399"/>
      <c r="L178" s="399"/>
      <c r="M178" s="400"/>
    </row>
    <row r="179" spans="1:16" ht="38.1" customHeight="1">
      <c r="A179" s="407">
        <v>2</v>
      </c>
      <c r="B179" s="398"/>
      <c r="C179" s="399"/>
      <c r="D179" s="399"/>
      <c r="E179" s="399"/>
      <c r="F179" s="400"/>
      <c r="G179" s="641"/>
      <c r="H179" s="409">
        <v>2</v>
      </c>
      <c r="I179" s="398"/>
      <c r="J179" s="399"/>
      <c r="K179" s="399"/>
      <c r="L179" s="399"/>
      <c r="M179" s="400"/>
    </row>
    <row r="180" spans="1:16" ht="38.1" customHeight="1">
      <c r="A180" s="407">
        <v>3</v>
      </c>
      <c r="B180" s="398"/>
      <c r="C180" s="399"/>
      <c r="D180" s="399"/>
      <c r="E180" s="399"/>
      <c r="F180" s="400"/>
      <c r="G180" s="641"/>
      <c r="H180" s="409">
        <v>3</v>
      </c>
      <c r="I180" s="398"/>
      <c r="J180" s="399"/>
      <c r="K180" s="399"/>
      <c r="L180" s="399"/>
      <c r="M180" s="400"/>
    </row>
    <row r="181" spans="1:16" ht="38.1" customHeight="1">
      <c r="A181" s="407">
        <v>4</v>
      </c>
      <c r="B181" s="399"/>
      <c r="C181" s="399"/>
      <c r="D181" s="399"/>
      <c r="E181" s="399"/>
      <c r="F181" s="400"/>
      <c r="G181" s="641"/>
      <c r="H181" s="409">
        <v>4</v>
      </c>
      <c r="I181" s="399"/>
      <c r="J181" s="399"/>
      <c r="K181" s="399"/>
      <c r="L181" s="399"/>
      <c r="M181" s="400"/>
    </row>
    <row r="182" spans="1:16" ht="38.1" customHeight="1" thickBot="1">
      <c r="A182" s="408">
        <v>5</v>
      </c>
      <c r="B182" s="401"/>
      <c r="C182" s="401"/>
      <c r="D182" s="401"/>
      <c r="E182" s="401"/>
      <c r="F182" s="402"/>
      <c r="H182" s="410">
        <v>5</v>
      </c>
      <c r="I182" s="401"/>
      <c r="J182" s="401"/>
      <c r="K182" s="401"/>
      <c r="L182" s="401"/>
      <c r="M182" s="402"/>
    </row>
    <row r="183" spans="1:16" ht="5.0999999999999996" customHeight="1">
      <c r="A183" s="403"/>
      <c r="B183" s="404"/>
      <c r="C183" s="404"/>
      <c r="D183" s="404"/>
      <c r="E183" s="404"/>
      <c r="F183" s="404"/>
      <c r="G183" s="404"/>
      <c r="H183" s="404"/>
      <c r="I183" s="404"/>
      <c r="J183" s="404"/>
      <c r="K183" s="404"/>
      <c r="L183" s="404"/>
      <c r="M183" s="404"/>
    </row>
    <row r="184" spans="1:16" ht="5.0999999999999996" customHeight="1" thickBot="1"/>
    <row r="185" spans="1:16" ht="24.95" customHeight="1" thickBot="1">
      <c r="A185" s="405" t="str">
        <f>REPT('Heimmannschaft MAISON'!$I$3,1)</f>
        <v>select Heim - Team</v>
      </c>
      <c r="B185" s="381"/>
      <c r="C185" s="381"/>
      <c r="D185" s="381"/>
      <c r="E185" s="382" t="str">
        <f>IFERROR(VLOOKUP(G186,Chema!R:S,2,FALSE),"")</f>
        <v/>
      </c>
      <c r="F185" s="383" t="s">
        <v>894</v>
      </c>
      <c r="G185" s="571" t="str">
        <f>IF(G186="","",CONCATENATE(A188," ",G186))</f>
        <v>Spiel 0</v>
      </c>
      <c r="H185" s="406" t="str">
        <f>REPT('Gastmannschaft EXTERIEUR'!$I$3,1)</f>
        <v>Gast</v>
      </c>
      <c r="I185" s="384"/>
      <c r="J185" s="384"/>
      <c r="K185" s="384"/>
      <c r="L185" s="384" t="str">
        <f>IFERROR(VLOOKUP(G186,Chema!R:T,3,FALSE),"")</f>
        <v/>
      </c>
      <c r="M185" s="385" t="s">
        <v>895</v>
      </c>
      <c r="O185" s="29">
        <v>16</v>
      </c>
      <c r="P185" s="29">
        <f>IFERROR(VLOOKUP(O185,W:X,2,FALSE),0)</f>
        <v>0</v>
      </c>
    </row>
    <row r="186" spans="1:16" ht="30" customHeight="1">
      <c r="A186" s="386" t="s">
        <v>1211</v>
      </c>
      <c r="B186" s="387" t="e">
        <f>VLOOKUP(F186,Average!GC:GE,3,FALSE)</f>
        <v>#N/A</v>
      </c>
      <c r="C186" s="411" t="str">
        <f>IFERROR(VLOOKUP(B186,Licenses!B:C,2,FALSE),"")</f>
        <v/>
      </c>
      <c r="D186" s="388"/>
      <c r="E186" s="388"/>
      <c r="F186" s="569" t="str">
        <f>CONCATENATE(F185,E185," ",L185)</f>
        <v xml:space="preserve">H </v>
      </c>
      <c r="G186" s="412">
        <f>SUM(P185)</f>
        <v>0</v>
      </c>
      <c r="H186" s="389" t="s">
        <v>1211</v>
      </c>
      <c r="I186" s="390" t="e">
        <f>VLOOKUP(M186,Average!GC:GE,3,FALSE)</f>
        <v>#N/A</v>
      </c>
      <c r="J186" s="411" t="str">
        <f>IFERROR(VLOOKUP(I186,Licenses!B:C,2,FALSE),"")</f>
        <v/>
      </c>
      <c r="K186" s="388"/>
      <c r="L186" s="388"/>
      <c r="M186" s="569" t="str">
        <f>CONCATENATE(M185,E185," ",L185)</f>
        <v xml:space="preserve">G </v>
      </c>
    </row>
    <row r="187" spans="1:16" ht="30" customHeight="1" thickBot="1">
      <c r="A187" s="386" t="str">
        <f>IF(E185="D","Spieler 2. :","")</f>
        <v/>
      </c>
      <c r="B187" s="387" t="str">
        <f>IF(E185="D",VLOOKUP(F187,Average!GC:GE,3,FALSE),"")</f>
        <v/>
      </c>
      <c r="C187" s="411" t="str">
        <f>IF(B187="","",VLOOKUP(B187,Licenses!B:C,2,FALSE))</f>
        <v/>
      </c>
      <c r="D187" s="391"/>
      <c r="E187" s="391"/>
      <c r="F187" s="392" t="str">
        <f>IF(E185="D",CONCATENATE(F185,E185," ",L185,".",2),"")</f>
        <v/>
      </c>
      <c r="G187" s="570"/>
      <c r="H187" s="389" t="str">
        <f>IF(E185="D","Spieler 2. :","")</f>
        <v/>
      </c>
      <c r="I187" s="390" t="str">
        <f>IF(E185="D",VLOOKUP(M187,Average!GC:GE,3,FALSE),"")</f>
        <v/>
      </c>
      <c r="J187" s="411" t="str">
        <f>IFERROR(VLOOKUP(I187,Licenses!B:C,2,FALSE),"")</f>
        <v/>
      </c>
      <c r="K187" s="391"/>
      <c r="L187" s="391"/>
      <c r="M187" s="392" t="str">
        <f>IF(E185="D",CONCATENATE(M185,E185," ",L185,".",2),"")</f>
        <v/>
      </c>
    </row>
    <row r="188" spans="1:16" ht="15.75" thickBot="1">
      <c r="A188" s="393" t="s">
        <v>863</v>
      </c>
      <c r="B188" s="394" t="str">
        <f>CONCATENATE(F185,E185," ",L185)</f>
        <v xml:space="preserve">H </v>
      </c>
      <c r="C188" s="394" t="s">
        <v>1212</v>
      </c>
      <c r="D188" s="395" t="str">
        <f>REPT('Matchblatt  FEUILLE DE MATCH'!$P$11,1)</f>
        <v>2425R10?</v>
      </c>
      <c r="E188" s="396"/>
      <c r="F188" s="397"/>
      <c r="H188" s="393" t="s">
        <v>863</v>
      </c>
      <c r="I188" s="394" t="str">
        <f>CONCATENATE(M185,E185," ",L185)</f>
        <v xml:space="preserve">G </v>
      </c>
      <c r="J188" s="394" t="s">
        <v>1212</v>
      </c>
      <c r="K188" s="395" t="str">
        <f>REPT('Matchblatt  FEUILLE DE MATCH'!$P$11,1)</f>
        <v>2425R10?</v>
      </c>
      <c r="L188" s="396"/>
      <c r="M188" s="397"/>
    </row>
    <row r="189" spans="1:16" s="565" customFormat="1" ht="24.95" customHeight="1">
      <c r="A189" s="562" t="s">
        <v>864</v>
      </c>
      <c r="B189" s="563" t="s">
        <v>888</v>
      </c>
      <c r="C189" s="563" t="s">
        <v>868</v>
      </c>
      <c r="D189" s="563" t="s">
        <v>1213</v>
      </c>
      <c r="E189" s="563">
        <v>180</v>
      </c>
      <c r="F189" s="564" t="s">
        <v>964</v>
      </c>
      <c r="H189" s="566" t="s">
        <v>864</v>
      </c>
      <c r="I189" s="567" t="s">
        <v>888</v>
      </c>
      <c r="J189" s="567" t="s">
        <v>868</v>
      </c>
      <c r="K189" s="567" t="s">
        <v>1213</v>
      </c>
      <c r="L189" s="567">
        <v>180</v>
      </c>
      <c r="M189" s="568" t="s">
        <v>964</v>
      </c>
    </row>
    <row r="190" spans="1:16" ht="38.1" customHeight="1">
      <c r="A190" s="407">
        <v>1</v>
      </c>
      <c r="B190" s="398"/>
      <c r="C190" s="399"/>
      <c r="D190" s="399"/>
      <c r="E190" s="399"/>
      <c r="F190" s="400"/>
      <c r="G190" s="641" t="str">
        <f>IF(G186="","",CONCATENATE(A188," ",G186))</f>
        <v>Spiel 0</v>
      </c>
      <c r="H190" s="409">
        <v>1</v>
      </c>
      <c r="I190" s="398"/>
      <c r="J190" s="399"/>
      <c r="K190" s="399"/>
      <c r="L190" s="399"/>
      <c r="M190" s="400"/>
    </row>
    <row r="191" spans="1:16" ht="38.1" customHeight="1">
      <c r="A191" s="407">
        <v>2</v>
      </c>
      <c r="B191" s="398"/>
      <c r="C191" s="399"/>
      <c r="D191" s="399"/>
      <c r="E191" s="399"/>
      <c r="F191" s="400"/>
      <c r="G191" s="641"/>
      <c r="H191" s="409">
        <v>2</v>
      </c>
      <c r="I191" s="398"/>
      <c r="J191" s="399"/>
      <c r="K191" s="399"/>
      <c r="L191" s="399"/>
      <c r="M191" s="400"/>
    </row>
    <row r="192" spans="1:16" ht="38.1" customHeight="1">
      <c r="A192" s="407">
        <v>3</v>
      </c>
      <c r="B192" s="398"/>
      <c r="C192" s="399"/>
      <c r="D192" s="399"/>
      <c r="E192" s="399"/>
      <c r="F192" s="400"/>
      <c r="G192" s="641"/>
      <c r="H192" s="409">
        <v>3</v>
      </c>
      <c r="I192" s="398"/>
      <c r="J192" s="399"/>
      <c r="K192" s="399"/>
      <c r="L192" s="399"/>
      <c r="M192" s="400"/>
    </row>
    <row r="193" spans="1:13" ht="38.1" customHeight="1">
      <c r="A193" s="407">
        <v>4</v>
      </c>
      <c r="B193" s="399"/>
      <c r="C193" s="399"/>
      <c r="D193" s="399"/>
      <c r="E193" s="399"/>
      <c r="F193" s="400"/>
      <c r="G193" s="641"/>
      <c r="H193" s="409">
        <v>4</v>
      </c>
      <c r="I193" s="399"/>
      <c r="J193" s="399"/>
      <c r="K193" s="399"/>
      <c r="L193" s="399"/>
      <c r="M193" s="400"/>
    </row>
    <row r="194" spans="1:13" ht="38.1" customHeight="1" thickBot="1">
      <c r="A194" s="408">
        <v>5</v>
      </c>
      <c r="B194" s="401"/>
      <c r="C194" s="401"/>
      <c r="D194" s="401"/>
      <c r="E194" s="401"/>
      <c r="F194" s="402"/>
      <c r="H194" s="410">
        <v>5</v>
      </c>
      <c r="I194" s="401"/>
      <c r="J194" s="401"/>
      <c r="K194" s="401"/>
      <c r="L194" s="401"/>
      <c r="M194" s="402"/>
    </row>
    <row r="195" spans="1:13" ht="5.0999999999999996" customHeight="1">
      <c r="A195" s="403"/>
      <c r="B195" s="404"/>
      <c r="C195" s="404"/>
      <c r="D195" s="404"/>
      <c r="E195" s="404"/>
      <c r="F195" s="404"/>
      <c r="G195" s="404"/>
      <c r="H195" s="404"/>
      <c r="I195" s="404"/>
      <c r="J195" s="404"/>
      <c r="K195" s="404"/>
      <c r="L195" s="404"/>
      <c r="M195" s="404"/>
    </row>
  </sheetData>
  <sheetProtection algorithmName="SHA-512" hashValue="pksssfA2ZwhmDc4Vm9muF7WmqD+KuwYI4lmf7n/miHby9enfN73SSC272EKN4X4NxSHt9a3TQJzpz7v985YVQQ==" saltValue="6dEVx9amNOyF/MypUPoh4A==" spinCount="100000" sheet="1" selectLockedCells="1"/>
  <mergeCells count="17">
    <mergeCell ref="B2:C2"/>
    <mergeCell ref="G10:G13"/>
    <mergeCell ref="G22:G25"/>
    <mergeCell ref="G34:G37"/>
    <mergeCell ref="G46:G49"/>
    <mergeCell ref="G58:G61"/>
    <mergeCell ref="G70:G73"/>
    <mergeCell ref="G82:G85"/>
    <mergeCell ref="G94:G97"/>
    <mergeCell ref="G106:G109"/>
    <mergeCell ref="G178:G181"/>
    <mergeCell ref="G190:G193"/>
    <mergeCell ref="G118:G121"/>
    <mergeCell ref="G130:G133"/>
    <mergeCell ref="G142:G145"/>
    <mergeCell ref="G154:G157"/>
    <mergeCell ref="G166:G169"/>
  </mergeCells>
  <conditionalFormatting sqref="A52:M63">
    <cfRule type="expression" dxfId="11" priority="12">
      <formula>$P$53=0</formula>
    </cfRule>
  </conditionalFormatting>
  <conditionalFormatting sqref="A64:M75">
    <cfRule type="expression" dxfId="10" priority="11">
      <formula>$P$65=0</formula>
    </cfRule>
  </conditionalFormatting>
  <conditionalFormatting sqref="A76:M87">
    <cfRule type="expression" dxfId="9" priority="10">
      <formula>$P$77=0</formula>
    </cfRule>
  </conditionalFormatting>
  <conditionalFormatting sqref="A88:M99">
    <cfRule type="expression" dxfId="8" priority="9">
      <formula>$P$89=0</formula>
    </cfRule>
  </conditionalFormatting>
  <conditionalFormatting sqref="A100:M111">
    <cfRule type="expression" dxfId="7" priority="8">
      <formula>$P$101=0</formula>
    </cfRule>
  </conditionalFormatting>
  <conditionalFormatting sqref="A112:M123">
    <cfRule type="expression" dxfId="6" priority="7">
      <formula>$P$113=0</formula>
    </cfRule>
  </conditionalFormatting>
  <conditionalFormatting sqref="A124:M135">
    <cfRule type="expression" dxfId="5" priority="6">
      <formula>$P$125=0</formula>
    </cfRule>
  </conditionalFormatting>
  <conditionalFormatting sqref="A136:M147">
    <cfRule type="expression" dxfId="4" priority="5">
      <formula>$P$137=0</formula>
    </cfRule>
  </conditionalFormatting>
  <conditionalFormatting sqref="A148:M159">
    <cfRule type="expression" dxfId="3" priority="4">
      <formula>$P$149=0</formula>
    </cfRule>
  </conditionalFormatting>
  <conditionalFormatting sqref="A160:M171">
    <cfRule type="expression" dxfId="2" priority="3">
      <formula>$P$161=0</formula>
    </cfRule>
  </conditionalFormatting>
  <conditionalFormatting sqref="A172:M183">
    <cfRule type="expression" dxfId="1" priority="2">
      <formula>$P$173=0</formula>
    </cfRule>
  </conditionalFormatting>
  <conditionalFormatting sqref="A184:M195">
    <cfRule type="expression" dxfId="0" priority="1">
      <formula>$P$185=0</formula>
    </cfRule>
  </conditionalFormatting>
  <dataValidations count="1">
    <dataValidation type="list" allowBlank="1" showInputMessage="1" showErrorMessage="1" sqref="B2" xr:uid="{85404CB9-32F9-47E8-A560-890C598F00B2}">
      <formula1>R2:R8</formula1>
    </dataValidation>
  </dataValidations>
  <pageMargins left="0.13" right="7.0000000000000007E-2" top="0.14000000000000001" bottom="0" header="0.3" footer="0.3"/>
  <pageSetup paperSize="9" scale="31" fitToHeight="2" orientation="portrait" r:id="rId1"/>
  <rowBreaks count="1" manualBreakCount="1">
    <brk id="99" max="12" man="1"/>
  </rowBreak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Feuilles de calcul</vt:lpstr>
      </vt:variant>
      <vt:variant>
        <vt:i4>12</vt:i4>
      </vt:variant>
      <vt:variant>
        <vt:lpstr>Plages nommées</vt:lpstr>
      </vt:variant>
      <vt:variant>
        <vt:i4>3</vt:i4>
      </vt:variant>
    </vt:vector>
  </HeadingPairs>
  <TitlesOfParts>
    <vt:vector size="15" baseType="lpstr">
      <vt:lpstr>Chema</vt:lpstr>
      <vt:lpstr>Start</vt:lpstr>
      <vt:lpstr>Sprache</vt:lpstr>
      <vt:lpstr>Steuerung</vt:lpstr>
      <vt:lpstr>Heimmannschaft MAISON</vt:lpstr>
      <vt:lpstr>Gastmannschaft EXTERIEUR</vt:lpstr>
      <vt:lpstr>Matchblatt  FEUILLE DE MATCH</vt:lpstr>
      <vt:lpstr>Average</vt:lpstr>
      <vt:lpstr>Druck für Spiele</vt:lpstr>
      <vt:lpstr>RESULTS</vt:lpstr>
      <vt:lpstr>Licenses</vt:lpstr>
      <vt:lpstr>Spielplan</vt:lpstr>
      <vt:lpstr>'Druck für Spiele'!Zone_d_impression</vt:lpstr>
      <vt:lpstr>'Matchblatt  FEUILLE DE MATCH'!Zone_d_impression</vt:lpstr>
      <vt:lpstr>Spielplan!Zone_d_impression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Stastka Jaromir</dc:creator>
  <cp:lastModifiedBy>Michel Roy</cp:lastModifiedBy>
  <cp:lastPrinted>2024-10-10T02:00:09Z</cp:lastPrinted>
  <dcterms:created xsi:type="dcterms:W3CDTF">2023-12-30T14:40:31Z</dcterms:created>
  <dcterms:modified xsi:type="dcterms:W3CDTF">2025-02-07T07:49:15Z</dcterms:modified>
</cp:coreProperties>
</file>